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Ex1.xml" ContentType="application/vnd.ms-office.chartex+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3.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6.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drawings/drawing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9.xml" ContentType="application/vnd.openxmlformats-officedocument.themeOverrid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0.xml" ContentType="application/vnd.openxmlformats-officedocument.themeOverrid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1.xml" ContentType="application/vnd.openxmlformats-officedocument.themeOverrid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2.xml" ContentType="application/vnd.openxmlformats-officedocument.themeOverride+xml"/>
  <Override PartName="/xl/drawings/drawing4.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Ex2.xml" ContentType="application/vnd.ms-office.chartex+xml"/>
  <Override PartName="/xl/charts/style14.xml" ContentType="application/vnd.ms-office.chartstyle+xml"/>
  <Override PartName="/xl/charts/colors14.xml" ContentType="application/vnd.ms-office.chartcolorstyle+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3.xml" ContentType="application/vnd.openxmlformats-officedocument.themeOverride+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4.xml" ContentType="application/vnd.openxmlformats-officedocument.themeOverride+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5.xml" ContentType="application/vnd.openxmlformats-officedocument.themeOverride+xml"/>
  <Override PartName="/xl/drawings/drawing5.xml" ContentType="application/vnd.openxmlformats-officedocument.drawing+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6.xml" ContentType="application/vnd.openxmlformats-officedocument.themeOverride+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codeName="ThisWorkbook" defaultThemeVersion="166925"/>
  <mc:AlternateContent xmlns:mc="http://schemas.openxmlformats.org/markup-compatibility/2006">
    <mc:Choice Requires="x15">
      <x15ac:absPath xmlns:x15ac="http://schemas.microsoft.com/office/spreadsheetml/2010/11/ac" url="D:\AHSN NWCSP\Business Case\LL Business case and guide final 23-10-20\"/>
    </mc:Choice>
  </mc:AlternateContent>
  <xr:revisionPtr revIDLastSave="0" documentId="8_{CD7913F5-AD66-46E9-92EE-2BC3C16AFA5E}" xr6:coauthVersionLast="47" xr6:coauthVersionMax="47" xr10:uidLastSave="{00000000-0000-0000-0000-000000000000}"/>
  <bookViews>
    <workbookView xWindow="10" yWindow="600" windowWidth="19190" windowHeight="10200" firstSheet="1" activeTab="1" xr2:uid="{00000000-000D-0000-FFFF-FFFF00000000}"/>
  </bookViews>
  <sheets>
    <sheet name="ReadMe" sheetId="66" r:id="rId1"/>
    <sheet name="Control Assumptions" sheetId="45" r:id="rId2"/>
    <sheet name="Local model results =&gt;" sheetId="68" r:id="rId3"/>
    <sheet name="Local model results" sheetId="67" r:id="rId4"/>
    <sheet name="National model results =&gt;" sheetId="21" r:id="rId5"/>
    <sheet name="National model results summary" sheetId="64" r:id="rId6"/>
    <sheet name="National model results detailed" sheetId="63" r:id="rId7"/>
    <sheet name="=&gt; Summary tables" sheetId="65" r:id="rId8"/>
    <sheet name="To-be Summary" sheetId="54" r:id="rId9"/>
    <sheet name="Baseline Summary" sheetId="37" r:id="rId10"/>
    <sheet name="Intervention assumptions=&gt;" sheetId="60" r:id="rId11"/>
    <sheet name="To-be clinical improvements" sheetId="32" r:id="rId12"/>
    <sheet name="Implementation costs" sheetId="47" r:id="rId13"/>
    <sheet name="Cost calcs =&gt;" sheetId="61" r:id="rId14"/>
    <sheet name="Mixed costs INT" sheetId="53" r:id="rId15"/>
    <sheet name="VLU costs INT" sheetId="52" r:id="rId16"/>
    <sheet name="VLU costs" sheetId="36" r:id="rId17"/>
    <sheet name="Arterial costs" sheetId="44" r:id="rId18"/>
    <sheet name="Mixed costs" sheetId="43" r:id="rId19"/>
    <sheet name="Resource assumptions =&gt;" sheetId="46" r:id="rId20"/>
    <sheet name="Mixed LU Care Pathways INT" sheetId="57" r:id="rId21"/>
    <sheet name="VLU Care Pathways INT" sheetId="56" r:id="rId22"/>
    <sheet name="Arterial Care Pathways" sheetId="42" r:id="rId23"/>
    <sheet name="Mixed LU Care Pathways" sheetId="41" r:id="rId24"/>
    <sheet name="VLU Care Pathways" sheetId="35" r:id="rId25"/>
    <sheet name="Wound vol calcs =&gt;" sheetId="59" r:id="rId26"/>
    <sheet name="Wound maintenance vols INT" sheetId="51" r:id="rId27"/>
    <sheet name="Prevalence projection INT" sheetId="49" r:id="rId28"/>
    <sheet name="Wound growth INT" sheetId="50" r:id="rId29"/>
    <sheet name="Wound maintenance vols" sheetId="39" r:id="rId30"/>
    <sheet name="Prevalence projection" sheetId="40" r:id="rId31"/>
    <sheet name="Wound growth" sheetId="30" r:id="rId32"/>
    <sheet name="Assumptions =&gt;" sheetId="7" r:id="rId33"/>
    <sheet name="Resource costs" sheetId="3" r:id="rId34"/>
    <sheet name="Inflation" sheetId="19" r:id="rId35"/>
    <sheet name="PCA data" sheetId="25" r:id="rId36"/>
    <sheet name="Epidemiology" sheetId="5" r:id="rId37"/>
    <sheet name="Demographic growth" sheetId="2" r:id="rId38"/>
  </sheets>
  <definedNames>
    <definedName name="_xlnm._FilterDatabase" localSheetId="9" hidden="1">'Baseline Summary'!$B$70:$G$70</definedName>
    <definedName name="_xlnm._FilterDatabase" localSheetId="6" hidden="1">'National model results detailed'!$AZ$137:$BB$144</definedName>
    <definedName name="_xlnm._FilterDatabase" localSheetId="35" hidden="1">'PCA data'!$A$1519:$W$1527</definedName>
    <definedName name="_xlnm._FilterDatabase" localSheetId="33" hidden="1">'Resource costs'!#REF!</definedName>
    <definedName name="_MailAutoSig" localSheetId="33">'Resource costs'!#REF!</definedName>
    <definedName name="_xlchart.v1.0" hidden="1">'National model results detailed'!#REF!</definedName>
    <definedName name="_xlchart.v1.1" hidden="1">'National model results detailed'!$C$81:$C$88</definedName>
    <definedName name="_xlchart.v1.2" hidden="1">'National model results detailed'!$E$81:$E$88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3" i="45" l="1"/>
  <c r="N13" i="19" l="1"/>
  <c r="O13" i="19"/>
  <c r="P13" i="19"/>
  <c r="Q13" i="19"/>
  <c r="R13" i="19"/>
  <c r="S13" i="19"/>
  <c r="T13" i="19"/>
  <c r="U13" i="19"/>
  <c r="V13" i="19"/>
  <c r="W13" i="19"/>
  <c r="X13" i="19"/>
  <c r="Y13" i="19"/>
  <c r="Z13" i="19"/>
  <c r="AA13" i="19"/>
  <c r="AB13" i="19"/>
  <c r="AC13" i="19"/>
  <c r="AD13" i="19"/>
  <c r="AE13" i="19"/>
  <c r="AF13" i="19"/>
  <c r="AG13" i="19"/>
  <c r="AH13" i="19"/>
  <c r="AI13" i="19"/>
  <c r="AJ13" i="19"/>
  <c r="AK13" i="19"/>
  <c r="AL13" i="19"/>
  <c r="AM13" i="19"/>
  <c r="AN13" i="19"/>
  <c r="AO13" i="19"/>
  <c r="AP13" i="19"/>
  <c r="AQ13" i="19"/>
  <c r="AR13" i="19"/>
  <c r="AS13" i="19"/>
  <c r="AT13" i="19"/>
  <c r="AU13" i="19"/>
  <c r="AV13" i="19"/>
  <c r="AW13" i="19"/>
  <c r="AX13" i="19"/>
  <c r="AY13" i="19"/>
  <c r="AZ13" i="19"/>
  <c r="BA13" i="19"/>
  <c r="BB13" i="19"/>
  <c r="BC13" i="19"/>
  <c r="N14" i="19"/>
  <c r="O14" i="19"/>
  <c r="P14" i="19"/>
  <c r="Q14" i="19"/>
  <c r="R14" i="19"/>
  <c r="S14" i="19"/>
  <c r="T14" i="19"/>
  <c r="U14" i="19"/>
  <c r="V14" i="19"/>
  <c r="W14" i="19"/>
  <c r="X14" i="19"/>
  <c r="Y14" i="19"/>
  <c r="Z14" i="19"/>
  <c r="AA14" i="19"/>
  <c r="AB14" i="19"/>
  <c r="AC14" i="19"/>
  <c r="AD14" i="19"/>
  <c r="AE14" i="19"/>
  <c r="AF14" i="19"/>
  <c r="AG14" i="19"/>
  <c r="AH14" i="19"/>
  <c r="AI14" i="19"/>
  <c r="AJ14" i="19"/>
  <c r="AK14" i="19"/>
  <c r="AL14" i="19"/>
  <c r="AM14" i="19"/>
  <c r="AN14" i="19"/>
  <c r="AO14" i="19"/>
  <c r="AP14" i="19"/>
  <c r="AQ14" i="19"/>
  <c r="AR14" i="19"/>
  <c r="AS14" i="19"/>
  <c r="AT14" i="19"/>
  <c r="AU14" i="19"/>
  <c r="AV14" i="19"/>
  <c r="AW14" i="19"/>
  <c r="AX14" i="19"/>
  <c r="AY14" i="19"/>
  <c r="AZ14" i="19"/>
  <c r="BA14" i="19"/>
  <c r="BB14" i="19"/>
  <c r="BC14" i="19"/>
  <c r="N15" i="19"/>
  <c r="O15" i="19"/>
  <c r="P15" i="19"/>
  <c r="Q15" i="19"/>
  <c r="R15" i="19"/>
  <c r="S15" i="19"/>
  <c r="T15" i="19"/>
  <c r="U15" i="19"/>
  <c r="V15" i="19"/>
  <c r="W15" i="19"/>
  <c r="X15" i="19"/>
  <c r="Y15" i="19"/>
  <c r="Z15" i="19"/>
  <c r="AA15" i="19"/>
  <c r="AB15" i="19"/>
  <c r="AC15" i="19"/>
  <c r="AD15" i="19"/>
  <c r="AE15" i="19"/>
  <c r="AF15" i="19"/>
  <c r="AG15" i="19"/>
  <c r="AH15" i="19"/>
  <c r="AI15" i="19"/>
  <c r="AJ15" i="19"/>
  <c r="AK15" i="19"/>
  <c r="AL15" i="19"/>
  <c r="AM15" i="19"/>
  <c r="AN15" i="19"/>
  <c r="AO15" i="19"/>
  <c r="AP15" i="19"/>
  <c r="AQ15" i="19"/>
  <c r="AR15" i="19"/>
  <c r="AS15" i="19"/>
  <c r="AT15" i="19"/>
  <c r="AU15" i="19"/>
  <c r="AV15" i="19"/>
  <c r="AW15" i="19"/>
  <c r="AX15" i="19"/>
  <c r="AY15" i="19"/>
  <c r="AZ15" i="19"/>
  <c r="BA15" i="19"/>
  <c r="BB15" i="19"/>
  <c r="BC15" i="19"/>
  <c r="N16" i="19"/>
  <c r="O16" i="19"/>
  <c r="P16" i="19"/>
  <c r="Q16" i="19"/>
  <c r="R16" i="19"/>
  <c r="S16" i="19"/>
  <c r="T16" i="19"/>
  <c r="U16" i="19"/>
  <c r="V16" i="19"/>
  <c r="W16" i="19"/>
  <c r="X16" i="19"/>
  <c r="Y16" i="19"/>
  <c r="Z16" i="19"/>
  <c r="AA16" i="19"/>
  <c r="AB16" i="19"/>
  <c r="AC16" i="19"/>
  <c r="AD16" i="19"/>
  <c r="AE16" i="19"/>
  <c r="AF16" i="19"/>
  <c r="AG16" i="19"/>
  <c r="AH16" i="19"/>
  <c r="AI16" i="19"/>
  <c r="AJ16" i="19"/>
  <c r="AK16" i="19"/>
  <c r="AL16" i="19"/>
  <c r="AM16" i="19"/>
  <c r="AN16" i="19"/>
  <c r="AO16" i="19"/>
  <c r="AP16" i="19"/>
  <c r="AQ16" i="19"/>
  <c r="AR16" i="19"/>
  <c r="AS16" i="19"/>
  <c r="AT16" i="19"/>
  <c r="AU16" i="19"/>
  <c r="AV16" i="19"/>
  <c r="AW16" i="19"/>
  <c r="AX16" i="19"/>
  <c r="AY16" i="19"/>
  <c r="AZ16" i="19"/>
  <c r="BA16" i="19"/>
  <c r="BB16" i="19"/>
  <c r="BC16" i="19"/>
  <c r="N17" i="19"/>
  <c r="O17" i="19"/>
  <c r="P17" i="19"/>
  <c r="Q17" i="19"/>
  <c r="R17" i="19"/>
  <c r="S17" i="19"/>
  <c r="T17" i="19"/>
  <c r="U17" i="19"/>
  <c r="V17" i="19"/>
  <c r="W17" i="19"/>
  <c r="X17" i="19"/>
  <c r="Y17" i="19"/>
  <c r="Z17" i="19"/>
  <c r="AA17" i="19"/>
  <c r="AB17" i="19"/>
  <c r="AC17" i="19"/>
  <c r="AD17" i="19"/>
  <c r="AE17" i="19"/>
  <c r="AF17" i="19"/>
  <c r="AG17" i="19"/>
  <c r="AH17" i="19"/>
  <c r="AI17" i="19"/>
  <c r="AJ17" i="19"/>
  <c r="AK17" i="19"/>
  <c r="AL17" i="19"/>
  <c r="AM17" i="19"/>
  <c r="AN17" i="19"/>
  <c r="AO17" i="19"/>
  <c r="AP17" i="19"/>
  <c r="AQ17" i="19"/>
  <c r="AR17" i="19"/>
  <c r="AS17" i="19"/>
  <c r="AT17" i="19"/>
  <c r="AU17" i="19"/>
  <c r="AV17" i="19"/>
  <c r="AW17" i="19"/>
  <c r="AX17" i="19"/>
  <c r="AY17" i="19"/>
  <c r="AZ17" i="19"/>
  <c r="BA17" i="19"/>
  <c r="BB17" i="19"/>
  <c r="BC17" i="19"/>
  <c r="C387" i="47" l="1"/>
  <c r="C5" i="47"/>
  <c r="C133" i="47" s="1"/>
  <c r="B5" i="47"/>
  <c r="C58" i="47"/>
  <c r="C73" i="47"/>
  <c r="AL183" i="67" l="1"/>
  <c r="K60" i="45" l="1"/>
  <c r="K61" i="45"/>
  <c r="K62" i="45"/>
  <c r="K63" i="45"/>
  <c r="K64" i="45"/>
  <c r="K65" i="45"/>
  <c r="K66" i="45"/>
  <c r="K67" i="45"/>
  <c r="K68" i="45"/>
  <c r="K69" i="45"/>
  <c r="K70" i="45"/>
  <c r="K72" i="45"/>
  <c r="K59" i="45"/>
  <c r="B119" i="67"/>
  <c r="B120" i="67"/>
  <c r="B121" i="67"/>
  <c r="B122" i="67"/>
  <c r="B123" i="67"/>
  <c r="B124" i="67"/>
  <c r="B125" i="67"/>
  <c r="B126" i="67"/>
  <c r="B127" i="67"/>
  <c r="B118" i="67"/>
  <c r="G72" i="45"/>
  <c r="E326" i="65"/>
  <c r="F326" i="65"/>
  <c r="G326" i="65"/>
  <c r="H326" i="65"/>
  <c r="I326" i="65"/>
  <c r="J326" i="65"/>
  <c r="K326" i="65"/>
  <c r="L326" i="65"/>
  <c r="M326" i="65"/>
  <c r="N326" i="65"/>
  <c r="O326" i="65"/>
  <c r="P326" i="65"/>
  <c r="Q326" i="65"/>
  <c r="R326" i="65"/>
  <c r="S326" i="65"/>
  <c r="T326" i="65"/>
  <c r="U326" i="65"/>
  <c r="V326" i="65"/>
  <c r="W326" i="65"/>
  <c r="X326" i="65"/>
  <c r="Y326" i="65"/>
  <c r="Z326" i="65"/>
  <c r="AA326" i="65"/>
  <c r="AB326" i="65"/>
  <c r="AC326" i="65"/>
  <c r="AD326" i="65"/>
  <c r="AE326" i="65"/>
  <c r="AF326" i="65"/>
  <c r="AG326" i="65"/>
  <c r="AH326" i="65"/>
  <c r="AI326" i="65"/>
  <c r="AJ326" i="65"/>
  <c r="AK326" i="65"/>
  <c r="AL326" i="65"/>
  <c r="AM326" i="65"/>
  <c r="AN326" i="65"/>
  <c r="AO326" i="65"/>
  <c r="E327" i="65"/>
  <c r="F327" i="65"/>
  <c r="G327" i="65"/>
  <c r="H327" i="65"/>
  <c r="I327" i="65"/>
  <c r="J327" i="65"/>
  <c r="K327" i="65"/>
  <c r="L327" i="65"/>
  <c r="M327" i="65"/>
  <c r="N327" i="65"/>
  <c r="O327" i="65"/>
  <c r="P327" i="65"/>
  <c r="Q327" i="65"/>
  <c r="R327" i="65"/>
  <c r="S327" i="65"/>
  <c r="T327" i="65"/>
  <c r="U327" i="65"/>
  <c r="V327" i="65"/>
  <c r="W327" i="65"/>
  <c r="X327" i="65"/>
  <c r="Y327" i="65"/>
  <c r="Z327" i="65"/>
  <c r="AA327" i="65"/>
  <c r="AB327" i="65"/>
  <c r="AC327" i="65"/>
  <c r="AD327" i="65"/>
  <c r="AE327" i="65"/>
  <c r="AF327" i="65"/>
  <c r="AG327" i="65"/>
  <c r="AH327" i="65"/>
  <c r="AI327" i="65"/>
  <c r="AJ327" i="65"/>
  <c r="AK327" i="65"/>
  <c r="AL327" i="65"/>
  <c r="AM327" i="65"/>
  <c r="AN327" i="65"/>
  <c r="AO327" i="65"/>
  <c r="E328" i="65"/>
  <c r="F328" i="65"/>
  <c r="G328" i="65"/>
  <c r="H328" i="65"/>
  <c r="I328" i="65"/>
  <c r="J328" i="65"/>
  <c r="K328" i="65"/>
  <c r="L328" i="65"/>
  <c r="M328" i="65"/>
  <c r="N328" i="65"/>
  <c r="O328" i="65"/>
  <c r="P328" i="65"/>
  <c r="Q328" i="65"/>
  <c r="R328" i="65"/>
  <c r="S328" i="65"/>
  <c r="T328" i="65"/>
  <c r="U328" i="65"/>
  <c r="V328" i="65"/>
  <c r="W328" i="65"/>
  <c r="X328" i="65"/>
  <c r="Y328" i="65"/>
  <c r="Z328" i="65"/>
  <c r="AA328" i="65"/>
  <c r="AB328" i="65"/>
  <c r="AC328" i="65"/>
  <c r="AD328" i="65"/>
  <c r="AE328" i="65"/>
  <c r="AF328" i="65"/>
  <c r="AG328" i="65"/>
  <c r="AH328" i="65"/>
  <c r="AI328" i="65"/>
  <c r="AJ328" i="65"/>
  <c r="AK328" i="65"/>
  <c r="AL328" i="65"/>
  <c r="AM328" i="65"/>
  <c r="AN328" i="65"/>
  <c r="AO328" i="65"/>
  <c r="E329" i="65"/>
  <c r="F329" i="65"/>
  <c r="G329" i="65"/>
  <c r="H329" i="65"/>
  <c r="I329" i="65"/>
  <c r="J329" i="65"/>
  <c r="K329" i="65"/>
  <c r="L329" i="65"/>
  <c r="M329" i="65"/>
  <c r="N329" i="65"/>
  <c r="O329" i="65"/>
  <c r="P329" i="65"/>
  <c r="Q329" i="65"/>
  <c r="R329" i="65"/>
  <c r="S329" i="65"/>
  <c r="T329" i="65"/>
  <c r="U329" i="65"/>
  <c r="V329" i="65"/>
  <c r="W329" i="65"/>
  <c r="X329" i="65"/>
  <c r="Y329" i="65"/>
  <c r="Z329" i="65"/>
  <c r="AA329" i="65"/>
  <c r="AB329" i="65"/>
  <c r="AC329" i="65"/>
  <c r="AD329" i="65"/>
  <c r="AE329" i="65"/>
  <c r="AF329" i="65"/>
  <c r="AG329" i="65"/>
  <c r="AH329" i="65"/>
  <c r="AI329" i="65"/>
  <c r="AJ329" i="65"/>
  <c r="AK329" i="65"/>
  <c r="AL329" i="65"/>
  <c r="AM329" i="65"/>
  <c r="AN329" i="65"/>
  <c r="AO329" i="65"/>
  <c r="E330" i="65"/>
  <c r="F330" i="65"/>
  <c r="G330" i="65"/>
  <c r="H330" i="65"/>
  <c r="I330" i="65"/>
  <c r="J330" i="65"/>
  <c r="K330" i="65"/>
  <c r="L330" i="65"/>
  <c r="M330" i="65"/>
  <c r="N330" i="65"/>
  <c r="O330" i="65"/>
  <c r="P330" i="65"/>
  <c r="Q330" i="65"/>
  <c r="R330" i="65"/>
  <c r="S330" i="65"/>
  <c r="T330" i="65"/>
  <c r="U330" i="65"/>
  <c r="V330" i="65"/>
  <c r="W330" i="65"/>
  <c r="X330" i="65"/>
  <c r="Y330" i="65"/>
  <c r="Z330" i="65"/>
  <c r="AA330" i="65"/>
  <c r="AB330" i="65"/>
  <c r="AC330" i="65"/>
  <c r="AD330" i="65"/>
  <c r="AE330" i="65"/>
  <c r="AF330" i="65"/>
  <c r="AG330" i="65"/>
  <c r="AH330" i="65"/>
  <c r="AI330" i="65"/>
  <c r="AJ330" i="65"/>
  <c r="AK330" i="65"/>
  <c r="AL330" i="65"/>
  <c r="AM330" i="65"/>
  <c r="AN330" i="65"/>
  <c r="AO330" i="65"/>
  <c r="E331" i="65"/>
  <c r="F331" i="65"/>
  <c r="G331" i="65"/>
  <c r="H331" i="65"/>
  <c r="I331" i="65"/>
  <c r="J331" i="65"/>
  <c r="K331" i="65"/>
  <c r="L331" i="65"/>
  <c r="M331" i="65"/>
  <c r="N331" i="65"/>
  <c r="O331" i="65"/>
  <c r="P331" i="65"/>
  <c r="Q331" i="65"/>
  <c r="R331" i="65"/>
  <c r="S331" i="65"/>
  <c r="T331" i="65"/>
  <c r="U331" i="65"/>
  <c r="V331" i="65"/>
  <c r="W331" i="65"/>
  <c r="X331" i="65"/>
  <c r="Y331" i="65"/>
  <c r="Z331" i="65"/>
  <c r="AA331" i="65"/>
  <c r="AB331" i="65"/>
  <c r="AC331" i="65"/>
  <c r="AD331" i="65"/>
  <c r="AE331" i="65"/>
  <c r="AF331" i="65"/>
  <c r="AG331" i="65"/>
  <c r="AH331" i="65"/>
  <c r="AI331" i="65"/>
  <c r="AJ331" i="65"/>
  <c r="AK331" i="65"/>
  <c r="AL331" i="65"/>
  <c r="AM331" i="65"/>
  <c r="AN331" i="65"/>
  <c r="AO331" i="65"/>
  <c r="E332" i="65"/>
  <c r="F332" i="65"/>
  <c r="G332" i="65"/>
  <c r="H332" i="65"/>
  <c r="I332" i="65"/>
  <c r="J332" i="65"/>
  <c r="K332" i="65"/>
  <c r="L332" i="65"/>
  <c r="M332" i="65"/>
  <c r="N332" i="65"/>
  <c r="O332" i="65"/>
  <c r="P332" i="65"/>
  <c r="Q332" i="65"/>
  <c r="R332" i="65"/>
  <c r="S332" i="65"/>
  <c r="T332" i="65"/>
  <c r="U332" i="65"/>
  <c r="V332" i="65"/>
  <c r="W332" i="65"/>
  <c r="X332" i="65"/>
  <c r="Y332" i="65"/>
  <c r="Z332" i="65"/>
  <c r="AA332" i="65"/>
  <c r="AB332" i="65"/>
  <c r="AC332" i="65"/>
  <c r="AD332" i="65"/>
  <c r="AE332" i="65"/>
  <c r="AF332" i="65"/>
  <c r="AG332" i="65"/>
  <c r="AH332" i="65"/>
  <c r="AI332" i="65"/>
  <c r="AJ332" i="65"/>
  <c r="AK332" i="65"/>
  <c r="AL332" i="65"/>
  <c r="AM332" i="65"/>
  <c r="AN332" i="65"/>
  <c r="AO332" i="65"/>
  <c r="E333" i="65"/>
  <c r="F333" i="65"/>
  <c r="G333" i="65"/>
  <c r="H333" i="65"/>
  <c r="I333" i="65"/>
  <c r="J333" i="65"/>
  <c r="K333" i="65"/>
  <c r="L333" i="65"/>
  <c r="M333" i="65"/>
  <c r="N333" i="65"/>
  <c r="O333" i="65"/>
  <c r="P333" i="65"/>
  <c r="Q333" i="65"/>
  <c r="R333" i="65"/>
  <c r="S333" i="65"/>
  <c r="T333" i="65"/>
  <c r="U333" i="65"/>
  <c r="V333" i="65"/>
  <c r="W333" i="65"/>
  <c r="X333" i="65"/>
  <c r="Y333" i="65"/>
  <c r="Z333" i="65"/>
  <c r="AA333" i="65"/>
  <c r="AB333" i="65"/>
  <c r="AC333" i="65"/>
  <c r="AD333" i="65"/>
  <c r="AE333" i="65"/>
  <c r="AF333" i="65"/>
  <c r="AG333" i="65"/>
  <c r="AH333" i="65"/>
  <c r="AI333" i="65"/>
  <c r="AJ333" i="65"/>
  <c r="AK333" i="65"/>
  <c r="AL333" i="65"/>
  <c r="AM333" i="65"/>
  <c r="AN333" i="65"/>
  <c r="AO333" i="65"/>
  <c r="E334" i="65"/>
  <c r="F334" i="65"/>
  <c r="G334" i="65"/>
  <c r="H334" i="65"/>
  <c r="I334" i="65"/>
  <c r="J334" i="65"/>
  <c r="K334" i="65"/>
  <c r="L334" i="65"/>
  <c r="M334" i="65"/>
  <c r="N334" i="65"/>
  <c r="O334" i="65"/>
  <c r="P334" i="65"/>
  <c r="Q334" i="65"/>
  <c r="R334" i="65"/>
  <c r="S334" i="65"/>
  <c r="T334" i="65"/>
  <c r="U334" i="65"/>
  <c r="V334" i="65"/>
  <c r="W334" i="65"/>
  <c r="X334" i="65"/>
  <c r="Y334" i="65"/>
  <c r="Z334" i="65"/>
  <c r="AA334" i="65"/>
  <c r="AB334" i="65"/>
  <c r="AC334" i="65"/>
  <c r="AD334" i="65"/>
  <c r="AE334" i="65"/>
  <c r="AF334" i="65"/>
  <c r="AG334" i="65"/>
  <c r="AH334" i="65"/>
  <c r="AI334" i="65"/>
  <c r="AJ334" i="65"/>
  <c r="AK334" i="65"/>
  <c r="AL334" i="65"/>
  <c r="AM334" i="65"/>
  <c r="AN334" i="65"/>
  <c r="AO334" i="65"/>
  <c r="E335" i="65"/>
  <c r="F335" i="65"/>
  <c r="G335" i="65"/>
  <c r="H335" i="65"/>
  <c r="I335" i="65"/>
  <c r="J335" i="65"/>
  <c r="K335" i="65"/>
  <c r="L335" i="65"/>
  <c r="M335" i="65"/>
  <c r="N335" i="65"/>
  <c r="O335" i="65"/>
  <c r="P335" i="65"/>
  <c r="Q335" i="65"/>
  <c r="R335" i="65"/>
  <c r="S335" i="65"/>
  <c r="T335" i="65"/>
  <c r="U335" i="65"/>
  <c r="V335" i="65"/>
  <c r="W335" i="65"/>
  <c r="X335" i="65"/>
  <c r="Y335" i="65"/>
  <c r="Z335" i="65"/>
  <c r="AA335" i="65"/>
  <c r="AB335" i="65"/>
  <c r="AC335" i="65"/>
  <c r="AD335" i="65"/>
  <c r="AE335" i="65"/>
  <c r="AF335" i="65"/>
  <c r="AG335" i="65"/>
  <c r="AH335" i="65"/>
  <c r="AI335" i="65"/>
  <c r="AJ335" i="65"/>
  <c r="AK335" i="65"/>
  <c r="AL335" i="65"/>
  <c r="AM335" i="65"/>
  <c r="AN335" i="65"/>
  <c r="AO335" i="65"/>
  <c r="E336" i="65"/>
  <c r="F336" i="65"/>
  <c r="G336" i="65"/>
  <c r="H336" i="65"/>
  <c r="I336" i="65"/>
  <c r="J336" i="65"/>
  <c r="K336" i="65"/>
  <c r="L336" i="65"/>
  <c r="M336" i="65"/>
  <c r="N336" i="65"/>
  <c r="O336" i="65"/>
  <c r="P336" i="65"/>
  <c r="Q336" i="65"/>
  <c r="R336" i="65"/>
  <c r="S336" i="65"/>
  <c r="T336" i="65"/>
  <c r="U336" i="65"/>
  <c r="V336" i="65"/>
  <c r="W336" i="65"/>
  <c r="X336" i="65"/>
  <c r="Y336" i="65"/>
  <c r="Z336" i="65"/>
  <c r="AA336" i="65"/>
  <c r="AB336" i="65"/>
  <c r="AC336" i="65"/>
  <c r="AD336" i="65"/>
  <c r="AE336" i="65"/>
  <c r="AF336" i="65"/>
  <c r="AG336" i="65"/>
  <c r="AH336" i="65"/>
  <c r="AI336" i="65"/>
  <c r="AJ336" i="65"/>
  <c r="AK336" i="65"/>
  <c r="AL336" i="65"/>
  <c r="AM336" i="65"/>
  <c r="AN336" i="65"/>
  <c r="AO336" i="65"/>
  <c r="E337" i="65"/>
  <c r="F337" i="65"/>
  <c r="G337" i="65"/>
  <c r="H337" i="65"/>
  <c r="I337" i="65"/>
  <c r="J337" i="65"/>
  <c r="K337" i="65"/>
  <c r="L337" i="65"/>
  <c r="M337" i="65"/>
  <c r="N337" i="65"/>
  <c r="O337" i="65"/>
  <c r="P337" i="65"/>
  <c r="Q337" i="65"/>
  <c r="R337" i="65"/>
  <c r="S337" i="65"/>
  <c r="T337" i="65"/>
  <c r="U337" i="65"/>
  <c r="V337" i="65"/>
  <c r="W337" i="65"/>
  <c r="X337" i="65"/>
  <c r="Y337" i="65"/>
  <c r="Z337" i="65"/>
  <c r="AA337" i="65"/>
  <c r="AB337" i="65"/>
  <c r="AC337" i="65"/>
  <c r="AD337" i="65"/>
  <c r="AE337" i="65"/>
  <c r="AF337" i="65"/>
  <c r="AG337" i="65"/>
  <c r="AH337" i="65"/>
  <c r="AI337" i="65"/>
  <c r="AJ337" i="65"/>
  <c r="AK337" i="65"/>
  <c r="AL337" i="65"/>
  <c r="AM337" i="65"/>
  <c r="AN337" i="65"/>
  <c r="AO337" i="65"/>
  <c r="D327" i="65"/>
  <c r="D328" i="65"/>
  <c r="D329" i="65"/>
  <c r="D330" i="65"/>
  <c r="D331" i="65"/>
  <c r="D332" i="65"/>
  <c r="D333" i="65"/>
  <c r="D334" i="65"/>
  <c r="D335" i="65"/>
  <c r="D336" i="65"/>
  <c r="D337" i="65"/>
  <c r="D326" i="65"/>
  <c r="E72" i="45" l="1"/>
  <c r="C38" i="67" s="1"/>
  <c r="C61" i="67" s="1"/>
  <c r="D61" i="67" s="1"/>
  <c r="D100" i="67" s="1"/>
  <c r="D118" i="67" s="1"/>
  <c r="D134" i="67" s="1"/>
  <c r="B134" i="64"/>
  <c r="B120" i="64"/>
  <c r="B119" i="64"/>
  <c r="B118" i="64"/>
  <c r="B102" i="64"/>
  <c r="B103" i="64"/>
  <c r="B104" i="64"/>
  <c r="B105" i="64"/>
  <c r="B106" i="64"/>
  <c r="B107" i="64"/>
  <c r="B108" i="64"/>
  <c r="B109" i="64"/>
  <c r="B110" i="64"/>
  <c r="E61" i="67" l="1"/>
  <c r="F61" i="67" s="1"/>
  <c r="F100" i="67" s="1"/>
  <c r="F118" i="67" s="1"/>
  <c r="F134" i="67" s="1"/>
  <c r="F183" i="67" s="1"/>
  <c r="C100" i="67"/>
  <c r="C118" i="67" s="1"/>
  <c r="C134" i="67" s="1"/>
  <c r="C183" i="67" s="1"/>
  <c r="D183" i="67"/>
  <c r="D162" i="67"/>
  <c r="D238" i="45"/>
  <c r="C240" i="45" s="1"/>
  <c r="D245" i="45"/>
  <c r="C247" i="45" s="1"/>
  <c r="E82" i="63"/>
  <c r="E83" i="63"/>
  <c r="E84" i="63"/>
  <c r="E85" i="63"/>
  <c r="E86" i="63"/>
  <c r="E87" i="63"/>
  <c r="H161" i="3"/>
  <c r="H162" i="3"/>
  <c r="E21" i="5"/>
  <c r="G21" i="5" s="1"/>
  <c r="E20" i="5"/>
  <c r="E19" i="5"/>
  <c r="G19" i="5" s="1"/>
  <c r="E18" i="5"/>
  <c r="G18" i="5" s="1"/>
  <c r="U111" i="2"/>
  <c r="U112" i="2"/>
  <c r="U113" i="2"/>
  <c r="U114" i="2"/>
  <c r="U115" i="2"/>
  <c r="U116" i="2"/>
  <c r="U117" i="2"/>
  <c r="U118" i="2"/>
  <c r="U119" i="2"/>
  <c r="U120" i="2"/>
  <c r="F162" i="67" l="1"/>
  <c r="G61" i="67"/>
  <c r="G100" i="67" s="1"/>
  <c r="G118" i="67" s="1"/>
  <c r="G134" i="67" s="1"/>
  <c r="G162" i="67" s="1"/>
  <c r="E100" i="67"/>
  <c r="E118" i="67" s="1"/>
  <c r="E134" i="67" s="1"/>
  <c r="E162" i="67" s="1"/>
  <c r="C162" i="67"/>
  <c r="C241" i="45"/>
  <c r="H61" i="67" l="1"/>
  <c r="H100" i="67" s="1"/>
  <c r="H118" i="67" s="1"/>
  <c r="H134" i="67" s="1"/>
  <c r="H183" i="67" s="1"/>
  <c r="G183" i="67"/>
  <c r="E183" i="67"/>
  <c r="C242" i="45"/>
  <c r="I248" i="45"/>
  <c r="D193" i="45"/>
  <c r="C196" i="45" s="1"/>
  <c r="C195" i="45"/>
  <c r="F45" i="32"/>
  <c r="D43" i="45"/>
  <c r="C46" i="45" s="1"/>
  <c r="E47" i="45"/>
  <c r="H162" i="67" l="1"/>
  <c r="I61" i="67"/>
  <c r="C47" i="45"/>
  <c r="C18" i="49" l="1"/>
  <c r="C409" i="47"/>
  <c r="J61" i="67"/>
  <c r="I100" i="67"/>
  <c r="I118" i="67" s="1"/>
  <c r="I134" i="67" s="1"/>
  <c r="C84" i="49"/>
  <c r="C81" i="40"/>
  <c r="C47" i="40"/>
  <c r="C50" i="49"/>
  <c r="C15" i="40"/>
  <c r="C224" i="52"/>
  <c r="I162" i="67" l="1"/>
  <c r="I183" i="67"/>
  <c r="K61" i="67"/>
  <c r="J100" i="67"/>
  <c r="J118" i="67" s="1"/>
  <c r="J134" i="67" s="1"/>
  <c r="D17" i="56"/>
  <c r="D15" i="57" s="1"/>
  <c r="D16" i="57" s="1"/>
  <c r="E17" i="56"/>
  <c r="E15" i="57" s="1"/>
  <c r="E16" i="57" s="1"/>
  <c r="F17" i="56"/>
  <c r="F15" i="57" s="1"/>
  <c r="F16" i="57" s="1"/>
  <c r="G17" i="56"/>
  <c r="G15" i="57" s="1"/>
  <c r="G16" i="57" s="1"/>
  <c r="H17" i="56"/>
  <c r="H15" i="57" s="1"/>
  <c r="H16" i="57" s="1"/>
  <c r="I17" i="56"/>
  <c r="I15" i="57" s="1"/>
  <c r="I16" i="57" s="1"/>
  <c r="J17" i="56"/>
  <c r="J15" i="57" s="1"/>
  <c r="J16" i="57" s="1"/>
  <c r="K17" i="56"/>
  <c r="K15" i="57" s="1"/>
  <c r="K16" i="57" s="1"/>
  <c r="L17" i="56"/>
  <c r="L15" i="57" s="1"/>
  <c r="L16" i="57" s="1"/>
  <c r="M17" i="56"/>
  <c r="M15" i="57" s="1"/>
  <c r="M16" i="57" s="1"/>
  <c r="N17" i="56"/>
  <c r="N15" i="57" s="1"/>
  <c r="N16" i="57" s="1"/>
  <c r="O17" i="56"/>
  <c r="O15" i="57" s="1"/>
  <c r="O16" i="57" s="1"/>
  <c r="D18" i="56"/>
  <c r="E18" i="56"/>
  <c r="F18" i="56"/>
  <c r="G18" i="56"/>
  <c r="H18" i="56"/>
  <c r="I18" i="56"/>
  <c r="J18" i="56"/>
  <c r="K18" i="56"/>
  <c r="L18" i="56"/>
  <c r="M18" i="56"/>
  <c r="N18" i="56"/>
  <c r="O18" i="56"/>
  <c r="D13" i="35"/>
  <c r="D13" i="41" s="1"/>
  <c r="D14" i="41" s="1"/>
  <c r="E13" i="35"/>
  <c r="E14" i="35" s="1"/>
  <c r="F13" i="35"/>
  <c r="F13" i="41" s="1"/>
  <c r="F14" i="41" s="1"/>
  <c r="G13" i="35"/>
  <c r="G13" i="41" s="1"/>
  <c r="G14" i="41" s="1"/>
  <c r="H13" i="35"/>
  <c r="H13" i="41" s="1"/>
  <c r="H14" i="41" s="1"/>
  <c r="I13" i="35"/>
  <c r="I14" i="35" s="1"/>
  <c r="J13" i="35"/>
  <c r="J13" i="41" s="1"/>
  <c r="J14" i="41" s="1"/>
  <c r="K13" i="35"/>
  <c r="K13" i="41" s="1"/>
  <c r="K14" i="41" s="1"/>
  <c r="L13" i="35"/>
  <c r="L13" i="41" s="1"/>
  <c r="L14" i="41" s="1"/>
  <c r="M13" i="35"/>
  <c r="M14" i="35" s="1"/>
  <c r="N13" i="35"/>
  <c r="N13" i="41" s="1"/>
  <c r="N14" i="41" s="1"/>
  <c r="O13" i="35"/>
  <c r="O13" i="41" s="1"/>
  <c r="O14" i="41" s="1"/>
  <c r="L14" i="35" l="1"/>
  <c r="M13" i="41"/>
  <c r="M14" i="41" s="1"/>
  <c r="I13" i="41"/>
  <c r="I14" i="41" s="1"/>
  <c r="E13" i="41"/>
  <c r="E14" i="41" s="1"/>
  <c r="H14" i="35"/>
  <c r="D14" i="35"/>
  <c r="O14" i="35"/>
  <c r="K14" i="35"/>
  <c r="G14" i="35"/>
  <c r="F14" i="35"/>
  <c r="N14" i="35"/>
  <c r="J14" i="35"/>
  <c r="J183" i="67"/>
  <c r="J162" i="67"/>
  <c r="L61" i="67"/>
  <c r="K100" i="67"/>
  <c r="K118" i="67" s="1"/>
  <c r="K134" i="67" s="1"/>
  <c r="I43" i="32"/>
  <c r="K183" i="67" l="1"/>
  <c r="K162" i="67"/>
  <c r="M61" i="67"/>
  <c r="L100" i="67"/>
  <c r="L118" i="67" s="1"/>
  <c r="L134" i="67" s="1"/>
  <c r="B66" i="64"/>
  <c r="L183" i="67" l="1"/>
  <c r="L162" i="67"/>
  <c r="N61" i="67"/>
  <c r="M100" i="67"/>
  <c r="M118" i="67" s="1"/>
  <c r="M134" i="67" s="1"/>
  <c r="C6" i="37"/>
  <c r="C41" i="37" s="1"/>
  <c r="C7" i="52"/>
  <c r="D54" i="63"/>
  <c r="C66" i="64" s="1"/>
  <c r="AQ103" i="44"/>
  <c r="AR103" i="44"/>
  <c r="AS103" i="44"/>
  <c r="AT103" i="44"/>
  <c r="AU103" i="44"/>
  <c r="AV103" i="44"/>
  <c r="AW103" i="44"/>
  <c r="AX103" i="44"/>
  <c r="AY103" i="44"/>
  <c r="AZ103" i="44"/>
  <c r="BA103" i="44"/>
  <c r="BB103" i="44"/>
  <c r="AQ104" i="44"/>
  <c r="AR104" i="44"/>
  <c r="AS104" i="44"/>
  <c r="AT104" i="44"/>
  <c r="AU104" i="44"/>
  <c r="AV104" i="44"/>
  <c r="AW104" i="44"/>
  <c r="AX104" i="44"/>
  <c r="AY104" i="44"/>
  <c r="AZ104" i="44"/>
  <c r="BA104" i="44"/>
  <c r="BB104" i="44"/>
  <c r="AQ105" i="44"/>
  <c r="AR105" i="44"/>
  <c r="AS105" i="44"/>
  <c r="AT105" i="44"/>
  <c r="AU105" i="44"/>
  <c r="AV105" i="44"/>
  <c r="AW105" i="44"/>
  <c r="AX105" i="44"/>
  <c r="AY105" i="44"/>
  <c r="AZ105" i="44"/>
  <c r="BA105" i="44"/>
  <c r="BB105" i="44"/>
  <c r="AQ106" i="44"/>
  <c r="AR106" i="44"/>
  <c r="AS106" i="44"/>
  <c r="AT106" i="44"/>
  <c r="AU106" i="44"/>
  <c r="AV106" i="44"/>
  <c r="AW106" i="44"/>
  <c r="AX106" i="44"/>
  <c r="AY106" i="44"/>
  <c r="AZ106" i="44"/>
  <c r="BA106" i="44"/>
  <c r="BB106" i="44"/>
  <c r="AQ107" i="44"/>
  <c r="AR107" i="44"/>
  <c r="AS107" i="44"/>
  <c r="AT107" i="44"/>
  <c r="AU107" i="44"/>
  <c r="AV107" i="44"/>
  <c r="AW107" i="44"/>
  <c r="AX107" i="44"/>
  <c r="AY107" i="44"/>
  <c r="AZ107" i="44"/>
  <c r="BA107" i="44"/>
  <c r="BB107" i="44"/>
  <c r="AQ108" i="44"/>
  <c r="AR108" i="44"/>
  <c r="AS108" i="44"/>
  <c r="AT108" i="44"/>
  <c r="AU108" i="44"/>
  <c r="AV108" i="44"/>
  <c r="AW108" i="44"/>
  <c r="AX108" i="44"/>
  <c r="AY108" i="44"/>
  <c r="AZ108" i="44"/>
  <c r="BA108" i="44"/>
  <c r="BB108" i="44"/>
  <c r="AQ109" i="44"/>
  <c r="AR109" i="44"/>
  <c r="AS109" i="44"/>
  <c r="AT109" i="44"/>
  <c r="AU109" i="44"/>
  <c r="AV109" i="44"/>
  <c r="AW109" i="44"/>
  <c r="AX109" i="44"/>
  <c r="AY109" i="44"/>
  <c r="AZ109" i="44"/>
  <c r="BA109" i="44"/>
  <c r="BB109" i="44"/>
  <c r="AQ110" i="44"/>
  <c r="AR110" i="44"/>
  <c r="AS110" i="44"/>
  <c r="AT110" i="44"/>
  <c r="AU110" i="44"/>
  <c r="AV110" i="44"/>
  <c r="AW110" i="44"/>
  <c r="AX110" i="44"/>
  <c r="AY110" i="44"/>
  <c r="AZ110" i="44"/>
  <c r="BA110" i="44"/>
  <c r="BB110" i="44"/>
  <c r="AQ111" i="44"/>
  <c r="AR111" i="44"/>
  <c r="AS111" i="44"/>
  <c r="AT111" i="44"/>
  <c r="AU111" i="44"/>
  <c r="AV111" i="44"/>
  <c r="AW111" i="44"/>
  <c r="AX111" i="44"/>
  <c r="AY111" i="44"/>
  <c r="AZ111" i="44"/>
  <c r="BA111" i="44"/>
  <c r="BB111" i="44"/>
  <c r="AQ112" i="44"/>
  <c r="AR112" i="44"/>
  <c r="AS112" i="44"/>
  <c r="AT112" i="44"/>
  <c r="AU112" i="44"/>
  <c r="AV112" i="44"/>
  <c r="AW112" i="44"/>
  <c r="AX112" i="44"/>
  <c r="AY112" i="44"/>
  <c r="AZ112" i="44"/>
  <c r="BA112" i="44"/>
  <c r="BB112" i="44"/>
  <c r="AQ113" i="44"/>
  <c r="AR113" i="44"/>
  <c r="AS113" i="44"/>
  <c r="AT113" i="44"/>
  <c r="AU113" i="44"/>
  <c r="AV113" i="44"/>
  <c r="AW113" i="44"/>
  <c r="AX113" i="44"/>
  <c r="AY113" i="44"/>
  <c r="AZ113" i="44"/>
  <c r="BA113" i="44"/>
  <c r="BB113" i="44"/>
  <c r="AQ114" i="44"/>
  <c r="AR114" i="44"/>
  <c r="AS114" i="44"/>
  <c r="AT114" i="44"/>
  <c r="AU114" i="44"/>
  <c r="AV114" i="44"/>
  <c r="AW114" i="44"/>
  <c r="AX114" i="44"/>
  <c r="AY114" i="44"/>
  <c r="AZ114" i="44"/>
  <c r="BA114" i="44"/>
  <c r="BB114" i="44"/>
  <c r="AQ115" i="44"/>
  <c r="AR115" i="44"/>
  <c r="AS115" i="44"/>
  <c r="AT115" i="44"/>
  <c r="AU115" i="44"/>
  <c r="AV115" i="44"/>
  <c r="AW115" i="44"/>
  <c r="AX115" i="44"/>
  <c r="AY115" i="44"/>
  <c r="AZ115" i="44"/>
  <c r="BA115" i="44"/>
  <c r="BB115" i="44"/>
  <c r="AQ116" i="44"/>
  <c r="AR116" i="44"/>
  <c r="AS116" i="44"/>
  <c r="AT116" i="44"/>
  <c r="AU116" i="44"/>
  <c r="AV116" i="44"/>
  <c r="AW116" i="44"/>
  <c r="AX116" i="44"/>
  <c r="AY116" i="44"/>
  <c r="AZ116" i="44"/>
  <c r="BA116" i="44"/>
  <c r="BB116" i="44"/>
  <c r="AQ117" i="44"/>
  <c r="AR117" i="44"/>
  <c r="AS117" i="44"/>
  <c r="AT117" i="44"/>
  <c r="AU117" i="44"/>
  <c r="AV117" i="44"/>
  <c r="AW117" i="44"/>
  <c r="AX117" i="44"/>
  <c r="AY117" i="44"/>
  <c r="AZ117" i="44"/>
  <c r="BA117" i="44"/>
  <c r="BB117" i="44"/>
  <c r="AQ118" i="44"/>
  <c r="AR118" i="44"/>
  <c r="AS118" i="44"/>
  <c r="AT118" i="44"/>
  <c r="AU118" i="44"/>
  <c r="AV118" i="44"/>
  <c r="AW118" i="44"/>
  <c r="AX118" i="44"/>
  <c r="AY118" i="44"/>
  <c r="AZ118" i="44"/>
  <c r="BA118" i="44"/>
  <c r="BB118" i="44"/>
  <c r="AQ119" i="44"/>
  <c r="AR119" i="44"/>
  <c r="AS119" i="44"/>
  <c r="AT119" i="44"/>
  <c r="AU119" i="44"/>
  <c r="AV119" i="44"/>
  <c r="AW119" i="44"/>
  <c r="AX119" i="44"/>
  <c r="AY119" i="44"/>
  <c r="AZ119" i="44"/>
  <c r="BA119" i="44"/>
  <c r="BB119" i="44"/>
  <c r="AQ120" i="44"/>
  <c r="AR120" i="44"/>
  <c r="AS120" i="44"/>
  <c r="AT120" i="44"/>
  <c r="AU120" i="44"/>
  <c r="AV120" i="44"/>
  <c r="AW120" i="44"/>
  <c r="AX120" i="44"/>
  <c r="AY120" i="44"/>
  <c r="AZ120" i="44"/>
  <c r="BA120" i="44"/>
  <c r="BB120" i="44"/>
  <c r="BB175" i="19"/>
  <c r="BC175" i="19"/>
  <c r="AR175" i="19"/>
  <c r="AS175" i="19"/>
  <c r="AT175" i="19"/>
  <c r="AU175" i="19"/>
  <c r="AV175" i="19"/>
  <c r="AW175" i="19"/>
  <c r="AX175" i="19"/>
  <c r="AY175" i="19"/>
  <c r="AZ175" i="19"/>
  <c r="BA175" i="19"/>
  <c r="BC77" i="19"/>
  <c r="AR77" i="19"/>
  <c r="AS77" i="19"/>
  <c r="AT77" i="19"/>
  <c r="AU77" i="19"/>
  <c r="AV77" i="19"/>
  <c r="AW77" i="19"/>
  <c r="AX77" i="19"/>
  <c r="AY77" i="19"/>
  <c r="AZ77" i="19"/>
  <c r="BA77" i="19"/>
  <c r="BB77" i="19"/>
  <c r="BB26" i="19"/>
  <c r="BC26" i="19"/>
  <c r="BD26" i="19"/>
  <c r="BB27" i="19"/>
  <c r="BC27" i="19"/>
  <c r="BD27" i="19"/>
  <c r="BB33" i="19"/>
  <c r="BC33" i="19"/>
  <c r="BD33" i="19"/>
  <c r="BB35" i="19"/>
  <c r="BC35" i="19"/>
  <c r="BD35" i="19"/>
  <c r="BB39" i="19"/>
  <c r="BC39" i="19"/>
  <c r="BD39" i="19"/>
  <c r="BB40" i="19"/>
  <c r="BC40" i="19"/>
  <c r="BD40" i="19"/>
  <c r="BB41" i="19"/>
  <c r="BC41" i="19"/>
  <c r="BD41" i="19"/>
  <c r="BB42" i="19"/>
  <c r="BC42" i="19"/>
  <c r="BD42" i="19"/>
  <c r="BB43" i="19"/>
  <c r="BC43" i="19"/>
  <c r="BD43" i="19"/>
  <c r="BB44" i="19"/>
  <c r="BC44" i="19"/>
  <c r="BD44" i="19"/>
  <c r="BB45" i="19"/>
  <c r="BC45" i="19"/>
  <c r="BD45" i="19"/>
  <c r="BB46" i="19"/>
  <c r="BC46" i="19"/>
  <c r="BD46" i="19"/>
  <c r="BB47" i="19"/>
  <c r="BC47" i="19"/>
  <c r="BD47" i="19"/>
  <c r="BB48" i="19"/>
  <c r="BC48" i="19"/>
  <c r="BD48" i="19"/>
  <c r="BB49" i="19"/>
  <c r="BC49" i="19"/>
  <c r="BD49" i="19"/>
  <c r="BB50" i="19"/>
  <c r="BC50" i="19"/>
  <c r="BD50" i="19"/>
  <c r="BB51" i="19"/>
  <c r="BC51" i="19"/>
  <c r="BD51" i="19"/>
  <c r="BB52" i="19"/>
  <c r="BC52" i="19"/>
  <c r="BD52" i="19"/>
  <c r="BB53" i="19"/>
  <c r="BC53" i="19"/>
  <c r="BD53" i="19"/>
  <c r="BB54" i="19"/>
  <c r="BC54" i="19"/>
  <c r="BD54" i="19"/>
  <c r="BB55" i="19"/>
  <c r="BC55" i="19"/>
  <c r="BD55" i="19"/>
  <c r="BB56" i="19"/>
  <c r="BC56" i="19"/>
  <c r="BD56" i="19"/>
  <c r="BB57" i="19"/>
  <c r="BC57" i="19"/>
  <c r="BD57" i="19"/>
  <c r="BB58" i="19"/>
  <c r="BC58" i="19"/>
  <c r="BD58" i="19"/>
  <c r="BB59" i="19"/>
  <c r="BC59" i="19"/>
  <c r="BD59" i="19"/>
  <c r="BB60" i="19"/>
  <c r="BC60" i="19"/>
  <c r="BD60" i="19"/>
  <c r="BB62" i="19"/>
  <c r="BC62" i="19"/>
  <c r="BD62" i="19"/>
  <c r="BB63" i="19"/>
  <c r="BC63" i="19"/>
  <c r="BD63" i="19"/>
  <c r="BB64" i="19"/>
  <c r="BC64" i="19"/>
  <c r="BD64" i="19"/>
  <c r="BB65" i="19"/>
  <c r="BC65" i="19"/>
  <c r="BD65" i="19"/>
  <c r="BB66" i="19"/>
  <c r="BC66" i="19"/>
  <c r="BD66" i="19"/>
  <c r="AS26" i="19"/>
  <c r="AT26" i="19"/>
  <c r="AU26" i="19"/>
  <c r="AV26" i="19"/>
  <c r="AW26" i="19"/>
  <c r="AX26" i="19"/>
  <c r="AY26" i="19"/>
  <c r="AZ26" i="19"/>
  <c r="BA26" i="19"/>
  <c r="AS27" i="19"/>
  <c r="AT27" i="19"/>
  <c r="AU27" i="19"/>
  <c r="AV27" i="19"/>
  <c r="AW27" i="19"/>
  <c r="AX27" i="19"/>
  <c r="AY27" i="19"/>
  <c r="AZ27" i="19"/>
  <c r="BA27" i="19"/>
  <c r="AS33" i="19"/>
  <c r="AT33" i="19"/>
  <c r="AU33" i="19"/>
  <c r="AV33" i="19"/>
  <c r="AW33" i="19"/>
  <c r="AX33" i="19"/>
  <c r="AY33" i="19"/>
  <c r="AZ33" i="19"/>
  <c r="BA33" i="19"/>
  <c r="AS35" i="19"/>
  <c r="AT35" i="19"/>
  <c r="AU35" i="19"/>
  <c r="AV35" i="19"/>
  <c r="AW35" i="19"/>
  <c r="AX35" i="19"/>
  <c r="AY35" i="19"/>
  <c r="AZ35" i="19"/>
  <c r="BA35" i="19"/>
  <c r="AS39" i="19"/>
  <c r="AT39" i="19"/>
  <c r="AU39" i="19"/>
  <c r="AV39" i="19"/>
  <c r="AW39" i="19"/>
  <c r="AX39" i="19"/>
  <c r="AY39" i="19"/>
  <c r="AZ39" i="19"/>
  <c r="BA39" i="19"/>
  <c r="AS40" i="19"/>
  <c r="AT40" i="19"/>
  <c r="AU40" i="19"/>
  <c r="AV40" i="19"/>
  <c r="AW40" i="19"/>
  <c r="AX40" i="19"/>
  <c r="AY40" i="19"/>
  <c r="AZ40" i="19"/>
  <c r="BA40" i="19"/>
  <c r="AS41" i="19"/>
  <c r="AT41" i="19"/>
  <c r="AU41" i="19"/>
  <c r="AV41" i="19"/>
  <c r="AW41" i="19"/>
  <c r="AX41" i="19"/>
  <c r="AY41" i="19"/>
  <c r="AZ41" i="19"/>
  <c r="BA41" i="19"/>
  <c r="AS42" i="19"/>
  <c r="AT42" i="19"/>
  <c r="AU42" i="19"/>
  <c r="AV42" i="19"/>
  <c r="AW42" i="19"/>
  <c r="AX42" i="19"/>
  <c r="AY42" i="19"/>
  <c r="AZ42" i="19"/>
  <c r="BA42" i="19"/>
  <c r="AS43" i="19"/>
  <c r="AT43" i="19"/>
  <c r="AU43" i="19"/>
  <c r="AV43" i="19"/>
  <c r="AW43" i="19"/>
  <c r="AX43" i="19"/>
  <c r="AY43" i="19"/>
  <c r="AZ43" i="19"/>
  <c r="BA43" i="19"/>
  <c r="AS44" i="19"/>
  <c r="AT44" i="19"/>
  <c r="AU44" i="19"/>
  <c r="AV44" i="19"/>
  <c r="AW44" i="19"/>
  <c r="AX44" i="19"/>
  <c r="AY44" i="19"/>
  <c r="AZ44" i="19"/>
  <c r="BA44" i="19"/>
  <c r="AS45" i="19"/>
  <c r="AT45" i="19"/>
  <c r="AU45" i="19"/>
  <c r="AV45" i="19"/>
  <c r="AW45" i="19"/>
  <c r="AX45" i="19"/>
  <c r="AY45" i="19"/>
  <c r="AZ45" i="19"/>
  <c r="BA45" i="19"/>
  <c r="AS46" i="19"/>
  <c r="AT46" i="19"/>
  <c r="AU46" i="19"/>
  <c r="AV46" i="19"/>
  <c r="AW46" i="19"/>
  <c r="AX46" i="19"/>
  <c r="AY46" i="19"/>
  <c r="AZ46" i="19"/>
  <c r="BA46" i="19"/>
  <c r="AS47" i="19"/>
  <c r="AT47" i="19"/>
  <c r="AU47" i="19"/>
  <c r="AV47" i="19"/>
  <c r="AW47" i="19"/>
  <c r="AX47" i="19"/>
  <c r="AY47" i="19"/>
  <c r="AZ47" i="19"/>
  <c r="BA47" i="19"/>
  <c r="AS48" i="19"/>
  <c r="AT48" i="19"/>
  <c r="AU48" i="19"/>
  <c r="AV48" i="19"/>
  <c r="AW48" i="19"/>
  <c r="AX48" i="19"/>
  <c r="AY48" i="19"/>
  <c r="AZ48" i="19"/>
  <c r="BA48" i="19"/>
  <c r="AS49" i="19"/>
  <c r="AT49" i="19"/>
  <c r="AU49" i="19"/>
  <c r="AV49" i="19"/>
  <c r="AW49" i="19"/>
  <c r="AX49" i="19"/>
  <c r="AY49" i="19"/>
  <c r="AZ49" i="19"/>
  <c r="BA49" i="19"/>
  <c r="AS50" i="19"/>
  <c r="AT50" i="19"/>
  <c r="AU50" i="19"/>
  <c r="AV50" i="19"/>
  <c r="AW50" i="19"/>
  <c r="AX50" i="19"/>
  <c r="AY50" i="19"/>
  <c r="AZ50" i="19"/>
  <c r="BA50" i="19"/>
  <c r="AS51" i="19"/>
  <c r="AT51" i="19"/>
  <c r="AU51" i="19"/>
  <c r="AV51" i="19"/>
  <c r="AW51" i="19"/>
  <c r="AX51" i="19"/>
  <c r="AY51" i="19"/>
  <c r="AZ51" i="19"/>
  <c r="BA51" i="19"/>
  <c r="AS52" i="19"/>
  <c r="AT52" i="19"/>
  <c r="AU52" i="19"/>
  <c r="AV52" i="19"/>
  <c r="AW52" i="19"/>
  <c r="AX52" i="19"/>
  <c r="AY52" i="19"/>
  <c r="AZ52" i="19"/>
  <c r="BA52" i="19"/>
  <c r="AS53" i="19"/>
  <c r="AT53" i="19"/>
  <c r="AU53" i="19"/>
  <c r="AV53" i="19"/>
  <c r="AW53" i="19"/>
  <c r="AX53" i="19"/>
  <c r="AY53" i="19"/>
  <c r="AZ53" i="19"/>
  <c r="BA53" i="19"/>
  <c r="AS54" i="19"/>
  <c r="AT54" i="19"/>
  <c r="AU54" i="19"/>
  <c r="AV54" i="19"/>
  <c r="AW54" i="19"/>
  <c r="AX54" i="19"/>
  <c r="AY54" i="19"/>
  <c r="AZ54" i="19"/>
  <c r="BA54" i="19"/>
  <c r="AS55" i="19"/>
  <c r="AT55" i="19"/>
  <c r="AU55" i="19"/>
  <c r="AV55" i="19"/>
  <c r="AW55" i="19"/>
  <c r="AX55" i="19"/>
  <c r="AY55" i="19"/>
  <c r="AZ55" i="19"/>
  <c r="BA55" i="19"/>
  <c r="AS56" i="19"/>
  <c r="AT56" i="19"/>
  <c r="AU56" i="19"/>
  <c r="AV56" i="19"/>
  <c r="AW56" i="19"/>
  <c r="AX56" i="19"/>
  <c r="AY56" i="19"/>
  <c r="AZ56" i="19"/>
  <c r="BA56" i="19"/>
  <c r="AS57" i="19"/>
  <c r="AT57" i="19"/>
  <c r="AU57" i="19"/>
  <c r="AV57" i="19"/>
  <c r="AW57" i="19"/>
  <c r="AX57" i="19"/>
  <c r="AY57" i="19"/>
  <c r="AZ57" i="19"/>
  <c r="BA57" i="19"/>
  <c r="AS58" i="19"/>
  <c r="AT58" i="19"/>
  <c r="AU58" i="19"/>
  <c r="AV58" i="19"/>
  <c r="AW58" i="19"/>
  <c r="AX58" i="19"/>
  <c r="AY58" i="19"/>
  <c r="AZ58" i="19"/>
  <c r="BA58" i="19"/>
  <c r="AS59" i="19"/>
  <c r="AT59" i="19"/>
  <c r="AU59" i="19"/>
  <c r="AV59" i="19"/>
  <c r="AW59" i="19"/>
  <c r="AX59" i="19"/>
  <c r="AY59" i="19"/>
  <c r="AZ59" i="19"/>
  <c r="BA59" i="19"/>
  <c r="AS60" i="19"/>
  <c r="AT60" i="19"/>
  <c r="AU60" i="19"/>
  <c r="AV60" i="19"/>
  <c r="AW60" i="19"/>
  <c r="AX60" i="19"/>
  <c r="AY60" i="19"/>
  <c r="AZ60" i="19"/>
  <c r="BA60" i="19"/>
  <c r="AS62" i="19"/>
  <c r="AT62" i="19"/>
  <c r="AU62" i="19"/>
  <c r="AV62" i="19"/>
  <c r="AW62" i="19"/>
  <c r="AX62" i="19"/>
  <c r="AY62" i="19"/>
  <c r="AZ62" i="19"/>
  <c r="BA62" i="19"/>
  <c r="AS63" i="19"/>
  <c r="AT63" i="19"/>
  <c r="AU63" i="19"/>
  <c r="AV63" i="19"/>
  <c r="AW63" i="19"/>
  <c r="AX63" i="19"/>
  <c r="AY63" i="19"/>
  <c r="AZ63" i="19"/>
  <c r="BA63" i="19"/>
  <c r="AS64" i="19"/>
  <c r="AT64" i="19"/>
  <c r="AU64" i="19"/>
  <c r="AV64" i="19"/>
  <c r="AW64" i="19"/>
  <c r="AX64" i="19"/>
  <c r="AY64" i="19"/>
  <c r="AZ64" i="19"/>
  <c r="BA64" i="19"/>
  <c r="AS65" i="19"/>
  <c r="AT65" i="19"/>
  <c r="AU65" i="19"/>
  <c r="AV65" i="19"/>
  <c r="AW65" i="19"/>
  <c r="AX65" i="19"/>
  <c r="AY65" i="19"/>
  <c r="AZ65" i="19"/>
  <c r="BA65" i="19"/>
  <c r="AS66" i="19"/>
  <c r="AT66" i="19"/>
  <c r="AU66" i="19"/>
  <c r="AV66" i="19"/>
  <c r="AW66" i="19"/>
  <c r="AX66" i="19"/>
  <c r="AY66" i="19"/>
  <c r="AZ66" i="19"/>
  <c r="BA66" i="19"/>
  <c r="BC28" i="19"/>
  <c r="BD38" i="19"/>
  <c r="AS37" i="19"/>
  <c r="AT61" i="19"/>
  <c r="AU29" i="19"/>
  <c r="AV34" i="19"/>
  <c r="AW30" i="19"/>
  <c r="AX29" i="19"/>
  <c r="AY29" i="19"/>
  <c r="AZ67" i="19"/>
  <c r="BA38" i="19"/>
  <c r="D28" i="45"/>
  <c r="C84" i="5" s="1"/>
  <c r="C31" i="45" s="1"/>
  <c r="I86" i="5"/>
  <c r="I87" i="5"/>
  <c r="I89" i="5"/>
  <c r="I85" i="5"/>
  <c r="D188" i="45"/>
  <c r="D186" i="45"/>
  <c r="C411" i="47" s="1"/>
  <c r="D184" i="45"/>
  <c r="D182" i="45"/>
  <c r="D222" i="45"/>
  <c r="D215" i="45"/>
  <c r="C218" i="45" s="1"/>
  <c r="D168" i="45"/>
  <c r="C384" i="47" s="1"/>
  <c r="D158" i="45"/>
  <c r="D143" i="45"/>
  <c r="D133" i="45"/>
  <c r="C136" i="45" s="1"/>
  <c r="D94" i="45"/>
  <c r="D82" i="45"/>
  <c r="C444" i="47" l="1"/>
  <c r="C85" i="45"/>
  <c r="C88" i="45"/>
  <c r="I100" i="45" s="1"/>
  <c r="C100" i="45" s="1"/>
  <c r="O61" i="67"/>
  <c r="N100" i="67"/>
  <c r="N118" i="67" s="1"/>
  <c r="N134" i="67" s="1"/>
  <c r="M183" i="67"/>
  <c r="M162" i="67"/>
  <c r="C146" i="45"/>
  <c r="BA67" i="19"/>
  <c r="AY31" i="19"/>
  <c r="AY36" i="19"/>
  <c r="AS30" i="19"/>
  <c r="AW67" i="19"/>
  <c r="AS38" i="19"/>
  <c r="AW34" i="19"/>
  <c r="BC37" i="19"/>
  <c r="BC34" i="19"/>
  <c r="BC30" i="19"/>
  <c r="BA61" i="19"/>
  <c r="BA37" i="19"/>
  <c r="BC61" i="19"/>
  <c r="AV67" i="19"/>
  <c r="AT37" i="19"/>
  <c r="AY32" i="19"/>
  <c r="AU31" i="19"/>
  <c r="AU28" i="19"/>
  <c r="AU36" i="19"/>
  <c r="AV31" i="19"/>
  <c r="AY28" i="19"/>
  <c r="BC29" i="19"/>
  <c r="AU67" i="19"/>
  <c r="AY67" i="19"/>
  <c r="AS67" i="19"/>
  <c r="AS61" i="19"/>
  <c r="AZ38" i="19"/>
  <c r="AZ34" i="19"/>
  <c r="AU32" i="19"/>
  <c r="BC38" i="19"/>
  <c r="BB31" i="19"/>
  <c r="BB67" i="19"/>
  <c r="BB30" i="19"/>
  <c r="BB34" i="19"/>
  <c r="BB38" i="19"/>
  <c r="BB37" i="19"/>
  <c r="BB61" i="19"/>
  <c r="BB29" i="19"/>
  <c r="BB28" i="19"/>
  <c r="BB32" i="19"/>
  <c r="BB36" i="19"/>
  <c r="AT30" i="19"/>
  <c r="AT34" i="19"/>
  <c r="AT38" i="19"/>
  <c r="AT31" i="19"/>
  <c r="AT67" i="19"/>
  <c r="AT28" i="19"/>
  <c r="AT32" i="19"/>
  <c r="BA31" i="19"/>
  <c r="BA28" i="19"/>
  <c r="BA32" i="19"/>
  <c r="BA36" i="19"/>
  <c r="BA29" i="19"/>
  <c r="AW31" i="19"/>
  <c r="AW28" i="19"/>
  <c r="AW32" i="19"/>
  <c r="AW36" i="19"/>
  <c r="AW29" i="19"/>
  <c r="AS31" i="19"/>
  <c r="AS28" i="19"/>
  <c r="AS32" i="19"/>
  <c r="AS36" i="19"/>
  <c r="AS29" i="19"/>
  <c r="AX61" i="19"/>
  <c r="AW38" i="19"/>
  <c r="AX37" i="19"/>
  <c r="AX30" i="19"/>
  <c r="AX34" i="19"/>
  <c r="AX38" i="19"/>
  <c r="AX31" i="19"/>
  <c r="AX67" i="19"/>
  <c r="AX28" i="19"/>
  <c r="AX32" i="19"/>
  <c r="AT36" i="19"/>
  <c r="AZ28" i="19"/>
  <c r="AZ32" i="19"/>
  <c r="AZ36" i="19"/>
  <c r="AZ29" i="19"/>
  <c r="AZ37" i="19"/>
  <c r="AZ61" i="19"/>
  <c r="AZ30" i="19"/>
  <c r="AV28" i="19"/>
  <c r="AV32" i="19"/>
  <c r="AV36" i="19"/>
  <c r="AV29" i="19"/>
  <c r="AV37" i="19"/>
  <c r="AV61" i="19"/>
  <c r="AV30" i="19"/>
  <c r="BD29" i="19"/>
  <c r="BD37" i="19"/>
  <c r="BD61" i="19"/>
  <c r="BD28" i="19"/>
  <c r="BD32" i="19"/>
  <c r="BD36" i="19"/>
  <c r="BD31" i="19"/>
  <c r="BD67" i="19"/>
  <c r="BD30" i="19"/>
  <c r="BD34" i="19"/>
  <c r="AW61" i="19"/>
  <c r="AV38" i="19"/>
  <c r="AW37" i="19"/>
  <c r="AX36" i="19"/>
  <c r="BA34" i="19"/>
  <c r="AS34" i="19"/>
  <c r="AZ31" i="19"/>
  <c r="BA30" i="19"/>
  <c r="AT29" i="19"/>
  <c r="AY38" i="19"/>
  <c r="AU38" i="19"/>
  <c r="AY34" i="19"/>
  <c r="AU34" i="19"/>
  <c r="AY30" i="19"/>
  <c r="AU30" i="19"/>
  <c r="BC67" i="19"/>
  <c r="BC31" i="19"/>
  <c r="AY61" i="19"/>
  <c r="AU61" i="19"/>
  <c r="AY37" i="19"/>
  <c r="AU37" i="19"/>
  <c r="BC36" i="19"/>
  <c r="BC32" i="19"/>
  <c r="C89" i="5"/>
  <c r="C224" i="45"/>
  <c r="C219" i="45"/>
  <c r="C97" i="45"/>
  <c r="C89" i="45"/>
  <c r="I101" i="45" s="1"/>
  <c r="C101" i="45" s="1"/>
  <c r="N183" i="67" l="1"/>
  <c r="N162" i="67"/>
  <c r="P61" i="67"/>
  <c r="O100" i="67"/>
  <c r="O118" i="67" s="1"/>
  <c r="O134" i="67" s="1"/>
  <c r="C42" i="30"/>
  <c r="C36" i="45"/>
  <c r="I225" i="45"/>
  <c r="C225" i="45" s="1"/>
  <c r="C226" i="45" s="1"/>
  <c r="C220" i="45"/>
  <c r="C12" i="47"/>
  <c r="C312" i="63"/>
  <c r="C303" i="63"/>
  <c r="E81" i="63"/>
  <c r="N43" i="63"/>
  <c r="O183" i="67" l="1"/>
  <c r="O162" i="67"/>
  <c r="Q61" i="67"/>
  <c r="P100" i="67"/>
  <c r="P118" i="67" s="1"/>
  <c r="P134" i="67" s="1"/>
  <c r="S30" i="37"/>
  <c r="S31" i="37"/>
  <c r="S29" i="37"/>
  <c r="P183" i="67" l="1"/>
  <c r="P162" i="67"/>
  <c r="R61" i="67"/>
  <c r="Q100" i="67"/>
  <c r="Q118" i="67" s="1"/>
  <c r="Q134" i="67" s="1"/>
  <c r="C142" i="35"/>
  <c r="D142" i="35"/>
  <c r="D143" i="35"/>
  <c r="E143" i="35"/>
  <c r="C144" i="35"/>
  <c r="E144" i="35"/>
  <c r="C145" i="35"/>
  <c r="D145" i="35"/>
  <c r="C148" i="35"/>
  <c r="E148" i="35"/>
  <c r="C115" i="41"/>
  <c r="D115" i="41"/>
  <c r="D116" i="41"/>
  <c r="C117" i="41"/>
  <c r="C118" i="41"/>
  <c r="D118" i="41"/>
  <c r="C121" i="41"/>
  <c r="C149" i="56"/>
  <c r="D149" i="56"/>
  <c r="D150" i="56"/>
  <c r="E150" i="56"/>
  <c r="C151" i="56"/>
  <c r="E151" i="56"/>
  <c r="C152" i="56"/>
  <c r="D152" i="56"/>
  <c r="C155" i="56"/>
  <c r="E155" i="56"/>
  <c r="C120" i="57"/>
  <c r="C122" i="57"/>
  <c r="C123" i="57"/>
  <c r="C126" i="57"/>
  <c r="D120" i="57"/>
  <c r="D121" i="57"/>
  <c r="D123" i="57"/>
  <c r="Q183" i="67" l="1"/>
  <c r="Q162" i="67"/>
  <c r="S61" i="67"/>
  <c r="R100" i="67"/>
  <c r="R118" i="67" s="1"/>
  <c r="R134" i="67" s="1"/>
  <c r="D173" i="2"/>
  <c r="D189" i="2" s="1"/>
  <c r="E173" i="2"/>
  <c r="F173" i="2"/>
  <c r="G173" i="2"/>
  <c r="H173" i="2"/>
  <c r="I173" i="2"/>
  <c r="J173" i="2"/>
  <c r="K173" i="2"/>
  <c r="L173" i="2"/>
  <c r="M173" i="2"/>
  <c r="M189" i="2" s="1"/>
  <c r="N173" i="2"/>
  <c r="O173" i="2"/>
  <c r="P173" i="2"/>
  <c r="Q173" i="2"/>
  <c r="R173" i="2"/>
  <c r="S173" i="2"/>
  <c r="T173" i="2"/>
  <c r="U173" i="2"/>
  <c r="V173" i="2"/>
  <c r="W173" i="2"/>
  <c r="X173" i="2"/>
  <c r="Y173" i="2"/>
  <c r="Y189" i="2" s="1"/>
  <c r="Z173" i="2"/>
  <c r="AA173" i="2"/>
  <c r="AB173" i="2"/>
  <c r="AC173" i="2"/>
  <c r="AC189" i="2" s="1"/>
  <c r="AD173" i="2"/>
  <c r="AE173" i="2"/>
  <c r="AF173" i="2"/>
  <c r="AG173" i="2"/>
  <c r="AH173" i="2"/>
  <c r="AI173" i="2"/>
  <c r="AJ173" i="2"/>
  <c r="AK173" i="2"/>
  <c r="AL173" i="2"/>
  <c r="AM173" i="2"/>
  <c r="AN173" i="2"/>
  <c r="AO173" i="2"/>
  <c r="AO189" i="2" s="1"/>
  <c r="AP173" i="2"/>
  <c r="AQ173" i="2"/>
  <c r="AR173" i="2"/>
  <c r="D174" i="2"/>
  <c r="D190" i="2" s="1"/>
  <c r="E174" i="2"/>
  <c r="F174" i="2"/>
  <c r="G174" i="2"/>
  <c r="H174" i="2"/>
  <c r="H190" i="2" s="1"/>
  <c r="I174" i="2"/>
  <c r="J174" i="2"/>
  <c r="K174" i="2"/>
  <c r="L174" i="2"/>
  <c r="L190" i="2" s="1"/>
  <c r="M174" i="2"/>
  <c r="N174" i="2"/>
  <c r="O174" i="2"/>
  <c r="P174" i="2"/>
  <c r="P190" i="2" s="1"/>
  <c r="Q174" i="2"/>
  <c r="R174" i="2"/>
  <c r="S174" i="2"/>
  <c r="T174" i="2"/>
  <c r="T190" i="2" s="1"/>
  <c r="U174" i="2"/>
  <c r="V174" i="2"/>
  <c r="W174" i="2"/>
  <c r="X174" i="2"/>
  <c r="X190" i="2" s="1"/>
  <c r="Y174" i="2"/>
  <c r="Z174" i="2"/>
  <c r="AA174" i="2"/>
  <c r="AB174" i="2"/>
  <c r="AB190" i="2" s="1"/>
  <c r="AC174" i="2"/>
  <c r="AD174" i="2"/>
  <c r="AE174" i="2"/>
  <c r="AF174" i="2"/>
  <c r="AF190" i="2" s="1"/>
  <c r="AG174" i="2"/>
  <c r="AH174" i="2"/>
  <c r="AI174" i="2"/>
  <c r="AJ174" i="2"/>
  <c r="AJ190" i="2" s="1"/>
  <c r="AK174" i="2"/>
  <c r="AL174" i="2"/>
  <c r="AM174" i="2"/>
  <c r="AN174" i="2"/>
  <c r="AO174" i="2"/>
  <c r="AP174" i="2"/>
  <c r="AQ174" i="2"/>
  <c r="AR174" i="2"/>
  <c r="D175" i="2"/>
  <c r="D191" i="2" s="1"/>
  <c r="E175" i="2"/>
  <c r="F175" i="2"/>
  <c r="G175" i="2"/>
  <c r="H175" i="2"/>
  <c r="I175" i="2"/>
  <c r="J175" i="2"/>
  <c r="K175" i="2"/>
  <c r="L175" i="2"/>
  <c r="M175" i="2"/>
  <c r="N175" i="2"/>
  <c r="O175" i="2"/>
  <c r="P175" i="2"/>
  <c r="Q175" i="2"/>
  <c r="R175" i="2"/>
  <c r="S175" i="2"/>
  <c r="T175" i="2"/>
  <c r="U175" i="2"/>
  <c r="V175" i="2"/>
  <c r="W175" i="2"/>
  <c r="X175" i="2"/>
  <c r="Y175" i="2"/>
  <c r="Z175" i="2"/>
  <c r="AA175" i="2"/>
  <c r="AB175" i="2"/>
  <c r="AC175" i="2"/>
  <c r="AD175" i="2"/>
  <c r="AE175" i="2"/>
  <c r="AF175" i="2"/>
  <c r="AG175" i="2"/>
  <c r="AH175" i="2"/>
  <c r="AI175" i="2"/>
  <c r="AJ175" i="2"/>
  <c r="AK175" i="2"/>
  <c r="AL175" i="2"/>
  <c r="AM175" i="2"/>
  <c r="AN175" i="2"/>
  <c r="AO175" i="2"/>
  <c r="AP175" i="2"/>
  <c r="AQ175" i="2"/>
  <c r="AR175" i="2"/>
  <c r="D176" i="2"/>
  <c r="D192" i="2" s="1"/>
  <c r="E176" i="2"/>
  <c r="F176" i="2"/>
  <c r="G176" i="2"/>
  <c r="H176" i="2"/>
  <c r="I176" i="2"/>
  <c r="J176" i="2"/>
  <c r="K176" i="2"/>
  <c r="L176" i="2"/>
  <c r="M176" i="2"/>
  <c r="N176" i="2"/>
  <c r="O176" i="2"/>
  <c r="P176" i="2"/>
  <c r="Q176" i="2"/>
  <c r="R176" i="2"/>
  <c r="S176" i="2"/>
  <c r="T176" i="2"/>
  <c r="U176" i="2"/>
  <c r="V176" i="2"/>
  <c r="W176" i="2"/>
  <c r="X176" i="2"/>
  <c r="Y176" i="2"/>
  <c r="Z176" i="2"/>
  <c r="AA176" i="2"/>
  <c r="AB176" i="2"/>
  <c r="AC176" i="2"/>
  <c r="AD176" i="2"/>
  <c r="AE176" i="2"/>
  <c r="AF176" i="2"/>
  <c r="AG176" i="2"/>
  <c r="AH176" i="2"/>
  <c r="AI176" i="2"/>
  <c r="AJ176" i="2"/>
  <c r="AK176" i="2"/>
  <c r="AL176" i="2"/>
  <c r="AM176" i="2"/>
  <c r="AN176" i="2"/>
  <c r="AO176" i="2"/>
  <c r="AP176" i="2"/>
  <c r="AQ176" i="2"/>
  <c r="AR176" i="2"/>
  <c r="D177" i="2"/>
  <c r="D193" i="2" s="1"/>
  <c r="E177" i="2"/>
  <c r="F177" i="2"/>
  <c r="G177" i="2"/>
  <c r="H177" i="2"/>
  <c r="I177" i="2"/>
  <c r="J177" i="2"/>
  <c r="K177" i="2"/>
  <c r="L177" i="2"/>
  <c r="M177" i="2"/>
  <c r="N177" i="2"/>
  <c r="O177" i="2"/>
  <c r="P177" i="2"/>
  <c r="Q177" i="2"/>
  <c r="R177" i="2"/>
  <c r="S177" i="2"/>
  <c r="T177" i="2"/>
  <c r="U177" i="2"/>
  <c r="V177" i="2"/>
  <c r="W177" i="2"/>
  <c r="X177" i="2"/>
  <c r="Y177" i="2"/>
  <c r="Z177" i="2"/>
  <c r="AA177" i="2"/>
  <c r="AB177" i="2"/>
  <c r="AC177" i="2"/>
  <c r="AD177" i="2"/>
  <c r="AE177" i="2"/>
  <c r="AF177" i="2"/>
  <c r="AG177" i="2"/>
  <c r="AH177" i="2"/>
  <c r="AI177" i="2"/>
  <c r="AJ177" i="2"/>
  <c r="AK177" i="2"/>
  <c r="AL177" i="2"/>
  <c r="AM177" i="2"/>
  <c r="AN177" i="2"/>
  <c r="AO177" i="2"/>
  <c r="AP177" i="2"/>
  <c r="AQ177" i="2"/>
  <c r="AR177" i="2"/>
  <c r="D178" i="2"/>
  <c r="D194" i="2" s="1"/>
  <c r="E178" i="2"/>
  <c r="F178" i="2"/>
  <c r="G178" i="2"/>
  <c r="H178" i="2"/>
  <c r="I178" i="2"/>
  <c r="J178" i="2"/>
  <c r="K178" i="2"/>
  <c r="L178" i="2"/>
  <c r="M178" i="2"/>
  <c r="N178" i="2"/>
  <c r="O178" i="2"/>
  <c r="P178" i="2"/>
  <c r="Q194" i="2" s="1"/>
  <c r="Q178" i="2"/>
  <c r="R178" i="2"/>
  <c r="S178" i="2"/>
  <c r="T178" i="2"/>
  <c r="U178" i="2"/>
  <c r="V178" i="2"/>
  <c r="W178" i="2"/>
  <c r="X178" i="2"/>
  <c r="Y178" i="2"/>
  <c r="Z178" i="2"/>
  <c r="AA178" i="2"/>
  <c r="AB178" i="2"/>
  <c r="AC178" i="2"/>
  <c r="AD178" i="2"/>
  <c r="AE178" i="2"/>
  <c r="AF178" i="2"/>
  <c r="AG178" i="2"/>
  <c r="AH178" i="2"/>
  <c r="AI178" i="2"/>
  <c r="AJ178" i="2"/>
  <c r="AK178" i="2"/>
  <c r="AL178" i="2"/>
  <c r="AM178" i="2"/>
  <c r="AN178" i="2"/>
  <c r="AO178" i="2"/>
  <c r="AP178" i="2"/>
  <c r="AQ178" i="2"/>
  <c r="AR178" i="2"/>
  <c r="D179" i="2"/>
  <c r="D195" i="2" s="1"/>
  <c r="E179" i="2"/>
  <c r="F179" i="2"/>
  <c r="G179" i="2"/>
  <c r="H179" i="2"/>
  <c r="I179" i="2"/>
  <c r="J179" i="2"/>
  <c r="K179" i="2"/>
  <c r="L179" i="2"/>
  <c r="M179" i="2"/>
  <c r="N179" i="2"/>
  <c r="O179" i="2"/>
  <c r="P179" i="2"/>
  <c r="Q179" i="2"/>
  <c r="R179" i="2"/>
  <c r="S179" i="2"/>
  <c r="T179" i="2"/>
  <c r="U179" i="2"/>
  <c r="V179" i="2"/>
  <c r="W179" i="2"/>
  <c r="X179" i="2"/>
  <c r="Y179" i="2"/>
  <c r="Z179" i="2"/>
  <c r="AA179" i="2"/>
  <c r="AB179" i="2"/>
  <c r="AC179" i="2"/>
  <c r="AD179" i="2"/>
  <c r="AE179" i="2"/>
  <c r="AF179" i="2"/>
  <c r="AG179" i="2"/>
  <c r="AH179" i="2"/>
  <c r="AI179" i="2"/>
  <c r="AJ179" i="2"/>
  <c r="AK179" i="2"/>
  <c r="AL179" i="2"/>
  <c r="AM179" i="2"/>
  <c r="AN179" i="2"/>
  <c r="AO179" i="2"/>
  <c r="AP179" i="2"/>
  <c r="AQ179" i="2"/>
  <c r="AR179" i="2"/>
  <c r="D180" i="2"/>
  <c r="D196" i="2" s="1"/>
  <c r="E180" i="2"/>
  <c r="F180" i="2"/>
  <c r="G180" i="2"/>
  <c r="H180" i="2"/>
  <c r="I180" i="2"/>
  <c r="J180" i="2"/>
  <c r="K180" i="2"/>
  <c r="L180" i="2"/>
  <c r="M180" i="2"/>
  <c r="N180" i="2"/>
  <c r="O180" i="2"/>
  <c r="P180" i="2"/>
  <c r="Q180" i="2"/>
  <c r="R180" i="2"/>
  <c r="S180" i="2"/>
  <c r="T180" i="2"/>
  <c r="U180" i="2"/>
  <c r="V180" i="2"/>
  <c r="W180" i="2"/>
  <c r="X180" i="2"/>
  <c r="Y180" i="2"/>
  <c r="Z180" i="2"/>
  <c r="AA180" i="2"/>
  <c r="AB180" i="2"/>
  <c r="AC180" i="2"/>
  <c r="AD180" i="2"/>
  <c r="AE180" i="2"/>
  <c r="AF180" i="2"/>
  <c r="AG180" i="2"/>
  <c r="AH180" i="2"/>
  <c r="AI180" i="2"/>
  <c r="AJ180" i="2"/>
  <c r="AK180" i="2"/>
  <c r="AL180" i="2"/>
  <c r="AM180" i="2"/>
  <c r="AN180" i="2"/>
  <c r="AO180" i="2"/>
  <c r="AP180" i="2"/>
  <c r="AQ180" i="2"/>
  <c r="AR180" i="2"/>
  <c r="D181" i="2"/>
  <c r="D197" i="2" s="1"/>
  <c r="E181" i="2"/>
  <c r="F181" i="2"/>
  <c r="G181" i="2"/>
  <c r="H181" i="2"/>
  <c r="I181" i="2"/>
  <c r="J181" i="2"/>
  <c r="K181" i="2"/>
  <c r="L181" i="2"/>
  <c r="M181" i="2"/>
  <c r="N181" i="2"/>
  <c r="O181" i="2"/>
  <c r="P181" i="2"/>
  <c r="Q181" i="2"/>
  <c r="R181" i="2"/>
  <c r="S181" i="2"/>
  <c r="T181" i="2"/>
  <c r="U181" i="2"/>
  <c r="V181" i="2"/>
  <c r="W181" i="2"/>
  <c r="X181" i="2"/>
  <c r="Y181" i="2"/>
  <c r="Z181" i="2"/>
  <c r="AA181" i="2"/>
  <c r="AB181" i="2"/>
  <c r="AC181" i="2"/>
  <c r="AD181" i="2"/>
  <c r="AE181" i="2"/>
  <c r="AF181" i="2"/>
  <c r="AG181" i="2"/>
  <c r="AH181" i="2"/>
  <c r="AI181" i="2"/>
  <c r="AJ181" i="2"/>
  <c r="AK181" i="2"/>
  <c r="AL181" i="2"/>
  <c r="AM181" i="2"/>
  <c r="AN181" i="2"/>
  <c r="AO181" i="2"/>
  <c r="AP181" i="2"/>
  <c r="AQ181" i="2"/>
  <c r="AR181" i="2"/>
  <c r="D182" i="2"/>
  <c r="D198" i="2" s="1"/>
  <c r="E182" i="2"/>
  <c r="F182" i="2"/>
  <c r="G182" i="2"/>
  <c r="H182" i="2"/>
  <c r="I182" i="2"/>
  <c r="J182" i="2"/>
  <c r="K182" i="2"/>
  <c r="L182" i="2"/>
  <c r="M182" i="2"/>
  <c r="N182" i="2"/>
  <c r="O182" i="2"/>
  <c r="P182" i="2"/>
  <c r="Q182" i="2"/>
  <c r="R182" i="2"/>
  <c r="S182" i="2"/>
  <c r="T182" i="2"/>
  <c r="U182" i="2"/>
  <c r="V182" i="2"/>
  <c r="W182" i="2"/>
  <c r="X182" i="2"/>
  <c r="Y182" i="2"/>
  <c r="Z182" i="2"/>
  <c r="AA182" i="2"/>
  <c r="AB182" i="2"/>
  <c r="AC182" i="2"/>
  <c r="AD182" i="2"/>
  <c r="AE182" i="2"/>
  <c r="AF182" i="2"/>
  <c r="AG182" i="2"/>
  <c r="AH182" i="2"/>
  <c r="AI182" i="2"/>
  <c r="AJ182" i="2"/>
  <c r="AK182" i="2"/>
  <c r="AL182" i="2"/>
  <c r="AM182" i="2"/>
  <c r="AN182" i="2"/>
  <c r="AO182" i="2"/>
  <c r="AP182" i="2"/>
  <c r="AQ182" i="2"/>
  <c r="AR182" i="2"/>
  <c r="C174" i="2"/>
  <c r="C175" i="2"/>
  <c r="C176" i="2"/>
  <c r="C177" i="2"/>
  <c r="C178" i="2"/>
  <c r="C179" i="2"/>
  <c r="C180" i="2"/>
  <c r="C181" i="2"/>
  <c r="C182" i="2"/>
  <c r="C173" i="2"/>
  <c r="AQ195" i="2" l="1"/>
  <c r="AM195" i="2"/>
  <c r="AI195" i="2"/>
  <c r="AE195" i="2"/>
  <c r="AA195" i="2"/>
  <c r="W195" i="2"/>
  <c r="S195" i="2"/>
  <c r="O195" i="2"/>
  <c r="K195" i="2"/>
  <c r="G195" i="2"/>
  <c r="AR194" i="2"/>
  <c r="AN194" i="2"/>
  <c r="AJ194" i="2"/>
  <c r="AF194" i="2"/>
  <c r="AB194" i="2"/>
  <c r="X194" i="2"/>
  <c r="T194" i="2"/>
  <c r="L194" i="2"/>
  <c r="H194" i="2"/>
  <c r="AO193" i="2"/>
  <c r="AK193" i="2"/>
  <c r="AG193" i="2"/>
  <c r="AC193" i="2"/>
  <c r="Y193" i="2"/>
  <c r="U193" i="2"/>
  <c r="Q193" i="2"/>
  <c r="N193" i="2"/>
  <c r="I193" i="2"/>
  <c r="E193" i="2"/>
  <c r="AP192" i="2"/>
  <c r="AL192" i="2"/>
  <c r="AH192" i="2"/>
  <c r="AD192" i="2"/>
  <c r="Z192" i="2"/>
  <c r="V192" i="2"/>
  <c r="R192" i="2"/>
  <c r="N192" i="2"/>
  <c r="J192" i="2"/>
  <c r="F192" i="2"/>
  <c r="AQ191" i="2"/>
  <c r="AM191" i="2"/>
  <c r="AI191" i="2"/>
  <c r="AE191" i="2"/>
  <c r="AA191" i="2"/>
  <c r="W191" i="2"/>
  <c r="S191" i="2"/>
  <c r="O191" i="2"/>
  <c r="K191" i="2"/>
  <c r="G191" i="2"/>
  <c r="AR190" i="2"/>
  <c r="AN190" i="2"/>
  <c r="I189" i="2"/>
  <c r="AJ193" i="2"/>
  <c r="AG192" i="2"/>
  <c r="AD191" i="2"/>
  <c r="X189" i="2"/>
  <c r="S100" i="67"/>
  <c r="S118" i="67" s="1"/>
  <c r="S134" i="67" s="1"/>
  <c r="T61" i="67"/>
  <c r="R183" i="67"/>
  <c r="R162" i="67"/>
  <c r="E190" i="2"/>
  <c r="AG198" i="2"/>
  <c r="AR196" i="2"/>
  <c r="AF196" i="2"/>
  <c r="L196" i="2"/>
  <c r="AO195" i="2"/>
  <c r="AC195" i="2"/>
  <c r="I195" i="2"/>
  <c r="AL194" i="2"/>
  <c r="Z194" i="2"/>
  <c r="F194" i="2"/>
  <c r="AR192" i="2"/>
  <c r="AF192" i="2"/>
  <c r="L192" i="2"/>
  <c r="AO191" i="2"/>
  <c r="AC191" i="2"/>
  <c r="I191" i="2"/>
  <c r="AL190" i="2"/>
  <c r="Z190" i="2"/>
  <c r="F190" i="2"/>
  <c r="AO190" i="2"/>
  <c r="AK190" i="2"/>
  <c r="AG190" i="2"/>
  <c r="AC190" i="2"/>
  <c r="Y190" i="2"/>
  <c r="U190" i="2"/>
  <c r="Q190" i="2"/>
  <c r="M190" i="2"/>
  <c r="I190" i="2"/>
  <c r="AP189" i="2"/>
  <c r="AL189" i="2"/>
  <c r="AH189" i="2"/>
  <c r="AD189" i="2"/>
  <c r="Z189" i="2"/>
  <c r="V189" i="2"/>
  <c r="R189" i="2"/>
  <c r="N189" i="2"/>
  <c r="J189" i="2"/>
  <c r="F189" i="2"/>
  <c r="AO198" i="2"/>
  <c r="Y198" i="2"/>
  <c r="I198" i="2"/>
  <c r="N197" i="2"/>
  <c r="AN195" i="2"/>
  <c r="H195" i="2"/>
  <c r="AK194" i="2"/>
  <c r="E194" i="2"/>
  <c r="AN191" i="2"/>
  <c r="T191" i="2"/>
  <c r="AR198" i="2"/>
  <c r="AN198" i="2"/>
  <c r="AJ198" i="2"/>
  <c r="AB198" i="2"/>
  <c r="X198" i="2"/>
  <c r="T198" i="2"/>
  <c r="P198" i="2"/>
  <c r="L198" i="2"/>
  <c r="H198" i="2"/>
  <c r="AO197" i="2"/>
  <c r="AK197" i="2"/>
  <c r="AG197" i="2"/>
  <c r="AC197" i="2"/>
  <c r="Y197" i="2"/>
  <c r="U197" i="2"/>
  <c r="Q197" i="2"/>
  <c r="M197" i="2"/>
  <c r="I197" i="2"/>
  <c r="E197" i="2"/>
  <c r="AP196" i="2"/>
  <c r="AL196" i="2"/>
  <c r="AH196" i="2"/>
  <c r="AD196" i="2"/>
  <c r="Z196" i="2"/>
  <c r="V196" i="2"/>
  <c r="R196" i="2"/>
  <c r="N196" i="2"/>
  <c r="J196" i="2"/>
  <c r="F196" i="2"/>
  <c r="AQ198" i="2"/>
  <c r="AM198" i="2"/>
  <c r="AI198" i="2"/>
  <c r="AE198" i="2"/>
  <c r="AA198" i="2"/>
  <c r="W198" i="2"/>
  <c r="S198" i="2"/>
  <c r="O198" i="2"/>
  <c r="K198" i="2"/>
  <c r="G198" i="2"/>
  <c r="AR197" i="2"/>
  <c r="AN197" i="2"/>
  <c r="AJ197" i="2"/>
  <c r="AF197" i="2"/>
  <c r="AB197" i="2"/>
  <c r="X197" i="2"/>
  <c r="T197" i="2"/>
  <c r="P197" i="2"/>
  <c r="L197" i="2"/>
  <c r="H197" i="2"/>
  <c r="AO196" i="2"/>
  <c r="AK196" i="2"/>
  <c r="AG196" i="2"/>
  <c r="AC196" i="2"/>
  <c r="Y196" i="2"/>
  <c r="U196" i="2"/>
  <c r="Q196" i="2"/>
  <c r="M196" i="2"/>
  <c r="I196" i="2"/>
  <c r="E196" i="2"/>
  <c r="AP195" i="2"/>
  <c r="AL195" i="2"/>
  <c r="AH195" i="2"/>
  <c r="AD195" i="2"/>
  <c r="Z195" i="2"/>
  <c r="V195" i="2"/>
  <c r="R195" i="2"/>
  <c r="N195" i="2"/>
  <c r="J195" i="2"/>
  <c r="AN193" i="2"/>
  <c r="T193" i="2"/>
  <c r="H193" i="2"/>
  <c r="AK192" i="2"/>
  <c r="Q192" i="2"/>
  <c r="E192" i="2"/>
  <c r="AH191" i="2"/>
  <c r="N191" i="2"/>
  <c r="AN189" i="2"/>
  <c r="T189" i="2"/>
  <c r="H189" i="2"/>
  <c r="Q198" i="2"/>
  <c r="T195" i="2"/>
  <c r="AF198" i="2"/>
  <c r="P194" i="2"/>
  <c r="AH193" i="2"/>
  <c r="M193" i="2"/>
  <c r="H191" i="2"/>
  <c r="AP198" i="2"/>
  <c r="AL198" i="2"/>
  <c r="AH198" i="2"/>
  <c r="AD198" i="2"/>
  <c r="Z198" i="2"/>
  <c r="V198" i="2"/>
  <c r="R198" i="2"/>
  <c r="N198" i="2"/>
  <c r="J198" i="2"/>
  <c r="F198" i="2"/>
  <c r="AQ197" i="2"/>
  <c r="AM197" i="2"/>
  <c r="AI197" i="2"/>
  <c r="AE197" i="2"/>
  <c r="AA197" i="2"/>
  <c r="W197" i="2"/>
  <c r="S197" i="2"/>
  <c r="O197" i="2"/>
  <c r="K197" i="2"/>
  <c r="G197" i="2"/>
  <c r="AN196" i="2"/>
  <c r="AJ196" i="2"/>
  <c r="AB196" i="2"/>
  <c r="X196" i="2"/>
  <c r="T196" i="2"/>
  <c r="P196" i="2"/>
  <c r="H196" i="2"/>
  <c r="AK195" i="2"/>
  <c r="AG195" i="2"/>
  <c r="Y195" i="2"/>
  <c r="U195" i="2"/>
  <c r="Q195" i="2"/>
  <c r="M195" i="2"/>
  <c r="E195" i="2"/>
  <c r="AP194" i="2"/>
  <c r="AH194" i="2"/>
  <c r="AD194" i="2"/>
  <c r="V194" i="2"/>
  <c r="R194" i="2"/>
  <c r="N194" i="2"/>
  <c r="J194" i="2"/>
  <c r="AQ193" i="2"/>
  <c r="AM193" i="2"/>
  <c r="AI193" i="2"/>
  <c r="AE193" i="2"/>
  <c r="AA193" i="2"/>
  <c r="W193" i="2"/>
  <c r="S193" i="2"/>
  <c r="O193" i="2"/>
  <c r="K193" i="2"/>
  <c r="G193" i="2"/>
  <c r="AN192" i="2"/>
  <c r="AJ192" i="2"/>
  <c r="AB192" i="2"/>
  <c r="X192" i="2"/>
  <c r="T192" i="2"/>
  <c r="P192" i="2"/>
  <c r="H192" i="2"/>
  <c r="AK191" i="2"/>
  <c r="AG191" i="2"/>
  <c r="Y191" i="2"/>
  <c r="U191" i="2"/>
  <c r="Q191" i="2"/>
  <c r="M191" i="2"/>
  <c r="E191" i="2"/>
  <c r="AP190" i="2"/>
  <c r="AH190" i="2"/>
  <c r="AD190" i="2"/>
  <c r="V190" i="2"/>
  <c r="R190" i="2"/>
  <c r="N190" i="2"/>
  <c r="J190" i="2"/>
  <c r="AQ189" i="2"/>
  <c r="AM189" i="2"/>
  <c r="AI189" i="2"/>
  <c r="AE189" i="2"/>
  <c r="AA189" i="2"/>
  <c r="W189" i="2"/>
  <c r="S189" i="2"/>
  <c r="O189" i="2"/>
  <c r="K189" i="2"/>
  <c r="AJ189" i="2"/>
  <c r="AG183" i="2"/>
  <c r="AK198" i="2"/>
  <c r="AC198" i="2"/>
  <c r="U198" i="2"/>
  <c r="M198" i="2"/>
  <c r="E198" i="2"/>
  <c r="AP197" i="2"/>
  <c r="AL197" i="2"/>
  <c r="AH197" i="2"/>
  <c r="AD197" i="2"/>
  <c r="Z197" i="2"/>
  <c r="V197" i="2"/>
  <c r="R197" i="2"/>
  <c r="J197" i="2"/>
  <c r="F197" i="2"/>
  <c r="AQ196" i="2"/>
  <c r="AM196" i="2"/>
  <c r="AI196" i="2"/>
  <c r="AE196" i="2"/>
  <c r="AA196" i="2"/>
  <c r="W196" i="2"/>
  <c r="S196" i="2"/>
  <c r="O196" i="2"/>
  <c r="K196" i="2"/>
  <c r="G196" i="2"/>
  <c r="AR195" i="2"/>
  <c r="AJ195" i="2"/>
  <c r="AF195" i="2"/>
  <c r="AB195" i="2"/>
  <c r="X195" i="2"/>
  <c r="P195" i="2"/>
  <c r="L195" i="2"/>
  <c r="AO194" i="2"/>
  <c r="AG194" i="2"/>
  <c r="AC194" i="2"/>
  <c r="Y194" i="2"/>
  <c r="U194" i="2"/>
  <c r="M194" i="2"/>
  <c r="I194" i="2"/>
  <c r="AP193" i="2"/>
  <c r="AL193" i="2"/>
  <c r="AD193" i="2"/>
  <c r="Z193" i="2"/>
  <c r="V193" i="2"/>
  <c r="R193" i="2"/>
  <c r="J193" i="2"/>
  <c r="F193" i="2"/>
  <c r="AQ192" i="2"/>
  <c r="AM192" i="2"/>
  <c r="AI192" i="2"/>
  <c r="AE192" i="2"/>
  <c r="AA192" i="2"/>
  <c r="W192" i="2"/>
  <c r="S192" i="2"/>
  <c r="O192" i="2"/>
  <c r="K192" i="2"/>
  <c r="G192" i="2"/>
  <c r="AR191" i="2"/>
  <c r="AJ191" i="2"/>
  <c r="AF191" i="2"/>
  <c r="AB191" i="2"/>
  <c r="X191" i="2"/>
  <c r="P191" i="2"/>
  <c r="L191" i="2"/>
  <c r="X193" i="2"/>
  <c r="U192" i="2"/>
  <c r="R191" i="2"/>
  <c r="AK189" i="2"/>
  <c r="AG189" i="2"/>
  <c r="U189" i="2"/>
  <c r="Q189" i="2"/>
  <c r="E189" i="2"/>
  <c r="F195" i="2"/>
  <c r="AQ194" i="2"/>
  <c r="AM194" i="2"/>
  <c r="AI194" i="2"/>
  <c r="AE194" i="2"/>
  <c r="AA194" i="2"/>
  <c r="W194" i="2"/>
  <c r="S194" i="2"/>
  <c r="O194" i="2"/>
  <c r="K194" i="2"/>
  <c r="G194" i="2"/>
  <c r="AR193" i="2"/>
  <c r="AF193" i="2"/>
  <c r="AB193" i="2"/>
  <c r="P193" i="2"/>
  <c r="L193" i="2"/>
  <c r="AO192" i="2"/>
  <c r="AC192" i="2"/>
  <c r="Y192" i="2"/>
  <c r="U183" i="2"/>
  <c r="M192" i="2"/>
  <c r="I192" i="2"/>
  <c r="AP191" i="2"/>
  <c r="AL191" i="2"/>
  <c r="Z191" i="2"/>
  <c r="V191" i="2"/>
  <c r="J191" i="2"/>
  <c r="F183" i="2"/>
  <c r="F191" i="2"/>
  <c r="AQ190" i="2"/>
  <c r="AM190" i="2"/>
  <c r="AI190" i="2"/>
  <c r="AE190" i="2"/>
  <c r="AA190" i="2"/>
  <c r="W190" i="2"/>
  <c r="S190" i="2"/>
  <c r="O190" i="2"/>
  <c r="K190" i="2"/>
  <c r="G190" i="2"/>
  <c r="AR189" i="2"/>
  <c r="AF189" i="2"/>
  <c r="AB189" i="2"/>
  <c r="P189" i="2"/>
  <c r="L189" i="2"/>
  <c r="G189" i="2"/>
  <c r="AB183" i="2"/>
  <c r="L183" i="2"/>
  <c r="Q183" i="2"/>
  <c r="E183" i="2"/>
  <c r="AP183" i="2"/>
  <c r="AL183" i="2"/>
  <c r="Z183" i="2"/>
  <c r="V183" i="2"/>
  <c r="J183" i="2"/>
  <c r="AJ183" i="2"/>
  <c r="X183" i="2"/>
  <c r="D183" i="2"/>
  <c r="AC183" i="2"/>
  <c r="M183" i="2"/>
  <c r="AD183" i="2"/>
  <c r="R183" i="2"/>
  <c r="AH183" i="2"/>
  <c r="N183" i="2"/>
  <c r="AN183" i="2"/>
  <c r="T183" i="2"/>
  <c r="H183" i="2"/>
  <c r="AO183" i="2"/>
  <c r="Y183" i="2"/>
  <c r="I183" i="2"/>
  <c r="AQ183" i="2"/>
  <c r="AM183" i="2"/>
  <c r="AI183" i="2"/>
  <c r="AE183" i="2"/>
  <c r="AA183" i="2"/>
  <c r="W183" i="2"/>
  <c r="S183" i="2"/>
  <c r="O183" i="2"/>
  <c r="K183" i="2"/>
  <c r="G183" i="2"/>
  <c r="AR183" i="2"/>
  <c r="AF183" i="2"/>
  <c r="P183" i="2"/>
  <c r="AK183" i="2"/>
  <c r="C183" i="2"/>
  <c r="D291" i="3"/>
  <c r="E163" i="45" s="1"/>
  <c r="C163" i="45" s="1"/>
  <c r="I172" i="45" s="1"/>
  <c r="C291" i="3"/>
  <c r="T100" i="67" l="1"/>
  <c r="T118" i="67" s="1"/>
  <c r="T134" i="67" s="1"/>
  <c r="U61" i="67"/>
  <c r="S183" i="67"/>
  <c r="S162" i="67"/>
  <c r="C445" i="47"/>
  <c r="E450" i="47"/>
  <c r="D450" i="47"/>
  <c r="C450" i="47"/>
  <c r="U100" i="67" l="1"/>
  <c r="U118" i="67" s="1"/>
  <c r="U134" i="67" s="1"/>
  <c r="V61" i="67"/>
  <c r="T183" i="67"/>
  <c r="T162" i="67"/>
  <c r="F450" i="47"/>
  <c r="W61" i="67" l="1"/>
  <c r="V100" i="67"/>
  <c r="V118" i="67" s="1"/>
  <c r="V134" i="67" s="1"/>
  <c r="U183" i="67"/>
  <c r="U162" i="67"/>
  <c r="C154" i="47"/>
  <c r="V183" i="67" l="1"/>
  <c r="V162" i="67"/>
  <c r="X61" i="67"/>
  <c r="W100" i="67"/>
  <c r="W118" i="67" s="1"/>
  <c r="W134" i="67" s="1"/>
  <c r="AP103" i="44"/>
  <c r="AP104" i="44"/>
  <c r="AP105" i="44"/>
  <c r="AP106" i="44"/>
  <c r="AP107" i="44"/>
  <c r="AP108" i="44"/>
  <c r="AP109" i="44"/>
  <c r="AP110" i="44"/>
  <c r="AP111" i="44"/>
  <c r="AP112" i="44"/>
  <c r="AP113" i="44"/>
  <c r="AP114" i="44"/>
  <c r="AP115" i="44"/>
  <c r="AP116" i="44"/>
  <c r="AP117" i="44"/>
  <c r="AP118" i="44"/>
  <c r="AP119" i="44"/>
  <c r="AP120" i="44"/>
  <c r="AG103" i="44"/>
  <c r="AH103" i="44"/>
  <c r="AI103" i="44"/>
  <c r="AJ103" i="44"/>
  <c r="AK103" i="44"/>
  <c r="AL103" i="44"/>
  <c r="AM103" i="44"/>
  <c r="AN103" i="44"/>
  <c r="AO103" i="44"/>
  <c r="AG104" i="44"/>
  <c r="AH104" i="44"/>
  <c r="AI104" i="44"/>
  <c r="AJ104" i="44"/>
  <c r="AK104" i="44"/>
  <c r="AL104" i="44"/>
  <c r="AM104" i="44"/>
  <c r="AN104" i="44"/>
  <c r="AO104" i="44"/>
  <c r="AG105" i="44"/>
  <c r="AH105" i="44"/>
  <c r="AI105" i="44"/>
  <c r="AJ105" i="44"/>
  <c r="AK105" i="44"/>
  <c r="AL105" i="44"/>
  <c r="AM105" i="44"/>
  <c r="AN105" i="44"/>
  <c r="AO105" i="44"/>
  <c r="AG106" i="44"/>
  <c r="AH106" i="44"/>
  <c r="AI106" i="44"/>
  <c r="AJ106" i="44"/>
  <c r="AK106" i="44"/>
  <c r="AL106" i="44"/>
  <c r="AM106" i="44"/>
  <c r="AN106" i="44"/>
  <c r="AO106" i="44"/>
  <c r="AG107" i="44"/>
  <c r="AH107" i="44"/>
  <c r="AI107" i="44"/>
  <c r="AJ107" i="44"/>
  <c r="AK107" i="44"/>
  <c r="AL107" i="44"/>
  <c r="AM107" i="44"/>
  <c r="AN107" i="44"/>
  <c r="AO107" i="44"/>
  <c r="AG108" i="44"/>
  <c r="AH108" i="44"/>
  <c r="AI108" i="44"/>
  <c r="AJ108" i="44"/>
  <c r="AK108" i="44"/>
  <c r="AL108" i="44"/>
  <c r="AM108" i="44"/>
  <c r="AN108" i="44"/>
  <c r="AO108" i="44"/>
  <c r="AG109" i="44"/>
  <c r="AH109" i="44"/>
  <c r="AI109" i="44"/>
  <c r="AJ109" i="44"/>
  <c r="AK109" i="44"/>
  <c r="AL109" i="44"/>
  <c r="AM109" i="44"/>
  <c r="AN109" i="44"/>
  <c r="AO109" i="44"/>
  <c r="AG110" i="44"/>
  <c r="AH110" i="44"/>
  <c r="AI110" i="44"/>
  <c r="AJ110" i="44"/>
  <c r="AK110" i="44"/>
  <c r="AL110" i="44"/>
  <c r="AM110" i="44"/>
  <c r="AN110" i="44"/>
  <c r="AO110" i="44"/>
  <c r="AG111" i="44"/>
  <c r="AH111" i="44"/>
  <c r="AI111" i="44"/>
  <c r="AJ111" i="44"/>
  <c r="AK111" i="44"/>
  <c r="AL111" i="44"/>
  <c r="AM111" i="44"/>
  <c r="AN111" i="44"/>
  <c r="AO111" i="44"/>
  <c r="AG112" i="44"/>
  <c r="AH112" i="44"/>
  <c r="AI112" i="44"/>
  <c r="AJ112" i="44"/>
  <c r="AK112" i="44"/>
  <c r="AL112" i="44"/>
  <c r="AM112" i="44"/>
  <c r="AN112" i="44"/>
  <c r="AO112" i="44"/>
  <c r="AG113" i="44"/>
  <c r="AH113" i="44"/>
  <c r="AI113" i="44"/>
  <c r="AJ113" i="44"/>
  <c r="AK113" i="44"/>
  <c r="AL113" i="44"/>
  <c r="AM113" i="44"/>
  <c r="AN113" i="44"/>
  <c r="AO113" i="44"/>
  <c r="AG114" i="44"/>
  <c r="AH114" i="44"/>
  <c r="AI114" i="44"/>
  <c r="AJ114" i="44"/>
  <c r="AK114" i="44"/>
  <c r="AL114" i="44"/>
  <c r="AM114" i="44"/>
  <c r="AN114" i="44"/>
  <c r="AO114" i="44"/>
  <c r="AG115" i="44"/>
  <c r="AH115" i="44"/>
  <c r="AI115" i="44"/>
  <c r="AJ115" i="44"/>
  <c r="AK115" i="44"/>
  <c r="AL115" i="44"/>
  <c r="AM115" i="44"/>
  <c r="AN115" i="44"/>
  <c r="AO115" i="44"/>
  <c r="AG116" i="44"/>
  <c r="AH116" i="44"/>
  <c r="AI116" i="44"/>
  <c r="AJ116" i="44"/>
  <c r="AK116" i="44"/>
  <c r="AL116" i="44"/>
  <c r="AM116" i="44"/>
  <c r="AN116" i="44"/>
  <c r="AO116" i="44"/>
  <c r="AG117" i="44"/>
  <c r="AH117" i="44"/>
  <c r="AI117" i="44"/>
  <c r="AJ117" i="44"/>
  <c r="AK117" i="44"/>
  <c r="AL117" i="44"/>
  <c r="AM117" i="44"/>
  <c r="AN117" i="44"/>
  <c r="AO117" i="44"/>
  <c r="AG118" i="44"/>
  <c r="AH118" i="44"/>
  <c r="AI118" i="44"/>
  <c r="AJ118" i="44"/>
  <c r="AK118" i="44"/>
  <c r="AL118" i="44"/>
  <c r="AM118" i="44"/>
  <c r="AN118" i="44"/>
  <c r="AO118" i="44"/>
  <c r="AG119" i="44"/>
  <c r="AH119" i="44"/>
  <c r="AI119" i="44"/>
  <c r="AJ119" i="44"/>
  <c r="AK119" i="44"/>
  <c r="AL119" i="44"/>
  <c r="AM119" i="44"/>
  <c r="AN119" i="44"/>
  <c r="AO119" i="44"/>
  <c r="AG120" i="44"/>
  <c r="AH120" i="44"/>
  <c r="AI120" i="44"/>
  <c r="AJ120" i="44"/>
  <c r="AK120" i="44"/>
  <c r="AL120" i="44"/>
  <c r="AM120" i="44"/>
  <c r="AN120" i="44"/>
  <c r="AO120" i="44"/>
  <c r="AH175" i="19"/>
  <c r="AI175" i="19"/>
  <c r="AJ175" i="19"/>
  <c r="AK175" i="19"/>
  <c r="AL175" i="19"/>
  <c r="AM175" i="19"/>
  <c r="AN175" i="19"/>
  <c r="AO175" i="19"/>
  <c r="AP175" i="19"/>
  <c r="AQ175" i="19"/>
  <c r="AH77" i="19"/>
  <c r="AI77" i="19"/>
  <c r="AJ77" i="19"/>
  <c r="AK77" i="19"/>
  <c r="AL77" i="19"/>
  <c r="AM77" i="19"/>
  <c r="AN77" i="19"/>
  <c r="AO77" i="19"/>
  <c r="AP77" i="19"/>
  <c r="AQ77" i="19"/>
  <c r="AR26" i="19"/>
  <c r="AR27" i="19"/>
  <c r="AR33" i="19"/>
  <c r="AR35" i="19"/>
  <c r="AR39" i="19"/>
  <c r="AR40" i="19"/>
  <c r="AR41" i="19"/>
  <c r="AR42" i="19"/>
  <c r="AR43" i="19"/>
  <c r="AR44" i="19"/>
  <c r="AR45" i="19"/>
  <c r="AR46" i="19"/>
  <c r="AR47" i="19"/>
  <c r="AR48" i="19"/>
  <c r="AR49" i="19"/>
  <c r="AR50" i="19"/>
  <c r="AR51" i="19"/>
  <c r="AR52" i="19"/>
  <c r="AR53" i="19"/>
  <c r="AR54" i="19"/>
  <c r="AR55" i="19"/>
  <c r="AR56" i="19"/>
  <c r="AR57" i="19"/>
  <c r="AR58" i="19"/>
  <c r="AR59" i="19"/>
  <c r="AR60" i="19"/>
  <c r="AR62" i="19"/>
  <c r="AR63" i="19"/>
  <c r="AR64" i="19"/>
  <c r="AR65" i="19"/>
  <c r="AR66" i="19"/>
  <c r="AI26" i="19"/>
  <c r="AJ26" i="19"/>
  <c r="AK26" i="19"/>
  <c r="AL26" i="19"/>
  <c r="AM26" i="19"/>
  <c r="AN26" i="19"/>
  <c r="AO26" i="19"/>
  <c r="AP26" i="19"/>
  <c r="AQ26" i="19"/>
  <c r="AI27" i="19"/>
  <c r="AJ27" i="19"/>
  <c r="AK27" i="19"/>
  <c r="AL27" i="19"/>
  <c r="AM27" i="19"/>
  <c r="AN27" i="19"/>
  <c r="AO27" i="19"/>
  <c r="AP27" i="19"/>
  <c r="AQ27" i="19"/>
  <c r="AI33" i="19"/>
  <c r="AJ33" i="19"/>
  <c r="AK33" i="19"/>
  <c r="AL33" i="19"/>
  <c r="AM33" i="19"/>
  <c r="AN33" i="19"/>
  <c r="AO33" i="19"/>
  <c r="AP33" i="19"/>
  <c r="AQ33" i="19"/>
  <c r="AI35" i="19"/>
  <c r="AJ35" i="19"/>
  <c r="AK35" i="19"/>
  <c r="AL35" i="19"/>
  <c r="AM35" i="19"/>
  <c r="AN35" i="19"/>
  <c r="AO35" i="19"/>
  <c r="AP35" i="19"/>
  <c r="AQ35" i="19"/>
  <c r="AI39" i="19"/>
  <c r="AJ39" i="19"/>
  <c r="AK39" i="19"/>
  <c r="AL39" i="19"/>
  <c r="AM39" i="19"/>
  <c r="AN39" i="19"/>
  <c r="AO39" i="19"/>
  <c r="AP39" i="19"/>
  <c r="AQ39" i="19"/>
  <c r="AI40" i="19"/>
  <c r="AJ40" i="19"/>
  <c r="AK40" i="19"/>
  <c r="AL40" i="19"/>
  <c r="AM40" i="19"/>
  <c r="AN40" i="19"/>
  <c r="AO40" i="19"/>
  <c r="AP40" i="19"/>
  <c r="AQ40" i="19"/>
  <c r="AI41" i="19"/>
  <c r="AJ41" i="19"/>
  <c r="AK41" i="19"/>
  <c r="AL41" i="19"/>
  <c r="AM41" i="19"/>
  <c r="AN41" i="19"/>
  <c r="AO41" i="19"/>
  <c r="AP41" i="19"/>
  <c r="AQ41" i="19"/>
  <c r="AI42" i="19"/>
  <c r="AJ42" i="19"/>
  <c r="AK42" i="19"/>
  <c r="AL42" i="19"/>
  <c r="AM42" i="19"/>
  <c r="AN42" i="19"/>
  <c r="AO42" i="19"/>
  <c r="AP42" i="19"/>
  <c r="AQ42" i="19"/>
  <c r="AI43" i="19"/>
  <c r="AJ43" i="19"/>
  <c r="AK43" i="19"/>
  <c r="AL43" i="19"/>
  <c r="AM43" i="19"/>
  <c r="AN43" i="19"/>
  <c r="AO43" i="19"/>
  <c r="AP43" i="19"/>
  <c r="AQ43" i="19"/>
  <c r="AI44" i="19"/>
  <c r="AJ44" i="19"/>
  <c r="AK44" i="19"/>
  <c r="AL44" i="19"/>
  <c r="AM44" i="19"/>
  <c r="AN44" i="19"/>
  <c r="AO44" i="19"/>
  <c r="AP44" i="19"/>
  <c r="AQ44" i="19"/>
  <c r="AI45" i="19"/>
  <c r="AJ45" i="19"/>
  <c r="AK45" i="19"/>
  <c r="AL45" i="19"/>
  <c r="AM45" i="19"/>
  <c r="AN45" i="19"/>
  <c r="AO45" i="19"/>
  <c r="AP45" i="19"/>
  <c r="AQ45" i="19"/>
  <c r="AI46" i="19"/>
  <c r="AJ46" i="19"/>
  <c r="AK46" i="19"/>
  <c r="AL46" i="19"/>
  <c r="AM46" i="19"/>
  <c r="AN46" i="19"/>
  <c r="AO46" i="19"/>
  <c r="AP46" i="19"/>
  <c r="AQ46" i="19"/>
  <c r="AI47" i="19"/>
  <c r="AJ47" i="19"/>
  <c r="AK47" i="19"/>
  <c r="AL47" i="19"/>
  <c r="AM47" i="19"/>
  <c r="AN47" i="19"/>
  <c r="AO47" i="19"/>
  <c r="AP47" i="19"/>
  <c r="AQ47" i="19"/>
  <c r="AI48" i="19"/>
  <c r="AJ48" i="19"/>
  <c r="AK48" i="19"/>
  <c r="AL48" i="19"/>
  <c r="AM48" i="19"/>
  <c r="AN48" i="19"/>
  <c r="AO48" i="19"/>
  <c r="AP48" i="19"/>
  <c r="AQ48" i="19"/>
  <c r="AI49" i="19"/>
  <c r="AJ49" i="19"/>
  <c r="AK49" i="19"/>
  <c r="AL49" i="19"/>
  <c r="AM49" i="19"/>
  <c r="AN49" i="19"/>
  <c r="AO49" i="19"/>
  <c r="AP49" i="19"/>
  <c r="AQ49" i="19"/>
  <c r="AI50" i="19"/>
  <c r="AJ50" i="19"/>
  <c r="AK50" i="19"/>
  <c r="AL50" i="19"/>
  <c r="AM50" i="19"/>
  <c r="AN50" i="19"/>
  <c r="AO50" i="19"/>
  <c r="AP50" i="19"/>
  <c r="AQ50" i="19"/>
  <c r="AI51" i="19"/>
  <c r="AJ51" i="19"/>
  <c r="AK51" i="19"/>
  <c r="AL51" i="19"/>
  <c r="AM51" i="19"/>
  <c r="AN51" i="19"/>
  <c r="AO51" i="19"/>
  <c r="AP51" i="19"/>
  <c r="AQ51" i="19"/>
  <c r="AI52" i="19"/>
  <c r="AJ52" i="19"/>
  <c r="AK52" i="19"/>
  <c r="AL52" i="19"/>
  <c r="AM52" i="19"/>
  <c r="AN52" i="19"/>
  <c r="AO52" i="19"/>
  <c r="AP52" i="19"/>
  <c r="AQ52" i="19"/>
  <c r="AI53" i="19"/>
  <c r="AJ53" i="19"/>
  <c r="AK53" i="19"/>
  <c r="AL53" i="19"/>
  <c r="AM53" i="19"/>
  <c r="AN53" i="19"/>
  <c r="AO53" i="19"/>
  <c r="AP53" i="19"/>
  <c r="AQ53" i="19"/>
  <c r="AI54" i="19"/>
  <c r="AJ54" i="19"/>
  <c r="AK54" i="19"/>
  <c r="AL54" i="19"/>
  <c r="AM54" i="19"/>
  <c r="AN54" i="19"/>
  <c r="AO54" i="19"/>
  <c r="AP54" i="19"/>
  <c r="AQ54" i="19"/>
  <c r="AI55" i="19"/>
  <c r="AJ55" i="19"/>
  <c r="AK55" i="19"/>
  <c r="AL55" i="19"/>
  <c r="AM55" i="19"/>
  <c r="AN55" i="19"/>
  <c r="AO55" i="19"/>
  <c r="AP55" i="19"/>
  <c r="AQ55" i="19"/>
  <c r="AI56" i="19"/>
  <c r="AJ56" i="19"/>
  <c r="AK56" i="19"/>
  <c r="AL56" i="19"/>
  <c r="AM56" i="19"/>
  <c r="AN56" i="19"/>
  <c r="AO56" i="19"/>
  <c r="AP56" i="19"/>
  <c r="AQ56" i="19"/>
  <c r="AI57" i="19"/>
  <c r="AJ57" i="19"/>
  <c r="AK57" i="19"/>
  <c r="AL57" i="19"/>
  <c r="AM57" i="19"/>
  <c r="AN57" i="19"/>
  <c r="AO57" i="19"/>
  <c r="AP57" i="19"/>
  <c r="AQ57" i="19"/>
  <c r="AI58" i="19"/>
  <c r="AJ58" i="19"/>
  <c r="AK58" i="19"/>
  <c r="AL58" i="19"/>
  <c r="AM58" i="19"/>
  <c r="AN58" i="19"/>
  <c r="AO58" i="19"/>
  <c r="AP58" i="19"/>
  <c r="AQ58" i="19"/>
  <c r="AI59" i="19"/>
  <c r="AJ59" i="19"/>
  <c r="AK59" i="19"/>
  <c r="AL59" i="19"/>
  <c r="AM59" i="19"/>
  <c r="AN59" i="19"/>
  <c r="AO59" i="19"/>
  <c r="AP59" i="19"/>
  <c r="AQ59" i="19"/>
  <c r="AI60" i="19"/>
  <c r="AJ60" i="19"/>
  <c r="AK60" i="19"/>
  <c r="AL60" i="19"/>
  <c r="AM60" i="19"/>
  <c r="AN60" i="19"/>
  <c r="AO60" i="19"/>
  <c r="AP60" i="19"/>
  <c r="AQ60" i="19"/>
  <c r="AI62" i="19"/>
  <c r="AJ62" i="19"/>
  <c r="AK62" i="19"/>
  <c r="AL62" i="19"/>
  <c r="AM62" i="19"/>
  <c r="AN62" i="19"/>
  <c r="AO62" i="19"/>
  <c r="AP62" i="19"/>
  <c r="AQ62" i="19"/>
  <c r="AI63" i="19"/>
  <c r="AJ63" i="19"/>
  <c r="AK63" i="19"/>
  <c r="AL63" i="19"/>
  <c r="AM63" i="19"/>
  <c r="AN63" i="19"/>
  <c r="AO63" i="19"/>
  <c r="AP63" i="19"/>
  <c r="AQ63" i="19"/>
  <c r="AI64" i="19"/>
  <c r="AJ64" i="19"/>
  <c r="AK64" i="19"/>
  <c r="AL64" i="19"/>
  <c r="AM64" i="19"/>
  <c r="AN64" i="19"/>
  <c r="AO64" i="19"/>
  <c r="AP64" i="19"/>
  <c r="AQ64" i="19"/>
  <c r="AI65" i="19"/>
  <c r="AJ65" i="19"/>
  <c r="AK65" i="19"/>
  <c r="AL65" i="19"/>
  <c r="AM65" i="19"/>
  <c r="AN65" i="19"/>
  <c r="AO65" i="19"/>
  <c r="AP65" i="19"/>
  <c r="AQ65" i="19"/>
  <c r="AI66" i="19"/>
  <c r="AJ66" i="19"/>
  <c r="AK66" i="19"/>
  <c r="AL66" i="19"/>
  <c r="AM66" i="19"/>
  <c r="AN66" i="19"/>
  <c r="AO66" i="19"/>
  <c r="AP66" i="19"/>
  <c r="AQ66" i="19"/>
  <c r="AO30" i="19"/>
  <c r="AQ30" i="19"/>
  <c r="AR37" i="19"/>
  <c r="AI31" i="19"/>
  <c r="AK28" i="19"/>
  <c r="AL28" i="19"/>
  <c r="AM29" i="19"/>
  <c r="X100" i="67" l="1"/>
  <c r="X118" i="67" s="1"/>
  <c r="X134" i="67" s="1"/>
  <c r="Y61" i="67"/>
  <c r="W183" i="67"/>
  <c r="W162" i="67"/>
  <c r="AI67" i="19"/>
  <c r="AO38" i="19"/>
  <c r="AO61" i="19"/>
  <c r="AM37" i="19"/>
  <c r="AL37" i="19"/>
  <c r="AL30" i="19"/>
  <c r="AR38" i="19"/>
  <c r="AR31" i="19"/>
  <c r="AL36" i="19"/>
  <c r="AI28" i="19"/>
  <c r="AR61" i="19"/>
  <c r="AQ32" i="19"/>
  <c r="AQ31" i="19"/>
  <c r="AI61" i="19"/>
  <c r="AK38" i="19"/>
  <c r="AK37" i="19"/>
  <c r="AK34" i="19"/>
  <c r="AK31" i="19"/>
  <c r="AQ29" i="19"/>
  <c r="AK67" i="19"/>
  <c r="AQ28" i="19"/>
  <c r="AK61" i="19"/>
  <c r="AK30" i="19"/>
  <c r="AQ67" i="19"/>
  <c r="AQ61" i="19"/>
  <c r="AQ37" i="19"/>
  <c r="AQ36" i="19"/>
  <c r="AK29" i="19"/>
  <c r="AN29" i="19"/>
  <c r="AN37" i="19"/>
  <c r="AN61" i="19"/>
  <c r="AJ29" i="19"/>
  <c r="AJ37" i="19"/>
  <c r="AJ61" i="19"/>
  <c r="AP31" i="19"/>
  <c r="AP67" i="19"/>
  <c r="AJ32" i="19"/>
  <c r="AN31" i="19"/>
  <c r="AP29" i="19"/>
  <c r="AI30" i="19"/>
  <c r="AI34" i="19"/>
  <c r="AI38" i="19"/>
  <c r="AM67" i="19"/>
  <c r="AM61" i="19"/>
  <c r="AP36" i="19"/>
  <c r="AJ36" i="19"/>
  <c r="AJ34" i="19"/>
  <c r="AN32" i="19"/>
  <c r="AI32" i="19"/>
  <c r="AI29" i="19"/>
  <c r="AR28" i="19"/>
  <c r="AR32" i="19"/>
  <c r="AR36" i="19"/>
  <c r="AL61" i="19"/>
  <c r="AL38" i="19"/>
  <c r="AP37" i="19"/>
  <c r="AN36" i="19"/>
  <c r="AI36" i="19"/>
  <c r="AN34" i="19"/>
  <c r="AM32" i="19"/>
  <c r="AJ30" i="19"/>
  <c r="AR30" i="19"/>
  <c r="AN67" i="19"/>
  <c r="AJ38" i="19"/>
  <c r="AP34" i="19"/>
  <c r="AP32" i="19"/>
  <c r="AN28" i="19"/>
  <c r="AM30" i="19"/>
  <c r="AM34" i="19"/>
  <c r="AM38" i="19"/>
  <c r="AO28" i="19"/>
  <c r="AO32" i="19"/>
  <c r="AO36" i="19"/>
  <c r="AN38" i="19"/>
  <c r="AO34" i="19"/>
  <c r="AM31" i="19"/>
  <c r="AP30" i="19"/>
  <c r="AO29" i="19"/>
  <c r="AM28" i="19"/>
  <c r="AL31" i="19"/>
  <c r="AL67" i="19"/>
  <c r="AO67" i="19"/>
  <c r="AJ67" i="19"/>
  <c r="AP61" i="19"/>
  <c r="AP38" i="19"/>
  <c r="AO37" i="19"/>
  <c r="AI37" i="19"/>
  <c r="AM36" i="19"/>
  <c r="AL34" i="19"/>
  <c r="AL32" i="19"/>
  <c r="AO31" i="19"/>
  <c r="AJ31" i="19"/>
  <c r="AN30" i="19"/>
  <c r="AL29" i="19"/>
  <c r="AP28" i="19"/>
  <c r="AJ28" i="19"/>
  <c r="AR67" i="19"/>
  <c r="AR34" i="19"/>
  <c r="AR29" i="19"/>
  <c r="AQ38" i="19"/>
  <c r="AK36" i="19"/>
  <c r="AQ34" i="19"/>
  <c r="AK32" i="19"/>
  <c r="Y100" i="67" l="1"/>
  <c r="Y118" i="67" s="1"/>
  <c r="Y134" i="67" s="1"/>
  <c r="Z61" i="67"/>
  <c r="X183" i="67"/>
  <c r="X162" i="67"/>
  <c r="C95" i="53"/>
  <c r="C96" i="53"/>
  <c r="C97" i="53"/>
  <c r="C101" i="53"/>
  <c r="E95" i="53"/>
  <c r="E96" i="53"/>
  <c r="E97" i="53"/>
  <c r="E101" i="53"/>
  <c r="E94" i="52"/>
  <c r="E95" i="52"/>
  <c r="E96" i="52"/>
  <c r="E100" i="52"/>
  <c r="C94" i="52"/>
  <c r="C95" i="52"/>
  <c r="C96" i="52"/>
  <c r="C100" i="52"/>
  <c r="C92" i="36"/>
  <c r="C93" i="36"/>
  <c r="C94" i="36"/>
  <c r="C98" i="36"/>
  <c r="C92" i="43"/>
  <c r="C93" i="43"/>
  <c r="C94" i="43"/>
  <c r="C98" i="43"/>
  <c r="C146" i="57"/>
  <c r="F111" i="57"/>
  <c r="C111" i="57"/>
  <c r="D108" i="57"/>
  <c r="C108" i="57"/>
  <c r="F107" i="57"/>
  <c r="C107" i="57"/>
  <c r="F106" i="57"/>
  <c r="D106" i="57"/>
  <c r="F105" i="57"/>
  <c r="D105" i="57"/>
  <c r="C105" i="57"/>
  <c r="C88" i="57"/>
  <c r="C77" i="57"/>
  <c r="E63" i="57"/>
  <c r="E62" i="57"/>
  <c r="E61" i="57"/>
  <c r="E60" i="57"/>
  <c r="E40" i="57"/>
  <c r="E39" i="57"/>
  <c r="E38" i="57"/>
  <c r="C179" i="56"/>
  <c r="C178" i="56"/>
  <c r="L155" i="56"/>
  <c r="K155" i="56"/>
  <c r="J155" i="56"/>
  <c r="L154" i="56"/>
  <c r="K154" i="56"/>
  <c r="J154" i="56"/>
  <c r="L153" i="56"/>
  <c r="K153" i="56"/>
  <c r="J153" i="56"/>
  <c r="L152" i="56"/>
  <c r="K152" i="56"/>
  <c r="J152" i="56"/>
  <c r="L151" i="56"/>
  <c r="K151" i="56"/>
  <c r="J151" i="56"/>
  <c r="L150" i="56"/>
  <c r="K150" i="56"/>
  <c r="J150" i="56"/>
  <c r="L149" i="56"/>
  <c r="K149" i="56"/>
  <c r="J149" i="56"/>
  <c r="L148" i="56"/>
  <c r="K148" i="56"/>
  <c r="J148" i="56"/>
  <c r="L147" i="56"/>
  <c r="K147" i="56"/>
  <c r="J147" i="56"/>
  <c r="G139" i="56"/>
  <c r="E139" i="56"/>
  <c r="C139" i="56"/>
  <c r="D136" i="56"/>
  <c r="C136" i="56"/>
  <c r="G135" i="56"/>
  <c r="E135" i="56"/>
  <c r="C135" i="56"/>
  <c r="G134" i="56"/>
  <c r="E134" i="56"/>
  <c r="D134" i="56"/>
  <c r="G133" i="56"/>
  <c r="D133" i="56"/>
  <c r="C133" i="56"/>
  <c r="C116" i="56"/>
  <c r="C105" i="56"/>
  <c r="E84" i="56"/>
  <c r="E83" i="56"/>
  <c r="E82" i="56"/>
  <c r="C77" i="56"/>
  <c r="E92" i="56" s="1"/>
  <c r="E63" i="56"/>
  <c r="E62" i="56"/>
  <c r="E61" i="56"/>
  <c r="E60" i="56"/>
  <c r="E42" i="56"/>
  <c r="E41" i="56"/>
  <c r="E40" i="56"/>
  <c r="C17" i="56"/>
  <c r="C18" i="56" l="1"/>
  <c r="C15" i="57"/>
  <c r="F92" i="56"/>
  <c r="E152" i="56" s="1"/>
  <c r="H92" i="56"/>
  <c r="I92" i="56"/>
  <c r="Z100" i="67"/>
  <c r="Z118" i="67" s="1"/>
  <c r="Z134" i="67" s="1"/>
  <c r="AA61" i="67"/>
  <c r="Y183" i="67"/>
  <c r="Y162" i="67"/>
  <c r="F62" i="57"/>
  <c r="I62" i="57"/>
  <c r="F63" i="57"/>
  <c r="D122" i="57" s="1"/>
  <c r="I63" i="57"/>
  <c r="F60" i="57"/>
  <c r="I60" i="57"/>
  <c r="F61" i="57"/>
  <c r="I61" i="57"/>
  <c r="F40" i="57"/>
  <c r="I40" i="57"/>
  <c r="F39" i="57"/>
  <c r="I39" i="57"/>
  <c r="F38" i="57"/>
  <c r="I38" i="57"/>
  <c r="C118" i="57" s="1"/>
  <c r="H83" i="56"/>
  <c r="I83" i="56"/>
  <c r="F84" i="56"/>
  <c r="H84" i="56"/>
  <c r="E133" i="56" s="1"/>
  <c r="I84" i="56"/>
  <c r="F82" i="56"/>
  <c r="H82" i="56"/>
  <c r="E131" i="56" s="1"/>
  <c r="I82" i="56"/>
  <c r="F62" i="56"/>
  <c r="I62" i="56"/>
  <c r="D155" i="56" s="1"/>
  <c r="H62" i="56"/>
  <c r="F63" i="56"/>
  <c r="D151" i="56" s="1"/>
  <c r="I63" i="56"/>
  <c r="H63" i="56"/>
  <c r="F60" i="56"/>
  <c r="H60" i="56"/>
  <c r="I60" i="56"/>
  <c r="D147" i="56" s="1"/>
  <c r="F61" i="56"/>
  <c r="I61" i="56"/>
  <c r="H61" i="56"/>
  <c r="F42" i="56"/>
  <c r="H42" i="56"/>
  <c r="I42" i="56"/>
  <c r="F40" i="56"/>
  <c r="I40" i="56"/>
  <c r="H40" i="56"/>
  <c r="F41" i="56"/>
  <c r="H41" i="56"/>
  <c r="I41" i="56"/>
  <c r="E116" i="56"/>
  <c r="C16" i="57"/>
  <c r="H38" i="57" s="1"/>
  <c r="C121" i="57"/>
  <c r="D126" i="57"/>
  <c r="E88" i="57"/>
  <c r="E86" i="57"/>
  <c r="E85" i="57"/>
  <c r="E84" i="57"/>
  <c r="F83" i="56"/>
  <c r="E114" i="56"/>
  <c r="E113" i="56"/>
  <c r="E112" i="56"/>
  <c r="E149" i="56" l="1"/>
  <c r="F114" i="56"/>
  <c r="J114" i="56" s="1"/>
  <c r="H114" i="56"/>
  <c r="F86" i="57"/>
  <c r="H86" i="57"/>
  <c r="F112" i="56"/>
  <c r="J112" i="56" s="1"/>
  <c r="H112" i="56"/>
  <c r="F88" i="57"/>
  <c r="H88" i="57"/>
  <c r="H40" i="57"/>
  <c r="H61" i="57"/>
  <c r="H62" i="57"/>
  <c r="F113" i="56"/>
  <c r="J113" i="56" s="1"/>
  <c r="H113" i="56"/>
  <c r="F84" i="57"/>
  <c r="H84" i="57"/>
  <c r="H39" i="57"/>
  <c r="H63" i="57"/>
  <c r="F85" i="57"/>
  <c r="H85" i="57"/>
  <c r="H60" i="57"/>
  <c r="AA100" i="67"/>
  <c r="AA118" i="67" s="1"/>
  <c r="AA134" i="67" s="1"/>
  <c r="AB61" i="67"/>
  <c r="Z183" i="67"/>
  <c r="Z162" i="67"/>
  <c r="C119" i="57"/>
  <c r="D118" i="57"/>
  <c r="D119" i="57"/>
  <c r="C150" i="56"/>
  <c r="E147" i="56"/>
  <c r="D148" i="56"/>
  <c r="C148" i="56"/>
  <c r="C147" i="56"/>
  <c r="F116" i="56"/>
  <c r="J116" i="56" s="1"/>
  <c r="H116" i="56"/>
  <c r="C106" i="57"/>
  <c r="D104" i="57"/>
  <c r="C104" i="57"/>
  <c r="J88" i="57"/>
  <c r="F103" i="57"/>
  <c r="J84" i="57"/>
  <c r="E93" i="53" s="1"/>
  <c r="F104" i="57"/>
  <c r="J85" i="57"/>
  <c r="E94" i="53" s="1"/>
  <c r="F108" i="57"/>
  <c r="J86" i="57"/>
  <c r="E98" i="53" s="1"/>
  <c r="C131" i="56"/>
  <c r="D131" i="56"/>
  <c r="G131" i="56"/>
  <c r="E92" i="52"/>
  <c r="G132" i="56"/>
  <c r="E93" i="52"/>
  <c r="D132" i="56"/>
  <c r="E148" i="56"/>
  <c r="C132" i="56"/>
  <c r="D139" i="56"/>
  <c r="D135" i="56"/>
  <c r="C134" i="56"/>
  <c r="E97" i="52"/>
  <c r="G136" i="56"/>
  <c r="E136" i="56"/>
  <c r="AC61" i="67" l="1"/>
  <c r="AB100" i="67"/>
  <c r="AB118" i="67" s="1"/>
  <c r="AB134" i="67" s="1"/>
  <c r="AA183" i="67"/>
  <c r="AA162" i="67"/>
  <c r="C103" i="57"/>
  <c r="D111" i="57"/>
  <c r="D107" i="57"/>
  <c r="D103" i="57"/>
  <c r="E132" i="56"/>
  <c r="AB183" i="67" l="1"/>
  <c r="AB162" i="67"/>
  <c r="AD61" i="67"/>
  <c r="AC100" i="67"/>
  <c r="AC118" i="67" s="1"/>
  <c r="AC134" i="67" s="1"/>
  <c r="B7" i="47"/>
  <c r="C18" i="53"/>
  <c r="D18" i="53" s="1"/>
  <c r="AE61" i="67" l="1"/>
  <c r="AD100" i="67"/>
  <c r="AD118" i="67" s="1"/>
  <c r="AD134" i="67" s="1"/>
  <c r="AC183" i="67"/>
  <c r="AC162" i="67"/>
  <c r="C17" i="52"/>
  <c r="D17" i="52" s="1"/>
  <c r="C133" i="51"/>
  <c r="C137" i="51" s="1"/>
  <c r="C139" i="51" s="1"/>
  <c r="D131" i="51"/>
  <c r="C36" i="51"/>
  <c r="C40" i="51" s="1"/>
  <c r="C42" i="51" s="1"/>
  <c r="D34" i="51"/>
  <c r="Y29" i="40"/>
  <c r="D42" i="50"/>
  <c r="E42" i="50"/>
  <c r="F42" i="50"/>
  <c r="G42" i="50"/>
  <c r="H42" i="50"/>
  <c r="I42" i="50"/>
  <c r="J42" i="50"/>
  <c r="K42" i="50"/>
  <c r="L42" i="50"/>
  <c r="M42" i="50"/>
  <c r="N42" i="50"/>
  <c r="O42" i="50"/>
  <c r="P42" i="50"/>
  <c r="Q42" i="50"/>
  <c r="R42" i="50"/>
  <c r="S42" i="50"/>
  <c r="T42" i="50"/>
  <c r="U42" i="50"/>
  <c r="V42" i="50"/>
  <c r="W42" i="50"/>
  <c r="X42" i="50"/>
  <c r="Y42" i="50"/>
  <c r="Z42" i="50"/>
  <c r="AA42" i="50"/>
  <c r="AB42" i="50"/>
  <c r="AC42" i="50"/>
  <c r="AD42" i="50"/>
  <c r="AE42" i="50"/>
  <c r="AF42" i="50"/>
  <c r="AG42" i="50"/>
  <c r="AH42" i="50"/>
  <c r="AI42" i="50"/>
  <c r="AJ42" i="50"/>
  <c r="AK42" i="50"/>
  <c r="AL42" i="50"/>
  <c r="AM42" i="50"/>
  <c r="AN42" i="50"/>
  <c r="AO42" i="50"/>
  <c r="AP42" i="50"/>
  <c r="AQ42" i="50"/>
  <c r="AR42" i="50"/>
  <c r="AS42" i="50"/>
  <c r="AT42" i="50"/>
  <c r="AU42" i="50"/>
  <c r="AV42" i="50"/>
  <c r="AW42" i="50"/>
  <c r="AX42" i="50"/>
  <c r="AY42" i="50"/>
  <c r="AZ42" i="50"/>
  <c r="BA42" i="50"/>
  <c r="BB42" i="50"/>
  <c r="BC42" i="50"/>
  <c r="BD42" i="50"/>
  <c r="BE42" i="50"/>
  <c r="BF42" i="50"/>
  <c r="BG42" i="50"/>
  <c r="BH42" i="50"/>
  <c r="BB43" i="50"/>
  <c r="BC43" i="50"/>
  <c r="BD43" i="50"/>
  <c r="BE43" i="50"/>
  <c r="BF43" i="50"/>
  <c r="BG43" i="50"/>
  <c r="BH43" i="50"/>
  <c r="C42" i="50"/>
  <c r="B8" i="50"/>
  <c r="B7" i="50"/>
  <c r="C34" i="50"/>
  <c r="C33" i="50"/>
  <c r="C32" i="50"/>
  <c r="C20" i="50"/>
  <c r="C19" i="50"/>
  <c r="C18" i="50"/>
  <c r="C100" i="49"/>
  <c r="D100" i="49" s="1"/>
  <c r="C65" i="49"/>
  <c r="D65" i="49" s="1"/>
  <c r="C33" i="49"/>
  <c r="D33" i="49" s="1"/>
  <c r="C12" i="32"/>
  <c r="F100" i="49" s="1"/>
  <c r="G100" i="49" s="1"/>
  <c r="H100" i="49" s="1"/>
  <c r="AD183" i="67" l="1"/>
  <c r="AD162" i="67"/>
  <c r="AF61" i="67"/>
  <c r="AE100" i="67"/>
  <c r="AE118" i="67" s="1"/>
  <c r="AE134" i="67" s="1"/>
  <c r="C7" i="47"/>
  <c r="C39" i="30"/>
  <c r="E32" i="50"/>
  <c r="C7" i="50"/>
  <c r="AE183" i="67" l="1"/>
  <c r="AE162" i="67"/>
  <c r="AG61" i="67"/>
  <c r="AF100" i="67"/>
  <c r="AF118" i="67" s="1"/>
  <c r="AF134" i="67" s="1"/>
  <c r="C309" i="47"/>
  <c r="H309" i="47"/>
  <c r="E242" i="47"/>
  <c r="E243" i="47" s="1"/>
  <c r="D243" i="47"/>
  <c r="H250" i="47" s="1"/>
  <c r="C381" i="47"/>
  <c r="C378" i="47"/>
  <c r="C379" i="47"/>
  <c r="C380" i="47"/>
  <c r="C377" i="47"/>
  <c r="C385" i="47" l="1"/>
  <c r="C388" i="47" s="1"/>
  <c r="AF183" i="67"/>
  <c r="AF162" i="67"/>
  <c r="AH61" i="67"/>
  <c r="AG100" i="67"/>
  <c r="AG118" i="67" s="1"/>
  <c r="AG134" i="67" s="1"/>
  <c r="I259" i="47"/>
  <c r="H271" i="47"/>
  <c r="I271" i="47" s="1"/>
  <c r="I258" i="47"/>
  <c r="I260" i="47"/>
  <c r="E244" i="47"/>
  <c r="C292" i="3"/>
  <c r="D292" i="3"/>
  <c r="E162" i="45" s="1"/>
  <c r="C162" i="45" s="1"/>
  <c r="C164" i="45" s="1"/>
  <c r="C299" i="3"/>
  <c r="I250" i="32"/>
  <c r="J250" i="32"/>
  <c r="J254" i="32"/>
  <c r="J239" i="32"/>
  <c r="J236" i="32"/>
  <c r="J233" i="32"/>
  <c r="H53" i="32"/>
  <c r="C291" i="32"/>
  <c r="H52" i="32" s="1"/>
  <c r="C292" i="32"/>
  <c r="AI61" i="67" l="1"/>
  <c r="AH100" i="67"/>
  <c r="AH118" i="67" s="1"/>
  <c r="AH134" i="67" s="1"/>
  <c r="AG162" i="67"/>
  <c r="AG183" i="67"/>
  <c r="I171" i="45"/>
  <c r="H285" i="47"/>
  <c r="H287" i="47"/>
  <c r="H286" i="47"/>
  <c r="J230" i="32"/>
  <c r="C223" i="32" s="1"/>
  <c r="C221" i="36"/>
  <c r="C223" i="52"/>
  <c r="C122" i="47"/>
  <c r="C123" i="47" s="1"/>
  <c r="C103" i="47"/>
  <c r="C210" i="47"/>
  <c r="D210" i="47" s="1"/>
  <c r="C209" i="47"/>
  <c r="D209" i="47" s="1"/>
  <c r="G191" i="47"/>
  <c r="G192" i="47"/>
  <c r="G193" i="47"/>
  <c r="G190" i="47"/>
  <c r="C139" i="47"/>
  <c r="D145" i="47"/>
  <c r="D144" i="47" s="1"/>
  <c r="D193" i="47"/>
  <c r="C195" i="47"/>
  <c r="D242" i="47"/>
  <c r="C250" i="47" s="1"/>
  <c r="C104" i="47"/>
  <c r="C145" i="47"/>
  <c r="C144" i="47"/>
  <c r="F105" i="47"/>
  <c r="AH183" i="67" l="1"/>
  <c r="AH162" i="67"/>
  <c r="AI100" i="67"/>
  <c r="AI118" i="67" s="1"/>
  <c r="AI134" i="67" s="1"/>
  <c r="AI183" i="67" s="1"/>
  <c r="AJ61" i="67"/>
  <c r="C220" i="36"/>
  <c r="C36" i="56"/>
  <c r="C271" i="47"/>
  <c r="D271" i="47" s="1"/>
  <c r="D258" i="47"/>
  <c r="D259" i="47"/>
  <c r="D260" i="47"/>
  <c r="C105" i="47"/>
  <c r="E191" i="47"/>
  <c r="E190" i="47"/>
  <c r="C125" i="47"/>
  <c r="C129" i="47" s="1"/>
  <c r="E193" i="47"/>
  <c r="E145" i="47"/>
  <c r="E192" i="47"/>
  <c r="E144" i="47"/>
  <c r="H54" i="32"/>
  <c r="C327" i="32"/>
  <c r="E171" i="45"/>
  <c r="C171" i="45" s="1"/>
  <c r="C124" i="32"/>
  <c r="E172" i="45" s="1"/>
  <c r="C172" i="45" s="1"/>
  <c r="C117" i="32"/>
  <c r="E147" i="45"/>
  <c r="C38" i="32"/>
  <c r="C95" i="32" s="1"/>
  <c r="C230" i="2"/>
  <c r="C231" i="2"/>
  <c r="C232" i="2"/>
  <c r="C233" i="2"/>
  <c r="C234" i="2"/>
  <c r="C235" i="2"/>
  <c r="C236" i="2"/>
  <c r="C237" i="2"/>
  <c r="C238" i="2"/>
  <c r="C239" i="2"/>
  <c r="C240" i="2"/>
  <c r="C229" i="2"/>
  <c r="C17" i="30"/>
  <c r="C18" i="30"/>
  <c r="C16" i="30"/>
  <c r="C170" i="45"/>
  <c r="C161" i="45"/>
  <c r="G112" i="45"/>
  <c r="G113" i="45"/>
  <c r="D236" i="2" l="1"/>
  <c r="D232" i="2"/>
  <c r="D235" i="2"/>
  <c r="D231" i="2"/>
  <c r="D238" i="2"/>
  <c r="D234" i="2"/>
  <c r="D237" i="2"/>
  <c r="D233" i="2"/>
  <c r="C173" i="45"/>
  <c r="AJ100" i="67"/>
  <c r="AJ118" i="67" s="1"/>
  <c r="AJ134" i="67" s="1"/>
  <c r="AJ183" i="67" s="1"/>
  <c r="AK61" i="67"/>
  <c r="AK100" i="67" s="1"/>
  <c r="AK118" i="67" s="1"/>
  <c r="AK134" i="67" s="1"/>
  <c r="AK183" i="67" s="1"/>
  <c r="C139" i="57"/>
  <c r="D130" i="32"/>
  <c r="C287" i="47"/>
  <c r="C286" i="47"/>
  <c r="C285" i="47"/>
  <c r="H113" i="45"/>
  <c r="C178" i="47"/>
  <c r="H112" i="45"/>
  <c r="C88" i="47"/>
  <c r="E194" i="47"/>
  <c r="C199" i="47" s="1"/>
  <c r="C157" i="47"/>
  <c r="C158" i="47" s="1"/>
  <c r="C141" i="32"/>
  <c r="C30" i="32"/>
  <c r="C24" i="32"/>
  <c r="C125" i="32"/>
  <c r="C74" i="42"/>
  <c r="D93" i="42" s="1"/>
  <c r="C76" i="42"/>
  <c r="D95" i="42" s="1"/>
  <c r="C77" i="42"/>
  <c r="D96" i="42" s="1"/>
  <c r="F49" i="44" s="1"/>
  <c r="D72" i="44" s="1"/>
  <c r="C80" i="42"/>
  <c r="D99" i="42" s="1"/>
  <c r="C59" i="42"/>
  <c r="C93" i="42" s="1"/>
  <c r="C61" i="42"/>
  <c r="C95" i="42" s="1"/>
  <c r="C62" i="42"/>
  <c r="C96" i="42" s="1"/>
  <c r="E49" i="44" s="1"/>
  <c r="C72" i="44" s="1"/>
  <c r="C65" i="42"/>
  <c r="C99" i="42" s="1"/>
  <c r="F100" i="41"/>
  <c r="F101" i="41"/>
  <c r="F102" i="41"/>
  <c r="F106" i="41"/>
  <c r="D100" i="41"/>
  <c r="D101" i="41"/>
  <c r="D103" i="41"/>
  <c r="C100" i="41"/>
  <c r="C102" i="41"/>
  <c r="C103" i="41"/>
  <c r="C106" i="41"/>
  <c r="L148" i="35"/>
  <c r="K148" i="35"/>
  <c r="J148" i="35"/>
  <c r="L147" i="35"/>
  <c r="K147" i="35"/>
  <c r="J147" i="35"/>
  <c r="L146" i="35"/>
  <c r="K146" i="35"/>
  <c r="J146" i="35"/>
  <c r="L145" i="35"/>
  <c r="K145" i="35"/>
  <c r="J145" i="35"/>
  <c r="L144" i="35"/>
  <c r="K144" i="35"/>
  <c r="J144" i="35"/>
  <c r="L143" i="35"/>
  <c r="K143" i="35"/>
  <c r="J143" i="35"/>
  <c r="L142" i="35"/>
  <c r="K142" i="35"/>
  <c r="J142" i="35"/>
  <c r="L141" i="35"/>
  <c r="K141" i="35"/>
  <c r="J141" i="35"/>
  <c r="L140" i="35"/>
  <c r="K140" i="35"/>
  <c r="J140" i="35"/>
  <c r="G126" i="35"/>
  <c r="G127" i="35"/>
  <c r="G128" i="35"/>
  <c r="G132" i="35"/>
  <c r="D126" i="35"/>
  <c r="D127" i="35"/>
  <c r="D129" i="35"/>
  <c r="E127" i="35"/>
  <c r="E128" i="35"/>
  <c r="E132" i="35"/>
  <c r="C126" i="35"/>
  <c r="C128" i="35"/>
  <c r="C129" i="35"/>
  <c r="C132" i="35"/>
  <c r="E195" i="3"/>
  <c r="E194" i="3"/>
  <c r="E193" i="3"/>
  <c r="D195" i="3"/>
  <c r="D194" i="3"/>
  <c r="D193" i="3"/>
  <c r="C18" i="44"/>
  <c r="D18" i="44" s="1"/>
  <c r="AF120" i="44"/>
  <c r="AB120" i="44"/>
  <c r="P120" i="44"/>
  <c r="L120" i="44"/>
  <c r="W117" i="44"/>
  <c r="S117" i="44"/>
  <c r="G117" i="44"/>
  <c r="AF116" i="44"/>
  <c r="T116" i="44"/>
  <c r="P116" i="44"/>
  <c r="D116" i="44"/>
  <c r="AE109" i="44"/>
  <c r="AA109" i="44"/>
  <c r="O109" i="44"/>
  <c r="K109" i="44"/>
  <c r="AB108" i="44"/>
  <c r="X108" i="44"/>
  <c r="L108" i="44"/>
  <c r="H108" i="44"/>
  <c r="T106" i="44"/>
  <c r="L106" i="44"/>
  <c r="D106" i="44"/>
  <c r="AA105" i="44"/>
  <c r="S105" i="44"/>
  <c r="L105" i="44"/>
  <c r="H105" i="44"/>
  <c r="D105" i="44"/>
  <c r="AE103" i="44"/>
  <c r="AD103" i="44"/>
  <c r="AA103" i="44"/>
  <c r="Z103" i="44"/>
  <c r="W103" i="44"/>
  <c r="V103" i="44"/>
  <c r="S103" i="44"/>
  <c r="R103" i="44"/>
  <c r="O103" i="44"/>
  <c r="N103" i="44"/>
  <c r="K103" i="44"/>
  <c r="J103" i="44"/>
  <c r="G103" i="44"/>
  <c r="F103" i="44"/>
  <c r="W113" i="44"/>
  <c r="T112" i="44"/>
  <c r="AF108" i="44"/>
  <c r="AC111" i="44"/>
  <c r="AB112" i="44"/>
  <c r="Y115" i="44"/>
  <c r="X116" i="44"/>
  <c r="U119" i="44"/>
  <c r="T120" i="44"/>
  <c r="Q107" i="44"/>
  <c r="P108" i="44"/>
  <c r="N118" i="44"/>
  <c r="M111" i="44"/>
  <c r="L112" i="44"/>
  <c r="I115" i="44"/>
  <c r="H116" i="44"/>
  <c r="E119" i="44"/>
  <c r="D120" i="44"/>
  <c r="C18" i="43"/>
  <c r="D18" i="43" s="1"/>
  <c r="D127" i="39"/>
  <c r="C129" i="39" s="1"/>
  <c r="C133" i="39" s="1"/>
  <c r="C135" i="39" s="1"/>
  <c r="D48" i="3"/>
  <c r="E48" i="3"/>
  <c r="F48" i="3"/>
  <c r="G48" i="3"/>
  <c r="H48" i="3"/>
  <c r="I48" i="3"/>
  <c r="J48" i="3"/>
  <c r="K48" i="3"/>
  <c r="L48" i="3"/>
  <c r="M48" i="3"/>
  <c r="N48" i="3"/>
  <c r="C48" i="3"/>
  <c r="C32" i="42"/>
  <c r="G12" i="42"/>
  <c r="F114" i="42"/>
  <c r="F109" i="42"/>
  <c r="F106" i="42"/>
  <c r="E38" i="42"/>
  <c r="F38" i="42" s="1"/>
  <c r="E37" i="42"/>
  <c r="F37" i="42" s="1"/>
  <c r="I37" i="42" s="1"/>
  <c r="C73" i="42" s="1"/>
  <c r="E36" i="42"/>
  <c r="F36" i="42" s="1"/>
  <c r="D47" i="3"/>
  <c r="E47" i="3"/>
  <c r="F47" i="3"/>
  <c r="G47" i="3"/>
  <c r="H47" i="3"/>
  <c r="I47" i="3"/>
  <c r="J47" i="3"/>
  <c r="K47" i="3"/>
  <c r="L47" i="3"/>
  <c r="M47" i="3"/>
  <c r="N47" i="3"/>
  <c r="C47" i="3"/>
  <c r="C145" i="41"/>
  <c r="C72" i="41"/>
  <c r="E79" i="41" s="1"/>
  <c r="C415" i="32"/>
  <c r="C414" i="32"/>
  <c r="C138" i="41"/>
  <c r="E59" i="41"/>
  <c r="E58" i="41"/>
  <c r="E57" i="41"/>
  <c r="E56" i="41"/>
  <c r="E38" i="41"/>
  <c r="E37" i="41"/>
  <c r="E36" i="41"/>
  <c r="F79" i="41" l="1"/>
  <c r="BM252" i="2"/>
  <c r="BN252" i="2"/>
  <c r="BR252" i="2"/>
  <c r="BP252" i="2"/>
  <c r="BQ252" i="2"/>
  <c r="BK252" i="2"/>
  <c r="BO252" i="2"/>
  <c r="BS252" i="2"/>
  <c r="BL252" i="2"/>
  <c r="F58" i="41"/>
  <c r="D121" i="41" s="1"/>
  <c r="I58" i="41"/>
  <c r="F59" i="41"/>
  <c r="I59" i="41"/>
  <c r="F56" i="41"/>
  <c r="I56" i="41"/>
  <c r="D113" i="41" s="1"/>
  <c r="F57" i="41"/>
  <c r="I57" i="41"/>
  <c r="F37" i="41"/>
  <c r="I37" i="41"/>
  <c r="F38" i="41"/>
  <c r="I38" i="41"/>
  <c r="F36" i="41"/>
  <c r="I36" i="41"/>
  <c r="E80" i="41"/>
  <c r="C140" i="57"/>
  <c r="D164" i="57" s="1" a="1"/>
  <c r="D164" i="57" s="1"/>
  <c r="E120" i="51"/>
  <c r="D129" i="32"/>
  <c r="D92" i="42"/>
  <c r="F45" i="44" s="1"/>
  <c r="D68" i="44" s="1"/>
  <c r="C114" i="42"/>
  <c r="D114" i="42"/>
  <c r="F52" i="44"/>
  <c r="D75" i="44" s="1"/>
  <c r="F48" i="44"/>
  <c r="D71" i="44" s="1"/>
  <c r="F46" i="44"/>
  <c r="D69" i="44" s="1"/>
  <c r="E52" i="44"/>
  <c r="C75" i="44" s="1"/>
  <c r="E48" i="44"/>
  <c r="C71" i="44" s="1"/>
  <c r="E46" i="44"/>
  <c r="C69" i="44" s="1"/>
  <c r="F117" i="44"/>
  <c r="F113" i="44"/>
  <c r="F109" i="44"/>
  <c r="F120" i="44"/>
  <c r="F116" i="44"/>
  <c r="F112" i="44"/>
  <c r="F108" i="44"/>
  <c r="F119" i="44"/>
  <c r="F115" i="44"/>
  <c r="F111" i="44"/>
  <c r="F107" i="44"/>
  <c r="J117" i="44"/>
  <c r="J113" i="44"/>
  <c r="J109" i="44"/>
  <c r="J120" i="44"/>
  <c r="J116" i="44"/>
  <c r="J112" i="44"/>
  <c r="J108" i="44"/>
  <c r="J119" i="44"/>
  <c r="J115" i="44"/>
  <c r="J111" i="44"/>
  <c r="J107" i="44"/>
  <c r="R117" i="44"/>
  <c r="R113" i="44"/>
  <c r="R109" i="44"/>
  <c r="R105" i="44"/>
  <c r="R120" i="44"/>
  <c r="R116" i="44"/>
  <c r="R112" i="44"/>
  <c r="R108" i="44"/>
  <c r="R119" i="44"/>
  <c r="R115" i="44"/>
  <c r="R111" i="44"/>
  <c r="R107" i="44"/>
  <c r="V117" i="44"/>
  <c r="V113" i="44"/>
  <c r="V109" i="44"/>
  <c r="V105" i="44"/>
  <c r="V120" i="44"/>
  <c r="V116" i="44"/>
  <c r="V112" i="44"/>
  <c r="V108" i="44"/>
  <c r="V119" i="44"/>
  <c r="V115" i="44"/>
  <c r="V111" i="44"/>
  <c r="V107" i="44"/>
  <c r="Z117" i="44"/>
  <c r="Z113" i="44"/>
  <c r="Z109" i="44"/>
  <c r="Z105" i="44"/>
  <c r="Z120" i="44"/>
  <c r="Z116" i="44"/>
  <c r="Z112" i="44"/>
  <c r="Z108" i="44"/>
  <c r="Z119" i="44"/>
  <c r="Z115" i="44"/>
  <c r="Z111" i="44"/>
  <c r="Z107" i="44"/>
  <c r="AD117" i="44"/>
  <c r="AD113" i="44"/>
  <c r="AD109" i="44"/>
  <c r="AD105" i="44"/>
  <c r="AD120" i="44"/>
  <c r="AD116" i="44"/>
  <c r="AD112" i="44"/>
  <c r="AD108" i="44"/>
  <c r="AD119" i="44"/>
  <c r="AD115" i="44"/>
  <c r="AD111" i="44"/>
  <c r="AD107" i="44"/>
  <c r="F104" i="44"/>
  <c r="N104" i="44"/>
  <c r="V104" i="44"/>
  <c r="AD104" i="44"/>
  <c r="I105" i="44"/>
  <c r="F106" i="44"/>
  <c r="V106" i="44"/>
  <c r="I107" i="44"/>
  <c r="Y107" i="44"/>
  <c r="E111" i="44"/>
  <c r="H112" i="44"/>
  <c r="AA113" i="44"/>
  <c r="AD114" i="44"/>
  <c r="J118" i="44"/>
  <c r="M119" i="44"/>
  <c r="G120" i="44"/>
  <c r="G116" i="44"/>
  <c r="G112" i="44"/>
  <c r="G108" i="44"/>
  <c r="G119" i="44"/>
  <c r="G115" i="44"/>
  <c r="G111" i="44"/>
  <c r="G107" i="44"/>
  <c r="G118" i="44"/>
  <c r="G114" i="44"/>
  <c r="G110" i="44"/>
  <c r="G106" i="44"/>
  <c r="K120" i="44"/>
  <c r="K116" i="44"/>
  <c r="K112" i="44"/>
  <c r="K108" i="44"/>
  <c r="K119" i="44"/>
  <c r="K115" i="44"/>
  <c r="K111" i="44"/>
  <c r="K107" i="44"/>
  <c r="K118" i="44"/>
  <c r="K114" i="44"/>
  <c r="K110" i="44"/>
  <c r="K106" i="44"/>
  <c r="O120" i="44"/>
  <c r="O116" i="44"/>
  <c r="O112" i="44"/>
  <c r="O108" i="44"/>
  <c r="O119" i="44"/>
  <c r="O115" i="44"/>
  <c r="O111" i="44"/>
  <c r="O107" i="44"/>
  <c r="O118" i="44"/>
  <c r="O114" i="44"/>
  <c r="O110" i="44"/>
  <c r="O106" i="44"/>
  <c r="S120" i="44"/>
  <c r="S116" i="44"/>
  <c r="S112" i="44"/>
  <c r="S108" i="44"/>
  <c r="S119" i="44"/>
  <c r="S115" i="44"/>
  <c r="S111" i="44"/>
  <c r="S107" i="44"/>
  <c r="S118" i="44"/>
  <c r="S114" i="44"/>
  <c r="S110" i="44"/>
  <c r="S106" i="44"/>
  <c r="W120" i="44"/>
  <c r="W116" i="44"/>
  <c r="W112" i="44"/>
  <c r="W108" i="44"/>
  <c r="W119" i="44"/>
  <c r="W115" i="44"/>
  <c r="W111" i="44"/>
  <c r="W107" i="44"/>
  <c r="W118" i="44"/>
  <c r="W114" i="44"/>
  <c r="W110" i="44"/>
  <c r="W106" i="44"/>
  <c r="AA120" i="44"/>
  <c r="AA116" i="44"/>
  <c r="AA112" i="44"/>
  <c r="AA108" i="44"/>
  <c r="AA119" i="44"/>
  <c r="AA115" i="44"/>
  <c r="AA111" i="44"/>
  <c r="AA107" i="44"/>
  <c r="AA118" i="44"/>
  <c r="AA114" i="44"/>
  <c r="AA110" i="44"/>
  <c r="AA106" i="44"/>
  <c r="AE120" i="44"/>
  <c r="AE116" i="44"/>
  <c r="AE112" i="44"/>
  <c r="AE108" i="44"/>
  <c r="AE119" i="44"/>
  <c r="AE115" i="44"/>
  <c r="AE111" i="44"/>
  <c r="AE107" i="44"/>
  <c r="AE118" i="44"/>
  <c r="AE114" i="44"/>
  <c r="AE110" i="44"/>
  <c r="AE106" i="44"/>
  <c r="D103" i="44"/>
  <c r="H103" i="44"/>
  <c r="L103" i="44"/>
  <c r="P103" i="44"/>
  <c r="T103" i="44"/>
  <c r="X103" i="44"/>
  <c r="AB103" i="44"/>
  <c r="AF103" i="44"/>
  <c r="G104" i="44"/>
  <c r="K104" i="44"/>
  <c r="O104" i="44"/>
  <c r="S104" i="44"/>
  <c r="W104" i="44"/>
  <c r="AA104" i="44"/>
  <c r="AE104" i="44"/>
  <c r="F105" i="44"/>
  <c r="J105" i="44"/>
  <c r="N105" i="44"/>
  <c r="U105" i="44"/>
  <c r="AC105" i="44"/>
  <c r="H106" i="44"/>
  <c r="P106" i="44"/>
  <c r="Z106" i="44"/>
  <c r="M107" i="44"/>
  <c r="AC107" i="44"/>
  <c r="S109" i="44"/>
  <c r="F110" i="44"/>
  <c r="V110" i="44"/>
  <c r="I111" i="44"/>
  <c r="Y111" i="44"/>
  <c r="O113" i="44"/>
  <c r="AE113" i="44"/>
  <c r="R114" i="44"/>
  <c r="E115" i="44"/>
  <c r="U115" i="44"/>
  <c r="K117" i="44"/>
  <c r="AA117" i="44"/>
  <c r="AD118" i="44"/>
  <c r="Q119" i="44"/>
  <c r="N117" i="44"/>
  <c r="N113" i="44"/>
  <c r="N109" i="44"/>
  <c r="N120" i="44"/>
  <c r="N116" i="44"/>
  <c r="N112" i="44"/>
  <c r="N108" i="44"/>
  <c r="N119" i="44"/>
  <c r="N115" i="44"/>
  <c r="N111" i="44"/>
  <c r="N107" i="44"/>
  <c r="J104" i="44"/>
  <c r="R104" i="44"/>
  <c r="Z104" i="44"/>
  <c r="E105" i="44"/>
  <c r="M105" i="44"/>
  <c r="N106" i="44"/>
  <c r="R110" i="44"/>
  <c r="U111" i="44"/>
  <c r="X112" i="44"/>
  <c r="K113" i="44"/>
  <c r="N114" i="44"/>
  <c r="Q115" i="44"/>
  <c r="Z118" i="44"/>
  <c r="AC119" i="44"/>
  <c r="D119" i="44"/>
  <c r="D115" i="44"/>
  <c r="D111" i="44"/>
  <c r="D107" i="44"/>
  <c r="D118" i="44"/>
  <c r="D114" i="44"/>
  <c r="D110" i="44"/>
  <c r="D117" i="44"/>
  <c r="D113" i="44"/>
  <c r="D109" i="44"/>
  <c r="H119" i="44"/>
  <c r="H115" i="44"/>
  <c r="H111" i="44"/>
  <c r="H107" i="44"/>
  <c r="H118" i="44"/>
  <c r="H114" i="44"/>
  <c r="H110" i="44"/>
  <c r="H117" i="44"/>
  <c r="H113" i="44"/>
  <c r="H109" i="44"/>
  <c r="L119" i="44"/>
  <c r="L115" i="44"/>
  <c r="L111" i="44"/>
  <c r="L107" i="44"/>
  <c r="L118" i="44"/>
  <c r="L114" i="44"/>
  <c r="L110" i="44"/>
  <c r="L117" i="44"/>
  <c r="L113" i="44"/>
  <c r="L109" i="44"/>
  <c r="P119" i="44"/>
  <c r="P115" i="44"/>
  <c r="P111" i="44"/>
  <c r="P107" i="44"/>
  <c r="P118" i="44"/>
  <c r="P114" i="44"/>
  <c r="P110" i="44"/>
  <c r="P117" i="44"/>
  <c r="P113" i="44"/>
  <c r="P109" i="44"/>
  <c r="P105" i="44"/>
  <c r="T119" i="44"/>
  <c r="T115" i="44"/>
  <c r="T111" i="44"/>
  <c r="T107" i="44"/>
  <c r="T118" i="44"/>
  <c r="T114" i="44"/>
  <c r="T110" i="44"/>
  <c r="T117" i="44"/>
  <c r="T113" i="44"/>
  <c r="T109" i="44"/>
  <c r="T105" i="44"/>
  <c r="X119" i="44"/>
  <c r="X115" i="44"/>
  <c r="X111" i="44"/>
  <c r="X107" i="44"/>
  <c r="X118" i="44"/>
  <c r="X114" i="44"/>
  <c r="X110" i="44"/>
  <c r="X106" i="44"/>
  <c r="X117" i="44"/>
  <c r="X113" i="44"/>
  <c r="X109" i="44"/>
  <c r="X105" i="44"/>
  <c r="AB119" i="44"/>
  <c r="AB115" i="44"/>
  <c r="AB111" i="44"/>
  <c r="AB107" i="44"/>
  <c r="AB118" i="44"/>
  <c r="AB114" i="44"/>
  <c r="AB110" i="44"/>
  <c r="AB106" i="44"/>
  <c r="AB117" i="44"/>
  <c r="AB113" i="44"/>
  <c r="AB109" i="44"/>
  <c r="AB105" i="44"/>
  <c r="AF119" i="44"/>
  <c r="AF115" i="44"/>
  <c r="AF111" i="44"/>
  <c r="AF107" i="44"/>
  <c r="AF118" i="44"/>
  <c r="AF114" i="44"/>
  <c r="AF110" i="44"/>
  <c r="AF106" i="44"/>
  <c r="AF117" i="44"/>
  <c r="AF113" i="44"/>
  <c r="AF109" i="44"/>
  <c r="AF105" i="44"/>
  <c r="E103" i="44"/>
  <c r="I103" i="44"/>
  <c r="M103" i="44"/>
  <c r="Q103" i="44"/>
  <c r="U103" i="44"/>
  <c r="Y103" i="44"/>
  <c r="AC103" i="44"/>
  <c r="D104" i="44"/>
  <c r="H104" i="44"/>
  <c r="L104" i="44"/>
  <c r="P104" i="44"/>
  <c r="T104" i="44"/>
  <c r="X104" i="44"/>
  <c r="AB104" i="44"/>
  <c r="AF104" i="44"/>
  <c r="G105" i="44"/>
  <c r="K105" i="44"/>
  <c r="O105" i="44"/>
  <c r="W105" i="44"/>
  <c r="AE105" i="44"/>
  <c r="J106" i="44"/>
  <c r="R106" i="44"/>
  <c r="AD106" i="44"/>
  <c r="D108" i="44"/>
  <c r="T108" i="44"/>
  <c r="G109" i="44"/>
  <c r="W109" i="44"/>
  <c r="J110" i="44"/>
  <c r="Z110" i="44"/>
  <c r="P112" i="44"/>
  <c r="AF112" i="44"/>
  <c r="S113" i="44"/>
  <c r="F114" i="44"/>
  <c r="V114" i="44"/>
  <c r="L116" i="44"/>
  <c r="AB116" i="44"/>
  <c r="O117" i="44"/>
  <c r="AE117" i="44"/>
  <c r="R118" i="44"/>
  <c r="H120" i="44"/>
  <c r="X120" i="44"/>
  <c r="E118" i="44"/>
  <c r="E114" i="44"/>
  <c r="E110" i="44"/>
  <c r="E106" i="44"/>
  <c r="E117" i="44"/>
  <c r="E113" i="44"/>
  <c r="E109" i="44"/>
  <c r="E120" i="44"/>
  <c r="E116" i="44"/>
  <c r="E112" i="44"/>
  <c r="E108" i="44"/>
  <c r="I118" i="44"/>
  <c r="I114" i="44"/>
  <c r="I110" i="44"/>
  <c r="I106" i="44"/>
  <c r="I117" i="44"/>
  <c r="I113" i="44"/>
  <c r="I109" i="44"/>
  <c r="I120" i="44"/>
  <c r="I116" i="44"/>
  <c r="I112" i="44"/>
  <c r="I108" i="44"/>
  <c r="M118" i="44"/>
  <c r="M114" i="44"/>
  <c r="M110" i="44"/>
  <c r="M106" i="44"/>
  <c r="M117" i="44"/>
  <c r="M113" i="44"/>
  <c r="M109" i="44"/>
  <c r="M120" i="44"/>
  <c r="M116" i="44"/>
  <c r="M112" i="44"/>
  <c r="M108" i="44"/>
  <c r="Q118" i="44"/>
  <c r="Q114" i="44"/>
  <c r="Q110" i="44"/>
  <c r="Q106" i="44"/>
  <c r="Q117" i="44"/>
  <c r="Q113" i="44"/>
  <c r="Q109" i="44"/>
  <c r="Q120" i="44"/>
  <c r="Q116" i="44"/>
  <c r="Q112" i="44"/>
  <c r="Q108" i="44"/>
  <c r="U118" i="44"/>
  <c r="U114" i="44"/>
  <c r="U110" i="44"/>
  <c r="U106" i="44"/>
  <c r="U117" i="44"/>
  <c r="U113" i="44"/>
  <c r="U109" i="44"/>
  <c r="U120" i="44"/>
  <c r="U116" i="44"/>
  <c r="U112" i="44"/>
  <c r="U108" i="44"/>
  <c r="Y118" i="44"/>
  <c r="Y114" i="44"/>
  <c r="Y110" i="44"/>
  <c r="Y106" i="44"/>
  <c r="Y117" i="44"/>
  <c r="Y113" i="44"/>
  <c r="Y109" i="44"/>
  <c r="Y120" i="44"/>
  <c r="Y116" i="44"/>
  <c r="Y112" i="44"/>
  <c r="Y108" i="44"/>
  <c r="AC118" i="44"/>
  <c r="AC114" i="44"/>
  <c r="AC110" i="44"/>
  <c r="AC106" i="44"/>
  <c r="AC117" i="44"/>
  <c r="AC113" i="44"/>
  <c r="AC109" i="44"/>
  <c r="AC120" i="44"/>
  <c r="AC116" i="44"/>
  <c r="AC112" i="44"/>
  <c r="AC108" i="44"/>
  <c r="E104" i="44"/>
  <c r="I104" i="44"/>
  <c r="M104" i="44"/>
  <c r="Q104" i="44"/>
  <c r="U104" i="44"/>
  <c r="Y104" i="44"/>
  <c r="AC104" i="44"/>
  <c r="Q105" i="44"/>
  <c r="Y105" i="44"/>
  <c r="E107" i="44"/>
  <c r="U107" i="44"/>
  <c r="N110" i="44"/>
  <c r="AD110" i="44"/>
  <c r="Q111" i="44"/>
  <c r="D112" i="44"/>
  <c r="G113" i="44"/>
  <c r="J114" i="44"/>
  <c r="Z114" i="44"/>
  <c r="M115" i="44"/>
  <c r="AC115" i="44"/>
  <c r="F118" i="44"/>
  <c r="V118" i="44"/>
  <c r="I119" i="44"/>
  <c r="Y119" i="44"/>
  <c r="I36" i="42"/>
  <c r="I38" i="42"/>
  <c r="E12" i="42"/>
  <c r="E81" i="41"/>
  <c r="C114" i="41"/>
  <c r="J79" i="41"/>
  <c r="C116" i="41"/>
  <c r="D114" i="41"/>
  <c r="F80" i="41" l="1"/>
  <c r="J80" i="41" s="1"/>
  <c r="C94" i="53" s="1"/>
  <c r="F81" i="41"/>
  <c r="J81" i="41" s="1"/>
  <c r="D117" i="41"/>
  <c r="C113" i="41"/>
  <c r="C72" i="42"/>
  <c r="D91" i="42" s="1"/>
  <c r="C75" i="42"/>
  <c r="D94" i="42" s="1"/>
  <c r="D161" i="57" a="1"/>
  <c r="D161" i="57" s="1"/>
  <c r="C159" i="57" a="1"/>
  <c r="C159" i="57" s="1"/>
  <c r="D159" i="57" a="1"/>
  <c r="D159" i="57" s="1"/>
  <c r="D162" i="57" a="1"/>
  <c r="D162" i="57" s="1"/>
  <c r="C141" i="57"/>
  <c r="C162" i="57" a="1"/>
  <c r="C162" i="57" s="1"/>
  <c r="C164" i="57" a="1"/>
  <c r="C164" i="57" s="1"/>
  <c r="D160" i="57" a="1"/>
  <c r="D160" i="57" s="1"/>
  <c r="C161" i="57" a="1"/>
  <c r="C161" i="57" s="1"/>
  <c r="C167" i="57" a="1"/>
  <c r="C167" i="57" s="1"/>
  <c r="D167" i="57" a="1"/>
  <c r="D167" i="57" s="1"/>
  <c r="C149" i="57"/>
  <c r="C163" i="57" a="1"/>
  <c r="C163" i="57" s="1"/>
  <c r="C160" i="57" a="1"/>
  <c r="C160" i="57" s="1"/>
  <c r="D163" i="57" a="1"/>
  <c r="D163" i="57" s="1"/>
  <c r="C90" i="43"/>
  <c r="C93" i="53"/>
  <c r="C98" i="53"/>
  <c r="C95" i="43"/>
  <c r="C83" i="41"/>
  <c r="E83" i="41" s="1"/>
  <c r="C109" i="35"/>
  <c r="F12" i="42"/>
  <c r="C91" i="43" l="1"/>
  <c r="F83" i="41"/>
  <c r="J83" i="41" s="1"/>
  <c r="F47" i="44"/>
  <c r="D70" i="44" s="1"/>
  <c r="D109" i="42"/>
  <c r="D106" i="42"/>
  <c r="F44" i="44"/>
  <c r="D67" i="44" s="1"/>
  <c r="E95" i="56"/>
  <c r="E96" i="56"/>
  <c r="H38" i="42"/>
  <c r="C60" i="42" s="1"/>
  <c r="H36" i="42"/>
  <c r="C57" i="42" s="1"/>
  <c r="H37" i="42"/>
  <c r="C58" i="42" s="1"/>
  <c r="H95" i="56" l="1"/>
  <c r="I95" i="56"/>
  <c r="H96" i="56"/>
  <c r="I96" i="56"/>
  <c r="F96" i="56"/>
  <c r="F95" i="56"/>
  <c r="C94" i="42"/>
  <c r="C91" i="42"/>
  <c r="C92" i="42"/>
  <c r="C109" i="42" l="1"/>
  <c r="E47" i="44"/>
  <c r="C70" i="44" s="1"/>
  <c r="E45" i="44"/>
  <c r="C68" i="44" s="1"/>
  <c r="C106" i="42"/>
  <c r="E44" i="44"/>
  <c r="C67" i="44" s="1"/>
  <c r="C97" i="40"/>
  <c r="D97" i="40" s="1"/>
  <c r="C62" i="40"/>
  <c r="D62" i="40" s="1"/>
  <c r="C18" i="36" l="1"/>
  <c r="D18" i="36" s="1"/>
  <c r="C30" i="40"/>
  <c r="D30" i="40" s="1"/>
  <c r="D31" i="39" l="1"/>
  <c r="C33" i="39" s="1"/>
  <c r="C37" i="39" s="1"/>
  <c r="C39" i="39" s="1"/>
  <c r="C165" i="35"/>
  <c r="C166" i="35"/>
  <c r="C98" i="35"/>
  <c r="E106" i="35" l="1"/>
  <c r="E105" i="35"/>
  <c r="E107" i="35"/>
  <c r="C68" i="37"/>
  <c r="F107" i="35" l="1"/>
  <c r="J107" i="35" s="1"/>
  <c r="F105" i="35"/>
  <c r="J105" i="35" s="1"/>
  <c r="F106" i="35"/>
  <c r="J106" i="35" s="1"/>
  <c r="C91" i="36"/>
  <c r="C93" i="52"/>
  <c r="E109" i="35"/>
  <c r="F109" i="35" l="1"/>
  <c r="J109" i="35" s="1"/>
  <c r="C92" i="52"/>
  <c r="C90" i="36"/>
  <c r="C95" i="36"/>
  <c r="C97" i="52"/>
  <c r="B118" i="19"/>
  <c r="B166" i="19" s="1"/>
  <c r="B216" i="19" s="1"/>
  <c r="B265" i="19" s="1"/>
  <c r="B79" i="19"/>
  <c r="B127" i="19" s="1"/>
  <c r="B177" i="19" s="1"/>
  <c r="B226" i="19" s="1"/>
  <c r="B80" i="19"/>
  <c r="B128" i="19" s="1"/>
  <c r="B178" i="19" s="1"/>
  <c r="B227" i="19" s="1"/>
  <c r="B81" i="19"/>
  <c r="B129" i="19" s="1"/>
  <c r="B82" i="19"/>
  <c r="B130" i="19" s="1"/>
  <c r="B180" i="19" s="1"/>
  <c r="B229" i="19" s="1"/>
  <c r="B83" i="19"/>
  <c r="B131" i="19" s="1"/>
  <c r="B181" i="19" s="1"/>
  <c r="B230" i="19" s="1"/>
  <c r="B84" i="19"/>
  <c r="B132" i="19" s="1"/>
  <c r="B182" i="19" s="1"/>
  <c r="B231" i="19" s="1"/>
  <c r="B85" i="19"/>
  <c r="B133" i="19" s="1"/>
  <c r="B183" i="19" s="1"/>
  <c r="B232" i="19" s="1"/>
  <c r="B86" i="19"/>
  <c r="B134" i="19" s="1"/>
  <c r="B184" i="19" s="1"/>
  <c r="B233" i="19" s="1"/>
  <c r="B87" i="19"/>
  <c r="B135" i="19" s="1"/>
  <c r="B185" i="19" s="1"/>
  <c r="B234" i="19" s="1"/>
  <c r="B88" i="19"/>
  <c r="B136" i="19" s="1"/>
  <c r="B186" i="19" s="1"/>
  <c r="B235" i="19" s="1"/>
  <c r="B89" i="19"/>
  <c r="B137" i="19" s="1"/>
  <c r="B187" i="19" s="1"/>
  <c r="B236" i="19" s="1"/>
  <c r="B90" i="19"/>
  <c r="B138" i="19" s="1"/>
  <c r="B188" i="19" s="1"/>
  <c r="B237" i="19" s="1"/>
  <c r="B91" i="19"/>
  <c r="B139" i="19" s="1"/>
  <c r="B189" i="19" s="1"/>
  <c r="B238" i="19" s="1"/>
  <c r="B92" i="19"/>
  <c r="B140" i="19" s="1"/>
  <c r="B190" i="19" s="1"/>
  <c r="B239" i="19" s="1"/>
  <c r="B93" i="19"/>
  <c r="B141" i="19" s="1"/>
  <c r="B191" i="19" s="1"/>
  <c r="B240" i="19" s="1"/>
  <c r="B94" i="19"/>
  <c r="B142" i="19" s="1"/>
  <c r="B192" i="19" s="1"/>
  <c r="B241" i="19" s="1"/>
  <c r="B95" i="19"/>
  <c r="B143" i="19" s="1"/>
  <c r="B193" i="19" s="1"/>
  <c r="B242" i="19" s="1"/>
  <c r="B96" i="19"/>
  <c r="B144" i="19" s="1"/>
  <c r="B194" i="19" s="1"/>
  <c r="B243" i="19" s="1"/>
  <c r="B97" i="19"/>
  <c r="B145" i="19" s="1"/>
  <c r="B195" i="19" s="1"/>
  <c r="B244" i="19" s="1"/>
  <c r="B98" i="19"/>
  <c r="B146" i="19" s="1"/>
  <c r="B196" i="19" s="1"/>
  <c r="B245" i="19" s="1"/>
  <c r="B99" i="19"/>
  <c r="B147" i="19" s="1"/>
  <c r="B197" i="19" s="1"/>
  <c r="B246" i="19" s="1"/>
  <c r="B100" i="19"/>
  <c r="B148" i="19" s="1"/>
  <c r="B198" i="19" s="1"/>
  <c r="B247" i="19" s="1"/>
  <c r="B101" i="19"/>
  <c r="B149" i="19" s="1"/>
  <c r="B199" i="19" s="1"/>
  <c r="B248" i="19" s="1"/>
  <c r="B102" i="19"/>
  <c r="B150" i="19" s="1"/>
  <c r="B200" i="19" s="1"/>
  <c r="B249" i="19" s="1"/>
  <c r="B103" i="19"/>
  <c r="B151" i="19" s="1"/>
  <c r="B201" i="19" s="1"/>
  <c r="B250" i="19" s="1"/>
  <c r="B104" i="19"/>
  <c r="B152" i="19" s="1"/>
  <c r="B202" i="19" s="1"/>
  <c r="B251" i="19" s="1"/>
  <c r="B105" i="19"/>
  <c r="B153" i="19" s="1"/>
  <c r="B203" i="19" s="1"/>
  <c r="B252" i="19" s="1"/>
  <c r="B106" i="19"/>
  <c r="B154" i="19" s="1"/>
  <c r="B204" i="19" s="1"/>
  <c r="B253" i="19" s="1"/>
  <c r="B107" i="19"/>
  <c r="B155" i="19" s="1"/>
  <c r="B205" i="19" s="1"/>
  <c r="B254" i="19" s="1"/>
  <c r="B108" i="19"/>
  <c r="B156" i="19" s="1"/>
  <c r="B206" i="19" s="1"/>
  <c r="B255" i="19" s="1"/>
  <c r="B109" i="19"/>
  <c r="B157" i="19" s="1"/>
  <c r="B207" i="19" s="1"/>
  <c r="B256" i="19" s="1"/>
  <c r="B110" i="19"/>
  <c r="B158" i="19" s="1"/>
  <c r="B208" i="19" s="1"/>
  <c r="B257" i="19" s="1"/>
  <c r="B111" i="19"/>
  <c r="B159" i="19" s="1"/>
  <c r="B209" i="19" s="1"/>
  <c r="B258" i="19" s="1"/>
  <c r="B112" i="19"/>
  <c r="B160" i="19" s="1"/>
  <c r="B210" i="19" s="1"/>
  <c r="B259" i="19" s="1"/>
  <c r="B113" i="19"/>
  <c r="B161" i="19" s="1"/>
  <c r="B211" i="19" s="1"/>
  <c r="B260" i="19" s="1"/>
  <c r="B114" i="19"/>
  <c r="B162" i="19" s="1"/>
  <c r="B212" i="19" s="1"/>
  <c r="B261" i="19" s="1"/>
  <c r="B115" i="19"/>
  <c r="B163" i="19" s="1"/>
  <c r="B213" i="19" s="1"/>
  <c r="B262" i="19" s="1"/>
  <c r="B116" i="19"/>
  <c r="B164" i="19" s="1"/>
  <c r="B214" i="19" s="1"/>
  <c r="B263" i="19" s="1"/>
  <c r="B117" i="19"/>
  <c r="B165" i="19" s="1"/>
  <c r="B215" i="19" s="1"/>
  <c r="B264" i="19" s="1"/>
  <c r="J28" i="19"/>
  <c r="K28" i="19"/>
  <c r="L28" i="19"/>
  <c r="M28" i="19"/>
  <c r="N28" i="19"/>
  <c r="J29" i="19"/>
  <c r="K29" i="19"/>
  <c r="L29" i="19"/>
  <c r="M29" i="19"/>
  <c r="N29" i="19"/>
  <c r="J30" i="19"/>
  <c r="K30" i="19"/>
  <c r="L30" i="19"/>
  <c r="M30" i="19"/>
  <c r="N30" i="19"/>
  <c r="J31" i="19"/>
  <c r="K31" i="19"/>
  <c r="L31" i="19"/>
  <c r="M31" i="19"/>
  <c r="N31" i="19"/>
  <c r="J32" i="19"/>
  <c r="K32" i="19"/>
  <c r="L32" i="19"/>
  <c r="M32" i="19"/>
  <c r="N32" i="19"/>
  <c r="J33" i="19"/>
  <c r="K33" i="19"/>
  <c r="L33" i="19"/>
  <c r="M33" i="19"/>
  <c r="N33" i="19"/>
  <c r="J34" i="19"/>
  <c r="K34" i="19"/>
  <c r="L34" i="19"/>
  <c r="M34" i="19"/>
  <c r="N34" i="19"/>
  <c r="J35" i="19"/>
  <c r="K35" i="19"/>
  <c r="L35" i="19"/>
  <c r="M35" i="19"/>
  <c r="N35" i="19"/>
  <c r="J36" i="19"/>
  <c r="K36" i="19"/>
  <c r="L36" i="19"/>
  <c r="M36" i="19"/>
  <c r="N36" i="19"/>
  <c r="J37" i="19"/>
  <c r="K37" i="19"/>
  <c r="L37" i="19"/>
  <c r="M37" i="19"/>
  <c r="N37" i="19"/>
  <c r="J38" i="19"/>
  <c r="K38" i="19"/>
  <c r="L38" i="19"/>
  <c r="M38" i="19"/>
  <c r="N38" i="19"/>
  <c r="J39" i="19"/>
  <c r="K39" i="19"/>
  <c r="L39" i="19"/>
  <c r="M39" i="19"/>
  <c r="N39" i="19"/>
  <c r="J40" i="19"/>
  <c r="K40" i="19"/>
  <c r="L40" i="19"/>
  <c r="M40" i="19"/>
  <c r="N40" i="19"/>
  <c r="J41" i="19"/>
  <c r="K41" i="19"/>
  <c r="L41" i="19"/>
  <c r="M41" i="19"/>
  <c r="N41" i="19"/>
  <c r="J42" i="19"/>
  <c r="K42" i="19"/>
  <c r="L42" i="19"/>
  <c r="M42" i="19"/>
  <c r="N42" i="19"/>
  <c r="J43" i="19"/>
  <c r="K43" i="19"/>
  <c r="L43" i="19"/>
  <c r="M43" i="19"/>
  <c r="N43" i="19"/>
  <c r="J44" i="19"/>
  <c r="K44" i="19"/>
  <c r="L44" i="19"/>
  <c r="M44" i="19"/>
  <c r="N44" i="19"/>
  <c r="J45" i="19"/>
  <c r="K45" i="19"/>
  <c r="L45" i="19"/>
  <c r="M45" i="19"/>
  <c r="N45" i="19"/>
  <c r="J46" i="19"/>
  <c r="K46" i="19"/>
  <c r="L46" i="19"/>
  <c r="M46" i="19"/>
  <c r="N46" i="19"/>
  <c r="J47" i="19"/>
  <c r="K47" i="19"/>
  <c r="L47" i="19"/>
  <c r="M47" i="19"/>
  <c r="N47" i="19"/>
  <c r="J48" i="19"/>
  <c r="K48" i="19"/>
  <c r="L48" i="19"/>
  <c r="M48" i="19"/>
  <c r="N48" i="19"/>
  <c r="J49" i="19"/>
  <c r="K49" i="19"/>
  <c r="L49" i="19"/>
  <c r="M49" i="19"/>
  <c r="N49" i="19"/>
  <c r="J50" i="19"/>
  <c r="K50" i="19"/>
  <c r="L50" i="19"/>
  <c r="M50" i="19"/>
  <c r="N50" i="19"/>
  <c r="J51" i="19"/>
  <c r="K51" i="19"/>
  <c r="L51" i="19"/>
  <c r="M51" i="19"/>
  <c r="N51" i="19"/>
  <c r="J52" i="19"/>
  <c r="K52" i="19"/>
  <c r="L52" i="19"/>
  <c r="M52" i="19"/>
  <c r="N52" i="19"/>
  <c r="J53" i="19"/>
  <c r="K53" i="19"/>
  <c r="L53" i="19"/>
  <c r="M53" i="19"/>
  <c r="N53" i="19"/>
  <c r="J54" i="19"/>
  <c r="K54" i="19"/>
  <c r="L54" i="19"/>
  <c r="M54" i="19"/>
  <c r="N54" i="19"/>
  <c r="J55" i="19"/>
  <c r="K55" i="19"/>
  <c r="L55" i="19"/>
  <c r="M55" i="19"/>
  <c r="N55" i="19"/>
  <c r="J56" i="19"/>
  <c r="K56" i="19"/>
  <c r="L56" i="19"/>
  <c r="M56" i="19"/>
  <c r="N56" i="19"/>
  <c r="J57" i="19"/>
  <c r="K57" i="19"/>
  <c r="L57" i="19"/>
  <c r="M57" i="19"/>
  <c r="N57" i="19"/>
  <c r="J58" i="19"/>
  <c r="K58" i="19"/>
  <c r="L58" i="19"/>
  <c r="M58" i="19"/>
  <c r="N58" i="19"/>
  <c r="J59" i="19"/>
  <c r="K59" i="19"/>
  <c r="L59" i="19"/>
  <c r="M59" i="19"/>
  <c r="N59" i="19"/>
  <c r="J60" i="19"/>
  <c r="K60" i="19"/>
  <c r="L60" i="19"/>
  <c r="M60" i="19"/>
  <c r="N60" i="19"/>
  <c r="J61" i="19"/>
  <c r="K61" i="19"/>
  <c r="L61" i="19"/>
  <c r="M61" i="19"/>
  <c r="N61" i="19"/>
  <c r="J62" i="19"/>
  <c r="K62" i="19"/>
  <c r="L62" i="19"/>
  <c r="M62" i="19"/>
  <c r="N62" i="19"/>
  <c r="J63" i="19"/>
  <c r="K63" i="19"/>
  <c r="L63" i="19"/>
  <c r="M63" i="19"/>
  <c r="N63" i="19"/>
  <c r="J64" i="19"/>
  <c r="K64" i="19"/>
  <c r="L64" i="19"/>
  <c r="M64" i="19"/>
  <c r="N64" i="19"/>
  <c r="J65" i="19"/>
  <c r="K65" i="19"/>
  <c r="L65" i="19"/>
  <c r="M65" i="19"/>
  <c r="N65" i="19"/>
  <c r="J66" i="19"/>
  <c r="K66" i="19"/>
  <c r="L66" i="19"/>
  <c r="M66" i="19"/>
  <c r="N66" i="19"/>
  <c r="J67" i="19"/>
  <c r="K67" i="19"/>
  <c r="L67" i="19"/>
  <c r="M67" i="19"/>
  <c r="N67" i="19"/>
  <c r="C172" i="35"/>
  <c r="T1653" i="25"/>
  <c r="T1654" i="25"/>
  <c r="T1655" i="25"/>
  <c r="T1656" i="25"/>
  <c r="T1657" i="25"/>
  <c r="T1658" i="25"/>
  <c r="T1659" i="25"/>
  <c r="T1660" i="25"/>
  <c r="T1661" i="25"/>
  <c r="T1662" i="25"/>
  <c r="T1663" i="25"/>
  <c r="T1664" i="25"/>
  <c r="T1665" i="25"/>
  <c r="T1666" i="25"/>
  <c r="T1667" i="25"/>
  <c r="T1668" i="25"/>
  <c r="T1669" i="25"/>
  <c r="T1670" i="25"/>
  <c r="T1671" i="25"/>
  <c r="T1672" i="25"/>
  <c r="T1673" i="25"/>
  <c r="T1674" i="25"/>
  <c r="T1675" i="25"/>
  <c r="T1652" i="25"/>
  <c r="V1651" i="25" l="1"/>
  <c r="C16" i="25" s="1"/>
  <c r="C129" i="3" s="1"/>
  <c r="F107" i="42" s="1"/>
  <c r="B179" i="19"/>
  <c r="B228" i="19" s="1"/>
  <c r="D107" i="42" l="1"/>
  <c r="C107" i="42"/>
  <c r="C195" i="3" l="1"/>
  <c r="C194" i="3"/>
  <c r="C193" i="3"/>
  <c r="E94" i="56" s="1"/>
  <c r="T1526" i="25"/>
  <c r="T1521" i="25"/>
  <c r="T1522" i="25"/>
  <c r="T1523" i="25"/>
  <c r="T1524" i="25"/>
  <c r="T1525" i="25"/>
  <c r="T1527" i="25"/>
  <c r="F94" i="56" l="1"/>
  <c r="I94" i="56"/>
  <c r="H94" i="56"/>
  <c r="D205" i="3"/>
  <c r="C323" i="47" s="1"/>
  <c r="H323" i="47" s="1"/>
  <c r="D206" i="3"/>
  <c r="C324" i="47" s="1"/>
  <c r="H324" i="47" s="1"/>
  <c r="D207" i="3"/>
  <c r="C325" i="47" s="1"/>
  <c r="H325" i="47" s="1"/>
  <c r="D208" i="3"/>
  <c r="C326" i="47" s="1"/>
  <c r="H326" i="47" s="1"/>
  <c r="D204" i="3"/>
  <c r="D224" i="3"/>
  <c r="C322" i="47" l="1"/>
  <c r="H322" i="47" s="1"/>
  <c r="H327" i="47" s="1"/>
  <c r="D209" i="3"/>
  <c r="D233" i="3"/>
  <c r="C140" i="3"/>
  <c r="D234" i="3"/>
  <c r="D232" i="3"/>
  <c r="D75" i="5"/>
  <c r="D76" i="5"/>
  <c r="D74" i="5"/>
  <c r="D61" i="5"/>
  <c r="D62" i="5"/>
  <c r="D60" i="5"/>
  <c r="C327" i="47" l="1"/>
  <c r="D42" i="30"/>
  <c r="C54" i="30"/>
  <c r="C65" i="30" s="1"/>
  <c r="C89" i="30" s="1"/>
  <c r="C110" i="30" s="1"/>
  <c r="C138" i="50"/>
  <c r="D138" i="50" s="1"/>
  <c r="E138" i="50" s="1"/>
  <c r="F138" i="50" s="1"/>
  <c r="G138" i="50" s="1"/>
  <c r="H138" i="50" s="1"/>
  <c r="I138" i="50" s="1"/>
  <c r="J138" i="50" s="1"/>
  <c r="K138" i="50" s="1"/>
  <c r="L138" i="50" s="1"/>
  <c r="M138" i="50" s="1"/>
  <c r="N138" i="50" s="1"/>
  <c r="O138" i="50" s="1"/>
  <c r="P138" i="50" s="1"/>
  <c r="Q138" i="50" s="1"/>
  <c r="R138" i="50" s="1"/>
  <c r="S138" i="50" s="1"/>
  <c r="T138" i="50" s="1"/>
  <c r="U138" i="50" s="1"/>
  <c r="V138" i="50" s="1"/>
  <c r="W138" i="50" s="1"/>
  <c r="X138" i="50" s="1"/>
  <c r="Y138" i="50" s="1"/>
  <c r="Z138" i="50" s="1"/>
  <c r="AA138" i="50" s="1"/>
  <c r="AB138" i="50" s="1"/>
  <c r="AC138" i="50" s="1"/>
  <c r="AD138" i="50" s="1"/>
  <c r="AE138" i="50" s="1"/>
  <c r="AF138" i="50" s="1"/>
  <c r="AG138" i="50" s="1"/>
  <c r="AH138" i="50" s="1"/>
  <c r="AI138" i="50" s="1"/>
  <c r="AJ138" i="50" s="1"/>
  <c r="AK138" i="50" s="1"/>
  <c r="AL138" i="50" s="1"/>
  <c r="AM138" i="50" s="1"/>
  <c r="AN138" i="50" s="1"/>
  <c r="AO138" i="50" s="1"/>
  <c r="AP138" i="50" s="1"/>
  <c r="AQ138" i="50" s="1"/>
  <c r="AR138" i="50" s="1"/>
  <c r="AS138" i="50" s="1"/>
  <c r="AT138" i="50" s="1"/>
  <c r="AU138" i="50" s="1"/>
  <c r="AV138" i="50" s="1"/>
  <c r="AW138" i="50" s="1"/>
  <c r="AX138" i="50" s="1"/>
  <c r="AY138" i="50" s="1"/>
  <c r="AZ138" i="50" s="1"/>
  <c r="BA138" i="50" s="1"/>
  <c r="BB138" i="50" s="1"/>
  <c r="BC138" i="50" s="1"/>
  <c r="BD138" i="50" s="1"/>
  <c r="C118" i="50"/>
  <c r="C82" i="50"/>
  <c r="C81" i="30"/>
  <c r="C124" i="30"/>
  <c r="C90" i="49" s="1"/>
  <c r="F113" i="42"/>
  <c r="U198" i="25"/>
  <c r="U199" i="25"/>
  <c r="U200" i="25"/>
  <c r="U201" i="25"/>
  <c r="U197" i="25"/>
  <c r="V197" i="25"/>
  <c r="V198" i="25"/>
  <c r="V199" i="25"/>
  <c r="V200" i="25"/>
  <c r="V201" i="25"/>
  <c r="V202" i="25"/>
  <c r="V203" i="25"/>
  <c r="C102" i="30" l="1"/>
  <c r="D102" i="30" s="1"/>
  <c r="E102" i="30" s="1"/>
  <c r="C21" i="63"/>
  <c r="E42" i="30"/>
  <c r="D54" i="30"/>
  <c r="D65" i="30" s="1"/>
  <c r="D89" i="30" s="1"/>
  <c r="D110" i="30" s="1"/>
  <c r="D82" i="50"/>
  <c r="E82" i="50" s="1"/>
  <c r="F82" i="50" s="1"/>
  <c r="G82" i="50" s="1"/>
  <c r="H82" i="50" s="1"/>
  <c r="I82" i="50" s="1"/>
  <c r="J82" i="50" s="1"/>
  <c r="K82" i="50" s="1"/>
  <c r="L82" i="50" s="1"/>
  <c r="M82" i="50" s="1"/>
  <c r="N82" i="50" s="1"/>
  <c r="O82" i="50" s="1"/>
  <c r="P82" i="50" s="1"/>
  <c r="Q82" i="50" s="1"/>
  <c r="R82" i="50" s="1"/>
  <c r="S82" i="50" s="1"/>
  <c r="T82" i="50" s="1"/>
  <c r="U82" i="50" s="1"/>
  <c r="V82" i="50" s="1"/>
  <c r="W82" i="50" s="1"/>
  <c r="X82" i="50" s="1"/>
  <c r="Y82" i="50" s="1"/>
  <c r="Z82" i="50" s="1"/>
  <c r="AA82" i="50" s="1"/>
  <c r="D118" i="50"/>
  <c r="C24" i="49"/>
  <c r="C36" i="49" s="1"/>
  <c r="C21" i="54"/>
  <c r="C18" i="51"/>
  <c r="C87" i="40"/>
  <c r="D124" i="30"/>
  <c r="D81" i="30"/>
  <c r="D21" i="63" s="1"/>
  <c r="C21" i="37"/>
  <c r="C11" i="37" s="1"/>
  <c r="C21" i="40"/>
  <c r="C16" i="39"/>
  <c r="W198" i="25"/>
  <c r="D104" i="63" l="1"/>
  <c r="D177" i="63"/>
  <c r="D82" i="67" s="1"/>
  <c r="D38" i="63"/>
  <c r="D305" i="63" s="1"/>
  <c r="D10" i="63"/>
  <c r="D11" i="67" s="1"/>
  <c r="D189" i="63"/>
  <c r="D152" i="63"/>
  <c r="D76" i="64" s="1"/>
  <c r="D143" i="64" s="1"/>
  <c r="D128" i="63"/>
  <c r="C10" i="63"/>
  <c r="C11" i="67" s="1"/>
  <c r="C128" i="63"/>
  <c r="C189" i="63"/>
  <c r="B23" i="64" s="1"/>
  <c r="C104" i="63"/>
  <c r="C177" i="63"/>
  <c r="C82" i="67" s="1"/>
  <c r="C152" i="63"/>
  <c r="C76" i="64" s="1"/>
  <c r="C143" i="64" s="1"/>
  <c r="C38" i="63"/>
  <c r="F42" i="30"/>
  <c r="E54" i="30"/>
  <c r="E65" i="30" s="1"/>
  <c r="E89" i="30" s="1"/>
  <c r="E110" i="30" s="1"/>
  <c r="D90" i="49"/>
  <c r="F102" i="30"/>
  <c r="C68" i="49"/>
  <c r="E118" i="50"/>
  <c r="C103" i="49"/>
  <c r="D24" i="49"/>
  <c r="D103" i="49" s="1"/>
  <c r="D21" i="54"/>
  <c r="D18" i="51"/>
  <c r="C11" i="54"/>
  <c r="C91" i="47"/>
  <c r="C16" i="47"/>
  <c r="D223" i="36"/>
  <c r="D131" i="53"/>
  <c r="D201" i="53"/>
  <c r="D105" i="53"/>
  <c r="C11" i="53"/>
  <c r="D179" i="53"/>
  <c r="D225" i="53"/>
  <c r="D153" i="53"/>
  <c r="C86" i="53"/>
  <c r="D234" i="52"/>
  <c r="D200" i="52"/>
  <c r="D104" i="52"/>
  <c r="C51" i="51"/>
  <c r="B52" i="51" s="1"/>
  <c r="D226" i="52"/>
  <c r="D178" i="52"/>
  <c r="C85" i="52"/>
  <c r="C10" i="52"/>
  <c r="C148" i="51"/>
  <c r="B149" i="51" s="1"/>
  <c r="C123" i="51"/>
  <c r="D123" i="51" s="1"/>
  <c r="E123" i="51" s="1"/>
  <c r="F123" i="51" s="1"/>
  <c r="G123" i="51" s="1"/>
  <c r="H123" i="51" s="1"/>
  <c r="I123" i="51" s="1"/>
  <c r="J123" i="51" s="1"/>
  <c r="K123" i="51" s="1"/>
  <c r="L123" i="51" s="1"/>
  <c r="M123" i="51" s="1"/>
  <c r="N123" i="51" s="1"/>
  <c r="O123" i="51" s="1"/>
  <c r="P123" i="51" s="1"/>
  <c r="Q123" i="51" s="1"/>
  <c r="R123" i="51" s="1"/>
  <c r="S123" i="51" s="1"/>
  <c r="T123" i="51" s="1"/>
  <c r="U123" i="51" s="1"/>
  <c r="V123" i="51" s="1"/>
  <c r="W123" i="51" s="1"/>
  <c r="X123" i="51" s="1"/>
  <c r="Y123" i="51" s="1"/>
  <c r="Z123" i="51" s="1"/>
  <c r="AA123" i="51" s="1"/>
  <c r="AB123" i="51" s="1"/>
  <c r="AC123" i="51" s="1"/>
  <c r="AD123" i="51" s="1"/>
  <c r="AE123" i="51" s="1"/>
  <c r="AF123" i="51" s="1"/>
  <c r="AG123" i="51" s="1"/>
  <c r="AH123" i="51" s="1"/>
  <c r="D152" i="52"/>
  <c r="D130" i="52"/>
  <c r="C26" i="51"/>
  <c r="D26" i="51" s="1"/>
  <c r="E26" i="51" s="1"/>
  <c r="F26" i="51" s="1"/>
  <c r="G26" i="51" s="1"/>
  <c r="H26" i="51" s="1"/>
  <c r="I26" i="51" s="1"/>
  <c r="J26" i="51" s="1"/>
  <c r="K26" i="51" s="1"/>
  <c r="L26" i="51" s="1"/>
  <c r="M26" i="51" s="1"/>
  <c r="N26" i="51" s="1"/>
  <c r="O26" i="51" s="1"/>
  <c r="P26" i="51" s="1"/>
  <c r="Q26" i="51" s="1"/>
  <c r="R26" i="51" s="1"/>
  <c r="S26" i="51" s="1"/>
  <c r="T26" i="51" s="1"/>
  <c r="U26" i="51" s="1"/>
  <c r="V26" i="51" s="1"/>
  <c r="W26" i="51" s="1"/>
  <c r="X26" i="51" s="1"/>
  <c r="Y26" i="51" s="1"/>
  <c r="Z26" i="51" s="1"/>
  <c r="AA26" i="51" s="1"/>
  <c r="AB26" i="51" s="1"/>
  <c r="AC26" i="51" s="1"/>
  <c r="AD26" i="51" s="1"/>
  <c r="AE26" i="51" s="1"/>
  <c r="AF26" i="51" s="1"/>
  <c r="AG26" i="51" s="1"/>
  <c r="AH26" i="51" s="1"/>
  <c r="AI26" i="51" s="1"/>
  <c r="AJ26" i="51" s="1"/>
  <c r="AK26" i="51" s="1"/>
  <c r="AL26" i="51" s="1"/>
  <c r="AM26" i="51" s="1"/>
  <c r="AN26" i="51" s="1"/>
  <c r="AO26" i="51" s="1"/>
  <c r="AP26" i="51" s="1"/>
  <c r="AQ26" i="51" s="1"/>
  <c r="AR26" i="51" s="1"/>
  <c r="AS26" i="51" s="1"/>
  <c r="AT26" i="51" s="1"/>
  <c r="AU26" i="51" s="1"/>
  <c r="AV26" i="51" s="1"/>
  <c r="AW26" i="51" s="1"/>
  <c r="AX26" i="51" s="1"/>
  <c r="AY26" i="51" s="1"/>
  <c r="AZ26" i="51" s="1"/>
  <c r="BA26" i="51" s="1"/>
  <c r="AB82" i="50"/>
  <c r="C56" i="49"/>
  <c r="D16" i="39"/>
  <c r="D21" i="37"/>
  <c r="D11" i="37" s="1"/>
  <c r="D21" i="40"/>
  <c r="E81" i="30"/>
  <c r="E21" i="63" s="1"/>
  <c r="D87" i="40"/>
  <c r="E124" i="30"/>
  <c r="D102" i="44"/>
  <c r="D128" i="44"/>
  <c r="D222" i="43"/>
  <c r="C11" i="43"/>
  <c r="C119" i="39"/>
  <c r="D119" i="39" s="1"/>
  <c r="E119" i="39" s="1"/>
  <c r="F119" i="39" s="1"/>
  <c r="G119" i="39" s="1"/>
  <c r="H119" i="39" s="1"/>
  <c r="I119" i="39" s="1"/>
  <c r="J119" i="39" s="1"/>
  <c r="K119" i="39" s="1"/>
  <c r="L119" i="39" s="1"/>
  <c r="M119" i="39" s="1"/>
  <c r="N119" i="39" s="1"/>
  <c r="O119" i="39" s="1"/>
  <c r="P119" i="39" s="1"/>
  <c r="Q119" i="39" s="1"/>
  <c r="R119" i="39" s="1"/>
  <c r="S119" i="39" s="1"/>
  <c r="T119" i="39" s="1"/>
  <c r="U119" i="39" s="1"/>
  <c r="V119" i="39" s="1"/>
  <c r="W119" i="39" s="1"/>
  <c r="X119" i="39" s="1"/>
  <c r="Y119" i="39" s="1"/>
  <c r="Z119" i="39" s="1"/>
  <c r="AA119" i="39" s="1"/>
  <c r="AB119" i="39" s="1"/>
  <c r="AC119" i="39" s="1"/>
  <c r="AD119" i="39" s="1"/>
  <c r="AE119" i="39" s="1"/>
  <c r="AF119" i="39" s="1"/>
  <c r="AG119" i="39" s="1"/>
  <c r="AH119" i="39" s="1"/>
  <c r="AI119" i="39" s="1"/>
  <c r="AJ119" i="39" s="1"/>
  <c r="AK119" i="39" s="1"/>
  <c r="AL119" i="39" s="1"/>
  <c r="AM119" i="39" s="1"/>
  <c r="AN119" i="39" s="1"/>
  <c r="AO119" i="39" s="1"/>
  <c r="AP119" i="39" s="1"/>
  <c r="AQ119" i="39" s="1"/>
  <c r="AR119" i="39" s="1"/>
  <c r="AS119" i="39" s="1"/>
  <c r="AT119" i="39" s="1"/>
  <c r="AU119" i="39" s="1"/>
  <c r="AV119" i="39" s="1"/>
  <c r="AW119" i="39" s="1"/>
  <c r="AX119" i="39" s="1"/>
  <c r="AY119" i="39" s="1"/>
  <c r="AZ119" i="39" s="1"/>
  <c r="BA119" i="39" s="1"/>
  <c r="C23" i="39"/>
  <c r="D23" i="39" s="1"/>
  <c r="E23" i="39" s="1"/>
  <c r="F23" i="39" s="1"/>
  <c r="G23" i="39" s="1"/>
  <c r="H23" i="39" s="1"/>
  <c r="I23" i="39" s="1"/>
  <c r="J23" i="39" s="1"/>
  <c r="K23" i="39" s="1"/>
  <c r="L23" i="39" s="1"/>
  <c r="M23" i="39" s="1"/>
  <c r="N23" i="39" s="1"/>
  <c r="O23" i="39" s="1"/>
  <c r="P23" i="39" s="1"/>
  <c r="Q23" i="39" s="1"/>
  <c r="R23" i="39" s="1"/>
  <c r="S23" i="39" s="1"/>
  <c r="T23" i="39" s="1"/>
  <c r="U23" i="39" s="1"/>
  <c r="V23" i="39" s="1"/>
  <c r="W23" i="39" s="1"/>
  <c r="X23" i="39" s="1"/>
  <c r="Y23" i="39" s="1"/>
  <c r="Z23" i="39" s="1"/>
  <c r="AA23" i="39" s="1"/>
  <c r="AB23" i="39" s="1"/>
  <c r="AC23" i="39" s="1"/>
  <c r="AD23" i="39" s="1"/>
  <c r="AE23" i="39" s="1"/>
  <c r="AF23" i="39" s="1"/>
  <c r="AG23" i="39" s="1"/>
  <c r="AH23" i="39" s="1"/>
  <c r="AI23" i="39" s="1"/>
  <c r="AJ23" i="39" s="1"/>
  <c r="AK23" i="39" s="1"/>
  <c r="AL23" i="39" s="1"/>
  <c r="AM23" i="39" s="1"/>
  <c r="AN23" i="39" s="1"/>
  <c r="AO23" i="39" s="1"/>
  <c r="AP23" i="39" s="1"/>
  <c r="AQ23" i="39" s="1"/>
  <c r="AR23" i="39" s="1"/>
  <c r="AS23" i="39" s="1"/>
  <c r="AT23" i="39" s="1"/>
  <c r="AU23" i="39" s="1"/>
  <c r="AV23" i="39" s="1"/>
  <c r="AW23" i="39" s="1"/>
  <c r="AX23" i="39" s="1"/>
  <c r="AY23" i="39" s="1"/>
  <c r="AZ23" i="39" s="1"/>
  <c r="BA23" i="39" s="1"/>
  <c r="D198" i="36"/>
  <c r="D128" i="36"/>
  <c r="D150" i="44"/>
  <c r="D176" i="43"/>
  <c r="D128" i="43"/>
  <c r="D198" i="43"/>
  <c r="C33" i="40"/>
  <c r="D102" i="36"/>
  <c r="D176" i="36"/>
  <c r="C100" i="40"/>
  <c r="C11" i="44"/>
  <c r="D150" i="43"/>
  <c r="D198" i="44"/>
  <c r="C83" i="43"/>
  <c r="C65" i="40"/>
  <c r="C83" i="36"/>
  <c r="D150" i="36"/>
  <c r="D176" i="44"/>
  <c r="D222" i="44"/>
  <c r="C83" i="44"/>
  <c r="D102" i="43"/>
  <c r="C144" i="39"/>
  <c r="B145" i="39" s="1"/>
  <c r="C11" i="36"/>
  <c r="C48" i="39"/>
  <c r="B49" i="39" s="1"/>
  <c r="D230" i="36"/>
  <c r="C72" i="35"/>
  <c r="E79" i="35"/>
  <c r="E58" i="35"/>
  <c r="I254" i="32"/>
  <c r="I239" i="32"/>
  <c r="I236" i="32"/>
  <c r="I233" i="32"/>
  <c r="E77" i="35"/>
  <c r="E78" i="35"/>
  <c r="E57" i="35"/>
  <c r="N46" i="3"/>
  <c r="C101" i="64" l="1"/>
  <c r="C117" i="64" s="1"/>
  <c r="C168" i="64" s="1"/>
  <c r="C226" i="63"/>
  <c r="D226" i="63"/>
  <c r="D44" i="67" s="1"/>
  <c r="D287" i="63"/>
  <c r="D133" i="64"/>
  <c r="C287" i="63"/>
  <c r="C133" i="64"/>
  <c r="F58" i="35"/>
  <c r="I58" i="35"/>
  <c r="F57" i="35"/>
  <c r="I57" i="35"/>
  <c r="I77" i="35"/>
  <c r="I79" i="35"/>
  <c r="I78" i="35"/>
  <c r="B24" i="64"/>
  <c r="C247" i="63"/>
  <c r="D247" i="63"/>
  <c r="C305" i="63"/>
  <c r="C145" i="39"/>
  <c r="C149" i="51"/>
  <c r="C52" i="51"/>
  <c r="B150" i="51"/>
  <c r="B53" i="51"/>
  <c r="C49" i="39"/>
  <c r="B146" i="39"/>
  <c r="B50" i="39"/>
  <c r="E38" i="63"/>
  <c r="E305" i="63" s="1"/>
  <c r="E152" i="63"/>
  <c r="E76" i="64" s="1"/>
  <c r="E143" i="64" s="1"/>
  <c r="E10" i="63"/>
  <c r="E11" i="67" s="1"/>
  <c r="E128" i="63"/>
  <c r="E189" i="63"/>
  <c r="E177" i="63"/>
  <c r="E82" i="67" s="1"/>
  <c r="E104" i="63"/>
  <c r="D306" i="63"/>
  <c r="D315" i="63"/>
  <c r="D314" i="63"/>
  <c r="G42" i="30"/>
  <c r="F54" i="30"/>
  <c r="F65" i="30" s="1"/>
  <c r="F89" i="30" s="1"/>
  <c r="F110" i="30" s="1"/>
  <c r="G102" i="30"/>
  <c r="E90" i="49"/>
  <c r="D36" i="49"/>
  <c r="D56" i="49" s="1"/>
  <c r="AI123" i="51"/>
  <c r="AJ123" i="51" s="1"/>
  <c r="AK123" i="51" s="1"/>
  <c r="AL123" i="51" s="1"/>
  <c r="AM123" i="51" s="1"/>
  <c r="AN123" i="51" s="1"/>
  <c r="AO123" i="51" s="1"/>
  <c r="AP123" i="51" s="1"/>
  <c r="AQ123" i="51" s="1"/>
  <c r="AR123" i="51" s="1"/>
  <c r="AS123" i="51" s="1"/>
  <c r="AT123" i="51" s="1"/>
  <c r="AU123" i="51" s="1"/>
  <c r="AV123" i="51" s="1"/>
  <c r="AW123" i="51" s="1"/>
  <c r="AX123" i="51" s="1"/>
  <c r="AY123" i="51" s="1"/>
  <c r="AZ123" i="51" s="1"/>
  <c r="BA123" i="51" s="1"/>
  <c r="D68" i="49"/>
  <c r="F118" i="50"/>
  <c r="E24" i="49"/>
  <c r="E68" i="49" s="1"/>
  <c r="E21" i="54"/>
  <c r="E18" i="51"/>
  <c r="D148" i="51"/>
  <c r="C112" i="39"/>
  <c r="C115" i="51"/>
  <c r="C53" i="40"/>
  <c r="D51" i="51"/>
  <c r="D11" i="54"/>
  <c r="D16" i="47"/>
  <c r="D91" i="47"/>
  <c r="E223" i="36"/>
  <c r="E201" i="53"/>
  <c r="E105" i="53"/>
  <c r="D11" i="53"/>
  <c r="E179" i="53"/>
  <c r="E225" i="53"/>
  <c r="E153" i="53"/>
  <c r="D86" i="53"/>
  <c r="E131" i="53"/>
  <c r="E226" i="52"/>
  <c r="E178" i="52"/>
  <c r="D85" i="52"/>
  <c r="D10" i="52"/>
  <c r="E152" i="52"/>
  <c r="E130" i="52"/>
  <c r="E234" i="52"/>
  <c r="E200" i="52"/>
  <c r="E104" i="52"/>
  <c r="C180" i="47"/>
  <c r="C164" i="47"/>
  <c r="C218" i="47"/>
  <c r="C349" i="47" s="1"/>
  <c r="AC82" i="50"/>
  <c r="I230" i="32"/>
  <c r="F78" i="35"/>
  <c r="E141" i="35" s="1"/>
  <c r="F79" i="35"/>
  <c r="D48" i="39"/>
  <c r="E16" i="39"/>
  <c r="E21" i="40"/>
  <c r="F81" i="30"/>
  <c r="F21" i="63" s="1"/>
  <c r="E21" i="37"/>
  <c r="E11" i="37" s="1"/>
  <c r="E102" i="36"/>
  <c r="E150" i="44"/>
  <c r="E198" i="44"/>
  <c r="E222" i="43"/>
  <c r="E102" i="43"/>
  <c r="D11" i="36"/>
  <c r="D11" i="44"/>
  <c r="D83" i="44"/>
  <c r="E128" i="43"/>
  <c r="D11" i="43"/>
  <c r="D65" i="40"/>
  <c r="E176" i="36"/>
  <c r="E198" i="36"/>
  <c r="E222" i="44"/>
  <c r="E102" i="44"/>
  <c r="E176" i="44"/>
  <c r="E176" i="43"/>
  <c r="D33" i="40"/>
  <c r="D53" i="40" s="1"/>
  <c r="E150" i="36"/>
  <c r="E128" i="36"/>
  <c r="D83" i="36"/>
  <c r="D100" i="40"/>
  <c r="E128" i="44"/>
  <c r="E150" i="43"/>
  <c r="E198" i="43"/>
  <c r="D83" i="43"/>
  <c r="E230" i="36"/>
  <c r="D144" i="39"/>
  <c r="E87" i="40"/>
  <c r="F124" i="30"/>
  <c r="E56" i="35"/>
  <c r="F77" i="35"/>
  <c r="E140" i="35" s="1"/>
  <c r="D148" i="35"/>
  <c r="D141" i="35"/>
  <c r="C224" i="32"/>
  <c r="D101" i="64" l="1"/>
  <c r="D117" i="64" s="1"/>
  <c r="D168" i="64" s="1"/>
  <c r="C315" i="63"/>
  <c r="C44" i="67"/>
  <c r="E226" i="63"/>
  <c r="E44" i="67" s="1"/>
  <c r="D307" i="63"/>
  <c r="E287" i="63"/>
  <c r="E133" i="64"/>
  <c r="F56" i="35"/>
  <c r="D140" i="35" s="1"/>
  <c r="I56" i="35"/>
  <c r="E142" i="35"/>
  <c r="C314" i="63"/>
  <c r="B25" i="64"/>
  <c r="C306" i="63"/>
  <c r="C307" i="63" s="1"/>
  <c r="E247" i="63"/>
  <c r="D146" i="39"/>
  <c r="C146" i="39"/>
  <c r="D150" i="51"/>
  <c r="C150" i="51"/>
  <c r="D53" i="51"/>
  <c r="C53" i="51"/>
  <c r="B151" i="51"/>
  <c r="B54" i="51"/>
  <c r="B147" i="39"/>
  <c r="C50" i="39"/>
  <c r="D50" i="39"/>
  <c r="B51" i="39"/>
  <c r="F10" i="63"/>
  <c r="F11" i="67" s="1"/>
  <c r="F152" i="63"/>
  <c r="F76" i="64" s="1"/>
  <c r="F143" i="64" s="1"/>
  <c r="F189" i="63"/>
  <c r="F104" i="63"/>
  <c r="F128" i="63"/>
  <c r="F177" i="63"/>
  <c r="F82" i="67" s="1"/>
  <c r="F38" i="63"/>
  <c r="F305" i="63" s="1"/>
  <c r="D316" i="63"/>
  <c r="E314" i="63"/>
  <c r="E306" i="63"/>
  <c r="E315" i="63"/>
  <c r="H42" i="30"/>
  <c r="G54" i="30"/>
  <c r="G65" i="30" s="1"/>
  <c r="G89" i="30" s="1"/>
  <c r="G110" i="30" s="1"/>
  <c r="F90" i="49"/>
  <c r="H102" i="30"/>
  <c r="C78" i="56"/>
  <c r="C57" i="56"/>
  <c r="E103" i="49"/>
  <c r="E36" i="49"/>
  <c r="E56" i="49" s="1"/>
  <c r="G118" i="50"/>
  <c r="D112" i="39"/>
  <c r="D115" i="51"/>
  <c r="C355" i="47"/>
  <c r="C432" i="47" s="1"/>
  <c r="F24" i="49"/>
  <c r="F36" i="49" s="1"/>
  <c r="F56" i="49" s="1"/>
  <c r="F21" i="54"/>
  <c r="F18" i="51"/>
  <c r="D180" i="47"/>
  <c r="D218" i="47"/>
  <c r="D349" i="47" s="1"/>
  <c r="D164" i="47"/>
  <c r="E51" i="51"/>
  <c r="F223" i="36"/>
  <c r="F179" i="53"/>
  <c r="F225" i="53"/>
  <c r="F153" i="53"/>
  <c r="E86" i="53"/>
  <c r="F131" i="53"/>
  <c r="F201" i="53"/>
  <c r="F105" i="53"/>
  <c r="E11" i="53"/>
  <c r="F152" i="52"/>
  <c r="F130" i="52"/>
  <c r="F234" i="52"/>
  <c r="F200" i="52"/>
  <c r="F104" i="52"/>
  <c r="F226" i="52"/>
  <c r="F178" i="52"/>
  <c r="E85" i="52"/>
  <c r="E10" i="52"/>
  <c r="E148" i="51"/>
  <c r="E11" i="54"/>
  <c r="E16" i="47"/>
  <c r="E91" i="47"/>
  <c r="AD82" i="50"/>
  <c r="F53" i="32"/>
  <c r="F54" i="32"/>
  <c r="F52" i="32"/>
  <c r="E158" i="35"/>
  <c r="E160" i="35"/>
  <c r="E159" i="35"/>
  <c r="F87" i="40"/>
  <c r="G124" i="30"/>
  <c r="E144" i="39"/>
  <c r="F16" i="39"/>
  <c r="G81" i="30"/>
  <c r="G21" i="63" s="1"/>
  <c r="F21" i="37"/>
  <c r="F11" i="37" s="1"/>
  <c r="F21" i="40"/>
  <c r="F102" i="36"/>
  <c r="F198" i="44"/>
  <c r="F222" i="43"/>
  <c r="E11" i="44"/>
  <c r="E11" i="43"/>
  <c r="E33" i="40"/>
  <c r="F128" i="36"/>
  <c r="E100" i="40"/>
  <c r="E83" i="44"/>
  <c r="F128" i="43"/>
  <c r="F176" i="43"/>
  <c r="F102" i="43"/>
  <c r="E83" i="36"/>
  <c r="F230" i="36"/>
  <c r="F198" i="36"/>
  <c r="F222" i="44"/>
  <c r="F176" i="44"/>
  <c r="F150" i="44"/>
  <c r="F150" i="43"/>
  <c r="E65" i="40"/>
  <c r="F176" i="36"/>
  <c r="F128" i="44"/>
  <c r="F102" i="44"/>
  <c r="F198" i="43"/>
  <c r="E83" i="43"/>
  <c r="E11" i="36"/>
  <c r="F150" i="36"/>
  <c r="E48" i="39"/>
  <c r="D414" i="32"/>
  <c r="D415" i="32" s="1"/>
  <c r="E414" i="32"/>
  <c r="C32" i="35"/>
  <c r="C73" i="35"/>
  <c r="C53" i="35"/>
  <c r="C62" i="47" l="1"/>
  <c r="C391" i="47"/>
  <c r="C414" i="47"/>
  <c r="C77" i="47"/>
  <c r="C316" i="63"/>
  <c r="E101" i="64"/>
  <c r="E117" i="64" s="1"/>
  <c r="E168" i="64" s="1"/>
  <c r="F226" i="63"/>
  <c r="F287" i="63"/>
  <c r="F133" i="64"/>
  <c r="E307" i="63"/>
  <c r="B26" i="64"/>
  <c r="F247" i="63"/>
  <c r="E151" i="51"/>
  <c r="C151" i="51"/>
  <c r="D151" i="51"/>
  <c r="E147" i="39"/>
  <c r="C147" i="39"/>
  <c r="D147" i="39"/>
  <c r="C54" i="51"/>
  <c r="D54" i="51"/>
  <c r="E54" i="51"/>
  <c r="B152" i="51"/>
  <c r="B55" i="51"/>
  <c r="C51" i="39"/>
  <c r="D51" i="39"/>
  <c r="E51" i="39"/>
  <c r="B148" i="39"/>
  <c r="B52" i="39"/>
  <c r="G10" i="63"/>
  <c r="G11" i="67" s="1"/>
  <c r="G177" i="63"/>
  <c r="G82" i="67" s="1"/>
  <c r="G38" i="63"/>
  <c r="G305" i="63" s="1"/>
  <c r="G152" i="63"/>
  <c r="G76" i="64" s="1"/>
  <c r="G143" i="64" s="1"/>
  <c r="G128" i="63"/>
  <c r="G104" i="63"/>
  <c r="G189" i="63"/>
  <c r="F315" i="63"/>
  <c r="F306" i="63"/>
  <c r="F314" i="63"/>
  <c r="E316" i="63"/>
  <c r="I42" i="30"/>
  <c r="H54" i="30"/>
  <c r="H65" i="30" s="1"/>
  <c r="H89" i="30" s="1"/>
  <c r="H110" i="30" s="1"/>
  <c r="I102" i="30"/>
  <c r="G90" i="49"/>
  <c r="F103" i="49"/>
  <c r="F68" i="49"/>
  <c r="H118" i="50"/>
  <c r="G24" i="49"/>
  <c r="G36" i="49" s="1"/>
  <c r="G56" i="49" s="1"/>
  <c r="G21" i="54"/>
  <c r="G18" i="51"/>
  <c r="F148" i="51"/>
  <c r="F51" i="51"/>
  <c r="E112" i="39"/>
  <c r="E115" i="51"/>
  <c r="F11" i="54"/>
  <c r="D355" i="47"/>
  <c r="F16" i="47"/>
  <c r="F91" i="47"/>
  <c r="E180" i="47"/>
  <c r="E218" i="47"/>
  <c r="E349" i="47" s="1"/>
  <c r="E164" i="47"/>
  <c r="G223" i="36"/>
  <c r="G225" i="53"/>
  <c r="G153" i="53"/>
  <c r="F86" i="53"/>
  <c r="G131" i="53"/>
  <c r="G201" i="53"/>
  <c r="G105" i="53"/>
  <c r="F11" i="53"/>
  <c r="G179" i="53"/>
  <c r="G130" i="52"/>
  <c r="G234" i="52"/>
  <c r="G200" i="52"/>
  <c r="G104" i="52"/>
  <c r="G226" i="52"/>
  <c r="G178" i="52"/>
  <c r="F85" i="52"/>
  <c r="F10" i="52"/>
  <c r="G152" i="52"/>
  <c r="E53" i="40"/>
  <c r="AE82" i="50"/>
  <c r="C32" i="41"/>
  <c r="F129" i="32"/>
  <c r="F414" i="32"/>
  <c r="F415" i="32" s="1"/>
  <c r="E415" i="32" s="1"/>
  <c r="G21" i="40"/>
  <c r="G16" i="39"/>
  <c r="H81" i="30"/>
  <c r="H21" i="63" s="1"/>
  <c r="G21" i="37"/>
  <c r="G11" i="37" s="1"/>
  <c r="G87" i="40"/>
  <c r="H124" i="30"/>
  <c r="F144" i="39"/>
  <c r="F48" i="39"/>
  <c r="G102" i="36"/>
  <c r="F100" i="40"/>
  <c r="G102" i="44"/>
  <c r="G198" i="43"/>
  <c r="F83" i="43"/>
  <c r="G128" i="43"/>
  <c r="G176" i="36"/>
  <c r="G230" i="36"/>
  <c r="G150" i="43"/>
  <c r="F33" i="40"/>
  <c r="G128" i="36"/>
  <c r="G198" i="44"/>
  <c r="G150" i="44"/>
  <c r="G102" i="43"/>
  <c r="G222" i="44"/>
  <c r="F11" i="36"/>
  <c r="G150" i="36"/>
  <c r="F83" i="36"/>
  <c r="F83" i="44"/>
  <c r="F11" i="44"/>
  <c r="G176" i="43"/>
  <c r="G222" i="43"/>
  <c r="F65" i="40"/>
  <c r="G198" i="36"/>
  <c r="G176" i="44"/>
  <c r="G128" i="44"/>
  <c r="F11" i="43"/>
  <c r="C13" i="35"/>
  <c r="C13" i="41" s="1"/>
  <c r="C14" i="41" s="1"/>
  <c r="H57" i="41" l="1"/>
  <c r="D99" i="41" s="1"/>
  <c r="H79" i="41"/>
  <c r="F98" i="41" s="1"/>
  <c r="H56" i="41"/>
  <c r="D98" i="41" s="1"/>
  <c r="H36" i="41"/>
  <c r="C98" i="41" s="1"/>
  <c r="H59" i="41"/>
  <c r="D102" i="41" s="1"/>
  <c r="H37" i="41"/>
  <c r="C99" i="41" s="1"/>
  <c r="H38" i="41"/>
  <c r="C101" i="41" s="1"/>
  <c r="H58" i="41"/>
  <c r="D106" i="41" s="1"/>
  <c r="H80" i="41"/>
  <c r="F99" i="41" s="1"/>
  <c r="H81" i="41"/>
  <c r="F103" i="41" s="1"/>
  <c r="H83" i="41"/>
  <c r="D62" i="47"/>
  <c r="D391" i="47"/>
  <c r="E391" i="47" s="1"/>
  <c r="F391" i="47" s="1"/>
  <c r="G391" i="47" s="1"/>
  <c r="H391" i="47" s="1"/>
  <c r="I391" i="47" s="1"/>
  <c r="J391" i="47" s="1"/>
  <c r="K391" i="47" s="1"/>
  <c r="L391" i="47" s="1"/>
  <c r="M391" i="47" s="1"/>
  <c r="N391" i="47" s="1"/>
  <c r="O391" i="47" s="1"/>
  <c r="P391" i="47" s="1"/>
  <c r="Q391" i="47" s="1"/>
  <c r="R391" i="47" s="1"/>
  <c r="S391" i="47" s="1"/>
  <c r="T391" i="47" s="1"/>
  <c r="U391" i="47" s="1"/>
  <c r="V391" i="47" s="1"/>
  <c r="W391" i="47" s="1"/>
  <c r="X391" i="47" s="1"/>
  <c r="Y391" i="47" s="1"/>
  <c r="Z391" i="47" s="1"/>
  <c r="AA391" i="47" s="1"/>
  <c r="AB391" i="47" s="1"/>
  <c r="AC391" i="47" s="1"/>
  <c r="AD391" i="47" s="1"/>
  <c r="AE391" i="47" s="1"/>
  <c r="AF391" i="47" s="1"/>
  <c r="AG391" i="47" s="1"/>
  <c r="AH391" i="47" s="1"/>
  <c r="AI391" i="47" s="1"/>
  <c r="AJ391" i="47" s="1"/>
  <c r="AK391" i="47" s="1"/>
  <c r="AL391" i="47" s="1"/>
  <c r="AM391" i="47" s="1"/>
  <c r="AN391" i="47" s="1"/>
  <c r="AO391" i="47" s="1"/>
  <c r="D414" i="47"/>
  <c r="D432" i="47"/>
  <c r="E62" i="47"/>
  <c r="D77" i="47"/>
  <c r="F101" i="64"/>
  <c r="F117" i="64" s="1"/>
  <c r="F168" i="64" s="1"/>
  <c r="F44" i="67"/>
  <c r="G226" i="63"/>
  <c r="F307" i="63"/>
  <c r="G287" i="63"/>
  <c r="G133" i="64"/>
  <c r="C14" i="35"/>
  <c r="B27" i="64"/>
  <c r="G247" i="63"/>
  <c r="F148" i="39"/>
  <c r="C148" i="39"/>
  <c r="D148" i="39"/>
  <c r="E148" i="39"/>
  <c r="F152" i="51"/>
  <c r="C152" i="51"/>
  <c r="D152" i="51"/>
  <c r="E152" i="51"/>
  <c r="B153" i="51"/>
  <c r="D55" i="51"/>
  <c r="C55" i="51"/>
  <c r="E55" i="51"/>
  <c r="F55" i="51"/>
  <c r="B56" i="51"/>
  <c r="D52" i="39"/>
  <c r="E52" i="39"/>
  <c r="C52" i="39"/>
  <c r="F52" i="39"/>
  <c r="B149" i="39"/>
  <c r="B53" i="39"/>
  <c r="F316" i="63"/>
  <c r="G315" i="63"/>
  <c r="G306" i="63"/>
  <c r="G314" i="63"/>
  <c r="H38" i="63"/>
  <c r="H305" i="63" s="1"/>
  <c r="H189" i="63"/>
  <c r="H128" i="63"/>
  <c r="H104" i="63"/>
  <c r="H10" i="63"/>
  <c r="H11" i="67" s="1"/>
  <c r="H177" i="63"/>
  <c r="H82" i="67" s="1"/>
  <c r="H152" i="63"/>
  <c r="H76" i="64" s="1"/>
  <c r="H143" i="64" s="1"/>
  <c r="J42" i="30"/>
  <c r="I54" i="30"/>
  <c r="I65" i="30" s="1"/>
  <c r="I89" i="30" s="1"/>
  <c r="I110" i="30" s="1"/>
  <c r="H90" i="49"/>
  <c r="J102" i="30"/>
  <c r="G68" i="49"/>
  <c r="G103" i="49"/>
  <c r="I118" i="50"/>
  <c r="F53" i="40"/>
  <c r="F180" i="47"/>
  <c r="F218" i="47"/>
  <c r="F349" i="47" s="1"/>
  <c r="F164" i="47"/>
  <c r="G148" i="51"/>
  <c r="H223" i="36"/>
  <c r="H131" i="53"/>
  <c r="H201" i="53"/>
  <c r="H105" i="53"/>
  <c r="G11" i="53"/>
  <c r="H179" i="53"/>
  <c r="H225" i="53"/>
  <c r="H153" i="53"/>
  <c r="G86" i="53"/>
  <c r="H234" i="52"/>
  <c r="H200" i="52"/>
  <c r="H104" i="52"/>
  <c r="H226" i="52"/>
  <c r="H178" i="52"/>
  <c r="G85" i="52"/>
  <c r="G10" i="52"/>
  <c r="H152" i="52"/>
  <c r="H130" i="52"/>
  <c r="G51" i="51"/>
  <c r="G11" i="54"/>
  <c r="H24" i="49"/>
  <c r="H103" i="49" s="1"/>
  <c r="H21" i="54"/>
  <c r="H18" i="51"/>
  <c r="F112" i="39"/>
  <c r="F115" i="51"/>
  <c r="E355" i="47"/>
  <c r="G16" i="47"/>
  <c r="G91" i="47"/>
  <c r="AF82" i="50"/>
  <c r="F130" i="32"/>
  <c r="D134" i="32" s="1"/>
  <c r="G144" i="39"/>
  <c r="H102" i="36"/>
  <c r="H176" i="44"/>
  <c r="H222" i="44"/>
  <c r="H150" i="43"/>
  <c r="H198" i="43"/>
  <c r="G33" i="40"/>
  <c r="G53" i="40" s="1"/>
  <c r="H176" i="36"/>
  <c r="H176" i="43"/>
  <c r="H102" i="43"/>
  <c r="H128" i="36"/>
  <c r="G11" i="44"/>
  <c r="H128" i="43"/>
  <c r="H198" i="36"/>
  <c r="H102" i="44"/>
  <c r="H128" i="44"/>
  <c r="H198" i="44"/>
  <c r="G11" i="43"/>
  <c r="G65" i="40"/>
  <c r="H150" i="36"/>
  <c r="H150" i="44"/>
  <c r="H222" i="43"/>
  <c r="G11" i="36"/>
  <c r="G100" i="40"/>
  <c r="G83" i="44"/>
  <c r="G83" i="43"/>
  <c r="G83" i="36"/>
  <c r="H230" i="36"/>
  <c r="H87" i="40"/>
  <c r="I124" i="30"/>
  <c r="G48" i="39"/>
  <c r="H21" i="40"/>
  <c r="I81" i="30"/>
  <c r="I21" i="63" s="1"/>
  <c r="H16" i="39"/>
  <c r="H21" i="37"/>
  <c r="H11" i="37" s="1"/>
  <c r="H107" i="35" l="1"/>
  <c r="H106" i="35"/>
  <c r="G125" i="35" s="1"/>
  <c r="H105" i="35"/>
  <c r="H109" i="35"/>
  <c r="H57" i="35"/>
  <c r="H79" i="35"/>
  <c r="E126" i="35" s="1"/>
  <c r="H58" i="35"/>
  <c r="H77" i="35"/>
  <c r="H78" i="35"/>
  <c r="H56" i="35"/>
  <c r="E414" i="47"/>
  <c r="E432" i="47"/>
  <c r="E77" i="47"/>
  <c r="F62" i="47"/>
  <c r="G101" i="64"/>
  <c r="G117" i="64" s="1"/>
  <c r="G168" i="64" s="1"/>
  <c r="G44" i="67"/>
  <c r="H226" i="63"/>
  <c r="G307" i="63"/>
  <c r="H287" i="63"/>
  <c r="H133" i="64"/>
  <c r="G124" i="35"/>
  <c r="D132" i="35"/>
  <c r="E124" i="35"/>
  <c r="G105" i="35"/>
  <c r="D125" i="35"/>
  <c r="D124" i="35"/>
  <c r="E125" i="35"/>
  <c r="G129" i="35"/>
  <c r="B28" i="64"/>
  <c r="H247" i="63"/>
  <c r="C149" i="39"/>
  <c r="G149" i="39"/>
  <c r="D149" i="39"/>
  <c r="E149" i="39"/>
  <c r="F149" i="39"/>
  <c r="C153" i="51"/>
  <c r="G153" i="51"/>
  <c r="D153" i="51"/>
  <c r="E153" i="51"/>
  <c r="F153" i="51"/>
  <c r="E56" i="51"/>
  <c r="F56" i="51"/>
  <c r="G56" i="51"/>
  <c r="C56" i="51"/>
  <c r="D56" i="51"/>
  <c r="B154" i="51"/>
  <c r="B57" i="51"/>
  <c r="B150" i="39"/>
  <c r="E53" i="39"/>
  <c r="F53" i="39"/>
  <c r="C53" i="39"/>
  <c r="D53" i="39"/>
  <c r="G53" i="39"/>
  <c r="B54" i="39"/>
  <c r="G316" i="63"/>
  <c r="H314" i="63"/>
  <c r="H306" i="63"/>
  <c r="H315" i="63"/>
  <c r="I177" i="63"/>
  <c r="I82" i="67" s="1"/>
  <c r="I152" i="63"/>
  <c r="I76" i="64" s="1"/>
  <c r="I143" i="64" s="1"/>
  <c r="I38" i="63"/>
  <c r="I305" i="63" s="1"/>
  <c r="I128" i="63"/>
  <c r="I104" i="63"/>
  <c r="I10" i="63"/>
  <c r="I11" i="67" s="1"/>
  <c r="I189" i="63"/>
  <c r="K42" i="30"/>
  <c r="J54" i="30"/>
  <c r="J65" i="30" s="1"/>
  <c r="J89" i="30" s="1"/>
  <c r="J110" i="30" s="1"/>
  <c r="K102" i="30"/>
  <c r="I90" i="49"/>
  <c r="H36" i="49"/>
  <c r="H56" i="49" s="1"/>
  <c r="H68" i="49"/>
  <c r="J118" i="50"/>
  <c r="I24" i="49"/>
  <c r="I103" i="49" s="1"/>
  <c r="I21" i="54"/>
  <c r="I18" i="51"/>
  <c r="H11" i="54"/>
  <c r="I223" i="36"/>
  <c r="I201" i="53"/>
  <c r="I105" i="53"/>
  <c r="H11" i="53"/>
  <c r="I179" i="53"/>
  <c r="I225" i="53"/>
  <c r="I153" i="53"/>
  <c r="H86" i="53"/>
  <c r="I131" i="53"/>
  <c r="I226" i="52"/>
  <c r="I178" i="52"/>
  <c r="H85" i="52"/>
  <c r="H10" i="52"/>
  <c r="I152" i="52"/>
  <c r="I130" i="52"/>
  <c r="I234" i="52"/>
  <c r="I200" i="52"/>
  <c r="I104" i="52"/>
  <c r="G164" i="47"/>
  <c r="G180" i="47"/>
  <c r="G218" i="47"/>
  <c r="G349" i="47" s="1"/>
  <c r="H91" i="47"/>
  <c r="H16" i="47"/>
  <c r="F355" i="47"/>
  <c r="G112" i="39"/>
  <c r="G115" i="51"/>
  <c r="H51" i="51"/>
  <c r="H148" i="51"/>
  <c r="AG82" i="50"/>
  <c r="I21" i="40"/>
  <c r="I16" i="39"/>
  <c r="J81" i="30"/>
  <c r="J21" i="63" s="1"/>
  <c r="I21" i="37"/>
  <c r="I11" i="37" s="1"/>
  <c r="H144" i="39"/>
  <c r="I102" i="36"/>
  <c r="H11" i="44"/>
  <c r="H83" i="44"/>
  <c r="I128" i="43"/>
  <c r="I176" i="43"/>
  <c r="H33" i="40"/>
  <c r="H53" i="40" s="1"/>
  <c r="I222" i="44"/>
  <c r="I150" i="43"/>
  <c r="I198" i="43"/>
  <c r="H11" i="43"/>
  <c r="H11" i="36"/>
  <c r="H83" i="36"/>
  <c r="I198" i="36"/>
  <c r="H100" i="40"/>
  <c r="I128" i="44"/>
  <c r="I176" i="44"/>
  <c r="I102" i="43"/>
  <c r="H83" i="43"/>
  <c r="I150" i="44"/>
  <c r="I198" i="44"/>
  <c r="I222" i="43"/>
  <c r="I102" i="44"/>
  <c r="H65" i="40"/>
  <c r="I176" i="36"/>
  <c r="I128" i="36"/>
  <c r="I150" i="36"/>
  <c r="I230" i="36"/>
  <c r="I87" i="40"/>
  <c r="J124" i="30"/>
  <c r="H48" i="39"/>
  <c r="F77" i="47" l="1"/>
  <c r="F414" i="47"/>
  <c r="F432" i="47"/>
  <c r="G62" i="47"/>
  <c r="H101" i="64"/>
  <c r="H117" i="64" s="1"/>
  <c r="H168" i="64" s="1"/>
  <c r="H44" i="67"/>
  <c r="I226" i="63"/>
  <c r="H307" i="63"/>
  <c r="I287" i="63"/>
  <c r="I133" i="64"/>
  <c r="B29" i="64"/>
  <c r="I247" i="63"/>
  <c r="E154" i="51"/>
  <c r="F154" i="51"/>
  <c r="G154" i="51"/>
  <c r="H154" i="51"/>
  <c r="C154" i="51"/>
  <c r="D154" i="51"/>
  <c r="D150" i="39"/>
  <c r="H150" i="39"/>
  <c r="E150" i="39"/>
  <c r="F150" i="39"/>
  <c r="C150" i="39"/>
  <c r="G150" i="39"/>
  <c r="F57" i="51"/>
  <c r="C57" i="51"/>
  <c r="H57" i="51"/>
  <c r="D57" i="51"/>
  <c r="E57" i="51"/>
  <c r="G57" i="51"/>
  <c r="B155" i="51"/>
  <c r="B58" i="51"/>
  <c r="F54" i="39"/>
  <c r="C54" i="39"/>
  <c r="G54" i="39"/>
  <c r="E54" i="39"/>
  <c r="H54" i="39"/>
  <c r="D54" i="39"/>
  <c r="B151" i="39"/>
  <c r="B55" i="39"/>
  <c r="J10" i="63"/>
  <c r="J11" i="67" s="1"/>
  <c r="J189" i="63"/>
  <c r="J104" i="63"/>
  <c r="J152" i="63"/>
  <c r="J76" i="64" s="1"/>
  <c r="J143" i="64" s="1"/>
  <c r="J38" i="63"/>
  <c r="J305" i="63" s="1"/>
  <c r="J177" i="63"/>
  <c r="J82" i="67" s="1"/>
  <c r="J128" i="63"/>
  <c r="I315" i="63"/>
  <c r="I314" i="63"/>
  <c r="I306" i="63"/>
  <c r="H316" i="63"/>
  <c r="L42" i="30"/>
  <c r="K54" i="30"/>
  <c r="K65" i="30" s="1"/>
  <c r="K89" i="30" s="1"/>
  <c r="K110" i="30" s="1"/>
  <c r="J90" i="49"/>
  <c r="L102" i="30"/>
  <c r="I68" i="49"/>
  <c r="I36" i="49"/>
  <c r="I56" i="49" s="1"/>
  <c r="K118" i="50"/>
  <c r="G355" i="47"/>
  <c r="I51" i="51"/>
  <c r="H180" i="47"/>
  <c r="H218" i="47"/>
  <c r="H349" i="47" s="1"/>
  <c r="H164" i="47"/>
  <c r="I11" i="54"/>
  <c r="J223" i="36"/>
  <c r="J179" i="53"/>
  <c r="J225" i="53"/>
  <c r="J153" i="53"/>
  <c r="I86" i="53"/>
  <c r="J131" i="53"/>
  <c r="J201" i="53"/>
  <c r="I11" i="53"/>
  <c r="J105" i="53"/>
  <c r="J152" i="52"/>
  <c r="J130" i="52"/>
  <c r="J234" i="52"/>
  <c r="J200" i="52"/>
  <c r="J104" i="52"/>
  <c r="J226" i="52"/>
  <c r="J178" i="52"/>
  <c r="I85" i="52"/>
  <c r="I10" i="52"/>
  <c r="I16" i="47"/>
  <c r="I91" i="47"/>
  <c r="J24" i="49"/>
  <c r="J36" i="49" s="1"/>
  <c r="J56" i="49" s="1"/>
  <c r="J21" i="54"/>
  <c r="J18" i="51"/>
  <c r="H112" i="39"/>
  <c r="H115" i="51"/>
  <c r="I148" i="51"/>
  <c r="AH82" i="50"/>
  <c r="I48" i="39"/>
  <c r="J21" i="40"/>
  <c r="J16" i="39"/>
  <c r="J21" i="37"/>
  <c r="J11" i="37" s="1"/>
  <c r="K81" i="30"/>
  <c r="K21" i="63" s="1"/>
  <c r="I144" i="39"/>
  <c r="J87" i="40"/>
  <c r="K124" i="30"/>
  <c r="J102" i="36"/>
  <c r="J198" i="44"/>
  <c r="J150" i="44"/>
  <c r="J198" i="43"/>
  <c r="I11" i="43"/>
  <c r="I65" i="40"/>
  <c r="J150" i="36"/>
  <c r="I100" i="40"/>
  <c r="I83" i="44"/>
  <c r="J222" i="43"/>
  <c r="J176" i="43"/>
  <c r="J150" i="43"/>
  <c r="J230" i="36"/>
  <c r="J198" i="36"/>
  <c r="J222" i="44"/>
  <c r="J176" i="44"/>
  <c r="J128" i="43"/>
  <c r="J102" i="43"/>
  <c r="I11" i="36"/>
  <c r="J128" i="44"/>
  <c r="J102" i="44"/>
  <c r="I11" i="44"/>
  <c r="I83" i="43"/>
  <c r="I33" i="40"/>
  <c r="I53" i="40" s="1"/>
  <c r="I83" i="36"/>
  <c r="J128" i="36"/>
  <c r="J176" i="36"/>
  <c r="E38" i="35"/>
  <c r="E36" i="35"/>
  <c r="E37" i="35"/>
  <c r="D313" i="3"/>
  <c r="D314" i="3"/>
  <c r="D315" i="3"/>
  <c r="D316" i="3"/>
  <c r="D317" i="3"/>
  <c r="D318" i="3"/>
  <c r="D319" i="3"/>
  <c r="D320" i="3"/>
  <c r="D321" i="3"/>
  <c r="D322" i="3"/>
  <c r="D323" i="3"/>
  <c r="D324" i="3"/>
  <c r="D325" i="3"/>
  <c r="D312" i="3"/>
  <c r="D264" i="3"/>
  <c r="D265" i="3"/>
  <c r="D266" i="3"/>
  <c r="D267" i="3"/>
  <c r="D268" i="3"/>
  <c r="D269" i="3"/>
  <c r="D270" i="3"/>
  <c r="D271" i="3"/>
  <c r="D272" i="3"/>
  <c r="D273" i="3"/>
  <c r="D263" i="3"/>
  <c r="C274" i="3"/>
  <c r="I101" i="64" l="1"/>
  <c r="I117" i="64" s="1"/>
  <c r="I168" i="64" s="1"/>
  <c r="G414" i="47"/>
  <c r="G432" i="47"/>
  <c r="G77" i="47"/>
  <c r="H62" i="47"/>
  <c r="I44" i="67"/>
  <c r="J226" i="63"/>
  <c r="J44" i="67" s="1"/>
  <c r="I307" i="63"/>
  <c r="J287" i="63"/>
  <c r="J133" i="64"/>
  <c r="F37" i="35"/>
  <c r="H37" i="35"/>
  <c r="I37" i="35"/>
  <c r="F36" i="35"/>
  <c r="H36" i="35"/>
  <c r="I36" i="35"/>
  <c r="F38" i="35"/>
  <c r="I38" i="35"/>
  <c r="H38" i="35"/>
  <c r="B30" i="64"/>
  <c r="J247" i="63"/>
  <c r="E151" i="39"/>
  <c r="I151" i="39"/>
  <c r="F151" i="39"/>
  <c r="C151" i="39"/>
  <c r="G151" i="39"/>
  <c r="D151" i="39"/>
  <c r="H151" i="39"/>
  <c r="F155" i="51"/>
  <c r="C155" i="51"/>
  <c r="G155" i="51"/>
  <c r="D155" i="51"/>
  <c r="E155" i="51"/>
  <c r="H155" i="51"/>
  <c r="I155" i="51"/>
  <c r="B156" i="51"/>
  <c r="D58" i="51"/>
  <c r="H58" i="51"/>
  <c r="E58" i="51"/>
  <c r="I58" i="51"/>
  <c r="F58" i="51"/>
  <c r="G58" i="51"/>
  <c r="C58" i="51"/>
  <c r="B59" i="51"/>
  <c r="C55" i="39"/>
  <c r="G55" i="39"/>
  <c r="E55" i="39"/>
  <c r="F55" i="39"/>
  <c r="H55" i="39"/>
  <c r="I55" i="39"/>
  <c r="D55" i="39"/>
  <c r="B152" i="39"/>
  <c r="B56" i="39"/>
  <c r="I316" i="63"/>
  <c r="K10" i="63"/>
  <c r="K11" i="67" s="1"/>
  <c r="K128" i="63"/>
  <c r="K189" i="63"/>
  <c r="K104" i="63"/>
  <c r="K38" i="63"/>
  <c r="K305" i="63" s="1"/>
  <c r="K177" i="63"/>
  <c r="K82" i="67" s="1"/>
  <c r="K152" i="63"/>
  <c r="K76" i="64" s="1"/>
  <c r="K143" i="64" s="1"/>
  <c r="J306" i="63"/>
  <c r="J315" i="63"/>
  <c r="J314" i="63"/>
  <c r="M42" i="30"/>
  <c r="L54" i="30"/>
  <c r="L65" i="30" s="1"/>
  <c r="L89" i="30" s="1"/>
  <c r="L110" i="30" s="1"/>
  <c r="M102" i="30"/>
  <c r="K90" i="49"/>
  <c r="J103" i="49"/>
  <c r="J68" i="49"/>
  <c r="L118" i="50"/>
  <c r="K223" i="36"/>
  <c r="K225" i="53"/>
  <c r="K153" i="53"/>
  <c r="J86" i="53"/>
  <c r="K131" i="53"/>
  <c r="K201" i="53"/>
  <c r="K105" i="53"/>
  <c r="J11" i="53"/>
  <c r="K179" i="53"/>
  <c r="K130" i="52"/>
  <c r="K234" i="52"/>
  <c r="K200" i="52"/>
  <c r="K104" i="52"/>
  <c r="K226" i="52"/>
  <c r="K178" i="52"/>
  <c r="J85" i="52"/>
  <c r="J10" i="52"/>
  <c r="K152" i="52"/>
  <c r="K24" i="49"/>
  <c r="K36" i="49" s="1"/>
  <c r="K56" i="49" s="1"/>
  <c r="K21" i="54"/>
  <c r="K18" i="51"/>
  <c r="J51" i="51"/>
  <c r="J11" i="54"/>
  <c r="H355" i="47"/>
  <c r="I180" i="47"/>
  <c r="I218" i="47"/>
  <c r="I349" i="47" s="1"/>
  <c r="I164" i="47"/>
  <c r="I112" i="39"/>
  <c r="I115" i="51"/>
  <c r="J148" i="51"/>
  <c r="J16" i="47"/>
  <c r="J91" i="47"/>
  <c r="AI82" i="50"/>
  <c r="J48" i="39"/>
  <c r="J144" i="39"/>
  <c r="K102" i="36"/>
  <c r="J100" i="40"/>
  <c r="K102" i="44"/>
  <c r="K102" i="43"/>
  <c r="J83" i="43"/>
  <c r="J11" i="43"/>
  <c r="K198" i="44"/>
  <c r="K150" i="44"/>
  <c r="K176" i="43"/>
  <c r="K128" i="44"/>
  <c r="J11" i="36"/>
  <c r="J83" i="36"/>
  <c r="K150" i="36"/>
  <c r="K230" i="36"/>
  <c r="J83" i="44"/>
  <c r="J11" i="44"/>
  <c r="K222" i="44"/>
  <c r="K222" i="43"/>
  <c r="J65" i="40"/>
  <c r="K176" i="44"/>
  <c r="K198" i="43"/>
  <c r="K150" i="43"/>
  <c r="K128" i="43"/>
  <c r="J33" i="40"/>
  <c r="J53" i="40" s="1"/>
  <c r="K198" i="36"/>
  <c r="K128" i="36"/>
  <c r="K176" i="36"/>
  <c r="L81" i="30"/>
  <c r="L21" i="63" s="1"/>
  <c r="K21" i="40"/>
  <c r="K21" i="37"/>
  <c r="K11" i="37" s="1"/>
  <c r="K16" i="39"/>
  <c r="K87" i="40"/>
  <c r="L124" i="30"/>
  <c r="E86" i="45"/>
  <c r="C86" i="45" s="1"/>
  <c r="D275" i="3"/>
  <c r="D277" i="3"/>
  <c r="C127" i="35"/>
  <c r="C140" i="35"/>
  <c r="C125" i="35"/>
  <c r="D274" i="3"/>
  <c r="D253" i="3"/>
  <c r="D254" i="3"/>
  <c r="D255" i="3"/>
  <c r="D256" i="3"/>
  <c r="D257" i="3"/>
  <c r="D252" i="3"/>
  <c r="E347" i="32"/>
  <c r="E348" i="32"/>
  <c r="E350" i="32"/>
  <c r="E351" i="32"/>
  <c r="E353" i="32"/>
  <c r="E354" i="32"/>
  <c r="E356" i="32"/>
  <c r="E345" i="32"/>
  <c r="C335" i="32"/>
  <c r="C339" i="32" s="1"/>
  <c r="J101" i="64" l="1"/>
  <c r="J117" i="64" s="1"/>
  <c r="J168" i="64" s="1"/>
  <c r="H77" i="47"/>
  <c r="H414" i="47"/>
  <c r="H432" i="47"/>
  <c r="I62" i="47"/>
  <c r="K226" i="63"/>
  <c r="K44" i="67" s="1"/>
  <c r="K287" i="63"/>
  <c r="K133" i="64"/>
  <c r="J307" i="63"/>
  <c r="I98" i="45"/>
  <c r="C98" i="45" s="1"/>
  <c r="C124" i="35"/>
  <c r="C141" i="35"/>
  <c r="C143" i="35"/>
  <c r="B31" i="64"/>
  <c r="K247" i="63"/>
  <c r="F152" i="39"/>
  <c r="J152" i="39"/>
  <c r="C152" i="39"/>
  <c r="G152" i="39"/>
  <c r="D152" i="39"/>
  <c r="H152" i="39"/>
  <c r="I152" i="39"/>
  <c r="E152" i="39"/>
  <c r="C156" i="51"/>
  <c r="G156" i="51"/>
  <c r="D156" i="51"/>
  <c r="H156" i="51"/>
  <c r="I156" i="51"/>
  <c r="J156" i="51"/>
  <c r="E156" i="51"/>
  <c r="F156" i="51"/>
  <c r="E59" i="51"/>
  <c r="I59" i="51"/>
  <c r="F59" i="51"/>
  <c r="J59" i="51"/>
  <c r="C59" i="51"/>
  <c r="D59" i="51"/>
  <c r="G59" i="51"/>
  <c r="H59" i="51"/>
  <c r="B157" i="51"/>
  <c r="B60" i="51"/>
  <c r="D56" i="39"/>
  <c r="H56" i="39"/>
  <c r="E56" i="39"/>
  <c r="I56" i="39"/>
  <c r="F56" i="39"/>
  <c r="G56" i="39"/>
  <c r="C56" i="39"/>
  <c r="J56" i="39"/>
  <c r="B153" i="39"/>
  <c r="B57" i="39"/>
  <c r="L10" i="63"/>
  <c r="L11" i="67" s="1"/>
  <c r="L38" i="63"/>
  <c r="L305" i="63" s="1"/>
  <c r="L104" i="63"/>
  <c r="L177" i="63"/>
  <c r="L82" i="67" s="1"/>
  <c r="L128" i="63"/>
  <c r="L152" i="63"/>
  <c r="L76" i="64" s="1"/>
  <c r="L143" i="64" s="1"/>
  <c r="L189" i="63"/>
  <c r="J316" i="63"/>
  <c r="K306" i="63"/>
  <c r="K315" i="63"/>
  <c r="K314" i="63"/>
  <c r="N42" i="30"/>
  <c r="M54" i="30"/>
  <c r="M65" i="30" s="1"/>
  <c r="M89" i="30" s="1"/>
  <c r="M110" i="30" s="1"/>
  <c r="L90" i="49"/>
  <c r="N102" i="30"/>
  <c r="G110" i="45"/>
  <c r="K103" i="49"/>
  <c r="K68" i="49"/>
  <c r="M118" i="50"/>
  <c r="N118" i="50" s="1"/>
  <c r="O118" i="50" s="1"/>
  <c r="P118" i="50" s="1"/>
  <c r="Q118" i="50" s="1"/>
  <c r="R118" i="50" s="1"/>
  <c r="S118" i="50" s="1"/>
  <c r="T118" i="50" s="1"/>
  <c r="U118" i="50" s="1"/>
  <c r="V118" i="50" s="1"/>
  <c r="W118" i="50" s="1"/>
  <c r="X118" i="50" s="1"/>
  <c r="Y118" i="50" s="1"/>
  <c r="Z118" i="50" s="1"/>
  <c r="AA118" i="50" s="1"/>
  <c r="AB118" i="50" s="1"/>
  <c r="AC118" i="50" s="1"/>
  <c r="AD118" i="50" s="1"/>
  <c r="AE118" i="50" s="1"/>
  <c r="AF118" i="50" s="1"/>
  <c r="AG118" i="50" s="1"/>
  <c r="AH118" i="50" s="1"/>
  <c r="AI118" i="50" s="1"/>
  <c r="AJ118" i="50" s="1"/>
  <c r="L223" i="36"/>
  <c r="L131" i="53"/>
  <c r="L201" i="53"/>
  <c r="L105" i="53"/>
  <c r="K11" i="53"/>
  <c r="L179" i="53"/>
  <c r="L225" i="53"/>
  <c r="L153" i="53"/>
  <c r="K86" i="53"/>
  <c r="L234" i="52"/>
  <c r="L200" i="52"/>
  <c r="L104" i="52"/>
  <c r="L226" i="52"/>
  <c r="L178" i="52"/>
  <c r="K85" i="52"/>
  <c r="K10" i="52"/>
  <c r="L152" i="52"/>
  <c r="L130" i="52"/>
  <c r="K11" i="54"/>
  <c r="J112" i="39"/>
  <c r="J115" i="51"/>
  <c r="J180" i="47"/>
  <c r="J164" i="47"/>
  <c r="J218" i="47"/>
  <c r="J349" i="47" s="1"/>
  <c r="K148" i="51"/>
  <c r="I355" i="47"/>
  <c r="K51" i="51"/>
  <c r="K16" i="47"/>
  <c r="K91" i="47"/>
  <c r="L24" i="49"/>
  <c r="L68" i="49" s="1"/>
  <c r="L21" i="54"/>
  <c r="L18" i="51"/>
  <c r="AJ82" i="50"/>
  <c r="E137" i="45"/>
  <c r="C137" i="45" s="1"/>
  <c r="L87" i="40"/>
  <c r="M124" i="30"/>
  <c r="L102" i="44"/>
  <c r="L128" i="44"/>
  <c r="L150" i="43"/>
  <c r="L102" i="43"/>
  <c r="K65" i="40"/>
  <c r="K83" i="36"/>
  <c r="L150" i="36"/>
  <c r="L150" i="44"/>
  <c r="K83" i="44"/>
  <c r="L222" i="43"/>
  <c r="K11" i="43"/>
  <c r="K11" i="36"/>
  <c r="L230" i="36"/>
  <c r="K100" i="40"/>
  <c r="K11" i="44"/>
  <c r="L176" i="43"/>
  <c r="L128" i="43"/>
  <c r="K83" i="43"/>
  <c r="L102" i="36"/>
  <c r="L198" i="36"/>
  <c r="L128" i="36"/>
  <c r="L176" i="44"/>
  <c r="L222" i="44"/>
  <c r="L198" i="44"/>
  <c r="L198" i="43"/>
  <c r="K33" i="40"/>
  <c r="L176" i="36"/>
  <c r="L21" i="40"/>
  <c r="L16" i="39"/>
  <c r="M81" i="30"/>
  <c r="M21" i="63" s="1"/>
  <c r="L21" i="37"/>
  <c r="L11" i="37" s="1"/>
  <c r="K144" i="39"/>
  <c r="K48" i="39"/>
  <c r="E328" i="3"/>
  <c r="E87" i="45" s="1"/>
  <c r="C87" i="45" s="1"/>
  <c r="D282" i="3"/>
  <c r="D280" i="3"/>
  <c r="E139" i="45" s="1"/>
  <c r="C139" i="45" s="1"/>
  <c r="K149" i="45" s="1"/>
  <c r="D281" i="3"/>
  <c r="D258" i="3"/>
  <c r="H246" i="32"/>
  <c r="K101" i="64" l="1"/>
  <c r="K117" i="64" s="1"/>
  <c r="K168" i="64" s="1"/>
  <c r="I414" i="47"/>
  <c r="I432" i="47"/>
  <c r="I77" i="47"/>
  <c r="J62" i="47"/>
  <c r="I99" i="45"/>
  <c r="C99" i="45" s="1"/>
  <c r="C90" i="45"/>
  <c r="L226" i="63"/>
  <c r="L44" i="67" s="1"/>
  <c r="K307" i="63"/>
  <c r="L287" i="63"/>
  <c r="L133" i="64"/>
  <c r="F47" i="32"/>
  <c r="G149" i="45" s="1"/>
  <c r="F46" i="32"/>
  <c r="G148" i="45" s="1"/>
  <c r="H110" i="45"/>
  <c r="B32" i="64"/>
  <c r="L247" i="63"/>
  <c r="C153" i="39"/>
  <c r="G153" i="39"/>
  <c r="K153" i="39"/>
  <c r="D153" i="39"/>
  <c r="H153" i="39"/>
  <c r="E153" i="39"/>
  <c r="I153" i="39"/>
  <c r="F153" i="39"/>
  <c r="J153" i="39"/>
  <c r="D157" i="51"/>
  <c r="H157" i="51"/>
  <c r="E157" i="51"/>
  <c r="I157" i="51"/>
  <c r="F157" i="51"/>
  <c r="G157" i="51"/>
  <c r="J157" i="51"/>
  <c r="C157" i="51"/>
  <c r="K157" i="51"/>
  <c r="B158" i="51"/>
  <c r="F60" i="51"/>
  <c r="J60" i="51"/>
  <c r="E60" i="51"/>
  <c r="K60" i="51"/>
  <c r="G60" i="51"/>
  <c r="H60" i="51"/>
  <c r="D60" i="51"/>
  <c r="I60" i="51"/>
  <c r="C60" i="51"/>
  <c r="B61" i="51"/>
  <c r="B154" i="39"/>
  <c r="F57" i="39"/>
  <c r="J57" i="39"/>
  <c r="C57" i="39"/>
  <c r="H57" i="39"/>
  <c r="D57" i="39"/>
  <c r="I57" i="39"/>
  <c r="G57" i="39"/>
  <c r="K57" i="39"/>
  <c r="E57" i="39"/>
  <c r="B58" i="39"/>
  <c r="K147" i="45"/>
  <c r="M38" i="63"/>
  <c r="M305" i="63" s="1"/>
  <c r="M189" i="63"/>
  <c r="M104" i="63"/>
  <c r="M10" i="63"/>
  <c r="M11" i="67" s="1"/>
  <c r="M177" i="63"/>
  <c r="M82" i="67" s="1"/>
  <c r="M152" i="63"/>
  <c r="M76" i="64" s="1"/>
  <c r="M143" i="64" s="1"/>
  <c r="M128" i="63"/>
  <c r="K316" i="63"/>
  <c r="L306" i="63"/>
  <c r="L315" i="63"/>
  <c r="L314" i="63"/>
  <c r="C281" i="63"/>
  <c r="O42" i="30"/>
  <c r="N54" i="30"/>
  <c r="N65" i="30" s="1"/>
  <c r="N89" i="30" s="1"/>
  <c r="N110" i="30" s="1"/>
  <c r="M90" i="49"/>
  <c r="O102" i="30"/>
  <c r="L103" i="49"/>
  <c r="C47" i="32"/>
  <c r="E149" i="45" s="1"/>
  <c r="C46" i="32"/>
  <c r="E148" i="45" s="1"/>
  <c r="G111" i="45"/>
  <c r="AK118" i="50"/>
  <c r="M223" i="36"/>
  <c r="M201" i="53"/>
  <c r="M105" i="53"/>
  <c r="L11" i="53"/>
  <c r="M179" i="53"/>
  <c r="M225" i="53"/>
  <c r="M153" i="53"/>
  <c r="L86" i="53"/>
  <c r="M131" i="53"/>
  <c r="M226" i="52"/>
  <c r="M178" i="52"/>
  <c r="L85" i="52"/>
  <c r="L10" i="52"/>
  <c r="M152" i="52"/>
  <c r="M130" i="52"/>
  <c r="M234" i="52"/>
  <c r="M200" i="52"/>
  <c r="M104" i="52"/>
  <c r="K112" i="39"/>
  <c r="K115" i="51"/>
  <c r="L11" i="54"/>
  <c r="L148" i="51"/>
  <c r="L91" i="47"/>
  <c r="L16" i="47"/>
  <c r="L51" i="51"/>
  <c r="K164" i="47"/>
  <c r="K218" i="47"/>
  <c r="K349" i="47" s="1"/>
  <c r="K180" i="47"/>
  <c r="J355" i="47"/>
  <c r="M24" i="49"/>
  <c r="M103" i="49" s="1"/>
  <c r="M21" i="54"/>
  <c r="M18" i="51"/>
  <c r="L36" i="49"/>
  <c r="L56" i="49" s="1"/>
  <c r="AK82" i="50"/>
  <c r="K53" i="40"/>
  <c r="C131" i="41"/>
  <c r="C129" i="32"/>
  <c r="C158" i="35"/>
  <c r="C52" i="32"/>
  <c r="C160" i="35"/>
  <c r="C54" i="32"/>
  <c r="E138" i="45"/>
  <c r="C138" i="45" s="1"/>
  <c r="K148" i="45" s="1"/>
  <c r="C326" i="32"/>
  <c r="M21" i="40"/>
  <c r="M21" i="37"/>
  <c r="M11" i="37" s="1"/>
  <c r="M16" i="39"/>
  <c r="N81" i="30"/>
  <c r="N21" i="63" s="1"/>
  <c r="L144" i="39"/>
  <c r="M87" i="40"/>
  <c r="N124" i="30"/>
  <c r="L48" i="39"/>
  <c r="M102" i="36"/>
  <c r="M222" i="44"/>
  <c r="M176" i="44"/>
  <c r="M102" i="44"/>
  <c r="L83" i="43"/>
  <c r="L11" i="36"/>
  <c r="M150" i="36"/>
  <c r="M128" i="44"/>
  <c r="M150" i="43"/>
  <c r="M198" i="43"/>
  <c r="M176" i="43"/>
  <c r="L65" i="40"/>
  <c r="M230" i="36"/>
  <c r="M150" i="44"/>
  <c r="M198" i="44"/>
  <c r="M222" i="43"/>
  <c r="M102" i="43"/>
  <c r="L33" i="40"/>
  <c r="L83" i="36"/>
  <c r="L11" i="44"/>
  <c r="L83" i="44"/>
  <c r="M128" i="43"/>
  <c r="L11" i="43"/>
  <c r="L100" i="40"/>
  <c r="M176" i="36"/>
  <c r="M198" i="36"/>
  <c r="M128" i="36"/>
  <c r="D283" i="3"/>
  <c r="D240" i="3"/>
  <c r="C139" i="3" s="1"/>
  <c r="C218" i="32"/>
  <c r="C318" i="32"/>
  <c r="C286" i="32"/>
  <c r="C175" i="32"/>
  <c r="C86" i="32" s="1"/>
  <c r="C174" i="32"/>
  <c r="C82" i="32" s="1"/>
  <c r="D196" i="32"/>
  <c r="C173" i="32" s="1"/>
  <c r="C77" i="32" s="1"/>
  <c r="C140" i="45" l="1"/>
  <c r="C149" i="45"/>
  <c r="D54" i="32" s="1"/>
  <c r="L101" i="64"/>
  <c r="L117" i="64" s="1"/>
  <c r="L168" i="64" s="1"/>
  <c r="J77" i="47"/>
  <c r="J414" i="47"/>
  <c r="J432" i="47"/>
  <c r="K62" i="47"/>
  <c r="L62" i="47" s="1"/>
  <c r="M62" i="47" s="1"/>
  <c r="N62" i="47" s="1"/>
  <c r="O62" i="47" s="1"/>
  <c r="P62" i="47" s="1"/>
  <c r="Q62" i="47" s="1"/>
  <c r="R62" i="47" s="1"/>
  <c r="S62" i="47" s="1"/>
  <c r="T62" i="47" s="1"/>
  <c r="U62" i="47" s="1"/>
  <c r="V62" i="47" s="1"/>
  <c r="W62" i="47" s="1"/>
  <c r="X62" i="47" s="1"/>
  <c r="Y62" i="47" s="1"/>
  <c r="Z62" i="47" s="1"/>
  <c r="AA62" i="47" s="1"/>
  <c r="AB62" i="47" s="1"/>
  <c r="AC62" i="47" s="1"/>
  <c r="AD62" i="47" s="1"/>
  <c r="AE62" i="47" s="1"/>
  <c r="AF62" i="47" s="1"/>
  <c r="AG62" i="47" s="1"/>
  <c r="AH62" i="47" s="1"/>
  <c r="AI62" i="47" s="1"/>
  <c r="AJ62" i="47" s="1"/>
  <c r="AK62" i="47" s="1"/>
  <c r="AL62" i="47" s="1"/>
  <c r="AM62" i="47" s="1"/>
  <c r="AN62" i="47" s="1"/>
  <c r="AO62" i="47" s="1"/>
  <c r="AP62" i="47" s="1"/>
  <c r="AQ62" i="47" s="1"/>
  <c r="AR62" i="47" s="1"/>
  <c r="AS62" i="47" s="1"/>
  <c r="AT62" i="47" s="1"/>
  <c r="AU62" i="47" s="1"/>
  <c r="AV62" i="47" s="1"/>
  <c r="AW62" i="47" s="1"/>
  <c r="AX62" i="47" s="1"/>
  <c r="AY62" i="47" s="1"/>
  <c r="AZ62" i="47" s="1"/>
  <c r="BA62" i="47" s="1"/>
  <c r="H111" i="45"/>
  <c r="D119" i="45" s="1"/>
  <c r="C26" i="56" s="1"/>
  <c r="C102" i="45"/>
  <c r="M226" i="63"/>
  <c r="M44" i="67" s="1"/>
  <c r="M287" i="63"/>
  <c r="M133" i="64"/>
  <c r="L307" i="63"/>
  <c r="C148" i="45"/>
  <c r="D53" i="32" s="1"/>
  <c r="C147" i="45"/>
  <c r="D121" i="45"/>
  <c r="C28" i="56" s="1"/>
  <c r="B33" i="64"/>
  <c r="M247" i="63"/>
  <c r="E158" i="51"/>
  <c r="I158" i="51"/>
  <c r="F158" i="51"/>
  <c r="J158" i="51"/>
  <c r="C158" i="51"/>
  <c r="K158" i="51"/>
  <c r="D158" i="51"/>
  <c r="L158" i="51"/>
  <c r="G158" i="51"/>
  <c r="H158" i="51"/>
  <c r="D154" i="39"/>
  <c r="H154" i="39"/>
  <c r="L154" i="39"/>
  <c r="E154" i="39"/>
  <c r="I154" i="39"/>
  <c r="F154" i="39"/>
  <c r="J154" i="39"/>
  <c r="C154" i="39"/>
  <c r="G154" i="39"/>
  <c r="K154" i="39"/>
  <c r="C61" i="51"/>
  <c r="G61" i="51"/>
  <c r="K61" i="51"/>
  <c r="H61" i="51"/>
  <c r="D61" i="51"/>
  <c r="I61" i="51"/>
  <c r="J61" i="51"/>
  <c r="L61" i="51"/>
  <c r="E61" i="51"/>
  <c r="F61" i="51"/>
  <c r="B159" i="51"/>
  <c r="B62" i="51"/>
  <c r="C58" i="39"/>
  <c r="G58" i="39"/>
  <c r="K58" i="39"/>
  <c r="E58" i="39"/>
  <c r="J58" i="39"/>
  <c r="F58" i="39"/>
  <c r="L58" i="39"/>
  <c r="I58" i="39"/>
  <c r="D58" i="39"/>
  <c r="H58" i="39"/>
  <c r="B155" i="39"/>
  <c r="B59" i="39"/>
  <c r="C170" i="56"/>
  <c r="N10" i="63"/>
  <c r="N11" i="67" s="1"/>
  <c r="N152" i="63"/>
  <c r="N76" i="64" s="1"/>
  <c r="N143" i="64" s="1"/>
  <c r="N189" i="63"/>
  <c r="N104" i="63"/>
  <c r="N128" i="63"/>
  <c r="N38" i="63"/>
  <c r="N305" i="63" s="1"/>
  <c r="N177" i="63"/>
  <c r="N82" i="67" s="1"/>
  <c r="L316" i="63"/>
  <c r="M315" i="63"/>
  <c r="M314" i="63"/>
  <c r="M306" i="63"/>
  <c r="C282" i="63"/>
  <c r="C273" i="63"/>
  <c r="P42" i="30"/>
  <c r="O54" i="30"/>
  <c r="O65" i="30" s="1"/>
  <c r="O89" i="30" s="1"/>
  <c r="O110" i="30" s="1"/>
  <c r="P102" i="30"/>
  <c r="N90" i="49"/>
  <c r="M36" i="49"/>
  <c r="M56" i="49" s="1"/>
  <c r="C120" i="45"/>
  <c r="C21" i="42" s="1"/>
  <c r="C41" i="42" s="1"/>
  <c r="E41" i="42" s="1"/>
  <c r="F41" i="42" s="1"/>
  <c r="C119" i="45"/>
  <c r="C121" i="45"/>
  <c r="C22" i="41" s="1"/>
  <c r="C63" i="41" s="1"/>
  <c r="E63" i="41" s="1"/>
  <c r="M68" i="49"/>
  <c r="C20" i="39"/>
  <c r="C23" i="51"/>
  <c r="C116" i="39"/>
  <c r="C120" i="51"/>
  <c r="AL118" i="50"/>
  <c r="M51" i="51"/>
  <c r="N223" i="36"/>
  <c r="N179" i="53"/>
  <c r="N225" i="53"/>
  <c r="N153" i="53"/>
  <c r="M86" i="53"/>
  <c r="N131" i="53"/>
  <c r="N201" i="53"/>
  <c r="N105" i="53"/>
  <c r="M11" i="53"/>
  <c r="N152" i="52"/>
  <c r="N130" i="52"/>
  <c r="N234" i="52"/>
  <c r="N200" i="52"/>
  <c r="N104" i="52"/>
  <c r="N226" i="52"/>
  <c r="N178" i="52"/>
  <c r="M85" i="52"/>
  <c r="M10" i="52"/>
  <c r="K355" i="47"/>
  <c r="N24" i="49"/>
  <c r="N68" i="49" s="1"/>
  <c r="N21" i="54"/>
  <c r="N18" i="51"/>
  <c r="M11" i="54"/>
  <c r="M148" i="51"/>
  <c r="L112" i="39"/>
  <c r="L115" i="51"/>
  <c r="M16" i="47"/>
  <c r="M91" i="47"/>
  <c r="L180" i="47"/>
  <c r="L218" i="47"/>
  <c r="L349" i="47" s="1"/>
  <c r="L164" i="47"/>
  <c r="AL82" i="50"/>
  <c r="L53" i="40"/>
  <c r="C132" i="41"/>
  <c r="C130" i="32"/>
  <c r="C134" i="32" s="1"/>
  <c r="C135" i="32" s="1"/>
  <c r="C142" i="32" s="1"/>
  <c r="C159" i="35"/>
  <c r="C168" i="35" s="1"/>
  <c r="C53" i="32"/>
  <c r="C67" i="32" s="1"/>
  <c r="C48" i="32"/>
  <c r="M144" i="39"/>
  <c r="N21" i="37"/>
  <c r="N11" i="37" s="1"/>
  <c r="N21" i="40"/>
  <c r="N16" i="39"/>
  <c r="O81" i="30"/>
  <c r="O21" i="63" s="1"/>
  <c r="M48" i="39"/>
  <c r="N87" i="40"/>
  <c r="O124" i="30"/>
  <c r="N102" i="36"/>
  <c r="M11" i="44"/>
  <c r="M100" i="40"/>
  <c r="M83" i="44"/>
  <c r="N222" i="43"/>
  <c r="M83" i="43"/>
  <c r="N102" i="43"/>
  <c r="M83" i="36"/>
  <c r="N176" i="36"/>
  <c r="N222" i="44"/>
  <c r="N176" i="44"/>
  <c r="N128" i="43"/>
  <c r="N150" i="43"/>
  <c r="M65" i="40"/>
  <c r="N198" i="36"/>
  <c r="N128" i="44"/>
  <c r="N102" i="44"/>
  <c r="N198" i="43"/>
  <c r="M11" i="43"/>
  <c r="M33" i="40"/>
  <c r="N150" i="36"/>
  <c r="N128" i="36"/>
  <c r="N198" i="44"/>
  <c r="N176" i="43"/>
  <c r="N150" i="44"/>
  <c r="M11" i="36"/>
  <c r="N230" i="36"/>
  <c r="D48" i="5"/>
  <c r="D46" i="5"/>
  <c r="D45" i="5"/>
  <c r="M101" i="64" l="1"/>
  <c r="M117" i="64" s="1"/>
  <c r="M168" i="64" s="1"/>
  <c r="K77" i="47"/>
  <c r="L77" i="47" s="1"/>
  <c r="M77" i="47" s="1"/>
  <c r="N77" i="47" s="1"/>
  <c r="O77" i="47" s="1"/>
  <c r="P77" i="47" s="1"/>
  <c r="K414" i="47"/>
  <c r="K432" i="47"/>
  <c r="C22" i="57"/>
  <c r="C65" i="57" s="1"/>
  <c r="E65" i="57" s="1"/>
  <c r="D120" i="45"/>
  <c r="D52" i="32"/>
  <c r="C150" i="45"/>
  <c r="N226" i="63"/>
  <c r="N44" i="67" s="1"/>
  <c r="N287" i="63"/>
  <c r="N133" i="64"/>
  <c r="C283" i="63"/>
  <c r="M307" i="63"/>
  <c r="C24" i="57"/>
  <c r="C67" i="57" s="1"/>
  <c r="E67" i="57" s="1"/>
  <c r="I63" i="41"/>
  <c r="H63" i="41"/>
  <c r="B34" i="64"/>
  <c r="N247" i="63"/>
  <c r="E155" i="39"/>
  <c r="I155" i="39"/>
  <c r="M155" i="39"/>
  <c r="F155" i="39"/>
  <c r="J155" i="39"/>
  <c r="C155" i="39"/>
  <c r="G155" i="39"/>
  <c r="K155" i="39"/>
  <c r="D155" i="39"/>
  <c r="L155" i="39"/>
  <c r="H155" i="39"/>
  <c r="F159" i="51"/>
  <c r="J159" i="51"/>
  <c r="C159" i="51"/>
  <c r="G159" i="51"/>
  <c r="K159" i="51"/>
  <c r="H159" i="51"/>
  <c r="I159" i="51"/>
  <c r="D159" i="51"/>
  <c r="L159" i="51"/>
  <c r="E159" i="51"/>
  <c r="M159" i="51"/>
  <c r="B160" i="51"/>
  <c r="D62" i="51"/>
  <c r="H62" i="51"/>
  <c r="L62" i="51"/>
  <c r="E62" i="51"/>
  <c r="J62" i="51"/>
  <c r="F62" i="51"/>
  <c r="K62" i="51"/>
  <c r="M62" i="51"/>
  <c r="C62" i="51"/>
  <c r="G62" i="51"/>
  <c r="I62" i="51"/>
  <c r="B63" i="51"/>
  <c r="E59" i="39"/>
  <c r="I59" i="39"/>
  <c r="M59" i="39"/>
  <c r="F59" i="39"/>
  <c r="J59" i="39"/>
  <c r="H59" i="39"/>
  <c r="D59" i="39"/>
  <c r="G59" i="39"/>
  <c r="K59" i="39"/>
  <c r="C59" i="39"/>
  <c r="L59" i="39"/>
  <c r="B156" i="39"/>
  <c r="B60" i="39"/>
  <c r="C86" i="56"/>
  <c r="E86" i="56" s="1"/>
  <c r="C65" i="56"/>
  <c r="E65" i="56" s="1"/>
  <c r="C44" i="56"/>
  <c r="E44" i="56" s="1"/>
  <c r="C88" i="56"/>
  <c r="E88" i="56" s="1"/>
  <c r="C46" i="56"/>
  <c r="E46" i="56" s="1"/>
  <c r="C67" i="56"/>
  <c r="E67" i="56" s="1"/>
  <c r="M316" i="63"/>
  <c r="N315" i="63"/>
  <c r="N306" i="63"/>
  <c r="N314" i="63"/>
  <c r="O10" i="63"/>
  <c r="O11" i="67" s="1"/>
  <c r="O152" i="63"/>
  <c r="O76" i="64" s="1"/>
  <c r="O143" i="64" s="1"/>
  <c r="O38" i="63"/>
  <c r="O305" i="63" s="1"/>
  <c r="O189" i="63"/>
  <c r="O177" i="63"/>
  <c r="O82" i="67" s="1"/>
  <c r="O128" i="63"/>
  <c r="O104" i="63"/>
  <c r="C172" i="56"/>
  <c r="C145" i="32"/>
  <c r="C31" i="32" s="1"/>
  <c r="C11" i="32" s="1"/>
  <c r="Q42" i="30"/>
  <c r="P54" i="30"/>
  <c r="P65" i="30" s="1"/>
  <c r="P89" i="30" s="1"/>
  <c r="P110" i="30" s="1"/>
  <c r="O90" i="49"/>
  <c r="Q102" i="30"/>
  <c r="N36" i="49"/>
  <c r="N56" i="49" s="1"/>
  <c r="C20" i="41"/>
  <c r="C40" i="41" s="1"/>
  <c r="E40" i="41" s="1"/>
  <c r="C42" i="41"/>
  <c r="E42" i="41" s="1"/>
  <c r="C20" i="42"/>
  <c r="C40" i="42" s="1"/>
  <c r="E40" i="42" s="1"/>
  <c r="F40" i="42" s="1"/>
  <c r="I40" i="42" s="1"/>
  <c r="C21" i="41"/>
  <c r="C22" i="42"/>
  <c r="C42" i="42" s="1"/>
  <c r="E42" i="42" s="1"/>
  <c r="F42" i="42" s="1"/>
  <c r="H42" i="42" s="1"/>
  <c r="C64" i="42" s="1"/>
  <c r="C98" i="42" s="1"/>
  <c r="C24" i="35"/>
  <c r="C22" i="35"/>
  <c r="C81" i="35" s="1"/>
  <c r="C23" i="35"/>
  <c r="N103" i="49"/>
  <c r="D182" i="35" a="1"/>
  <c r="D182" i="35" s="1"/>
  <c r="AM118" i="50"/>
  <c r="M112" i="39"/>
  <c r="M115" i="51"/>
  <c r="M180" i="47"/>
  <c r="M218" i="47"/>
  <c r="M164" i="47"/>
  <c r="N11" i="54"/>
  <c r="N148" i="51"/>
  <c r="N16" i="47"/>
  <c r="N91" i="47"/>
  <c r="O24" i="49"/>
  <c r="O68" i="49" s="1"/>
  <c r="O21" i="54"/>
  <c r="O18" i="51"/>
  <c r="O223" i="36"/>
  <c r="O225" i="53"/>
  <c r="O153" i="53"/>
  <c r="N86" i="53"/>
  <c r="O131" i="53"/>
  <c r="O201" i="53"/>
  <c r="O105" i="53"/>
  <c r="N11" i="53"/>
  <c r="O179" i="53"/>
  <c r="O130" i="52"/>
  <c r="O234" i="52"/>
  <c r="O200" i="52"/>
  <c r="O104" i="52"/>
  <c r="O226" i="52"/>
  <c r="O178" i="52"/>
  <c r="N85" i="52"/>
  <c r="N10" i="52"/>
  <c r="O152" i="52"/>
  <c r="L355" i="47"/>
  <c r="N51" i="51"/>
  <c r="AM82" i="50"/>
  <c r="M53" i="40"/>
  <c r="D181" i="35" a="1"/>
  <c r="D181" i="35" s="1"/>
  <c r="C182" i="35" a="1"/>
  <c r="C182" i="35" s="1"/>
  <c r="C60" i="32"/>
  <c r="C181" i="35" a="1"/>
  <c r="C181" i="35" s="1"/>
  <c r="C180" i="35" a="1"/>
  <c r="C180" i="35" s="1"/>
  <c r="C179" i="35" a="1"/>
  <c r="C179" i="35" s="1"/>
  <c r="D179" i="35" a="1"/>
  <c r="D179" i="35" s="1"/>
  <c r="D187" i="35" a="1"/>
  <c r="D187" i="35" s="1"/>
  <c r="C161" i="35"/>
  <c r="C187" i="35" a="1"/>
  <c r="C187" i="35" s="1"/>
  <c r="D180" i="35" a="1"/>
  <c r="D180" i="35" s="1"/>
  <c r="F63" i="41"/>
  <c r="N144" i="39"/>
  <c r="O102" i="36"/>
  <c r="N100" i="40"/>
  <c r="O102" i="44"/>
  <c r="O102" i="43"/>
  <c r="O150" i="43"/>
  <c r="N11" i="43"/>
  <c r="O198" i="36"/>
  <c r="N83" i="44"/>
  <c r="N11" i="44"/>
  <c r="O176" i="43"/>
  <c r="N83" i="43"/>
  <c r="N11" i="36"/>
  <c r="N83" i="36"/>
  <c r="O198" i="43"/>
  <c r="O128" i="43"/>
  <c r="O150" i="36"/>
  <c r="O198" i="44"/>
  <c r="O150" i="44"/>
  <c r="O222" i="44"/>
  <c r="O222" i="43"/>
  <c r="N65" i="40"/>
  <c r="O128" i="36"/>
  <c r="O176" i="36"/>
  <c r="O176" i="44"/>
  <c r="O128" i="44"/>
  <c r="N33" i="40"/>
  <c r="O230" i="36"/>
  <c r="N48" i="39"/>
  <c r="O87" i="40"/>
  <c r="P124" i="30"/>
  <c r="P81" i="30"/>
  <c r="P21" i="63" s="1"/>
  <c r="O16" i="39"/>
  <c r="O21" i="40"/>
  <c r="O21" i="37"/>
  <c r="O11" i="37" s="1"/>
  <c r="I41" i="42"/>
  <c r="H41" i="42"/>
  <c r="C141" i="41"/>
  <c r="D155" i="41" a="1"/>
  <c r="D155" i="41" s="1"/>
  <c r="D152" i="41" a="1"/>
  <c r="D152" i="41" s="1"/>
  <c r="C152" i="41" a="1"/>
  <c r="C152" i="41" s="1"/>
  <c r="C151" i="41" a="1"/>
  <c r="C151" i="41" s="1"/>
  <c r="C155" i="41" a="1"/>
  <c r="C155" i="41" s="1"/>
  <c r="D159" i="41" a="1"/>
  <c r="D159" i="41" s="1"/>
  <c r="D156" i="41" a="1"/>
  <c r="D156" i="41" s="1"/>
  <c r="D151" i="41" a="1"/>
  <c r="D151" i="41" s="1"/>
  <c r="C154" i="41" a="1"/>
  <c r="C154" i="41" s="1"/>
  <c r="D153" i="41" a="1"/>
  <c r="D153" i="41" s="1"/>
  <c r="C159" i="41" a="1"/>
  <c r="C159" i="41" s="1"/>
  <c r="C153" i="41" a="1"/>
  <c r="C153" i="41" s="1"/>
  <c r="C133" i="41"/>
  <c r="C156" i="41" a="1"/>
  <c r="C156" i="41" s="1"/>
  <c r="D154" i="41" a="1"/>
  <c r="D154" i="41" s="1"/>
  <c r="N101" i="64" l="1"/>
  <c r="N117" i="64" s="1"/>
  <c r="N168" i="64" s="1"/>
  <c r="L414" i="47"/>
  <c r="L432" i="47"/>
  <c r="M355" i="47"/>
  <c r="M349" i="47"/>
  <c r="Q77" i="47"/>
  <c r="C42" i="57"/>
  <c r="E42" i="57" s="1"/>
  <c r="H42" i="57" s="1"/>
  <c r="C23" i="57"/>
  <c r="E24" i="57" s="1"/>
  <c r="C90" i="57" s="1"/>
  <c r="E90" i="57" s="1"/>
  <c r="C27" i="56"/>
  <c r="C44" i="57"/>
  <c r="E44" i="57" s="1"/>
  <c r="I44" i="57" s="1"/>
  <c r="C125" i="57" s="1"/>
  <c r="O226" i="63"/>
  <c r="O44" i="67" s="1"/>
  <c r="O287" i="63"/>
  <c r="O133" i="64"/>
  <c r="N307" i="63"/>
  <c r="D105" i="41"/>
  <c r="F67" i="56"/>
  <c r="H67" i="56"/>
  <c r="D138" i="56" s="1"/>
  <c r="I67" i="56"/>
  <c r="D154" i="56" s="1"/>
  <c r="F67" i="57"/>
  <c r="I67" i="57"/>
  <c r="D125" i="57" s="1"/>
  <c r="H67" i="57"/>
  <c r="D110" i="57" s="1"/>
  <c r="F65" i="56"/>
  <c r="H65" i="56"/>
  <c r="I65" i="56"/>
  <c r="F88" i="56"/>
  <c r="I88" i="56"/>
  <c r="E154" i="56" s="1"/>
  <c r="H88" i="56"/>
  <c r="E138" i="56" s="1"/>
  <c r="F65" i="57"/>
  <c r="H65" i="57"/>
  <c r="I65" i="57"/>
  <c r="F86" i="56"/>
  <c r="I86" i="56"/>
  <c r="H86" i="56"/>
  <c r="F40" i="41"/>
  <c r="I40" i="41"/>
  <c r="H40" i="41"/>
  <c r="F42" i="41"/>
  <c r="I42" i="41"/>
  <c r="H42" i="41"/>
  <c r="C105" i="41" s="1"/>
  <c r="F42" i="57"/>
  <c r="F46" i="56"/>
  <c r="H46" i="56"/>
  <c r="C138" i="56" s="1"/>
  <c r="I46" i="56"/>
  <c r="C154" i="56" s="1"/>
  <c r="F44" i="56"/>
  <c r="I44" i="56"/>
  <c r="H44" i="56"/>
  <c r="B35" i="64"/>
  <c r="O247" i="63"/>
  <c r="N145" i="39"/>
  <c r="N149" i="51"/>
  <c r="C156" i="39"/>
  <c r="G156" i="39"/>
  <c r="K156" i="39"/>
  <c r="D156" i="39"/>
  <c r="H156" i="39"/>
  <c r="L156" i="39"/>
  <c r="F156" i="39"/>
  <c r="N156" i="39"/>
  <c r="I156" i="39"/>
  <c r="M156" i="39"/>
  <c r="J156" i="39"/>
  <c r="E156" i="39"/>
  <c r="C160" i="51"/>
  <c r="G160" i="51"/>
  <c r="K160" i="51"/>
  <c r="D160" i="51"/>
  <c r="H160" i="51"/>
  <c r="L160" i="51"/>
  <c r="E160" i="51"/>
  <c r="M160" i="51"/>
  <c r="F160" i="51"/>
  <c r="N160" i="51"/>
  <c r="I160" i="51"/>
  <c r="J160" i="51"/>
  <c r="E63" i="51"/>
  <c r="I63" i="51"/>
  <c r="M63" i="51"/>
  <c r="G63" i="51"/>
  <c r="L63" i="51"/>
  <c r="C63" i="51"/>
  <c r="H63" i="51"/>
  <c r="N63" i="51"/>
  <c r="D63" i="51"/>
  <c r="J63" i="51"/>
  <c r="K63" i="51"/>
  <c r="F63" i="51"/>
  <c r="N52" i="51"/>
  <c r="B161" i="51"/>
  <c r="B64" i="51"/>
  <c r="N49" i="39"/>
  <c r="F60" i="39"/>
  <c r="J60" i="39"/>
  <c r="N60" i="39"/>
  <c r="C60" i="39"/>
  <c r="G60" i="39"/>
  <c r="K60" i="39"/>
  <c r="E60" i="39"/>
  <c r="M60" i="39"/>
  <c r="H60" i="39"/>
  <c r="I60" i="39"/>
  <c r="L60" i="39"/>
  <c r="D60" i="39"/>
  <c r="B157" i="39"/>
  <c r="B61" i="39"/>
  <c r="C274" i="63"/>
  <c r="C275" i="63" s="1"/>
  <c r="P10" i="63"/>
  <c r="P11" i="67" s="1"/>
  <c r="P38" i="63"/>
  <c r="P305" i="63" s="1"/>
  <c r="P189" i="63"/>
  <c r="P128" i="63"/>
  <c r="P177" i="63"/>
  <c r="P82" i="67" s="1"/>
  <c r="P152" i="63"/>
  <c r="P76" i="64" s="1"/>
  <c r="P143" i="64" s="1"/>
  <c r="P104" i="63"/>
  <c r="O315" i="63"/>
  <c r="O306" i="63"/>
  <c r="O314" i="63"/>
  <c r="N316" i="63"/>
  <c r="C144" i="32"/>
  <c r="C62" i="35"/>
  <c r="E62" i="35" s="1"/>
  <c r="C82" i="35"/>
  <c r="E82" i="35" s="1"/>
  <c r="C63" i="35"/>
  <c r="E63" i="35" s="1"/>
  <c r="C83" i="35"/>
  <c r="E83" i="35" s="1"/>
  <c r="R42" i="30"/>
  <c r="Q54" i="30"/>
  <c r="Q65" i="30" s="1"/>
  <c r="Q89" i="30" s="1"/>
  <c r="Q110" i="30" s="1"/>
  <c r="R102" i="30"/>
  <c r="P90" i="49"/>
  <c r="E209" i="47"/>
  <c r="D67" i="32"/>
  <c r="C68" i="32" s="1"/>
  <c r="C106" i="32" s="1"/>
  <c r="C61" i="41"/>
  <c r="E61" i="41" s="1"/>
  <c r="C171" i="56"/>
  <c r="E23" i="51"/>
  <c r="E210" i="47"/>
  <c r="D22" i="41"/>
  <c r="D21" i="41" s="1"/>
  <c r="C84" i="41" s="1"/>
  <c r="E84" i="41" s="1"/>
  <c r="C62" i="41"/>
  <c r="E62" i="41" s="1"/>
  <c r="C41" i="41"/>
  <c r="E41" i="41" s="1"/>
  <c r="H40" i="42"/>
  <c r="C78" i="42"/>
  <c r="D97" i="42" s="1"/>
  <c r="F50" i="44" s="1"/>
  <c r="D73" i="44" s="1"/>
  <c r="C61" i="35"/>
  <c r="C40" i="35"/>
  <c r="C41" i="35"/>
  <c r="E41" i="35" s="1"/>
  <c r="I42" i="42"/>
  <c r="C79" i="42" s="1"/>
  <c r="D98" i="42" s="1"/>
  <c r="D113" i="42" s="1"/>
  <c r="E90" i="35"/>
  <c r="D24" i="35"/>
  <c r="D23" i="35" s="1"/>
  <c r="C42" i="35"/>
  <c r="O103" i="49"/>
  <c r="C153" i="57"/>
  <c r="E33" i="50"/>
  <c r="F65" i="49"/>
  <c r="G65" i="49" s="1"/>
  <c r="H65" i="49" s="1"/>
  <c r="AN118" i="50"/>
  <c r="O36" i="49"/>
  <c r="O56" i="49" s="1"/>
  <c r="O148" i="51"/>
  <c r="O11" i="54"/>
  <c r="N112" i="39"/>
  <c r="N115" i="51"/>
  <c r="O16" i="47"/>
  <c r="O91" i="47"/>
  <c r="P24" i="49"/>
  <c r="P68" i="49" s="1"/>
  <c r="P21" i="54"/>
  <c r="P18" i="51"/>
  <c r="O51" i="51"/>
  <c r="P223" i="36"/>
  <c r="P131" i="53"/>
  <c r="P201" i="53"/>
  <c r="P105" i="53"/>
  <c r="O11" i="53"/>
  <c r="P179" i="53"/>
  <c r="P225" i="53"/>
  <c r="P153" i="53"/>
  <c r="O86" i="53"/>
  <c r="P234" i="52"/>
  <c r="P200" i="52"/>
  <c r="P104" i="52"/>
  <c r="P226" i="52"/>
  <c r="P178" i="52"/>
  <c r="O85" i="52"/>
  <c r="O10" i="52"/>
  <c r="P152" i="52"/>
  <c r="P130" i="52"/>
  <c r="N180" i="47"/>
  <c r="N218" i="47"/>
  <c r="N164" i="47"/>
  <c r="AN82" i="50"/>
  <c r="N53" i="40"/>
  <c r="P87" i="40"/>
  <c r="Q124" i="30"/>
  <c r="P102" i="36"/>
  <c r="P102" i="44"/>
  <c r="P128" i="44"/>
  <c r="P222" i="43"/>
  <c r="P102" i="43"/>
  <c r="O33" i="40"/>
  <c r="P198" i="36"/>
  <c r="P230" i="36"/>
  <c r="P176" i="36"/>
  <c r="P128" i="36"/>
  <c r="P150" i="44"/>
  <c r="P198" i="44"/>
  <c r="P128" i="43"/>
  <c r="P198" i="43"/>
  <c r="O65" i="40"/>
  <c r="O100" i="40"/>
  <c r="O11" i="44"/>
  <c r="P176" i="43"/>
  <c r="O83" i="44"/>
  <c r="O83" i="43"/>
  <c r="P176" i="44"/>
  <c r="P222" i="44"/>
  <c r="P150" i="43"/>
  <c r="O11" i="43"/>
  <c r="O11" i="36"/>
  <c r="O83" i="36"/>
  <c r="P150" i="36"/>
  <c r="O144" i="39"/>
  <c r="P16" i="39"/>
  <c r="Q81" i="30"/>
  <c r="Q21" i="63" s="1"/>
  <c r="P21" i="40"/>
  <c r="P21" i="37"/>
  <c r="P11" i="37" s="1"/>
  <c r="O48" i="39"/>
  <c r="E51" i="44"/>
  <c r="C74" i="44" s="1"/>
  <c r="C113" i="42"/>
  <c r="U119" i="25"/>
  <c r="U89" i="25"/>
  <c r="U86" i="25"/>
  <c r="U96" i="25"/>
  <c r="U113" i="25"/>
  <c r="U66" i="25"/>
  <c r="U74" i="25"/>
  <c r="U39" i="25"/>
  <c r="U38" i="25"/>
  <c r="T1533" i="25"/>
  <c r="T1534" i="25"/>
  <c r="T1535" i="25"/>
  <c r="T1536" i="25"/>
  <c r="T1537" i="25"/>
  <c r="T1538" i="25"/>
  <c r="T1539" i="25"/>
  <c r="T1540" i="25"/>
  <c r="T1541" i="25"/>
  <c r="T1542" i="25"/>
  <c r="T1543" i="25"/>
  <c r="T1544" i="25"/>
  <c r="T1545" i="25"/>
  <c r="T1546" i="25"/>
  <c r="T1547" i="25"/>
  <c r="T1548" i="25"/>
  <c r="T1549" i="25"/>
  <c r="T1550" i="25"/>
  <c r="T1551" i="25"/>
  <c r="T1552" i="25"/>
  <c r="T1553" i="25"/>
  <c r="T1554" i="25"/>
  <c r="T1555" i="25"/>
  <c r="T1556" i="25"/>
  <c r="T1557" i="25"/>
  <c r="T1558" i="25"/>
  <c r="T1559" i="25"/>
  <c r="T1560" i="25"/>
  <c r="T1561" i="25"/>
  <c r="T1562" i="25"/>
  <c r="T1563" i="25"/>
  <c r="T1564" i="25"/>
  <c r="T1565" i="25"/>
  <c r="T1566" i="25"/>
  <c r="T1567" i="25"/>
  <c r="T1568" i="25"/>
  <c r="T1569" i="25"/>
  <c r="T1570" i="25"/>
  <c r="T1571" i="25"/>
  <c r="T1572" i="25"/>
  <c r="T1573" i="25"/>
  <c r="T1574" i="25"/>
  <c r="T1575" i="25"/>
  <c r="T1576" i="25"/>
  <c r="T1577" i="25"/>
  <c r="T1578" i="25"/>
  <c r="T1579" i="25"/>
  <c r="T1580" i="25"/>
  <c r="T1581" i="25"/>
  <c r="T1582" i="25"/>
  <c r="T1583" i="25"/>
  <c r="T1584" i="25"/>
  <c r="T1585" i="25"/>
  <c r="T1586" i="25"/>
  <c r="T1587" i="25"/>
  <c r="T1588" i="25"/>
  <c r="T1589" i="25"/>
  <c r="T1590" i="25"/>
  <c r="T1591" i="25"/>
  <c r="T1592" i="25"/>
  <c r="T1593" i="25"/>
  <c r="T1594" i="25"/>
  <c r="T1595" i="25"/>
  <c r="T1596" i="25"/>
  <c r="T1597" i="25"/>
  <c r="T1598" i="25"/>
  <c r="T1599" i="25"/>
  <c r="T1600" i="25"/>
  <c r="T1601" i="25"/>
  <c r="T1602" i="25"/>
  <c r="T1603" i="25"/>
  <c r="T1604" i="25"/>
  <c r="T1605" i="25"/>
  <c r="T1606" i="25"/>
  <c r="T1607" i="25"/>
  <c r="T1608" i="25"/>
  <c r="T1609" i="25"/>
  <c r="T1610" i="25"/>
  <c r="T1611" i="25"/>
  <c r="T1612" i="25"/>
  <c r="T1613" i="25"/>
  <c r="T1614" i="25"/>
  <c r="T1615" i="25"/>
  <c r="T1616" i="25"/>
  <c r="T1617" i="25"/>
  <c r="T1618" i="25"/>
  <c r="T1619" i="25"/>
  <c r="T1620" i="25"/>
  <c r="T1621" i="25"/>
  <c r="T1622" i="25"/>
  <c r="T1623" i="25"/>
  <c r="T1624" i="25"/>
  <c r="T1625" i="25"/>
  <c r="T1626" i="25"/>
  <c r="T1627" i="25"/>
  <c r="T1628" i="25"/>
  <c r="T1629" i="25"/>
  <c r="T1630" i="25"/>
  <c r="T1631" i="25"/>
  <c r="T1632" i="25"/>
  <c r="T1633" i="25"/>
  <c r="T1634" i="25"/>
  <c r="T1635" i="25"/>
  <c r="T1636" i="25"/>
  <c r="T1637" i="25"/>
  <c r="T1638" i="25"/>
  <c r="T1639" i="25"/>
  <c r="T1640" i="25"/>
  <c r="T1641" i="25"/>
  <c r="T1642" i="25"/>
  <c r="T1643" i="25"/>
  <c r="T1644" i="25"/>
  <c r="T1645" i="25"/>
  <c r="T1646" i="25"/>
  <c r="T1532" i="25"/>
  <c r="T1520" i="25"/>
  <c r="V1519" i="25" s="1"/>
  <c r="C32" i="30"/>
  <c r="C31" i="30"/>
  <c r="C30" i="30"/>
  <c r="C21" i="30"/>
  <c r="F90" i="35" l="1"/>
  <c r="I90" i="35" s="1"/>
  <c r="H90" i="35"/>
  <c r="I42" i="57"/>
  <c r="O101" i="64"/>
  <c r="O117" i="64" s="1"/>
  <c r="O168" i="64" s="1"/>
  <c r="M414" i="47"/>
  <c r="M432" i="47"/>
  <c r="N355" i="47"/>
  <c r="N349" i="47"/>
  <c r="R77" i="47"/>
  <c r="H44" i="57"/>
  <c r="C110" i="57" s="1"/>
  <c r="C166" i="57" s="1" a="1"/>
  <c r="C166" i="57" s="1"/>
  <c r="F44" i="57"/>
  <c r="E23" i="57"/>
  <c r="C89" i="57" s="1"/>
  <c r="E89" i="57" s="1"/>
  <c r="H89" i="57" s="1"/>
  <c r="F109" i="57" s="1"/>
  <c r="C45" i="56"/>
  <c r="E45" i="56" s="1"/>
  <c r="E28" i="56"/>
  <c r="C66" i="56"/>
  <c r="E66" i="56" s="1"/>
  <c r="C87" i="56"/>
  <c r="E87" i="56" s="1"/>
  <c r="C66" i="57"/>
  <c r="E66" i="57" s="1"/>
  <c r="C43" i="57"/>
  <c r="E43" i="57" s="1"/>
  <c r="P226" i="63"/>
  <c r="P44" i="67" s="1"/>
  <c r="O307" i="63"/>
  <c r="P287" i="63"/>
  <c r="P133" i="64"/>
  <c r="C120" i="41"/>
  <c r="F62" i="41"/>
  <c r="H62" i="41"/>
  <c r="I62" i="41"/>
  <c r="I83" i="35"/>
  <c r="H83" i="35"/>
  <c r="F84" i="41"/>
  <c r="J84" i="41" s="1"/>
  <c r="C96" i="43" s="1"/>
  <c r="H84" i="41"/>
  <c r="F61" i="41"/>
  <c r="I61" i="41"/>
  <c r="H61" i="41"/>
  <c r="D104" i="41" s="1"/>
  <c r="F63" i="35"/>
  <c r="H63" i="35"/>
  <c r="D131" i="35" s="1"/>
  <c r="I63" i="35"/>
  <c r="F82" i="35"/>
  <c r="H82" i="35"/>
  <c r="I82" i="35"/>
  <c r="F90" i="57"/>
  <c r="J90" i="57" s="1"/>
  <c r="E100" i="53" s="1"/>
  <c r="H90" i="57"/>
  <c r="F110" i="57" s="1"/>
  <c r="F41" i="41"/>
  <c r="H41" i="41"/>
  <c r="C104" i="41" s="1"/>
  <c r="I41" i="41"/>
  <c r="C119" i="41" s="1"/>
  <c r="F62" i="35"/>
  <c r="I62" i="35"/>
  <c r="H62" i="35"/>
  <c r="F89" i="57"/>
  <c r="J89" i="57" s="1"/>
  <c r="E99" i="53" s="1"/>
  <c r="D166" i="57" a="1"/>
  <c r="D166" i="57" s="1"/>
  <c r="F41" i="35"/>
  <c r="H41" i="35"/>
  <c r="I41" i="35"/>
  <c r="B36" i="64"/>
  <c r="P247" i="63"/>
  <c r="O145" i="39"/>
  <c r="O146" i="39"/>
  <c r="D161" i="51"/>
  <c r="H161" i="51"/>
  <c r="L161" i="51"/>
  <c r="E161" i="51"/>
  <c r="I161" i="51"/>
  <c r="M161" i="51"/>
  <c r="J161" i="51"/>
  <c r="C161" i="51"/>
  <c r="K161" i="51"/>
  <c r="F161" i="51"/>
  <c r="N161" i="51"/>
  <c r="G161" i="51"/>
  <c r="O161" i="51"/>
  <c r="O149" i="51"/>
  <c r="O150" i="51"/>
  <c r="D157" i="39"/>
  <c r="H157" i="39"/>
  <c r="L157" i="39"/>
  <c r="E157" i="39"/>
  <c r="I157" i="39"/>
  <c r="M157" i="39"/>
  <c r="C157" i="39"/>
  <c r="K157" i="39"/>
  <c r="F157" i="39"/>
  <c r="N157" i="39"/>
  <c r="J157" i="39"/>
  <c r="G157" i="39"/>
  <c r="O157" i="39"/>
  <c r="B162" i="51"/>
  <c r="O52" i="51"/>
  <c r="O53" i="51"/>
  <c r="F64" i="51"/>
  <c r="D64" i="51"/>
  <c r="I64" i="51"/>
  <c r="M64" i="51"/>
  <c r="E64" i="51"/>
  <c r="J64" i="51"/>
  <c r="N64" i="51"/>
  <c r="G64" i="51"/>
  <c r="O64" i="51"/>
  <c r="L64" i="51"/>
  <c r="C64" i="51"/>
  <c r="H64" i="51"/>
  <c r="K64" i="51"/>
  <c r="B65" i="51"/>
  <c r="O49" i="39"/>
  <c r="O50" i="39"/>
  <c r="C61" i="39"/>
  <c r="G61" i="39"/>
  <c r="K61" i="39"/>
  <c r="O61" i="39"/>
  <c r="D61" i="39"/>
  <c r="H61" i="39"/>
  <c r="L61" i="39"/>
  <c r="J61" i="39"/>
  <c r="I61" i="39"/>
  <c r="M61" i="39"/>
  <c r="E61" i="39"/>
  <c r="N61" i="39"/>
  <c r="F61" i="39"/>
  <c r="B158" i="39"/>
  <c r="B62" i="39"/>
  <c r="O316" i="63"/>
  <c r="P315" i="63"/>
  <c r="P306" i="63"/>
  <c r="P314" i="63"/>
  <c r="Q128" i="63"/>
  <c r="Q38" i="63"/>
  <c r="Q305" i="63" s="1"/>
  <c r="Q189" i="63"/>
  <c r="Q104" i="63"/>
  <c r="Q10" i="63"/>
  <c r="Q11" i="67" s="1"/>
  <c r="Q177" i="63"/>
  <c r="Q82" i="67" s="1"/>
  <c r="Q152" i="63"/>
  <c r="Q76" i="64" s="1"/>
  <c r="Q143" i="64" s="1"/>
  <c r="D120" i="41"/>
  <c r="S42" i="30"/>
  <c r="R54" i="30"/>
  <c r="R65" i="30" s="1"/>
  <c r="R89" i="30" s="1"/>
  <c r="R110" i="30" s="1"/>
  <c r="Q90" i="49"/>
  <c r="S102" i="30"/>
  <c r="D60" i="32"/>
  <c r="C61" i="32" s="1"/>
  <c r="C96" i="32" s="1"/>
  <c r="C78" i="32"/>
  <c r="E248" i="45" s="1"/>
  <c r="C248" i="45" s="1"/>
  <c r="C249" i="45" s="1"/>
  <c r="E211" i="47"/>
  <c r="C212" i="47"/>
  <c r="C213" i="47" s="1"/>
  <c r="D194" i="56" a="1"/>
  <c r="D194" i="56" s="1"/>
  <c r="C193" i="56" a="1"/>
  <c r="C193" i="56" s="1"/>
  <c r="D192" i="56" a="1"/>
  <c r="D192" i="56" s="1"/>
  <c r="C192" i="56" a="1"/>
  <c r="C192" i="56" s="1"/>
  <c r="C191" i="56" a="1"/>
  <c r="C191" i="56" s="1"/>
  <c r="C181" i="56"/>
  <c r="C173" i="56"/>
  <c r="D191" i="56" a="1"/>
  <c r="D191" i="56" s="1"/>
  <c r="D193" i="56" a="1"/>
  <c r="D193" i="56" s="1"/>
  <c r="D196" i="56" a="1"/>
  <c r="D196" i="56" s="1"/>
  <c r="C194" i="56" a="1"/>
  <c r="C194" i="56" s="1"/>
  <c r="C199" i="56" a="1"/>
  <c r="C199" i="56" s="1"/>
  <c r="D195" i="56" a="1"/>
  <c r="D195" i="56" s="1"/>
  <c r="D199" i="56" a="1"/>
  <c r="D199" i="56" s="1"/>
  <c r="C196" i="56" a="1"/>
  <c r="C196" i="56" s="1"/>
  <c r="C195" i="56" a="1"/>
  <c r="C195" i="56" s="1"/>
  <c r="C198" i="56" a="1"/>
  <c r="C198" i="56" s="1"/>
  <c r="D198" i="56" a="1"/>
  <c r="D198" i="56" s="1"/>
  <c r="C85" i="41"/>
  <c r="E85" i="41" s="1"/>
  <c r="C63" i="42"/>
  <c r="C81" i="42" s="1"/>
  <c r="F51" i="44"/>
  <c r="D74" i="44" s="1"/>
  <c r="C111" i="35"/>
  <c r="E111" i="35" s="1"/>
  <c r="E42" i="35"/>
  <c r="F83" i="35"/>
  <c r="P36" i="49"/>
  <c r="P56" i="49" s="1"/>
  <c r="D25" i="35"/>
  <c r="C110" i="35"/>
  <c r="E110" i="35" s="1"/>
  <c r="AO118" i="50"/>
  <c r="P103" i="49"/>
  <c r="P11" i="54"/>
  <c r="P91" i="47"/>
  <c r="P16" i="47"/>
  <c r="P51" i="51"/>
  <c r="Q24" i="49"/>
  <c r="Q103" i="49" s="1"/>
  <c r="Q21" i="54"/>
  <c r="Q18" i="51"/>
  <c r="O112" i="39"/>
  <c r="O115" i="51"/>
  <c r="O164" i="47"/>
  <c r="O218" i="47"/>
  <c r="O180" i="47"/>
  <c r="Q223" i="36"/>
  <c r="Q201" i="53"/>
  <c r="Q105" i="53"/>
  <c r="P11" i="53"/>
  <c r="Q179" i="53"/>
  <c r="Q225" i="53"/>
  <c r="Q153" i="53"/>
  <c r="P86" i="53"/>
  <c r="Q131" i="53"/>
  <c r="Q226" i="52"/>
  <c r="Q178" i="52"/>
  <c r="P85" i="52"/>
  <c r="P10" i="52"/>
  <c r="Q152" i="52"/>
  <c r="Q130" i="52"/>
  <c r="Q234" i="52"/>
  <c r="Q200" i="52"/>
  <c r="Q104" i="52"/>
  <c r="P148" i="51"/>
  <c r="AO82" i="50"/>
  <c r="O53" i="40"/>
  <c r="C158" i="41" a="1"/>
  <c r="C158" i="41" s="1"/>
  <c r="P144" i="39"/>
  <c r="Q102" i="36"/>
  <c r="Q222" i="44"/>
  <c r="Q150" i="43"/>
  <c r="Q198" i="43"/>
  <c r="Q176" i="43"/>
  <c r="P65" i="40"/>
  <c r="Q150" i="36"/>
  <c r="P100" i="40"/>
  <c r="Q128" i="44"/>
  <c r="Q102" i="44"/>
  <c r="Q102" i="43"/>
  <c r="Q198" i="36"/>
  <c r="Q150" i="44"/>
  <c r="Q198" i="44"/>
  <c r="Q222" i="43"/>
  <c r="P11" i="43"/>
  <c r="P11" i="36"/>
  <c r="P83" i="36"/>
  <c r="Q128" i="36"/>
  <c r="P11" i="44"/>
  <c r="P83" i="44"/>
  <c r="Q128" i="43"/>
  <c r="Q176" i="44"/>
  <c r="P33" i="40"/>
  <c r="Q176" i="36"/>
  <c r="Q230" i="36"/>
  <c r="P83" i="43"/>
  <c r="Q87" i="40"/>
  <c r="R124" i="30"/>
  <c r="P48" i="39"/>
  <c r="Q21" i="37"/>
  <c r="Q11" i="37" s="1"/>
  <c r="Q21" i="40"/>
  <c r="Q16" i="39"/>
  <c r="R81" i="30"/>
  <c r="R21" i="63" s="1"/>
  <c r="V1531" i="25"/>
  <c r="C30" i="25" s="1"/>
  <c r="C14" i="25"/>
  <c r="F120" i="5"/>
  <c r="F121" i="5"/>
  <c r="F122" i="5"/>
  <c r="E121" i="5"/>
  <c r="E122" i="5"/>
  <c r="E120" i="5"/>
  <c r="C116" i="5"/>
  <c r="G119" i="5"/>
  <c r="G120" i="5" s="1"/>
  <c r="P101" i="64" l="1"/>
  <c r="P117" i="64" s="1"/>
  <c r="P168" i="64" s="1"/>
  <c r="N414" i="47"/>
  <c r="N432" i="47"/>
  <c r="O355" i="47"/>
  <c r="O349" i="47"/>
  <c r="S77" i="47"/>
  <c r="C118" i="56"/>
  <c r="E118" i="56" s="1"/>
  <c r="E27" i="56"/>
  <c r="F45" i="56"/>
  <c r="I45" i="56"/>
  <c r="C153" i="56" s="1"/>
  <c r="H45" i="56"/>
  <c r="C137" i="56" s="1"/>
  <c r="F43" i="57"/>
  <c r="H43" i="57"/>
  <c r="C109" i="57" s="1"/>
  <c r="I43" i="57"/>
  <c r="C124" i="57" s="1"/>
  <c r="I87" i="56"/>
  <c r="E153" i="56" s="1"/>
  <c r="H87" i="56"/>
  <c r="E137" i="56" s="1"/>
  <c r="F87" i="56"/>
  <c r="H66" i="57"/>
  <c r="D109" i="57" s="1"/>
  <c r="F66" i="57"/>
  <c r="I66" i="57"/>
  <c r="D124" i="57" s="1"/>
  <c r="I66" i="56"/>
  <c r="D153" i="56" s="1"/>
  <c r="F66" i="56"/>
  <c r="H66" i="56"/>
  <c r="D137" i="56" s="1"/>
  <c r="Q226" i="63"/>
  <c r="Q44" i="67" s="1"/>
  <c r="P307" i="63"/>
  <c r="Q287" i="63"/>
  <c r="Q133" i="64"/>
  <c r="D158" i="41" a="1"/>
  <c r="D158" i="41" s="1"/>
  <c r="D147" i="35"/>
  <c r="F104" i="41"/>
  <c r="F110" i="35"/>
  <c r="J110" i="35" s="1"/>
  <c r="H110" i="35"/>
  <c r="G130" i="35" s="1"/>
  <c r="F111" i="35"/>
  <c r="J111" i="35" s="1"/>
  <c r="H111" i="35"/>
  <c r="G131" i="35" s="1"/>
  <c r="F85" i="41"/>
  <c r="J85" i="41" s="1"/>
  <c r="C97" i="43" s="1"/>
  <c r="H85" i="41"/>
  <c r="F127" i="57"/>
  <c r="F42" i="35"/>
  <c r="H42" i="35"/>
  <c r="I42" i="35"/>
  <c r="C147" i="35" s="1"/>
  <c r="B37" i="64"/>
  <c r="Q247" i="63"/>
  <c r="P145" i="39"/>
  <c r="P146" i="39"/>
  <c r="P147" i="39"/>
  <c r="E158" i="39"/>
  <c r="I158" i="39"/>
  <c r="M158" i="39"/>
  <c r="F158" i="39"/>
  <c r="J158" i="39"/>
  <c r="N158" i="39"/>
  <c r="H158" i="39"/>
  <c r="P158" i="39"/>
  <c r="C158" i="39"/>
  <c r="K158" i="39"/>
  <c r="G158" i="39"/>
  <c r="D158" i="39"/>
  <c r="L158" i="39"/>
  <c r="O158" i="39"/>
  <c r="E162" i="51"/>
  <c r="I162" i="51"/>
  <c r="M162" i="51"/>
  <c r="F162" i="51"/>
  <c r="J162" i="51"/>
  <c r="N162" i="51"/>
  <c r="G162" i="51"/>
  <c r="O162" i="51"/>
  <c r="H162" i="51"/>
  <c r="P162" i="51"/>
  <c r="C162" i="51"/>
  <c r="K162" i="51"/>
  <c r="D162" i="51"/>
  <c r="L162" i="51"/>
  <c r="P149" i="51"/>
  <c r="P150" i="51"/>
  <c r="P151" i="51"/>
  <c r="F65" i="51"/>
  <c r="J65" i="51"/>
  <c r="N65" i="51"/>
  <c r="C65" i="51"/>
  <c r="G65" i="51"/>
  <c r="K65" i="51"/>
  <c r="O65" i="51"/>
  <c r="D65" i="51"/>
  <c r="L65" i="51"/>
  <c r="E65" i="51"/>
  <c r="P65" i="51"/>
  <c r="H65" i="51"/>
  <c r="I65" i="51"/>
  <c r="M65" i="51"/>
  <c r="B163" i="51"/>
  <c r="P52" i="51"/>
  <c r="P53" i="51"/>
  <c r="P54" i="51"/>
  <c r="B66" i="51"/>
  <c r="P49" i="39"/>
  <c r="P50" i="39"/>
  <c r="P51" i="39"/>
  <c r="C62" i="39"/>
  <c r="G62" i="39"/>
  <c r="K62" i="39"/>
  <c r="O62" i="39"/>
  <c r="H62" i="39"/>
  <c r="M62" i="39"/>
  <c r="D62" i="39"/>
  <c r="I62" i="39"/>
  <c r="N62" i="39"/>
  <c r="E62" i="39"/>
  <c r="J62" i="39"/>
  <c r="P62" i="39"/>
  <c r="L62" i="39"/>
  <c r="F62" i="39"/>
  <c r="B159" i="39"/>
  <c r="B63" i="39"/>
  <c r="R10" i="63"/>
  <c r="R11" i="67" s="1"/>
  <c r="R189" i="63"/>
  <c r="R104" i="63"/>
  <c r="R177" i="63"/>
  <c r="R82" i="67" s="1"/>
  <c r="R38" i="63"/>
  <c r="R305" i="63" s="1"/>
  <c r="R152" i="63"/>
  <c r="R76" i="64" s="1"/>
  <c r="R143" i="64" s="1"/>
  <c r="R128" i="63"/>
  <c r="Q314" i="63"/>
  <c r="Q315" i="63"/>
  <c r="Q306" i="63"/>
  <c r="P316" i="63"/>
  <c r="C99" i="53"/>
  <c r="D119" i="41"/>
  <c r="D157" i="41" s="1" a="1"/>
  <c r="D157" i="41" s="1"/>
  <c r="T42" i="30"/>
  <c r="S54" i="30"/>
  <c r="S65" i="30" s="1"/>
  <c r="S89" i="30" s="1"/>
  <c r="S110" i="30" s="1"/>
  <c r="T102" i="30"/>
  <c r="R90" i="49"/>
  <c r="C97" i="42"/>
  <c r="E50" i="44" s="1"/>
  <c r="C73" i="44" s="1"/>
  <c r="Q68" i="49"/>
  <c r="Q36" i="49"/>
  <c r="Q56" i="49" s="1"/>
  <c r="C122" i="41"/>
  <c r="AP118" i="50"/>
  <c r="P112" i="39"/>
  <c r="P115" i="51"/>
  <c r="Q51" i="51"/>
  <c r="P180" i="47"/>
  <c r="P164" i="47"/>
  <c r="P218" i="47"/>
  <c r="R24" i="49"/>
  <c r="R21" i="54"/>
  <c r="R18" i="51"/>
  <c r="Q11" i="54"/>
  <c r="Q148" i="51"/>
  <c r="Q16" i="47"/>
  <c r="Q91" i="47"/>
  <c r="R223" i="36"/>
  <c r="R179" i="53"/>
  <c r="R225" i="53"/>
  <c r="R153" i="53"/>
  <c r="Q86" i="53"/>
  <c r="R131" i="53"/>
  <c r="R201" i="53"/>
  <c r="R105" i="53"/>
  <c r="Q11" i="53"/>
  <c r="R152" i="52"/>
  <c r="R130" i="52"/>
  <c r="R234" i="52"/>
  <c r="R200" i="52"/>
  <c r="R104" i="52"/>
  <c r="R226" i="52"/>
  <c r="R178" i="52"/>
  <c r="Q85" i="52"/>
  <c r="Q10" i="52"/>
  <c r="C80" i="32"/>
  <c r="C83" i="32" s="1"/>
  <c r="C97" i="32" s="1"/>
  <c r="D223" i="52"/>
  <c r="AP82" i="50"/>
  <c r="P53" i="40"/>
  <c r="R222" i="44"/>
  <c r="R176" i="44"/>
  <c r="R198" i="43"/>
  <c r="R102" i="43"/>
  <c r="Q11" i="36"/>
  <c r="R102" i="36"/>
  <c r="R230" i="36"/>
  <c r="R150" i="44"/>
  <c r="Q33" i="40"/>
  <c r="R198" i="36"/>
  <c r="Q11" i="43"/>
  <c r="R150" i="36"/>
  <c r="R128" i="44"/>
  <c r="R102" i="44"/>
  <c r="Q83" i="43"/>
  <c r="R128" i="43"/>
  <c r="R198" i="44"/>
  <c r="R222" i="43"/>
  <c r="R176" i="43"/>
  <c r="Q11" i="44"/>
  <c r="Q65" i="40"/>
  <c r="Q83" i="36"/>
  <c r="R128" i="36"/>
  <c r="Q83" i="44"/>
  <c r="R150" i="43"/>
  <c r="Q100" i="40"/>
  <c r="R176" i="36"/>
  <c r="Q144" i="39"/>
  <c r="S81" i="30"/>
  <c r="S21" i="63" s="1"/>
  <c r="R16" i="39"/>
  <c r="R21" i="40"/>
  <c r="R21" i="37"/>
  <c r="R11" i="37" s="1"/>
  <c r="Q48" i="39"/>
  <c r="R87" i="40"/>
  <c r="S124" i="30"/>
  <c r="C157" i="41" a="1"/>
  <c r="C157" i="41" s="1"/>
  <c r="G121" i="5"/>
  <c r="C121" i="5" s="1"/>
  <c r="C119" i="5"/>
  <c r="C120" i="5"/>
  <c r="G122" i="5"/>
  <c r="C122" i="5" s="1"/>
  <c r="C28" i="50" s="1"/>
  <c r="U83" i="25"/>
  <c r="U61" i="25"/>
  <c r="U60" i="25"/>
  <c r="U68" i="25"/>
  <c r="U77" i="25"/>
  <c r="U82" i="25"/>
  <c r="U87" i="25"/>
  <c r="U108" i="25"/>
  <c r="U125" i="25"/>
  <c r="U162" i="25"/>
  <c r="U111" i="25"/>
  <c r="U127" i="25"/>
  <c r="U91" i="25"/>
  <c r="U54" i="25"/>
  <c r="U44" i="25"/>
  <c r="U43" i="25"/>
  <c r="U47" i="25"/>
  <c r="U51" i="25"/>
  <c r="U41" i="25"/>
  <c r="U40" i="25"/>
  <c r="U42" i="25"/>
  <c r="U53" i="25"/>
  <c r="U45" i="25"/>
  <c r="U46" i="25"/>
  <c r="U52" i="25"/>
  <c r="U58" i="25"/>
  <c r="U149" i="25"/>
  <c r="U138" i="25"/>
  <c r="U141" i="25"/>
  <c r="U165" i="25"/>
  <c r="U151" i="25"/>
  <c r="U147" i="25"/>
  <c r="U100" i="25"/>
  <c r="U97" i="25"/>
  <c r="U166" i="25"/>
  <c r="U109" i="25"/>
  <c r="U143" i="25"/>
  <c r="U128" i="25"/>
  <c r="U117" i="25"/>
  <c r="U102" i="25"/>
  <c r="U122" i="25"/>
  <c r="U144" i="25"/>
  <c r="U139" i="25"/>
  <c r="U65" i="25"/>
  <c r="U95" i="25"/>
  <c r="U134" i="25"/>
  <c r="U124" i="25"/>
  <c r="U121" i="25"/>
  <c r="U132" i="25"/>
  <c r="U130" i="25"/>
  <c r="U129" i="25"/>
  <c r="U133" i="25"/>
  <c r="U146" i="25"/>
  <c r="U163" i="25"/>
  <c r="U160" i="25"/>
  <c r="U118" i="25"/>
  <c r="U93" i="25"/>
  <c r="U101" i="25"/>
  <c r="U120" i="25"/>
  <c r="U126" i="25"/>
  <c r="U135" i="25"/>
  <c r="U112" i="25"/>
  <c r="U103" i="25"/>
  <c r="U114" i="25"/>
  <c r="U104" i="25"/>
  <c r="U94" i="25"/>
  <c r="U99" i="25"/>
  <c r="U107" i="25"/>
  <c r="U105" i="25"/>
  <c r="U106" i="25"/>
  <c r="U81" i="25"/>
  <c r="U73" i="25"/>
  <c r="U76" i="25"/>
  <c r="U84" i="25"/>
  <c r="U88" i="25"/>
  <c r="U90" i="25"/>
  <c r="U80" i="25"/>
  <c r="U78" i="25"/>
  <c r="U79" i="25"/>
  <c r="U75" i="25"/>
  <c r="U71" i="25"/>
  <c r="U62" i="25"/>
  <c r="U159" i="25"/>
  <c r="U145" i="25"/>
  <c r="U158" i="25"/>
  <c r="U150" i="25"/>
  <c r="U153" i="25"/>
  <c r="U164" i="25"/>
  <c r="U155" i="25"/>
  <c r="U156" i="25"/>
  <c r="U157" i="25"/>
  <c r="U161" i="25"/>
  <c r="U69" i="25"/>
  <c r="U56" i="25"/>
  <c r="U63" i="25"/>
  <c r="U72" i="25"/>
  <c r="U140" i="25"/>
  <c r="U142" i="25"/>
  <c r="U131" i="25"/>
  <c r="U115" i="25"/>
  <c r="U110" i="25"/>
  <c r="U148" i="25"/>
  <c r="U152" i="25"/>
  <c r="U67" i="25"/>
  <c r="U49" i="25"/>
  <c r="U48" i="25"/>
  <c r="U55" i="25"/>
  <c r="U70" i="25"/>
  <c r="U85" i="25"/>
  <c r="U92" i="25"/>
  <c r="U64" i="25"/>
  <c r="U57" i="25"/>
  <c r="U59" i="25"/>
  <c r="U50" i="25"/>
  <c r="U167" i="25"/>
  <c r="U98" i="25"/>
  <c r="U136" i="25"/>
  <c r="U154" i="25"/>
  <c r="U123" i="25"/>
  <c r="U116" i="25"/>
  <c r="U137" i="25"/>
  <c r="Q101" i="64" l="1"/>
  <c r="Q117" i="64" s="1"/>
  <c r="Q168" i="64" s="1"/>
  <c r="O414" i="47"/>
  <c r="O432" i="47"/>
  <c r="P355" i="47"/>
  <c r="P349" i="47"/>
  <c r="T77" i="47"/>
  <c r="C197" i="56" a="1"/>
  <c r="C197" i="56" s="1"/>
  <c r="E156" i="56"/>
  <c r="D165" i="57" a="1"/>
  <c r="D165" i="57" s="1"/>
  <c r="C165" i="57" a="1"/>
  <c r="C165" i="57" s="1"/>
  <c r="C127" i="57"/>
  <c r="C156" i="56"/>
  <c r="D197" i="56" a="1"/>
  <c r="D197" i="56" s="1"/>
  <c r="D127" i="57"/>
  <c r="C117" i="56"/>
  <c r="E117" i="56" s="1"/>
  <c r="E29" i="56"/>
  <c r="D156" i="56"/>
  <c r="F118" i="56"/>
  <c r="J118" i="56" s="1"/>
  <c r="E99" i="52" s="1"/>
  <c r="H118" i="56"/>
  <c r="G138" i="56" s="1"/>
  <c r="R226" i="63"/>
  <c r="R44" i="67" s="1"/>
  <c r="Q307" i="63"/>
  <c r="R287" i="63"/>
  <c r="R133" i="64"/>
  <c r="F105" i="41"/>
  <c r="F122" i="41" s="1"/>
  <c r="B38" i="64"/>
  <c r="R247" i="63"/>
  <c r="D163" i="51"/>
  <c r="H163" i="51"/>
  <c r="L163" i="51"/>
  <c r="P163" i="51"/>
  <c r="E163" i="51"/>
  <c r="I163" i="51"/>
  <c r="M163" i="51"/>
  <c r="Q163" i="51"/>
  <c r="F163" i="51"/>
  <c r="J163" i="51"/>
  <c r="N163" i="51"/>
  <c r="C163" i="51"/>
  <c r="G163" i="51"/>
  <c r="K163" i="51"/>
  <c r="O163" i="51"/>
  <c r="Q149" i="51"/>
  <c r="Q150" i="51"/>
  <c r="Q151" i="51"/>
  <c r="Q152" i="51"/>
  <c r="Q145" i="39"/>
  <c r="Q146" i="39"/>
  <c r="Q147" i="39"/>
  <c r="Q148" i="39"/>
  <c r="F159" i="39"/>
  <c r="J159" i="39"/>
  <c r="N159" i="39"/>
  <c r="C159" i="39"/>
  <c r="G159" i="39"/>
  <c r="K159" i="39"/>
  <c r="O159" i="39"/>
  <c r="E159" i="39"/>
  <c r="M159" i="39"/>
  <c r="H159" i="39"/>
  <c r="P159" i="39"/>
  <c r="D159" i="39"/>
  <c r="I159" i="39"/>
  <c r="Q159" i="39"/>
  <c r="L159" i="39"/>
  <c r="C66" i="51"/>
  <c r="G66" i="51"/>
  <c r="K66" i="51"/>
  <c r="O66" i="51"/>
  <c r="D66" i="51"/>
  <c r="H66" i="51"/>
  <c r="L66" i="51"/>
  <c r="P66" i="51"/>
  <c r="I66" i="51"/>
  <c r="Q66" i="51"/>
  <c r="F66" i="51"/>
  <c r="J66" i="51"/>
  <c r="M66" i="51"/>
  <c r="E66" i="51"/>
  <c r="N66" i="51"/>
  <c r="Q52" i="51"/>
  <c r="Q53" i="51"/>
  <c r="Q54" i="51"/>
  <c r="Q55" i="51"/>
  <c r="B164" i="51"/>
  <c r="B67" i="51"/>
  <c r="Q49" i="39"/>
  <c r="Q50" i="39"/>
  <c r="Q51" i="39"/>
  <c r="Q52" i="39"/>
  <c r="B160" i="39"/>
  <c r="D63" i="39"/>
  <c r="H63" i="39"/>
  <c r="L63" i="39"/>
  <c r="P63" i="39"/>
  <c r="E63" i="39"/>
  <c r="J63" i="39"/>
  <c r="O63" i="39"/>
  <c r="F63" i="39"/>
  <c r="K63" i="39"/>
  <c r="Q63" i="39"/>
  <c r="G63" i="39"/>
  <c r="M63" i="39"/>
  <c r="C63" i="39"/>
  <c r="I63" i="39"/>
  <c r="N63" i="39"/>
  <c r="B64" i="39"/>
  <c r="S10" i="63"/>
  <c r="S11" i="67" s="1"/>
  <c r="S128" i="63"/>
  <c r="S189" i="63"/>
  <c r="S104" i="63"/>
  <c r="S177" i="63"/>
  <c r="S82" i="67" s="1"/>
  <c r="S38" i="63"/>
  <c r="S305" i="63" s="1"/>
  <c r="S152" i="63"/>
  <c r="S76" i="64" s="1"/>
  <c r="S143" i="64" s="1"/>
  <c r="Q316" i="63"/>
  <c r="R306" i="63"/>
  <c r="R314" i="63"/>
  <c r="R315" i="63"/>
  <c r="D122" i="41"/>
  <c r="U42" i="30"/>
  <c r="T54" i="30"/>
  <c r="T65" i="30" s="1"/>
  <c r="T89" i="30" s="1"/>
  <c r="T110" i="30" s="1"/>
  <c r="S90" i="49"/>
  <c r="U102" i="30"/>
  <c r="C100" i="53"/>
  <c r="C131" i="35"/>
  <c r="C27" i="50"/>
  <c r="D12" i="32"/>
  <c r="E27" i="50" s="1"/>
  <c r="D11" i="32"/>
  <c r="C113" i="51"/>
  <c r="C26" i="50"/>
  <c r="C25" i="50"/>
  <c r="C16" i="51"/>
  <c r="C39" i="32"/>
  <c r="G149" i="35"/>
  <c r="C97" i="36"/>
  <c r="C99" i="52"/>
  <c r="C98" i="52"/>
  <c r="C96" i="36"/>
  <c r="AQ118" i="50"/>
  <c r="C87" i="32"/>
  <c r="C107" i="32" s="1"/>
  <c r="Q112" i="39"/>
  <c r="Q115" i="51"/>
  <c r="R16" i="47"/>
  <c r="R91" i="47"/>
  <c r="S24" i="49"/>
  <c r="S103" i="49" s="1"/>
  <c r="S21" i="54"/>
  <c r="S18" i="51"/>
  <c r="R68" i="49"/>
  <c r="R103" i="49"/>
  <c r="Q180" i="47"/>
  <c r="Q218" i="47"/>
  <c r="Q164" i="47"/>
  <c r="R51" i="51"/>
  <c r="R148" i="51"/>
  <c r="S223" i="36"/>
  <c r="S225" i="53"/>
  <c r="S153" i="53"/>
  <c r="R86" i="53"/>
  <c r="S131" i="53"/>
  <c r="S201" i="53"/>
  <c r="S105" i="53"/>
  <c r="R11" i="53"/>
  <c r="S179" i="53"/>
  <c r="S130" i="52"/>
  <c r="S234" i="52"/>
  <c r="S200" i="52"/>
  <c r="S104" i="52"/>
  <c r="S226" i="52"/>
  <c r="S178" i="52"/>
  <c r="R85" i="52"/>
  <c r="R10" i="52"/>
  <c r="S152" i="52"/>
  <c r="R36" i="49"/>
  <c r="R56" i="49" s="1"/>
  <c r="R11" i="54"/>
  <c r="AQ82" i="50"/>
  <c r="Q53" i="40"/>
  <c r="C110" i="39"/>
  <c r="C144" i="41"/>
  <c r="C14" i="39"/>
  <c r="C171" i="35"/>
  <c r="R48" i="39"/>
  <c r="S87" i="40"/>
  <c r="T124" i="30"/>
  <c r="S102" i="36"/>
  <c r="R83" i="44"/>
  <c r="R11" i="44"/>
  <c r="S128" i="44"/>
  <c r="R83" i="43"/>
  <c r="R33" i="40"/>
  <c r="S198" i="36"/>
  <c r="S102" i="44"/>
  <c r="S198" i="43"/>
  <c r="S222" i="43"/>
  <c r="R83" i="36"/>
  <c r="S102" i="43"/>
  <c r="R11" i="36"/>
  <c r="S176" i="44"/>
  <c r="S222" i="44"/>
  <c r="S176" i="43"/>
  <c r="R11" i="43"/>
  <c r="R65" i="40"/>
  <c r="S128" i="36"/>
  <c r="R100" i="40"/>
  <c r="S150" i="43"/>
  <c r="S150" i="36"/>
  <c r="S198" i="44"/>
  <c r="S128" i="43"/>
  <c r="S150" i="44"/>
  <c r="S230" i="36"/>
  <c r="S176" i="36"/>
  <c r="T81" i="30"/>
  <c r="T21" i="63" s="1"/>
  <c r="S21" i="40"/>
  <c r="S21" i="37"/>
  <c r="S11" i="37" s="1"/>
  <c r="S16" i="39"/>
  <c r="R144" i="39"/>
  <c r="C25" i="30"/>
  <c r="C24" i="30"/>
  <c r="C23" i="30"/>
  <c r="C26" i="30"/>
  <c r="W38" i="25"/>
  <c r="C15" i="25" s="1"/>
  <c r="R101" i="64" l="1"/>
  <c r="R117" i="64" s="1"/>
  <c r="R168" i="64" s="1"/>
  <c r="P414" i="47"/>
  <c r="P432" i="47"/>
  <c r="Q355" i="47"/>
  <c r="Q349" i="47"/>
  <c r="U77" i="47"/>
  <c r="F117" i="56"/>
  <c r="J117" i="56" s="1"/>
  <c r="E98" i="52" s="1"/>
  <c r="H117" i="56"/>
  <c r="G137" i="56" s="1"/>
  <c r="G156" i="56" s="1"/>
  <c r="S226" i="63"/>
  <c r="S44" i="67" s="1"/>
  <c r="R307" i="63"/>
  <c r="S287" i="63"/>
  <c r="S133" i="64"/>
  <c r="B39" i="64"/>
  <c r="S247" i="63"/>
  <c r="C160" i="39"/>
  <c r="G160" i="39"/>
  <c r="K160" i="39"/>
  <c r="O160" i="39"/>
  <c r="D160" i="39"/>
  <c r="H160" i="39"/>
  <c r="L160" i="39"/>
  <c r="P160" i="39"/>
  <c r="J160" i="39"/>
  <c r="R160" i="39"/>
  <c r="E160" i="39"/>
  <c r="M160" i="39"/>
  <c r="Q160" i="39"/>
  <c r="F160" i="39"/>
  <c r="N160" i="39"/>
  <c r="I160" i="39"/>
  <c r="R149" i="51"/>
  <c r="R150" i="51"/>
  <c r="R151" i="51"/>
  <c r="R152" i="51"/>
  <c r="R153" i="51"/>
  <c r="E164" i="51"/>
  <c r="I164" i="51"/>
  <c r="M164" i="51"/>
  <c r="Q164" i="51"/>
  <c r="F164" i="51"/>
  <c r="J164" i="51"/>
  <c r="N164" i="51"/>
  <c r="R164" i="51"/>
  <c r="C164" i="51"/>
  <c r="G164" i="51"/>
  <c r="K164" i="51"/>
  <c r="O164" i="51"/>
  <c r="D164" i="51"/>
  <c r="H164" i="51"/>
  <c r="L164" i="51"/>
  <c r="P164" i="51"/>
  <c r="R145" i="39"/>
  <c r="R146" i="39"/>
  <c r="R147" i="39"/>
  <c r="R148" i="39"/>
  <c r="R149" i="39"/>
  <c r="D67" i="51"/>
  <c r="H67" i="51"/>
  <c r="L67" i="51"/>
  <c r="P67" i="51"/>
  <c r="E67" i="51"/>
  <c r="I67" i="51"/>
  <c r="M67" i="51"/>
  <c r="Q67" i="51"/>
  <c r="F67" i="51"/>
  <c r="N67" i="51"/>
  <c r="J67" i="51"/>
  <c r="K67" i="51"/>
  <c r="O67" i="51"/>
  <c r="C67" i="51"/>
  <c r="R67" i="51"/>
  <c r="G67" i="51"/>
  <c r="R52" i="51"/>
  <c r="R53" i="51"/>
  <c r="R54" i="51"/>
  <c r="R55" i="51"/>
  <c r="R56" i="51"/>
  <c r="B165" i="51"/>
  <c r="B68" i="51"/>
  <c r="E64" i="39"/>
  <c r="I64" i="39"/>
  <c r="M64" i="39"/>
  <c r="Q64" i="39"/>
  <c r="G64" i="39"/>
  <c r="L64" i="39"/>
  <c r="R64" i="39"/>
  <c r="C64" i="39"/>
  <c r="H64" i="39"/>
  <c r="N64" i="39"/>
  <c r="D64" i="39"/>
  <c r="J64" i="39"/>
  <c r="O64" i="39"/>
  <c r="P64" i="39"/>
  <c r="F64" i="39"/>
  <c r="K64" i="39"/>
  <c r="R49" i="39"/>
  <c r="R50" i="39"/>
  <c r="R51" i="39"/>
  <c r="R52" i="39"/>
  <c r="R53" i="39"/>
  <c r="B161" i="39"/>
  <c r="B65" i="39"/>
  <c r="R316" i="63"/>
  <c r="S306" i="63"/>
  <c r="S315" i="63"/>
  <c r="S314" i="63"/>
  <c r="T104" i="63"/>
  <c r="T152" i="63"/>
  <c r="T76" i="64" s="1"/>
  <c r="T143" i="64" s="1"/>
  <c r="T10" i="63"/>
  <c r="T11" i="67" s="1"/>
  <c r="T128" i="63"/>
  <c r="T38" i="63"/>
  <c r="T305" i="63" s="1"/>
  <c r="T177" i="63"/>
  <c r="T82" i="67" s="1"/>
  <c r="T189" i="63"/>
  <c r="V42" i="30"/>
  <c r="U54" i="30"/>
  <c r="U65" i="30" s="1"/>
  <c r="U89" i="30" s="1"/>
  <c r="U110" i="30" s="1"/>
  <c r="V102" i="30"/>
  <c r="T90" i="49"/>
  <c r="C99" i="32"/>
  <c r="C100" i="32" s="1"/>
  <c r="C25" i="32" s="1"/>
  <c r="C10" i="32" s="1"/>
  <c r="C185" i="56" s="1"/>
  <c r="C152" i="57"/>
  <c r="E26" i="50"/>
  <c r="D24" i="32"/>
  <c r="C105" i="32"/>
  <c r="S36" i="49"/>
  <c r="S56" i="49" s="1"/>
  <c r="AR118" i="50"/>
  <c r="S148" i="51"/>
  <c r="R112" i="39"/>
  <c r="R115" i="51"/>
  <c r="T223" i="36"/>
  <c r="T131" i="53"/>
  <c r="T201" i="53"/>
  <c r="T105" i="53"/>
  <c r="S11" i="53"/>
  <c r="T179" i="53"/>
  <c r="T225" i="53"/>
  <c r="T153" i="53"/>
  <c r="S86" i="53"/>
  <c r="T234" i="52"/>
  <c r="T200" i="52"/>
  <c r="T104" i="52"/>
  <c r="T226" i="52"/>
  <c r="T178" i="52"/>
  <c r="S85" i="52"/>
  <c r="S10" i="52"/>
  <c r="T152" i="52"/>
  <c r="T130" i="52"/>
  <c r="T24" i="49"/>
  <c r="T103" i="49" s="1"/>
  <c r="T21" i="54"/>
  <c r="T18" i="51"/>
  <c r="S51" i="51"/>
  <c r="R180" i="47"/>
  <c r="R218" i="47"/>
  <c r="R164" i="47"/>
  <c r="S16" i="47"/>
  <c r="S91" i="47"/>
  <c r="S68" i="49"/>
  <c r="S11" i="54"/>
  <c r="AR82" i="50"/>
  <c r="R53" i="40"/>
  <c r="F180" i="35"/>
  <c r="I180" i="35" s="1"/>
  <c r="E46" i="52" s="1"/>
  <c r="C70" i="52" s="1"/>
  <c r="G180" i="35"/>
  <c r="J180" i="35" s="1"/>
  <c r="F46" i="52" s="1"/>
  <c r="D70" i="52" s="1"/>
  <c r="F182" i="35"/>
  <c r="I182" i="35" s="1"/>
  <c r="E48" i="52" s="1"/>
  <c r="C72" i="52" s="1"/>
  <c r="G185" i="35"/>
  <c r="F181" i="35"/>
  <c r="I181" i="35" s="1"/>
  <c r="E47" i="52" s="1"/>
  <c r="C71" i="52" s="1"/>
  <c r="G181" i="35"/>
  <c r="J181" i="35" s="1"/>
  <c r="F47" i="52" s="1"/>
  <c r="D71" i="52" s="1"/>
  <c r="F186" i="35"/>
  <c r="F183" i="35"/>
  <c r="G182" i="35"/>
  <c r="J182" i="35" s="1"/>
  <c r="F48" i="52" s="1"/>
  <c r="D72" i="52" s="1"/>
  <c r="G179" i="35"/>
  <c r="J179" i="35" s="1"/>
  <c r="F45" i="52" s="1"/>
  <c r="D69" i="52" s="1"/>
  <c r="F184" i="35"/>
  <c r="G186" i="35"/>
  <c r="F185" i="35"/>
  <c r="G183" i="35"/>
  <c r="G184" i="35"/>
  <c r="F179" i="35"/>
  <c r="I179" i="35" s="1"/>
  <c r="E45" i="52" s="1"/>
  <c r="C69" i="52" s="1"/>
  <c r="G187" i="35"/>
  <c r="J187" i="35" s="1"/>
  <c r="F53" i="52" s="1"/>
  <c r="D77" i="52" s="1"/>
  <c r="F187" i="35"/>
  <c r="I187" i="35" s="1"/>
  <c r="E53" i="52" s="1"/>
  <c r="C77" i="52" s="1"/>
  <c r="S144" i="39"/>
  <c r="T102" i="36"/>
  <c r="S100" i="40"/>
  <c r="S11" i="44"/>
  <c r="T150" i="43"/>
  <c r="T102" i="43"/>
  <c r="S83" i="43"/>
  <c r="S83" i="36"/>
  <c r="T230" i="36"/>
  <c r="T176" i="44"/>
  <c r="T222" i="44"/>
  <c r="S83" i="44"/>
  <c r="S11" i="43"/>
  <c r="S33" i="40"/>
  <c r="T198" i="36"/>
  <c r="T128" i="36"/>
  <c r="T150" i="36"/>
  <c r="T102" i="44"/>
  <c r="T128" i="44"/>
  <c r="T222" i="43"/>
  <c r="T198" i="43"/>
  <c r="S65" i="40"/>
  <c r="T176" i="36"/>
  <c r="T150" i="44"/>
  <c r="T176" i="43"/>
  <c r="T128" i="43"/>
  <c r="T198" i="44"/>
  <c r="S11" i="36"/>
  <c r="T87" i="40"/>
  <c r="U124" i="30"/>
  <c r="G159" i="41"/>
  <c r="J159" i="41" s="1"/>
  <c r="F54" i="53" s="1"/>
  <c r="D78" i="53" s="1"/>
  <c r="G151" i="41"/>
  <c r="J151" i="41" s="1"/>
  <c r="F46" i="53" s="1"/>
  <c r="D70" i="53" s="1"/>
  <c r="F154" i="41"/>
  <c r="I154" i="41" s="1"/>
  <c r="E49" i="53" s="1"/>
  <c r="C73" i="53" s="1"/>
  <c r="F152" i="41"/>
  <c r="I152" i="41" s="1"/>
  <c r="E47" i="53" s="1"/>
  <c r="C71" i="53" s="1"/>
  <c r="G155" i="41"/>
  <c r="J155" i="41" s="1"/>
  <c r="G156" i="41"/>
  <c r="J156" i="41" s="1"/>
  <c r="F159" i="41"/>
  <c r="I159" i="41" s="1"/>
  <c r="E54" i="53" s="1"/>
  <c r="C78" i="53" s="1"/>
  <c r="F153" i="41"/>
  <c r="I153" i="41" s="1"/>
  <c r="E48" i="53" s="1"/>
  <c r="C72" i="53" s="1"/>
  <c r="G154" i="41"/>
  <c r="J154" i="41" s="1"/>
  <c r="F49" i="53" s="1"/>
  <c r="D73" i="53" s="1"/>
  <c r="G153" i="41"/>
  <c r="J153" i="41" s="1"/>
  <c r="F48" i="53" s="1"/>
  <c r="D72" i="53" s="1"/>
  <c r="F155" i="41"/>
  <c r="I155" i="41" s="1"/>
  <c r="F156" i="41"/>
  <c r="I156" i="41" s="1"/>
  <c r="G158" i="41"/>
  <c r="J158" i="41" s="1"/>
  <c r="F53" i="53" s="1"/>
  <c r="D77" i="53" s="1"/>
  <c r="G152" i="41"/>
  <c r="J152" i="41" s="1"/>
  <c r="F47" i="53" s="1"/>
  <c r="D71" i="53" s="1"/>
  <c r="G157" i="41"/>
  <c r="J157" i="41" s="1"/>
  <c r="F151" i="41"/>
  <c r="I151" i="41" s="1"/>
  <c r="E46" i="53" s="1"/>
  <c r="C70" i="53" s="1"/>
  <c r="F157" i="41"/>
  <c r="I157" i="41" s="1"/>
  <c r="F158" i="41"/>
  <c r="I158" i="41" s="1"/>
  <c r="E53" i="53" s="1"/>
  <c r="C77" i="53" s="1"/>
  <c r="T21" i="40"/>
  <c r="T16" i="39"/>
  <c r="U81" i="30"/>
  <c r="U21" i="63" s="1"/>
  <c r="T21" i="37"/>
  <c r="T11" i="37" s="1"/>
  <c r="S48" i="39"/>
  <c r="U174" i="25"/>
  <c r="U175" i="25"/>
  <c r="U176" i="25"/>
  <c r="U177" i="25"/>
  <c r="U178" i="25"/>
  <c r="U179" i="25"/>
  <c r="U180" i="25"/>
  <c r="U181" i="25"/>
  <c r="U182" i="25"/>
  <c r="U183" i="25"/>
  <c r="U184" i="25"/>
  <c r="U185" i="25"/>
  <c r="U186" i="25"/>
  <c r="U187" i="25"/>
  <c r="S101" i="64" l="1"/>
  <c r="S117" i="64" s="1"/>
  <c r="S168" i="64" s="1"/>
  <c r="Q414" i="47"/>
  <c r="Q432" i="47"/>
  <c r="R355" i="47"/>
  <c r="R349" i="47"/>
  <c r="V77" i="47"/>
  <c r="T226" i="63"/>
  <c r="T44" i="67" s="1"/>
  <c r="T287" i="63"/>
  <c r="T133" i="64"/>
  <c r="S307" i="63"/>
  <c r="B40" i="64"/>
  <c r="T247" i="63"/>
  <c r="S145" i="39"/>
  <c r="S146" i="39"/>
  <c r="S147" i="39"/>
  <c r="S148" i="39"/>
  <c r="S149" i="39"/>
  <c r="S150" i="39"/>
  <c r="F165" i="51"/>
  <c r="J165" i="51"/>
  <c r="N165" i="51"/>
  <c r="R165" i="51"/>
  <c r="C165" i="51"/>
  <c r="G165" i="51"/>
  <c r="K165" i="51"/>
  <c r="O165" i="51"/>
  <c r="S165" i="51"/>
  <c r="D165" i="51"/>
  <c r="H165" i="51"/>
  <c r="L165" i="51"/>
  <c r="P165" i="51"/>
  <c r="E165" i="51"/>
  <c r="I165" i="51"/>
  <c r="M165" i="51"/>
  <c r="Q165" i="51"/>
  <c r="S149" i="51"/>
  <c r="S150" i="51"/>
  <c r="S151" i="51"/>
  <c r="S152" i="51"/>
  <c r="S153" i="51"/>
  <c r="S154" i="51"/>
  <c r="D161" i="39"/>
  <c r="H161" i="39"/>
  <c r="L161" i="39"/>
  <c r="P161" i="39"/>
  <c r="E161" i="39"/>
  <c r="I161" i="39"/>
  <c r="M161" i="39"/>
  <c r="Q161" i="39"/>
  <c r="G161" i="39"/>
  <c r="O161" i="39"/>
  <c r="J161" i="39"/>
  <c r="R161" i="39"/>
  <c r="N161" i="39"/>
  <c r="C161" i="39"/>
  <c r="K161" i="39"/>
  <c r="S161" i="39"/>
  <c r="F161" i="39"/>
  <c r="S52" i="51"/>
  <c r="S53" i="51"/>
  <c r="S54" i="51"/>
  <c r="S55" i="51"/>
  <c r="S56" i="51"/>
  <c r="S57" i="51"/>
  <c r="B166" i="51"/>
  <c r="E68" i="51"/>
  <c r="I68" i="51"/>
  <c r="M68" i="51"/>
  <c r="Q68" i="51"/>
  <c r="F68" i="51"/>
  <c r="J68" i="51"/>
  <c r="N68" i="51"/>
  <c r="R68" i="51"/>
  <c r="C68" i="51"/>
  <c r="K68" i="51"/>
  <c r="S68" i="51"/>
  <c r="L68" i="51"/>
  <c r="D68" i="51"/>
  <c r="O68" i="51"/>
  <c r="G68" i="51"/>
  <c r="P68" i="51"/>
  <c r="H68" i="51"/>
  <c r="B69" i="51"/>
  <c r="F65" i="39"/>
  <c r="J65" i="39"/>
  <c r="N65" i="39"/>
  <c r="R65" i="39"/>
  <c r="D65" i="39"/>
  <c r="I65" i="39"/>
  <c r="O65" i="39"/>
  <c r="E65" i="39"/>
  <c r="K65" i="39"/>
  <c r="P65" i="39"/>
  <c r="G65" i="39"/>
  <c r="L65" i="39"/>
  <c r="Q65" i="39"/>
  <c r="H65" i="39"/>
  <c r="M65" i="39"/>
  <c r="S65" i="39"/>
  <c r="C65" i="39"/>
  <c r="B162" i="39"/>
  <c r="S49" i="39"/>
  <c r="S50" i="39"/>
  <c r="S51" i="39"/>
  <c r="S52" i="39"/>
  <c r="S53" i="39"/>
  <c r="S54" i="39"/>
  <c r="B66" i="39"/>
  <c r="S316" i="63"/>
  <c r="U152" i="63"/>
  <c r="U76" i="64" s="1"/>
  <c r="U143" i="64" s="1"/>
  <c r="U128" i="63"/>
  <c r="U10" i="63"/>
  <c r="U11" i="67" s="1"/>
  <c r="U104" i="63"/>
  <c r="U38" i="63"/>
  <c r="U305" i="63" s="1"/>
  <c r="U189" i="63"/>
  <c r="U177" i="63"/>
  <c r="U82" i="67" s="1"/>
  <c r="T315" i="63"/>
  <c r="T314" i="63"/>
  <c r="T306" i="63"/>
  <c r="W42" i="30"/>
  <c r="V54" i="30"/>
  <c r="V65" i="30" s="1"/>
  <c r="V89" i="30" s="1"/>
  <c r="V110" i="30" s="1"/>
  <c r="U90" i="49"/>
  <c r="W102" i="30"/>
  <c r="F33" i="49"/>
  <c r="G33" i="49" s="1"/>
  <c r="H33" i="49" s="1"/>
  <c r="E34" i="50"/>
  <c r="C109" i="32"/>
  <c r="C110" i="32" s="1"/>
  <c r="D25" i="32" s="1"/>
  <c r="D10" i="32" s="1"/>
  <c r="C184" i="56" s="1"/>
  <c r="G164" i="57"/>
  <c r="J164" i="57" s="1"/>
  <c r="G167" i="57"/>
  <c r="J167" i="57" s="1"/>
  <c r="G159" i="57"/>
  <c r="J159" i="57" s="1"/>
  <c r="G162" i="57"/>
  <c r="J162" i="57" s="1"/>
  <c r="G165" i="57"/>
  <c r="J165" i="57" s="1"/>
  <c r="F161" i="57"/>
  <c r="I161" i="57" s="1"/>
  <c r="G160" i="57"/>
  <c r="J160" i="57" s="1"/>
  <c r="G163" i="57"/>
  <c r="J163" i="57" s="1"/>
  <c r="G166" i="57"/>
  <c r="J166" i="57" s="1"/>
  <c r="F162" i="57"/>
  <c r="I162" i="57" s="1"/>
  <c r="G161" i="57"/>
  <c r="J161" i="57" s="1"/>
  <c r="F163" i="57"/>
  <c r="I163" i="57" s="1"/>
  <c r="F167" i="57"/>
  <c r="I167" i="57" s="1"/>
  <c r="F164" i="57"/>
  <c r="I164" i="57" s="1"/>
  <c r="F160" i="57"/>
  <c r="I160" i="57" s="1"/>
  <c r="F159" i="57"/>
  <c r="I159" i="57" s="1"/>
  <c r="F165" i="57"/>
  <c r="I165" i="57" s="1"/>
  <c r="F166" i="57"/>
  <c r="I166" i="57" s="1"/>
  <c r="T36" i="49"/>
  <c r="T56" i="49" s="1"/>
  <c r="F49" i="43"/>
  <c r="D72" i="43" s="1"/>
  <c r="F51" i="53"/>
  <c r="D75" i="53" s="1"/>
  <c r="F48" i="43"/>
  <c r="D71" i="43" s="1"/>
  <c r="F50" i="53"/>
  <c r="D74" i="53" s="1"/>
  <c r="F50" i="43"/>
  <c r="D73" i="43" s="1"/>
  <c r="F52" i="53"/>
  <c r="D76" i="53" s="1"/>
  <c r="T68" i="49"/>
  <c r="AS118" i="50"/>
  <c r="T11" i="54"/>
  <c r="S112" i="39"/>
  <c r="S115" i="51"/>
  <c r="T91" i="47"/>
  <c r="T16" i="47"/>
  <c r="U223" i="36"/>
  <c r="U201" i="53"/>
  <c r="U105" i="53"/>
  <c r="T11" i="53"/>
  <c r="U179" i="53"/>
  <c r="U225" i="53"/>
  <c r="U153" i="53"/>
  <c r="T86" i="53"/>
  <c r="U131" i="53"/>
  <c r="U226" i="52"/>
  <c r="U178" i="52"/>
  <c r="T85" i="52"/>
  <c r="T10" i="52"/>
  <c r="U152" i="52"/>
  <c r="U130" i="52"/>
  <c r="U234" i="52"/>
  <c r="U200" i="52"/>
  <c r="U104" i="52"/>
  <c r="T51" i="51"/>
  <c r="U24" i="49"/>
  <c r="U103" i="49" s="1"/>
  <c r="U21" i="54"/>
  <c r="U18" i="51"/>
  <c r="S164" i="47"/>
  <c r="S218" i="47"/>
  <c r="S180" i="47"/>
  <c r="T148" i="51"/>
  <c r="E50" i="43"/>
  <c r="C73" i="43" s="1"/>
  <c r="E52" i="53"/>
  <c r="C76" i="53" s="1"/>
  <c r="E48" i="43"/>
  <c r="C71" i="43" s="1"/>
  <c r="E50" i="53"/>
  <c r="C74" i="53" s="1"/>
  <c r="E49" i="43"/>
  <c r="C72" i="43" s="1"/>
  <c r="E51" i="53"/>
  <c r="C75" i="53" s="1"/>
  <c r="AS82" i="50"/>
  <c r="S53" i="40"/>
  <c r="U16" i="39"/>
  <c r="V81" i="30"/>
  <c r="V21" i="63" s="1"/>
  <c r="U21" i="40"/>
  <c r="U21" i="37"/>
  <c r="U11" i="37" s="1"/>
  <c r="F52" i="43"/>
  <c r="D75" i="43" s="1"/>
  <c r="T48" i="39"/>
  <c r="E44" i="43"/>
  <c r="C67" i="43" s="1"/>
  <c r="E46" i="43"/>
  <c r="C69" i="43" s="1"/>
  <c r="E45" i="43"/>
  <c r="C68" i="43" s="1"/>
  <c r="U87" i="40"/>
  <c r="V124" i="30"/>
  <c r="T144" i="39"/>
  <c r="E47" i="36"/>
  <c r="C70" i="36" s="1"/>
  <c r="E52" i="36"/>
  <c r="C75" i="36" s="1"/>
  <c r="F44" i="36"/>
  <c r="D67" i="36" s="1"/>
  <c r="F46" i="36"/>
  <c r="D69" i="36" s="1"/>
  <c r="F45" i="36"/>
  <c r="D68" i="36" s="1"/>
  <c r="U102" i="36"/>
  <c r="T11" i="44"/>
  <c r="T83" i="44"/>
  <c r="U128" i="43"/>
  <c r="T11" i="43"/>
  <c r="T11" i="36"/>
  <c r="T83" i="36"/>
  <c r="U128" i="36"/>
  <c r="U222" i="44"/>
  <c r="U102" i="44"/>
  <c r="U176" i="44"/>
  <c r="U176" i="43"/>
  <c r="T65" i="40"/>
  <c r="U176" i="36"/>
  <c r="U198" i="36"/>
  <c r="U230" i="36"/>
  <c r="T100" i="40"/>
  <c r="U128" i="44"/>
  <c r="U150" i="43"/>
  <c r="U198" i="43"/>
  <c r="T83" i="43"/>
  <c r="U150" i="36"/>
  <c r="U150" i="44"/>
  <c r="U198" i="44"/>
  <c r="U222" i="43"/>
  <c r="U102" i="43"/>
  <c r="T33" i="40"/>
  <c r="E52" i="43"/>
  <c r="C75" i="43" s="1"/>
  <c r="E47" i="43"/>
  <c r="C70" i="43" s="1"/>
  <c r="E51" i="43"/>
  <c r="C74" i="43" s="1"/>
  <c r="F45" i="43"/>
  <c r="D68" i="43" s="1"/>
  <c r="F46" i="43"/>
  <c r="D69" i="43" s="1"/>
  <c r="F44" i="43"/>
  <c r="D67" i="43" s="1"/>
  <c r="F52" i="36"/>
  <c r="D75" i="36" s="1"/>
  <c r="F47" i="36"/>
  <c r="D70" i="36" s="1"/>
  <c r="E46" i="36"/>
  <c r="C69" i="36" s="1"/>
  <c r="E45" i="36"/>
  <c r="C68" i="36" s="1"/>
  <c r="F51" i="43"/>
  <c r="D74" i="43" s="1"/>
  <c r="F47" i="43"/>
  <c r="D70" i="43" s="1"/>
  <c r="E44" i="36"/>
  <c r="C67" i="36" s="1"/>
  <c r="W173" i="25"/>
  <c r="T101" i="64" l="1"/>
  <c r="T117" i="64" s="1"/>
  <c r="T168" i="64" s="1"/>
  <c r="R414" i="47"/>
  <c r="R432" i="47"/>
  <c r="S355" i="47"/>
  <c r="S349" i="47"/>
  <c r="W77" i="47"/>
  <c r="U226" i="63"/>
  <c r="U44" i="67" s="1"/>
  <c r="T307" i="63"/>
  <c r="U287" i="63"/>
  <c r="U133" i="64"/>
  <c r="B41" i="64"/>
  <c r="U247" i="63"/>
  <c r="T145" i="39"/>
  <c r="T146" i="39"/>
  <c r="T147" i="39"/>
  <c r="T148" i="39"/>
  <c r="T149" i="39"/>
  <c r="T150" i="39"/>
  <c r="T151" i="39"/>
  <c r="T149" i="51"/>
  <c r="T150" i="51"/>
  <c r="T151" i="51"/>
  <c r="T152" i="51"/>
  <c r="T153" i="51"/>
  <c r="T154" i="51"/>
  <c r="T155" i="51"/>
  <c r="E162" i="39"/>
  <c r="I162" i="39"/>
  <c r="M162" i="39"/>
  <c r="Q162" i="39"/>
  <c r="F162" i="39"/>
  <c r="J162" i="39"/>
  <c r="N162" i="39"/>
  <c r="R162" i="39"/>
  <c r="D162" i="39"/>
  <c r="L162" i="39"/>
  <c r="T162" i="39"/>
  <c r="G162" i="39"/>
  <c r="O162" i="39"/>
  <c r="K162" i="39"/>
  <c r="H162" i="39"/>
  <c r="P162" i="39"/>
  <c r="C162" i="39"/>
  <c r="S162" i="39"/>
  <c r="C166" i="51"/>
  <c r="G166" i="51"/>
  <c r="K166" i="51"/>
  <c r="O166" i="51"/>
  <c r="S166" i="51"/>
  <c r="D166" i="51"/>
  <c r="H166" i="51"/>
  <c r="L166" i="51"/>
  <c r="P166" i="51"/>
  <c r="T166" i="51"/>
  <c r="E166" i="51"/>
  <c r="I166" i="51"/>
  <c r="M166" i="51"/>
  <c r="Q166" i="51"/>
  <c r="F166" i="51"/>
  <c r="J166" i="51"/>
  <c r="N166" i="51"/>
  <c r="R166" i="51"/>
  <c r="B167" i="51"/>
  <c r="T52" i="51"/>
  <c r="T53" i="51"/>
  <c r="T54" i="51"/>
  <c r="T55" i="51"/>
  <c r="T56" i="51"/>
  <c r="T57" i="51"/>
  <c r="T58" i="51"/>
  <c r="F69" i="51"/>
  <c r="J69" i="51"/>
  <c r="N69" i="51"/>
  <c r="R69" i="51"/>
  <c r="C69" i="51"/>
  <c r="G69" i="51"/>
  <c r="K69" i="51"/>
  <c r="O69" i="51"/>
  <c r="S69" i="51"/>
  <c r="H69" i="51"/>
  <c r="P69" i="51"/>
  <c r="D69" i="51"/>
  <c r="M69" i="51"/>
  <c r="E69" i="51"/>
  <c r="Q69" i="51"/>
  <c r="T69" i="51"/>
  <c r="I69" i="51"/>
  <c r="L69" i="51"/>
  <c r="B70" i="51"/>
  <c r="C66" i="39"/>
  <c r="G66" i="39"/>
  <c r="K66" i="39"/>
  <c r="O66" i="39"/>
  <c r="S66" i="39"/>
  <c r="F66" i="39"/>
  <c r="L66" i="39"/>
  <c r="Q66" i="39"/>
  <c r="H66" i="39"/>
  <c r="M66" i="39"/>
  <c r="R66" i="39"/>
  <c r="D66" i="39"/>
  <c r="I66" i="39"/>
  <c r="N66" i="39"/>
  <c r="T66" i="39"/>
  <c r="E66" i="39"/>
  <c r="J66" i="39"/>
  <c r="P66" i="39"/>
  <c r="T49" i="39"/>
  <c r="T50" i="39"/>
  <c r="T51" i="39"/>
  <c r="T52" i="39"/>
  <c r="T53" i="39"/>
  <c r="T54" i="39"/>
  <c r="T55" i="39"/>
  <c r="B163" i="39"/>
  <c r="B67" i="39"/>
  <c r="V10" i="63"/>
  <c r="V11" i="67" s="1"/>
  <c r="V152" i="63"/>
  <c r="V76" i="64" s="1"/>
  <c r="V143" i="64" s="1"/>
  <c r="V189" i="63"/>
  <c r="V128" i="63"/>
  <c r="V104" i="63"/>
  <c r="V177" i="63"/>
  <c r="V82" i="67" s="1"/>
  <c r="V38" i="63"/>
  <c r="V305" i="63" s="1"/>
  <c r="U314" i="63"/>
  <c r="U315" i="63"/>
  <c r="U306" i="63"/>
  <c r="T316" i="63"/>
  <c r="X42" i="30"/>
  <c r="W54" i="30"/>
  <c r="W65" i="30" s="1"/>
  <c r="W89" i="30" s="1"/>
  <c r="W110" i="30" s="1"/>
  <c r="V90" i="49"/>
  <c r="X102" i="30"/>
  <c r="U36" i="49"/>
  <c r="U56" i="49" s="1"/>
  <c r="E16" i="51"/>
  <c r="E25" i="50"/>
  <c r="G193" i="56"/>
  <c r="J193" i="56" s="1"/>
  <c r="I47" i="52" s="1"/>
  <c r="G192" i="56"/>
  <c r="J192" i="56" s="1"/>
  <c r="I46" i="52" s="1"/>
  <c r="G197" i="56"/>
  <c r="J197" i="56" s="1"/>
  <c r="I51" i="52" s="1"/>
  <c r="F191" i="56"/>
  <c r="I191" i="56" s="1"/>
  <c r="H45" i="52" s="1"/>
  <c r="F69" i="52" s="1"/>
  <c r="F197" i="56"/>
  <c r="I197" i="56" s="1"/>
  <c r="G195" i="56"/>
  <c r="J195" i="56" s="1"/>
  <c r="I49" i="52" s="1"/>
  <c r="G199" i="56"/>
  <c r="J199" i="56" s="1"/>
  <c r="G198" i="56"/>
  <c r="J198" i="56" s="1"/>
  <c r="F196" i="56"/>
  <c r="I196" i="56" s="1"/>
  <c r="H50" i="52" s="1"/>
  <c r="F194" i="56"/>
  <c r="I194" i="56" s="1"/>
  <c r="H48" i="52" s="1"/>
  <c r="F72" i="52" s="1"/>
  <c r="F195" i="56"/>
  <c r="I195" i="56" s="1"/>
  <c r="H49" i="52" s="1"/>
  <c r="F199" i="56"/>
  <c r="I199" i="56" s="1"/>
  <c r="F192" i="56"/>
  <c r="I192" i="56" s="1"/>
  <c r="G194" i="56"/>
  <c r="J194" i="56" s="1"/>
  <c r="I48" i="52" s="1"/>
  <c r="G72" i="52" s="1"/>
  <c r="F193" i="56"/>
  <c r="I193" i="56" s="1"/>
  <c r="H47" i="52" s="1"/>
  <c r="F71" i="52" s="1"/>
  <c r="G191" i="56"/>
  <c r="J191" i="56" s="1"/>
  <c r="G196" i="56"/>
  <c r="J196" i="56" s="1"/>
  <c r="I50" i="52" s="1"/>
  <c r="F198" i="56"/>
  <c r="I198" i="56" s="1"/>
  <c r="U68" i="49"/>
  <c r="I48" i="53"/>
  <c r="G72" i="53" s="1"/>
  <c r="I46" i="53"/>
  <c r="G70" i="53" s="1"/>
  <c r="H53" i="53"/>
  <c r="H51" i="53"/>
  <c r="H49" i="53"/>
  <c r="H48" i="53"/>
  <c r="F72" i="53" s="1"/>
  <c r="I54" i="53"/>
  <c r="H47" i="53"/>
  <c r="F71" i="53" s="1"/>
  <c r="I47" i="53"/>
  <c r="G71" i="53" s="1"/>
  <c r="H52" i="53"/>
  <c r="H54" i="53"/>
  <c r="I53" i="53"/>
  <c r="G77" i="53" s="1"/>
  <c r="I52" i="53"/>
  <c r="G76" i="53" s="1"/>
  <c r="I51" i="53"/>
  <c r="H46" i="53"/>
  <c r="F70" i="53" s="1"/>
  <c r="H50" i="53"/>
  <c r="F74" i="53" s="1"/>
  <c r="I50" i="53"/>
  <c r="I49" i="53"/>
  <c r="AT118" i="50"/>
  <c r="T112" i="39"/>
  <c r="T115" i="51"/>
  <c r="U148" i="51"/>
  <c r="U16" i="47"/>
  <c r="U91" i="47"/>
  <c r="T180" i="47"/>
  <c r="T218" i="47"/>
  <c r="T164" i="47"/>
  <c r="V24" i="49"/>
  <c r="V68" i="49" s="1"/>
  <c r="V21" i="54"/>
  <c r="V18" i="51"/>
  <c r="U11" i="54"/>
  <c r="U51" i="51"/>
  <c r="V223" i="36"/>
  <c r="V179" i="53"/>
  <c r="V225" i="53"/>
  <c r="V153" i="53"/>
  <c r="U86" i="53"/>
  <c r="V131" i="53"/>
  <c r="V201" i="53"/>
  <c r="V105" i="53"/>
  <c r="U11" i="53"/>
  <c r="V152" i="52"/>
  <c r="V130" i="52"/>
  <c r="V234" i="52"/>
  <c r="V200" i="52"/>
  <c r="V104" i="52"/>
  <c r="V226" i="52"/>
  <c r="V178" i="52"/>
  <c r="U85" i="52"/>
  <c r="U10" i="52"/>
  <c r="AT82" i="50"/>
  <c r="T53" i="40"/>
  <c r="V87" i="40"/>
  <c r="W124" i="30"/>
  <c r="U48" i="39"/>
  <c r="V102" i="36"/>
  <c r="V222" i="44"/>
  <c r="V176" i="44"/>
  <c r="V150" i="44"/>
  <c r="U83" i="43"/>
  <c r="U65" i="40"/>
  <c r="V150" i="36"/>
  <c r="V198" i="36"/>
  <c r="U83" i="36"/>
  <c r="V230" i="36"/>
  <c r="U100" i="40"/>
  <c r="V128" i="43"/>
  <c r="U11" i="43"/>
  <c r="V128" i="36"/>
  <c r="V128" i="44"/>
  <c r="V102" i="44"/>
  <c r="V198" i="43"/>
  <c r="V150" i="43"/>
  <c r="U33" i="40"/>
  <c r="V176" i="43"/>
  <c r="V198" i="44"/>
  <c r="V222" i="43"/>
  <c r="U11" i="44"/>
  <c r="V102" i="43"/>
  <c r="U11" i="36"/>
  <c r="V176" i="36"/>
  <c r="U83" i="44"/>
  <c r="V21" i="40"/>
  <c r="V16" i="39"/>
  <c r="W81" i="30"/>
  <c r="W21" i="63" s="1"/>
  <c r="V21" i="37"/>
  <c r="V11" i="37" s="1"/>
  <c r="U144" i="39"/>
  <c r="G87" i="5"/>
  <c r="G85" i="5"/>
  <c r="G86" i="5"/>
  <c r="U101" i="64" l="1"/>
  <c r="U117" i="64" s="1"/>
  <c r="U168" i="64" s="1"/>
  <c r="S414" i="47"/>
  <c r="S432" i="47"/>
  <c r="T355" i="47"/>
  <c r="T349" i="47"/>
  <c r="X77" i="47"/>
  <c r="V226" i="63"/>
  <c r="V44" i="67" s="1"/>
  <c r="U307" i="63"/>
  <c r="V287" i="63"/>
  <c r="V133" i="64"/>
  <c r="B42" i="64"/>
  <c r="V247" i="63"/>
  <c r="U145" i="39"/>
  <c r="U146" i="39"/>
  <c r="U147" i="39"/>
  <c r="U148" i="39"/>
  <c r="U149" i="39"/>
  <c r="U150" i="39"/>
  <c r="U151" i="39"/>
  <c r="U152" i="39"/>
  <c r="U149" i="51"/>
  <c r="U150" i="51"/>
  <c r="U151" i="51"/>
  <c r="U152" i="51"/>
  <c r="U153" i="51"/>
  <c r="U154" i="51"/>
  <c r="U155" i="51"/>
  <c r="U156" i="51"/>
  <c r="F163" i="39"/>
  <c r="J163" i="39"/>
  <c r="N163" i="39"/>
  <c r="R163" i="39"/>
  <c r="C163" i="39"/>
  <c r="G163" i="39"/>
  <c r="K163" i="39"/>
  <c r="O163" i="39"/>
  <c r="S163" i="39"/>
  <c r="I163" i="39"/>
  <c r="Q163" i="39"/>
  <c r="D163" i="39"/>
  <c r="L163" i="39"/>
  <c r="T163" i="39"/>
  <c r="H163" i="39"/>
  <c r="E163" i="39"/>
  <c r="M163" i="39"/>
  <c r="U163" i="39"/>
  <c r="P163" i="39"/>
  <c r="D167" i="51"/>
  <c r="H167" i="51"/>
  <c r="L167" i="51"/>
  <c r="P167" i="51"/>
  <c r="T167" i="51"/>
  <c r="E167" i="51"/>
  <c r="I167" i="51"/>
  <c r="M167" i="51"/>
  <c r="Q167" i="51"/>
  <c r="U167" i="51"/>
  <c r="F167" i="51"/>
  <c r="C167" i="51"/>
  <c r="G167" i="51"/>
  <c r="K167" i="51"/>
  <c r="O167" i="51"/>
  <c r="S167" i="51"/>
  <c r="J167" i="51"/>
  <c r="N167" i="51"/>
  <c r="R167" i="51"/>
  <c r="C70" i="51"/>
  <c r="G70" i="51"/>
  <c r="K70" i="51"/>
  <c r="O70" i="51"/>
  <c r="S70" i="51"/>
  <c r="D70" i="51"/>
  <c r="H70" i="51"/>
  <c r="L70" i="51"/>
  <c r="P70" i="51"/>
  <c r="T70" i="51"/>
  <c r="E70" i="51"/>
  <c r="M70" i="51"/>
  <c r="U70" i="51"/>
  <c r="F70" i="51"/>
  <c r="Q70" i="51"/>
  <c r="I70" i="51"/>
  <c r="R70" i="51"/>
  <c r="J70" i="51"/>
  <c r="N70" i="51"/>
  <c r="U52" i="51"/>
  <c r="U53" i="51"/>
  <c r="U54" i="51"/>
  <c r="U55" i="51"/>
  <c r="U56" i="51"/>
  <c r="U57" i="51"/>
  <c r="U58" i="51"/>
  <c r="U59" i="51"/>
  <c r="B168" i="51"/>
  <c r="B71" i="51"/>
  <c r="B164" i="39"/>
  <c r="U49" i="39"/>
  <c r="U50" i="39"/>
  <c r="U51" i="39"/>
  <c r="U52" i="39"/>
  <c r="U53" i="39"/>
  <c r="U54" i="39"/>
  <c r="U55" i="39"/>
  <c r="U56" i="39"/>
  <c r="D67" i="39"/>
  <c r="H67" i="39"/>
  <c r="L67" i="39"/>
  <c r="P67" i="39"/>
  <c r="T67" i="39"/>
  <c r="C67" i="39"/>
  <c r="I67" i="39"/>
  <c r="N67" i="39"/>
  <c r="S67" i="39"/>
  <c r="E67" i="39"/>
  <c r="J67" i="39"/>
  <c r="O67" i="39"/>
  <c r="U67" i="39"/>
  <c r="F67" i="39"/>
  <c r="K67" i="39"/>
  <c r="Q67" i="39"/>
  <c r="M67" i="39"/>
  <c r="R67" i="39"/>
  <c r="G67" i="39"/>
  <c r="B68" i="39"/>
  <c r="V306" i="63"/>
  <c r="V315" i="63"/>
  <c r="V314" i="63"/>
  <c r="W10" i="63"/>
  <c r="W11" i="67" s="1"/>
  <c r="W177" i="63"/>
  <c r="W82" i="67" s="1"/>
  <c r="W38" i="63"/>
  <c r="W305" i="63" s="1"/>
  <c r="W152" i="63"/>
  <c r="W76" i="64" s="1"/>
  <c r="W143" i="64" s="1"/>
  <c r="W128" i="63"/>
  <c r="W104" i="63"/>
  <c r="W189" i="63"/>
  <c r="U316" i="63"/>
  <c r="Y42" i="30"/>
  <c r="X54" i="30"/>
  <c r="X65" i="30" s="1"/>
  <c r="X89" i="30" s="1"/>
  <c r="X110" i="30" s="1"/>
  <c r="Y102" i="30"/>
  <c r="W90" i="49"/>
  <c r="H46" i="52"/>
  <c r="F70" i="52" s="1"/>
  <c r="H53" i="52"/>
  <c r="F77" i="52" s="1"/>
  <c r="I45" i="52"/>
  <c r="G69" i="52" s="1"/>
  <c r="I53" i="52"/>
  <c r="G77" i="52" s="1"/>
  <c r="H51" i="52"/>
  <c r="I52" i="52"/>
  <c r="V36" i="49"/>
  <c r="V56" i="49" s="1"/>
  <c r="H52" i="52"/>
  <c r="V103" i="49"/>
  <c r="AU118" i="50"/>
  <c r="V148" i="51"/>
  <c r="W223" i="36"/>
  <c r="W225" i="53"/>
  <c r="W153" i="53"/>
  <c r="V86" i="53"/>
  <c r="W131" i="53"/>
  <c r="W201" i="53"/>
  <c r="W105" i="53"/>
  <c r="V11" i="53"/>
  <c r="W179" i="53"/>
  <c r="W130" i="52"/>
  <c r="W234" i="52"/>
  <c r="W200" i="52"/>
  <c r="W104" i="52"/>
  <c r="W226" i="52"/>
  <c r="W178" i="52"/>
  <c r="V85" i="52"/>
  <c r="V10" i="52"/>
  <c r="W152" i="52"/>
  <c r="V51" i="51"/>
  <c r="V11" i="54"/>
  <c r="U112" i="39"/>
  <c r="U115" i="51"/>
  <c r="W24" i="49"/>
  <c r="W68" i="49" s="1"/>
  <c r="W21" i="54"/>
  <c r="W18" i="51"/>
  <c r="V16" i="47"/>
  <c r="V91" i="47"/>
  <c r="U180" i="47"/>
  <c r="U218" i="47"/>
  <c r="U164" i="47"/>
  <c r="F73" i="53"/>
  <c r="F78" i="53"/>
  <c r="AU82" i="50"/>
  <c r="U53" i="40"/>
  <c r="V144" i="39"/>
  <c r="W21" i="37"/>
  <c r="W11" i="37" s="1"/>
  <c r="W21" i="40"/>
  <c r="X81" i="30"/>
  <c r="X21" i="63" s="1"/>
  <c r="W16" i="39"/>
  <c r="W87" i="40"/>
  <c r="X124" i="30"/>
  <c r="W102" i="36"/>
  <c r="W176" i="44"/>
  <c r="W128" i="44"/>
  <c r="W150" i="43"/>
  <c r="V11" i="43"/>
  <c r="V65" i="40"/>
  <c r="W176" i="36"/>
  <c r="W102" i="43"/>
  <c r="W198" i="36"/>
  <c r="V33" i="40"/>
  <c r="V100" i="40"/>
  <c r="W102" i="44"/>
  <c r="W198" i="43"/>
  <c r="W222" i="44"/>
  <c r="W128" i="43"/>
  <c r="W230" i="36"/>
  <c r="W150" i="36"/>
  <c r="W198" i="44"/>
  <c r="V83" i="43"/>
  <c r="V83" i="36"/>
  <c r="V11" i="44"/>
  <c r="W222" i="43"/>
  <c r="W128" i="36"/>
  <c r="W150" i="44"/>
  <c r="V11" i="36"/>
  <c r="W176" i="43"/>
  <c r="V83" i="44"/>
  <c r="V48" i="39"/>
  <c r="V101" i="64" l="1"/>
  <c r="V117" i="64" s="1"/>
  <c r="V168" i="64" s="1"/>
  <c r="T414" i="47"/>
  <c r="T432" i="47"/>
  <c r="U355" i="47"/>
  <c r="U349" i="47"/>
  <c r="Y77" i="47"/>
  <c r="W226" i="63"/>
  <c r="W44" i="67" s="1"/>
  <c r="W287" i="63"/>
  <c r="W133" i="64"/>
  <c r="V307" i="63"/>
  <c r="B43" i="64"/>
  <c r="W247" i="63"/>
  <c r="C164" i="39"/>
  <c r="G164" i="39"/>
  <c r="K164" i="39"/>
  <c r="O164" i="39"/>
  <c r="S164" i="39"/>
  <c r="D164" i="39"/>
  <c r="H164" i="39"/>
  <c r="L164" i="39"/>
  <c r="P164" i="39"/>
  <c r="T164" i="39"/>
  <c r="F164" i="39"/>
  <c r="N164" i="39"/>
  <c r="V164" i="39"/>
  <c r="I164" i="39"/>
  <c r="Q164" i="39"/>
  <c r="E164" i="39"/>
  <c r="U164" i="39"/>
  <c r="J164" i="39"/>
  <c r="R164" i="39"/>
  <c r="M164" i="39"/>
  <c r="V149" i="51"/>
  <c r="V150" i="51"/>
  <c r="V151" i="51"/>
  <c r="V152" i="51"/>
  <c r="V153" i="51"/>
  <c r="V154" i="51"/>
  <c r="V155" i="51"/>
  <c r="V156" i="51"/>
  <c r="V157" i="51"/>
  <c r="E168" i="51"/>
  <c r="I168" i="51"/>
  <c r="M168" i="51"/>
  <c r="Q168" i="51"/>
  <c r="U168" i="51"/>
  <c r="F168" i="51"/>
  <c r="J168" i="51"/>
  <c r="N168" i="51"/>
  <c r="R168" i="51"/>
  <c r="V168" i="51"/>
  <c r="D168" i="51"/>
  <c r="H168" i="51"/>
  <c r="L168" i="51"/>
  <c r="P168" i="51"/>
  <c r="T168" i="51"/>
  <c r="G168" i="51"/>
  <c r="K168" i="51"/>
  <c r="O168" i="51"/>
  <c r="C168" i="51"/>
  <c r="S168" i="51"/>
  <c r="V145" i="39"/>
  <c r="V146" i="39"/>
  <c r="V147" i="39"/>
  <c r="V148" i="39"/>
  <c r="V149" i="39"/>
  <c r="V150" i="39"/>
  <c r="V151" i="39"/>
  <c r="V152" i="39"/>
  <c r="V153" i="39"/>
  <c r="V52" i="51"/>
  <c r="V53" i="51"/>
  <c r="V54" i="51"/>
  <c r="V55" i="51"/>
  <c r="V56" i="51"/>
  <c r="V57" i="51"/>
  <c r="V58" i="51"/>
  <c r="V59" i="51"/>
  <c r="V60" i="51"/>
  <c r="B169" i="51"/>
  <c r="D71" i="51"/>
  <c r="H71" i="51"/>
  <c r="L71" i="51"/>
  <c r="P71" i="51"/>
  <c r="T71" i="51"/>
  <c r="E71" i="51"/>
  <c r="J71" i="51"/>
  <c r="O71" i="51"/>
  <c r="U71" i="51"/>
  <c r="F71" i="51"/>
  <c r="K71" i="51"/>
  <c r="Q71" i="51"/>
  <c r="V71" i="51"/>
  <c r="G71" i="51"/>
  <c r="R71" i="51"/>
  <c r="M71" i="51"/>
  <c r="I71" i="51"/>
  <c r="S71" i="51"/>
  <c r="C71" i="51"/>
  <c r="N71" i="51"/>
  <c r="B72" i="51"/>
  <c r="E68" i="39"/>
  <c r="I68" i="39"/>
  <c r="M68" i="39"/>
  <c r="Q68" i="39"/>
  <c r="U68" i="39"/>
  <c r="F68" i="39"/>
  <c r="K68" i="39"/>
  <c r="P68" i="39"/>
  <c r="V68" i="39"/>
  <c r="G68" i="39"/>
  <c r="L68" i="39"/>
  <c r="R68" i="39"/>
  <c r="C68" i="39"/>
  <c r="H68" i="39"/>
  <c r="N68" i="39"/>
  <c r="S68" i="39"/>
  <c r="D68" i="39"/>
  <c r="J68" i="39"/>
  <c r="O68" i="39"/>
  <c r="T68" i="39"/>
  <c r="V49" i="39"/>
  <c r="V50" i="39"/>
  <c r="V51" i="39"/>
  <c r="V52" i="39"/>
  <c r="V53" i="39"/>
  <c r="V54" i="39"/>
  <c r="V55" i="39"/>
  <c r="V56" i="39"/>
  <c r="V57" i="39"/>
  <c r="B165" i="39"/>
  <c r="B69" i="39"/>
  <c r="X152" i="63"/>
  <c r="X76" i="64" s="1"/>
  <c r="X143" i="64" s="1"/>
  <c r="X38" i="63"/>
  <c r="X305" i="63" s="1"/>
  <c r="X104" i="63"/>
  <c r="X10" i="63"/>
  <c r="X11" i="67" s="1"/>
  <c r="X189" i="63"/>
  <c r="X128" i="63"/>
  <c r="X177" i="63"/>
  <c r="X82" i="67" s="1"/>
  <c r="W315" i="63"/>
  <c r="W306" i="63"/>
  <c r="W314" i="63"/>
  <c r="V316" i="63"/>
  <c r="Z42" i="30"/>
  <c r="Y54" i="30"/>
  <c r="Y65" i="30" s="1"/>
  <c r="Y89" i="30" s="1"/>
  <c r="Y110" i="30" s="1"/>
  <c r="X90" i="49"/>
  <c r="Z102" i="30"/>
  <c r="W36" i="49"/>
  <c r="W56" i="49" s="1"/>
  <c r="W103" i="49"/>
  <c r="AV118" i="50"/>
  <c r="X24" i="49"/>
  <c r="X103" i="49" s="1"/>
  <c r="X21" i="54"/>
  <c r="X18" i="51"/>
  <c r="X223" i="36"/>
  <c r="X131" i="53"/>
  <c r="X201" i="53"/>
  <c r="X105" i="53"/>
  <c r="W11" i="53"/>
  <c r="X179" i="53"/>
  <c r="X225" i="53"/>
  <c r="X153" i="53"/>
  <c r="W86" i="53"/>
  <c r="X234" i="52"/>
  <c r="X200" i="52"/>
  <c r="X104" i="52"/>
  <c r="X226" i="52"/>
  <c r="X178" i="52"/>
  <c r="W85" i="52"/>
  <c r="W10" i="52"/>
  <c r="X152" i="52"/>
  <c r="X130" i="52"/>
  <c r="W148" i="51"/>
  <c r="V180" i="47"/>
  <c r="V164" i="47"/>
  <c r="V218" i="47"/>
  <c r="W11" i="54"/>
  <c r="V112" i="39"/>
  <c r="V115" i="51"/>
  <c r="W16" i="47"/>
  <c r="W91" i="47"/>
  <c r="W51" i="51"/>
  <c r="AV82" i="50"/>
  <c r="V53" i="40"/>
  <c r="X21" i="40"/>
  <c r="Y81" i="30"/>
  <c r="Y21" i="63" s="1"/>
  <c r="X21" i="37"/>
  <c r="X11" i="37" s="1"/>
  <c r="X16" i="39"/>
  <c r="W144" i="39"/>
  <c r="X87" i="40"/>
  <c r="Y124" i="30"/>
  <c r="X102" i="36"/>
  <c r="X176" i="44"/>
  <c r="X222" i="44"/>
  <c r="W83" i="44"/>
  <c r="X128" i="43"/>
  <c r="W33" i="40"/>
  <c r="X176" i="36"/>
  <c r="X128" i="44"/>
  <c r="X198" i="43"/>
  <c r="W11" i="36"/>
  <c r="X150" i="36"/>
  <c r="X128" i="36"/>
  <c r="X230" i="36"/>
  <c r="X102" i="44"/>
  <c r="X150" i="43"/>
  <c r="X150" i="44"/>
  <c r="X176" i="43"/>
  <c r="X198" i="44"/>
  <c r="W11" i="43"/>
  <c r="W65" i="40"/>
  <c r="W83" i="36"/>
  <c r="W100" i="40"/>
  <c r="W11" i="44"/>
  <c r="W83" i="43"/>
  <c r="X222" i="43"/>
  <c r="X102" i="43"/>
  <c r="X198" i="36"/>
  <c r="W48" i="39"/>
  <c r="W101" i="64" l="1"/>
  <c r="W117" i="64" s="1"/>
  <c r="W168" i="64" s="1"/>
  <c r="U414" i="47"/>
  <c r="U432" i="47"/>
  <c r="V355" i="47"/>
  <c r="V349" i="47"/>
  <c r="Z77" i="47"/>
  <c r="X226" i="63"/>
  <c r="X44" i="67" s="1"/>
  <c r="X287" i="63"/>
  <c r="X133" i="64"/>
  <c r="W307" i="63"/>
  <c r="B44" i="64"/>
  <c r="X247" i="63"/>
  <c r="W145" i="39"/>
  <c r="W146" i="39"/>
  <c r="W147" i="39"/>
  <c r="W148" i="39"/>
  <c r="W149" i="39"/>
  <c r="W150" i="39"/>
  <c r="W151" i="39"/>
  <c r="W152" i="39"/>
  <c r="W153" i="39"/>
  <c r="W154" i="39"/>
  <c r="F169" i="51"/>
  <c r="J169" i="51"/>
  <c r="N169" i="51"/>
  <c r="R169" i="51"/>
  <c r="V169" i="51"/>
  <c r="C169" i="51"/>
  <c r="G169" i="51"/>
  <c r="K169" i="51"/>
  <c r="O169" i="51"/>
  <c r="S169" i="51"/>
  <c r="W169" i="51"/>
  <c r="E169" i="51"/>
  <c r="D169" i="51"/>
  <c r="M169" i="51"/>
  <c r="U169" i="51"/>
  <c r="H169" i="51"/>
  <c r="P169" i="51"/>
  <c r="I169" i="51"/>
  <c r="Q169" i="51"/>
  <c r="L169" i="51"/>
  <c r="T169" i="51"/>
  <c r="W149" i="51"/>
  <c r="W150" i="51"/>
  <c r="W151" i="51"/>
  <c r="W152" i="51"/>
  <c r="W153" i="51"/>
  <c r="W154" i="51"/>
  <c r="W155" i="51"/>
  <c r="W156" i="51"/>
  <c r="W157" i="51"/>
  <c r="W158" i="51"/>
  <c r="D165" i="39"/>
  <c r="H165" i="39"/>
  <c r="L165" i="39"/>
  <c r="P165" i="39"/>
  <c r="T165" i="39"/>
  <c r="E165" i="39"/>
  <c r="I165" i="39"/>
  <c r="M165" i="39"/>
  <c r="Q165" i="39"/>
  <c r="U165" i="39"/>
  <c r="C165" i="39"/>
  <c r="K165" i="39"/>
  <c r="S165" i="39"/>
  <c r="F165" i="39"/>
  <c r="N165" i="39"/>
  <c r="V165" i="39"/>
  <c r="R165" i="39"/>
  <c r="G165" i="39"/>
  <c r="O165" i="39"/>
  <c r="W165" i="39"/>
  <c r="J165" i="39"/>
  <c r="W52" i="51"/>
  <c r="W53" i="51"/>
  <c r="W54" i="51"/>
  <c r="W55" i="51"/>
  <c r="W56" i="51"/>
  <c r="W57" i="51"/>
  <c r="W58" i="51"/>
  <c r="W59" i="51"/>
  <c r="W60" i="51"/>
  <c r="W61" i="51"/>
  <c r="B170" i="51"/>
  <c r="E72" i="51"/>
  <c r="I72" i="51"/>
  <c r="M72" i="51"/>
  <c r="Q72" i="51"/>
  <c r="U72" i="51"/>
  <c r="G72" i="51"/>
  <c r="L72" i="51"/>
  <c r="R72" i="51"/>
  <c r="W72" i="51"/>
  <c r="C72" i="51"/>
  <c r="H72" i="51"/>
  <c r="N72" i="51"/>
  <c r="S72" i="51"/>
  <c r="J72" i="51"/>
  <c r="T72" i="51"/>
  <c r="D72" i="51"/>
  <c r="O72" i="51"/>
  <c r="K72" i="51"/>
  <c r="V72" i="51"/>
  <c r="F72" i="51"/>
  <c r="P72" i="51"/>
  <c r="B73" i="51"/>
  <c r="W49" i="39"/>
  <c r="W50" i="39"/>
  <c r="W51" i="39"/>
  <c r="W52" i="39"/>
  <c r="W53" i="39"/>
  <c r="W54" i="39"/>
  <c r="W55" i="39"/>
  <c r="W56" i="39"/>
  <c r="W57" i="39"/>
  <c r="W58" i="39"/>
  <c r="B166" i="39"/>
  <c r="F69" i="39"/>
  <c r="J69" i="39"/>
  <c r="N69" i="39"/>
  <c r="R69" i="39"/>
  <c r="V69" i="39"/>
  <c r="C69" i="39"/>
  <c r="H69" i="39"/>
  <c r="M69" i="39"/>
  <c r="S69" i="39"/>
  <c r="D69" i="39"/>
  <c r="I69" i="39"/>
  <c r="O69" i="39"/>
  <c r="T69" i="39"/>
  <c r="E69" i="39"/>
  <c r="K69" i="39"/>
  <c r="P69" i="39"/>
  <c r="U69" i="39"/>
  <c r="Q69" i="39"/>
  <c r="W69" i="39"/>
  <c r="G69" i="39"/>
  <c r="L69" i="39"/>
  <c r="B70" i="39"/>
  <c r="W316" i="63"/>
  <c r="Y10" i="63"/>
  <c r="Y11" i="67" s="1"/>
  <c r="Y177" i="63"/>
  <c r="Y82" i="67" s="1"/>
  <c r="Y38" i="63"/>
  <c r="Y305" i="63" s="1"/>
  <c r="Y152" i="63"/>
  <c r="Y76" i="64" s="1"/>
  <c r="Y143" i="64" s="1"/>
  <c r="Y189" i="63"/>
  <c r="Y128" i="63"/>
  <c r="Y104" i="63"/>
  <c r="X315" i="63"/>
  <c r="X314" i="63"/>
  <c r="X306" i="63"/>
  <c r="AA42" i="30"/>
  <c r="Z54" i="30"/>
  <c r="Z65" i="30" s="1"/>
  <c r="Z89" i="30" s="1"/>
  <c r="Z110" i="30" s="1"/>
  <c r="Y90" i="49"/>
  <c r="AA102" i="30"/>
  <c r="X68" i="49"/>
  <c r="X36" i="49"/>
  <c r="X56" i="49" s="1"/>
  <c r="AW118" i="50"/>
  <c r="X51" i="51"/>
  <c r="W164" i="47"/>
  <c r="W218" i="47"/>
  <c r="W180" i="47"/>
  <c r="X11" i="54"/>
  <c r="Y24" i="49"/>
  <c r="Y68" i="49" s="1"/>
  <c r="Y21" i="54"/>
  <c r="Y18" i="51"/>
  <c r="X91" i="47"/>
  <c r="X16" i="47"/>
  <c r="W112" i="39"/>
  <c r="W115" i="51"/>
  <c r="Y223" i="36"/>
  <c r="Y201" i="53"/>
  <c r="Y105" i="53"/>
  <c r="X11" i="53"/>
  <c r="Y179" i="53"/>
  <c r="Y225" i="53"/>
  <c r="Y153" i="53"/>
  <c r="X86" i="53"/>
  <c r="Y131" i="53"/>
  <c r="Y226" i="52"/>
  <c r="Y178" i="52"/>
  <c r="X85" i="52"/>
  <c r="X10" i="52"/>
  <c r="Y152" i="52"/>
  <c r="Y130" i="52"/>
  <c r="Y234" i="52"/>
  <c r="Y200" i="52"/>
  <c r="Y104" i="52"/>
  <c r="X148" i="51"/>
  <c r="AW82" i="50"/>
  <c r="W53" i="40"/>
  <c r="Y102" i="36"/>
  <c r="X100" i="40"/>
  <c r="Y128" i="44"/>
  <c r="Y176" i="44"/>
  <c r="Y102" i="43"/>
  <c r="Y102" i="44"/>
  <c r="Y176" i="36"/>
  <c r="Y128" i="36"/>
  <c r="X11" i="44"/>
  <c r="Y128" i="43"/>
  <c r="X65" i="40"/>
  <c r="Y222" i="44"/>
  <c r="Y198" i="43"/>
  <c r="X33" i="40"/>
  <c r="Y150" i="44"/>
  <c r="Y198" i="44"/>
  <c r="Y222" i="43"/>
  <c r="Y176" i="43"/>
  <c r="X11" i="36"/>
  <c r="Y150" i="36"/>
  <c r="X83" i="44"/>
  <c r="X83" i="43"/>
  <c r="Y198" i="36"/>
  <c r="Y150" i="43"/>
  <c r="X11" i="43"/>
  <c r="X83" i="36"/>
  <c r="Y230" i="36"/>
  <c r="X144" i="39"/>
  <c r="X48" i="39"/>
  <c r="Y87" i="40"/>
  <c r="Z124" i="30"/>
  <c r="Y16" i="39"/>
  <c r="Z81" i="30"/>
  <c r="Z21" i="63" s="1"/>
  <c r="Y21" i="37"/>
  <c r="Y11" i="37" s="1"/>
  <c r="Y21" i="40"/>
  <c r="C162" i="3"/>
  <c r="C161" i="3"/>
  <c r="C13" i="19"/>
  <c r="D13" i="19"/>
  <c r="E13" i="19"/>
  <c r="F13" i="19"/>
  <c r="G13" i="19"/>
  <c r="C14" i="19"/>
  <c r="D14" i="19"/>
  <c r="E14" i="19"/>
  <c r="F14" i="19"/>
  <c r="G14" i="19"/>
  <c r="C15" i="19"/>
  <c r="D15" i="19"/>
  <c r="E15" i="19"/>
  <c r="F15" i="19"/>
  <c r="G15" i="19"/>
  <c r="C16" i="19"/>
  <c r="D16" i="19"/>
  <c r="E16" i="19"/>
  <c r="F16" i="19"/>
  <c r="G16" i="19"/>
  <c r="C150" i="3" s="1"/>
  <c r="C151" i="3" s="1"/>
  <c r="C17" i="19"/>
  <c r="D17" i="19"/>
  <c r="E17" i="19"/>
  <c r="F17" i="19"/>
  <c r="G17" i="19"/>
  <c r="H14" i="19"/>
  <c r="H15" i="19"/>
  <c r="H16" i="19"/>
  <c r="H17" i="19"/>
  <c r="H13" i="19"/>
  <c r="D175" i="19"/>
  <c r="E175" i="19"/>
  <c r="F175" i="19"/>
  <c r="G175" i="19"/>
  <c r="H175" i="19"/>
  <c r="I175" i="19"/>
  <c r="J175" i="19"/>
  <c r="K175" i="19"/>
  <c r="L175" i="19"/>
  <c r="M175" i="19"/>
  <c r="N175" i="19"/>
  <c r="O175" i="19"/>
  <c r="P175" i="19"/>
  <c r="Q175" i="19"/>
  <c r="R175" i="19"/>
  <c r="S175" i="19"/>
  <c r="T175" i="19"/>
  <c r="U175" i="19"/>
  <c r="V175" i="19"/>
  <c r="W175" i="19"/>
  <c r="X175" i="19"/>
  <c r="Y175" i="19"/>
  <c r="Z175" i="19"/>
  <c r="AA175" i="19"/>
  <c r="AB175" i="19"/>
  <c r="AC175" i="19"/>
  <c r="AD175" i="19"/>
  <c r="AE175" i="19"/>
  <c r="AF175" i="19"/>
  <c r="AG175" i="19"/>
  <c r="C175" i="19"/>
  <c r="C265" i="63" l="1"/>
  <c r="C262" i="63"/>
  <c r="X101" i="64"/>
  <c r="X117" i="64" s="1"/>
  <c r="X168" i="64" s="1"/>
  <c r="V414" i="47"/>
  <c r="V432" i="47"/>
  <c r="W355" i="47"/>
  <c r="W349" i="47"/>
  <c r="AA77" i="47"/>
  <c r="Y226" i="63"/>
  <c r="Y44" i="67" s="1"/>
  <c r="X307" i="63"/>
  <c r="Y287" i="63"/>
  <c r="Y133" i="64"/>
  <c r="C165" i="3"/>
  <c r="B45" i="64"/>
  <c r="Y247" i="63"/>
  <c r="X145" i="39"/>
  <c r="X146" i="39"/>
  <c r="X147" i="39"/>
  <c r="X148" i="39"/>
  <c r="X149" i="39"/>
  <c r="X150" i="39"/>
  <c r="X151" i="39"/>
  <c r="X152" i="39"/>
  <c r="X153" i="39"/>
  <c r="X154" i="39"/>
  <c r="X155" i="39"/>
  <c r="E166" i="39"/>
  <c r="I166" i="39"/>
  <c r="M166" i="39"/>
  <c r="Q166" i="39"/>
  <c r="U166" i="39"/>
  <c r="F166" i="39"/>
  <c r="J166" i="39"/>
  <c r="N166" i="39"/>
  <c r="R166" i="39"/>
  <c r="V166" i="39"/>
  <c r="H166" i="39"/>
  <c r="P166" i="39"/>
  <c r="X166" i="39"/>
  <c r="C166" i="39"/>
  <c r="K166" i="39"/>
  <c r="S166" i="39"/>
  <c r="G166" i="39"/>
  <c r="W166" i="39"/>
  <c r="D166" i="39"/>
  <c r="L166" i="39"/>
  <c r="T166" i="39"/>
  <c r="O166" i="39"/>
  <c r="X149" i="51"/>
  <c r="X150" i="51"/>
  <c r="X151" i="51"/>
  <c r="X152" i="51"/>
  <c r="X153" i="51"/>
  <c r="X154" i="51"/>
  <c r="X155" i="51"/>
  <c r="X156" i="51"/>
  <c r="X157" i="51"/>
  <c r="X158" i="51"/>
  <c r="X159" i="51"/>
  <c r="C170" i="51"/>
  <c r="G170" i="51"/>
  <c r="K170" i="51"/>
  <c r="O170" i="51"/>
  <c r="S170" i="51"/>
  <c r="W170" i="51"/>
  <c r="D170" i="51"/>
  <c r="H170" i="51"/>
  <c r="L170" i="51"/>
  <c r="P170" i="51"/>
  <c r="T170" i="51"/>
  <c r="X170" i="51"/>
  <c r="J170" i="51"/>
  <c r="R170" i="51"/>
  <c r="E170" i="51"/>
  <c r="M170" i="51"/>
  <c r="U170" i="51"/>
  <c r="F170" i="51"/>
  <c r="N170" i="51"/>
  <c r="V170" i="51"/>
  <c r="I170" i="51"/>
  <c r="Q170" i="51"/>
  <c r="B171" i="51"/>
  <c r="X52" i="51"/>
  <c r="X53" i="51"/>
  <c r="X54" i="51"/>
  <c r="X55" i="51"/>
  <c r="X56" i="51"/>
  <c r="X57" i="51"/>
  <c r="X58" i="51"/>
  <c r="X59" i="51"/>
  <c r="X60" i="51"/>
  <c r="X61" i="51"/>
  <c r="X62" i="51"/>
  <c r="F73" i="51"/>
  <c r="J73" i="51"/>
  <c r="N73" i="51"/>
  <c r="R73" i="51"/>
  <c r="V73" i="51"/>
  <c r="D73" i="51"/>
  <c r="I73" i="51"/>
  <c r="O73" i="51"/>
  <c r="T73" i="51"/>
  <c r="E73" i="51"/>
  <c r="K73" i="51"/>
  <c r="P73" i="51"/>
  <c r="U73" i="51"/>
  <c r="L73" i="51"/>
  <c r="W73" i="51"/>
  <c r="G73" i="51"/>
  <c r="Q73" i="51"/>
  <c r="C73" i="51"/>
  <c r="M73" i="51"/>
  <c r="X73" i="51"/>
  <c r="H73" i="51"/>
  <c r="S73" i="51"/>
  <c r="B74" i="51"/>
  <c r="X49" i="39"/>
  <c r="X50" i="39"/>
  <c r="X51" i="39"/>
  <c r="X52" i="39"/>
  <c r="X53" i="39"/>
  <c r="X54" i="39"/>
  <c r="X55" i="39"/>
  <c r="X56" i="39"/>
  <c r="X57" i="39"/>
  <c r="X58" i="39"/>
  <c r="X59" i="39"/>
  <c r="C70" i="39"/>
  <c r="G70" i="39"/>
  <c r="K70" i="39"/>
  <c r="O70" i="39"/>
  <c r="S70" i="39"/>
  <c r="W70" i="39"/>
  <c r="E70" i="39"/>
  <c r="J70" i="39"/>
  <c r="P70" i="39"/>
  <c r="U70" i="39"/>
  <c r="F70" i="39"/>
  <c r="L70" i="39"/>
  <c r="Q70" i="39"/>
  <c r="V70" i="39"/>
  <c r="H70" i="39"/>
  <c r="M70" i="39"/>
  <c r="R70" i="39"/>
  <c r="X70" i="39"/>
  <c r="I70" i="39"/>
  <c r="N70" i="39"/>
  <c r="T70" i="39"/>
  <c r="D70" i="39"/>
  <c r="B167" i="39"/>
  <c r="B71" i="39"/>
  <c r="X316" i="63"/>
  <c r="Z10" i="63"/>
  <c r="Z11" i="67" s="1"/>
  <c r="Z189" i="63"/>
  <c r="Z104" i="63"/>
  <c r="Z152" i="63"/>
  <c r="Z76" i="64" s="1"/>
  <c r="Z143" i="64" s="1"/>
  <c r="Z38" i="63"/>
  <c r="Z305" i="63" s="1"/>
  <c r="Z177" i="63"/>
  <c r="Z82" i="67" s="1"/>
  <c r="Z128" i="63"/>
  <c r="Y314" i="63"/>
  <c r="Y315" i="63"/>
  <c r="Y306" i="63"/>
  <c r="AB42" i="30"/>
  <c r="AA54" i="30"/>
  <c r="AA65" i="30" s="1"/>
  <c r="AA89" i="30" s="1"/>
  <c r="AA110" i="30" s="1"/>
  <c r="Z90" i="49"/>
  <c r="AB102" i="30"/>
  <c r="AX118" i="50"/>
  <c r="Y148" i="51"/>
  <c r="Y16" i="47"/>
  <c r="Y91" i="47"/>
  <c r="Z24" i="49"/>
  <c r="Z103" i="49" s="1"/>
  <c r="Z21" i="54"/>
  <c r="Z18" i="51"/>
  <c r="X180" i="47"/>
  <c r="X218" i="47"/>
  <c r="X164" i="47"/>
  <c r="Y51" i="51"/>
  <c r="X112" i="39"/>
  <c r="X115" i="51"/>
  <c r="Y36" i="49"/>
  <c r="Y56" i="49" s="1"/>
  <c r="Z223" i="36"/>
  <c r="Z179" i="53"/>
  <c r="Z225" i="53"/>
  <c r="Z153" i="53"/>
  <c r="Y86" i="53"/>
  <c r="Z131" i="53"/>
  <c r="Z201" i="53"/>
  <c r="Z105" i="53"/>
  <c r="Y11" i="53"/>
  <c r="Z152" i="52"/>
  <c r="Z130" i="52"/>
  <c r="Z234" i="52"/>
  <c r="Z200" i="52"/>
  <c r="Z104" i="52"/>
  <c r="Z226" i="52"/>
  <c r="Z178" i="52"/>
  <c r="Y85" i="52"/>
  <c r="Y10" i="52"/>
  <c r="Y103" i="49"/>
  <c r="Y11" i="54"/>
  <c r="AX82" i="50"/>
  <c r="X53" i="40"/>
  <c r="Z36" i="49"/>
  <c r="Z56" i="49" s="1"/>
  <c r="Z102" i="36"/>
  <c r="Z222" i="44"/>
  <c r="Z176" i="44"/>
  <c r="Z128" i="43"/>
  <c r="Z176" i="43"/>
  <c r="Y11" i="36"/>
  <c r="Z198" i="36"/>
  <c r="Z128" i="44"/>
  <c r="Z102" i="44"/>
  <c r="Y11" i="44"/>
  <c r="Y83" i="43"/>
  <c r="Y83" i="36"/>
  <c r="Z128" i="36"/>
  <c r="Z222" i="43"/>
  <c r="Z150" i="43"/>
  <c r="Z230" i="36"/>
  <c r="Y65" i="40"/>
  <c r="Y100" i="40"/>
  <c r="Z198" i="44"/>
  <c r="Z150" i="44"/>
  <c r="Z198" i="43"/>
  <c r="Y11" i="43"/>
  <c r="Y33" i="40"/>
  <c r="Z150" i="36"/>
  <c r="Z176" i="36"/>
  <c r="Y83" i="44"/>
  <c r="Z102" i="43"/>
  <c r="Z87" i="40"/>
  <c r="AA124" i="30"/>
  <c r="Y48" i="39"/>
  <c r="Z21" i="40"/>
  <c r="Z21" i="37"/>
  <c r="Z11" i="37" s="1"/>
  <c r="Z16" i="39"/>
  <c r="AA81" i="30"/>
  <c r="AA21" i="63" s="1"/>
  <c r="Y144" i="39"/>
  <c r="O30" i="19"/>
  <c r="O34" i="19"/>
  <c r="O38" i="19"/>
  <c r="O42" i="19"/>
  <c r="O46" i="19"/>
  <c r="O50" i="19"/>
  <c r="O54" i="19"/>
  <c r="O58" i="19"/>
  <c r="O29" i="19"/>
  <c r="O33" i="19"/>
  <c r="O37" i="19"/>
  <c r="O41" i="19"/>
  <c r="O45" i="19"/>
  <c r="O49" i="19"/>
  <c r="O53" i="19"/>
  <c r="O57" i="19"/>
  <c r="O28" i="19"/>
  <c r="O32" i="19"/>
  <c r="O36" i="19"/>
  <c r="O40" i="19"/>
  <c r="O44" i="19"/>
  <c r="O48" i="19"/>
  <c r="O52" i="19"/>
  <c r="O56" i="19"/>
  <c r="O60" i="19"/>
  <c r="O62" i="19"/>
  <c r="O66" i="19"/>
  <c r="O35" i="19"/>
  <c r="O43" i="19"/>
  <c r="O51" i="19"/>
  <c r="O59" i="19"/>
  <c r="O65" i="19"/>
  <c r="O39" i="19"/>
  <c r="O63" i="19"/>
  <c r="O67" i="19"/>
  <c r="O64" i="19"/>
  <c r="O31" i="19"/>
  <c r="O47" i="19"/>
  <c r="O55" i="19"/>
  <c r="O61" i="19"/>
  <c r="E28" i="19"/>
  <c r="E32" i="19"/>
  <c r="E36" i="19"/>
  <c r="E40" i="19"/>
  <c r="E44" i="19"/>
  <c r="E48" i="19"/>
  <c r="E52" i="19"/>
  <c r="E56" i="19"/>
  <c r="E60" i="19"/>
  <c r="E31" i="19"/>
  <c r="E35" i="19"/>
  <c r="E39" i="19"/>
  <c r="E43" i="19"/>
  <c r="E47" i="19"/>
  <c r="E51" i="19"/>
  <c r="E55" i="19"/>
  <c r="E59" i="19"/>
  <c r="E30" i="19"/>
  <c r="E34" i="19"/>
  <c r="E38" i="19"/>
  <c r="E42" i="19"/>
  <c r="E46" i="19"/>
  <c r="E50" i="19"/>
  <c r="E54" i="19"/>
  <c r="E58" i="19"/>
  <c r="E62" i="19"/>
  <c r="E33" i="19"/>
  <c r="E41" i="19"/>
  <c r="E49" i="19"/>
  <c r="E57" i="19"/>
  <c r="E64" i="19"/>
  <c r="E65" i="19"/>
  <c r="E63" i="19"/>
  <c r="E67" i="19"/>
  <c r="E29" i="19"/>
  <c r="E37" i="19"/>
  <c r="E45" i="19"/>
  <c r="E53" i="19"/>
  <c r="E61" i="19"/>
  <c r="E66" i="19"/>
  <c r="AE30" i="19"/>
  <c r="AE34" i="19"/>
  <c r="AE38" i="19"/>
  <c r="AE42" i="19"/>
  <c r="AE46" i="19"/>
  <c r="AE50" i="19"/>
  <c r="AE54" i="19"/>
  <c r="AE58" i="19"/>
  <c r="AE29" i="19"/>
  <c r="AE33" i="19"/>
  <c r="AE37" i="19"/>
  <c r="AE41" i="19"/>
  <c r="AE45" i="19"/>
  <c r="AE49" i="19"/>
  <c r="AE53" i="19"/>
  <c r="AE57" i="19"/>
  <c r="AE28" i="19"/>
  <c r="AE32" i="19"/>
  <c r="AE36" i="19"/>
  <c r="AE40" i="19"/>
  <c r="AE44" i="19"/>
  <c r="AE48" i="19"/>
  <c r="AE52" i="19"/>
  <c r="AE56" i="19"/>
  <c r="AE60" i="19"/>
  <c r="AE62" i="19"/>
  <c r="AE66" i="19"/>
  <c r="AE39" i="19"/>
  <c r="AE55" i="19"/>
  <c r="AE61" i="19"/>
  <c r="AE35" i="19"/>
  <c r="AE43" i="19"/>
  <c r="AE51" i="19"/>
  <c r="AE59" i="19"/>
  <c r="AE65" i="19"/>
  <c r="AE47" i="19"/>
  <c r="AE63" i="19"/>
  <c r="AE67" i="19"/>
  <c r="AE64" i="19"/>
  <c r="AE31" i="19"/>
  <c r="AA30" i="19"/>
  <c r="AA34" i="19"/>
  <c r="AA38" i="19"/>
  <c r="AA42" i="19"/>
  <c r="AA46" i="19"/>
  <c r="AA50" i="19"/>
  <c r="AA54" i="19"/>
  <c r="AA58" i="19"/>
  <c r="AA29" i="19"/>
  <c r="AA33" i="19"/>
  <c r="AA37" i="19"/>
  <c r="AA41" i="19"/>
  <c r="AA45" i="19"/>
  <c r="AA49" i="19"/>
  <c r="AA53" i="19"/>
  <c r="AA57" i="19"/>
  <c r="AA28" i="19"/>
  <c r="AA32" i="19"/>
  <c r="AA36" i="19"/>
  <c r="AA40" i="19"/>
  <c r="AA44" i="19"/>
  <c r="AA48" i="19"/>
  <c r="AA52" i="19"/>
  <c r="AA56" i="19"/>
  <c r="AA60" i="19"/>
  <c r="AA35" i="19"/>
  <c r="AA43" i="19"/>
  <c r="AA51" i="19"/>
  <c r="AA59" i="19"/>
  <c r="AA61" i="19"/>
  <c r="AA62" i="19"/>
  <c r="AA66" i="19"/>
  <c r="AA65" i="19"/>
  <c r="AA31" i="19"/>
  <c r="AA39" i="19"/>
  <c r="AA47" i="19"/>
  <c r="AA55" i="19"/>
  <c r="AA64" i="19"/>
  <c r="AA63" i="19"/>
  <c r="AA67" i="19"/>
  <c r="W30" i="19"/>
  <c r="W34" i="19"/>
  <c r="W38" i="19"/>
  <c r="W42" i="19"/>
  <c r="W46" i="19"/>
  <c r="W50" i="19"/>
  <c r="W54" i="19"/>
  <c r="W58" i="19"/>
  <c r="W29" i="19"/>
  <c r="W33" i="19"/>
  <c r="W37" i="19"/>
  <c r="W41" i="19"/>
  <c r="W45" i="19"/>
  <c r="W49" i="19"/>
  <c r="W53" i="19"/>
  <c r="W57" i="19"/>
  <c r="W28" i="19"/>
  <c r="W32" i="19"/>
  <c r="W36" i="19"/>
  <c r="W40" i="19"/>
  <c r="W44" i="19"/>
  <c r="W48" i="19"/>
  <c r="W52" i="19"/>
  <c r="W56" i="19"/>
  <c r="W60" i="19"/>
  <c r="W62" i="19"/>
  <c r="W66" i="19"/>
  <c r="W35" i="19"/>
  <c r="W67" i="19"/>
  <c r="W31" i="19"/>
  <c r="W39" i="19"/>
  <c r="W47" i="19"/>
  <c r="W55" i="19"/>
  <c r="W61" i="19"/>
  <c r="W65" i="19"/>
  <c r="W64" i="19"/>
  <c r="W43" i="19"/>
  <c r="W51" i="19"/>
  <c r="W59" i="19"/>
  <c r="W63" i="19"/>
  <c r="S30" i="19"/>
  <c r="S34" i="19"/>
  <c r="S38" i="19"/>
  <c r="S42" i="19"/>
  <c r="S46" i="19"/>
  <c r="S50" i="19"/>
  <c r="S54" i="19"/>
  <c r="S58" i="19"/>
  <c r="S29" i="19"/>
  <c r="S33" i="19"/>
  <c r="S37" i="19"/>
  <c r="S41" i="19"/>
  <c r="S45" i="19"/>
  <c r="S49" i="19"/>
  <c r="S53" i="19"/>
  <c r="S57" i="19"/>
  <c r="S28" i="19"/>
  <c r="S32" i="19"/>
  <c r="S36" i="19"/>
  <c r="S40" i="19"/>
  <c r="S44" i="19"/>
  <c r="S48" i="19"/>
  <c r="S52" i="19"/>
  <c r="S56" i="19"/>
  <c r="S60" i="19"/>
  <c r="S31" i="19"/>
  <c r="S39" i="19"/>
  <c r="S47" i="19"/>
  <c r="S55" i="19"/>
  <c r="S62" i="19"/>
  <c r="S66" i="19"/>
  <c r="S63" i="19"/>
  <c r="S65" i="19"/>
  <c r="S35" i="19"/>
  <c r="S43" i="19"/>
  <c r="S51" i="19"/>
  <c r="S59" i="19"/>
  <c r="S61" i="19"/>
  <c r="S64" i="19"/>
  <c r="S67" i="19"/>
  <c r="I28" i="19"/>
  <c r="I32" i="19"/>
  <c r="I36" i="19"/>
  <c r="I40" i="19"/>
  <c r="I44" i="19"/>
  <c r="I48" i="19"/>
  <c r="I52" i="19"/>
  <c r="I56" i="19"/>
  <c r="I60" i="19"/>
  <c r="I31" i="19"/>
  <c r="I35" i="19"/>
  <c r="I39" i="19"/>
  <c r="I43" i="19"/>
  <c r="I47" i="19"/>
  <c r="I51" i="19"/>
  <c r="I55" i="19"/>
  <c r="I59" i="19"/>
  <c r="I30" i="19"/>
  <c r="I34" i="19"/>
  <c r="I38" i="19"/>
  <c r="I42" i="19"/>
  <c r="I46" i="19"/>
  <c r="I50" i="19"/>
  <c r="I54" i="19"/>
  <c r="I58" i="19"/>
  <c r="I64" i="19"/>
  <c r="I53" i="19"/>
  <c r="I33" i="19"/>
  <c r="I41" i="19"/>
  <c r="I49" i="19"/>
  <c r="I57" i="19"/>
  <c r="I61" i="19"/>
  <c r="I63" i="19"/>
  <c r="I67" i="19"/>
  <c r="I45" i="19"/>
  <c r="I62" i="19"/>
  <c r="I66" i="19"/>
  <c r="I29" i="19"/>
  <c r="I37" i="19"/>
  <c r="I65" i="19"/>
  <c r="H31" i="19"/>
  <c r="H35" i="19"/>
  <c r="H39" i="19"/>
  <c r="H43" i="19"/>
  <c r="H47" i="19"/>
  <c r="H51" i="19"/>
  <c r="H55" i="19"/>
  <c r="H59" i="19"/>
  <c r="H30" i="19"/>
  <c r="H34" i="19"/>
  <c r="H38" i="19"/>
  <c r="H42" i="19"/>
  <c r="H46" i="19"/>
  <c r="H50" i="19"/>
  <c r="H54" i="19"/>
  <c r="H58" i="19"/>
  <c r="H29" i="19"/>
  <c r="H33" i="19"/>
  <c r="H37" i="19"/>
  <c r="H41" i="19"/>
  <c r="H45" i="19"/>
  <c r="H49" i="19"/>
  <c r="H53" i="19"/>
  <c r="H57" i="19"/>
  <c r="H61" i="19"/>
  <c r="H63" i="19"/>
  <c r="H67" i="19"/>
  <c r="H44" i="19"/>
  <c r="H60" i="19"/>
  <c r="H32" i="19"/>
  <c r="H40" i="19"/>
  <c r="H48" i="19"/>
  <c r="H56" i="19"/>
  <c r="H62" i="19"/>
  <c r="H66" i="19"/>
  <c r="H52" i="19"/>
  <c r="H65" i="19"/>
  <c r="H36" i="19"/>
  <c r="H28" i="19"/>
  <c r="H64" i="19"/>
  <c r="D31" i="19"/>
  <c r="D35" i="19"/>
  <c r="D39" i="19"/>
  <c r="D43" i="19"/>
  <c r="D47" i="19"/>
  <c r="D51" i="19"/>
  <c r="D55" i="19"/>
  <c r="D59" i="19"/>
  <c r="D30" i="19"/>
  <c r="D34" i="19"/>
  <c r="D38" i="19"/>
  <c r="D42" i="19"/>
  <c r="D46" i="19"/>
  <c r="D50" i="19"/>
  <c r="D54" i="19"/>
  <c r="D58" i="19"/>
  <c r="D29" i="19"/>
  <c r="D33" i="19"/>
  <c r="D37" i="19"/>
  <c r="D41" i="19"/>
  <c r="D45" i="19"/>
  <c r="D49" i="19"/>
  <c r="D53" i="19"/>
  <c r="D57" i="19"/>
  <c r="D61" i="19"/>
  <c r="D32" i="19"/>
  <c r="D40" i="19"/>
  <c r="D48" i="19"/>
  <c r="D56" i="19"/>
  <c r="D63" i="19"/>
  <c r="D67" i="19"/>
  <c r="D64" i="19"/>
  <c r="D66" i="19"/>
  <c r="D28" i="19"/>
  <c r="D36" i="19"/>
  <c r="D44" i="19"/>
  <c r="D52" i="19"/>
  <c r="D60" i="19"/>
  <c r="D62" i="19"/>
  <c r="D65" i="19"/>
  <c r="AH29" i="19"/>
  <c r="AH33" i="19"/>
  <c r="AH37" i="19"/>
  <c r="AH41" i="19"/>
  <c r="AH45" i="19"/>
  <c r="AH49" i="19"/>
  <c r="AH53" i="19"/>
  <c r="AH57" i="19"/>
  <c r="AH28" i="19"/>
  <c r="AH32" i="19"/>
  <c r="AH36" i="19"/>
  <c r="AH40" i="19"/>
  <c r="AH44" i="19"/>
  <c r="AH48" i="19"/>
  <c r="AH52" i="19"/>
  <c r="AH56" i="19"/>
  <c r="AH60" i="19"/>
  <c r="AH31" i="19"/>
  <c r="AH35" i="19"/>
  <c r="AH39" i="19"/>
  <c r="AH43" i="19"/>
  <c r="AH47" i="19"/>
  <c r="AH51" i="19"/>
  <c r="AH55" i="19"/>
  <c r="AH59" i="19"/>
  <c r="AH30" i="19"/>
  <c r="AH38" i="19"/>
  <c r="AH46" i="19"/>
  <c r="AH54" i="19"/>
  <c r="AH65" i="19"/>
  <c r="AH62" i="19"/>
  <c r="AH61" i="19"/>
  <c r="AH64" i="19"/>
  <c r="AH34" i="19"/>
  <c r="AH42" i="19"/>
  <c r="AH50" i="19"/>
  <c r="AH58" i="19"/>
  <c r="AH63" i="19"/>
  <c r="AH67" i="19"/>
  <c r="AH66" i="19"/>
  <c r="AD29" i="19"/>
  <c r="AD33" i="19"/>
  <c r="AD37" i="19"/>
  <c r="AD41" i="19"/>
  <c r="AD45" i="19"/>
  <c r="AD49" i="19"/>
  <c r="AD53" i="19"/>
  <c r="AD57" i="19"/>
  <c r="AD28" i="19"/>
  <c r="AD32" i="19"/>
  <c r="AD36" i="19"/>
  <c r="AD40" i="19"/>
  <c r="AD44" i="19"/>
  <c r="AD48" i="19"/>
  <c r="AD52" i="19"/>
  <c r="AD56" i="19"/>
  <c r="AD60" i="19"/>
  <c r="AD31" i="19"/>
  <c r="AD35" i="19"/>
  <c r="AD39" i="19"/>
  <c r="AD43" i="19"/>
  <c r="AD47" i="19"/>
  <c r="AD51" i="19"/>
  <c r="AD55" i="19"/>
  <c r="AD59" i="19"/>
  <c r="AD65" i="19"/>
  <c r="AD34" i="19"/>
  <c r="AD42" i="19"/>
  <c r="AD50" i="19"/>
  <c r="AD58" i="19"/>
  <c r="AD64" i="19"/>
  <c r="AD30" i="19"/>
  <c r="AD62" i="19"/>
  <c r="AD66" i="19"/>
  <c r="AD61" i="19"/>
  <c r="AD63" i="19"/>
  <c r="AD67" i="19"/>
  <c r="AD46" i="19"/>
  <c r="AD54" i="19"/>
  <c r="AD38" i="19"/>
  <c r="Z29" i="19"/>
  <c r="Z33" i="19"/>
  <c r="Z37" i="19"/>
  <c r="Z41" i="19"/>
  <c r="Z45" i="19"/>
  <c r="Z49" i="19"/>
  <c r="Z53" i="19"/>
  <c r="Z57" i="19"/>
  <c r="Z28" i="19"/>
  <c r="Z32" i="19"/>
  <c r="Z36" i="19"/>
  <c r="Z40" i="19"/>
  <c r="Z44" i="19"/>
  <c r="Z48" i="19"/>
  <c r="Z52" i="19"/>
  <c r="Z56" i="19"/>
  <c r="Z60" i="19"/>
  <c r="Z31" i="19"/>
  <c r="Z35" i="19"/>
  <c r="Z39" i="19"/>
  <c r="Z43" i="19"/>
  <c r="Z47" i="19"/>
  <c r="Z51" i="19"/>
  <c r="Z55" i="19"/>
  <c r="Z59" i="19"/>
  <c r="Z34" i="19"/>
  <c r="Z42" i="19"/>
  <c r="Z50" i="19"/>
  <c r="Z58" i="19"/>
  <c r="Z65" i="19"/>
  <c r="Z64" i="19"/>
  <c r="Z61" i="19"/>
  <c r="Z30" i="19"/>
  <c r="Z38" i="19"/>
  <c r="Z46" i="19"/>
  <c r="Z54" i="19"/>
  <c r="Z63" i="19"/>
  <c r="Z67" i="19"/>
  <c r="Z62" i="19"/>
  <c r="Z66" i="19"/>
  <c r="V29" i="19"/>
  <c r="V33" i="19"/>
  <c r="V37" i="19"/>
  <c r="V41" i="19"/>
  <c r="V45" i="19"/>
  <c r="V49" i="19"/>
  <c r="V53" i="19"/>
  <c r="V57" i="19"/>
  <c r="V28" i="19"/>
  <c r="V32" i="19"/>
  <c r="V36" i="19"/>
  <c r="V40" i="19"/>
  <c r="V44" i="19"/>
  <c r="V48" i="19"/>
  <c r="V52" i="19"/>
  <c r="V56" i="19"/>
  <c r="V60" i="19"/>
  <c r="V31" i="19"/>
  <c r="V35" i="19"/>
  <c r="V39" i="19"/>
  <c r="V43" i="19"/>
  <c r="V47" i="19"/>
  <c r="V51" i="19"/>
  <c r="V55" i="19"/>
  <c r="V59" i="19"/>
  <c r="V61" i="19"/>
  <c r="V65" i="19"/>
  <c r="V66" i="19"/>
  <c r="V30" i="19"/>
  <c r="V38" i="19"/>
  <c r="V46" i="19"/>
  <c r="V54" i="19"/>
  <c r="V64" i="19"/>
  <c r="V58" i="19"/>
  <c r="V63" i="19"/>
  <c r="V67" i="19"/>
  <c r="V34" i="19"/>
  <c r="V42" i="19"/>
  <c r="V50" i="19"/>
  <c r="V62" i="19"/>
  <c r="R29" i="19"/>
  <c r="R33" i="19"/>
  <c r="R37" i="19"/>
  <c r="R41" i="19"/>
  <c r="R45" i="19"/>
  <c r="R49" i="19"/>
  <c r="R53" i="19"/>
  <c r="R57" i="19"/>
  <c r="R28" i="19"/>
  <c r="R32" i="19"/>
  <c r="R36" i="19"/>
  <c r="R40" i="19"/>
  <c r="R44" i="19"/>
  <c r="R48" i="19"/>
  <c r="R52" i="19"/>
  <c r="R56" i="19"/>
  <c r="R60" i="19"/>
  <c r="R31" i="19"/>
  <c r="R35" i="19"/>
  <c r="R39" i="19"/>
  <c r="R43" i="19"/>
  <c r="R47" i="19"/>
  <c r="R51" i="19"/>
  <c r="R55" i="19"/>
  <c r="R59" i="19"/>
  <c r="R30" i="19"/>
  <c r="R38" i="19"/>
  <c r="R46" i="19"/>
  <c r="R54" i="19"/>
  <c r="R65" i="19"/>
  <c r="R62" i="19"/>
  <c r="R61" i="19"/>
  <c r="R64" i="19"/>
  <c r="R66" i="19"/>
  <c r="R34" i="19"/>
  <c r="R42" i="19"/>
  <c r="R50" i="19"/>
  <c r="R58" i="19"/>
  <c r="R63" i="19"/>
  <c r="R67" i="19"/>
  <c r="G30" i="19"/>
  <c r="G34" i="19"/>
  <c r="G38" i="19"/>
  <c r="G42" i="19"/>
  <c r="G46" i="19"/>
  <c r="G50" i="19"/>
  <c r="G54" i="19"/>
  <c r="G58" i="19"/>
  <c r="G29" i="19"/>
  <c r="G33" i="19"/>
  <c r="G37" i="19"/>
  <c r="G41" i="19"/>
  <c r="G45" i="19"/>
  <c r="G49" i="19"/>
  <c r="G53" i="19"/>
  <c r="G57" i="19"/>
  <c r="G28" i="19"/>
  <c r="G32" i="19"/>
  <c r="G36" i="19"/>
  <c r="G40" i="19"/>
  <c r="G44" i="19"/>
  <c r="G48" i="19"/>
  <c r="G52" i="19"/>
  <c r="G56" i="19"/>
  <c r="G60" i="19"/>
  <c r="G61" i="19"/>
  <c r="G62" i="19"/>
  <c r="G66" i="19"/>
  <c r="G51" i="19"/>
  <c r="G67" i="19"/>
  <c r="G31" i="19"/>
  <c r="G39" i="19"/>
  <c r="G47" i="19"/>
  <c r="G55" i="19"/>
  <c r="G65" i="19"/>
  <c r="G35" i="19"/>
  <c r="G43" i="19"/>
  <c r="G64" i="19"/>
  <c r="G59" i="19"/>
  <c r="G63" i="19"/>
  <c r="AG28" i="19"/>
  <c r="AG32" i="19"/>
  <c r="AG36" i="19"/>
  <c r="AG40" i="19"/>
  <c r="AG44" i="19"/>
  <c r="AG48" i="19"/>
  <c r="AG52" i="19"/>
  <c r="AG56" i="19"/>
  <c r="AG60" i="19"/>
  <c r="AG31" i="19"/>
  <c r="AG35" i="19"/>
  <c r="AG39" i="19"/>
  <c r="AG43" i="19"/>
  <c r="AG47" i="19"/>
  <c r="AG51" i="19"/>
  <c r="AG55" i="19"/>
  <c r="AG59" i="19"/>
  <c r="AG30" i="19"/>
  <c r="AG34" i="19"/>
  <c r="AG38" i="19"/>
  <c r="AG42" i="19"/>
  <c r="AG46" i="19"/>
  <c r="AG50" i="19"/>
  <c r="AG54" i="19"/>
  <c r="AG58" i="19"/>
  <c r="AG61" i="19"/>
  <c r="AG64" i="19"/>
  <c r="AG41" i="19"/>
  <c r="AG29" i="19"/>
  <c r="AG37" i="19"/>
  <c r="AG45" i="19"/>
  <c r="AG53" i="19"/>
  <c r="AG63" i="19"/>
  <c r="AG67" i="19"/>
  <c r="AG49" i="19"/>
  <c r="AG65" i="19"/>
  <c r="AG62" i="19"/>
  <c r="AG66" i="19"/>
  <c r="AG33" i="19"/>
  <c r="AG57" i="19"/>
  <c r="AC28" i="19"/>
  <c r="AC32" i="19"/>
  <c r="AC36" i="19"/>
  <c r="AC40" i="19"/>
  <c r="AC44" i="19"/>
  <c r="AC48" i="19"/>
  <c r="AC52" i="19"/>
  <c r="AC56" i="19"/>
  <c r="AC60" i="19"/>
  <c r="AC31" i="19"/>
  <c r="AC35" i="19"/>
  <c r="AC39" i="19"/>
  <c r="AC43" i="19"/>
  <c r="AC47" i="19"/>
  <c r="AC51" i="19"/>
  <c r="AC55" i="19"/>
  <c r="AC59" i="19"/>
  <c r="AC30" i="19"/>
  <c r="AC34" i="19"/>
  <c r="AC38" i="19"/>
  <c r="AC42" i="19"/>
  <c r="AC46" i="19"/>
  <c r="AC50" i="19"/>
  <c r="AC54" i="19"/>
  <c r="AC58" i="19"/>
  <c r="AC29" i="19"/>
  <c r="AC37" i="19"/>
  <c r="AC45" i="19"/>
  <c r="AC53" i="19"/>
  <c r="AC64" i="19"/>
  <c r="AC61" i="19"/>
  <c r="AC63" i="19"/>
  <c r="AC67" i="19"/>
  <c r="AC33" i="19"/>
  <c r="AC41" i="19"/>
  <c r="AC49" i="19"/>
  <c r="AC57" i="19"/>
  <c r="AC62" i="19"/>
  <c r="AC66" i="19"/>
  <c r="AC65" i="19"/>
  <c r="Y28" i="19"/>
  <c r="Y32" i="19"/>
  <c r="Y36" i="19"/>
  <c r="Y40" i="19"/>
  <c r="Y44" i="19"/>
  <c r="Y48" i="19"/>
  <c r="Y52" i="19"/>
  <c r="Y56" i="19"/>
  <c r="Y60" i="19"/>
  <c r="Y31" i="19"/>
  <c r="Y35" i="19"/>
  <c r="Y39" i="19"/>
  <c r="Y43" i="19"/>
  <c r="Y47" i="19"/>
  <c r="Y51" i="19"/>
  <c r="Y55" i="19"/>
  <c r="Y59" i="19"/>
  <c r="Y30" i="19"/>
  <c r="Y34" i="19"/>
  <c r="Y38" i="19"/>
  <c r="Y42" i="19"/>
  <c r="Y46" i="19"/>
  <c r="Y50" i="19"/>
  <c r="Y54" i="19"/>
  <c r="Y58" i="19"/>
  <c r="Y64" i="19"/>
  <c r="Y45" i="19"/>
  <c r="Y33" i="19"/>
  <c r="Y41" i="19"/>
  <c r="Y49" i="19"/>
  <c r="Y57" i="19"/>
  <c r="Y63" i="19"/>
  <c r="Y67" i="19"/>
  <c r="Y53" i="19"/>
  <c r="Y61" i="19"/>
  <c r="Y62" i="19"/>
  <c r="Y66" i="19"/>
  <c r="Y37" i="19"/>
  <c r="Y29" i="19"/>
  <c r="Y65" i="19"/>
  <c r="U28" i="19"/>
  <c r="U32" i="19"/>
  <c r="U36" i="19"/>
  <c r="U40" i="19"/>
  <c r="U44" i="19"/>
  <c r="U48" i="19"/>
  <c r="U52" i="19"/>
  <c r="U56" i="19"/>
  <c r="U60" i="19"/>
  <c r="U31" i="19"/>
  <c r="U35" i="19"/>
  <c r="U39" i="19"/>
  <c r="U43" i="19"/>
  <c r="U47" i="19"/>
  <c r="U51" i="19"/>
  <c r="U55" i="19"/>
  <c r="U59" i="19"/>
  <c r="U30" i="19"/>
  <c r="U34" i="19"/>
  <c r="U38" i="19"/>
  <c r="U42" i="19"/>
  <c r="U46" i="19"/>
  <c r="U50" i="19"/>
  <c r="U54" i="19"/>
  <c r="U58" i="19"/>
  <c r="U33" i="19"/>
  <c r="U41" i="19"/>
  <c r="U49" i="19"/>
  <c r="U57" i="19"/>
  <c r="U64" i="19"/>
  <c r="U65" i="19"/>
  <c r="U63" i="19"/>
  <c r="U67" i="19"/>
  <c r="U29" i="19"/>
  <c r="U37" i="19"/>
  <c r="U45" i="19"/>
  <c r="U53" i="19"/>
  <c r="U62" i="19"/>
  <c r="U66" i="19"/>
  <c r="U61" i="19"/>
  <c r="Q28" i="19"/>
  <c r="Q32" i="19"/>
  <c r="Q36" i="19"/>
  <c r="Q40" i="19"/>
  <c r="Q44" i="19"/>
  <c r="Q48" i="19"/>
  <c r="Q52" i="19"/>
  <c r="Q56" i="19"/>
  <c r="Q60" i="19"/>
  <c r="Q31" i="19"/>
  <c r="Q35" i="19"/>
  <c r="Q39" i="19"/>
  <c r="Q43" i="19"/>
  <c r="Q47" i="19"/>
  <c r="Q51" i="19"/>
  <c r="Q55" i="19"/>
  <c r="Q59" i="19"/>
  <c r="Q30" i="19"/>
  <c r="Q34" i="19"/>
  <c r="Q38" i="19"/>
  <c r="Q42" i="19"/>
  <c r="Q46" i="19"/>
  <c r="Q50" i="19"/>
  <c r="Q54" i="19"/>
  <c r="Q58" i="19"/>
  <c r="Q61" i="19"/>
  <c r="Q64" i="19"/>
  <c r="Q57" i="19"/>
  <c r="Q29" i="19"/>
  <c r="Q37" i="19"/>
  <c r="Q45" i="19"/>
  <c r="Q53" i="19"/>
  <c r="Q63" i="19"/>
  <c r="Q67" i="19"/>
  <c r="Q33" i="19"/>
  <c r="Q65" i="19"/>
  <c r="Q62" i="19"/>
  <c r="Q66" i="19"/>
  <c r="Q41" i="19"/>
  <c r="Q49" i="19"/>
  <c r="F29" i="19"/>
  <c r="F33" i="19"/>
  <c r="F37" i="19"/>
  <c r="F41" i="19"/>
  <c r="F45" i="19"/>
  <c r="F49" i="19"/>
  <c r="F53" i="19"/>
  <c r="F57" i="19"/>
  <c r="F28" i="19"/>
  <c r="F32" i="19"/>
  <c r="F36" i="19"/>
  <c r="F40" i="19"/>
  <c r="F44" i="19"/>
  <c r="F48" i="19"/>
  <c r="F52" i="19"/>
  <c r="F56" i="19"/>
  <c r="F60" i="19"/>
  <c r="F31" i="19"/>
  <c r="F35" i="19"/>
  <c r="F39" i="19"/>
  <c r="F43" i="19"/>
  <c r="F47" i="19"/>
  <c r="F51" i="19"/>
  <c r="F55" i="19"/>
  <c r="F59" i="19"/>
  <c r="F34" i="19"/>
  <c r="F42" i="19"/>
  <c r="F50" i="19"/>
  <c r="F58" i="19"/>
  <c r="F65" i="19"/>
  <c r="F66" i="19"/>
  <c r="F64" i="19"/>
  <c r="F61" i="19"/>
  <c r="F30" i="19"/>
  <c r="F38" i="19"/>
  <c r="F46" i="19"/>
  <c r="F54" i="19"/>
  <c r="F63" i="19"/>
  <c r="F67" i="19"/>
  <c r="F62" i="19"/>
  <c r="AF31" i="19"/>
  <c r="AF35" i="19"/>
  <c r="AF39" i="19"/>
  <c r="AF43" i="19"/>
  <c r="AF47" i="19"/>
  <c r="AF51" i="19"/>
  <c r="AF55" i="19"/>
  <c r="AF59" i="19"/>
  <c r="AF30" i="19"/>
  <c r="AF34" i="19"/>
  <c r="AF38" i="19"/>
  <c r="AF42" i="19"/>
  <c r="AF46" i="19"/>
  <c r="AF50" i="19"/>
  <c r="AF54" i="19"/>
  <c r="AF58" i="19"/>
  <c r="AF29" i="19"/>
  <c r="AF33" i="19"/>
  <c r="AF37" i="19"/>
  <c r="AF41" i="19"/>
  <c r="AF45" i="19"/>
  <c r="AF49" i="19"/>
  <c r="AF53" i="19"/>
  <c r="AF57" i="19"/>
  <c r="AF61" i="19"/>
  <c r="AF63" i="19"/>
  <c r="AF67" i="19"/>
  <c r="AF28" i="19"/>
  <c r="AF36" i="19"/>
  <c r="AF44" i="19"/>
  <c r="AF52" i="19"/>
  <c r="AF60" i="19"/>
  <c r="AF62" i="19"/>
  <c r="AF66" i="19"/>
  <c r="AF40" i="19"/>
  <c r="AF56" i="19"/>
  <c r="AF64" i="19"/>
  <c r="AF65" i="19"/>
  <c r="AF32" i="19"/>
  <c r="AF48" i="19"/>
  <c r="AB31" i="19"/>
  <c r="AB35" i="19"/>
  <c r="AB39" i="19"/>
  <c r="AB43" i="19"/>
  <c r="AB47" i="19"/>
  <c r="AB51" i="19"/>
  <c r="AB55" i="19"/>
  <c r="AB59" i="19"/>
  <c r="AB30" i="19"/>
  <c r="AB34" i="19"/>
  <c r="AB38" i="19"/>
  <c r="AB42" i="19"/>
  <c r="AB46" i="19"/>
  <c r="AB50" i="19"/>
  <c r="AB54" i="19"/>
  <c r="AB58" i="19"/>
  <c r="AB29" i="19"/>
  <c r="AB33" i="19"/>
  <c r="AB37" i="19"/>
  <c r="AB41" i="19"/>
  <c r="AB45" i="19"/>
  <c r="AB49" i="19"/>
  <c r="AB53" i="19"/>
  <c r="AB57" i="19"/>
  <c r="AB61" i="19"/>
  <c r="AB28" i="19"/>
  <c r="AB36" i="19"/>
  <c r="AB44" i="19"/>
  <c r="AB52" i="19"/>
  <c r="AB60" i="19"/>
  <c r="AB63" i="19"/>
  <c r="AB67" i="19"/>
  <c r="AB62" i="19"/>
  <c r="AB66" i="19"/>
  <c r="AB32" i="19"/>
  <c r="AB40" i="19"/>
  <c r="AB48" i="19"/>
  <c r="AB56" i="19"/>
  <c r="AB65" i="19"/>
  <c r="AB64" i="19"/>
  <c r="X31" i="19"/>
  <c r="X35" i="19"/>
  <c r="X39" i="19"/>
  <c r="X43" i="19"/>
  <c r="X47" i="19"/>
  <c r="X51" i="19"/>
  <c r="X55" i="19"/>
  <c r="X59" i="19"/>
  <c r="X30" i="19"/>
  <c r="X34" i="19"/>
  <c r="X38" i="19"/>
  <c r="X42" i="19"/>
  <c r="X46" i="19"/>
  <c r="X50" i="19"/>
  <c r="X54" i="19"/>
  <c r="X58" i="19"/>
  <c r="X29" i="19"/>
  <c r="X33" i="19"/>
  <c r="X37" i="19"/>
  <c r="X41" i="19"/>
  <c r="X45" i="19"/>
  <c r="X49" i="19"/>
  <c r="X53" i="19"/>
  <c r="X57" i="19"/>
  <c r="X61" i="19"/>
  <c r="X63" i="19"/>
  <c r="X67" i="19"/>
  <c r="X32" i="19"/>
  <c r="X40" i="19"/>
  <c r="X48" i="19"/>
  <c r="X56" i="19"/>
  <c r="X62" i="19"/>
  <c r="X66" i="19"/>
  <c r="X36" i="19"/>
  <c r="X65" i="19"/>
  <c r="X60" i="19"/>
  <c r="X28" i="19"/>
  <c r="X44" i="19"/>
  <c r="X52" i="19"/>
  <c r="X64" i="19"/>
  <c r="T31" i="19"/>
  <c r="T35" i="19"/>
  <c r="T39" i="19"/>
  <c r="T43" i="19"/>
  <c r="T47" i="19"/>
  <c r="T51" i="19"/>
  <c r="T55" i="19"/>
  <c r="T59" i="19"/>
  <c r="T30" i="19"/>
  <c r="T34" i="19"/>
  <c r="T38" i="19"/>
  <c r="T42" i="19"/>
  <c r="T46" i="19"/>
  <c r="T50" i="19"/>
  <c r="T54" i="19"/>
  <c r="T58" i="19"/>
  <c r="T29" i="19"/>
  <c r="T33" i="19"/>
  <c r="T37" i="19"/>
  <c r="T41" i="19"/>
  <c r="T45" i="19"/>
  <c r="T49" i="19"/>
  <c r="T53" i="19"/>
  <c r="T57" i="19"/>
  <c r="T61" i="19"/>
  <c r="T32" i="19"/>
  <c r="T40" i="19"/>
  <c r="T48" i="19"/>
  <c r="T56" i="19"/>
  <c r="T63" i="19"/>
  <c r="T67" i="19"/>
  <c r="T64" i="19"/>
  <c r="T62" i="19"/>
  <c r="T66" i="19"/>
  <c r="T28" i="19"/>
  <c r="T36" i="19"/>
  <c r="T44" i="19"/>
  <c r="T52" i="19"/>
  <c r="T60" i="19"/>
  <c r="T65" i="19"/>
  <c r="P31" i="19"/>
  <c r="P35" i="19"/>
  <c r="P39" i="19"/>
  <c r="P43" i="19"/>
  <c r="P47" i="19"/>
  <c r="P51" i="19"/>
  <c r="P55" i="19"/>
  <c r="P59" i="19"/>
  <c r="P30" i="19"/>
  <c r="P34" i="19"/>
  <c r="P38" i="19"/>
  <c r="P42" i="19"/>
  <c r="P46" i="19"/>
  <c r="P50" i="19"/>
  <c r="P54" i="19"/>
  <c r="P58" i="19"/>
  <c r="P29" i="19"/>
  <c r="P33" i="19"/>
  <c r="P37" i="19"/>
  <c r="P41" i="19"/>
  <c r="P45" i="19"/>
  <c r="P49" i="19"/>
  <c r="P53" i="19"/>
  <c r="P57" i="19"/>
  <c r="P61" i="19"/>
  <c r="P63" i="19"/>
  <c r="P67" i="19"/>
  <c r="P48" i="19"/>
  <c r="P28" i="19"/>
  <c r="P36" i="19"/>
  <c r="P44" i="19"/>
  <c r="P52" i="19"/>
  <c r="P60" i="19"/>
  <c r="P62" i="19"/>
  <c r="P66" i="19"/>
  <c r="P64" i="19"/>
  <c r="P65" i="19"/>
  <c r="P32" i="19"/>
  <c r="P56" i="19"/>
  <c r="P40" i="19"/>
  <c r="C135" i="3"/>
  <c r="C224" i="3"/>
  <c r="C126" i="3" s="1"/>
  <c r="C173" i="19"/>
  <c r="Y101" i="64" l="1"/>
  <c r="Y117" i="64" s="1"/>
  <c r="Y168" i="64" s="1"/>
  <c r="W414" i="47"/>
  <c r="W432" i="47"/>
  <c r="X355" i="47"/>
  <c r="X349" i="47"/>
  <c r="AB77" i="47"/>
  <c r="Z226" i="63"/>
  <c r="Z44" i="67" s="1"/>
  <c r="Y307" i="63"/>
  <c r="Z287" i="63"/>
  <c r="Z133" i="64"/>
  <c r="AW211" i="19"/>
  <c r="BC206" i="19"/>
  <c r="AR209" i="19"/>
  <c r="AR205" i="19"/>
  <c r="AV182" i="19"/>
  <c r="BA214" i="19"/>
  <c r="AZ197" i="19"/>
  <c r="AT195" i="19"/>
  <c r="AV193" i="19"/>
  <c r="AR189" i="19"/>
  <c r="BB207" i="19"/>
  <c r="BC196" i="19"/>
  <c r="BB191" i="19"/>
  <c r="BA182" i="19"/>
  <c r="AT199" i="19"/>
  <c r="AX215" i="19"/>
  <c r="AZ213" i="19"/>
  <c r="AS212" i="19"/>
  <c r="AU209" i="19"/>
  <c r="AW207" i="19"/>
  <c r="AY205" i="19"/>
  <c r="AR204" i="19"/>
  <c r="AZ196" i="19"/>
  <c r="AS195" i="19"/>
  <c r="AU193" i="19"/>
  <c r="BB208" i="19"/>
  <c r="BA203" i="19"/>
  <c r="BA191" i="19"/>
  <c r="BA196" i="19"/>
  <c r="AV207" i="19"/>
  <c r="AV191" i="19"/>
  <c r="AZ212" i="19"/>
  <c r="AS211" i="19"/>
  <c r="AW208" i="19"/>
  <c r="AX203" i="19"/>
  <c r="AZ201" i="19"/>
  <c r="AR182" i="19"/>
  <c r="BC212" i="19"/>
  <c r="AV197" i="19"/>
  <c r="AR193" i="19"/>
  <c r="AZ176" i="19"/>
  <c r="BB212" i="19"/>
  <c r="BC200" i="19"/>
  <c r="BB195" i="19"/>
  <c r="AV201" i="19"/>
  <c r="AT215" i="19"/>
  <c r="AV213" i="19"/>
  <c r="AX211" i="19"/>
  <c r="AZ208" i="19"/>
  <c r="AS207" i="19"/>
  <c r="AU205" i="19"/>
  <c r="AW203" i="19"/>
  <c r="AY201" i="19"/>
  <c r="AR200" i="19"/>
  <c r="AV196" i="19"/>
  <c r="BA207" i="19"/>
  <c r="BC201" i="19"/>
  <c r="BB196" i="19"/>
  <c r="BA200" i="19"/>
  <c r="BA206" i="19"/>
  <c r="AV204" i="19"/>
  <c r="AV200" i="19"/>
  <c r="AV192" i="19"/>
  <c r="AW178" i="19"/>
  <c r="AV215" i="19"/>
  <c r="AX213" i="19"/>
  <c r="AV212" i="19"/>
  <c r="BB209" i="19"/>
  <c r="BC202" i="19"/>
  <c r="AZ209" i="19"/>
  <c r="AX207" i="19"/>
  <c r="AZ205" i="19"/>
  <c r="AT203" i="19"/>
  <c r="BC190" i="19"/>
  <c r="AW176" i="19"/>
  <c r="BB211" i="19"/>
  <c r="AR197" i="19"/>
  <c r="AX191" i="19"/>
  <c r="AZ189" i="19"/>
  <c r="AR176" i="19"/>
  <c r="BA211" i="19"/>
  <c r="BC204" i="19"/>
  <c r="BB199" i="19"/>
  <c r="BC188" i="19"/>
  <c r="AR201" i="19"/>
  <c r="AR213" i="19"/>
  <c r="AT211" i="19"/>
  <c r="AV208" i="19"/>
  <c r="AZ204" i="19"/>
  <c r="AS203" i="19"/>
  <c r="AU201" i="19"/>
  <c r="AW199" i="19"/>
  <c r="AY197" i="19"/>
  <c r="AR196" i="19"/>
  <c r="AW191" i="19"/>
  <c r="AY189" i="19"/>
  <c r="BB213" i="19"/>
  <c r="BB200" i="19"/>
  <c r="BA195" i="19"/>
  <c r="BB188" i="19"/>
  <c r="BB201" i="19"/>
  <c r="BA198" i="19"/>
  <c r="BA194" i="19"/>
  <c r="BC205" i="19"/>
  <c r="AR212" i="19"/>
  <c r="BA208" i="19"/>
  <c r="AV209" i="19"/>
  <c r="AT207" i="19"/>
  <c r="AV205" i="19"/>
  <c r="BB176" i="19"/>
  <c r="BB215" i="19"/>
  <c r="BC184" i="19"/>
  <c r="AX195" i="19"/>
  <c r="AZ193" i="19"/>
  <c r="AT191" i="19"/>
  <c r="AV189" i="19"/>
  <c r="BA215" i="19"/>
  <c r="BC208" i="19"/>
  <c r="BB203" i="19"/>
  <c r="BC192" i="19"/>
  <c r="BB184" i="19"/>
  <c r="AX199" i="19"/>
  <c r="AW212" i="19"/>
  <c r="AR208" i="19"/>
  <c r="AU197" i="19"/>
  <c r="AU189" i="19"/>
  <c r="BB192" i="19"/>
  <c r="AW214" i="19"/>
  <c r="AT209" i="19"/>
  <c r="AZ203" i="19"/>
  <c r="AR199" i="19"/>
  <c r="AR195" i="19"/>
  <c r="AW190" i="19"/>
  <c r="BB214" i="19"/>
  <c r="AU215" i="19"/>
  <c r="AR214" i="19"/>
  <c r="AU211" i="19"/>
  <c r="AU207" i="19"/>
  <c r="AW205" i="19"/>
  <c r="AZ202" i="19"/>
  <c r="AS201" i="19"/>
  <c r="AV198" i="19"/>
  <c r="AY195" i="19"/>
  <c r="AR194" i="19"/>
  <c r="AW189" i="19"/>
  <c r="AT177" i="19"/>
  <c r="BC207" i="19"/>
  <c r="BA205" i="19"/>
  <c r="BB202" i="19"/>
  <c r="BC199" i="19"/>
  <c r="BA197" i="19"/>
  <c r="BB194" i="19"/>
  <c r="BC191" i="19"/>
  <c r="BA189" i="19"/>
  <c r="AZ215" i="19"/>
  <c r="AS214" i="19"/>
  <c r="AV211" i="19"/>
  <c r="AZ207" i="19"/>
  <c r="AS206" i="19"/>
  <c r="AX201" i="19"/>
  <c r="AT197" i="19"/>
  <c r="AW194" i="19"/>
  <c r="AZ191" i="19"/>
  <c r="AS190" i="19"/>
  <c r="AZ182" i="19"/>
  <c r="BC215" i="19"/>
  <c r="BB186" i="19"/>
  <c r="AV214" i="19"/>
  <c r="AY207" i="19"/>
  <c r="AY191" i="19"/>
  <c r="AR179" i="19"/>
  <c r="AW215" i="19"/>
  <c r="AY213" i="19"/>
  <c r="AW182" i="19"/>
  <c r="AW195" i="19"/>
  <c r="BA212" i="19"/>
  <c r="BC176" i="19"/>
  <c r="BA204" i="19"/>
  <c r="BA192" i="19"/>
  <c r="BC189" i="19"/>
  <c r="BA202" i="19"/>
  <c r="AZ211" i="19"/>
  <c r="AR203" i="19"/>
  <c r="AS198" i="19"/>
  <c r="AX193" i="19"/>
  <c r="AX189" i="19"/>
  <c r="BC211" i="19"/>
  <c r="AU191" i="19"/>
  <c r="AT181" i="19"/>
  <c r="AV203" i="19"/>
  <c r="AV199" i="19"/>
  <c r="AY215" i="19"/>
  <c r="AW213" i="19"/>
  <c r="AW209" i="19"/>
  <c r="AZ206" i="19"/>
  <c r="AS205" i="19"/>
  <c r="AY199" i="19"/>
  <c r="AR198" i="19"/>
  <c r="AU195" i="19"/>
  <c r="AW193" i="19"/>
  <c r="AZ190" i="19"/>
  <c r="AW204" i="19"/>
  <c r="AW200" i="19"/>
  <c r="AW196" i="19"/>
  <c r="AZ200" i="19"/>
  <c r="AY193" i="19"/>
  <c r="BB204" i="19"/>
  <c r="BA190" i="19"/>
  <c r="AU183" i="19"/>
  <c r="AR211" i="19"/>
  <c r="AW206" i="19"/>
  <c r="AS202" i="19"/>
  <c r="AX197" i="19"/>
  <c r="AT193" i="19"/>
  <c r="AZ187" i="19"/>
  <c r="AS213" i="19"/>
  <c r="AS209" i="19"/>
  <c r="AY203" i="19"/>
  <c r="AR202" i="19"/>
  <c r="AU199" i="19"/>
  <c r="AW197" i="19"/>
  <c r="AZ194" i="19"/>
  <c r="AS193" i="19"/>
  <c r="AV190" i="19"/>
  <c r="AR186" i="19"/>
  <c r="BA209" i="19"/>
  <c r="BB206" i="19"/>
  <c r="BC203" i="19"/>
  <c r="BA201" i="19"/>
  <c r="BB198" i="19"/>
  <c r="BC195" i="19"/>
  <c r="BA193" i="19"/>
  <c r="BB190" i="19"/>
  <c r="AR215" i="19"/>
  <c r="AT213" i="19"/>
  <c r="AX209" i="19"/>
  <c r="AR207" i="19"/>
  <c r="AT205" i="19"/>
  <c r="AW202" i="19"/>
  <c r="AZ199" i="19"/>
  <c r="AW198" i="19"/>
  <c r="AS194" i="19"/>
  <c r="AR191" i="19"/>
  <c r="AV179" i="19"/>
  <c r="BA213" i="19"/>
  <c r="AV202" i="19"/>
  <c r="AS189" i="19"/>
  <c r="AR216" i="19"/>
  <c r="AS215" i="19"/>
  <c r="AS182" i="19"/>
  <c r="AU213" i="19"/>
  <c r="BC209" i="19"/>
  <c r="BC197" i="19"/>
  <c r="AS199" i="19"/>
  <c r="AS191" i="19"/>
  <c r="BA199" i="19"/>
  <c r="BC187" i="19"/>
  <c r="AS210" i="19"/>
  <c r="AX205" i="19"/>
  <c r="AT201" i="19"/>
  <c r="AZ195" i="19"/>
  <c r="AX177" i="19"/>
  <c r="AZ214" i="19"/>
  <c r="AV206" i="19"/>
  <c r="BB177" i="19"/>
  <c r="AV195" i="19"/>
  <c r="AT189" i="19"/>
  <c r="AY211" i="19"/>
  <c r="AR206" i="19"/>
  <c r="AU203" i="19"/>
  <c r="AW201" i="19"/>
  <c r="AZ198" i="19"/>
  <c r="AS197" i="19"/>
  <c r="AV194" i="19"/>
  <c r="AR190" i="19"/>
  <c r="BB182" i="19"/>
  <c r="AS208" i="19"/>
  <c r="AS204" i="19"/>
  <c r="AS200" i="19"/>
  <c r="AS196" i="19"/>
  <c r="AS192" i="19"/>
  <c r="AS188" i="19"/>
  <c r="AW184" i="19"/>
  <c r="AS176" i="19"/>
  <c r="AW192" i="19"/>
  <c r="BA184" i="19"/>
  <c r="AU176" i="19"/>
  <c r="AY214" i="19"/>
  <c r="AY208" i="19"/>
  <c r="AY204" i="19"/>
  <c r="AY200" i="19"/>
  <c r="AY196" i="19"/>
  <c r="AY192" i="19"/>
  <c r="AY188" i="19"/>
  <c r="AY182" i="19"/>
  <c r="AX212" i="19"/>
  <c r="AX206" i="19"/>
  <c r="AX202" i="19"/>
  <c r="AX198" i="19"/>
  <c r="AX194" i="19"/>
  <c r="AX190" i="19"/>
  <c r="AX184" i="19"/>
  <c r="AX180" i="19"/>
  <c r="AY209" i="19"/>
  <c r="AZ192" i="19"/>
  <c r="AZ188" i="19"/>
  <c r="AR188" i="19"/>
  <c r="AZ184" i="19"/>
  <c r="AR184" i="19"/>
  <c r="BC214" i="19"/>
  <c r="BC198" i="19"/>
  <c r="BC194" i="19"/>
  <c r="BA188" i="19"/>
  <c r="BA176" i="19"/>
  <c r="AX176" i="19"/>
  <c r="AU214" i="19"/>
  <c r="AU208" i="19"/>
  <c r="AU204" i="19"/>
  <c r="AU200" i="19"/>
  <c r="AU196" i="19"/>
  <c r="AU192" i="19"/>
  <c r="AU188" i="19"/>
  <c r="AU182" i="19"/>
  <c r="AT212" i="19"/>
  <c r="AT206" i="19"/>
  <c r="AT202" i="19"/>
  <c r="AT198" i="19"/>
  <c r="AT194" i="19"/>
  <c r="AT190" i="19"/>
  <c r="AT184" i="19"/>
  <c r="AW188" i="19"/>
  <c r="BC193" i="19"/>
  <c r="BC213" i="19"/>
  <c r="BC182" i="19"/>
  <c r="BB193" i="19"/>
  <c r="AT176" i="19"/>
  <c r="AY216" i="19"/>
  <c r="AY212" i="19"/>
  <c r="AY206" i="19"/>
  <c r="AY202" i="19"/>
  <c r="AY198" i="19"/>
  <c r="AY194" i="19"/>
  <c r="AY190" i="19"/>
  <c r="AY184" i="19"/>
  <c r="AX214" i="19"/>
  <c r="AX208" i="19"/>
  <c r="AX204" i="19"/>
  <c r="AX200" i="19"/>
  <c r="AX196" i="19"/>
  <c r="AX192" i="19"/>
  <c r="AX188" i="19"/>
  <c r="AX182" i="19"/>
  <c r="AT178" i="19"/>
  <c r="AS184" i="19"/>
  <c r="AR192" i="19"/>
  <c r="AV188" i="19"/>
  <c r="AV184" i="19"/>
  <c r="AV176" i="19"/>
  <c r="BB205" i="19"/>
  <c r="BB197" i="19"/>
  <c r="BB189" i="19"/>
  <c r="AY176" i="19"/>
  <c r="AU216" i="19"/>
  <c r="AU212" i="19"/>
  <c r="AU206" i="19"/>
  <c r="AU202" i="19"/>
  <c r="AU198" i="19"/>
  <c r="AU194" i="19"/>
  <c r="AU190" i="19"/>
  <c r="AU184" i="19"/>
  <c r="AT214" i="19"/>
  <c r="AT208" i="19"/>
  <c r="AT204" i="19"/>
  <c r="AT200" i="19"/>
  <c r="AT196" i="19"/>
  <c r="AT192" i="19"/>
  <c r="AT182" i="19"/>
  <c r="AX178" i="19"/>
  <c r="AT188" i="19"/>
  <c r="AV216" i="19"/>
  <c r="BB187" i="19"/>
  <c r="AZ210" i="19"/>
  <c r="AV183" i="19"/>
  <c r="BB179" i="19"/>
  <c r="AX185" i="19"/>
  <c r="AT186" i="19"/>
  <c r="AX210" i="19"/>
  <c r="AT179" i="19"/>
  <c r="BC185" i="19"/>
  <c r="AW180" i="19"/>
  <c r="AV180" i="19"/>
  <c r="AV186" i="19"/>
  <c r="AY185" i="19"/>
  <c r="AR181" i="19"/>
  <c r="AS187" i="19"/>
  <c r="AT183" i="19"/>
  <c r="AS185" i="19"/>
  <c r="BA187" i="19"/>
  <c r="BB181" i="19"/>
  <c r="AX187" i="19"/>
  <c r="BC178" i="19"/>
  <c r="AW181" i="19"/>
  <c r="AV185" i="19"/>
  <c r="BA216" i="19"/>
  <c r="AU187" i="19"/>
  <c r="AS183" i="19"/>
  <c r="AS180" i="19"/>
  <c r="BC210" i="19"/>
  <c r="AS216" i="19"/>
  <c r="BC180" i="19"/>
  <c r="BB178" i="19"/>
  <c r="AR210" i="19"/>
  <c r="AT185" i="19"/>
  <c r="AU210" i="19"/>
  <c r="AT216" i="19"/>
  <c r="AT180" i="19"/>
  <c r="AT210" i="19"/>
  <c r="AU180" i="19"/>
  <c r="BA179" i="19"/>
  <c r="AR183" i="19"/>
  <c r="BC216" i="19"/>
  <c r="AU179" i="19"/>
  <c r="AY181" i="19"/>
  <c r="AW177" i="19"/>
  <c r="AW210" i="19"/>
  <c r="AV181" i="19"/>
  <c r="AS177" i="19"/>
  <c r="BA180" i="19"/>
  <c r="AZ179" i="19"/>
  <c r="AW186" i="19"/>
  <c r="AZ177" i="19"/>
  <c r="BA210" i="19"/>
  <c r="AS181" i="19"/>
  <c r="AS178" i="19"/>
  <c r="AU181" i="19"/>
  <c r="AW179" i="19"/>
  <c r="AR180" i="19"/>
  <c r="AZ181" i="19"/>
  <c r="AS179" i="19"/>
  <c r="BA183" i="19"/>
  <c r="BB183" i="19"/>
  <c r="BB210" i="19"/>
  <c r="AZ186" i="19"/>
  <c r="BA185" i="19"/>
  <c r="AU185" i="19"/>
  <c r="AW183" i="19"/>
  <c r="AZ185" i="19"/>
  <c r="AT187" i="19"/>
  <c r="AV178" i="19"/>
  <c r="BA181" i="19"/>
  <c r="AZ183" i="19"/>
  <c r="AR178" i="19"/>
  <c r="BA178" i="19"/>
  <c r="AS186" i="19"/>
  <c r="AU177" i="19"/>
  <c r="AX181" i="19"/>
  <c r="AY177" i="19"/>
  <c r="AY186" i="19"/>
  <c r="AY210" i="19"/>
  <c r="AX216" i="19"/>
  <c r="AU178" i="19"/>
  <c r="BB180" i="19"/>
  <c r="AW185" i="19"/>
  <c r="BC186" i="19"/>
  <c r="AR185" i="19"/>
  <c r="BB216" i="19"/>
  <c r="BC181" i="19"/>
  <c r="AW187" i="19"/>
  <c r="AZ178" i="19"/>
  <c r="BA186" i="19"/>
  <c r="BB185" i="19"/>
  <c r="BA177" i="19"/>
  <c r="AX179" i="19"/>
  <c r="BC179" i="19"/>
  <c r="AY179" i="19"/>
  <c r="AV187" i="19"/>
  <c r="AZ180" i="19"/>
  <c r="AY180" i="19"/>
  <c r="AV210" i="19"/>
  <c r="AY183" i="19"/>
  <c r="AY187" i="19"/>
  <c r="AZ216" i="19"/>
  <c r="AR187" i="19"/>
  <c r="AU186" i="19"/>
  <c r="AX186" i="19"/>
  <c r="BC177" i="19"/>
  <c r="AR177" i="19"/>
  <c r="BC183" i="19"/>
  <c r="AY178" i="19"/>
  <c r="AX183" i="19"/>
  <c r="AW216" i="19"/>
  <c r="AV177" i="19"/>
  <c r="AQ186" i="19"/>
  <c r="AI209" i="19"/>
  <c r="AK211" i="19"/>
  <c r="AM208" i="19"/>
  <c r="AH197" i="19"/>
  <c r="AJ195" i="19"/>
  <c r="AQ192" i="19"/>
  <c r="AM214" i="19"/>
  <c r="AM212" i="19"/>
  <c r="AO209" i="19"/>
  <c r="AL200" i="19"/>
  <c r="AN198" i="19"/>
  <c r="AH196" i="19"/>
  <c r="AP192" i="19"/>
  <c r="AI191" i="19"/>
  <c r="AK189" i="19"/>
  <c r="AQ199" i="19"/>
  <c r="AM215" i="19"/>
  <c r="AO213" i="19"/>
  <c r="AM211" i="19"/>
  <c r="AP207" i="19"/>
  <c r="AL203" i="19"/>
  <c r="AN201" i="19"/>
  <c r="AH199" i="19"/>
  <c r="AJ197" i="19"/>
  <c r="AM194" i="19"/>
  <c r="AP191" i="19"/>
  <c r="AQ182" i="19"/>
  <c r="AP211" i="19"/>
  <c r="AO207" i="19"/>
  <c r="AH206" i="19"/>
  <c r="AO203" i="19"/>
  <c r="AH198" i="19"/>
  <c r="AO195" i="19"/>
  <c r="AI189" i="19"/>
  <c r="AK215" i="19"/>
  <c r="AQ213" i="19"/>
  <c r="AN207" i="19"/>
  <c r="AJ198" i="19"/>
  <c r="AJ211" i="19"/>
  <c r="AJ202" i="19"/>
  <c r="AI204" i="19"/>
  <c r="AH194" i="19"/>
  <c r="AJ188" i="19"/>
  <c r="AI205" i="19"/>
  <c r="AN200" i="19"/>
  <c r="AN195" i="19"/>
  <c r="AL204" i="19"/>
  <c r="AI203" i="19"/>
  <c r="AP196" i="19"/>
  <c r="AM195" i="19"/>
  <c r="AQ214" i="19"/>
  <c r="AJ206" i="19"/>
  <c r="AM200" i="19"/>
  <c r="AH192" i="19"/>
  <c r="AM197" i="19"/>
  <c r="AO199" i="19"/>
  <c r="AQ196" i="19"/>
  <c r="AQ206" i="19"/>
  <c r="AK199" i="19"/>
  <c r="AN192" i="19"/>
  <c r="AL176" i="19"/>
  <c r="AO176" i="19"/>
  <c r="AM190" i="19"/>
  <c r="AN189" i="19"/>
  <c r="AK179" i="19"/>
  <c r="AL188" i="19"/>
  <c r="AL184" i="19"/>
  <c r="AH182" i="19"/>
  <c r="AO214" i="19"/>
  <c r="AK210" i="19"/>
  <c r="AK206" i="19"/>
  <c r="AK202" i="19"/>
  <c r="AK198" i="19"/>
  <c r="AK194" i="19"/>
  <c r="AK190" i="19"/>
  <c r="AK184" i="19"/>
  <c r="AH215" i="19"/>
  <c r="AJ177" i="19"/>
  <c r="AI213" i="19"/>
  <c r="AI208" i="19"/>
  <c r="AN203" i="19"/>
  <c r="AP193" i="19"/>
  <c r="AL189" i="19"/>
  <c r="AQ188" i="19"/>
  <c r="AJ213" i="19"/>
  <c r="AI212" i="19"/>
  <c r="AK209" i="19"/>
  <c r="AM207" i="19"/>
  <c r="AO205" i="19"/>
  <c r="AO201" i="19"/>
  <c r="AJ194" i="19"/>
  <c r="AL192" i="19"/>
  <c r="AQ191" i="19"/>
  <c r="AI215" i="19"/>
  <c r="AK213" i="19"/>
  <c r="AI211" i="19"/>
  <c r="AL207" i="19"/>
  <c r="AN205" i="19"/>
  <c r="AH203" i="19"/>
  <c r="AJ201" i="19"/>
  <c r="AM198" i="19"/>
  <c r="AP195" i="19"/>
  <c r="AL191" i="19"/>
  <c r="AQ215" i="19"/>
  <c r="AH211" i="19"/>
  <c r="AK207" i="19"/>
  <c r="AM205" i="19"/>
  <c r="AK195" i="19"/>
  <c r="AN188" i="19"/>
  <c r="AM176" i="19"/>
  <c r="AQ205" i="19"/>
  <c r="AI182" i="19"/>
  <c r="AP209" i="19"/>
  <c r="AQ209" i="19"/>
  <c r="AQ193" i="19"/>
  <c r="AO211" i="19"/>
  <c r="AJ215" i="19"/>
  <c r="AH209" i="19"/>
  <c r="AJ199" i="19"/>
  <c r="AN179" i="19"/>
  <c r="AQ195" i="19"/>
  <c r="AK203" i="19"/>
  <c r="AJ214" i="19"/>
  <c r="AQ198" i="19"/>
  <c r="AP194" i="19"/>
  <c r="AN194" i="19"/>
  <c r="AN213" i="19"/>
  <c r="AL209" i="19"/>
  <c r="AH205" i="19"/>
  <c r="AJ203" i="19"/>
  <c r="AI196" i="19"/>
  <c r="AQ208" i="19"/>
  <c r="AK177" i="19"/>
  <c r="AL213" i="19"/>
  <c r="AP208" i="19"/>
  <c r="AI207" i="19"/>
  <c r="AK205" i="19"/>
  <c r="AK201" i="19"/>
  <c r="AM199" i="19"/>
  <c r="AO197" i="19"/>
  <c r="AO193" i="19"/>
  <c r="AJ190" i="19"/>
  <c r="AQ212" i="19"/>
  <c r="AQ184" i="19"/>
  <c r="AN214" i="19"/>
  <c r="AL212" i="19"/>
  <c r="AN209" i="19"/>
  <c r="AH207" i="19"/>
  <c r="AJ205" i="19"/>
  <c r="AM202" i="19"/>
  <c r="AP199" i="19"/>
  <c r="AI198" i="19"/>
  <c r="AL195" i="19"/>
  <c r="AN193" i="19"/>
  <c r="AH191" i="19"/>
  <c r="AJ189" i="19"/>
  <c r="AM182" i="19"/>
  <c r="AQ211" i="19"/>
  <c r="AP215" i="19"/>
  <c r="AN208" i="19"/>
  <c r="AP202" i="19"/>
  <c r="AI197" i="19"/>
  <c r="AQ201" i="19"/>
  <c r="AQ176" i="19"/>
  <c r="AI194" i="19"/>
  <c r="AP201" i="19"/>
  <c r="AI206" i="19"/>
  <c r="AL214" i="19"/>
  <c r="AH200" i="19"/>
  <c r="AH213" i="19"/>
  <c r="AQ194" i="19"/>
  <c r="AH202" i="19"/>
  <c r="AP190" i="19"/>
  <c r="AN196" i="19"/>
  <c r="AM209" i="19"/>
  <c r="AL197" i="19"/>
  <c r="AI193" i="19"/>
  <c r="AP204" i="19"/>
  <c r="AN202" i="19"/>
  <c r="AL196" i="19"/>
  <c r="AI195" i="19"/>
  <c r="AM184" i="19"/>
  <c r="AH208" i="19"/>
  <c r="AQ202" i="19"/>
  <c r="AP198" i="19"/>
  <c r="AI184" i="19"/>
  <c r="AP206" i="19"/>
  <c r="AI176" i="19"/>
  <c r="AN184" i="19"/>
  <c r="AL206" i="19"/>
  <c r="AQ187" i="19"/>
  <c r="AJ187" i="19"/>
  <c r="AJ176" i="19"/>
  <c r="AQ204" i="19"/>
  <c r="AN215" i="19"/>
  <c r="AI201" i="19"/>
  <c r="AP197" i="19"/>
  <c r="AN176" i="19"/>
  <c r="AH189" i="19"/>
  <c r="AQ189" i="19"/>
  <c r="AH185" i="19"/>
  <c r="AH186" i="19"/>
  <c r="AP182" i="19"/>
  <c r="AL178" i="19"/>
  <c r="AO212" i="19"/>
  <c r="AK208" i="19"/>
  <c r="AK204" i="19"/>
  <c r="AK200" i="19"/>
  <c r="AK196" i="19"/>
  <c r="AK192" i="19"/>
  <c r="AK188" i="19"/>
  <c r="AK182" i="19"/>
  <c r="AL211" i="19"/>
  <c r="AL215" i="19"/>
  <c r="AI199" i="19"/>
  <c r="AO189" i="19"/>
  <c r="AP203" i="19"/>
  <c r="AH195" i="19"/>
  <c r="AJ208" i="19"/>
  <c r="AJ200" i="19"/>
  <c r="AJ192" i="19"/>
  <c r="AQ197" i="19"/>
  <c r="AI190" i="19"/>
  <c r="AM192" i="19"/>
  <c r="AK191" i="19"/>
  <c r="AJ212" i="19"/>
  <c r="AN211" i="19"/>
  <c r="AN199" i="19"/>
  <c r="AL190" i="19"/>
  <c r="AL202" i="19"/>
  <c r="AP205" i="19"/>
  <c r="AP214" i="19"/>
  <c r="AM193" i="19"/>
  <c r="AP188" i="19"/>
  <c r="AL182" i="19"/>
  <c r="AK212" i="19"/>
  <c r="AO202" i="19"/>
  <c r="AO194" i="19"/>
  <c r="AO184" i="19"/>
  <c r="AO208" i="19"/>
  <c r="AO192" i="19"/>
  <c r="AO215" i="19"/>
  <c r="AM188" i="19"/>
  <c r="AN206" i="19"/>
  <c r="AK197" i="19"/>
  <c r="AH212" i="19"/>
  <c r="AI202" i="19"/>
  <c r="AJ193" i="19"/>
  <c r="AM189" i="19"/>
  <c r="AH201" i="19"/>
  <c r="AH204" i="19"/>
  <c r="AJ207" i="19"/>
  <c r="AH193" i="19"/>
  <c r="AP212" i="19"/>
  <c r="AH190" i="19"/>
  <c r="AI192" i="19"/>
  <c r="AL205" i="19"/>
  <c r="AO191" i="19"/>
  <c r="AH180" i="19"/>
  <c r="AO200" i="19"/>
  <c r="AH214" i="19"/>
  <c r="AM204" i="19"/>
  <c r="AK193" i="19"/>
  <c r="AQ207" i="19"/>
  <c r="AJ209" i="19"/>
  <c r="AL199" i="19"/>
  <c r="AQ190" i="19"/>
  <c r="AN212" i="19"/>
  <c r="AM213" i="19"/>
  <c r="AP213" i="19"/>
  <c r="AM201" i="19"/>
  <c r="AN204" i="19"/>
  <c r="AJ191" i="19"/>
  <c r="AJ204" i="19"/>
  <c r="AQ203" i="19"/>
  <c r="AJ184" i="19"/>
  <c r="AI200" i="19"/>
  <c r="AP176" i="19"/>
  <c r="AN190" i="19"/>
  <c r="AP189" i="19"/>
  <c r="AP179" i="19"/>
  <c r="AP184" i="19"/>
  <c r="AH178" i="19"/>
  <c r="AO206" i="19"/>
  <c r="AO198" i="19"/>
  <c r="AO190" i="19"/>
  <c r="AQ200" i="19"/>
  <c r="AP200" i="19"/>
  <c r="AM191" i="19"/>
  <c r="AM206" i="19"/>
  <c r="AN197" i="19"/>
  <c r="AI214" i="19"/>
  <c r="AL194" i="19"/>
  <c r="AN191" i="19"/>
  <c r="AL193" i="19"/>
  <c r="AL208" i="19"/>
  <c r="AM196" i="19"/>
  <c r="AM203" i="19"/>
  <c r="AL201" i="19"/>
  <c r="AJ182" i="19"/>
  <c r="AJ196" i="19"/>
  <c r="AN182" i="19"/>
  <c r="AL198" i="19"/>
  <c r="AH176" i="19"/>
  <c r="AK176" i="19"/>
  <c r="AI188" i="19"/>
  <c r="AH184" i="19"/>
  <c r="AK214" i="19"/>
  <c r="AO204" i="19"/>
  <c r="AO196" i="19"/>
  <c r="AO188" i="19"/>
  <c r="AH188" i="19"/>
  <c r="AO182" i="19"/>
  <c r="AI177" i="19"/>
  <c r="AK181" i="19"/>
  <c r="AL187" i="19"/>
  <c r="AN216" i="19"/>
  <c r="AK186" i="19"/>
  <c r="AI178" i="19"/>
  <c r="AL183" i="19"/>
  <c r="AO185" i="19"/>
  <c r="AH216" i="19"/>
  <c r="AH210" i="19"/>
  <c r="AI183" i="19"/>
  <c r="AM177" i="19"/>
  <c r="AP185" i="19"/>
  <c r="AL179" i="19"/>
  <c r="AJ179" i="19"/>
  <c r="AN186" i="19"/>
  <c r="AN183" i="19"/>
  <c r="AI187" i="19"/>
  <c r="AI181" i="19"/>
  <c r="AM180" i="19"/>
  <c r="AQ183" i="19"/>
  <c r="AN177" i="19"/>
  <c r="AQ177" i="19"/>
  <c r="AL185" i="19"/>
  <c r="AI210" i="19"/>
  <c r="AL181" i="19"/>
  <c r="AO181" i="19"/>
  <c r="AN210" i="19"/>
  <c r="AL216" i="19"/>
  <c r="AP183" i="19"/>
  <c r="AM216" i="19"/>
  <c r="AH183" i="19"/>
  <c r="AJ210" i="19"/>
  <c r="AP181" i="19"/>
  <c r="AQ181" i="19"/>
  <c r="AO178" i="19"/>
  <c r="AL186" i="19"/>
  <c r="AJ178" i="19"/>
  <c r="AO179" i="19"/>
  <c r="AP210" i="19"/>
  <c r="AL177" i="19"/>
  <c r="AM186" i="19"/>
  <c r="AM179" i="19"/>
  <c r="AJ185" i="19"/>
  <c r="AK183" i="19"/>
  <c r="AN181" i="19"/>
  <c r="AQ185" i="19"/>
  <c r="AO183" i="19"/>
  <c r="AM181" i="19"/>
  <c r="AO187" i="19"/>
  <c r="AO186" i="19"/>
  <c r="AP187" i="19"/>
  <c r="AI186" i="19"/>
  <c r="AH187" i="19"/>
  <c r="AP177" i="19"/>
  <c r="AQ210" i="19"/>
  <c r="AQ216" i="19"/>
  <c r="AO210" i="19"/>
  <c r="AH177" i="19"/>
  <c r="AL180" i="19"/>
  <c r="AN187" i="19"/>
  <c r="AO180" i="19"/>
  <c r="AN180" i="19"/>
  <c r="AK178" i="19"/>
  <c r="AJ183" i="19"/>
  <c r="AN185" i="19"/>
  <c r="AI216" i="19"/>
  <c r="AK180" i="19"/>
  <c r="AJ181" i="19"/>
  <c r="AM187" i="19"/>
  <c r="AK185" i="19"/>
  <c r="AL210" i="19"/>
  <c r="AK216" i="19"/>
  <c r="AQ178" i="19"/>
  <c r="AK187" i="19"/>
  <c r="AJ186" i="19"/>
  <c r="AO216" i="19"/>
  <c r="AO177" i="19"/>
  <c r="AH181" i="19"/>
  <c r="AJ180" i="19"/>
  <c r="AJ216" i="19"/>
  <c r="AP180" i="19"/>
  <c r="AQ180" i="19"/>
  <c r="AP178" i="19"/>
  <c r="AM183" i="19"/>
  <c r="AP186" i="19"/>
  <c r="AP216" i="19"/>
  <c r="AM178" i="19"/>
  <c r="AI180" i="19"/>
  <c r="AI185" i="19"/>
  <c r="AQ179" i="19"/>
  <c r="AN178" i="19"/>
  <c r="AI179" i="19"/>
  <c r="AH179" i="19"/>
  <c r="AM185" i="19"/>
  <c r="AM210" i="19"/>
  <c r="B46" i="64"/>
  <c r="Z247" i="63"/>
  <c r="Y145" i="39"/>
  <c r="Y146" i="39"/>
  <c r="Y147" i="39"/>
  <c r="Y148" i="39"/>
  <c r="Y149" i="39"/>
  <c r="Y150" i="39"/>
  <c r="Y151" i="39"/>
  <c r="Y152" i="39"/>
  <c r="Y153" i="39"/>
  <c r="Y154" i="39"/>
  <c r="Y155" i="39"/>
  <c r="Y156" i="39"/>
  <c r="F167" i="39"/>
  <c r="J167" i="39"/>
  <c r="N167" i="39"/>
  <c r="R167" i="39"/>
  <c r="V167" i="39"/>
  <c r="C167" i="39"/>
  <c r="G167" i="39"/>
  <c r="K167" i="39"/>
  <c r="O167" i="39"/>
  <c r="S167" i="39"/>
  <c r="W167" i="39"/>
  <c r="E167" i="39"/>
  <c r="M167" i="39"/>
  <c r="U167" i="39"/>
  <c r="H167" i="39"/>
  <c r="P167" i="39"/>
  <c r="X167" i="39"/>
  <c r="D167" i="39"/>
  <c r="T167" i="39"/>
  <c r="I167" i="39"/>
  <c r="Q167" i="39"/>
  <c r="Y167" i="39"/>
  <c r="L167" i="39"/>
  <c r="C171" i="51"/>
  <c r="G171" i="51"/>
  <c r="K171" i="51"/>
  <c r="O171" i="51"/>
  <c r="S171" i="51"/>
  <c r="W171" i="51"/>
  <c r="D171" i="51"/>
  <c r="H171" i="51"/>
  <c r="L171" i="51"/>
  <c r="P171" i="51"/>
  <c r="T171" i="51"/>
  <c r="X171" i="51"/>
  <c r="E171" i="51"/>
  <c r="I171" i="51"/>
  <c r="M171" i="51"/>
  <c r="Q171" i="51"/>
  <c r="U171" i="51"/>
  <c r="Y171" i="51"/>
  <c r="F171" i="51"/>
  <c r="J171" i="51"/>
  <c r="N171" i="51"/>
  <c r="R171" i="51"/>
  <c r="V171" i="51"/>
  <c r="Y149" i="51"/>
  <c r="Y150" i="51"/>
  <c r="Y151" i="51"/>
  <c r="Y152" i="51"/>
  <c r="Y153" i="51"/>
  <c r="Y154" i="51"/>
  <c r="Y155" i="51"/>
  <c r="Y156" i="51"/>
  <c r="Y157" i="51"/>
  <c r="Y158" i="51"/>
  <c r="Y159" i="51"/>
  <c r="Y160" i="51"/>
  <c r="Y52" i="51"/>
  <c r="Y53" i="51"/>
  <c r="Y54" i="51"/>
  <c r="Y55" i="51"/>
  <c r="Y56" i="51"/>
  <c r="Y57" i="51"/>
  <c r="Y58" i="51"/>
  <c r="Y59" i="51"/>
  <c r="Y60" i="51"/>
  <c r="Y61" i="51"/>
  <c r="Y62" i="51"/>
  <c r="Y63" i="51"/>
  <c r="C74" i="51"/>
  <c r="G74" i="51"/>
  <c r="K74" i="51"/>
  <c r="O74" i="51"/>
  <c r="S74" i="51"/>
  <c r="W74" i="51"/>
  <c r="F74" i="51"/>
  <c r="L74" i="51"/>
  <c r="Q74" i="51"/>
  <c r="V74" i="51"/>
  <c r="H74" i="51"/>
  <c r="M74" i="51"/>
  <c r="R74" i="51"/>
  <c r="X74" i="51"/>
  <c r="D74" i="51"/>
  <c r="N74" i="51"/>
  <c r="Y74" i="51"/>
  <c r="I74" i="51"/>
  <c r="T74" i="51"/>
  <c r="E74" i="51"/>
  <c r="P74" i="51"/>
  <c r="U74" i="51"/>
  <c r="J74" i="51"/>
  <c r="B172" i="51"/>
  <c r="B75" i="51"/>
  <c r="Y49" i="39"/>
  <c r="Y50" i="39"/>
  <c r="Y51" i="39"/>
  <c r="Y52" i="39"/>
  <c r="Y53" i="39"/>
  <c r="Y54" i="39"/>
  <c r="Y55" i="39"/>
  <c r="Y56" i="39"/>
  <c r="Y57" i="39"/>
  <c r="Y58" i="39"/>
  <c r="Y59" i="39"/>
  <c r="Y60" i="39"/>
  <c r="B168" i="39"/>
  <c r="D71" i="39"/>
  <c r="H71" i="39"/>
  <c r="L71" i="39"/>
  <c r="P71" i="39"/>
  <c r="T71" i="39"/>
  <c r="X71" i="39"/>
  <c r="G71" i="39"/>
  <c r="M71" i="39"/>
  <c r="R71" i="39"/>
  <c r="W71" i="39"/>
  <c r="C71" i="39"/>
  <c r="I71" i="39"/>
  <c r="N71" i="39"/>
  <c r="S71" i="39"/>
  <c r="Y71" i="39"/>
  <c r="E71" i="39"/>
  <c r="J71" i="39"/>
  <c r="O71" i="39"/>
  <c r="U71" i="39"/>
  <c r="K71" i="39"/>
  <c r="F71" i="39"/>
  <c r="Q71" i="39"/>
  <c r="V71" i="39"/>
  <c r="B72" i="39"/>
  <c r="AA10" i="63"/>
  <c r="AA11" i="67" s="1"/>
  <c r="AA128" i="63"/>
  <c r="AA189" i="63"/>
  <c r="AA104" i="63"/>
  <c r="AA38" i="63"/>
  <c r="AA305" i="63" s="1"/>
  <c r="AA177" i="63"/>
  <c r="AA82" i="67" s="1"/>
  <c r="AA152" i="63"/>
  <c r="AA76" i="64" s="1"/>
  <c r="AA143" i="64" s="1"/>
  <c r="Y316" i="63"/>
  <c r="Z306" i="63"/>
  <c r="Z315" i="63"/>
  <c r="Z314" i="63"/>
  <c r="AC42" i="30"/>
  <c r="AB54" i="30"/>
  <c r="AB65" i="30" s="1"/>
  <c r="AB89" i="30" s="1"/>
  <c r="AB110" i="30" s="1"/>
  <c r="AC102" i="30"/>
  <c r="AA90" i="49"/>
  <c r="AY118" i="50"/>
  <c r="AA24" i="49"/>
  <c r="AA103" i="49" s="1"/>
  <c r="AA21" i="54"/>
  <c r="AA18" i="51"/>
  <c r="Z51" i="51"/>
  <c r="Y180" i="47"/>
  <c r="Y218" i="47"/>
  <c r="Y164" i="47"/>
  <c r="Y112" i="39"/>
  <c r="Y115" i="51"/>
  <c r="Z148" i="51"/>
  <c r="Z16" i="47"/>
  <c r="Z91" i="47"/>
  <c r="AA223" i="36"/>
  <c r="AA225" i="53"/>
  <c r="AA153" i="53"/>
  <c r="Z86" i="53"/>
  <c r="AA131" i="53"/>
  <c r="AA201" i="53"/>
  <c r="AA105" i="53"/>
  <c r="Z11" i="53"/>
  <c r="AA179" i="53"/>
  <c r="AA130" i="52"/>
  <c r="AA234" i="52"/>
  <c r="AA200" i="52"/>
  <c r="AA104" i="52"/>
  <c r="AA226" i="52"/>
  <c r="AA178" i="52"/>
  <c r="Z85" i="52"/>
  <c r="Z10" i="52"/>
  <c r="AA152" i="52"/>
  <c r="Z68" i="49"/>
  <c r="Z11" i="54"/>
  <c r="AY82" i="50"/>
  <c r="Y53" i="40"/>
  <c r="AB81" i="30"/>
  <c r="AB21" i="63" s="1"/>
  <c r="AA21" i="37"/>
  <c r="AA11" i="37" s="1"/>
  <c r="AA21" i="40"/>
  <c r="AA16" i="39"/>
  <c r="Z48" i="39"/>
  <c r="AA102" i="36"/>
  <c r="Z100" i="40"/>
  <c r="AA102" i="44"/>
  <c r="AA102" i="43"/>
  <c r="AA128" i="44"/>
  <c r="Z83" i="43"/>
  <c r="Z83" i="36"/>
  <c r="AA150" i="36"/>
  <c r="AA230" i="36"/>
  <c r="AA176" i="36"/>
  <c r="Z11" i="44"/>
  <c r="AA198" i="36"/>
  <c r="AA198" i="44"/>
  <c r="AA150" i="44"/>
  <c r="AA176" i="43"/>
  <c r="AA222" i="43"/>
  <c r="Z11" i="36"/>
  <c r="Z83" i="44"/>
  <c r="AA222" i="44"/>
  <c r="AA128" i="43"/>
  <c r="Z65" i="40"/>
  <c r="AA176" i="44"/>
  <c r="AA198" i="43"/>
  <c r="AA150" i="43"/>
  <c r="Z11" i="43"/>
  <c r="Z33" i="40"/>
  <c r="AA128" i="36"/>
  <c r="Z144" i="39"/>
  <c r="AA87" i="40"/>
  <c r="AB124" i="30"/>
  <c r="F112" i="42"/>
  <c r="X200" i="19"/>
  <c r="D216" i="19"/>
  <c r="H216" i="19"/>
  <c r="L216" i="19"/>
  <c r="P216" i="19"/>
  <c r="T216" i="19"/>
  <c r="X216" i="19"/>
  <c r="AB216" i="19"/>
  <c r="AF216" i="19"/>
  <c r="C216" i="19"/>
  <c r="E216" i="19"/>
  <c r="I216" i="19"/>
  <c r="M216" i="19"/>
  <c r="Q216" i="19"/>
  <c r="U216" i="19"/>
  <c r="Y216" i="19"/>
  <c r="AC216" i="19"/>
  <c r="AG216" i="19"/>
  <c r="G216" i="19"/>
  <c r="K216" i="19"/>
  <c r="O216" i="19"/>
  <c r="S216" i="19"/>
  <c r="W216" i="19"/>
  <c r="AA216" i="19"/>
  <c r="AE216" i="19"/>
  <c r="F216" i="19"/>
  <c r="J216" i="19"/>
  <c r="N216" i="19"/>
  <c r="R216" i="19"/>
  <c r="V216" i="19"/>
  <c r="Z216" i="19"/>
  <c r="AD216" i="19"/>
  <c r="I186" i="19"/>
  <c r="M178" i="19"/>
  <c r="Q212" i="19"/>
  <c r="U179" i="19"/>
  <c r="Y185" i="19"/>
  <c r="AG185" i="19"/>
  <c r="R201" i="19"/>
  <c r="Z208" i="19"/>
  <c r="D198" i="19"/>
  <c r="J181" i="19"/>
  <c r="I211" i="19"/>
  <c r="I187" i="19"/>
  <c r="M208" i="19"/>
  <c r="M177" i="19"/>
  <c r="Q201" i="19"/>
  <c r="U200" i="19"/>
  <c r="Y213" i="19"/>
  <c r="AC211" i="19"/>
  <c r="F180" i="19"/>
  <c r="R178" i="19"/>
  <c r="C201" i="19"/>
  <c r="T200" i="19"/>
  <c r="H195" i="19"/>
  <c r="K189" i="19"/>
  <c r="E183" i="19"/>
  <c r="M214" i="19"/>
  <c r="Q194" i="19"/>
  <c r="G184" i="19"/>
  <c r="W180" i="19"/>
  <c r="AA195" i="19"/>
  <c r="AE194" i="19"/>
  <c r="E210" i="19"/>
  <c r="E194" i="19"/>
  <c r="E178" i="19"/>
  <c r="X208" i="19"/>
  <c r="I206" i="19"/>
  <c r="I177" i="19"/>
  <c r="M202" i="19"/>
  <c r="M191" i="19"/>
  <c r="Q183" i="19"/>
  <c r="U195" i="19"/>
  <c r="Y207" i="19"/>
  <c r="AC198" i="19"/>
  <c r="N204" i="19"/>
  <c r="V201" i="19"/>
  <c r="C202" i="19"/>
  <c r="AB210" i="19"/>
  <c r="AF209" i="19"/>
  <c r="W188" i="19"/>
  <c r="O201" i="19"/>
  <c r="S208" i="19"/>
  <c r="E199" i="19"/>
  <c r="E204" i="19"/>
  <c r="E188" i="19"/>
  <c r="P202" i="19"/>
  <c r="T194" i="19"/>
  <c r="F212" i="19"/>
  <c r="F190" i="19"/>
  <c r="Q188" i="19"/>
  <c r="Q206" i="19"/>
  <c r="U211" i="19"/>
  <c r="U206" i="19"/>
  <c r="U190" i="19"/>
  <c r="AG206" i="19"/>
  <c r="R190" i="19"/>
  <c r="Z200" i="19"/>
  <c r="AD188" i="19"/>
  <c r="E215" i="19"/>
  <c r="I201" i="19"/>
  <c r="I190" i="19"/>
  <c r="M198" i="19"/>
  <c r="Q208" i="19"/>
  <c r="Q186" i="19"/>
  <c r="U184" i="19"/>
  <c r="Y202" i="19"/>
  <c r="AC192" i="19"/>
  <c r="N188" i="19"/>
  <c r="V185" i="19"/>
  <c r="C180" i="19"/>
  <c r="J213" i="19"/>
  <c r="AF177" i="19"/>
  <c r="L201" i="19"/>
  <c r="E214" i="19"/>
  <c r="E208" i="19"/>
  <c r="E203" i="19"/>
  <c r="E198" i="19"/>
  <c r="E192" i="19"/>
  <c r="E187" i="19"/>
  <c r="E182" i="19"/>
  <c r="I215" i="19"/>
  <c r="I210" i="19"/>
  <c r="I205" i="19"/>
  <c r="I200" i="19"/>
  <c r="I184" i="19"/>
  <c r="I185" i="19"/>
  <c r="I194" i="19"/>
  <c r="I189" i="19"/>
  <c r="M212" i="19"/>
  <c r="M206" i="19"/>
  <c r="M201" i="19"/>
  <c r="M197" i="19"/>
  <c r="M185" i="19"/>
  <c r="M195" i="19"/>
  <c r="M190" i="19"/>
  <c r="Q195" i="19"/>
  <c r="Q211" i="19"/>
  <c r="Q205" i="19"/>
  <c r="Q200" i="19"/>
  <c r="Q181" i="19"/>
  <c r="Q184" i="19"/>
  <c r="Q192" i="19"/>
  <c r="U215" i="19"/>
  <c r="U210" i="19"/>
  <c r="U204" i="19"/>
  <c r="U199" i="19"/>
  <c r="U194" i="19"/>
  <c r="U188" i="19"/>
  <c r="U183" i="19"/>
  <c r="U178" i="19"/>
  <c r="Y211" i="19"/>
  <c r="Y206" i="19"/>
  <c r="Y201" i="19"/>
  <c r="Y182" i="19"/>
  <c r="AC213" i="19"/>
  <c r="AC186" i="19"/>
  <c r="AC188" i="19"/>
  <c r="AG201" i="19"/>
  <c r="AG177" i="19"/>
  <c r="F208" i="19"/>
  <c r="F200" i="19"/>
  <c r="N187" i="19"/>
  <c r="N200" i="19"/>
  <c r="N183" i="19"/>
  <c r="R213" i="19"/>
  <c r="R198" i="19"/>
  <c r="V213" i="19"/>
  <c r="V191" i="19"/>
  <c r="V181" i="19"/>
  <c r="Z204" i="19"/>
  <c r="Z196" i="19"/>
  <c r="C214" i="19"/>
  <c r="C195" i="19"/>
  <c r="D201" i="19"/>
  <c r="D192" i="19"/>
  <c r="T213" i="19"/>
  <c r="T189" i="19"/>
  <c r="AB202" i="19"/>
  <c r="J205" i="19"/>
  <c r="AD212" i="19"/>
  <c r="AD180" i="19"/>
  <c r="H187" i="19"/>
  <c r="P194" i="19"/>
  <c r="AF201" i="19"/>
  <c r="G212" i="19"/>
  <c r="K215" i="19"/>
  <c r="K183" i="19"/>
  <c r="O190" i="19"/>
  <c r="S197" i="19"/>
  <c r="W208" i="19"/>
  <c r="AA211" i="19"/>
  <c r="AA179" i="19"/>
  <c r="AE186" i="19"/>
  <c r="L194" i="19"/>
  <c r="X177" i="19"/>
  <c r="X181" i="19"/>
  <c r="X185" i="19"/>
  <c r="X189" i="19"/>
  <c r="X193" i="19"/>
  <c r="X197" i="19"/>
  <c r="X201" i="19"/>
  <c r="X205" i="19"/>
  <c r="X209" i="19"/>
  <c r="X213" i="19"/>
  <c r="L178" i="19"/>
  <c r="L182" i="19"/>
  <c r="L186" i="19"/>
  <c r="L188" i="19"/>
  <c r="L198" i="19"/>
  <c r="L191" i="19"/>
  <c r="L202" i="19"/>
  <c r="L206" i="19"/>
  <c r="L210" i="19"/>
  <c r="L214" i="19"/>
  <c r="AE179" i="19"/>
  <c r="AE183" i="19"/>
  <c r="AE187" i="19"/>
  <c r="AE191" i="19"/>
  <c r="AE195" i="19"/>
  <c r="AE202" i="19"/>
  <c r="AE206" i="19"/>
  <c r="AE210" i="19"/>
  <c r="AE214" i="19"/>
  <c r="AE199" i="19"/>
  <c r="AA180" i="19"/>
  <c r="AA184" i="19"/>
  <c r="AA196" i="19"/>
  <c r="AA189" i="19"/>
  <c r="AA193" i="19"/>
  <c r="AA200" i="19"/>
  <c r="AA204" i="19"/>
  <c r="AA208" i="19"/>
  <c r="AA212" i="19"/>
  <c r="W177" i="19"/>
  <c r="W181" i="19"/>
  <c r="W185" i="19"/>
  <c r="W197" i="19"/>
  <c r="W193" i="19"/>
  <c r="W201" i="19"/>
  <c r="W205" i="19"/>
  <c r="W209" i="19"/>
  <c r="W213" i="19"/>
  <c r="W190" i="19"/>
  <c r="S178" i="19"/>
  <c r="S182" i="19"/>
  <c r="S186" i="19"/>
  <c r="S190" i="19"/>
  <c r="S194" i="19"/>
  <c r="S201" i="19"/>
  <c r="S205" i="19"/>
  <c r="S209" i="19"/>
  <c r="S213" i="19"/>
  <c r="S199" i="19"/>
  <c r="O179" i="19"/>
  <c r="O183" i="19"/>
  <c r="O187" i="19"/>
  <c r="O191" i="19"/>
  <c r="O195" i="19"/>
  <c r="O202" i="19"/>
  <c r="O206" i="19"/>
  <c r="O210" i="19"/>
  <c r="O214" i="19"/>
  <c r="O199" i="19"/>
  <c r="K180" i="19"/>
  <c r="K184" i="19"/>
  <c r="K196" i="19"/>
  <c r="K190" i="19"/>
  <c r="K194" i="19"/>
  <c r="K200" i="19"/>
  <c r="K204" i="19"/>
  <c r="K208" i="19"/>
  <c r="K212" i="19"/>
  <c r="G177" i="19"/>
  <c r="G181" i="19"/>
  <c r="G185" i="19"/>
  <c r="G197" i="19"/>
  <c r="G195" i="19"/>
  <c r="G201" i="19"/>
  <c r="G205" i="19"/>
  <c r="G209" i="19"/>
  <c r="G213" i="19"/>
  <c r="G188" i="19"/>
  <c r="AF178" i="19"/>
  <c r="AF182" i="19"/>
  <c r="AF186" i="19"/>
  <c r="AF190" i="19"/>
  <c r="AF194" i="19"/>
  <c r="AF198" i="19"/>
  <c r="AF202" i="19"/>
  <c r="AF206" i="19"/>
  <c r="AF210" i="19"/>
  <c r="AF214" i="19"/>
  <c r="P179" i="19"/>
  <c r="P183" i="19"/>
  <c r="P187" i="19"/>
  <c r="P191" i="19"/>
  <c r="P195" i="19"/>
  <c r="P199" i="19"/>
  <c r="P203" i="19"/>
  <c r="P207" i="19"/>
  <c r="P211" i="19"/>
  <c r="P215" i="19"/>
  <c r="H180" i="19"/>
  <c r="H184" i="19"/>
  <c r="H188" i="19"/>
  <c r="H192" i="19"/>
  <c r="H196" i="19"/>
  <c r="H200" i="19"/>
  <c r="H204" i="19"/>
  <c r="H208" i="19"/>
  <c r="H212" i="19"/>
  <c r="AD177" i="19"/>
  <c r="AD181" i="19"/>
  <c r="AD185" i="19"/>
  <c r="AD189" i="19"/>
  <c r="AD193" i="19"/>
  <c r="AD197" i="19"/>
  <c r="AD201" i="19"/>
  <c r="AD205" i="19"/>
  <c r="AD209" i="19"/>
  <c r="AD213" i="19"/>
  <c r="J178" i="19"/>
  <c r="J182" i="19"/>
  <c r="J186" i="19"/>
  <c r="J199" i="19"/>
  <c r="J190" i="19"/>
  <c r="J194" i="19"/>
  <c r="J202" i="19"/>
  <c r="J206" i="19"/>
  <c r="J210" i="19"/>
  <c r="J214" i="19"/>
  <c r="AB179" i="19"/>
  <c r="AB183" i="19"/>
  <c r="AB195" i="19"/>
  <c r="AB189" i="19"/>
  <c r="AB199" i="19"/>
  <c r="AB203" i="19"/>
  <c r="AB207" i="19"/>
  <c r="AB211" i="19"/>
  <c r="AB215" i="19"/>
  <c r="AB190" i="19"/>
  <c r="T180" i="19"/>
  <c r="T184" i="19"/>
  <c r="T188" i="19"/>
  <c r="T192" i="19"/>
  <c r="T196" i="19"/>
  <c r="T203" i="19"/>
  <c r="T207" i="19"/>
  <c r="T211" i="19"/>
  <c r="T215" i="19"/>
  <c r="D177" i="19"/>
  <c r="D181" i="19"/>
  <c r="D185" i="19"/>
  <c r="D189" i="19"/>
  <c r="D193" i="19"/>
  <c r="D197" i="19"/>
  <c r="D204" i="19"/>
  <c r="D208" i="19"/>
  <c r="D212" i="19"/>
  <c r="D199" i="19"/>
  <c r="C178" i="19"/>
  <c r="C182" i="19"/>
  <c r="C186" i="19"/>
  <c r="C190" i="19"/>
  <c r="X178" i="19"/>
  <c r="X182" i="19"/>
  <c r="X186" i="19"/>
  <c r="X190" i="19"/>
  <c r="X194" i="19"/>
  <c r="X198" i="19"/>
  <c r="X202" i="19"/>
  <c r="X206" i="19"/>
  <c r="X210" i="19"/>
  <c r="X214" i="19"/>
  <c r="L179" i="19"/>
  <c r="L183" i="19"/>
  <c r="L187" i="19"/>
  <c r="L190" i="19"/>
  <c r="L199" i="19"/>
  <c r="L193" i="19"/>
  <c r="L203" i="19"/>
  <c r="L207" i="19"/>
  <c r="L211" i="19"/>
  <c r="L215" i="19"/>
  <c r="AE180" i="19"/>
  <c r="AE184" i="19"/>
  <c r="AE188" i="19"/>
  <c r="AE192" i="19"/>
  <c r="AE196" i="19"/>
  <c r="AE203" i="19"/>
  <c r="AE207" i="19"/>
  <c r="AE211" i="19"/>
  <c r="AE215" i="19"/>
  <c r="AA177" i="19"/>
  <c r="AA181" i="19"/>
  <c r="AA185" i="19"/>
  <c r="AA197" i="19"/>
  <c r="AA190" i="19"/>
  <c r="AA194" i="19"/>
  <c r="AA201" i="19"/>
  <c r="AA205" i="19"/>
  <c r="AA209" i="19"/>
  <c r="AA213" i="19"/>
  <c r="W178" i="19"/>
  <c r="W182" i="19"/>
  <c r="W186" i="19"/>
  <c r="W187" i="19"/>
  <c r="W198" i="19"/>
  <c r="W202" i="19"/>
  <c r="W206" i="19"/>
  <c r="W210" i="19"/>
  <c r="W214" i="19"/>
  <c r="W192" i="19"/>
  <c r="S179" i="19"/>
  <c r="S183" i="19"/>
  <c r="S187" i="19"/>
  <c r="S191" i="19"/>
  <c r="S195" i="19"/>
  <c r="S202" i="19"/>
  <c r="S206" i="19"/>
  <c r="S210" i="19"/>
  <c r="S214" i="19"/>
  <c r="S200" i="19"/>
  <c r="O180" i="19"/>
  <c r="O184" i="19"/>
  <c r="O188" i="19"/>
  <c r="O192" i="19"/>
  <c r="O196" i="19"/>
  <c r="O203" i="19"/>
  <c r="O207" i="19"/>
  <c r="O211" i="19"/>
  <c r="O215" i="19"/>
  <c r="K177" i="19"/>
  <c r="K181" i="19"/>
  <c r="K185" i="19"/>
  <c r="K197" i="19"/>
  <c r="K191" i="19"/>
  <c r="K195" i="19"/>
  <c r="K201" i="19"/>
  <c r="K205" i="19"/>
  <c r="K209" i="19"/>
  <c r="K213" i="19"/>
  <c r="G178" i="19"/>
  <c r="G182" i="19"/>
  <c r="G186" i="19"/>
  <c r="G189" i="19"/>
  <c r="G198" i="19"/>
  <c r="G202" i="19"/>
  <c r="G206" i="19"/>
  <c r="G210" i="19"/>
  <c r="G214" i="19"/>
  <c r="G194" i="19"/>
  <c r="AF179" i="19"/>
  <c r="AF183" i="19"/>
  <c r="AF187" i="19"/>
  <c r="AF191" i="19"/>
  <c r="AF195" i="19"/>
  <c r="AF199" i="19"/>
  <c r="AF203" i="19"/>
  <c r="AF207" i="19"/>
  <c r="AF211" i="19"/>
  <c r="AF215" i="19"/>
  <c r="P180" i="19"/>
  <c r="P184" i="19"/>
  <c r="P188" i="19"/>
  <c r="P192" i="19"/>
  <c r="P196" i="19"/>
  <c r="P200" i="19"/>
  <c r="P204" i="19"/>
  <c r="P208" i="19"/>
  <c r="P212" i="19"/>
  <c r="H177" i="19"/>
  <c r="H181" i="19"/>
  <c r="H185" i="19"/>
  <c r="H189" i="19"/>
  <c r="H193" i="19"/>
  <c r="H197" i="19"/>
  <c r="H201" i="19"/>
  <c r="H205" i="19"/>
  <c r="H209" i="19"/>
  <c r="H213" i="19"/>
  <c r="AD178" i="19"/>
  <c r="AD182" i="19"/>
  <c r="AD186" i="19"/>
  <c r="AD190" i="19"/>
  <c r="AD194" i="19"/>
  <c r="AD198" i="19"/>
  <c r="AD202" i="19"/>
  <c r="AD206" i="19"/>
  <c r="AD210" i="19"/>
  <c r="AD214" i="19"/>
  <c r="J179" i="19"/>
  <c r="J183" i="19"/>
  <c r="J196" i="19"/>
  <c r="J200" i="19"/>
  <c r="J191" i="19"/>
  <c r="J195" i="19"/>
  <c r="J203" i="19"/>
  <c r="J207" i="19"/>
  <c r="J211" i="19"/>
  <c r="J215" i="19"/>
  <c r="AB180" i="19"/>
  <c r="AB184" i="19"/>
  <c r="AB196" i="19"/>
  <c r="AB191" i="19"/>
  <c r="AB200" i="19"/>
  <c r="AB204" i="19"/>
  <c r="AB208" i="19"/>
  <c r="AB212" i="19"/>
  <c r="AB194" i="19"/>
  <c r="T177" i="19"/>
  <c r="T181" i="19"/>
  <c r="X179" i="19"/>
  <c r="X187" i="19"/>
  <c r="X195" i="19"/>
  <c r="X203" i="19"/>
  <c r="X211" i="19"/>
  <c r="L180" i="19"/>
  <c r="L196" i="19"/>
  <c r="L200" i="19"/>
  <c r="L204" i="19"/>
  <c r="L212" i="19"/>
  <c r="AE181" i="19"/>
  <c r="AE189" i="19"/>
  <c r="AE197" i="19"/>
  <c r="AE208" i="19"/>
  <c r="AE198" i="19"/>
  <c r="AA182" i="19"/>
  <c r="AA187" i="19"/>
  <c r="AA198" i="19"/>
  <c r="AA206" i="19"/>
  <c r="AA214" i="19"/>
  <c r="W183" i="19"/>
  <c r="W189" i="19"/>
  <c r="W203" i="19"/>
  <c r="W211" i="19"/>
  <c r="W194" i="19"/>
  <c r="S184" i="19"/>
  <c r="S192" i="19"/>
  <c r="S203" i="19"/>
  <c r="S211" i="19"/>
  <c r="O177" i="19"/>
  <c r="O185" i="19"/>
  <c r="O193" i="19"/>
  <c r="O204" i="19"/>
  <c r="O212" i="19"/>
  <c r="K178" i="19"/>
  <c r="K186" i="19"/>
  <c r="K192" i="19"/>
  <c r="K202" i="19"/>
  <c r="K210" i="19"/>
  <c r="G179" i="19"/>
  <c r="G187" i="19"/>
  <c r="G199" i="19"/>
  <c r="G207" i="19"/>
  <c r="G215" i="19"/>
  <c r="AF180" i="19"/>
  <c r="AF188" i="19"/>
  <c r="AF196" i="19"/>
  <c r="AF204" i="19"/>
  <c r="AF212" i="19"/>
  <c r="P181" i="19"/>
  <c r="P189" i="19"/>
  <c r="P197" i="19"/>
  <c r="P205" i="19"/>
  <c r="P213" i="19"/>
  <c r="H182" i="19"/>
  <c r="H190" i="19"/>
  <c r="H198" i="19"/>
  <c r="H206" i="19"/>
  <c r="H214" i="19"/>
  <c r="AD183" i="19"/>
  <c r="AD191" i="19"/>
  <c r="AD199" i="19"/>
  <c r="AD207" i="19"/>
  <c r="AD215" i="19"/>
  <c r="J184" i="19"/>
  <c r="J188" i="19"/>
  <c r="J187" i="19"/>
  <c r="J208" i="19"/>
  <c r="AB177" i="19"/>
  <c r="AB185" i="19"/>
  <c r="AB193" i="19"/>
  <c r="AB205" i="19"/>
  <c r="AB213" i="19"/>
  <c r="T178" i="19"/>
  <c r="T185" i="19"/>
  <c r="T190" i="19"/>
  <c r="T195" i="19"/>
  <c r="T204" i="19"/>
  <c r="T209" i="19"/>
  <c r="T214" i="19"/>
  <c r="D178" i="19"/>
  <c r="D183" i="19"/>
  <c r="D188" i="19"/>
  <c r="D194" i="19"/>
  <c r="D202" i="19"/>
  <c r="D207" i="19"/>
  <c r="D213" i="19"/>
  <c r="D200" i="19"/>
  <c r="C181" i="19"/>
  <c r="C187" i="19"/>
  <c r="C192" i="19"/>
  <c r="C196" i="19"/>
  <c r="C203" i="19"/>
  <c r="C207" i="19"/>
  <c r="C211" i="19"/>
  <c r="C215" i="19"/>
  <c r="Z177" i="19"/>
  <c r="Z181" i="19"/>
  <c r="Z185" i="19"/>
  <c r="Z197" i="19"/>
  <c r="Z187" i="19"/>
  <c r="Z191" i="19"/>
  <c r="Z201" i="19"/>
  <c r="Z205" i="19"/>
  <c r="Z209" i="19"/>
  <c r="Z213" i="19"/>
  <c r="V178" i="19"/>
  <c r="V182" i="19"/>
  <c r="V186" i="19"/>
  <c r="V198" i="19"/>
  <c r="V188" i="19"/>
  <c r="V192" i="19"/>
  <c r="V202" i="19"/>
  <c r="V206" i="19"/>
  <c r="V210" i="19"/>
  <c r="V214" i="19"/>
  <c r="R179" i="19"/>
  <c r="R183" i="19"/>
  <c r="R195" i="19"/>
  <c r="R199" i="19"/>
  <c r="R202" i="19"/>
  <c r="R206" i="19"/>
  <c r="R210" i="19"/>
  <c r="R214" i="19"/>
  <c r="R192" i="19"/>
  <c r="R191" i="19"/>
  <c r="N180" i="19"/>
  <c r="N184" i="19"/>
  <c r="N189" i="19"/>
  <c r="N193" i="19"/>
  <c r="N197" i="19"/>
  <c r="N201" i="19"/>
  <c r="N205" i="19"/>
  <c r="N209" i="19"/>
  <c r="N213" i="19"/>
  <c r="F177" i="19"/>
  <c r="F181" i="19"/>
  <c r="F185" i="19"/>
  <c r="F197" i="19"/>
  <c r="F201" i="19"/>
  <c r="F191" i="19"/>
  <c r="F195" i="19"/>
  <c r="F205" i="19"/>
  <c r="F209" i="19"/>
  <c r="F213" i="19"/>
  <c r="AG188" i="19"/>
  <c r="AG192" i="19"/>
  <c r="AG179" i="19"/>
  <c r="AG182" i="19"/>
  <c r="AG200" i="19"/>
  <c r="AG196" i="19"/>
  <c r="AG202" i="19"/>
  <c r="AG207" i="19"/>
  <c r="AG210" i="19"/>
  <c r="AG214" i="19"/>
  <c r="AC189" i="19"/>
  <c r="AC193" i="19"/>
  <c r="AC181" i="19"/>
  <c r="AC180" i="19"/>
  <c r="AC195" i="19"/>
  <c r="AC199" i="19"/>
  <c r="AC203" i="19"/>
  <c r="AC208" i="19"/>
  <c r="AC215" i="19"/>
  <c r="AC214" i="19"/>
  <c r="Y190" i="19"/>
  <c r="Y194" i="19"/>
  <c r="Y184" i="19"/>
  <c r="Y183" i="19"/>
  <c r="Y181" i="19"/>
  <c r="Y200" i="19"/>
  <c r="Y204" i="19"/>
  <c r="Y208" i="19"/>
  <c r="Y212" i="19"/>
  <c r="U177" i="19"/>
  <c r="U181" i="19"/>
  <c r="U185" i="19"/>
  <c r="U189" i="19"/>
  <c r="U193" i="19"/>
  <c r="U197" i="19"/>
  <c r="U201" i="19"/>
  <c r="U205" i="19"/>
  <c r="U209" i="19"/>
  <c r="U213" i="19"/>
  <c r="Q189" i="19"/>
  <c r="Q193" i="19"/>
  <c r="Q182" i="19"/>
  <c r="Q177" i="19"/>
  <c r="Q185" i="19"/>
  <c r="Q196" i="19"/>
  <c r="Q204" i="19"/>
  <c r="Q209" i="19"/>
  <c r="Q213" i="19"/>
  <c r="Q197" i="19"/>
  <c r="M189" i="19"/>
  <c r="M193" i="19"/>
  <c r="M179" i="19"/>
  <c r="M180" i="19"/>
  <c r="M196" i="19"/>
  <c r="M200" i="19"/>
  <c r="M203" i="19"/>
  <c r="M207" i="19"/>
  <c r="M211" i="19"/>
  <c r="M213" i="19"/>
  <c r="I191" i="19"/>
  <c r="I195" i="19"/>
  <c r="I183" i="19"/>
  <c r="I180" i="19"/>
  <c r="I196" i="19"/>
  <c r="I199" i="19"/>
  <c r="I204" i="19"/>
  <c r="I208" i="19"/>
  <c r="I212" i="19"/>
  <c r="E177" i="19"/>
  <c r="E181" i="19"/>
  <c r="E185" i="19"/>
  <c r="E189" i="19"/>
  <c r="E193" i="19"/>
  <c r="E197" i="19"/>
  <c r="E201" i="19"/>
  <c r="E205" i="19"/>
  <c r="E209" i="19"/>
  <c r="E213" i="19"/>
  <c r="X180" i="19"/>
  <c r="X188" i="19"/>
  <c r="X196" i="19"/>
  <c r="X204" i="19"/>
  <c r="X212" i="19"/>
  <c r="L181" i="19"/>
  <c r="L197" i="19"/>
  <c r="L189" i="19"/>
  <c r="L205" i="19"/>
  <c r="L213" i="19"/>
  <c r="AE182" i="19"/>
  <c r="AE190" i="19"/>
  <c r="AE201" i="19"/>
  <c r="AE209" i="19"/>
  <c r="AE200" i="19"/>
  <c r="AA183" i="19"/>
  <c r="AA188" i="19"/>
  <c r="AA199" i="19"/>
  <c r="AA207" i="19"/>
  <c r="AA215" i="19"/>
  <c r="W184" i="19"/>
  <c r="W191" i="19"/>
  <c r="W204" i="19"/>
  <c r="W212" i="19"/>
  <c r="S177" i="19"/>
  <c r="S185" i="19"/>
  <c r="S193" i="19"/>
  <c r="S204" i="19"/>
  <c r="S212" i="19"/>
  <c r="O178" i="19"/>
  <c r="O186" i="19"/>
  <c r="O194" i="19"/>
  <c r="O205" i="19"/>
  <c r="O213" i="19"/>
  <c r="K179" i="19"/>
  <c r="K187" i="19"/>
  <c r="K193" i="19"/>
  <c r="K203" i="19"/>
  <c r="K211" i="19"/>
  <c r="G180" i="19"/>
  <c r="G196" i="19"/>
  <c r="G200" i="19"/>
  <c r="G208" i="19"/>
  <c r="G192" i="19"/>
  <c r="AF181" i="19"/>
  <c r="AF189" i="19"/>
  <c r="AF197" i="19"/>
  <c r="AF205" i="19"/>
  <c r="AF213" i="19"/>
  <c r="P182" i="19"/>
  <c r="P190" i="19"/>
  <c r="P198" i="19"/>
  <c r="P206" i="19"/>
  <c r="P214" i="19"/>
  <c r="H183" i="19"/>
  <c r="H191" i="19"/>
  <c r="H199" i="19"/>
  <c r="H207" i="19"/>
  <c r="H215" i="19"/>
  <c r="AD184" i="19"/>
  <c r="AD192" i="19"/>
  <c r="AD200" i="19"/>
  <c r="AD208" i="19"/>
  <c r="J177" i="19"/>
  <c r="J185" i="19"/>
  <c r="J189" i="19"/>
  <c r="J201" i="19"/>
  <c r="J209" i="19"/>
  <c r="AB178" i="19"/>
  <c r="AB186" i="19"/>
  <c r="AB198" i="19"/>
  <c r="AB206" i="19"/>
  <c r="AB214" i="19"/>
  <c r="T179" i="19"/>
  <c r="T186" i="19"/>
  <c r="T191" i="19"/>
  <c r="T197" i="19"/>
  <c r="T205" i="19"/>
  <c r="T210" i="19"/>
  <c r="T199" i="19"/>
  <c r="D179" i="19"/>
  <c r="D184" i="19"/>
  <c r="D190" i="19"/>
  <c r="D195" i="19"/>
  <c r="D203" i="19"/>
  <c r="D209" i="19"/>
  <c r="D214" i="19"/>
  <c r="C177" i="19"/>
  <c r="C183" i="19"/>
  <c r="C188" i="19"/>
  <c r="C193" i="19"/>
  <c r="C197" i="19"/>
  <c r="C204" i="19"/>
  <c r="C208" i="19"/>
  <c r="C212" i="19"/>
  <c r="C199" i="19"/>
  <c r="Z178" i="19"/>
  <c r="Z182" i="19"/>
  <c r="Z186" i="19"/>
  <c r="Z198" i="19"/>
  <c r="Z188" i="19"/>
  <c r="Z192" i="19"/>
  <c r="Z202" i="19"/>
  <c r="Z206" i="19"/>
  <c r="Z210" i="19"/>
  <c r="Z214" i="19"/>
  <c r="V179" i="19"/>
  <c r="V183" i="19"/>
  <c r="V195" i="19"/>
  <c r="V199" i="19"/>
  <c r="V189" i="19"/>
  <c r="V193" i="19"/>
  <c r="V203" i="19"/>
  <c r="V207" i="19"/>
  <c r="V211" i="19"/>
  <c r="V215" i="19"/>
  <c r="R180" i="19"/>
  <c r="R184" i="19"/>
  <c r="R196" i="19"/>
  <c r="R200" i="19"/>
  <c r="R203" i="19"/>
  <c r="R207" i="19"/>
  <c r="R211" i="19"/>
  <c r="R215" i="19"/>
  <c r="R194" i="19"/>
  <c r="N177" i="19"/>
  <c r="N181" i="19"/>
  <c r="N185" i="19"/>
  <c r="N190" i="19"/>
  <c r="N194" i="19"/>
  <c r="N198" i="19"/>
  <c r="N202" i="19"/>
  <c r="N206" i="19"/>
  <c r="N210" i="19"/>
  <c r="N214" i="19"/>
  <c r="F178" i="19"/>
  <c r="F182" i="19"/>
  <c r="F186" i="19"/>
  <c r="F198" i="19"/>
  <c r="F188" i="19"/>
  <c r="F192" i="19"/>
  <c r="F202" i="19"/>
  <c r="F206" i="19"/>
  <c r="F210" i="19"/>
  <c r="F214" i="19"/>
  <c r="AG189" i="19"/>
  <c r="AG193" i="19"/>
  <c r="AG181" i="19"/>
  <c r="AG180" i="19"/>
  <c r="AG178" i="19"/>
  <c r="AG195" i="19"/>
  <c r="AG203" i="19"/>
  <c r="AG208" i="19"/>
  <c r="AG211" i="19"/>
  <c r="AG215" i="19"/>
  <c r="AC190" i="19"/>
  <c r="AC194" i="19"/>
  <c r="AC183" i="19"/>
  <c r="AC182" i="19"/>
  <c r="AC196" i="19"/>
  <c r="AC200" i="19"/>
  <c r="AC204" i="19"/>
  <c r="AC210" i="19"/>
  <c r="AC205" i="19"/>
  <c r="Y187" i="19"/>
  <c r="Y191" i="19"/>
  <c r="Y178" i="19"/>
  <c r="Y186" i="19"/>
  <c r="Y195" i="19"/>
  <c r="Y179" i="19"/>
  <c r="X183" i="19"/>
  <c r="X191" i="19"/>
  <c r="X199" i="19"/>
  <c r="X207" i="19"/>
  <c r="X215" i="19"/>
  <c r="L184" i="19"/>
  <c r="L192" i="19"/>
  <c r="L195" i="19"/>
  <c r="L208" i="19"/>
  <c r="AE177" i="19"/>
  <c r="AE185" i="19"/>
  <c r="AE193" i="19"/>
  <c r="AE204" i="19"/>
  <c r="AE212" i="19"/>
  <c r="AA178" i="19"/>
  <c r="AA186" i="19"/>
  <c r="AA191" i="19"/>
  <c r="AA202" i="19"/>
  <c r="AA210" i="19"/>
  <c r="W179" i="19"/>
  <c r="W195" i="19"/>
  <c r="W199" i="19"/>
  <c r="W207" i="19"/>
  <c r="W215" i="19"/>
  <c r="S180" i="19"/>
  <c r="S188" i="19"/>
  <c r="S196" i="19"/>
  <c r="S207" i="19"/>
  <c r="S215" i="19"/>
  <c r="O181" i="19"/>
  <c r="O189" i="19"/>
  <c r="O197" i="19"/>
  <c r="O208" i="19"/>
  <c r="O198" i="19"/>
  <c r="K182" i="19"/>
  <c r="K188" i="19"/>
  <c r="K198" i="19"/>
  <c r="K206" i="19"/>
  <c r="K214" i="19"/>
  <c r="G183" i="19"/>
  <c r="G191" i="19"/>
  <c r="G203" i="19"/>
  <c r="G211" i="19"/>
  <c r="G190" i="19"/>
  <c r="AF184" i="19"/>
  <c r="AF192" i="19"/>
  <c r="AF200" i="19"/>
  <c r="AF208" i="19"/>
  <c r="P177" i="19"/>
  <c r="P185" i="19"/>
  <c r="P193" i="19"/>
  <c r="P201" i="19"/>
  <c r="P209" i="19"/>
  <c r="H178" i="19"/>
  <c r="H186" i="19"/>
  <c r="H194" i="19"/>
  <c r="H202" i="19"/>
  <c r="H210" i="19"/>
  <c r="AD179" i="19"/>
  <c r="AD187" i="19"/>
  <c r="AD195" i="19"/>
  <c r="AD203" i="19"/>
  <c r="AD211" i="19"/>
  <c r="J180" i="19"/>
  <c r="J197" i="19"/>
  <c r="J192" i="19"/>
  <c r="J204" i="19"/>
  <c r="J212" i="19"/>
  <c r="AB181" i="19"/>
  <c r="AB197" i="19"/>
  <c r="AB201" i="19"/>
  <c r="AB209" i="19"/>
  <c r="AB188" i="19"/>
  <c r="T182" i="19"/>
  <c r="T187" i="19"/>
  <c r="T193" i="19"/>
  <c r="T201" i="19"/>
  <c r="T206" i="19"/>
  <c r="T212" i="19"/>
  <c r="T198" i="19"/>
  <c r="D180" i="19"/>
  <c r="D186" i="19"/>
  <c r="D191" i="19"/>
  <c r="D196" i="19"/>
  <c r="D205" i="19"/>
  <c r="D210" i="19"/>
  <c r="D215" i="19"/>
  <c r="C179" i="19"/>
  <c r="C184" i="19"/>
  <c r="C189" i="19"/>
  <c r="C194" i="19"/>
  <c r="C198" i="19"/>
  <c r="C205" i="19"/>
  <c r="C209" i="19"/>
  <c r="C213" i="19"/>
  <c r="C200" i="19"/>
  <c r="Z179" i="19"/>
  <c r="Z183" i="19"/>
  <c r="Z195" i="19"/>
  <c r="Z199" i="19"/>
  <c r="Z189" i="19"/>
  <c r="Z193" i="19"/>
  <c r="Z203" i="19"/>
  <c r="Z207" i="19"/>
  <c r="Z211" i="19"/>
  <c r="Z215" i="19"/>
  <c r="V180" i="19"/>
  <c r="V184" i="19"/>
  <c r="V196" i="19"/>
  <c r="V200" i="19"/>
  <c r="V190" i="19"/>
  <c r="V194" i="19"/>
  <c r="V204" i="19"/>
  <c r="V208" i="19"/>
  <c r="V212" i="19"/>
  <c r="R177" i="19"/>
  <c r="R181" i="19"/>
  <c r="R185" i="19"/>
  <c r="R197" i="19"/>
  <c r="R187" i="19"/>
  <c r="R204" i="19"/>
  <c r="R208" i="19"/>
  <c r="R212" i="19"/>
  <c r="R188" i="19"/>
  <c r="R189" i="19"/>
  <c r="N178" i="19"/>
  <c r="N182" i="19"/>
  <c r="N186" i="19"/>
  <c r="N191" i="19"/>
  <c r="N195" i="19"/>
  <c r="N199" i="19"/>
  <c r="N203" i="19"/>
  <c r="N207" i="19"/>
  <c r="N211" i="19"/>
  <c r="N215" i="19"/>
  <c r="F179" i="19"/>
  <c r="F183" i="19"/>
  <c r="F187" i="19"/>
  <c r="F199" i="19"/>
  <c r="F189" i="19"/>
  <c r="F193" i="19"/>
  <c r="F203" i="19"/>
  <c r="F207" i="19"/>
  <c r="F211" i="19"/>
  <c r="F215" i="19"/>
  <c r="AG190" i="19"/>
  <c r="AG194" i="19"/>
  <c r="AG183" i="19"/>
  <c r="AG198" i="19"/>
  <c r="AG186" i="19"/>
  <c r="AG197" i="19"/>
  <c r="AG204" i="19"/>
  <c r="AG205" i="19"/>
  <c r="AG212" i="19"/>
  <c r="AC187" i="19"/>
  <c r="AC191" i="19"/>
  <c r="AC177" i="19"/>
  <c r="AC185" i="19"/>
  <c r="AC184" i="19"/>
  <c r="AC197" i="19"/>
  <c r="AC201" i="19"/>
  <c r="AC206" i="19"/>
  <c r="AC212" i="19"/>
  <c r="AC209" i="19"/>
  <c r="Y188" i="19"/>
  <c r="Y192" i="19"/>
  <c r="Y180" i="19"/>
  <c r="Y177" i="19"/>
  <c r="Y196" i="19"/>
  <c r="Y199" i="19"/>
  <c r="E212" i="19"/>
  <c r="E207" i="19"/>
  <c r="E202" i="19"/>
  <c r="E196" i="19"/>
  <c r="E191" i="19"/>
  <c r="E186" i="19"/>
  <c r="E180" i="19"/>
  <c r="I214" i="19"/>
  <c r="I209" i="19"/>
  <c r="I203" i="19"/>
  <c r="I198" i="19"/>
  <c r="I182" i="19"/>
  <c r="I181" i="19"/>
  <c r="I193" i="19"/>
  <c r="I188" i="19"/>
  <c r="M210" i="19"/>
  <c r="M205" i="19"/>
  <c r="M182" i="19"/>
  <c r="M184" i="19"/>
  <c r="M183" i="19"/>
  <c r="M194" i="19"/>
  <c r="M188" i="19"/>
  <c r="Q215" i="19"/>
  <c r="Q210" i="19"/>
  <c r="Q203" i="19"/>
  <c r="Q199" i="19"/>
  <c r="Q179" i="19"/>
  <c r="Q180" i="19"/>
  <c r="Q191" i="19"/>
  <c r="U214" i="19"/>
  <c r="U208" i="19"/>
  <c r="U203" i="19"/>
  <c r="U198" i="19"/>
  <c r="U192" i="19"/>
  <c r="U187" i="19"/>
  <c r="U182" i="19"/>
  <c r="Y215" i="19"/>
  <c r="Y210" i="19"/>
  <c r="Y205" i="19"/>
  <c r="Y198" i="19"/>
  <c r="Y193" i="19"/>
  <c r="AC207" i="19"/>
  <c r="AC178" i="19"/>
  <c r="AG213" i="19"/>
  <c r="AG184" i="19"/>
  <c r="AG191" i="19"/>
  <c r="F204" i="19"/>
  <c r="F196" i="19"/>
  <c r="N212" i="19"/>
  <c r="N196" i="19"/>
  <c r="N179" i="19"/>
  <c r="R209" i="19"/>
  <c r="R186" i="19"/>
  <c r="V209" i="19"/>
  <c r="V187" i="19"/>
  <c r="V177" i="19"/>
  <c r="Z194" i="19"/>
  <c r="Z184" i="19"/>
  <c r="C210" i="19"/>
  <c r="C191" i="19"/>
  <c r="D211" i="19"/>
  <c r="D187" i="19"/>
  <c r="T208" i="19"/>
  <c r="T183" i="19"/>
  <c r="AB187" i="19"/>
  <c r="J193" i="19"/>
  <c r="AD204" i="19"/>
  <c r="H211" i="19"/>
  <c r="H179" i="19"/>
  <c r="P186" i="19"/>
  <c r="AF193" i="19"/>
  <c r="G204" i="19"/>
  <c r="K207" i="19"/>
  <c r="O200" i="19"/>
  <c r="O182" i="19"/>
  <c r="S189" i="19"/>
  <c r="W200" i="19"/>
  <c r="AA203" i="19"/>
  <c r="AE213" i="19"/>
  <c r="AE178" i="19"/>
  <c r="L185" i="19"/>
  <c r="X192" i="19"/>
  <c r="E211" i="19"/>
  <c r="E206" i="19"/>
  <c r="E200" i="19"/>
  <c r="E195" i="19"/>
  <c r="E190" i="19"/>
  <c r="E184" i="19"/>
  <c r="E179" i="19"/>
  <c r="I213" i="19"/>
  <c r="I207" i="19"/>
  <c r="I202" i="19"/>
  <c r="I197" i="19"/>
  <c r="I178" i="19"/>
  <c r="I179" i="19"/>
  <c r="I192" i="19"/>
  <c r="M215" i="19"/>
  <c r="M209" i="19"/>
  <c r="M204" i="19"/>
  <c r="M199" i="19"/>
  <c r="M186" i="19"/>
  <c r="M181" i="19"/>
  <c r="M192" i="19"/>
  <c r="M187" i="19"/>
  <c r="Q214" i="19"/>
  <c r="Q207" i="19"/>
  <c r="Q202" i="19"/>
  <c r="Q198" i="19"/>
  <c r="Q187" i="19"/>
  <c r="Q178" i="19"/>
  <c r="Q190" i="19"/>
  <c r="U212" i="19"/>
  <c r="U207" i="19"/>
  <c r="U202" i="19"/>
  <c r="U196" i="19"/>
  <c r="U191" i="19"/>
  <c r="U186" i="19"/>
  <c r="U180" i="19"/>
  <c r="Y214" i="19"/>
  <c r="Y209" i="19"/>
  <c r="Y203" i="19"/>
  <c r="Y197" i="19"/>
  <c r="Y189" i="19"/>
  <c r="AC202" i="19"/>
  <c r="AC179" i="19"/>
  <c r="AG209" i="19"/>
  <c r="AG199" i="19"/>
  <c r="AG187" i="19"/>
  <c r="F194" i="19"/>
  <c r="F184" i="19"/>
  <c r="N208" i="19"/>
  <c r="N192" i="19"/>
  <c r="R193" i="19"/>
  <c r="R205" i="19"/>
  <c r="R182" i="19"/>
  <c r="V205" i="19"/>
  <c r="V197" i="19"/>
  <c r="Z212" i="19"/>
  <c r="Z190" i="19"/>
  <c r="Z180" i="19"/>
  <c r="C206" i="19"/>
  <c r="C185" i="19"/>
  <c r="D206" i="19"/>
  <c r="D182" i="19"/>
  <c r="T202" i="19"/>
  <c r="AB192" i="19"/>
  <c r="AB182" i="19"/>
  <c r="J198" i="19"/>
  <c r="AD196" i="19"/>
  <c r="H203" i="19"/>
  <c r="P210" i="19"/>
  <c r="P178" i="19"/>
  <c r="AF185" i="19"/>
  <c r="G193" i="19"/>
  <c r="K199" i="19"/>
  <c r="O209" i="19"/>
  <c r="S198" i="19"/>
  <c r="S181" i="19"/>
  <c r="W196" i="19"/>
  <c r="AA192" i="19"/>
  <c r="AE205" i="19"/>
  <c r="L209" i="19"/>
  <c r="L177" i="19"/>
  <c r="X184" i="19"/>
  <c r="C233" i="3"/>
  <c r="C234" i="3"/>
  <c r="C232" i="3"/>
  <c r="C122" i="3"/>
  <c r="C222" i="19"/>
  <c r="K224" i="19" s="1"/>
  <c r="T1513" i="25"/>
  <c r="T1512" i="25"/>
  <c r="T1511" i="25"/>
  <c r="T1510" i="25"/>
  <c r="T1509" i="25"/>
  <c r="T1508" i="25"/>
  <c r="T1507" i="25"/>
  <c r="T1506" i="25"/>
  <c r="T1505" i="25"/>
  <c r="T1504" i="25"/>
  <c r="T1503" i="25"/>
  <c r="T1502" i="25"/>
  <c r="T1501" i="25"/>
  <c r="T1500" i="25"/>
  <c r="T1499" i="25"/>
  <c r="T1498" i="25"/>
  <c r="T1497" i="25"/>
  <c r="T1496" i="25"/>
  <c r="T1495" i="25"/>
  <c r="T1494" i="25"/>
  <c r="T1493" i="25"/>
  <c r="T1492" i="25"/>
  <c r="T1491" i="25"/>
  <c r="T1490" i="25"/>
  <c r="T1489" i="25"/>
  <c r="T1488" i="25"/>
  <c r="T1487" i="25"/>
  <c r="T1486" i="25"/>
  <c r="T1485" i="25"/>
  <c r="T1484" i="25"/>
  <c r="T1483" i="25"/>
  <c r="T1482" i="25"/>
  <c r="T1481" i="25"/>
  <c r="T1480" i="25"/>
  <c r="T1479" i="25"/>
  <c r="T1478" i="25"/>
  <c r="T1477" i="25"/>
  <c r="T1476" i="25"/>
  <c r="T1475" i="25"/>
  <c r="T1474" i="25"/>
  <c r="T1473" i="25"/>
  <c r="T1472" i="25"/>
  <c r="T1471" i="25"/>
  <c r="T1470" i="25"/>
  <c r="T1469" i="25"/>
  <c r="T1468" i="25"/>
  <c r="T1467" i="25"/>
  <c r="T1466" i="25"/>
  <c r="T1465" i="25"/>
  <c r="T1464" i="25"/>
  <c r="T1463" i="25"/>
  <c r="T1462" i="25"/>
  <c r="T1461" i="25"/>
  <c r="T1460" i="25"/>
  <c r="T1459" i="25"/>
  <c r="T1458" i="25"/>
  <c r="T1457" i="25"/>
  <c r="T1456" i="25"/>
  <c r="T1455" i="25"/>
  <c r="T1454" i="25"/>
  <c r="T1453" i="25"/>
  <c r="T1452" i="25"/>
  <c r="T1451" i="25"/>
  <c r="T1450" i="25"/>
  <c r="T1449" i="25"/>
  <c r="T1448" i="25"/>
  <c r="T1447" i="25"/>
  <c r="T1446" i="25"/>
  <c r="T1445" i="25"/>
  <c r="T1444" i="25"/>
  <c r="T1443" i="25"/>
  <c r="T1442" i="25"/>
  <c r="T1441" i="25"/>
  <c r="T1440" i="25"/>
  <c r="T1439" i="25"/>
  <c r="T1438" i="25"/>
  <c r="T1437" i="25"/>
  <c r="T1436" i="25"/>
  <c r="T1435" i="25"/>
  <c r="T1434" i="25"/>
  <c r="T1433" i="25"/>
  <c r="T1432" i="25"/>
  <c r="T1431" i="25"/>
  <c r="T1430" i="25"/>
  <c r="T1429" i="25"/>
  <c r="T1428" i="25"/>
  <c r="T1427" i="25"/>
  <c r="T1426" i="25"/>
  <c r="T1425" i="25"/>
  <c r="T1424" i="25"/>
  <c r="T1423" i="25"/>
  <c r="T1422" i="25"/>
  <c r="T1421" i="25"/>
  <c r="T1420" i="25"/>
  <c r="T1419" i="25"/>
  <c r="T1418" i="25"/>
  <c r="T1417" i="25"/>
  <c r="T1416" i="25"/>
  <c r="T1415" i="25"/>
  <c r="T1414" i="25"/>
  <c r="T1413" i="25"/>
  <c r="T1412" i="25"/>
  <c r="T1411" i="25"/>
  <c r="T1410" i="25"/>
  <c r="T1409" i="25"/>
  <c r="T1408" i="25"/>
  <c r="T1407" i="25"/>
  <c r="T1406" i="25"/>
  <c r="T1405" i="25"/>
  <c r="T1404" i="25"/>
  <c r="T1403" i="25"/>
  <c r="T1402" i="25"/>
  <c r="T1401" i="25"/>
  <c r="T1400" i="25"/>
  <c r="T1399" i="25"/>
  <c r="T1398" i="25"/>
  <c r="T1397" i="25"/>
  <c r="T1396" i="25"/>
  <c r="T1395" i="25"/>
  <c r="T1394" i="25"/>
  <c r="T1393" i="25"/>
  <c r="T1392" i="25"/>
  <c r="T1391" i="25"/>
  <c r="T1390" i="25"/>
  <c r="T1389" i="25"/>
  <c r="T1388" i="25"/>
  <c r="T1387" i="25"/>
  <c r="T1386" i="25"/>
  <c r="T1385" i="25"/>
  <c r="T1384" i="25"/>
  <c r="T1383" i="25"/>
  <c r="T1382" i="25"/>
  <c r="T1381" i="25"/>
  <c r="T1380" i="25"/>
  <c r="T1379" i="25"/>
  <c r="T1378" i="25"/>
  <c r="T1377" i="25"/>
  <c r="T1376" i="25"/>
  <c r="T1375" i="25"/>
  <c r="T1374" i="25"/>
  <c r="T1373" i="25"/>
  <c r="T1372" i="25"/>
  <c r="T1371" i="25"/>
  <c r="T1370" i="25"/>
  <c r="T1369" i="25"/>
  <c r="T1368" i="25"/>
  <c r="T1367" i="25"/>
  <c r="T1366" i="25"/>
  <c r="T1365" i="25"/>
  <c r="T1364" i="25"/>
  <c r="T1363" i="25"/>
  <c r="T1362" i="25"/>
  <c r="T1361" i="25"/>
  <c r="T1360" i="25"/>
  <c r="T1359" i="25"/>
  <c r="T1358" i="25"/>
  <c r="T1357" i="25"/>
  <c r="T1356" i="25"/>
  <c r="T1355" i="25"/>
  <c r="T1354" i="25"/>
  <c r="T1353" i="25"/>
  <c r="T1352" i="25"/>
  <c r="T1351" i="25"/>
  <c r="T1350" i="25"/>
  <c r="T1349" i="25"/>
  <c r="T1348" i="25"/>
  <c r="T1347" i="25"/>
  <c r="T1346" i="25"/>
  <c r="T1345" i="25"/>
  <c r="T1344" i="25"/>
  <c r="T1343" i="25"/>
  <c r="T1342" i="25"/>
  <c r="T1341" i="25"/>
  <c r="T1340" i="25"/>
  <c r="T1339" i="25"/>
  <c r="T1338" i="25"/>
  <c r="T1337" i="25"/>
  <c r="T1336" i="25"/>
  <c r="T1335" i="25"/>
  <c r="T1334" i="25"/>
  <c r="T1333" i="25"/>
  <c r="T1332" i="25"/>
  <c r="T1331" i="25"/>
  <c r="T1330" i="25"/>
  <c r="T1329" i="25"/>
  <c r="T1328" i="25"/>
  <c r="T1327" i="25"/>
  <c r="T1326" i="25"/>
  <c r="T1325" i="25"/>
  <c r="T1324" i="25"/>
  <c r="T1323" i="25"/>
  <c r="T1322" i="25"/>
  <c r="T1321" i="25"/>
  <c r="T1320" i="25"/>
  <c r="T1319" i="25"/>
  <c r="T1318" i="25"/>
  <c r="T1317" i="25"/>
  <c r="T1316" i="25"/>
  <c r="T1315" i="25"/>
  <c r="T1314" i="25"/>
  <c r="T1313" i="25"/>
  <c r="T1312" i="25"/>
  <c r="T1311" i="25"/>
  <c r="T1310" i="25"/>
  <c r="T1309" i="25"/>
  <c r="T1308" i="25"/>
  <c r="T1307" i="25"/>
  <c r="T1306" i="25"/>
  <c r="T1305" i="25"/>
  <c r="T1304" i="25"/>
  <c r="T1303" i="25"/>
  <c r="T1302" i="25"/>
  <c r="T1301" i="25"/>
  <c r="T1300" i="25"/>
  <c r="T1299" i="25"/>
  <c r="T1298" i="25"/>
  <c r="T1297" i="25"/>
  <c r="T1296" i="25"/>
  <c r="T1295" i="25"/>
  <c r="T1294" i="25"/>
  <c r="T1293" i="25"/>
  <c r="T1292" i="25"/>
  <c r="T1291" i="25"/>
  <c r="T1290" i="25"/>
  <c r="T1289" i="25"/>
  <c r="T1288" i="25"/>
  <c r="T1287" i="25"/>
  <c r="T1286" i="25"/>
  <c r="T1285" i="25"/>
  <c r="T1284" i="25"/>
  <c r="T1283" i="25"/>
  <c r="T1282" i="25"/>
  <c r="T1281" i="25"/>
  <c r="T1280" i="25"/>
  <c r="T1279" i="25"/>
  <c r="T1278" i="25"/>
  <c r="T1277" i="25"/>
  <c r="T1276" i="25"/>
  <c r="T1275" i="25"/>
  <c r="T1274" i="25"/>
  <c r="T1273" i="25"/>
  <c r="T1272" i="25"/>
  <c r="T1271" i="25"/>
  <c r="T1270" i="25"/>
  <c r="T1269" i="25"/>
  <c r="T1268" i="25"/>
  <c r="T1267" i="25"/>
  <c r="T1266" i="25"/>
  <c r="T1265" i="25"/>
  <c r="T1264" i="25"/>
  <c r="T1263" i="25"/>
  <c r="T1262" i="25"/>
  <c r="T1261" i="25"/>
  <c r="T1260" i="25"/>
  <c r="T1259" i="25"/>
  <c r="T1258" i="25"/>
  <c r="T1257" i="25"/>
  <c r="T1256" i="25"/>
  <c r="T1255" i="25"/>
  <c r="T1254" i="25"/>
  <c r="T1253" i="25"/>
  <c r="T1252" i="25"/>
  <c r="T1251" i="25"/>
  <c r="T1250" i="25"/>
  <c r="T1249" i="25"/>
  <c r="T1248" i="25"/>
  <c r="T1247" i="25"/>
  <c r="T1246" i="25"/>
  <c r="T1245" i="25"/>
  <c r="T1244" i="25"/>
  <c r="T1243" i="25"/>
  <c r="T1242" i="25"/>
  <c r="T1241" i="25"/>
  <c r="T1240" i="25"/>
  <c r="T1239" i="25"/>
  <c r="T1238" i="25"/>
  <c r="T1237" i="25"/>
  <c r="T1236" i="25"/>
  <c r="T1235" i="25"/>
  <c r="T1234" i="25"/>
  <c r="T1233" i="25"/>
  <c r="T1232" i="25"/>
  <c r="T1231" i="25"/>
  <c r="T1230" i="25"/>
  <c r="T1229" i="25"/>
  <c r="T1228" i="25"/>
  <c r="T1227" i="25"/>
  <c r="T1226" i="25"/>
  <c r="T1225" i="25"/>
  <c r="T1224" i="25"/>
  <c r="T1223" i="25"/>
  <c r="T1222" i="25"/>
  <c r="T1221" i="25"/>
  <c r="T1220" i="25"/>
  <c r="T1219" i="25"/>
  <c r="T1218" i="25"/>
  <c r="T1217" i="25"/>
  <c r="T1216" i="25"/>
  <c r="T1215" i="25"/>
  <c r="T1214" i="25"/>
  <c r="T1213" i="25"/>
  <c r="T1212" i="25"/>
  <c r="T1211" i="25"/>
  <c r="T1210" i="25"/>
  <c r="T1209" i="25"/>
  <c r="T1208" i="25"/>
  <c r="T1207" i="25"/>
  <c r="T1206" i="25"/>
  <c r="T1205" i="25"/>
  <c r="T1204" i="25"/>
  <c r="T1203" i="25"/>
  <c r="T1202" i="25"/>
  <c r="T1201" i="25"/>
  <c r="T1200" i="25"/>
  <c r="T1199" i="25"/>
  <c r="T1198" i="25"/>
  <c r="T1197" i="25"/>
  <c r="T1196" i="25"/>
  <c r="T1195" i="25"/>
  <c r="T1194" i="25"/>
  <c r="T1193" i="25"/>
  <c r="T1192" i="25"/>
  <c r="T1191" i="25"/>
  <c r="T1190" i="25"/>
  <c r="T1189" i="25"/>
  <c r="T1188" i="25"/>
  <c r="T1187" i="25"/>
  <c r="T1186" i="25"/>
  <c r="T1185" i="25"/>
  <c r="T1184" i="25"/>
  <c r="T1183" i="25"/>
  <c r="T1182" i="25"/>
  <c r="T1181" i="25"/>
  <c r="T1180" i="25"/>
  <c r="T1179" i="25"/>
  <c r="T1178" i="25"/>
  <c r="T1177" i="25"/>
  <c r="T1176" i="25"/>
  <c r="T1175" i="25"/>
  <c r="T1174" i="25"/>
  <c r="T1173" i="25"/>
  <c r="T1172" i="25"/>
  <c r="T1171" i="25"/>
  <c r="T1170" i="25"/>
  <c r="T1169" i="25"/>
  <c r="T1168" i="25"/>
  <c r="T1167" i="25"/>
  <c r="T1166" i="25"/>
  <c r="T1165" i="25"/>
  <c r="T1164" i="25"/>
  <c r="T1163" i="25"/>
  <c r="T1162" i="25"/>
  <c r="T1161" i="25"/>
  <c r="T1160" i="25"/>
  <c r="T1159" i="25"/>
  <c r="T1158" i="25"/>
  <c r="T1157" i="25"/>
  <c r="T1156" i="25"/>
  <c r="T1155" i="25"/>
  <c r="T1154" i="25"/>
  <c r="T1153" i="25"/>
  <c r="T1152" i="25"/>
  <c r="T1151" i="25"/>
  <c r="T1150" i="25"/>
  <c r="T1149" i="25"/>
  <c r="T1148" i="25"/>
  <c r="T1147" i="25"/>
  <c r="T1146" i="25"/>
  <c r="T1145" i="25"/>
  <c r="T1144" i="25"/>
  <c r="T1143" i="25"/>
  <c r="T1142" i="25"/>
  <c r="T1141" i="25"/>
  <c r="T1140" i="25"/>
  <c r="T1139" i="25"/>
  <c r="T1138" i="25"/>
  <c r="T1137" i="25"/>
  <c r="T1136" i="25"/>
  <c r="T1135" i="25"/>
  <c r="T1134" i="25"/>
  <c r="T1133" i="25"/>
  <c r="T1132" i="25"/>
  <c r="T1131" i="25"/>
  <c r="T1130" i="25"/>
  <c r="T1129" i="25"/>
  <c r="T1128" i="25"/>
  <c r="T1127" i="25"/>
  <c r="T1126" i="25"/>
  <c r="T1125" i="25"/>
  <c r="T1124" i="25"/>
  <c r="T1123" i="25"/>
  <c r="T1122" i="25"/>
  <c r="T1121" i="25"/>
  <c r="T1120" i="25"/>
  <c r="T1119" i="25"/>
  <c r="T1118" i="25"/>
  <c r="T1117" i="25"/>
  <c r="T1116" i="25"/>
  <c r="T1115" i="25"/>
  <c r="T1114" i="25"/>
  <c r="T1113" i="25"/>
  <c r="T1112" i="25"/>
  <c r="T1111" i="25"/>
  <c r="T1110" i="25"/>
  <c r="T1109" i="25"/>
  <c r="T1108" i="25"/>
  <c r="T1107" i="25"/>
  <c r="T1106" i="25"/>
  <c r="T1105" i="25"/>
  <c r="T1104" i="25"/>
  <c r="T1103" i="25"/>
  <c r="T1102" i="25"/>
  <c r="T1101" i="25"/>
  <c r="T1100" i="25"/>
  <c r="T1099" i="25"/>
  <c r="T1098" i="25"/>
  <c r="T1097" i="25"/>
  <c r="T1096" i="25"/>
  <c r="T1095" i="25"/>
  <c r="T1094" i="25"/>
  <c r="T1093" i="25"/>
  <c r="T1092" i="25"/>
  <c r="T1091" i="25"/>
  <c r="T1090" i="25"/>
  <c r="T1089" i="25"/>
  <c r="T1088" i="25"/>
  <c r="T1087" i="25"/>
  <c r="T1086" i="25"/>
  <c r="T1085" i="25"/>
  <c r="T1084" i="25"/>
  <c r="T1083" i="25"/>
  <c r="T1082" i="25"/>
  <c r="T1081" i="25"/>
  <c r="T1080" i="25"/>
  <c r="T1079" i="25"/>
  <c r="T1078" i="25"/>
  <c r="T1077" i="25"/>
  <c r="T1076" i="25"/>
  <c r="T1075" i="25"/>
  <c r="T1074" i="25"/>
  <c r="T1073" i="25"/>
  <c r="T1072" i="25"/>
  <c r="T1071" i="25"/>
  <c r="T1070" i="25"/>
  <c r="T1069" i="25"/>
  <c r="T1068" i="25"/>
  <c r="T1067" i="25"/>
  <c r="T1066" i="25"/>
  <c r="T1065" i="25"/>
  <c r="T1064" i="25"/>
  <c r="T1063" i="25"/>
  <c r="T1062" i="25"/>
  <c r="T1061" i="25"/>
  <c r="T1060" i="25"/>
  <c r="T1059" i="25"/>
  <c r="T1058" i="25"/>
  <c r="T1057" i="25"/>
  <c r="T1056" i="25"/>
  <c r="T1055" i="25"/>
  <c r="T1054" i="25"/>
  <c r="T1053" i="25"/>
  <c r="T1052" i="25"/>
  <c r="T1051" i="25"/>
  <c r="T1050" i="25"/>
  <c r="T1049" i="25"/>
  <c r="T1048" i="25"/>
  <c r="T1047" i="25"/>
  <c r="T1046" i="25"/>
  <c r="T1045" i="25"/>
  <c r="T1044" i="25"/>
  <c r="T1043" i="25"/>
  <c r="T1042" i="25"/>
  <c r="T1041" i="25"/>
  <c r="T1040" i="25"/>
  <c r="T1039" i="25"/>
  <c r="T1038" i="25"/>
  <c r="T1037" i="25"/>
  <c r="T1036" i="25"/>
  <c r="T1035" i="25"/>
  <c r="T1034" i="25"/>
  <c r="T1033" i="25"/>
  <c r="T1032" i="25"/>
  <c r="T1031" i="25"/>
  <c r="T1030" i="25"/>
  <c r="T1029" i="25"/>
  <c r="T1028" i="25"/>
  <c r="T1027" i="25"/>
  <c r="T1026" i="25"/>
  <c r="T1025" i="25"/>
  <c r="T1024" i="25"/>
  <c r="T1023" i="25"/>
  <c r="T1022" i="25"/>
  <c r="T1021" i="25"/>
  <c r="T1020" i="25"/>
  <c r="T1019" i="25"/>
  <c r="T1018" i="25"/>
  <c r="T1017" i="25"/>
  <c r="T1016" i="25"/>
  <c r="T1015" i="25"/>
  <c r="T1014" i="25"/>
  <c r="T1013" i="25"/>
  <c r="T1012" i="25"/>
  <c r="T1011" i="25"/>
  <c r="T1010" i="25"/>
  <c r="T1009" i="25"/>
  <c r="T1008" i="25"/>
  <c r="T1007" i="25"/>
  <c r="T1006" i="25"/>
  <c r="T1005" i="25"/>
  <c r="T1004" i="25"/>
  <c r="T1003" i="25"/>
  <c r="T1002" i="25"/>
  <c r="T1001" i="25"/>
  <c r="T1000" i="25"/>
  <c r="T999" i="25"/>
  <c r="T998" i="25"/>
  <c r="T997" i="25"/>
  <c r="T996" i="25"/>
  <c r="T995" i="25"/>
  <c r="T994" i="25"/>
  <c r="T993" i="25"/>
  <c r="T992" i="25"/>
  <c r="T991" i="25"/>
  <c r="T990" i="25"/>
  <c r="T989" i="25"/>
  <c r="T988" i="25"/>
  <c r="T987" i="25"/>
  <c r="T986" i="25"/>
  <c r="T985" i="25"/>
  <c r="T984" i="25"/>
  <c r="T983" i="25"/>
  <c r="T982" i="25"/>
  <c r="T981" i="25"/>
  <c r="T980" i="25"/>
  <c r="T979" i="25"/>
  <c r="T978" i="25"/>
  <c r="T977" i="25"/>
  <c r="T976" i="25"/>
  <c r="T975" i="25"/>
  <c r="T974" i="25"/>
  <c r="T973" i="25"/>
  <c r="T972" i="25"/>
  <c r="T971" i="25"/>
  <c r="T970" i="25"/>
  <c r="T969" i="25"/>
  <c r="T968" i="25"/>
  <c r="T967" i="25"/>
  <c r="T966" i="25"/>
  <c r="T965" i="25"/>
  <c r="T964" i="25"/>
  <c r="T963" i="25"/>
  <c r="T962" i="25"/>
  <c r="T961" i="25"/>
  <c r="T960" i="25"/>
  <c r="T959" i="25"/>
  <c r="T958" i="25"/>
  <c r="T957" i="25"/>
  <c r="T956" i="25"/>
  <c r="T955" i="25"/>
  <c r="T954" i="25"/>
  <c r="T953" i="25"/>
  <c r="T952" i="25"/>
  <c r="T951" i="25"/>
  <c r="T950" i="25"/>
  <c r="T949" i="25"/>
  <c r="T948" i="25"/>
  <c r="T947" i="25"/>
  <c r="T946" i="25"/>
  <c r="T945" i="25"/>
  <c r="T944" i="25"/>
  <c r="T943" i="25"/>
  <c r="T942" i="25"/>
  <c r="T941" i="25"/>
  <c r="T940" i="25"/>
  <c r="T939" i="25"/>
  <c r="T938" i="25"/>
  <c r="T937" i="25"/>
  <c r="T936" i="25"/>
  <c r="T935" i="25"/>
  <c r="T934" i="25"/>
  <c r="T933" i="25"/>
  <c r="T932" i="25"/>
  <c r="T931" i="25"/>
  <c r="T930" i="25"/>
  <c r="T929" i="25"/>
  <c r="T928" i="25"/>
  <c r="T927" i="25"/>
  <c r="T926" i="25"/>
  <c r="T925" i="25"/>
  <c r="T924" i="25"/>
  <c r="T923" i="25"/>
  <c r="T922" i="25"/>
  <c r="T921" i="25"/>
  <c r="T920" i="25"/>
  <c r="T919" i="25"/>
  <c r="T918" i="25"/>
  <c r="T917" i="25"/>
  <c r="T916" i="25"/>
  <c r="T915" i="25"/>
  <c r="T914" i="25"/>
  <c r="T913" i="25"/>
  <c r="T912" i="25"/>
  <c r="T911" i="25"/>
  <c r="T910" i="25"/>
  <c r="T909" i="25"/>
  <c r="T908" i="25"/>
  <c r="T907" i="25"/>
  <c r="T906" i="25"/>
  <c r="T905" i="25"/>
  <c r="T904" i="25"/>
  <c r="T903" i="25"/>
  <c r="T902" i="25"/>
  <c r="T901" i="25"/>
  <c r="T900" i="25"/>
  <c r="T899" i="25"/>
  <c r="T898" i="25"/>
  <c r="T897" i="25"/>
  <c r="T896" i="25"/>
  <c r="T895" i="25"/>
  <c r="T894" i="25"/>
  <c r="T893" i="25"/>
  <c r="T892" i="25"/>
  <c r="T891" i="25"/>
  <c r="T890" i="25"/>
  <c r="T889" i="25"/>
  <c r="T888" i="25"/>
  <c r="T887" i="25"/>
  <c r="T886" i="25"/>
  <c r="T885" i="25"/>
  <c r="T884" i="25"/>
  <c r="T883" i="25"/>
  <c r="T882" i="25"/>
  <c r="T881" i="25"/>
  <c r="T880" i="25"/>
  <c r="T879" i="25"/>
  <c r="T878" i="25"/>
  <c r="T877" i="25"/>
  <c r="T876" i="25"/>
  <c r="T875" i="25"/>
  <c r="T874" i="25"/>
  <c r="T868" i="25"/>
  <c r="T867" i="25"/>
  <c r="T866" i="25"/>
  <c r="T865" i="25"/>
  <c r="T864" i="25"/>
  <c r="T863" i="25"/>
  <c r="T862" i="25"/>
  <c r="T861" i="25"/>
  <c r="T860" i="25"/>
  <c r="T859" i="25"/>
  <c r="T858" i="25"/>
  <c r="T857" i="25"/>
  <c r="T856" i="25"/>
  <c r="T855" i="25"/>
  <c r="T854" i="25"/>
  <c r="T853" i="25"/>
  <c r="T852" i="25"/>
  <c r="T851" i="25"/>
  <c r="T850" i="25"/>
  <c r="T849" i="25"/>
  <c r="T848" i="25"/>
  <c r="T847" i="25"/>
  <c r="T846" i="25"/>
  <c r="T845" i="25"/>
  <c r="T844" i="25"/>
  <c r="T843" i="25"/>
  <c r="T842" i="25"/>
  <c r="T841" i="25"/>
  <c r="T840" i="25"/>
  <c r="T839" i="25"/>
  <c r="T838" i="25"/>
  <c r="T837" i="25"/>
  <c r="T836" i="25"/>
  <c r="T835" i="25"/>
  <c r="T834" i="25"/>
  <c r="T833" i="25"/>
  <c r="T832" i="25"/>
  <c r="T831" i="25"/>
  <c r="T830" i="25"/>
  <c r="T829" i="25"/>
  <c r="T828" i="25"/>
  <c r="T827" i="25"/>
  <c r="T826" i="25"/>
  <c r="T825" i="25"/>
  <c r="T824" i="25"/>
  <c r="T823" i="25"/>
  <c r="T822" i="25"/>
  <c r="T821" i="25"/>
  <c r="T820" i="25"/>
  <c r="T819" i="25"/>
  <c r="T818" i="25"/>
  <c r="T817" i="25"/>
  <c r="T816" i="25"/>
  <c r="T815" i="25"/>
  <c r="T814" i="25"/>
  <c r="T813" i="25"/>
  <c r="T812" i="25"/>
  <c r="T811" i="25"/>
  <c r="T810" i="25"/>
  <c r="T809" i="25"/>
  <c r="T808" i="25"/>
  <c r="T807" i="25"/>
  <c r="T806" i="25"/>
  <c r="T805" i="25"/>
  <c r="T804" i="25"/>
  <c r="T803" i="25"/>
  <c r="T802" i="25"/>
  <c r="T795" i="25"/>
  <c r="T794" i="25"/>
  <c r="T793" i="25"/>
  <c r="T792" i="25"/>
  <c r="T791" i="25"/>
  <c r="V722" i="25"/>
  <c r="V721" i="25"/>
  <c r="V720" i="25"/>
  <c r="U720" i="25"/>
  <c r="V719" i="25"/>
  <c r="U719" i="25"/>
  <c r="V718" i="25"/>
  <c r="U718" i="25"/>
  <c r="V717" i="25"/>
  <c r="U717" i="25"/>
  <c r="V716" i="25"/>
  <c r="U716" i="25"/>
  <c r="V715" i="25"/>
  <c r="U715" i="25"/>
  <c r="V714" i="25"/>
  <c r="U714" i="25"/>
  <c r="V713" i="25"/>
  <c r="U713" i="25"/>
  <c r="V712" i="25"/>
  <c r="U712" i="25"/>
  <c r="V711" i="25"/>
  <c r="U711" i="25"/>
  <c r="V710" i="25"/>
  <c r="U710" i="25"/>
  <c r="V709" i="25"/>
  <c r="U709" i="25"/>
  <c r="V708" i="25"/>
  <c r="U708" i="25"/>
  <c r="V707" i="25"/>
  <c r="U707" i="25"/>
  <c r="V706" i="25"/>
  <c r="U706" i="25"/>
  <c r="V705" i="25"/>
  <c r="U705" i="25"/>
  <c r="V704" i="25"/>
  <c r="U704" i="25"/>
  <c r="V703" i="25"/>
  <c r="U703" i="25"/>
  <c r="V702" i="25"/>
  <c r="U702" i="25"/>
  <c r="V701" i="25"/>
  <c r="U701" i="25"/>
  <c r="V700" i="25"/>
  <c r="U700" i="25"/>
  <c r="V699" i="25"/>
  <c r="U699" i="25"/>
  <c r="V698" i="25"/>
  <c r="U698" i="25"/>
  <c r="V697" i="25"/>
  <c r="U697" i="25"/>
  <c r="V696" i="25"/>
  <c r="U696" i="25"/>
  <c r="V695" i="25"/>
  <c r="U695" i="25"/>
  <c r="V693" i="25"/>
  <c r="V692" i="25"/>
  <c r="V691" i="25"/>
  <c r="V690" i="25"/>
  <c r="U690" i="25"/>
  <c r="V689" i="25"/>
  <c r="U689" i="25"/>
  <c r="V688" i="25"/>
  <c r="U688" i="25"/>
  <c r="V687" i="25"/>
  <c r="U687" i="25"/>
  <c r="V686" i="25"/>
  <c r="U686" i="25"/>
  <c r="V685" i="25"/>
  <c r="U685" i="25"/>
  <c r="V684" i="25"/>
  <c r="U684" i="25"/>
  <c r="V683" i="25"/>
  <c r="U683" i="25"/>
  <c r="V682" i="25"/>
  <c r="U682" i="25"/>
  <c r="V681" i="25"/>
  <c r="U681" i="25"/>
  <c r="V680" i="25"/>
  <c r="U680" i="25"/>
  <c r="V679" i="25"/>
  <c r="U679" i="25"/>
  <c r="V678" i="25"/>
  <c r="U678" i="25"/>
  <c r="V677" i="25"/>
  <c r="U677" i="25"/>
  <c r="V676" i="25"/>
  <c r="U676" i="25"/>
  <c r="V675" i="25"/>
  <c r="U675" i="25"/>
  <c r="V674" i="25"/>
  <c r="U674" i="25"/>
  <c r="V673" i="25"/>
  <c r="U673" i="25"/>
  <c r="V672" i="25"/>
  <c r="U672" i="25"/>
  <c r="V671" i="25"/>
  <c r="U671" i="25"/>
  <c r="V670" i="25"/>
  <c r="U670" i="25"/>
  <c r="V669" i="25"/>
  <c r="U669" i="25"/>
  <c r="V668" i="25"/>
  <c r="U668" i="25"/>
  <c r="V667" i="25"/>
  <c r="U667" i="25"/>
  <c r="V666" i="25"/>
  <c r="U666" i="25"/>
  <c r="V665" i="25"/>
  <c r="U665" i="25"/>
  <c r="V664" i="25"/>
  <c r="U664" i="25"/>
  <c r="V663" i="25"/>
  <c r="U663" i="25"/>
  <c r="V662" i="25"/>
  <c r="U662" i="25"/>
  <c r="V661" i="25"/>
  <c r="U661" i="25"/>
  <c r="V660" i="25"/>
  <c r="U660" i="25"/>
  <c r="V659" i="25"/>
  <c r="U659" i="25"/>
  <c r="V658" i="25"/>
  <c r="U658" i="25"/>
  <c r="V657" i="25"/>
  <c r="U657" i="25"/>
  <c r="V656" i="25"/>
  <c r="U656" i="25"/>
  <c r="V655" i="25"/>
  <c r="U655" i="25"/>
  <c r="V654" i="25"/>
  <c r="U654" i="25"/>
  <c r="V653" i="25"/>
  <c r="U653" i="25"/>
  <c r="V652" i="25"/>
  <c r="U652" i="25"/>
  <c r="V651" i="25"/>
  <c r="U651" i="25"/>
  <c r="V650" i="25"/>
  <c r="U650" i="25"/>
  <c r="V649" i="25"/>
  <c r="U649" i="25"/>
  <c r="V648" i="25"/>
  <c r="U648" i="25"/>
  <c r="V647" i="25"/>
  <c r="U647" i="25"/>
  <c r="V646" i="25"/>
  <c r="U646" i="25"/>
  <c r="V645" i="25"/>
  <c r="U645" i="25"/>
  <c r="V644" i="25"/>
  <c r="U644" i="25"/>
  <c r="V643" i="25"/>
  <c r="U643" i="25"/>
  <c r="V642" i="25"/>
  <c r="U642" i="25"/>
  <c r="V641" i="25"/>
  <c r="U641" i="25"/>
  <c r="V640" i="25"/>
  <c r="U640" i="25"/>
  <c r="V639" i="25"/>
  <c r="U639" i="25"/>
  <c r="V638" i="25"/>
  <c r="U638" i="25"/>
  <c r="V637" i="25"/>
  <c r="U637" i="25"/>
  <c r="V636" i="25"/>
  <c r="U636" i="25"/>
  <c r="V635" i="25"/>
  <c r="U635" i="25"/>
  <c r="V634" i="25"/>
  <c r="U634" i="25"/>
  <c r="V633" i="25"/>
  <c r="U633" i="25"/>
  <c r="V632" i="25"/>
  <c r="U632" i="25"/>
  <c r="V631" i="25"/>
  <c r="U631" i="25"/>
  <c r="V630" i="25"/>
  <c r="U630" i="25"/>
  <c r="V629" i="25"/>
  <c r="U629" i="25"/>
  <c r="V628" i="25"/>
  <c r="U628" i="25"/>
  <c r="V627" i="25"/>
  <c r="U627" i="25"/>
  <c r="V625" i="25"/>
  <c r="V624" i="25"/>
  <c r="V623" i="25"/>
  <c r="U623" i="25"/>
  <c r="V622" i="25"/>
  <c r="U622" i="25"/>
  <c r="V620" i="25"/>
  <c r="V619" i="25"/>
  <c r="V618" i="25"/>
  <c r="U618" i="25"/>
  <c r="V617" i="25"/>
  <c r="U617" i="25"/>
  <c r="V616" i="25"/>
  <c r="U616" i="25"/>
  <c r="V615" i="25"/>
  <c r="U615" i="25"/>
  <c r="V614" i="25"/>
  <c r="U614" i="25"/>
  <c r="V613" i="25"/>
  <c r="U613" i="25"/>
  <c r="V612" i="25"/>
  <c r="U612" i="25"/>
  <c r="V611" i="25"/>
  <c r="U611" i="25"/>
  <c r="V610" i="25"/>
  <c r="U610" i="25"/>
  <c r="V609" i="25"/>
  <c r="U609" i="25"/>
  <c r="V608" i="25"/>
  <c r="U608" i="25"/>
  <c r="V607" i="25"/>
  <c r="U607" i="25"/>
  <c r="V606" i="25"/>
  <c r="U606" i="25"/>
  <c r="V605" i="25"/>
  <c r="U605" i="25"/>
  <c r="V604" i="25"/>
  <c r="U604" i="25"/>
  <c r="V603" i="25"/>
  <c r="U603" i="25"/>
  <c r="V602" i="25"/>
  <c r="U602" i="25"/>
  <c r="V601" i="25"/>
  <c r="U601" i="25"/>
  <c r="V600" i="25"/>
  <c r="U600" i="25"/>
  <c r="V599" i="25"/>
  <c r="U599" i="25"/>
  <c r="V598" i="25"/>
  <c r="U598" i="25"/>
  <c r="V597" i="25"/>
  <c r="U597" i="25"/>
  <c r="V596" i="25"/>
  <c r="U596" i="25"/>
  <c r="V595" i="25"/>
  <c r="U595" i="25"/>
  <c r="V594" i="25"/>
  <c r="U594" i="25"/>
  <c r="V593" i="25"/>
  <c r="U593" i="25"/>
  <c r="V592" i="25"/>
  <c r="U592" i="25"/>
  <c r="V591" i="25"/>
  <c r="U591" i="25"/>
  <c r="V590" i="25"/>
  <c r="U590" i="25"/>
  <c r="V589" i="25"/>
  <c r="U589" i="25"/>
  <c r="V588" i="25"/>
  <c r="U588" i="25"/>
  <c r="V587" i="25"/>
  <c r="U587" i="25"/>
  <c r="V586" i="25"/>
  <c r="U586" i="25"/>
  <c r="V585" i="25"/>
  <c r="U585" i="25"/>
  <c r="V584" i="25"/>
  <c r="U584" i="25"/>
  <c r="V583" i="25"/>
  <c r="U583" i="25"/>
  <c r="V582" i="25"/>
  <c r="U582" i="25"/>
  <c r="V581" i="25"/>
  <c r="U581" i="25"/>
  <c r="V580" i="25"/>
  <c r="U580" i="25"/>
  <c r="V579" i="25"/>
  <c r="U579" i="25"/>
  <c r="V578" i="25"/>
  <c r="U578" i="25"/>
  <c r="V577" i="25"/>
  <c r="U577" i="25"/>
  <c r="V576" i="25"/>
  <c r="U576" i="25"/>
  <c r="V575" i="25"/>
  <c r="U575" i="25"/>
  <c r="V574" i="25"/>
  <c r="U574" i="25"/>
  <c r="V573" i="25"/>
  <c r="U573" i="25"/>
  <c r="V572" i="25"/>
  <c r="U572" i="25"/>
  <c r="V571" i="25"/>
  <c r="U571" i="25"/>
  <c r="V570" i="25"/>
  <c r="U570" i="25"/>
  <c r="V569" i="25"/>
  <c r="U569" i="25"/>
  <c r="V568" i="25"/>
  <c r="U568" i="25"/>
  <c r="V567" i="25"/>
  <c r="U567" i="25"/>
  <c r="V566" i="25"/>
  <c r="U566" i="25"/>
  <c r="V565" i="25"/>
  <c r="U565" i="25"/>
  <c r="V564" i="25"/>
  <c r="U564" i="25"/>
  <c r="V563" i="25"/>
  <c r="U563" i="25"/>
  <c r="V562" i="25"/>
  <c r="U562" i="25"/>
  <c r="V561" i="25"/>
  <c r="U561" i="25"/>
  <c r="V560" i="25"/>
  <c r="U560" i="25"/>
  <c r="V559" i="25"/>
  <c r="U559" i="25"/>
  <c r="V558" i="25"/>
  <c r="U558" i="25"/>
  <c r="V557" i="25"/>
  <c r="U557" i="25"/>
  <c r="V556" i="25"/>
  <c r="U556" i="25"/>
  <c r="V555" i="25"/>
  <c r="U555" i="25"/>
  <c r="V554" i="25"/>
  <c r="U554" i="25"/>
  <c r="V553" i="25"/>
  <c r="U553" i="25"/>
  <c r="V552" i="25"/>
  <c r="U552" i="25"/>
  <c r="V551" i="25"/>
  <c r="U551" i="25"/>
  <c r="V550" i="25"/>
  <c r="U550" i="25"/>
  <c r="V549" i="25"/>
  <c r="U549" i="25"/>
  <c r="V548" i="25"/>
  <c r="U548" i="25"/>
  <c r="V547" i="25"/>
  <c r="U547" i="25"/>
  <c r="V546" i="25"/>
  <c r="U546" i="25"/>
  <c r="V545" i="25"/>
  <c r="U545" i="25"/>
  <c r="V544" i="25"/>
  <c r="U544" i="25"/>
  <c r="V543" i="25"/>
  <c r="U543" i="25"/>
  <c r="V542" i="25"/>
  <c r="U542" i="25"/>
  <c r="V541" i="25"/>
  <c r="U541" i="25"/>
  <c r="V540" i="25"/>
  <c r="U540" i="25"/>
  <c r="V539" i="25"/>
  <c r="U539" i="25"/>
  <c r="V538" i="25"/>
  <c r="U538" i="25"/>
  <c r="V537" i="25"/>
  <c r="U537" i="25"/>
  <c r="V536" i="25"/>
  <c r="U536" i="25"/>
  <c r="V535" i="25"/>
  <c r="U535" i="25"/>
  <c r="V534" i="25"/>
  <c r="U534" i="25"/>
  <c r="V533" i="25"/>
  <c r="U533" i="25"/>
  <c r="V532" i="25"/>
  <c r="U532" i="25"/>
  <c r="V531" i="25"/>
  <c r="U531" i="25"/>
  <c r="V530" i="25"/>
  <c r="U530" i="25"/>
  <c r="V529" i="25"/>
  <c r="U529" i="25"/>
  <c r="V528" i="25"/>
  <c r="U528" i="25"/>
  <c r="V527" i="25"/>
  <c r="U527" i="25"/>
  <c r="V526" i="25"/>
  <c r="U526" i="25"/>
  <c r="V525" i="25"/>
  <c r="U525" i="25"/>
  <c r="V524" i="25"/>
  <c r="U524" i="25"/>
  <c r="V523" i="25"/>
  <c r="U523" i="25"/>
  <c r="V522" i="25"/>
  <c r="U522" i="25"/>
  <c r="V521" i="25"/>
  <c r="U521" i="25"/>
  <c r="V520" i="25"/>
  <c r="U520" i="25"/>
  <c r="V519" i="25"/>
  <c r="U519" i="25"/>
  <c r="V518" i="25"/>
  <c r="U518" i="25"/>
  <c r="V517" i="25"/>
  <c r="U517" i="25"/>
  <c r="V516" i="25"/>
  <c r="U516" i="25"/>
  <c r="V515" i="25"/>
  <c r="U515" i="25"/>
  <c r="V514" i="25"/>
  <c r="U514" i="25"/>
  <c r="V513" i="25"/>
  <c r="U513" i="25"/>
  <c r="V512" i="25"/>
  <c r="U512" i="25"/>
  <c r="V511" i="25"/>
  <c r="U511" i="25"/>
  <c r="V510" i="25"/>
  <c r="U510" i="25"/>
  <c r="V509" i="25"/>
  <c r="U509" i="25"/>
  <c r="V508" i="25"/>
  <c r="U508" i="25"/>
  <c r="V507" i="25"/>
  <c r="U507" i="25"/>
  <c r="V506" i="25"/>
  <c r="U506" i="25"/>
  <c r="V505" i="25"/>
  <c r="U505" i="25"/>
  <c r="V504" i="25"/>
  <c r="U504" i="25"/>
  <c r="V503" i="25"/>
  <c r="U503" i="25"/>
  <c r="V502" i="25"/>
  <c r="U502" i="25"/>
  <c r="V501" i="25"/>
  <c r="U501" i="25"/>
  <c r="V500" i="25"/>
  <c r="U500" i="25"/>
  <c r="V499" i="25"/>
  <c r="U499" i="25"/>
  <c r="V498" i="25"/>
  <c r="U498" i="25"/>
  <c r="V497" i="25"/>
  <c r="U497" i="25"/>
  <c r="V496" i="25"/>
  <c r="U496" i="25"/>
  <c r="V495" i="25"/>
  <c r="U495" i="25"/>
  <c r="V494" i="25"/>
  <c r="U494" i="25"/>
  <c r="V493" i="25"/>
  <c r="U493" i="25"/>
  <c r="V492" i="25"/>
  <c r="U492" i="25"/>
  <c r="V491" i="25"/>
  <c r="U491" i="25"/>
  <c r="V489" i="25"/>
  <c r="V488" i="25"/>
  <c r="V487" i="25"/>
  <c r="U487" i="25"/>
  <c r="V486" i="25"/>
  <c r="U486" i="25"/>
  <c r="V485" i="25"/>
  <c r="U485" i="25"/>
  <c r="V484" i="25"/>
  <c r="U484" i="25"/>
  <c r="V483" i="25"/>
  <c r="U483" i="25"/>
  <c r="V482" i="25"/>
  <c r="U482" i="25"/>
  <c r="V481" i="25"/>
  <c r="U481" i="25"/>
  <c r="V480" i="25"/>
  <c r="U480" i="25"/>
  <c r="V479" i="25"/>
  <c r="U479" i="25"/>
  <c r="V478" i="25"/>
  <c r="U478" i="25"/>
  <c r="V477" i="25"/>
  <c r="U477" i="25"/>
  <c r="V476" i="25"/>
  <c r="U476" i="25"/>
  <c r="V475" i="25"/>
  <c r="U475" i="25"/>
  <c r="V474" i="25"/>
  <c r="U474" i="25"/>
  <c r="V473" i="25"/>
  <c r="U473" i="25"/>
  <c r="V472" i="25"/>
  <c r="U472" i="25"/>
  <c r="V471" i="25"/>
  <c r="U471" i="25"/>
  <c r="V470" i="25"/>
  <c r="U470" i="25"/>
  <c r="V469" i="25"/>
  <c r="U469" i="25"/>
  <c r="V468" i="25"/>
  <c r="U468" i="25"/>
  <c r="V467" i="25"/>
  <c r="U467" i="25"/>
  <c r="V466" i="25"/>
  <c r="U466" i="25"/>
  <c r="V465" i="25"/>
  <c r="U465" i="25"/>
  <c r="V464" i="25"/>
  <c r="U464" i="25"/>
  <c r="V462" i="25"/>
  <c r="V461" i="25"/>
  <c r="V460" i="25"/>
  <c r="U460" i="25"/>
  <c r="V459" i="25"/>
  <c r="U459" i="25"/>
  <c r="V458" i="25"/>
  <c r="U458" i="25"/>
  <c r="V457" i="25"/>
  <c r="U457" i="25"/>
  <c r="V456" i="25"/>
  <c r="U456" i="25"/>
  <c r="V455" i="25"/>
  <c r="U455" i="25"/>
  <c r="V454" i="25"/>
  <c r="U454" i="25"/>
  <c r="V453" i="25"/>
  <c r="U453" i="25"/>
  <c r="V452" i="25"/>
  <c r="U452" i="25"/>
  <c r="V451" i="25"/>
  <c r="U451" i="25"/>
  <c r="V450" i="25"/>
  <c r="U450" i="25"/>
  <c r="V449" i="25"/>
  <c r="U449" i="25"/>
  <c r="V448" i="25"/>
  <c r="U448" i="25"/>
  <c r="V447" i="25"/>
  <c r="U447" i="25"/>
  <c r="V446" i="25"/>
  <c r="U446" i="25"/>
  <c r="V445" i="25"/>
  <c r="U445" i="25"/>
  <c r="V444" i="25"/>
  <c r="U444" i="25"/>
  <c r="V443" i="25"/>
  <c r="U443" i="25"/>
  <c r="V442" i="25"/>
  <c r="U442" i="25"/>
  <c r="V441" i="25"/>
  <c r="U441" i="25"/>
  <c r="V440" i="25"/>
  <c r="U440" i="25"/>
  <c r="V439" i="25"/>
  <c r="U439" i="25"/>
  <c r="V438" i="25"/>
  <c r="U438" i="25"/>
  <c r="V437" i="25"/>
  <c r="U437" i="25"/>
  <c r="V436" i="25"/>
  <c r="U436" i="25"/>
  <c r="V435" i="25"/>
  <c r="U435" i="25"/>
  <c r="V434" i="25"/>
  <c r="U434" i="25"/>
  <c r="V433" i="25"/>
  <c r="U433" i="25"/>
  <c r="V432" i="25"/>
  <c r="U432" i="25"/>
  <c r="V431" i="25"/>
  <c r="U431" i="25"/>
  <c r="V430" i="25"/>
  <c r="U430" i="25"/>
  <c r="V429" i="25"/>
  <c r="U429" i="25"/>
  <c r="V428" i="25"/>
  <c r="U428" i="25"/>
  <c r="V427" i="25"/>
  <c r="U427" i="25"/>
  <c r="V426" i="25"/>
  <c r="U426" i="25"/>
  <c r="V425" i="25"/>
  <c r="U425" i="25"/>
  <c r="V424" i="25"/>
  <c r="U424" i="25"/>
  <c r="V423" i="25"/>
  <c r="U423" i="25"/>
  <c r="V422" i="25"/>
  <c r="U422" i="25"/>
  <c r="V421" i="25"/>
  <c r="U421" i="25"/>
  <c r="V420" i="25"/>
  <c r="U420" i="25"/>
  <c r="V419" i="25"/>
  <c r="U419" i="25"/>
  <c r="V418" i="25"/>
  <c r="U418" i="25"/>
  <c r="V417" i="25"/>
  <c r="U417" i="25"/>
  <c r="V416" i="25"/>
  <c r="U416" i="25"/>
  <c r="V415" i="25"/>
  <c r="U415" i="25"/>
  <c r="V414" i="25"/>
  <c r="U414" i="25"/>
  <c r="V413" i="25"/>
  <c r="U413" i="25"/>
  <c r="V412" i="25"/>
  <c r="U412" i="25"/>
  <c r="V411" i="25"/>
  <c r="U411" i="25"/>
  <c r="V410" i="25"/>
  <c r="U410" i="25"/>
  <c r="V409" i="25"/>
  <c r="U409" i="25"/>
  <c r="V408" i="25"/>
  <c r="U408" i="25"/>
  <c r="V407" i="25"/>
  <c r="U407" i="25"/>
  <c r="V406" i="25"/>
  <c r="U406" i="25"/>
  <c r="V405" i="25"/>
  <c r="U405" i="25"/>
  <c r="V404" i="25"/>
  <c r="U404" i="25"/>
  <c r="V403" i="25"/>
  <c r="U403" i="25"/>
  <c r="V402" i="25"/>
  <c r="U402" i="25"/>
  <c r="V401" i="25"/>
  <c r="U401" i="25"/>
  <c r="V400" i="25"/>
  <c r="U400" i="25"/>
  <c r="V399" i="25"/>
  <c r="U399" i="25"/>
  <c r="V398" i="25"/>
  <c r="U398" i="25"/>
  <c r="V397" i="25"/>
  <c r="U397" i="25"/>
  <c r="V396" i="25"/>
  <c r="U396" i="25"/>
  <c r="V395" i="25"/>
  <c r="U395" i="25"/>
  <c r="V394" i="25"/>
  <c r="U394" i="25"/>
  <c r="V393" i="25"/>
  <c r="U393" i="25"/>
  <c r="V392" i="25"/>
  <c r="U392" i="25"/>
  <c r="V391" i="25"/>
  <c r="U391" i="25"/>
  <c r="V390" i="25"/>
  <c r="U390" i="25"/>
  <c r="V389" i="25"/>
  <c r="U389" i="25"/>
  <c r="V388" i="25"/>
  <c r="U388" i="25"/>
  <c r="V387" i="25"/>
  <c r="U387" i="25"/>
  <c r="V386" i="25"/>
  <c r="U386" i="25"/>
  <c r="V385" i="25"/>
  <c r="U385" i="25"/>
  <c r="V384" i="25"/>
  <c r="U384" i="25"/>
  <c r="V383" i="25"/>
  <c r="U383" i="25"/>
  <c r="V382" i="25"/>
  <c r="U382" i="25"/>
  <c r="V381" i="25"/>
  <c r="U381" i="25"/>
  <c r="V380" i="25"/>
  <c r="U380" i="25"/>
  <c r="V379" i="25"/>
  <c r="U379" i="25"/>
  <c r="V378" i="25"/>
  <c r="U378" i="25"/>
  <c r="V377" i="25"/>
  <c r="U377" i="25"/>
  <c r="V376" i="25"/>
  <c r="U376" i="25"/>
  <c r="V375" i="25"/>
  <c r="U375" i="25"/>
  <c r="V374" i="25"/>
  <c r="U374" i="25"/>
  <c r="V373" i="25"/>
  <c r="U373" i="25"/>
  <c r="V372" i="25"/>
  <c r="U372" i="25"/>
  <c r="V371" i="25"/>
  <c r="U371" i="25"/>
  <c r="V370" i="25"/>
  <c r="U370" i="25"/>
  <c r="V369" i="25"/>
  <c r="U369" i="25"/>
  <c r="V368" i="25"/>
  <c r="U368" i="25"/>
  <c r="V367" i="25"/>
  <c r="U367" i="25"/>
  <c r="V366" i="25"/>
  <c r="U366" i="25"/>
  <c r="V365" i="25"/>
  <c r="U365" i="25"/>
  <c r="V364" i="25"/>
  <c r="U364" i="25"/>
  <c r="V363" i="25"/>
  <c r="U363" i="25"/>
  <c r="V362" i="25"/>
  <c r="U362" i="25"/>
  <c r="V361" i="25"/>
  <c r="U361" i="25"/>
  <c r="V360" i="25"/>
  <c r="U360" i="25"/>
  <c r="V359" i="25"/>
  <c r="U359" i="25"/>
  <c r="V358" i="25"/>
  <c r="U358" i="25"/>
  <c r="V357" i="25"/>
  <c r="U357" i="25"/>
  <c r="V356" i="25"/>
  <c r="U356" i="25"/>
  <c r="V355" i="25"/>
  <c r="U355" i="25"/>
  <c r="V354" i="25"/>
  <c r="U354" i="25"/>
  <c r="V353" i="25"/>
  <c r="U353" i="25"/>
  <c r="V352" i="25"/>
  <c r="U352" i="25"/>
  <c r="V351" i="25"/>
  <c r="U351" i="25"/>
  <c r="V350" i="25"/>
  <c r="U350" i="25"/>
  <c r="V349" i="25"/>
  <c r="U349" i="25"/>
  <c r="V348" i="25"/>
  <c r="U348" i="25"/>
  <c r="V347" i="25"/>
  <c r="U347" i="25"/>
  <c r="V346" i="25"/>
  <c r="U346" i="25"/>
  <c r="V345" i="25"/>
  <c r="U345" i="25"/>
  <c r="V344" i="25"/>
  <c r="U344" i="25"/>
  <c r="V343" i="25"/>
  <c r="U343" i="25"/>
  <c r="V342" i="25"/>
  <c r="U342" i="25"/>
  <c r="V341" i="25"/>
  <c r="U341" i="25"/>
  <c r="V340" i="25"/>
  <c r="U340" i="25"/>
  <c r="V339" i="25"/>
  <c r="U339" i="25"/>
  <c r="V338" i="25"/>
  <c r="U338" i="25"/>
  <c r="V337" i="25"/>
  <c r="U337" i="25"/>
  <c r="V336" i="25"/>
  <c r="U336" i="25"/>
  <c r="V335" i="25"/>
  <c r="U335" i="25"/>
  <c r="V334" i="25"/>
  <c r="U334" i="25"/>
  <c r="V333" i="25"/>
  <c r="U333" i="25"/>
  <c r="V332" i="25"/>
  <c r="U332" i="25"/>
  <c r="V331" i="25"/>
  <c r="U331" i="25"/>
  <c r="V330" i="25"/>
  <c r="U330" i="25"/>
  <c r="V329" i="25"/>
  <c r="U329" i="25"/>
  <c r="V328" i="25"/>
  <c r="U328" i="25"/>
  <c r="V327" i="25"/>
  <c r="U327" i="25"/>
  <c r="V326" i="25"/>
  <c r="U326" i="25"/>
  <c r="V325" i="25"/>
  <c r="U325" i="25"/>
  <c r="V324" i="25"/>
  <c r="U324" i="25"/>
  <c r="V323" i="25"/>
  <c r="U323" i="25"/>
  <c r="V322" i="25"/>
  <c r="U322" i="25"/>
  <c r="V321" i="25"/>
  <c r="U321" i="25"/>
  <c r="V320" i="25"/>
  <c r="U320" i="25"/>
  <c r="V319" i="25"/>
  <c r="U319" i="25"/>
  <c r="V318" i="25"/>
  <c r="U318" i="25"/>
  <c r="V317" i="25"/>
  <c r="U317" i="25"/>
  <c r="V316" i="25"/>
  <c r="U316" i="25"/>
  <c r="V315" i="25"/>
  <c r="U315" i="25"/>
  <c r="V314" i="25"/>
  <c r="U314" i="25"/>
  <c r="V313" i="25"/>
  <c r="U313" i="25"/>
  <c r="V312" i="25"/>
  <c r="U312" i="25"/>
  <c r="V311" i="25"/>
  <c r="U311" i="25"/>
  <c r="V310" i="25"/>
  <c r="U310" i="25"/>
  <c r="V309" i="25"/>
  <c r="U309" i="25"/>
  <c r="V308" i="25"/>
  <c r="U308" i="25"/>
  <c r="V307" i="25"/>
  <c r="U307" i="25"/>
  <c r="V306" i="25"/>
  <c r="U306" i="25"/>
  <c r="V305" i="25"/>
  <c r="U305" i="25"/>
  <c r="V304" i="25"/>
  <c r="U304" i="25"/>
  <c r="V303" i="25"/>
  <c r="U303" i="25"/>
  <c r="V302" i="25"/>
  <c r="U302" i="25"/>
  <c r="V301" i="25"/>
  <c r="U301" i="25"/>
  <c r="V300" i="25"/>
  <c r="U300" i="25"/>
  <c r="V299" i="25"/>
  <c r="U299" i="25"/>
  <c r="V298" i="25"/>
  <c r="U298" i="25"/>
  <c r="V297" i="25"/>
  <c r="U297" i="25"/>
  <c r="V296" i="25"/>
  <c r="U296" i="25"/>
  <c r="V295" i="25"/>
  <c r="U295" i="25"/>
  <c r="V294" i="25"/>
  <c r="U294" i="25"/>
  <c r="V293" i="25"/>
  <c r="U293" i="25"/>
  <c r="V292" i="25"/>
  <c r="U292" i="25"/>
  <c r="V291" i="25"/>
  <c r="U291" i="25"/>
  <c r="V290" i="25"/>
  <c r="U290" i="25"/>
  <c r="V289" i="25"/>
  <c r="U289" i="25"/>
  <c r="V288" i="25"/>
  <c r="U288" i="25"/>
  <c r="V287" i="25"/>
  <c r="U287" i="25"/>
  <c r="V286" i="25"/>
  <c r="U286" i="25"/>
  <c r="V285" i="25"/>
  <c r="U285" i="25"/>
  <c r="V284" i="25"/>
  <c r="U284" i="25"/>
  <c r="V283" i="25"/>
  <c r="U283" i="25"/>
  <c r="V282" i="25"/>
  <c r="U282" i="25"/>
  <c r="V281" i="25"/>
  <c r="U281" i="25"/>
  <c r="V280" i="25"/>
  <c r="U280" i="25"/>
  <c r="V279" i="25"/>
  <c r="U279" i="25"/>
  <c r="V278" i="25"/>
  <c r="U278" i="25"/>
  <c r="V277" i="25"/>
  <c r="U277" i="25"/>
  <c r="V276" i="25"/>
  <c r="U276" i="25"/>
  <c r="V275" i="25"/>
  <c r="U275" i="25"/>
  <c r="V274" i="25"/>
  <c r="U274" i="25"/>
  <c r="V273" i="25"/>
  <c r="U273" i="25"/>
  <c r="V272" i="25"/>
  <c r="U272" i="25"/>
  <c r="V271" i="25"/>
  <c r="U271" i="25"/>
  <c r="V270" i="25"/>
  <c r="U270" i="25"/>
  <c r="V269" i="25"/>
  <c r="U269" i="25"/>
  <c r="V268" i="25"/>
  <c r="U268" i="25"/>
  <c r="V267" i="25"/>
  <c r="U267" i="25"/>
  <c r="V266" i="25"/>
  <c r="U266" i="25"/>
  <c r="V265" i="25"/>
  <c r="U265" i="25"/>
  <c r="V264" i="25"/>
  <c r="U264" i="25"/>
  <c r="V263" i="25"/>
  <c r="U263" i="25"/>
  <c r="V262" i="25"/>
  <c r="U262" i="25"/>
  <c r="V261" i="25"/>
  <c r="U261" i="25"/>
  <c r="V260" i="25"/>
  <c r="U260" i="25"/>
  <c r="V259" i="25"/>
  <c r="U259" i="25"/>
  <c r="V258" i="25"/>
  <c r="U258" i="25"/>
  <c r="V257" i="25"/>
  <c r="U257" i="25"/>
  <c r="V256" i="25"/>
  <c r="U256" i="25"/>
  <c r="V255" i="25"/>
  <c r="U255" i="25"/>
  <c r="V254" i="25"/>
  <c r="U254" i="25"/>
  <c r="V253" i="25"/>
  <c r="U253" i="25"/>
  <c r="V252" i="25"/>
  <c r="U252" i="25"/>
  <c r="V251" i="25"/>
  <c r="U251" i="25"/>
  <c r="V250" i="25"/>
  <c r="U250" i="25"/>
  <c r="V249" i="25"/>
  <c r="U249" i="25"/>
  <c r="V248" i="25"/>
  <c r="U248" i="25"/>
  <c r="V247" i="25"/>
  <c r="U247" i="25"/>
  <c r="V246" i="25"/>
  <c r="U246" i="25"/>
  <c r="V245" i="25"/>
  <c r="U245" i="25"/>
  <c r="V244" i="25"/>
  <c r="U244" i="25"/>
  <c r="V243" i="25"/>
  <c r="U243" i="25"/>
  <c r="V242" i="25"/>
  <c r="U242" i="25"/>
  <c r="V241" i="25"/>
  <c r="U241" i="25"/>
  <c r="V240" i="25"/>
  <c r="U240" i="25"/>
  <c r="V239" i="25"/>
  <c r="U239" i="25"/>
  <c r="V238" i="25"/>
  <c r="U238" i="25"/>
  <c r="V237" i="25"/>
  <c r="U237" i="25"/>
  <c r="V236" i="25"/>
  <c r="U236" i="25"/>
  <c r="V235" i="25"/>
  <c r="U235" i="25"/>
  <c r="V234" i="25"/>
  <c r="U234" i="25"/>
  <c r="V233" i="25"/>
  <c r="U233" i="25"/>
  <c r="V232" i="25"/>
  <c r="U232" i="25"/>
  <c r="V231" i="25"/>
  <c r="U231" i="25"/>
  <c r="V230" i="25"/>
  <c r="U230" i="25"/>
  <c r="V229" i="25"/>
  <c r="U229" i="25"/>
  <c r="V228" i="25"/>
  <c r="U228" i="25"/>
  <c r="V227" i="25"/>
  <c r="U227" i="25"/>
  <c r="V226" i="25"/>
  <c r="U226" i="25"/>
  <c r="V225" i="25"/>
  <c r="U225" i="25"/>
  <c r="V224" i="25"/>
  <c r="U224" i="25"/>
  <c r="V223" i="25"/>
  <c r="U223" i="25"/>
  <c r="V222" i="25"/>
  <c r="U222" i="25"/>
  <c r="V221" i="25"/>
  <c r="U221" i="25"/>
  <c r="V220" i="25"/>
  <c r="U220" i="25"/>
  <c r="V219" i="25"/>
  <c r="U219" i="25"/>
  <c r="V218" i="25"/>
  <c r="U218" i="25"/>
  <c r="V217" i="25"/>
  <c r="U217" i="25"/>
  <c r="V216" i="25"/>
  <c r="U216" i="25"/>
  <c r="V215" i="25"/>
  <c r="U215" i="25"/>
  <c r="V214" i="25"/>
  <c r="U214" i="25"/>
  <c r="V213" i="25"/>
  <c r="U213" i="25"/>
  <c r="V212" i="25"/>
  <c r="U212" i="25"/>
  <c r="V211" i="25"/>
  <c r="U211" i="25"/>
  <c r="V210" i="25"/>
  <c r="U210" i="25"/>
  <c r="V209" i="25"/>
  <c r="U209" i="25"/>
  <c r="V208" i="25"/>
  <c r="U208" i="25"/>
  <c r="V207" i="25"/>
  <c r="U207" i="25"/>
  <c r="V206" i="25"/>
  <c r="U206" i="25"/>
  <c r="V205" i="25"/>
  <c r="U205" i="25"/>
  <c r="B26" i="25"/>
  <c r="B25" i="25"/>
  <c r="B24" i="25"/>
  <c r="B23" i="25"/>
  <c r="B22" i="25"/>
  <c r="B20" i="25"/>
  <c r="B19" i="25"/>
  <c r="Z101" i="64" l="1"/>
  <c r="Z117" i="64" s="1"/>
  <c r="Z168" i="64" s="1"/>
  <c r="X414" i="47"/>
  <c r="X432" i="47"/>
  <c r="Y355" i="47"/>
  <c r="Y349" i="47"/>
  <c r="AC77" i="47"/>
  <c r="AA226" i="63"/>
  <c r="AA44" i="67" s="1"/>
  <c r="Z307" i="63"/>
  <c r="AA287" i="63"/>
  <c r="AA133" i="64"/>
  <c r="B47" i="64"/>
  <c r="AA247" i="63"/>
  <c r="C168" i="39"/>
  <c r="G168" i="39"/>
  <c r="K168" i="39"/>
  <c r="O168" i="39"/>
  <c r="S168" i="39"/>
  <c r="W168" i="39"/>
  <c r="D168" i="39"/>
  <c r="H168" i="39"/>
  <c r="L168" i="39"/>
  <c r="P168" i="39"/>
  <c r="T168" i="39"/>
  <c r="X168" i="39"/>
  <c r="J168" i="39"/>
  <c r="R168" i="39"/>
  <c r="Z168" i="39"/>
  <c r="E168" i="39"/>
  <c r="M168" i="39"/>
  <c r="U168" i="39"/>
  <c r="Q168" i="39"/>
  <c r="F168" i="39"/>
  <c r="N168" i="39"/>
  <c r="V168" i="39"/>
  <c r="I168" i="39"/>
  <c r="Y168" i="39"/>
  <c r="Z145" i="39"/>
  <c r="Z146" i="39"/>
  <c r="Z147" i="39"/>
  <c r="Z148" i="39"/>
  <c r="Z149" i="39"/>
  <c r="Z150" i="39"/>
  <c r="Z151" i="39"/>
  <c r="Z152" i="39"/>
  <c r="Z153" i="39"/>
  <c r="Z154" i="39"/>
  <c r="Z155" i="39"/>
  <c r="Z156" i="39"/>
  <c r="Z157" i="39"/>
  <c r="Z149" i="51"/>
  <c r="Z150" i="51"/>
  <c r="Z151" i="51"/>
  <c r="Z152" i="51"/>
  <c r="Z153" i="51"/>
  <c r="Z154" i="51"/>
  <c r="Z155" i="51"/>
  <c r="Z156" i="51"/>
  <c r="Z157" i="51"/>
  <c r="Z158" i="51"/>
  <c r="Z159" i="51"/>
  <c r="Z160" i="51"/>
  <c r="Z161" i="51"/>
  <c r="D172" i="51"/>
  <c r="H172" i="51"/>
  <c r="L172" i="51"/>
  <c r="P172" i="51"/>
  <c r="T172" i="51"/>
  <c r="X172" i="51"/>
  <c r="E172" i="51"/>
  <c r="I172" i="51"/>
  <c r="M172" i="51"/>
  <c r="Q172" i="51"/>
  <c r="U172" i="51"/>
  <c r="Y172" i="51"/>
  <c r="F172" i="51"/>
  <c r="J172" i="51"/>
  <c r="N172" i="51"/>
  <c r="R172" i="51"/>
  <c r="V172" i="51"/>
  <c r="Z172" i="51"/>
  <c r="C172" i="51"/>
  <c r="G172" i="51"/>
  <c r="K172" i="51"/>
  <c r="O172" i="51"/>
  <c r="S172" i="51"/>
  <c r="W172" i="51"/>
  <c r="D75" i="51"/>
  <c r="H75" i="51"/>
  <c r="L75" i="51"/>
  <c r="P75" i="51"/>
  <c r="T75" i="51"/>
  <c r="X75" i="51"/>
  <c r="C75" i="51"/>
  <c r="I75" i="51"/>
  <c r="N75" i="51"/>
  <c r="S75" i="51"/>
  <c r="Y75" i="51"/>
  <c r="E75" i="51"/>
  <c r="J75" i="51"/>
  <c r="O75" i="51"/>
  <c r="U75" i="51"/>
  <c r="Z75" i="51"/>
  <c r="F75" i="51"/>
  <c r="Q75" i="51"/>
  <c r="K75" i="51"/>
  <c r="V75" i="51"/>
  <c r="G75" i="51"/>
  <c r="R75" i="51"/>
  <c r="M75" i="51"/>
  <c r="W75" i="51"/>
  <c r="B173" i="51"/>
  <c r="Z52" i="51"/>
  <c r="Z53" i="51"/>
  <c r="Z54" i="51"/>
  <c r="Z55" i="51"/>
  <c r="Z56" i="51"/>
  <c r="Z57" i="51"/>
  <c r="Z58" i="51"/>
  <c r="Z59" i="51"/>
  <c r="Z60" i="51"/>
  <c r="Z61" i="51"/>
  <c r="Z62" i="51"/>
  <c r="Z63" i="51"/>
  <c r="Z64" i="51"/>
  <c r="B76" i="51"/>
  <c r="Z49" i="39"/>
  <c r="Z50" i="39"/>
  <c r="Z51" i="39"/>
  <c r="Z52" i="39"/>
  <c r="Z53" i="39"/>
  <c r="Z54" i="39"/>
  <c r="Z55" i="39"/>
  <c r="Z56" i="39"/>
  <c r="Z57" i="39"/>
  <c r="Z58" i="39"/>
  <c r="Z59" i="39"/>
  <c r="Z60" i="39"/>
  <c r="Z61" i="39"/>
  <c r="B169" i="39"/>
  <c r="C72" i="39"/>
  <c r="G72" i="39"/>
  <c r="K72" i="39"/>
  <c r="O72" i="39"/>
  <c r="S72" i="39"/>
  <c r="W72" i="39"/>
  <c r="E72" i="39"/>
  <c r="I72" i="39"/>
  <c r="M72" i="39"/>
  <c r="Q72" i="39"/>
  <c r="U72" i="39"/>
  <c r="Y72" i="39"/>
  <c r="J72" i="39"/>
  <c r="R72" i="39"/>
  <c r="Z72" i="39"/>
  <c r="F72" i="39"/>
  <c r="P72" i="39"/>
  <c r="H72" i="39"/>
  <c r="T72" i="39"/>
  <c r="L72" i="39"/>
  <c r="V72" i="39"/>
  <c r="D72" i="39"/>
  <c r="N72" i="39"/>
  <c r="X72" i="39"/>
  <c r="B73" i="39"/>
  <c r="Z316" i="63"/>
  <c r="AB10" i="63"/>
  <c r="AB11" i="67" s="1"/>
  <c r="AB189" i="63"/>
  <c r="AB152" i="63"/>
  <c r="AB76" i="64" s="1"/>
  <c r="AB143" i="64" s="1"/>
  <c r="AB104" i="63"/>
  <c r="AB177" i="63"/>
  <c r="AB82" i="67" s="1"/>
  <c r="AB38" i="63"/>
  <c r="AB305" i="63" s="1"/>
  <c r="AB128" i="63"/>
  <c r="AA315" i="63"/>
  <c r="AA306" i="63"/>
  <c r="AA314" i="63"/>
  <c r="AD42" i="30"/>
  <c r="AC54" i="30"/>
  <c r="AC65" i="30" s="1"/>
  <c r="AC89" i="30" s="1"/>
  <c r="AC110" i="30" s="1"/>
  <c r="AB90" i="49"/>
  <c r="AD102" i="30"/>
  <c r="AA68" i="49"/>
  <c r="AA36" i="49"/>
  <c r="AA56" i="49" s="1"/>
  <c r="AZ118" i="50"/>
  <c r="Z112" i="39"/>
  <c r="Z115" i="51"/>
  <c r="AB24" i="49"/>
  <c r="AB68" i="49" s="1"/>
  <c r="AB21" i="54"/>
  <c r="AB18" i="51"/>
  <c r="AA11" i="54"/>
  <c r="Z180" i="47"/>
  <c r="Z218" i="47"/>
  <c r="Z164" i="47"/>
  <c r="AA51" i="51"/>
  <c r="AA16" i="47"/>
  <c r="AA91" i="47"/>
  <c r="AB223" i="36"/>
  <c r="AB131" i="53"/>
  <c r="AB201" i="53"/>
  <c r="AB105" i="53"/>
  <c r="AA11" i="53"/>
  <c r="AB179" i="53"/>
  <c r="AB225" i="53"/>
  <c r="AB153" i="53"/>
  <c r="AA86" i="53"/>
  <c r="AB234" i="52"/>
  <c r="AB200" i="52"/>
  <c r="AB104" i="52"/>
  <c r="AB226" i="52"/>
  <c r="AB178" i="52"/>
  <c r="AA85" i="52"/>
  <c r="AA10" i="52"/>
  <c r="AB152" i="52"/>
  <c r="AB130" i="52"/>
  <c r="AA148" i="51"/>
  <c r="AZ82" i="50"/>
  <c r="Z53" i="40"/>
  <c r="AB87" i="40"/>
  <c r="AC124" i="30"/>
  <c r="AB102" i="36"/>
  <c r="AA100" i="40"/>
  <c r="AA11" i="43"/>
  <c r="AB176" i="44"/>
  <c r="AB222" i="44"/>
  <c r="AA83" i="43"/>
  <c r="AB128" i="43"/>
  <c r="AA33" i="40"/>
  <c r="AB230" i="36"/>
  <c r="AB198" i="36"/>
  <c r="AB102" i="44"/>
  <c r="AB128" i="44"/>
  <c r="AB198" i="44"/>
  <c r="AB198" i="43"/>
  <c r="AA11" i="36"/>
  <c r="AB128" i="36"/>
  <c r="AB150" i="44"/>
  <c r="AA83" i="44"/>
  <c r="AB150" i="43"/>
  <c r="AB102" i="43"/>
  <c r="AA65" i="40"/>
  <c r="AB176" i="36"/>
  <c r="AA11" i="44"/>
  <c r="AB176" i="43"/>
  <c r="AB222" i="43"/>
  <c r="AA83" i="36"/>
  <c r="AB150" i="36"/>
  <c r="AA144" i="39"/>
  <c r="AA48" i="39"/>
  <c r="AB21" i="37"/>
  <c r="AB11" i="37" s="1"/>
  <c r="AB21" i="40"/>
  <c r="AB16" i="39"/>
  <c r="AC81" i="30"/>
  <c r="AC21" i="63" s="1"/>
  <c r="D112" i="42"/>
  <c r="C112" i="42"/>
  <c r="E81" i="35"/>
  <c r="C240" i="3"/>
  <c r="C125" i="3" s="1"/>
  <c r="E89" i="35"/>
  <c r="H89" i="35" s="1"/>
  <c r="E61" i="35"/>
  <c r="E91" i="35"/>
  <c r="H91" i="35" s="1"/>
  <c r="W206" i="25"/>
  <c r="C20" i="25" s="1"/>
  <c r="C130" i="3" s="1"/>
  <c r="W697" i="25"/>
  <c r="C25" i="25" s="1"/>
  <c r="C26" i="25"/>
  <c r="V876" i="25"/>
  <c r="C29" i="25" s="1"/>
  <c r="C141" i="3" s="1"/>
  <c r="V802" i="25"/>
  <c r="C28" i="25" s="1"/>
  <c r="C142" i="3" s="1"/>
  <c r="C127" i="3"/>
  <c r="V791" i="25"/>
  <c r="C128" i="3"/>
  <c r="C19" i="25"/>
  <c r="W195" i="25"/>
  <c r="C18" i="25" s="1"/>
  <c r="C134" i="3" s="1"/>
  <c r="W465" i="25"/>
  <c r="C21" i="25" s="1"/>
  <c r="W492" i="25"/>
  <c r="C22" i="25" s="1"/>
  <c r="W622" i="25"/>
  <c r="C23" i="25" s="1"/>
  <c r="W629" i="25"/>
  <c r="C24" i="25" s="1"/>
  <c r="I224" i="19"/>
  <c r="I265" i="19" s="1"/>
  <c r="M224" i="19"/>
  <c r="M258" i="19" s="1"/>
  <c r="AA101" i="64" l="1"/>
  <c r="AA117" i="64" s="1"/>
  <c r="AA168" i="64" s="1"/>
  <c r="Y414" i="47"/>
  <c r="Y432" i="47"/>
  <c r="Z355" i="47"/>
  <c r="Z349" i="47"/>
  <c r="AD77" i="47"/>
  <c r="AB226" i="63"/>
  <c r="AB44" i="67" s="1"/>
  <c r="AA307" i="63"/>
  <c r="AB287" i="63"/>
  <c r="AB133" i="64"/>
  <c r="M231" i="19"/>
  <c r="M256" i="19"/>
  <c r="M265" i="19"/>
  <c r="M228" i="19"/>
  <c r="M238" i="19"/>
  <c r="M242" i="19"/>
  <c r="M250" i="19"/>
  <c r="M252" i="19"/>
  <c r="M240" i="19"/>
  <c r="M229" i="19"/>
  <c r="M226" i="19"/>
  <c r="M248" i="19"/>
  <c r="M237" i="19"/>
  <c r="M264" i="19"/>
  <c r="M241" i="19"/>
  <c r="M227" i="19"/>
  <c r="M253" i="19"/>
  <c r="M263" i="19"/>
  <c r="M261" i="19"/>
  <c r="M257" i="19"/>
  <c r="M230" i="19"/>
  <c r="M235" i="19"/>
  <c r="M260" i="19"/>
  <c r="M233" i="19"/>
  <c r="M255" i="19"/>
  <c r="M249" i="19"/>
  <c r="M234" i="19"/>
  <c r="M247" i="19"/>
  <c r="M262" i="19"/>
  <c r="M243" i="19"/>
  <c r="M239" i="19"/>
  <c r="M246" i="19"/>
  <c r="M244" i="19"/>
  <c r="M251" i="19"/>
  <c r="M245" i="19"/>
  <c r="M232" i="19"/>
  <c r="M254" i="19"/>
  <c r="M236" i="19"/>
  <c r="M259" i="19"/>
  <c r="F61" i="35"/>
  <c r="H61" i="35"/>
  <c r="I61" i="35"/>
  <c r="D146" i="35" s="1"/>
  <c r="H81" i="35"/>
  <c r="I81" i="35"/>
  <c r="B48" i="64"/>
  <c r="AB247" i="63"/>
  <c r="D169" i="39"/>
  <c r="H169" i="39"/>
  <c r="L169" i="39"/>
  <c r="P169" i="39"/>
  <c r="T169" i="39"/>
  <c r="X169" i="39"/>
  <c r="E169" i="39"/>
  <c r="I169" i="39"/>
  <c r="M169" i="39"/>
  <c r="Q169" i="39"/>
  <c r="U169" i="39"/>
  <c r="Y169" i="39"/>
  <c r="G169" i="39"/>
  <c r="O169" i="39"/>
  <c r="W169" i="39"/>
  <c r="J169" i="39"/>
  <c r="R169" i="39"/>
  <c r="Z169" i="39"/>
  <c r="N169" i="39"/>
  <c r="C169" i="39"/>
  <c r="K169" i="39"/>
  <c r="S169" i="39"/>
  <c r="AA169" i="39"/>
  <c r="F169" i="39"/>
  <c r="V169" i="39"/>
  <c r="AA145" i="39"/>
  <c r="AA146" i="39"/>
  <c r="AA147" i="39"/>
  <c r="AA148" i="39"/>
  <c r="AA149" i="39"/>
  <c r="AA150" i="39"/>
  <c r="AA151" i="39"/>
  <c r="AA152" i="39"/>
  <c r="AA153" i="39"/>
  <c r="AA154" i="39"/>
  <c r="AA155" i="39"/>
  <c r="AA156" i="39"/>
  <c r="AA157" i="39"/>
  <c r="AA158" i="39"/>
  <c r="AA149" i="51"/>
  <c r="AA150" i="51"/>
  <c r="AA151" i="51"/>
  <c r="AA152" i="51"/>
  <c r="AA153" i="51"/>
  <c r="AA154" i="51"/>
  <c r="AA155" i="51"/>
  <c r="AA156" i="51"/>
  <c r="AA157" i="51"/>
  <c r="AA158" i="51"/>
  <c r="AA159" i="51"/>
  <c r="AA160" i="51"/>
  <c r="AA161" i="51"/>
  <c r="AA162" i="51"/>
  <c r="E173" i="51"/>
  <c r="I173" i="51"/>
  <c r="M173" i="51"/>
  <c r="Q173" i="51"/>
  <c r="U173" i="51"/>
  <c r="Y173" i="51"/>
  <c r="F173" i="51"/>
  <c r="J173" i="51"/>
  <c r="N173" i="51"/>
  <c r="R173" i="51"/>
  <c r="V173" i="51"/>
  <c r="Z173" i="51"/>
  <c r="C173" i="51"/>
  <c r="G173" i="51"/>
  <c r="K173" i="51"/>
  <c r="O173" i="51"/>
  <c r="S173" i="51"/>
  <c r="W173" i="51"/>
  <c r="AA173" i="51"/>
  <c r="D173" i="51"/>
  <c r="H173" i="51"/>
  <c r="L173" i="51"/>
  <c r="P173" i="51"/>
  <c r="T173" i="51"/>
  <c r="X173" i="51"/>
  <c r="B174" i="51"/>
  <c r="E76" i="51"/>
  <c r="I76" i="51"/>
  <c r="M76" i="51"/>
  <c r="Q76" i="51"/>
  <c r="U76" i="51"/>
  <c r="Y76" i="51"/>
  <c r="F76" i="51"/>
  <c r="K76" i="51"/>
  <c r="P76" i="51"/>
  <c r="V76" i="51"/>
  <c r="AA76" i="51"/>
  <c r="G76" i="51"/>
  <c r="L76" i="51"/>
  <c r="R76" i="51"/>
  <c r="W76" i="51"/>
  <c r="H76" i="51"/>
  <c r="S76" i="51"/>
  <c r="C76" i="51"/>
  <c r="N76" i="51"/>
  <c r="X76" i="51"/>
  <c r="J76" i="51"/>
  <c r="T76" i="51"/>
  <c r="D76" i="51"/>
  <c r="O76" i="51"/>
  <c r="Z76" i="51"/>
  <c r="AA52" i="51"/>
  <c r="AA53" i="51"/>
  <c r="AA54" i="51"/>
  <c r="AA55" i="51"/>
  <c r="AA56" i="51"/>
  <c r="AA57" i="51"/>
  <c r="AA58" i="51"/>
  <c r="AA59" i="51"/>
  <c r="AA60" i="51"/>
  <c r="AA61" i="51"/>
  <c r="AA62" i="51"/>
  <c r="AA63" i="51"/>
  <c r="AA64" i="51"/>
  <c r="AA65" i="51"/>
  <c r="B77" i="51"/>
  <c r="B170" i="39"/>
  <c r="AA49" i="39"/>
  <c r="AA50" i="39"/>
  <c r="AA51" i="39"/>
  <c r="AA52" i="39"/>
  <c r="AA53" i="39"/>
  <c r="AA54" i="39"/>
  <c r="AA55" i="39"/>
  <c r="AA56" i="39"/>
  <c r="AA57" i="39"/>
  <c r="AA58" i="39"/>
  <c r="AA59" i="39"/>
  <c r="AA60" i="39"/>
  <c r="AA61" i="39"/>
  <c r="AA62" i="39"/>
  <c r="D73" i="39"/>
  <c r="H73" i="39"/>
  <c r="L73" i="39"/>
  <c r="P73" i="39"/>
  <c r="T73" i="39"/>
  <c r="X73" i="39"/>
  <c r="F73" i="39"/>
  <c r="J73" i="39"/>
  <c r="N73" i="39"/>
  <c r="R73" i="39"/>
  <c r="V73" i="39"/>
  <c r="Z73" i="39"/>
  <c r="G73" i="39"/>
  <c r="O73" i="39"/>
  <c r="W73" i="39"/>
  <c r="I73" i="39"/>
  <c r="S73" i="39"/>
  <c r="K73" i="39"/>
  <c r="U73" i="39"/>
  <c r="C73" i="39"/>
  <c r="M73" i="39"/>
  <c r="Y73" i="39"/>
  <c r="AA73" i="39"/>
  <c r="E73" i="39"/>
  <c r="Q73" i="39"/>
  <c r="B74" i="39"/>
  <c r="AB315" i="63"/>
  <c r="AB306" i="63"/>
  <c r="AB314" i="63"/>
  <c r="AC189" i="63"/>
  <c r="AC104" i="63"/>
  <c r="AC38" i="63"/>
  <c r="AC305" i="63" s="1"/>
  <c r="AC177" i="63"/>
  <c r="AC82" i="67" s="1"/>
  <c r="AC10" i="63"/>
  <c r="AC11" i="67" s="1"/>
  <c r="AC152" i="63"/>
  <c r="AC76" i="64" s="1"/>
  <c r="AC143" i="64" s="1"/>
  <c r="AC128" i="63"/>
  <c r="AA316" i="63"/>
  <c r="AE42" i="30"/>
  <c r="AD54" i="30"/>
  <c r="AD65" i="30" s="1"/>
  <c r="AD89" i="30" s="1"/>
  <c r="AD110" i="30" s="1"/>
  <c r="AC90" i="49"/>
  <c r="AE102" i="30"/>
  <c r="F108" i="42"/>
  <c r="AB103" i="49"/>
  <c r="AB36" i="49"/>
  <c r="AB56" i="49" s="1"/>
  <c r="BA118" i="50"/>
  <c r="AA164" i="47"/>
  <c r="AA180" i="47"/>
  <c r="AA218" i="47"/>
  <c r="AB51" i="51"/>
  <c r="AA112" i="39"/>
  <c r="AA115" i="51"/>
  <c r="AB11" i="54"/>
  <c r="AC223" i="36"/>
  <c r="AC201" i="53"/>
  <c r="AC105" i="53"/>
  <c r="AB11" i="53"/>
  <c r="AC179" i="53"/>
  <c r="AC225" i="53"/>
  <c r="AC153" i="53"/>
  <c r="AB86" i="53"/>
  <c r="AC131" i="53"/>
  <c r="AC226" i="52"/>
  <c r="AC178" i="52"/>
  <c r="AB85" i="52"/>
  <c r="AB10" i="52"/>
  <c r="AC152" i="52"/>
  <c r="AC130" i="52"/>
  <c r="AC234" i="52"/>
  <c r="AC200" i="52"/>
  <c r="AC104" i="52"/>
  <c r="AC24" i="49"/>
  <c r="AC36" i="49" s="1"/>
  <c r="AC56" i="49" s="1"/>
  <c r="AC21" i="54"/>
  <c r="AC18" i="51"/>
  <c r="AB148" i="51"/>
  <c r="AB91" i="47"/>
  <c r="AB16" i="47"/>
  <c r="G75" i="53"/>
  <c r="F77" i="53"/>
  <c r="BA82" i="50"/>
  <c r="AA53" i="40"/>
  <c r="F89" i="35"/>
  <c r="F81" i="35"/>
  <c r="F91" i="35"/>
  <c r="E131" i="35" s="1"/>
  <c r="AB144" i="39"/>
  <c r="AC16" i="39"/>
  <c r="AD81" i="30"/>
  <c r="AD21" i="63" s="1"/>
  <c r="AC21" i="40"/>
  <c r="AC21" i="37"/>
  <c r="AC11" i="37" s="1"/>
  <c r="AC87" i="40"/>
  <c r="AD124" i="30"/>
  <c r="AB48" i="39"/>
  <c r="AC102" i="36"/>
  <c r="AB11" i="44"/>
  <c r="AB83" i="44"/>
  <c r="AC128" i="43"/>
  <c r="AB11" i="43"/>
  <c r="AB33" i="40"/>
  <c r="AC150" i="36"/>
  <c r="AC150" i="44"/>
  <c r="AC102" i="43"/>
  <c r="AC222" i="44"/>
  <c r="AC176" i="44"/>
  <c r="AC102" i="44"/>
  <c r="AB83" i="43"/>
  <c r="AB65" i="40"/>
  <c r="AB83" i="36"/>
  <c r="AC128" i="36"/>
  <c r="AC222" i="43"/>
  <c r="AB100" i="40"/>
  <c r="AC128" i="44"/>
  <c r="AC150" i="43"/>
  <c r="AC198" i="43"/>
  <c r="AC176" i="43"/>
  <c r="AC230" i="36"/>
  <c r="AC198" i="36"/>
  <c r="AC198" i="44"/>
  <c r="AB11" i="36"/>
  <c r="AC176" i="36"/>
  <c r="F111" i="42"/>
  <c r="F110" i="42"/>
  <c r="I229" i="19"/>
  <c r="I231" i="19"/>
  <c r="I234" i="19"/>
  <c r="I239" i="19"/>
  <c r="I230" i="19"/>
  <c r="I232" i="19"/>
  <c r="I233" i="19"/>
  <c r="I236" i="19"/>
  <c r="I238" i="19"/>
  <c r="I241" i="19"/>
  <c r="I242" i="19"/>
  <c r="I243" i="19"/>
  <c r="I227" i="19"/>
  <c r="I237" i="19"/>
  <c r="I235" i="19"/>
  <c r="I244" i="19"/>
  <c r="I246" i="19"/>
  <c r="I249" i="19"/>
  <c r="I251" i="19"/>
  <c r="I254" i="19"/>
  <c r="I261" i="19"/>
  <c r="I263" i="19"/>
  <c r="I226" i="19"/>
  <c r="I253" i="19"/>
  <c r="I257" i="19"/>
  <c r="I259" i="19"/>
  <c r="I262" i="19"/>
  <c r="I264" i="19"/>
  <c r="I228" i="19"/>
  <c r="I240" i="19"/>
  <c r="I245" i="19"/>
  <c r="I252" i="19"/>
  <c r="I256" i="19"/>
  <c r="I258" i="19"/>
  <c r="I247" i="19"/>
  <c r="I250" i="19"/>
  <c r="I248" i="19"/>
  <c r="I255" i="19"/>
  <c r="I260" i="19"/>
  <c r="E87" i="35"/>
  <c r="D130" i="35"/>
  <c r="E40" i="35"/>
  <c r="N224" i="19"/>
  <c r="H224" i="19"/>
  <c r="H265" i="19" s="1"/>
  <c r="D46" i="3"/>
  <c r="E46" i="3"/>
  <c r="F46" i="3"/>
  <c r="G46" i="3"/>
  <c r="H46" i="3"/>
  <c r="I46" i="3"/>
  <c r="J46" i="3"/>
  <c r="K46" i="3"/>
  <c r="L46" i="3"/>
  <c r="M46" i="3"/>
  <c r="C46" i="3"/>
  <c r="I87" i="35" l="1"/>
  <c r="H87" i="35"/>
  <c r="AB101" i="64"/>
  <c r="AB117" i="64" s="1"/>
  <c r="AB168" i="64" s="1"/>
  <c r="Z414" i="47"/>
  <c r="Z432" i="47"/>
  <c r="AA355" i="47"/>
  <c r="AA349" i="47"/>
  <c r="AE77" i="47"/>
  <c r="AC226" i="63"/>
  <c r="AC44" i="67" s="1"/>
  <c r="AB307" i="63"/>
  <c r="AC287" i="63"/>
  <c r="AC133" i="64"/>
  <c r="N234" i="19"/>
  <c r="N261" i="19"/>
  <c r="N226" i="19"/>
  <c r="N251" i="19"/>
  <c r="N263" i="19"/>
  <c r="N260" i="19"/>
  <c r="N231" i="19"/>
  <c r="N253" i="19"/>
  <c r="N250" i="19"/>
  <c r="N232" i="19"/>
  <c r="N233" i="19"/>
  <c r="N228" i="19"/>
  <c r="N229" i="19"/>
  <c r="N243" i="19"/>
  <c r="N252" i="19"/>
  <c r="N249" i="19"/>
  <c r="N237" i="19"/>
  <c r="N235" i="19"/>
  <c r="N256" i="19"/>
  <c r="N248" i="19"/>
  <c r="N236" i="19"/>
  <c r="N245" i="19"/>
  <c r="N241" i="19"/>
  <c r="N264" i="19"/>
  <c r="N239" i="19"/>
  <c r="N230" i="19"/>
  <c r="N259" i="19"/>
  <c r="N254" i="19"/>
  <c r="N242" i="19"/>
  <c r="N265" i="19"/>
  <c r="N244" i="19"/>
  <c r="N262" i="19"/>
  <c r="N255" i="19"/>
  <c r="N240" i="19"/>
  <c r="N238" i="19"/>
  <c r="N246" i="19"/>
  <c r="N247" i="19"/>
  <c r="N257" i="19"/>
  <c r="N227" i="19"/>
  <c r="N258" i="19"/>
  <c r="F40" i="35"/>
  <c r="I40" i="35"/>
  <c r="C146" i="35" s="1"/>
  <c r="H40" i="35"/>
  <c r="B49" i="64"/>
  <c r="AC247" i="63"/>
  <c r="AB149" i="51"/>
  <c r="AB150" i="51"/>
  <c r="AB151" i="51"/>
  <c r="AB152" i="51"/>
  <c r="AB153" i="51"/>
  <c r="AB154" i="51"/>
  <c r="AB155" i="51"/>
  <c r="AB156" i="51"/>
  <c r="AB157" i="51"/>
  <c r="AB158" i="51"/>
  <c r="AB159" i="51"/>
  <c r="AB160" i="51"/>
  <c r="AB161" i="51"/>
  <c r="AB162" i="51"/>
  <c r="AB163" i="51"/>
  <c r="E170" i="39"/>
  <c r="I170" i="39"/>
  <c r="M170" i="39"/>
  <c r="Q170" i="39"/>
  <c r="U170" i="39"/>
  <c r="Y170" i="39"/>
  <c r="F170" i="39"/>
  <c r="J170" i="39"/>
  <c r="N170" i="39"/>
  <c r="R170" i="39"/>
  <c r="V170" i="39"/>
  <c r="Z170" i="39"/>
  <c r="D170" i="39"/>
  <c r="L170" i="39"/>
  <c r="T170" i="39"/>
  <c r="AB170" i="39"/>
  <c r="G170" i="39"/>
  <c r="O170" i="39"/>
  <c r="W170" i="39"/>
  <c r="K170" i="39"/>
  <c r="AA170" i="39"/>
  <c r="H170" i="39"/>
  <c r="P170" i="39"/>
  <c r="X170" i="39"/>
  <c r="C170" i="39"/>
  <c r="S170" i="39"/>
  <c r="F174" i="51"/>
  <c r="J174" i="51"/>
  <c r="N174" i="51"/>
  <c r="R174" i="51"/>
  <c r="V174" i="51"/>
  <c r="Z174" i="51"/>
  <c r="C174" i="51"/>
  <c r="G174" i="51"/>
  <c r="K174" i="51"/>
  <c r="O174" i="51"/>
  <c r="S174" i="51"/>
  <c r="W174" i="51"/>
  <c r="AA174" i="51"/>
  <c r="D174" i="51"/>
  <c r="H174" i="51"/>
  <c r="L174" i="51"/>
  <c r="P174" i="51"/>
  <c r="T174" i="51"/>
  <c r="X174" i="51"/>
  <c r="AB174" i="51"/>
  <c r="E174" i="51"/>
  <c r="I174" i="51"/>
  <c r="M174" i="51"/>
  <c r="Q174" i="51"/>
  <c r="U174" i="51"/>
  <c r="Y174" i="51"/>
  <c r="AB145" i="39"/>
  <c r="AB146" i="39"/>
  <c r="AB147" i="39"/>
  <c r="AB148" i="39"/>
  <c r="AB149" i="39"/>
  <c r="AB150" i="39"/>
  <c r="AB151" i="39"/>
  <c r="AB152" i="39"/>
  <c r="AB153" i="39"/>
  <c r="AB154" i="39"/>
  <c r="AB155" i="39"/>
  <c r="AB156" i="39"/>
  <c r="AB157" i="39"/>
  <c r="AB158" i="39"/>
  <c r="AB159" i="39"/>
  <c r="AB52" i="51"/>
  <c r="AB53" i="51"/>
  <c r="AB54" i="51"/>
  <c r="AB55" i="51"/>
  <c r="AB56" i="51"/>
  <c r="AB57" i="51"/>
  <c r="AB58" i="51"/>
  <c r="AB59" i="51"/>
  <c r="AB60" i="51"/>
  <c r="AB61" i="51"/>
  <c r="AB62" i="51"/>
  <c r="AB63" i="51"/>
  <c r="AB64" i="51"/>
  <c r="AB65" i="51"/>
  <c r="AB66" i="51"/>
  <c r="F77" i="51"/>
  <c r="J77" i="51"/>
  <c r="N77" i="51"/>
  <c r="R77" i="51"/>
  <c r="V77" i="51"/>
  <c r="Z77" i="51"/>
  <c r="C77" i="51"/>
  <c r="H77" i="51"/>
  <c r="M77" i="51"/>
  <c r="S77" i="51"/>
  <c r="X77" i="51"/>
  <c r="D77" i="51"/>
  <c r="I77" i="51"/>
  <c r="O77" i="51"/>
  <c r="T77" i="51"/>
  <c r="Y77" i="51"/>
  <c r="K77" i="51"/>
  <c r="U77" i="51"/>
  <c r="E77" i="51"/>
  <c r="P77" i="51"/>
  <c r="AA77" i="51"/>
  <c r="L77" i="51"/>
  <c r="W77" i="51"/>
  <c r="G77" i="51"/>
  <c r="Q77" i="51"/>
  <c r="AB77" i="51"/>
  <c r="B175" i="51"/>
  <c r="B78" i="51"/>
  <c r="AB49" i="39"/>
  <c r="AB50" i="39"/>
  <c r="AB51" i="39"/>
  <c r="AB52" i="39"/>
  <c r="AB53" i="39"/>
  <c r="AB54" i="39"/>
  <c r="AB55" i="39"/>
  <c r="AB56" i="39"/>
  <c r="AB57" i="39"/>
  <c r="AB58" i="39"/>
  <c r="AB59" i="39"/>
  <c r="AB60" i="39"/>
  <c r="AB61" i="39"/>
  <c r="AB62" i="39"/>
  <c r="AB63" i="39"/>
  <c r="E74" i="39"/>
  <c r="I74" i="39"/>
  <c r="M74" i="39"/>
  <c r="Q74" i="39"/>
  <c r="U74" i="39"/>
  <c r="Y74" i="39"/>
  <c r="C74" i="39"/>
  <c r="G74" i="39"/>
  <c r="K74" i="39"/>
  <c r="O74" i="39"/>
  <c r="S74" i="39"/>
  <c r="W74" i="39"/>
  <c r="AA74" i="39"/>
  <c r="D74" i="39"/>
  <c r="L74" i="39"/>
  <c r="T74" i="39"/>
  <c r="AB74" i="39"/>
  <c r="J74" i="39"/>
  <c r="V74" i="39"/>
  <c r="N74" i="39"/>
  <c r="X74" i="39"/>
  <c r="F74" i="39"/>
  <c r="P74" i="39"/>
  <c r="Z74" i="39"/>
  <c r="R74" i="39"/>
  <c r="H74" i="39"/>
  <c r="B171" i="39"/>
  <c r="B75" i="39"/>
  <c r="AD10" i="63"/>
  <c r="AD11" i="67" s="1"/>
  <c r="AD152" i="63"/>
  <c r="AD76" i="64" s="1"/>
  <c r="AD143" i="64" s="1"/>
  <c r="AD189" i="63"/>
  <c r="AD128" i="63"/>
  <c r="AD104" i="63"/>
  <c r="AD177" i="63"/>
  <c r="AD82" i="67" s="1"/>
  <c r="AD38" i="63"/>
  <c r="AD305" i="63" s="1"/>
  <c r="AC314" i="63"/>
  <c r="AC315" i="63"/>
  <c r="AC306" i="63"/>
  <c r="AB316" i="63"/>
  <c r="AE54" i="30"/>
  <c r="AE65" i="30" s="1"/>
  <c r="AE89" i="30" s="1"/>
  <c r="AE110" i="30" s="1"/>
  <c r="AF42" i="30"/>
  <c r="AD90" i="49"/>
  <c r="AF102" i="30"/>
  <c r="I91" i="35"/>
  <c r="E147" i="35" s="1"/>
  <c r="D108" i="42"/>
  <c r="C108" i="42"/>
  <c r="E130" i="35"/>
  <c r="I89" i="35"/>
  <c r="E146" i="35" s="1"/>
  <c r="G76" i="52"/>
  <c r="BB118" i="50"/>
  <c r="AD223" i="36"/>
  <c r="AD179" i="53"/>
  <c r="AD225" i="53"/>
  <c r="AD153" i="53"/>
  <c r="AC86" i="53"/>
  <c r="AD131" i="53"/>
  <c r="AD201" i="53"/>
  <c r="AD105" i="53"/>
  <c r="AC11" i="53"/>
  <c r="AD152" i="52"/>
  <c r="AD130" i="52"/>
  <c r="AD234" i="52"/>
  <c r="AD200" i="52"/>
  <c r="AD104" i="52"/>
  <c r="AD226" i="52"/>
  <c r="AD178" i="52"/>
  <c r="AC85" i="52"/>
  <c r="AC10" i="52"/>
  <c r="AB180" i="47"/>
  <c r="AB218" i="47"/>
  <c r="AB164" i="47"/>
  <c r="AC11" i="54"/>
  <c r="AD24" i="49"/>
  <c r="AD68" i="49" s="1"/>
  <c r="AD21" i="54"/>
  <c r="AD18" i="51"/>
  <c r="AC16" i="47"/>
  <c r="AC91" i="47"/>
  <c r="AB112" i="39"/>
  <c r="AB115" i="51"/>
  <c r="AC68" i="49"/>
  <c r="AC148" i="51"/>
  <c r="AC103" i="49"/>
  <c r="AC51" i="51"/>
  <c r="BB82" i="50"/>
  <c r="AB53" i="40"/>
  <c r="F87" i="35"/>
  <c r="E145" i="35" s="1"/>
  <c r="AC48" i="39"/>
  <c r="AD87" i="40"/>
  <c r="AE124" i="30"/>
  <c r="AD102" i="36"/>
  <c r="AD176" i="44"/>
  <c r="AC65" i="40"/>
  <c r="AD128" i="44"/>
  <c r="AD102" i="44"/>
  <c r="AD198" i="43"/>
  <c r="AD150" i="44"/>
  <c r="AC33" i="40"/>
  <c r="AD150" i="36"/>
  <c r="AD128" i="36"/>
  <c r="AC11" i="44"/>
  <c r="AD102" i="43"/>
  <c r="AD150" i="43"/>
  <c r="AC11" i="36"/>
  <c r="AC83" i="36"/>
  <c r="AD198" i="44"/>
  <c r="AD230" i="36"/>
  <c r="AD198" i="36"/>
  <c r="AC100" i="40"/>
  <c r="AC83" i="44"/>
  <c r="AD222" i="43"/>
  <c r="AD176" i="43"/>
  <c r="AC11" i="43"/>
  <c r="AD176" i="36"/>
  <c r="AD222" i="44"/>
  <c r="AD128" i="43"/>
  <c r="AC83" i="43"/>
  <c r="AE81" i="30"/>
  <c r="AE21" i="63" s="1"/>
  <c r="AD21" i="37"/>
  <c r="AD11" i="37" s="1"/>
  <c r="AD21" i="40"/>
  <c r="AD16" i="39"/>
  <c r="AC144" i="39"/>
  <c r="C111" i="42"/>
  <c r="D111" i="42"/>
  <c r="C110" i="42"/>
  <c r="D110" i="42"/>
  <c r="H248" i="19"/>
  <c r="H232" i="19"/>
  <c r="H233" i="19"/>
  <c r="H236" i="19"/>
  <c r="H238" i="19"/>
  <c r="H242" i="19"/>
  <c r="H243" i="19"/>
  <c r="H228" i="19"/>
  <c r="H229" i="19"/>
  <c r="H257" i="19"/>
  <c r="H250" i="19"/>
  <c r="H234" i="19"/>
  <c r="H254" i="19"/>
  <c r="H261" i="19"/>
  <c r="H246" i="19"/>
  <c r="H256" i="19"/>
  <c r="H227" i="19"/>
  <c r="H252" i="19"/>
  <c r="H264" i="19"/>
  <c r="H253" i="19"/>
  <c r="H244" i="19"/>
  <c r="H239" i="19"/>
  <c r="H247" i="19"/>
  <c r="H245" i="19"/>
  <c r="H262" i="19"/>
  <c r="H226" i="19"/>
  <c r="H251" i="19"/>
  <c r="H235" i="19"/>
  <c r="H230" i="19"/>
  <c r="H260" i="19"/>
  <c r="H255" i="19"/>
  <c r="H258" i="19"/>
  <c r="H240" i="19"/>
  <c r="H259" i="19"/>
  <c r="H263" i="19"/>
  <c r="H249" i="19"/>
  <c r="H237" i="19"/>
  <c r="H241" i="19"/>
  <c r="H231" i="19"/>
  <c r="E59" i="35"/>
  <c r="C130" i="35"/>
  <c r="G224" i="19"/>
  <c r="G265" i="19" s="1"/>
  <c r="O224" i="19"/>
  <c r="AC101" i="64" l="1"/>
  <c r="AC117" i="64" s="1"/>
  <c r="AC168" i="64" s="1"/>
  <c r="AA414" i="47"/>
  <c r="AA432" i="47"/>
  <c r="AB355" i="47"/>
  <c r="AB349" i="47"/>
  <c r="AF77" i="47"/>
  <c r="AD226" i="63"/>
  <c r="AD44" i="67" s="1"/>
  <c r="AD287" i="63"/>
  <c r="AD133" i="64"/>
  <c r="AC307" i="63"/>
  <c r="O254" i="19"/>
  <c r="O264" i="19"/>
  <c r="O249" i="19"/>
  <c r="O253" i="19"/>
  <c r="O259" i="19"/>
  <c r="O241" i="19"/>
  <c r="O252" i="19"/>
  <c r="O231" i="19"/>
  <c r="O230" i="19"/>
  <c r="O245" i="19"/>
  <c r="O232" i="19"/>
  <c r="O260" i="19"/>
  <c r="O227" i="19"/>
  <c r="O240" i="19"/>
  <c r="O246" i="19"/>
  <c r="O261" i="19"/>
  <c r="O250" i="19"/>
  <c r="O243" i="19"/>
  <c r="O233" i="19"/>
  <c r="O229" i="19"/>
  <c r="O248" i="19"/>
  <c r="O226" i="19"/>
  <c r="O251" i="19"/>
  <c r="O265" i="19"/>
  <c r="O263" i="19"/>
  <c r="O234" i="19"/>
  <c r="O228" i="19"/>
  <c r="O238" i="19"/>
  <c r="O255" i="19"/>
  <c r="O244" i="19"/>
  <c r="O257" i="19"/>
  <c r="O247" i="19"/>
  <c r="O262" i="19"/>
  <c r="O258" i="19"/>
  <c r="O256" i="19"/>
  <c r="O235" i="19"/>
  <c r="O239" i="19"/>
  <c r="O242" i="19"/>
  <c r="O236" i="19"/>
  <c r="O237" i="19"/>
  <c r="I59" i="35"/>
  <c r="H59" i="35"/>
  <c r="B50" i="64"/>
  <c r="AD36" i="49"/>
  <c r="AD56" i="49" s="1"/>
  <c r="AD247" i="63"/>
  <c r="F171" i="39"/>
  <c r="J171" i="39"/>
  <c r="N171" i="39"/>
  <c r="R171" i="39"/>
  <c r="V171" i="39"/>
  <c r="Z171" i="39"/>
  <c r="C171" i="39"/>
  <c r="G171" i="39"/>
  <c r="K171" i="39"/>
  <c r="O171" i="39"/>
  <c r="S171" i="39"/>
  <c r="W171" i="39"/>
  <c r="AA171" i="39"/>
  <c r="I171" i="39"/>
  <c r="Q171" i="39"/>
  <c r="Y171" i="39"/>
  <c r="D171" i="39"/>
  <c r="L171" i="39"/>
  <c r="T171" i="39"/>
  <c r="AB171" i="39"/>
  <c r="H171" i="39"/>
  <c r="X171" i="39"/>
  <c r="E171" i="39"/>
  <c r="M171" i="39"/>
  <c r="U171" i="39"/>
  <c r="AC171" i="39"/>
  <c r="P171" i="39"/>
  <c r="AC145" i="39"/>
  <c r="AC146" i="39"/>
  <c r="AC147" i="39"/>
  <c r="AC148" i="39"/>
  <c r="AC149" i="39"/>
  <c r="AC150" i="39"/>
  <c r="AC151" i="39"/>
  <c r="AC152" i="39"/>
  <c r="AC153" i="39"/>
  <c r="AC154" i="39"/>
  <c r="AC155" i="39"/>
  <c r="AC156" i="39"/>
  <c r="AC157" i="39"/>
  <c r="AC158" i="39"/>
  <c r="AC159" i="39"/>
  <c r="AC160" i="39"/>
  <c r="AC149" i="51"/>
  <c r="AC150" i="51"/>
  <c r="AC151" i="51"/>
  <c r="AC152" i="51"/>
  <c r="AC153" i="51"/>
  <c r="AC154" i="51"/>
  <c r="AC155" i="51"/>
  <c r="AC156" i="51"/>
  <c r="AC157" i="51"/>
  <c r="AC158" i="51"/>
  <c r="AC159" i="51"/>
  <c r="AC160" i="51"/>
  <c r="AC161" i="51"/>
  <c r="AC162" i="51"/>
  <c r="AC163" i="51"/>
  <c r="AC164" i="51"/>
  <c r="C175" i="51"/>
  <c r="G175" i="51"/>
  <c r="K175" i="51"/>
  <c r="O175" i="51"/>
  <c r="S175" i="51"/>
  <c r="W175" i="51"/>
  <c r="AA175" i="51"/>
  <c r="D175" i="51"/>
  <c r="H175" i="51"/>
  <c r="L175" i="51"/>
  <c r="P175" i="51"/>
  <c r="T175" i="51"/>
  <c r="X175" i="51"/>
  <c r="AB175" i="51"/>
  <c r="E175" i="51"/>
  <c r="I175" i="51"/>
  <c r="M175" i="51"/>
  <c r="Q175" i="51"/>
  <c r="U175" i="51"/>
  <c r="Y175" i="51"/>
  <c r="AC175" i="51"/>
  <c r="F175" i="51"/>
  <c r="J175" i="51"/>
  <c r="N175" i="51"/>
  <c r="R175" i="51"/>
  <c r="V175" i="51"/>
  <c r="Z175" i="51"/>
  <c r="AC52" i="51"/>
  <c r="AC53" i="51"/>
  <c r="AC54" i="51"/>
  <c r="AC55" i="51"/>
  <c r="AC56" i="51"/>
  <c r="AC57" i="51"/>
  <c r="AC58" i="51"/>
  <c r="AC59" i="51"/>
  <c r="AC60" i="51"/>
  <c r="AC61" i="51"/>
  <c r="AC62" i="51"/>
  <c r="AC63" i="51"/>
  <c r="AC64" i="51"/>
  <c r="AC65" i="51"/>
  <c r="AC66" i="51"/>
  <c r="AC67" i="51"/>
  <c r="C78" i="51"/>
  <c r="G78" i="51"/>
  <c r="K78" i="51"/>
  <c r="O78" i="51"/>
  <c r="S78" i="51"/>
  <c r="W78" i="51"/>
  <c r="AA78" i="51"/>
  <c r="E78" i="51"/>
  <c r="J78" i="51"/>
  <c r="P78" i="51"/>
  <c r="U78" i="51"/>
  <c r="Z78" i="51"/>
  <c r="F78" i="51"/>
  <c r="L78" i="51"/>
  <c r="Q78" i="51"/>
  <c r="V78" i="51"/>
  <c r="AB78" i="51"/>
  <c r="M78" i="51"/>
  <c r="X78" i="51"/>
  <c r="H78" i="51"/>
  <c r="R78" i="51"/>
  <c r="AC78" i="51"/>
  <c r="D78" i="51"/>
  <c r="N78" i="51"/>
  <c r="Y78" i="51"/>
  <c r="I78" i="51"/>
  <c r="T78" i="51"/>
  <c r="B176" i="51"/>
  <c r="B79" i="51"/>
  <c r="AC49" i="39"/>
  <c r="AC50" i="39"/>
  <c r="AC51" i="39"/>
  <c r="AC52" i="39"/>
  <c r="AC53" i="39"/>
  <c r="AC54" i="39"/>
  <c r="AC55" i="39"/>
  <c r="AC56" i="39"/>
  <c r="AC57" i="39"/>
  <c r="AC58" i="39"/>
  <c r="AC59" i="39"/>
  <c r="AC60" i="39"/>
  <c r="AC61" i="39"/>
  <c r="AC62" i="39"/>
  <c r="AC63" i="39"/>
  <c r="AC64" i="39"/>
  <c r="F75" i="39"/>
  <c r="G75" i="39"/>
  <c r="K75" i="39"/>
  <c r="O75" i="39"/>
  <c r="S75" i="39"/>
  <c r="W75" i="39"/>
  <c r="AA75" i="39"/>
  <c r="C75" i="39"/>
  <c r="I75" i="39"/>
  <c r="N75" i="39"/>
  <c r="T75" i="39"/>
  <c r="Y75" i="39"/>
  <c r="D75" i="39"/>
  <c r="J75" i="39"/>
  <c r="P75" i="39"/>
  <c r="U75" i="39"/>
  <c r="Z75" i="39"/>
  <c r="E75" i="39"/>
  <c r="L75" i="39"/>
  <c r="Q75" i="39"/>
  <c r="V75" i="39"/>
  <c r="AB75" i="39"/>
  <c r="H75" i="39"/>
  <c r="AC75" i="39"/>
  <c r="M75" i="39"/>
  <c r="R75" i="39"/>
  <c r="X75" i="39"/>
  <c r="B172" i="39"/>
  <c r="B76" i="39"/>
  <c r="AD306" i="63"/>
  <c r="AD314" i="63"/>
  <c r="AD315" i="63"/>
  <c r="AE10" i="63"/>
  <c r="AE11" i="67" s="1"/>
  <c r="AE189" i="63"/>
  <c r="AE38" i="63"/>
  <c r="AE305" i="63" s="1"/>
  <c r="AE152" i="63"/>
  <c r="AE76" i="64" s="1"/>
  <c r="AE143" i="64" s="1"/>
  <c r="AE177" i="63"/>
  <c r="AE82" i="67" s="1"/>
  <c r="AE128" i="63"/>
  <c r="AE104" i="63"/>
  <c r="AC316" i="63"/>
  <c r="AG42" i="30"/>
  <c r="AF54" i="30"/>
  <c r="AF65" i="30" s="1"/>
  <c r="AF89" i="30" s="1"/>
  <c r="AF110" i="30" s="1"/>
  <c r="AE90" i="49"/>
  <c r="AG102" i="30"/>
  <c r="AD103" i="49"/>
  <c r="E129" i="35"/>
  <c r="C184" i="35" s="1" a="1"/>
  <c r="C184" i="35" s="1"/>
  <c r="I184" i="35" s="1"/>
  <c r="E50" i="52" s="1"/>
  <c r="C74" i="52" s="1"/>
  <c r="G74" i="52"/>
  <c r="BC118" i="50"/>
  <c r="AE24" i="49"/>
  <c r="AE103" i="49" s="1"/>
  <c r="AE21" i="54"/>
  <c r="AE18" i="51"/>
  <c r="AD51" i="51"/>
  <c r="AC180" i="47"/>
  <c r="AC218" i="47"/>
  <c r="AC164" i="47"/>
  <c r="AD11" i="54"/>
  <c r="AD148" i="51"/>
  <c r="AE223" i="36"/>
  <c r="AE225" i="53"/>
  <c r="AE153" i="53"/>
  <c r="AD86" i="53"/>
  <c r="AE131" i="53"/>
  <c r="AE201" i="53"/>
  <c r="AE105" i="53"/>
  <c r="AD11" i="53"/>
  <c r="AE179" i="53"/>
  <c r="AE130" i="52"/>
  <c r="AE234" i="52"/>
  <c r="AE200" i="52"/>
  <c r="AE104" i="52"/>
  <c r="AE226" i="52"/>
  <c r="AE178" i="52"/>
  <c r="AD85" i="52"/>
  <c r="AD10" i="52"/>
  <c r="AE152" i="52"/>
  <c r="AC112" i="39"/>
  <c r="AC115" i="51"/>
  <c r="AD16" i="47"/>
  <c r="AD91" i="47"/>
  <c r="G73" i="53"/>
  <c r="F76" i="53"/>
  <c r="BC82" i="50"/>
  <c r="AC53" i="40"/>
  <c r="AE21" i="40"/>
  <c r="AF230" i="36" s="1"/>
  <c r="AE16" i="39"/>
  <c r="AF81" i="30"/>
  <c r="AF21" i="63" s="1"/>
  <c r="AE21" i="37"/>
  <c r="AE11" i="37" s="1"/>
  <c r="AD144" i="39"/>
  <c r="AE87" i="40"/>
  <c r="AF124" i="30"/>
  <c r="AE102" i="36"/>
  <c r="AD100" i="40"/>
  <c r="AE102" i="44"/>
  <c r="AE102" i="43"/>
  <c r="AE150" i="43"/>
  <c r="AD11" i="43"/>
  <c r="AE198" i="44"/>
  <c r="AE222" i="44"/>
  <c r="AD83" i="44"/>
  <c r="AD11" i="44"/>
  <c r="AE176" i="43"/>
  <c r="AE128" i="43"/>
  <c r="AD11" i="36"/>
  <c r="AE230" i="36"/>
  <c r="AE150" i="36"/>
  <c r="AE150" i="44"/>
  <c r="AD33" i="40"/>
  <c r="AE176" i="44"/>
  <c r="AE198" i="43"/>
  <c r="AE128" i="44"/>
  <c r="AD83" i="43"/>
  <c r="AD65" i="40"/>
  <c r="AE198" i="36"/>
  <c r="AD83" i="36"/>
  <c r="AE128" i="36"/>
  <c r="AE222" i="43"/>
  <c r="AE176" i="36"/>
  <c r="AD48" i="39"/>
  <c r="D115" i="42"/>
  <c r="C115" i="42"/>
  <c r="G258" i="19"/>
  <c r="G227" i="19"/>
  <c r="G254" i="19"/>
  <c r="G229" i="19"/>
  <c r="G238" i="19"/>
  <c r="G239" i="19"/>
  <c r="G252" i="19"/>
  <c r="G230" i="19"/>
  <c r="G251" i="19"/>
  <c r="G247" i="19"/>
  <c r="G228" i="19"/>
  <c r="G253" i="19"/>
  <c r="G236" i="19"/>
  <c r="G249" i="19"/>
  <c r="G245" i="19"/>
  <c r="G256" i="19"/>
  <c r="G232" i="19"/>
  <c r="G231" i="19"/>
  <c r="G263" i="19"/>
  <c r="G255" i="19"/>
  <c r="G226" i="19"/>
  <c r="G248" i="19"/>
  <c r="G244" i="19"/>
  <c r="G234" i="19"/>
  <c r="G241" i="19"/>
  <c r="G259" i="19"/>
  <c r="G260" i="19"/>
  <c r="G262" i="19"/>
  <c r="G246" i="19"/>
  <c r="G250" i="19"/>
  <c r="G243" i="19"/>
  <c r="G233" i="19"/>
  <c r="G237" i="19"/>
  <c r="G240" i="19"/>
  <c r="G235" i="19"/>
  <c r="G264" i="19"/>
  <c r="G261" i="19"/>
  <c r="G257" i="19"/>
  <c r="G242" i="19"/>
  <c r="C186" i="35" a="1"/>
  <c r="C186" i="35" s="1"/>
  <c r="I186" i="35" s="1"/>
  <c r="E52" i="52" s="1"/>
  <c r="D186" i="35" a="1"/>
  <c r="D186" i="35" s="1"/>
  <c r="F59" i="35"/>
  <c r="P224" i="19"/>
  <c r="F224" i="19"/>
  <c r="F265" i="19" s="1"/>
  <c r="C36" i="5"/>
  <c r="C34" i="5"/>
  <c r="AD101" i="64" l="1"/>
  <c r="AD117" i="64" s="1"/>
  <c r="AD168" i="64" s="1"/>
  <c r="AB414" i="47"/>
  <c r="AB432" i="47"/>
  <c r="AC355" i="47"/>
  <c r="AC349" i="47"/>
  <c r="AG77" i="47"/>
  <c r="AE226" i="63"/>
  <c r="AE44" i="67" s="1"/>
  <c r="AD307" i="63"/>
  <c r="AE287" i="63"/>
  <c r="AE133" i="64"/>
  <c r="P237" i="19"/>
  <c r="P235" i="19"/>
  <c r="P238" i="19"/>
  <c r="P261" i="19"/>
  <c r="P260" i="19"/>
  <c r="P231" i="19"/>
  <c r="P253" i="19"/>
  <c r="P236" i="19"/>
  <c r="P256" i="19"/>
  <c r="P257" i="19"/>
  <c r="P228" i="19"/>
  <c r="P251" i="19"/>
  <c r="P233" i="19"/>
  <c r="P246" i="19"/>
  <c r="P232" i="19"/>
  <c r="P252" i="19"/>
  <c r="P249" i="19"/>
  <c r="P229" i="19"/>
  <c r="P247" i="19"/>
  <c r="P244" i="19"/>
  <c r="P265" i="19"/>
  <c r="P248" i="19"/>
  <c r="P227" i="19"/>
  <c r="P240" i="19"/>
  <c r="P226" i="19"/>
  <c r="P242" i="19"/>
  <c r="P258" i="19"/>
  <c r="P234" i="19"/>
  <c r="P243" i="19"/>
  <c r="P245" i="19"/>
  <c r="P241" i="19"/>
  <c r="P264" i="19"/>
  <c r="P239" i="19"/>
  <c r="P262" i="19"/>
  <c r="P255" i="19"/>
  <c r="P263" i="19"/>
  <c r="P250" i="19"/>
  <c r="P230" i="19"/>
  <c r="P259" i="19"/>
  <c r="P254" i="19"/>
  <c r="B51" i="64"/>
  <c r="AE247" i="63"/>
  <c r="C172" i="39"/>
  <c r="G172" i="39"/>
  <c r="K172" i="39"/>
  <c r="O172" i="39"/>
  <c r="S172" i="39"/>
  <c r="W172" i="39"/>
  <c r="AA172" i="39"/>
  <c r="D172" i="39"/>
  <c r="H172" i="39"/>
  <c r="L172" i="39"/>
  <c r="P172" i="39"/>
  <c r="T172" i="39"/>
  <c r="X172" i="39"/>
  <c r="AB172" i="39"/>
  <c r="F172" i="39"/>
  <c r="N172" i="39"/>
  <c r="V172" i="39"/>
  <c r="AD172" i="39"/>
  <c r="I172" i="39"/>
  <c r="Q172" i="39"/>
  <c r="Y172" i="39"/>
  <c r="E172" i="39"/>
  <c r="U172" i="39"/>
  <c r="J172" i="39"/>
  <c r="R172" i="39"/>
  <c r="Z172" i="39"/>
  <c r="M172" i="39"/>
  <c r="AC172" i="39"/>
  <c r="AD149" i="51"/>
  <c r="AD150" i="51"/>
  <c r="AD151" i="51"/>
  <c r="AD152" i="51"/>
  <c r="AD153" i="51"/>
  <c r="AD154" i="51"/>
  <c r="AD155" i="51"/>
  <c r="AD156" i="51"/>
  <c r="AD157" i="51"/>
  <c r="AD158" i="51"/>
  <c r="AD159" i="51"/>
  <c r="AD160" i="51"/>
  <c r="AD161" i="51"/>
  <c r="AD162" i="51"/>
  <c r="AD163" i="51"/>
  <c r="AD164" i="51"/>
  <c r="AD165" i="51"/>
  <c r="D176" i="51"/>
  <c r="H176" i="51"/>
  <c r="L176" i="51"/>
  <c r="P176" i="51"/>
  <c r="T176" i="51"/>
  <c r="X176" i="51"/>
  <c r="AB176" i="51"/>
  <c r="E176" i="51"/>
  <c r="I176" i="51"/>
  <c r="M176" i="51"/>
  <c r="Q176" i="51"/>
  <c r="U176" i="51"/>
  <c r="Y176" i="51"/>
  <c r="AC176" i="51"/>
  <c r="F176" i="51"/>
  <c r="J176" i="51"/>
  <c r="N176" i="51"/>
  <c r="R176" i="51"/>
  <c r="V176" i="51"/>
  <c r="Z176" i="51"/>
  <c r="AD176" i="51"/>
  <c r="C176" i="51"/>
  <c r="G176" i="51"/>
  <c r="K176" i="51"/>
  <c r="O176" i="51"/>
  <c r="S176" i="51"/>
  <c r="W176" i="51"/>
  <c r="AA176" i="51"/>
  <c r="AD145" i="39"/>
  <c r="AD146" i="39"/>
  <c r="AD147" i="39"/>
  <c r="AD148" i="39"/>
  <c r="AD149" i="39"/>
  <c r="AD150" i="39"/>
  <c r="AD151" i="39"/>
  <c r="AD152" i="39"/>
  <c r="AD153" i="39"/>
  <c r="AD154" i="39"/>
  <c r="AD155" i="39"/>
  <c r="AD156" i="39"/>
  <c r="AD157" i="39"/>
  <c r="AD158" i="39"/>
  <c r="AD159" i="39"/>
  <c r="AD160" i="39"/>
  <c r="AD161" i="39"/>
  <c r="D79" i="51"/>
  <c r="H79" i="51"/>
  <c r="L79" i="51"/>
  <c r="P79" i="51"/>
  <c r="T79" i="51"/>
  <c r="X79" i="51"/>
  <c r="AB79" i="51"/>
  <c r="G79" i="51"/>
  <c r="M79" i="51"/>
  <c r="R79" i="51"/>
  <c r="W79" i="51"/>
  <c r="AC79" i="51"/>
  <c r="C79" i="51"/>
  <c r="I79" i="51"/>
  <c r="N79" i="51"/>
  <c r="S79" i="51"/>
  <c r="Y79" i="51"/>
  <c r="AD79" i="51"/>
  <c r="E79" i="51"/>
  <c r="O79" i="51"/>
  <c r="Z79" i="51"/>
  <c r="J79" i="51"/>
  <c r="U79" i="51"/>
  <c r="F79" i="51"/>
  <c r="Q79" i="51"/>
  <c r="AA79" i="51"/>
  <c r="V79" i="51"/>
  <c r="K79" i="51"/>
  <c r="B177" i="51"/>
  <c r="AD52" i="51"/>
  <c r="AD53" i="51"/>
  <c r="AD54" i="51"/>
  <c r="AD55" i="51"/>
  <c r="AD56" i="51"/>
  <c r="AD57" i="51"/>
  <c r="AD58" i="51"/>
  <c r="AD59" i="51"/>
  <c r="AD60" i="51"/>
  <c r="AD61" i="51"/>
  <c r="AD62" i="51"/>
  <c r="AD63" i="51"/>
  <c r="AD64" i="51"/>
  <c r="AD65" i="51"/>
  <c r="AD66" i="51"/>
  <c r="AD67" i="51"/>
  <c r="AD68" i="51"/>
  <c r="B80" i="51"/>
  <c r="AD49" i="39"/>
  <c r="AD50" i="39"/>
  <c r="AD51" i="39"/>
  <c r="AD52" i="39"/>
  <c r="AD53" i="39"/>
  <c r="AD54" i="39"/>
  <c r="AD55" i="39"/>
  <c r="AD56" i="39"/>
  <c r="AD57" i="39"/>
  <c r="AD58" i="39"/>
  <c r="AD59" i="39"/>
  <c r="AD60" i="39"/>
  <c r="AD61" i="39"/>
  <c r="AD62" i="39"/>
  <c r="AD63" i="39"/>
  <c r="AD64" i="39"/>
  <c r="AD65" i="39"/>
  <c r="D76" i="39"/>
  <c r="H76" i="39"/>
  <c r="L76" i="39"/>
  <c r="P76" i="39"/>
  <c r="T76" i="39"/>
  <c r="X76" i="39"/>
  <c r="AB76" i="39"/>
  <c r="F76" i="39"/>
  <c r="K76" i="39"/>
  <c r="Q76" i="39"/>
  <c r="V76" i="39"/>
  <c r="AA76" i="39"/>
  <c r="G76" i="39"/>
  <c r="M76" i="39"/>
  <c r="R76" i="39"/>
  <c r="W76" i="39"/>
  <c r="AC76" i="39"/>
  <c r="C76" i="39"/>
  <c r="I76" i="39"/>
  <c r="N76" i="39"/>
  <c r="S76" i="39"/>
  <c r="Y76" i="39"/>
  <c r="AD76" i="39"/>
  <c r="U76" i="39"/>
  <c r="E76" i="39"/>
  <c r="Z76" i="39"/>
  <c r="J76" i="39"/>
  <c r="O76" i="39"/>
  <c r="B173" i="39"/>
  <c r="B77" i="39"/>
  <c r="AD316" i="63"/>
  <c r="AE314" i="63"/>
  <c r="AE315" i="63"/>
  <c r="AE306" i="63"/>
  <c r="AF10" i="63"/>
  <c r="AF11" i="67" s="1"/>
  <c r="AF152" i="63"/>
  <c r="AF76" i="64" s="1"/>
  <c r="AF143" i="64" s="1"/>
  <c r="AF104" i="63"/>
  <c r="AF38" i="63"/>
  <c r="AF305" i="63" s="1"/>
  <c r="AF189" i="63"/>
  <c r="AF177" i="63"/>
  <c r="AF82" i="67" s="1"/>
  <c r="AF128" i="63"/>
  <c r="AH42" i="30"/>
  <c r="AG54" i="30"/>
  <c r="AG65" i="30" s="1"/>
  <c r="AG89" i="30" s="1"/>
  <c r="AG110" i="30" s="1"/>
  <c r="AH102" i="30"/>
  <c r="AG124" i="30"/>
  <c r="AF90" i="49"/>
  <c r="AF87" i="40"/>
  <c r="AF21" i="54"/>
  <c r="AF21" i="37"/>
  <c r="AF11" i="37" s="1"/>
  <c r="AF18" i="51"/>
  <c r="AF24" i="49"/>
  <c r="AF16" i="39"/>
  <c r="AF21" i="40"/>
  <c r="AE36" i="49"/>
  <c r="AE56" i="49" s="1"/>
  <c r="AE68" i="49"/>
  <c r="C76" i="52"/>
  <c r="BD118" i="50"/>
  <c r="AG81" i="30"/>
  <c r="AG21" i="63" s="1"/>
  <c r="AE51" i="51"/>
  <c r="AE148" i="51"/>
  <c r="AE11" i="54"/>
  <c r="AD112" i="39"/>
  <c r="AD115" i="51"/>
  <c r="AF223" i="36"/>
  <c r="AF131" i="53"/>
  <c r="AF201" i="53"/>
  <c r="AF105" i="53"/>
  <c r="AE11" i="53"/>
  <c r="AF179" i="53"/>
  <c r="AF225" i="53"/>
  <c r="AF153" i="53"/>
  <c r="AE86" i="53"/>
  <c r="AF234" i="52"/>
  <c r="AF200" i="52"/>
  <c r="AF104" i="52"/>
  <c r="AF226" i="52"/>
  <c r="AF178" i="52"/>
  <c r="AE85" i="52"/>
  <c r="AE10" i="52"/>
  <c r="AF152" i="52"/>
  <c r="AF130" i="52"/>
  <c r="AE16" i="47"/>
  <c r="AE91" i="47"/>
  <c r="AE164" i="47" s="1"/>
  <c r="AD180" i="47"/>
  <c r="AD164" i="47"/>
  <c r="AD218" i="47"/>
  <c r="G78" i="53"/>
  <c r="G74" i="53"/>
  <c r="F74" i="52"/>
  <c r="F75" i="53"/>
  <c r="F76" i="52"/>
  <c r="BD82" i="50"/>
  <c r="AD53" i="40"/>
  <c r="AE144" i="39"/>
  <c r="AE48" i="39"/>
  <c r="AF102" i="36"/>
  <c r="AF102" i="44"/>
  <c r="AF128" i="44"/>
  <c r="AF150" i="43"/>
  <c r="AE11" i="43"/>
  <c r="AE33" i="40"/>
  <c r="AF150" i="36"/>
  <c r="AF198" i="36"/>
  <c r="AF128" i="36"/>
  <c r="AF150" i="44"/>
  <c r="AF198" i="44"/>
  <c r="AF222" i="43"/>
  <c r="AF198" i="43"/>
  <c r="AE65" i="40"/>
  <c r="AE100" i="40"/>
  <c r="AE11" i="44"/>
  <c r="AF176" i="43"/>
  <c r="AF128" i="43"/>
  <c r="AE83" i="44"/>
  <c r="AE83" i="36"/>
  <c r="AF176" i="36"/>
  <c r="AF176" i="44"/>
  <c r="AF222" i="44"/>
  <c r="AE83" i="43"/>
  <c r="AF102" i="43"/>
  <c r="AE11" i="36"/>
  <c r="E49" i="36"/>
  <c r="C72" i="36" s="1"/>
  <c r="J186" i="35"/>
  <c r="F52" i="52" s="1"/>
  <c r="E51" i="36"/>
  <c r="C74" i="36" s="1"/>
  <c r="E224" i="19"/>
  <c r="E265" i="19" s="1"/>
  <c r="F245" i="19"/>
  <c r="F244" i="19"/>
  <c r="F237" i="19"/>
  <c r="F263" i="19"/>
  <c r="F230" i="19"/>
  <c r="F239" i="19"/>
  <c r="F243" i="19"/>
  <c r="F259" i="19"/>
  <c r="F252" i="19"/>
  <c r="F257" i="19"/>
  <c r="F264" i="19"/>
  <c r="F229" i="19"/>
  <c r="F251" i="19"/>
  <c r="F250" i="19"/>
  <c r="F262" i="19"/>
  <c r="F241" i="19"/>
  <c r="F247" i="19"/>
  <c r="F232" i="19"/>
  <c r="F236" i="19"/>
  <c r="F227" i="19"/>
  <c r="F261" i="19"/>
  <c r="F240" i="19"/>
  <c r="F246" i="19"/>
  <c r="F234" i="19"/>
  <c r="F255" i="19"/>
  <c r="F256" i="19"/>
  <c r="F253" i="19"/>
  <c r="F233" i="19"/>
  <c r="E233" i="19" s="1"/>
  <c r="F260" i="19"/>
  <c r="F254" i="19"/>
  <c r="F248" i="19"/>
  <c r="F228" i="19"/>
  <c r="E228" i="19" s="1"/>
  <c r="F242" i="19"/>
  <c r="F235" i="19"/>
  <c r="F226" i="19"/>
  <c r="F231" i="19"/>
  <c r="F249" i="19"/>
  <c r="F238" i="19"/>
  <c r="F258" i="19"/>
  <c r="C185" i="35" a="1"/>
  <c r="C185" i="35" s="1"/>
  <c r="I185" i="35" s="1"/>
  <c r="E51" i="52" s="1"/>
  <c r="C75" i="52" s="1"/>
  <c r="D185" i="35" a="1"/>
  <c r="D185" i="35" s="1"/>
  <c r="E149" i="35"/>
  <c r="D184" i="35" a="1"/>
  <c r="D184" i="35" s="1"/>
  <c r="C149" i="35"/>
  <c r="D144" i="35"/>
  <c r="D128" i="35"/>
  <c r="C48" i="30"/>
  <c r="C57" i="30" s="1"/>
  <c r="C111" i="30"/>
  <c r="C50" i="30"/>
  <c r="C55" i="30" s="1"/>
  <c r="C66" i="30"/>
  <c r="D34" i="5"/>
  <c r="D36" i="5"/>
  <c r="Q224" i="19"/>
  <c r="G23" i="5"/>
  <c r="C35" i="5"/>
  <c r="AE101" i="64" l="1"/>
  <c r="AE117" i="64" s="1"/>
  <c r="AE168" i="64" s="1"/>
  <c r="AC414" i="47"/>
  <c r="AC432" i="47"/>
  <c r="AD355" i="47"/>
  <c r="AD349" i="47"/>
  <c r="AH77" i="47"/>
  <c r="AF226" i="63"/>
  <c r="AF44" i="67" s="1"/>
  <c r="AE307" i="63"/>
  <c r="AF287" i="63"/>
  <c r="AF133" i="64"/>
  <c r="Q254" i="19"/>
  <c r="Q264" i="19"/>
  <c r="Q240" i="19"/>
  <c r="Q244" i="19"/>
  <c r="Q252" i="19"/>
  <c r="Q236" i="19"/>
  <c r="Q261" i="19"/>
  <c r="Q259" i="19"/>
  <c r="Q255" i="19"/>
  <c r="Q241" i="19"/>
  <c r="Q258" i="19"/>
  <c r="Q247" i="19"/>
  <c r="Q232" i="19"/>
  <c r="Q228" i="19"/>
  <c r="Q253" i="19"/>
  <c r="Q238" i="19"/>
  <c r="Q234" i="19"/>
  <c r="Q251" i="19"/>
  <c r="Q263" i="19"/>
  <c r="Q227" i="19"/>
  <c r="E249" i="19"/>
  <c r="Q230" i="19"/>
  <c r="Q262" i="19"/>
  <c r="Q245" i="19"/>
  <c r="Q242" i="19"/>
  <c r="Q248" i="19"/>
  <c r="Q229" i="19"/>
  <c r="Q246" i="19"/>
  <c r="Q257" i="19"/>
  <c r="Q231" i="19"/>
  <c r="Q235" i="19"/>
  <c r="Q250" i="19"/>
  <c r="Q239" i="19"/>
  <c r="Q243" i="19"/>
  <c r="Q226" i="19"/>
  <c r="Q265" i="19"/>
  <c r="Q249" i="19"/>
  <c r="Q233" i="19"/>
  <c r="Q256" i="19"/>
  <c r="Q260" i="19"/>
  <c r="Q237" i="19"/>
  <c r="B52" i="64"/>
  <c r="AF247" i="63"/>
  <c r="AE149" i="51"/>
  <c r="AE150" i="51"/>
  <c r="AE151" i="51"/>
  <c r="AE152" i="51"/>
  <c r="AE153" i="51"/>
  <c r="AE154" i="51"/>
  <c r="AE155" i="51"/>
  <c r="AE156" i="51"/>
  <c r="AE157" i="51"/>
  <c r="AE158" i="51"/>
  <c r="AE159" i="51"/>
  <c r="AE160" i="51"/>
  <c r="AE161" i="51"/>
  <c r="AE162" i="51"/>
  <c r="AE163" i="51"/>
  <c r="AE164" i="51"/>
  <c r="AE165" i="51"/>
  <c r="AE166" i="51"/>
  <c r="AE145" i="39"/>
  <c r="AE146" i="39"/>
  <c r="AE147" i="39"/>
  <c r="AE148" i="39"/>
  <c r="AE149" i="39"/>
  <c r="AE150" i="39"/>
  <c r="AE151" i="39"/>
  <c r="AE152" i="39"/>
  <c r="AE153" i="39"/>
  <c r="AE154" i="39"/>
  <c r="AE155" i="39"/>
  <c r="AE156" i="39"/>
  <c r="AE157" i="39"/>
  <c r="AE158" i="39"/>
  <c r="AE159" i="39"/>
  <c r="AE160" i="39"/>
  <c r="AE161" i="39"/>
  <c r="AE162" i="39"/>
  <c r="D173" i="39"/>
  <c r="H173" i="39"/>
  <c r="L173" i="39"/>
  <c r="P173" i="39"/>
  <c r="T173" i="39"/>
  <c r="X173" i="39"/>
  <c r="AB173" i="39"/>
  <c r="E173" i="39"/>
  <c r="I173" i="39"/>
  <c r="M173" i="39"/>
  <c r="Q173" i="39"/>
  <c r="U173" i="39"/>
  <c r="Y173" i="39"/>
  <c r="AC173" i="39"/>
  <c r="C173" i="39"/>
  <c r="K173" i="39"/>
  <c r="S173" i="39"/>
  <c r="AA173" i="39"/>
  <c r="F173" i="39"/>
  <c r="N173" i="39"/>
  <c r="V173" i="39"/>
  <c r="AD173" i="39"/>
  <c r="R173" i="39"/>
  <c r="G173" i="39"/>
  <c r="O173" i="39"/>
  <c r="W173" i="39"/>
  <c r="AE173" i="39"/>
  <c r="J173" i="39"/>
  <c r="Z173" i="39"/>
  <c r="E177" i="51"/>
  <c r="I177" i="51"/>
  <c r="M177" i="51"/>
  <c r="Q177" i="51"/>
  <c r="U177" i="51"/>
  <c r="Y177" i="51"/>
  <c r="AC177" i="51"/>
  <c r="F177" i="51"/>
  <c r="J177" i="51"/>
  <c r="N177" i="51"/>
  <c r="R177" i="51"/>
  <c r="V177" i="51"/>
  <c r="Z177" i="51"/>
  <c r="AD177" i="51"/>
  <c r="C177" i="51"/>
  <c r="G177" i="51"/>
  <c r="K177" i="51"/>
  <c r="O177" i="51"/>
  <c r="S177" i="51"/>
  <c r="W177" i="51"/>
  <c r="AA177" i="51"/>
  <c r="AE177" i="51"/>
  <c r="D177" i="51"/>
  <c r="H177" i="51"/>
  <c r="L177" i="51"/>
  <c r="P177" i="51"/>
  <c r="T177" i="51"/>
  <c r="X177" i="51"/>
  <c r="AB177" i="51"/>
  <c r="AE52" i="51"/>
  <c r="AE53" i="51"/>
  <c r="AE54" i="51"/>
  <c r="AE55" i="51"/>
  <c r="AE56" i="51"/>
  <c r="AE57" i="51"/>
  <c r="AE58" i="51"/>
  <c r="AE59" i="51"/>
  <c r="AE60" i="51"/>
  <c r="AE61" i="51"/>
  <c r="AE62" i="51"/>
  <c r="AE63" i="51"/>
  <c r="AE64" i="51"/>
  <c r="AE65" i="51"/>
  <c r="AE66" i="51"/>
  <c r="AE67" i="51"/>
  <c r="AE68" i="51"/>
  <c r="AE69" i="51"/>
  <c r="E80" i="51"/>
  <c r="I80" i="51"/>
  <c r="M80" i="51"/>
  <c r="Q80" i="51"/>
  <c r="U80" i="51"/>
  <c r="Y80" i="51"/>
  <c r="AC80" i="51"/>
  <c r="D80" i="51"/>
  <c r="J80" i="51"/>
  <c r="O80" i="51"/>
  <c r="T80" i="51"/>
  <c r="Z80" i="51"/>
  <c r="AE80" i="51"/>
  <c r="F80" i="51"/>
  <c r="K80" i="51"/>
  <c r="P80" i="51"/>
  <c r="V80" i="51"/>
  <c r="AA80" i="51"/>
  <c r="G80" i="51"/>
  <c r="R80" i="51"/>
  <c r="AB80" i="51"/>
  <c r="L80" i="51"/>
  <c r="W80" i="51"/>
  <c r="H80" i="51"/>
  <c r="S80" i="51"/>
  <c r="AD80" i="51"/>
  <c r="N80" i="51"/>
  <c r="X80" i="51"/>
  <c r="C80" i="51"/>
  <c r="B178" i="51"/>
  <c r="B81" i="51"/>
  <c r="AE49" i="39"/>
  <c r="AE50" i="39"/>
  <c r="AE51" i="39"/>
  <c r="AE52" i="39"/>
  <c r="AE53" i="39"/>
  <c r="AE54" i="39"/>
  <c r="AE55" i="39"/>
  <c r="AE56" i="39"/>
  <c r="AE57" i="39"/>
  <c r="AE58" i="39"/>
  <c r="AE59" i="39"/>
  <c r="AE60" i="39"/>
  <c r="AE61" i="39"/>
  <c r="AE62" i="39"/>
  <c r="AE63" i="39"/>
  <c r="AE64" i="39"/>
  <c r="AE65" i="39"/>
  <c r="AE66" i="39"/>
  <c r="E77" i="39"/>
  <c r="I77" i="39"/>
  <c r="M77" i="39"/>
  <c r="Q77" i="39"/>
  <c r="U77" i="39"/>
  <c r="Y77" i="39"/>
  <c r="AC77" i="39"/>
  <c r="C77" i="39"/>
  <c r="H77" i="39"/>
  <c r="N77" i="39"/>
  <c r="S77" i="39"/>
  <c r="X77" i="39"/>
  <c r="AD77" i="39"/>
  <c r="D77" i="39"/>
  <c r="J77" i="39"/>
  <c r="O77" i="39"/>
  <c r="T77" i="39"/>
  <c r="Z77" i="39"/>
  <c r="AE77" i="39"/>
  <c r="F77" i="39"/>
  <c r="K77" i="39"/>
  <c r="P77" i="39"/>
  <c r="V77" i="39"/>
  <c r="AA77" i="39"/>
  <c r="L77" i="39"/>
  <c r="R77" i="39"/>
  <c r="W77" i="39"/>
  <c r="G77" i="39"/>
  <c r="AB77" i="39"/>
  <c r="B174" i="39"/>
  <c r="B78" i="39"/>
  <c r="AE316" i="63"/>
  <c r="AF315" i="63"/>
  <c r="AF306" i="63"/>
  <c r="AF314" i="63"/>
  <c r="AG128" i="63"/>
  <c r="AG189" i="63"/>
  <c r="AG104" i="63"/>
  <c r="AG38" i="63"/>
  <c r="AG305" i="63" s="1"/>
  <c r="AG10" i="63"/>
  <c r="AG11" i="67" s="1"/>
  <c r="AG177" i="63"/>
  <c r="AG82" i="67" s="1"/>
  <c r="AG152" i="63"/>
  <c r="AG76" i="64" s="1"/>
  <c r="AG143" i="64" s="1"/>
  <c r="AI42" i="30"/>
  <c r="AH54" i="30"/>
  <c r="AH65" i="30" s="1"/>
  <c r="AH89" i="30" s="1"/>
  <c r="AH110" i="30" s="1"/>
  <c r="AI102" i="30"/>
  <c r="AF144" i="39"/>
  <c r="AH81" i="30"/>
  <c r="AH21" i="63" s="1"/>
  <c r="AG21" i="54"/>
  <c r="AG21" i="37"/>
  <c r="AG11" i="37" s="1"/>
  <c r="AG18" i="51"/>
  <c r="AG24" i="49"/>
  <c r="AG16" i="39"/>
  <c r="AG21" i="40"/>
  <c r="AF91" i="47"/>
  <c r="AF16" i="47"/>
  <c r="AF36" i="49"/>
  <c r="AF56" i="49" s="1"/>
  <c r="AF68" i="49"/>
  <c r="AF103" i="49"/>
  <c r="AG234" i="52"/>
  <c r="AG200" i="52"/>
  <c r="AG104" i="52"/>
  <c r="AG152" i="52"/>
  <c r="AG179" i="53"/>
  <c r="AG153" i="53"/>
  <c r="AG105" i="53"/>
  <c r="AF11" i="53"/>
  <c r="AF10" i="52"/>
  <c r="AG223" i="36"/>
  <c r="AG176" i="36"/>
  <c r="AG150" i="36"/>
  <c r="AF83" i="36"/>
  <c r="AG178" i="52"/>
  <c r="AG226" i="52"/>
  <c r="AG130" i="52"/>
  <c r="AF85" i="52"/>
  <c r="AG225" i="53"/>
  <c r="AG201" i="53"/>
  <c r="AG131" i="53"/>
  <c r="AF86" i="53"/>
  <c r="AG198" i="36"/>
  <c r="AG102" i="36"/>
  <c r="AG198" i="44"/>
  <c r="AF83" i="44"/>
  <c r="AG128" i="43"/>
  <c r="AG230" i="36"/>
  <c r="AF11" i="36"/>
  <c r="AG150" i="44"/>
  <c r="AF11" i="44"/>
  <c r="AG176" i="43"/>
  <c r="AG128" i="44"/>
  <c r="AG222" i="43"/>
  <c r="AG198" i="43"/>
  <c r="AG102" i="43"/>
  <c r="AF11" i="43"/>
  <c r="AG128" i="36"/>
  <c r="AG222" i="44"/>
  <c r="AG176" i="44"/>
  <c r="AG102" i="44"/>
  <c r="AG150" i="43"/>
  <c r="AF83" i="43"/>
  <c r="AF100" i="40"/>
  <c r="AF33" i="40"/>
  <c r="AF53" i="40" s="1"/>
  <c r="AF65" i="40"/>
  <c r="AH124" i="30"/>
  <c r="AG90" i="49"/>
  <c r="AG87" i="40"/>
  <c r="AF11" i="54"/>
  <c r="AF148" i="51"/>
  <c r="AF51" i="51"/>
  <c r="AF48" i="39"/>
  <c r="D76" i="52"/>
  <c r="AE112" i="39"/>
  <c r="AE115" i="51"/>
  <c r="AE218" i="47"/>
  <c r="AE180" i="47"/>
  <c r="AE53" i="40"/>
  <c r="E237" i="19"/>
  <c r="E256" i="19"/>
  <c r="E227" i="19"/>
  <c r="E251" i="19"/>
  <c r="E257" i="19"/>
  <c r="E230" i="19"/>
  <c r="J185" i="35"/>
  <c r="F51" i="52" s="1"/>
  <c r="D75" i="52" s="1"/>
  <c r="F51" i="36"/>
  <c r="D74" i="36" s="1"/>
  <c r="J184" i="35"/>
  <c r="F50" i="52" s="1"/>
  <c r="D74" i="52" s="1"/>
  <c r="E50" i="36"/>
  <c r="C73" i="36" s="1"/>
  <c r="E231" i="19"/>
  <c r="E248" i="19"/>
  <c r="E246" i="19"/>
  <c r="E236" i="19"/>
  <c r="E250" i="19"/>
  <c r="E239" i="19"/>
  <c r="E263" i="19"/>
  <c r="E258" i="19"/>
  <c r="E226" i="19"/>
  <c r="E235" i="19"/>
  <c r="E254" i="19"/>
  <c r="E234" i="19"/>
  <c r="E240" i="19"/>
  <c r="E232" i="19"/>
  <c r="E241" i="19"/>
  <c r="E259" i="19"/>
  <c r="E244" i="19"/>
  <c r="E255" i="19"/>
  <c r="E229" i="19"/>
  <c r="E238" i="19"/>
  <c r="E242" i="19"/>
  <c r="E260" i="19"/>
  <c r="E253" i="19"/>
  <c r="E261" i="19"/>
  <c r="E262" i="19"/>
  <c r="E264" i="19"/>
  <c r="E243" i="19"/>
  <c r="E245" i="19"/>
  <c r="D224" i="19"/>
  <c r="D233" i="19" s="1"/>
  <c r="E247" i="19"/>
  <c r="E252" i="19"/>
  <c r="C183" i="35" a="1"/>
  <c r="C183" i="35" s="1"/>
  <c r="I183" i="35" s="1"/>
  <c r="E49" i="52" s="1"/>
  <c r="C73" i="52" s="1"/>
  <c r="D50" i="30"/>
  <c r="C49" i="30"/>
  <c r="C56" i="30" s="1"/>
  <c r="C90" i="30"/>
  <c r="D48" i="30"/>
  <c r="C68" i="30"/>
  <c r="C69" i="30"/>
  <c r="C114" i="30"/>
  <c r="C113" i="30"/>
  <c r="C115" i="30" s="1"/>
  <c r="E85" i="5"/>
  <c r="C85" i="5" s="1"/>
  <c r="C32" i="45" s="1"/>
  <c r="E87" i="5"/>
  <c r="C87" i="5" s="1"/>
  <c r="C34" i="45" s="1"/>
  <c r="D35" i="5"/>
  <c r="R224" i="19"/>
  <c r="C241" i="2"/>
  <c r="D111" i="2"/>
  <c r="E111" i="2"/>
  <c r="F111" i="2"/>
  <c r="G111" i="2"/>
  <c r="H111" i="2"/>
  <c r="I111" i="2"/>
  <c r="J111" i="2"/>
  <c r="K111" i="2"/>
  <c r="L111" i="2"/>
  <c r="M111" i="2"/>
  <c r="N111" i="2"/>
  <c r="O111" i="2"/>
  <c r="P111" i="2"/>
  <c r="Q111" i="2"/>
  <c r="R111" i="2"/>
  <c r="S111" i="2"/>
  <c r="T111" i="2"/>
  <c r="D112" i="2"/>
  <c r="E112" i="2"/>
  <c r="F112" i="2"/>
  <c r="G112" i="2"/>
  <c r="H112" i="2"/>
  <c r="I112" i="2"/>
  <c r="J112" i="2"/>
  <c r="K112" i="2"/>
  <c r="L112" i="2"/>
  <c r="M112" i="2"/>
  <c r="N112" i="2"/>
  <c r="O112" i="2"/>
  <c r="P112" i="2"/>
  <c r="Q112" i="2"/>
  <c r="R112" i="2"/>
  <c r="S112" i="2"/>
  <c r="T112" i="2"/>
  <c r="D113" i="2"/>
  <c r="E113" i="2"/>
  <c r="F113" i="2"/>
  <c r="G113" i="2"/>
  <c r="H113" i="2"/>
  <c r="I113" i="2"/>
  <c r="J113" i="2"/>
  <c r="K113" i="2"/>
  <c r="L113" i="2"/>
  <c r="M113" i="2"/>
  <c r="N113" i="2"/>
  <c r="O113" i="2"/>
  <c r="P113" i="2"/>
  <c r="Q113" i="2"/>
  <c r="R113" i="2"/>
  <c r="S113" i="2"/>
  <c r="T113" i="2"/>
  <c r="D114" i="2"/>
  <c r="E114" i="2"/>
  <c r="F114" i="2"/>
  <c r="G114" i="2"/>
  <c r="H114" i="2"/>
  <c r="I114" i="2"/>
  <c r="J114" i="2"/>
  <c r="K114" i="2"/>
  <c r="L114" i="2"/>
  <c r="M114" i="2"/>
  <c r="N114" i="2"/>
  <c r="O114" i="2"/>
  <c r="P114" i="2"/>
  <c r="Q114" i="2"/>
  <c r="R114" i="2"/>
  <c r="S114" i="2"/>
  <c r="T114" i="2"/>
  <c r="D115" i="2"/>
  <c r="E115" i="2"/>
  <c r="F115" i="2"/>
  <c r="G115" i="2"/>
  <c r="H115" i="2"/>
  <c r="I115" i="2"/>
  <c r="J115" i="2"/>
  <c r="K115" i="2"/>
  <c r="L115" i="2"/>
  <c r="M115" i="2"/>
  <c r="N115" i="2"/>
  <c r="O115" i="2"/>
  <c r="P115" i="2"/>
  <c r="Q115" i="2"/>
  <c r="R115" i="2"/>
  <c r="S115" i="2"/>
  <c r="T115" i="2"/>
  <c r="D116" i="2"/>
  <c r="E116" i="2"/>
  <c r="F116" i="2"/>
  <c r="G116" i="2"/>
  <c r="H116" i="2"/>
  <c r="I116" i="2"/>
  <c r="J116" i="2"/>
  <c r="K116" i="2"/>
  <c r="L116" i="2"/>
  <c r="M116" i="2"/>
  <c r="N116" i="2"/>
  <c r="O116" i="2"/>
  <c r="P116" i="2"/>
  <c r="Q116" i="2"/>
  <c r="R116" i="2"/>
  <c r="S116" i="2"/>
  <c r="T116" i="2"/>
  <c r="D117" i="2"/>
  <c r="E117" i="2"/>
  <c r="F117" i="2"/>
  <c r="G117" i="2"/>
  <c r="H117" i="2"/>
  <c r="I117" i="2"/>
  <c r="J117" i="2"/>
  <c r="K117" i="2"/>
  <c r="L117" i="2"/>
  <c r="M117" i="2"/>
  <c r="N117" i="2"/>
  <c r="O117" i="2"/>
  <c r="P117" i="2"/>
  <c r="Q117" i="2"/>
  <c r="R117" i="2"/>
  <c r="S117" i="2"/>
  <c r="T117" i="2"/>
  <c r="D118" i="2"/>
  <c r="E118" i="2"/>
  <c r="F118" i="2"/>
  <c r="G118" i="2"/>
  <c r="H118" i="2"/>
  <c r="I118" i="2"/>
  <c r="J118" i="2"/>
  <c r="K118" i="2"/>
  <c r="L118" i="2"/>
  <c r="M118" i="2"/>
  <c r="N118" i="2"/>
  <c r="O118" i="2"/>
  <c r="P118" i="2"/>
  <c r="Q118" i="2"/>
  <c r="R118" i="2"/>
  <c r="S118" i="2"/>
  <c r="T118" i="2"/>
  <c r="D119" i="2"/>
  <c r="E119" i="2"/>
  <c r="F119" i="2"/>
  <c r="G119" i="2"/>
  <c r="H119" i="2"/>
  <c r="I119" i="2"/>
  <c r="J119" i="2"/>
  <c r="K119" i="2"/>
  <c r="L119" i="2"/>
  <c r="M119" i="2"/>
  <c r="N119" i="2"/>
  <c r="O119" i="2"/>
  <c r="P119" i="2"/>
  <c r="Q119" i="2"/>
  <c r="R119" i="2"/>
  <c r="S119" i="2"/>
  <c r="T119" i="2"/>
  <c r="D120" i="2"/>
  <c r="E120" i="2"/>
  <c r="F120" i="2"/>
  <c r="G120" i="2"/>
  <c r="H120" i="2"/>
  <c r="I120" i="2"/>
  <c r="J120" i="2"/>
  <c r="K120" i="2"/>
  <c r="L120" i="2"/>
  <c r="M120" i="2"/>
  <c r="N120" i="2"/>
  <c r="O120" i="2"/>
  <c r="P120" i="2"/>
  <c r="Q120" i="2"/>
  <c r="R120" i="2"/>
  <c r="S120" i="2"/>
  <c r="T120" i="2"/>
  <c r="C120" i="2"/>
  <c r="C119" i="2"/>
  <c r="C118" i="2"/>
  <c r="C117" i="2"/>
  <c r="C116" i="2"/>
  <c r="C115" i="2"/>
  <c r="C114" i="2"/>
  <c r="C113" i="2"/>
  <c r="C112" i="2"/>
  <c r="C111" i="2"/>
  <c r="C195" i="2" l="1"/>
  <c r="U131" i="2"/>
  <c r="U214" i="2" s="1"/>
  <c r="C198" i="2"/>
  <c r="U134" i="2"/>
  <c r="U217" i="2" s="1"/>
  <c r="C194" i="2"/>
  <c r="U130" i="2"/>
  <c r="U213" i="2" s="1"/>
  <c r="C190" i="2"/>
  <c r="U126" i="2"/>
  <c r="U209" i="2" s="1"/>
  <c r="C197" i="2"/>
  <c r="U133" i="2"/>
  <c r="U216" i="2" s="1"/>
  <c r="C193" i="2"/>
  <c r="U129" i="2"/>
  <c r="U212" i="2" s="1"/>
  <c r="C189" i="2"/>
  <c r="U125" i="2"/>
  <c r="U208" i="2" s="1"/>
  <c r="R260" i="19"/>
  <c r="R265" i="19"/>
  <c r="R250" i="19"/>
  <c r="R246" i="19"/>
  <c r="R245" i="19"/>
  <c r="R227" i="19"/>
  <c r="R238" i="19"/>
  <c r="R247" i="19"/>
  <c r="C191" i="2"/>
  <c r="U127" i="2"/>
  <c r="U210" i="2" s="1"/>
  <c r="C196" i="2"/>
  <c r="U132" i="2"/>
  <c r="U215" i="2" s="1"/>
  <c r="C192" i="2"/>
  <c r="U128" i="2"/>
  <c r="U211" i="2" s="1"/>
  <c r="AF101" i="64"/>
  <c r="AF117" i="64" s="1"/>
  <c r="AF168" i="64" s="1"/>
  <c r="AD414" i="47"/>
  <c r="AD432" i="47"/>
  <c r="AE355" i="47"/>
  <c r="AE349" i="47"/>
  <c r="AI77" i="47"/>
  <c r="AG226" i="63"/>
  <c r="AG44" i="67" s="1"/>
  <c r="AF307" i="63"/>
  <c r="AG287" i="63"/>
  <c r="AG133" i="64"/>
  <c r="R259" i="19"/>
  <c r="R244" i="19"/>
  <c r="R257" i="19"/>
  <c r="R255" i="19"/>
  <c r="R256" i="19"/>
  <c r="R226" i="19"/>
  <c r="R235" i="19"/>
  <c r="R229" i="19"/>
  <c r="R262" i="19"/>
  <c r="R263" i="19"/>
  <c r="R253" i="19"/>
  <c r="R258" i="19"/>
  <c r="R261" i="19"/>
  <c r="R240" i="19"/>
  <c r="R233" i="19"/>
  <c r="R243" i="19"/>
  <c r="R231" i="19"/>
  <c r="R248" i="19"/>
  <c r="R230" i="19"/>
  <c r="R251" i="19"/>
  <c r="R228" i="19"/>
  <c r="R241" i="19"/>
  <c r="R236" i="19"/>
  <c r="R264" i="19"/>
  <c r="R237" i="19"/>
  <c r="R249" i="19"/>
  <c r="R239" i="19"/>
  <c r="R242" i="19"/>
  <c r="R234" i="19"/>
  <c r="R232" i="19"/>
  <c r="R252" i="19"/>
  <c r="R254" i="19"/>
  <c r="B53" i="64"/>
  <c r="AG247" i="63"/>
  <c r="AG144" i="39"/>
  <c r="AH144" i="39" s="1"/>
  <c r="AF145" i="39"/>
  <c r="AF146" i="39"/>
  <c r="AF147" i="39"/>
  <c r="AF148" i="39"/>
  <c r="AF149" i="39"/>
  <c r="AF150" i="39"/>
  <c r="AF151" i="39"/>
  <c r="AF152" i="39"/>
  <c r="AF153" i="39"/>
  <c r="AF154" i="39"/>
  <c r="AF155" i="39"/>
  <c r="AF156" i="39"/>
  <c r="AF157" i="39"/>
  <c r="AF158" i="39"/>
  <c r="AF159" i="39"/>
  <c r="AF160" i="39"/>
  <c r="AF161" i="39"/>
  <c r="AF162" i="39"/>
  <c r="AF163" i="39"/>
  <c r="E174" i="39"/>
  <c r="I174" i="39"/>
  <c r="M174" i="39"/>
  <c r="Q174" i="39"/>
  <c r="U174" i="39"/>
  <c r="Y174" i="39"/>
  <c r="AC174" i="39"/>
  <c r="F174" i="39"/>
  <c r="J174" i="39"/>
  <c r="N174" i="39"/>
  <c r="R174" i="39"/>
  <c r="V174" i="39"/>
  <c r="Z174" i="39"/>
  <c r="AD174" i="39"/>
  <c r="H174" i="39"/>
  <c r="P174" i="39"/>
  <c r="X174" i="39"/>
  <c r="AF174" i="39"/>
  <c r="C174" i="39"/>
  <c r="K174" i="39"/>
  <c r="S174" i="39"/>
  <c r="AA174" i="39"/>
  <c r="O174" i="39"/>
  <c r="AE174" i="39"/>
  <c r="D174" i="39"/>
  <c r="L174" i="39"/>
  <c r="T174" i="39"/>
  <c r="AB174" i="39"/>
  <c r="G174" i="39"/>
  <c r="W174" i="39"/>
  <c r="F178" i="51"/>
  <c r="J178" i="51"/>
  <c r="N178" i="51"/>
  <c r="R178" i="51"/>
  <c r="V178" i="51"/>
  <c r="Z178" i="51"/>
  <c r="AD178" i="51"/>
  <c r="C178" i="51"/>
  <c r="G178" i="51"/>
  <c r="K178" i="51"/>
  <c r="O178" i="51"/>
  <c r="S178" i="51"/>
  <c r="W178" i="51"/>
  <c r="AA178" i="51"/>
  <c r="AE178" i="51"/>
  <c r="D178" i="51"/>
  <c r="H178" i="51"/>
  <c r="L178" i="51"/>
  <c r="P178" i="51"/>
  <c r="T178" i="51"/>
  <c r="X178" i="51"/>
  <c r="AB178" i="51"/>
  <c r="AF178" i="51"/>
  <c r="E178" i="51"/>
  <c r="I178" i="51"/>
  <c r="M178" i="51"/>
  <c r="Q178" i="51"/>
  <c r="U178" i="51"/>
  <c r="Y178" i="51"/>
  <c r="AC178" i="51"/>
  <c r="AG148" i="51"/>
  <c r="AH148" i="51" s="1"/>
  <c r="AF149" i="51"/>
  <c r="AF150" i="51"/>
  <c r="AF151" i="51"/>
  <c r="AF152" i="51"/>
  <c r="AF153" i="51"/>
  <c r="AF154" i="51"/>
  <c r="AF155" i="51"/>
  <c r="AF156" i="51"/>
  <c r="AF157" i="51"/>
  <c r="AF158" i="51"/>
  <c r="AF159" i="51"/>
  <c r="AF160" i="51"/>
  <c r="AF161" i="51"/>
  <c r="AF162" i="51"/>
  <c r="AF163" i="51"/>
  <c r="AF164" i="51"/>
  <c r="AF165" i="51"/>
  <c r="AF166" i="51"/>
  <c r="AF167" i="51"/>
  <c r="F81" i="51"/>
  <c r="J81" i="51"/>
  <c r="N81" i="51"/>
  <c r="R81" i="51"/>
  <c r="V81" i="51"/>
  <c r="Z81" i="51"/>
  <c r="AD81" i="51"/>
  <c r="G81" i="51"/>
  <c r="L81" i="51"/>
  <c r="Q81" i="51"/>
  <c r="W81" i="51"/>
  <c r="AB81" i="51"/>
  <c r="C81" i="51"/>
  <c r="H81" i="51"/>
  <c r="M81" i="51"/>
  <c r="S81" i="51"/>
  <c r="X81" i="51"/>
  <c r="AC81" i="51"/>
  <c r="I81" i="51"/>
  <c r="T81" i="51"/>
  <c r="AE81" i="51"/>
  <c r="D81" i="51"/>
  <c r="O81" i="51"/>
  <c r="Y81" i="51"/>
  <c r="K81" i="51"/>
  <c r="U81" i="51"/>
  <c r="AF81" i="51"/>
  <c r="E81" i="51"/>
  <c r="P81" i="51"/>
  <c r="AA81" i="51"/>
  <c r="B179" i="51"/>
  <c r="AG51" i="51"/>
  <c r="AH51" i="51" s="1"/>
  <c r="AF52" i="51"/>
  <c r="AF53" i="51"/>
  <c r="AF54" i="51"/>
  <c r="AF55" i="51"/>
  <c r="AF56" i="51"/>
  <c r="AF57" i="51"/>
  <c r="AF58" i="51"/>
  <c r="AF59" i="51"/>
  <c r="AF60" i="51"/>
  <c r="AF61" i="51"/>
  <c r="AF62" i="51"/>
  <c r="AF63" i="51"/>
  <c r="AF64" i="51"/>
  <c r="AF65" i="51"/>
  <c r="AF66" i="51"/>
  <c r="AF67" i="51"/>
  <c r="AF68" i="51"/>
  <c r="AF69" i="51"/>
  <c r="AF70" i="51"/>
  <c r="B82" i="51"/>
  <c r="AG48" i="39"/>
  <c r="AH48" i="39" s="1"/>
  <c r="AF49" i="39"/>
  <c r="AF50" i="39"/>
  <c r="AF51" i="39"/>
  <c r="AF52" i="39"/>
  <c r="AF53" i="39"/>
  <c r="AF54" i="39"/>
  <c r="AF55" i="39"/>
  <c r="AF56" i="39"/>
  <c r="AF57" i="39"/>
  <c r="AF58" i="39"/>
  <c r="AF59" i="39"/>
  <c r="AF60" i="39"/>
  <c r="AF61" i="39"/>
  <c r="AF62" i="39"/>
  <c r="AF63" i="39"/>
  <c r="AF64" i="39"/>
  <c r="AF65" i="39"/>
  <c r="AF66" i="39"/>
  <c r="AF67" i="39"/>
  <c r="B175" i="39"/>
  <c r="F78" i="39"/>
  <c r="J78" i="39"/>
  <c r="N78" i="39"/>
  <c r="R78" i="39"/>
  <c r="V78" i="39"/>
  <c r="Z78" i="39"/>
  <c r="AD78" i="39"/>
  <c r="E78" i="39"/>
  <c r="K78" i="39"/>
  <c r="P78" i="39"/>
  <c r="U78" i="39"/>
  <c r="AA78" i="39"/>
  <c r="AF78" i="39"/>
  <c r="G78" i="39"/>
  <c r="L78" i="39"/>
  <c r="Q78" i="39"/>
  <c r="W78" i="39"/>
  <c r="AB78" i="39"/>
  <c r="C78" i="39"/>
  <c r="H78" i="39"/>
  <c r="M78" i="39"/>
  <c r="S78" i="39"/>
  <c r="X78" i="39"/>
  <c r="AC78" i="39"/>
  <c r="D78" i="39"/>
  <c r="Y78" i="39"/>
  <c r="I78" i="39"/>
  <c r="AE78" i="39"/>
  <c r="O78" i="39"/>
  <c r="T78" i="39"/>
  <c r="B79" i="39"/>
  <c r="AH10" i="63"/>
  <c r="AH11" i="67" s="1"/>
  <c r="AH189" i="63"/>
  <c r="AH104" i="63"/>
  <c r="AH152" i="63"/>
  <c r="AH76" i="64" s="1"/>
  <c r="AH143" i="64" s="1"/>
  <c r="AH177" i="63"/>
  <c r="AH82" i="67" s="1"/>
  <c r="AH38" i="63"/>
  <c r="AH305" i="63" s="1"/>
  <c r="AH128" i="63"/>
  <c r="AG315" i="63"/>
  <c r="AG306" i="63"/>
  <c r="AG314" i="63"/>
  <c r="AF316" i="63"/>
  <c r="AJ42" i="30"/>
  <c r="AI54" i="30"/>
  <c r="AI65" i="30" s="1"/>
  <c r="AI89" i="30" s="1"/>
  <c r="AI110" i="30" s="1"/>
  <c r="AF216" i="2"/>
  <c r="AJ216" i="2"/>
  <c r="BC217" i="2"/>
  <c r="AY217" i="2"/>
  <c r="AQ217" i="2"/>
  <c r="BI216" i="2"/>
  <c r="BE216" i="2"/>
  <c r="BA216" i="2"/>
  <c r="AW216" i="2"/>
  <c r="AS216" i="2"/>
  <c r="AH217" i="2"/>
  <c r="AL217" i="2"/>
  <c r="BI217" i="2"/>
  <c r="BA217" i="2"/>
  <c r="AW217" i="2"/>
  <c r="AS217" i="2"/>
  <c r="BG216" i="2"/>
  <c r="BC216" i="2"/>
  <c r="AU216" i="2"/>
  <c r="AQ216" i="2"/>
  <c r="AM216" i="2"/>
  <c r="Y216" i="2"/>
  <c r="AC216" i="2"/>
  <c r="AG216" i="2"/>
  <c r="AK216" i="2"/>
  <c r="W217" i="2"/>
  <c r="AA217" i="2"/>
  <c r="AI217" i="2"/>
  <c r="V216" i="2"/>
  <c r="Z216" i="2"/>
  <c r="AH216" i="2"/>
  <c r="AL216" i="2"/>
  <c r="X217" i="2"/>
  <c r="AB217" i="2"/>
  <c r="AF217" i="2"/>
  <c r="AJ217" i="2"/>
  <c r="AM217" i="2"/>
  <c r="N132" i="2"/>
  <c r="W216" i="2"/>
  <c r="AE216" i="2"/>
  <c r="Y217" i="2"/>
  <c r="AG217" i="2"/>
  <c r="BJ217" i="2"/>
  <c r="AX217" i="2"/>
  <c r="AT217" i="2"/>
  <c r="BD216" i="2"/>
  <c r="AZ216" i="2"/>
  <c r="AV216" i="2"/>
  <c r="AN216" i="2"/>
  <c r="N134" i="2"/>
  <c r="N217" i="2" s="1"/>
  <c r="Q134" i="2"/>
  <c r="Q217" i="2" s="1"/>
  <c r="R133" i="2"/>
  <c r="R216" i="2" s="1"/>
  <c r="N133" i="2"/>
  <c r="N216" i="2" s="1"/>
  <c r="S132" i="2"/>
  <c r="S215" i="2" s="1"/>
  <c r="O132" i="2"/>
  <c r="O215" i="2" s="1"/>
  <c r="V208" i="2"/>
  <c r="V210" i="2"/>
  <c r="V212" i="2"/>
  <c r="V214" i="2"/>
  <c r="T134" i="2"/>
  <c r="T217" i="2" s="1"/>
  <c r="P134" i="2"/>
  <c r="P217" i="2" s="1"/>
  <c r="Q133" i="2"/>
  <c r="Q216" i="2" s="1"/>
  <c r="R132" i="2"/>
  <c r="R215" i="2" s="1"/>
  <c r="S134" i="2"/>
  <c r="O134" i="2"/>
  <c r="O217" i="2" s="1"/>
  <c r="T133" i="2"/>
  <c r="T216" i="2" s="1"/>
  <c r="P133" i="2"/>
  <c r="P216" i="2" s="1"/>
  <c r="Q132" i="2"/>
  <c r="Q215" i="2" s="1"/>
  <c r="R134" i="2"/>
  <c r="S133" i="2"/>
  <c r="S216" i="2" s="1"/>
  <c r="O133" i="2"/>
  <c r="O216" i="2" s="1"/>
  <c r="T132" i="2"/>
  <c r="T215" i="2" s="1"/>
  <c r="P132" i="2"/>
  <c r="P215" i="2" s="1"/>
  <c r="AJ102" i="30"/>
  <c r="AH209" i="2"/>
  <c r="AF210" i="2"/>
  <c r="V215" i="2"/>
  <c r="M133" i="2"/>
  <c r="M216" i="2" s="1"/>
  <c r="E129" i="2"/>
  <c r="E212" i="2" s="1"/>
  <c r="T126" i="2"/>
  <c r="T209" i="2" s="1"/>
  <c r="V209" i="2"/>
  <c r="AD209" i="2"/>
  <c r="X210" i="2"/>
  <c r="AJ210" i="2"/>
  <c r="Z217" i="2"/>
  <c r="AA215" i="2"/>
  <c r="Z209" i="2"/>
  <c r="AL209" i="2"/>
  <c r="AB210" i="2"/>
  <c r="V211" i="2"/>
  <c r="V213" i="2"/>
  <c r="AL215" i="2"/>
  <c r="V217" i="2"/>
  <c r="BG217" i="2"/>
  <c r="BG215" i="2"/>
  <c r="BC215" i="2"/>
  <c r="AY215" i="2"/>
  <c r="AU215" i="2"/>
  <c r="AQ215" i="2"/>
  <c r="BI214" i="2"/>
  <c r="BE214" i="2"/>
  <c r="BA214" i="2"/>
  <c r="AW214" i="2"/>
  <c r="BE217" i="2"/>
  <c r="AO217" i="2"/>
  <c r="AC217" i="2"/>
  <c r="AU217" i="2"/>
  <c r="AO216" i="2"/>
  <c r="AI124" i="30"/>
  <c r="AH90" i="49"/>
  <c r="AH87" i="40"/>
  <c r="AF115" i="51"/>
  <c r="AF112" i="39"/>
  <c r="AG11" i="54"/>
  <c r="AG16" i="47"/>
  <c r="AG91" i="47"/>
  <c r="AG36" i="49"/>
  <c r="AG56" i="49" s="1"/>
  <c r="AG68" i="49"/>
  <c r="AG103" i="49"/>
  <c r="AI81" i="30"/>
  <c r="AI21" i="63" s="1"/>
  <c r="AH21" i="37"/>
  <c r="AH11" i="37" s="1"/>
  <c r="AH21" i="54"/>
  <c r="AH24" i="49"/>
  <c r="AH18" i="51"/>
  <c r="AH16" i="39"/>
  <c r="AH21" i="40"/>
  <c r="AF218" i="47"/>
  <c r="AF164" i="47"/>
  <c r="AF180" i="47"/>
  <c r="AH230" i="36"/>
  <c r="AH128" i="36"/>
  <c r="AH102" i="36"/>
  <c r="AG11" i="36"/>
  <c r="AH234" i="52"/>
  <c r="AH200" i="52"/>
  <c r="AH104" i="52"/>
  <c r="AH152" i="52"/>
  <c r="AH179" i="53"/>
  <c r="AH153" i="53"/>
  <c r="AH105" i="53"/>
  <c r="AG11" i="53"/>
  <c r="AG10" i="52"/>
  <c r="AH223" i="36"/>
  <c r="AH176" i="36"/>
  <c r="AH150" i="36"/>
  <c r="AG83" i="36"/>
  <c r="AG85" i="52"/>
  <c r="AG86" i="53"/>
  <c r="AH222" i="44"/>
  <c r="AH176" i="44"/>
  <c r="AH102" i="44"/>
  <c r="AH150" i="43"/>
  <c r="AG83" i="43"/>
  <c r="AH178" i="52"/>
  <c r="AH225" i="53"/>
  <c r="AH198" i="36"/>
  <c r="AH198" i="44"/>
  <c r="AG83" i="44"/>
  <c r="AH128" i="43"/>
  <c r="AH226" i="52"/>
  <c r="AH201" i="53"/>
  <c r="AH150" i="44"/>
  <c r="AG11" i="44"/>
  <c r="AH176" i="43"/>
  <c r="AH130" i="52"/>
  <c r="AH131" i="53"/>
  <c r="AH128" i="44"/>
  <c r="AH222" i="43"/>
  <c r="AH198" i="43"/>
  <c r="AH102" i="43"/>
  <c r="AG11" i="43"/>
  <c r="AG65" i="40"/>
  <c r="AG100" i="40"/>
  <c r="AG33" i="40"/>
  <c r="AG53" i="40" s="1"/>
  <c r="AS214" i="2"/>
  <c r="AO214" i="2"/>
  <c r="BG213" i="2"/>
  <c r="BC213" i="2"/>
  <c r="AY213" i="2"/>
  <c r="AU213" i="2"/>
  <c r="AQ213" i="2"/>
  <c r="BI212" i="2"/>
  <c r="BE212" i="2"/>
  <c r="BA212" i="2"/>
  <c r="AW212" i="2"/>
  <c r="AS212" i="2"/>
  <c r="AO212" i="2"/>
  <c r="BG211" i="2"/>
  <c r="BC211" i="2"/>
  <c r="AY211" i="2"/>
  <c r="AU211" i="2"/>
  <c r="AQ211" i="2"/>
  <c r="BI210" i="2"/>
  <c r="BE210" i="2"/>
  <c r="BA210" i="2"/>
  <c r="AW210" i="2"/>
  <c r="AS210" i="2"/>
  <c r="AO210" i="2"/>
  <c r="BG209" i="2"/>
  <c r="BC209" i="2"/>
  <c r="AY209" i="2"/>
  <c r="AU209" i="2"/>
  <c r="AQ209" i="2"/>
  <c r="BI208" i="2"/>
  <c r="BE208" i="2"/>
  <c r="BA208" i="2"/>
  <c r="AW208" i="2"/>
  <c r="AS208" i="2"/>
  <c r="AO208" i="2"/>
  <c r="Z211" i="2"/>
  <c r="AD211" i="2"/>
  <c r="AH211" i="2"/>
  <c r="AL211" i="2"/>
  <c r="Z213" i="2"/>
  <c r="AD213" i="2"/>
  <c r="AH213" i="2"/>
  <c r="T125" i="2"/>
  <c r="T208" i="2" s="1"/>
  <c r="L125" i="2"/>
  <c r="L208" i="2" s="1"/>
  <c r="H125" i="2"/>
  <c r="H208" i="2" s="1"/>
  <c r="AL213" i="2"/>
  <c r="X214" i="2"/>
  <c r="AB214" i="2"/>
  <c r="AF214" i="2"/>
  <c r="AJ214" i="2"/>
  <c r="Z215" i="2"/>
  <c r="AD215" i="2"/>
  <c r="AH215" i="2"/>
  <c r="AD217" i="2"/>
  <c r="C80" i="40"/>
  <c r="C82" i="40" s="1"/>
  <c r="C89" i="40" s="1"/>
  <c r="C101" i="40" s="1"/>
  <c r="C83" i="49"/>
  <c r="C85" i="49" s="1"/>
  <c r="C92" i="49" s="1"/>
  <c r="C12" i="63" s="1"/>
  <c r="C13" i="67" s="1"/>
  <c r="G73" i="52"/>
  <c r="F75" i="52"/>
  <c r="D265" i="19"/>
  <c r="E48" i="36"/>
  <c r="C71" i="36" s="1"/>
  <c r="F49" i="36"/>
  <c r="D72" i="36" s="1"/>
  <c r="F50" i="36"/>
  <c r="D73" i="36" s="1"/>
  <c r="C70" i="30"/>
  <c r="D229" i="19"/>
  <c r="D242" i="19"/>
  <c r="D226" i="19"/>
  <c r="D263" i="19"/>
  <c r="D247" i="19"/>
  <c r="D240" i="19"/>
  <c r="D264" i="19"/>
  <c r="D246" i="19"/>
  <c r="D235" i="19"/>
  <c r="D248" i="19"/>
  <c r="D243" i="19"/>
  <c r="D228" i="19"/>
  <c r="D230" i="19"/>
  <c r="D227" i="19"/>
  <c r="D262" i="19"/>
  <c r="D231" i="19"/>
  <c r="D250" i="19"/>
  <c r="D255" i="19"/>
  <c r="D238" i="19"/>
  <c r="D251" i="19"/>
  <c r="D258" i="19"/>
  <c r="D236" i="19"/>
  <c r="D244" i="19"/>
  <c r="D253" i="19"/>
  <c r="D237" i="19"/>
  <c r="D241" i="19"/>
  <c r="D234" i="19"/>
  <c r="D261" i="19"/>
  <c r="D245" i="19"/>
  <c r="D252" i="19"/>
  <c r="D259" i="19"/>
  <c r="D232" i="19"/>
  <c r="D249" i="19"/>
  <c r="D257" i="19"/>
  <c r="D254" i="19"/>
  <c r="D239" i="19"/>
  <c r="D260" i="19"/>
  <c r="D256" i="19"/>
  <c r="D149" i="35"/>
  <c r="D183" i="35" a="1"/>
  <c r="D183" i="35" s="1"/>
  <c r="C93" i="30"/>
  <c r="C92" i="30"/>
  <c r="C94" i="30" s="1"/>
  <c r="D49" i="30"/>
  <c r="E86" i="5"/>
  <c r="C86" i="5" s="1"/>
  <c r="C33" i="45" s="1"/>
  <c r="S224" i="19"/>
  <c r="S260" i="19" s="1"/>
  <c r="D126" i="2"/>
  <c r="D209" i="2" s="1"/>
  <c r="D130" i="2"/>
  <c r="D213" i="2" s="1"/>
  <c r="AH210" i="2"/>
  <c r="P128" i="2"/>
  <c r="P211" i="2" s="1"/>
  <c r="H128" i="2"/>
  <c r="H211" i="2" s="1"/>
  <c r="H132" i="2"/>
  <c r="H215" i="2" s="1"/>
  <c r="T128" i="2"/>
  <c r="T211" i="2" s="1"/>
  <c r="K134" i="2"/>
  <c r="G134" i="2"/>
  <c r="H133" i="2"/>
  <c r="H216" i="2" s="1"/>
  <c r="D133" i="2"/>
  <c r="D216" i="2" s="1"/>
  <c r="M132" i="2"/>
  <c r="M215" i="2" s="1"/>
  <c r="I132" i="2"/>
  <c r="I215" i="2" s="1"/>
  <c r="E132" i="2"/>
  <c r="E215" i="2" s="1"/>
  <c r="S130" i="2"/>
  <c r="S213" i="2" s="1"/>
  <c r="O130" i="2"/>
  <c r="O213" i="2" s="1"/>
  <c r="K130" i="2"/>
  <c r="K213" i="2" s="1"/>
  <c r="G130" i="2"/>
  <c r="G213" i="2" s="1"/>
  <c r="T129" i="2"/>
  <c r="T212" i="2" s="1"/>
  <c r="P129" i="2"/>
  <c r="P212" i="2" s="1"/>
  <c r="L129" i="2"/>
  <c r="L212" i="2" s="1"/>
  <c r="H129" i="2"/>
  <c r="H212" i="2" s="1"/>
  <c r="Q128" i="2"/>
  <c r="Q211" i="2" s="1"/>
  <c r="M128" i="2"/>
  <c r="M211" i="2" s="1"/>
  <c r="I128" i="2"/>
  <c r="I211" i="2" s="1"/>
  <c r="E128" i="2"/>
  <c r="E211" i="2" s="1"/>
  <c r="O126" i="2"/>
  <c r="O209" i="2" s="1"/>
  <c r="G126" i="2"/>
  <c r="G209" i="2" s="1"/>
  <c r="I133" i="2"/>
  <c r="I216" i="2" s="1"/>
  <c r="E133" i="2"/>
  <c r="E216" i="2" s="1"/>
  <c r="I129" i="2"/>
  <c r="I212" i="2" s="1"/>
  <c r="I125" i="2"/>
  <c r="I208" i="2" s="1"/>
  <c r="BG214" i="2"/>
  <c r="BC214" i="2"/>
  <c r="AY214" i="2"/>
  <c r="AU214" i="2"/>
  <c r="AQ214" i="2"/>
  <c r="BI213" i="2"/>
  <c r="BE213" i="2"/>
  <c r="BA213" i="2"/>
  <c r="AW213" i="2"/>
  <c r="AS213" i="2"/>
  <c r="AO213" i="2"/>
  <c r="BG212" i="2"/>
  <c r="BC212" i="2"/>
  <c r="AY212" i="2"/>
  <c r="AU212" i="2"/>
  <c r="AQ212" i="2"/>
  <c r="BI211" i="2"/>
  <c r="BE211" i="2"/>
  <c r="BA211" i="2"/>
  <c r="AW211" i="2"/>
  <c r="AS211" i="2"/>
  <c r="AO211" i="2"/>
  <c r="BG210" i="2"/>
  <c r="BC210" i="2"/>
  <c r="AY210" i="2"/>
  <c r="AU210" i="2"/>
  <c r="AQ210" i="2"/>
  <c r="BI209" i="2"/>
  <c r="BE209" i="2"/>
  <c r="BA209" i="2"/>
  <c r="AW209" i="2"/>
  <c r="AS209" i="2"/>
  <c r="AO209" i="2"/>
  <c r="BG208" i="2"/>
  <c r="BC208" i="2"/>
  <c r="AY208" i="2"/>
  <c r="AU208" i="2"/>
  <c r="AU252" i="2" s="1"/>
  <c r="AQ208" i="2"/>
  <c r="D129" i="2"/>
  <c r="D212" i="2" s="1"/>
  <c r="L133" i="2"/>
  <c r="L216" i="2" s="1"/>
  <c r="M129" i="2"/>
  <c r="M212" i="2" s="1"/>
  <c r="S126" i="2"/>
  <c r="S209" i="2" s="1"/>
  <c r="D134" i="2"/>
  <c r="M134" i="2"/>
  <c r="I134" i="2"/>
  <c r="E134" i="2"/>
  <c r="J133" i="2"/>
  <c r="J216" i="2" s="1"/>
  <c r="F133" i="2"/>
  <c r="F216" i="2" s="1"/>
  <c r="K132" i="2"/>
  <c r="K215" i="2" s="1"/>
  <c r="T131" i="2"/>
  <c r="T214" i="2" s="1"/>
  <c r="P131" i="2"/>
  <c r="P214" i="2" s="1"/>
  <c r="L131" i="2"/>
  <c r="L214" i="2" s="1"/>
  <c r="H131" i="2"/>
  <c r="H214" i="2" s="1"/>
  <c r="D131" i="2"/>
  <c r="D214" i="2" s="1"/>
  <c r="Q130" i="2"/>
  <c r="Q213" i="2" s="1"/>
  <c r="M130" i="2"/>
  <c r="M213" i="2" s="1"/>
  <c r="I130" i="2"/>
  <c r="I213" i="2" s="1"/>
  <c r="E130" i="2"/>
  <c r="E213" i="2" s="1"/>
  <c r="R129" i="2"/>
  <c r="R212" i="2" s="1"/>
  <c r="N129" i="2"/>
  <c r="N212" i="2" s="1"/>
  <c r="J129" i="2"/>
  <c r="J212" i="2" s="1"/>
  <c r="F129" i="2"/>
  <c r="F212" i="2" s="1"/>
  <c r="K128" i="2"/>
  <c r="K211" i="2" s="1"/>
  <c r="T127" i="2"/>
  <c r="T210" i="2" s="1"/>
  <c r="P127" i="2"/>
  <c r="P210" i="2" s="1"/>
  <c r="L127" i="2"/>
  <c r="L210" i="2" s="1"/>
  <c r="H127" i="2"/>
  <c r="H210" i="2" s="1"/>
  <c r="D127" i="2"/>
  <c r="D210" i="2" s="1"/>
  <c r="Q126" i="2"/>
  <c r="Q209" i="2" s="1"/>
  <c r="M126" i="2"/>
  <c r="M209" i="2" s="1"/>
  <c r="I126" i="2"/>
  <c r="I209" i="2" s="1"/>
  <c r="E126" i="2"/>
  <c r="E209" i="2" s="1"/>
  <c r="R125" i="2"/>
  <c r="R208" i="2" s="1"/>
  <c r="N125" i="2"/>
  <c r="N208" i="2" s="1"/>
  <c r="J125" i="2"/>
  <c r="J208" i="2" s="1"/>
  <c r="F125" i="2"/>
  <c r="F208" i="2" s="1"/>
  <c r="Q129" i="2"/>
  <c r="Q212" i="2" s="1"/>
  <c r="D125" i="2"/>
  <c r="D208" i="2" s="1"/>
  <c r="L134" i="2"/>
  <c r="H134" i="2"/>
  <c r="N215" i="2"/>
  <c r="J132" i="2"/>
  <c r="J215" i="2" s="1"/>
  <c r="F132" i="2"/>
  <c r="F215" i="2" s="1"/>
  <c r="S131" i="2"/>
  <c r="S214" i="2" s="1"/>
  <c r="O131" i="2"/>
  <c r="O214" i="2" s="1"/>
  <c r="K131" i="2"/>
  <c r="K214" i="2" s="1"/>
  <c r="G131" i="2"/>
  <c r="G214" i="2" s="1"/>
  <c r="T130" i="2"/>
  <c r="T213" i="2" s="1"/>
  <c r="P130" i="2"/>
  <c r="P213" i="2" s="1"/>
  <c r="L130" i="2"/>
  <c r="L213" i="2" s="1"/>
  <c r="H130" i="2"/>
  <c r="H213" i="2" s="1"/>
  <c r="R128" i="2"/>
  <c r="R211" i="2" s="1"/>
  <c r="N128" i="2"/>
  <c r="N211" i="2" s="1"/>
  <c r="J128" i="2"/>
  <c r="J211" i="2" s="1"/>
  <c r="F128" i="2"/>
  <c r="F211" i="2" s="1"/>
  <c r="S127" i="2"/>
  <c r="S210" i="2" s="1"/>
  <c r="O127" i="2"/>
  <c r="O210" i="2" s="1"/>
  <c r="K127" i="2"/>
  <c r="K210" i="2" s="1"/>
  <c r="G127" i="2"/>
  <c r="G210" i="2" s="1"/>
  <c r="P126" i="2"/>
  <c r="P209" i="2" s="1"/>
  <c r="L126" i="2"/>
  <c r="L209" i="2" s="1"/>
  <c r="H126" i="2"/>
  <c r="H209" i="2" s="1"/>
  <c r="Q125" i="2"/>
  <c r="Q208" i="2" s="1"/>
  <c r="M125" i="2"/>
  <c r="M208" i="2" s="1"/>
  <c r="E125" i="2"/>
  <c r="E208" i="2" s="1"/>
  <c r="J134" i="2"/>
  <c r="F134" i="2"/>
  <c r="K133" i="2"/>
  <c r="K216" i="2" s="1"/>
  <c r="G133" i="2"/>
  <c r="G216" i="2" s="1"/>
  <c r="D132" i="2"/>
  <c r="D215" i="2" s="1"/>
  <c r="R131" i="2"/>
  <c r="R214" i="2" s="1"/>
  <c r="N131" i="2"/>
  <c r="N214" i="2" s="1"/>
  <c r="J131" i="2"/>
  <c r="J214" i="2" s="1"/>
  <c r="F131" i="2"/>
  <c r="F214" i="2" s="1"/>
  <c r="R130" i="2"/>
  <c r="R213" i="2" s="1"/>
  <c r="N130" i="2"/>
  <c r="N213" i="2" s="1"/>
  <c r="J130" i="2"/>
  <c r="J213" i="2" s="1"/>
  <c r="F130" i="2"/>
  <c r="F213" i="2" s="1"/>
  <c r="S129" i="2"/>
  <c r="S212" i="2" s="1"/>
  <c r="O129" i="2"/>
  <c r="O212" i="2" s="1"/>
  <c r="K129" i="2"/>
  <c r="K212" i="2" s="1"/>
  <c r="G129" i="2"/>
  <c r="G212" i="2" s="1"/>
  <c r="D128" i="2"/>
  <c r="D211" i="2" s="1"/>
  <c r="R127" i="2"/>
  <c r="R210" i="2" s="1"/>
  <c r="N127" i="2"/>
  <c r="N210" i="2" s="1"/>
  <c r="J127" i="2"/>
  <c r="J210" i="2" s="1"/>
  <c r="E127" i="2"/>
  <c r="E210" i="2" s="1"/>
  <c r="P125" i="2"/>
  <c r="P208" i="2" s="1"/>
  <c r="K125" i="2"/>
  <c r="K208" i="2" s="1"/>
  <c r="G125" i="2"/>
  <c r="G208" i="2" s="1"/>
  <c r="Y208" i="2"/>
  <c r="AC208" i="2"/>
  <c r="AG208" i="2"/>
  <c r="AK208" i="2"/>
  <c r="W209" i="2"/>
  <c r="AA209" i="2"/>
  <c r="AE209" i="2"/>
  <c r="AI209" i="2"/>
  <c r="Y210" i="2"/>
  <c r="AC210" i="2"/>
  <c r="AG210" i="2"/>
  <c r="AK210" i="2"/>
  <c r="W211" i="2"/>
  <c r="AA211" i="2"/>
  <c r="AE211" i="2"/>
  <c r="AI211" i="2"/>
  <c r="Y212" i="2"/>
  <c r="AC212" i="2"/>
  <c r="AG212" i="2"/>
  <c r="AK212" i="2"/>
  <c r="W213" i="2"/>
  <c r="AA213" i="2"/>
  <c r="AE213" i="2"/>
  <c r="AI213" i="2"/>
  <c r="Y214" i="2"/>
  <c r="AC214" i="2"/>
  <c r="AG214" i="2"/>
  <c r="AK214" i="2"/>
  <c r="W215" i="2"/>
  <c r="AE215" i="2"/>
  <c r="AI215" i="2"/>
  <c r="AE217" i="2"/>
  <c r="BD215" i="2"/>
  <c r="AM215" i="2"/>
  <c r="AM213" i="2"/>
  <c r="AM211" i="2"/>
  <c r="AM209" i="2"/>
  <c r="BF217" i="2"/>
  <c r="BB217" i="2"/>
  <c r="AP217" i="2"/>
  <c r="BH216" i="2"/>
  <c r="AR216" i="2"/>
  <c r="BJ215" i="2"/>
  <c r="BF215" i="2"/>
  <c r="BB215" i="2"/>
  <c r="AX215" i="2"/>
  <c r="AT215" i="2"/>
  <c r="AP215" i="2"/>
  <c r="BH214" i="2"/>
  <c r="BD214" i="2"/>
  <c r="AZ214" i="2"/>
  <c r="AV214" i="2"/>
  <c r="AR214" i="2"/>
  <c r="AN214" i="2"/>
  <c r="BJ213" i="2"/>
  <c r="BF213" i="2"/>
  <c r="BB213" i="2"/>
  <c r="AX213" i="2"/>
  <c r="AT213" i="2"/>
  <c r="AP213" i="2"/>
  <c r="BH212" i="2"/>
  <c r="BD212" i="2"/>
  <c r="AZ212" i="2"/>
  <c r="AV212" i="2"/>
  <c r="AR212" i="2"/>
  <c r="AN212" i="2"/>
  <c r="BJ211" i="2"/>
  <c r="BF211" i="2"/>
  <c r="BB211" i="2"/>
  <c r="AX211" i="2"/>
  <c r="AT211" i="2"/>
  <c r="AP211" i="2"/>
  <c r="BH210" i="2"/>
  <c r="BD210" i="2"/>
  <c r="AZ210" i="2"/>
  <c r="AV210" i="2"/>
  <c r="AR210" i="2"/>
  <c r="AN210" i="2"/>
  <c r="BJ209" i="2"/>
  <c r="BF209" i="2"/>
  <c r="BB209" i="2"/>
  <c r="AX209" i="2"/>
  <c r="AT209" i="2"/>
  <c r="AP209" i="2"/>
  <c r="BH208" i="2"/>
  <c r="BD208" i="2"/>
  <c r="AZ208" i="2"/>
  <c r="AV208" i="2"/>
  <c r="AR208" i="2"/>
  <c r="AN208" i="2"/>
  <c r="M131" i="2"/>
  <c r="M214" i="2" s="1"/>
  <c r="Q127" i="2"/>
  <c r="Q210" i="2" s="1"/>
  <c r="M127" i="2"/>
  <c r="M210" i="2" s="1"/>
  <c r="I127" i="2"/>
  <c r="I210" i="2" s="1"/>
  <c r="O125" i="2"/>
  <c r="O208" i="2" s="1"/>
  <c r="AL210" i="2"/>
  <c r="AH214" i="2"/>
  <c r="L132" i="2"/>
  <c r="L215" i="2" s="1"/>
  <c r="L128" i="2"/>
  <c r="L211" i="2" s="1"/>
  <c r="S125" i="2"/>
  <c r="S208" i="2" s="1"/>
  <c r="Z208" i="2"/>
  <c r="AD208" i="2"/>
  <c r="AH208" i="2"/>
  <c r="AH252" i="2" s="1"/>
  <c r="AL208" i="2"/>
  <c r="X209" i="2"/>
  <c r="AB209" i="2"/>
  <c r="AF209" i="2"/>
  <c r="AJ209" i="2"/>
  <c r="Z210" i="2"/>
  <c r="AD210" i="2"/>
  <c r="X211" i="2"/>
  <c r="AB211" i="2"/>
  <c r="AF211" i="2"/>
  <c r="Z214" i="2"/>
  <c r="AL214" i="2"/>
  <c r="F127" i="2"/>
  <c r="F210" i="2" s="1"/>
  <c r="G132" i="2"/>
  <c r="G215" i="2" s="1"/>
  <c r="S128" i="2"/>
  <c r="S211" i="2" s="1"/>
  <c r="O128" i="2"/>
  <c r="O211" i="2" s="1"/>
  <c r="G128" i="2"/>
  <c r="G211" i="2" s="1"/>
  <c r="Q131" i="2"/>
  <c r="Q214" i="2" s="1"/>
  <c r="I131" i="2"/>
  <c r="I214" i="2" s="1"/>
  <c r="E131" i="2"/>
  <c r="E214" i="2" s="1"/>
  <c r="R126" i="2"/>
  <c r="R209" i="2" s="1"/>
  <c r="N126" i="2"/>
  <c r="N209" i="2" s="1"/>
  <c r="J126" i="2"/>
  <c r="J209" i="2" s="1"/>
  <c r="F126" i="2"/>
  <c r="F209" i="2" s="1"/>
  <c r="K126" i="2"/>
  <c r="K209" i="2" s="1"/>
  <c r="AD214" i="2"/>
  <c r="BH217" i="2"/>
  <c r="BD217" i="2"/>
  <c r="AZ217" i="2"/>
  <c r="AV217" i="2"/>
  <c r="AR217" i="2"/>
  <c r="AN217" i="2"/>
  <c r="BJ216" i="2"/>
  <c r="BF216" i="2"/>
  <c r="BB216" i="2"/>
  <c r="AX216" i="2"/>
  <c r="AT216" i="2"/>
  <c r="AP216" i="2"/>
  <c r="BH215" i="2"/>
  <c r="AZ215" i="2"/>
  <c r="AV215" i="2"/>
  <c r="AR215" i="2"/>
  <c r="AN215" i="2"/>
  <c r="BF214" i="2"/>
  <c r="BH213" i="2"/>
  <c r="BJ212" i="2"/>
  <c r="AJ211" i="2"/>
  <c r="Z212" i="2"/>
  <c r="AD212" i="2"/>
  <c r="AH212" i="2"/>
  <c r="AL212" i="2"/>
  <c r="X213" i="2"/>
  <c r="AB213" i="2"/>
  <c r="AF213" i="2"/>
  <c r="AJ213" i="2"/>
  <c r="X215" i="2"/>
  <c r="AB215" i="2"/>
  <c r="AF215" i="2"/>
  <c r="AJ215" i="2"/>
  <c r="AD216" i="2"/>
  <c r="W208" i="2"/>
  <c r="AA208" i="2"/>
  <c r="AE208" i="2"/>
  <c r="AI208" i="2"/>
  <c r="AI252" i="2" s="1"/>
  <c r="Y209" i="2"/>
  <c r="AC209" i="2"/>
  <c r="AG209" i="2"/>
  <c r="AK209" i="2"/>
  <c r="W210" i="2"/>
  <c r="AA210" i="2"/>
  <c r="AE210" i="2"/>
  <c r="AI210" i="2"/>
  <c r="Y211" i="2"/>
  <c r="AC211" i="2"/>
  <c r="AG211" i="2"/>
  <c r="AK211" i="2"/>
  <c r="W212" i="2"/>
  <c r="AA212" i="2"/>
  <c r="AE212" i="2"/>
  <c r="AI212" i="2"/>
  <c r="Y213" i="2"/>
  <c r="AC213" i="2"/>
  <c r="AG213" i="2"/>
  <c r="AK213" i="2"/>
  <c r="W214" i="2"/>
  <c r="AA214" i="2"/>
  <c r="AE214" i="2"/>
  <c r="AI214" i="2"/>
  <c r="Y215" i="2"/>
  <c r="AC215" i="2"/>
  <c r="AG215" i="2"/>
  <c r="AK215" i="2"/>
  <c r="AA216" i="2"/>
  <c r="AI216" i="2"/>
  <c r="AK217" i="2"/>
  <c r="AY216" i="2"/>
  <c r="BI215" i="2"/>
  <c r="BE215" i="2"/>
  <c r="BA215" i="2"/>
  <c r="AW215" i="2"/>
  <c r="AS215" i="2"/>
  <c r="AO215" i="2"/>
  <c r="AM214" i="2"/>
  <c r="AM212" i="2"/>
  <c r="AM210" i="2"/>
  <c r="AM208" i="2"/>
  <c r="BJ214" i="2"/>
  <c r="BB214" i="2"/>
  <c r="AX214" i="2"/>
  <c r="AT214" i="2"/>
  <c r="AP214" i="2"/>
  <c r="BD213" i="2"/>
  <c r="AZ213" i="2"/>
  <c r="AV213" i="2"/>
  <c r="AR213" i="2"/>
  <c r="AN213" i="2"/>
  <c r="BF212" i="2"/>
  <c r="BB212" i="2"/>
  <c r="AX212" i="2"/>
  <c r="AT212" i="2"/>
  <c r="AP212" i="2"/>
  <c r="BH211" i="2"/>
  <c r="BD211" i="2"/>
  <c r="AZ211" i="2"/>
  <c r="AV211" i="2"/>
  <c r="AR211" i="2"/>
  <c r="AN211" i="2"/>
  <c r="BJ210" i="2"/>
  <c r="BF210" i="2"/>
  <c r="BB210" i="2"/>
  <c r="AX210" i="2"/>
  <c r="AT210" i="2"/>
  <c r="AP210" i="2"/>
  <c r="BH209" i="2"/>
  <c r="BD209" i="2"/>
  <c r="AZ209" i="2"/>
  <c r="AV209" i="2"/>
  <c r="AR209" i="2"/>
  <c r="AN209" i="2"/>
  <c r="BJ208" i="2"/>
  <c r="BJ252" i="2" s="1"/>
  <c r="BF208" i="2"/>
  <c r="BB208" i="2"/>
  <c r="AX208" i="2"/>
  <c r="AT208" i="2"/>
  <c r="AT252" i="2" s="1"/>
  <c r="AP208" i="2"/>
  <c r="AB208" i="2"/>
  <c r="X212" i="2"/>
  <c r="AJ212" i="2"/>
  <c r="X208" i="2"/>
  <c r="AJ208" i="2"/>
  <c r="AB212" i="2"/>
  <c r="AB216" i="2"/>
  <c r="AF208" i="2"/>
  <c r="AF212" i="2"/>
  <c r="X216" i="2"/>
  <c r="O252" i="2" l="1"/>
  <c r="AD252" i="2"/>
  <c r="AY252" i="2"/>
  <c r="BA252" i="2"/>
  <c r="AG252" i="2"/>
  <c r="AW252" i="2"/>
  <c r="AX252" i="2"/>
  <c r="AE252" i="2"/>
  <c r="AA43" i="30" s="1"/>
  <c r="AN252" i="2"/>
  <c r="AC252" i="2"/>
  <c r="Q43" i="30" s="1"/>
  <c r="AJ252" i="2"/>
  <c r="AB252" i="2"/>
  <c r="X43" i="30" s="1"/>
  <c r="BB252" i="2"/>
  <c r="AM252" i="2"/>
  <c r="AA252" i="2"/>
  <c r="Z252" i="2"/>
  <c r="AR252" i="2"/>
  <c r="BH252" i="2"/>
  <c r="Y252" i="2"/>
  <c r="Q252" i="2"/>
  <c r="BC252" i="2"/>
  <c r="T252" i="2"/>
  <c r="AO252" i="2"/>
  <c r="AC43" i="30" s="1"/>
  <c r="BE252" i="2"/>
  <c r="U252" i="2"/>
  <c r="AZ252" i="2"/>
  <c r="BD252" i="2"/>
  <c r="P252" i="2"/>
  <c r="AF252" i="2"/>
  <c r="X252" i="2"/>
  <c r="L43" i="30" s="1"/>
  <c r="AP252" i="2"/>
  <c r="AD43" i="30" s="1"/>
  <c r="BF252" i="2"/>
  <c r="W252" i="2"/>
  <c r="K43" i="30" s="1"/>
  <c r="AL252" i="2"/>
  <c r="AH43" i="30" s="1"/>
  <c r="AV252" i="2"/>
  <c r="AJ43" i="30" s="1"/>
  <c r="AK252" i="2"/>
  <c r="N252" i="2"/>
  <c r="AQ252" i="2"/>
  <c r="BG252" i="2"/>
  <c r="AS252" i="2"/>
  <c r="BI252" i="2"/>
  <c r="V252" i="2"/>
  <c r="AG101" i="64"/>
  <c r="AG117" i="64" s="1"/>
  <c r="AG168" i="64" s="1"/>
  <c r="AE414" i="47"/>
  <c r="AE432" i="47"/>
  <c r="AF355" i="47"/>
  <c r="AF349" i="47"/>
  <c r="AJ77" i="47"/>
  <c r="AH226" i="63"/>
  <c r="AH44" i="67" s="1"/>
  <c r="AG307" i="63"/>
  <c r="AH287" i="63"/>
  <c r="AH133" i="64"/>
  <c r="S254" i="19"/>
  <c r="S242" i="19"/>
  <c r="S265" i="19"/>
  <c r="S228" i="19"/>
  <c r="S231" i="19"/>
  <c r="S261" i="19"/>
  <c r="S262" i="19"/>
  <c r="S256" i="19"/>
  <c r="S259" i="19"/>
  <c r="S245" i="19"/>
  <c r="S252" i="19"/>
  <c r="S239" i="19"/>
  <c r="S264" i="19"/>
  <c r="S251" i="19"/>
  <c r="S243" i="19"/>
  <c r="S258" i="19"/>
  <c r="S229" i="19"/>
  <c r="S255" i="19"/>
  <c r="S247" i="19"/>
  <c r="S246" i="19"/>
  <c r="S232" i="19"/>
  <c r="S249" i="19"/>
  <c r="S236" i="19"/>
  <c r="S230" i="19"/>
  <c r="S233" i="19"/>
  <c r="S253" i="19"/>
  <c r="S235" i="19"/>
  <c r="S257" i="19"/>
  <c r="S238" i="19"/>
  <c r="S250" i="19"/>
  <c r="S234" i="19"/>
  <c r="S237" i="19"/>
  <c r="S241" i="19"/>
  <c r="S248" i="19"/>
  <c r="S240" i="19"/>
  <c r="S263" i="19"/>
  <c r="S226" i="19"/>
  <c r="S244" i="19"/>
  <c r="S227" i="19"/>
  <c r="B54" i="64"/>
  <c r="AH247" i="63"/>
  <c r="C179" i="51"/>
  <c r="G179" i="51"/>
  <c r="K179" i="51"/>
  <c r="O179" i="51"/>
  <c r="S179" i="51"/>
  <c r="W179" i="51"/>
  <c r="AA179" i="51"/>
  <c r="AE179" i="51"/>
  <c r="D179" i="51"/>
  <c r="H179" i="51"/>
  <c r="L179" i="51"/>
  <c r="P179" i="51"/>
  <c r="T179" i="51"/>
  <c r="X179" i="51"/>
  <c r="AB179" i="51"/>
  <c r="AF179" i="51"/>
  <c r="E179" i="51"/>
  <c r="I179" i="51"/>
  <c r="M179" i="51"/>
  <c r="Q179" i="51"/>
  <c r="U179" i="51"/>
  <c r="Y179" i="51"/>
  <c r="AC179" i="51"/>
  <c r="AG179" i="51"/>
  <c r="F179" i="51"/>
  <c r="J179" i="51"/>
  <c r="N179" i="51"/>
  <c r="R179" i="51"/>
  <c r="V179" i="51"/>
  <c r="Z179" i="51"/>
  <c r="AD179" i="51"/>
  <c r="AH145" i="39"/>
  <c r="AH146" i="39"/>
  <c r="AH147" i="39"/>
  <c r="AH148" i="39"/>
  <c r="AH149" i="39"/>
  <c r="AH150" i="39"/>
  <c r="AH151" i="39"/>
  <c r="AH152" i="39"/>
  <c r="AH153" i="39"/>
  <c r="AH154" i="39"/>
  <c r="AH155" i="39"/>
  <c r="AH156" i="39"/>
  <c r="AH157" i="39"/>
  <c r="AH158" i="39"/>
  <c r="AH159" i="39"/>
  <c r="AH160" i="39"/>
  <c r="AH161" i="39"/>
  <c r="AH162" i="39"/>
  <c r="AH163" i="39"/>
  <c r="AH164" i="39"/>
  <c r="AH165" i="39"/>
  <c r="AH149" i="51"/>
  <c r="AH150" i="51"/>
  <c r="AH151" i="51"/>
  <c r="AH152" i="51"/>
  <c r="AH153" i="51"/>
  <c r="AH154" i="51"/>
  <c r="AH155" i="51"/>
  <c r="AH156" i="51"/>
  <c r="AH157" i="51"/>
  <c r="AH158" i="51"/>
  <c r="AH159" i="51"/>
  <c r="AH160" i="51"/>
  <c r="AH161" i="51"/>
  <c r="AH162" i="51"/>
  <c r="AH163" i="51"/>
  <c r="AH164" i="51"/>
  <c r="AH165" i="51"/>
  <c r="AH166" i="51"/>
  <c r="AH167" i="51"/>
  <c r="AH168" i="51"/>
  <c r="AH169" i="51"/>
  <c r="F175" i="39"/>
  <c r="J175" i="39"/>
  <c r="N175" i="39"/>
  <c r="R175" i="39"/>
  <c r="V175" i="39"/>
  <c r="Z175" i="39"/>
  <c r="AD175" i="39"/>
  <c r="C175" i="39"/>
  <c r="G175" i="39"/>
  <c r="K175" i="39"/>
  <c r="O175" i="39"/>
  <c r="S175" i="39"/>
  <c r="W175" i="39"/>
  <c r="AA175" i="39"/>
  <c r="AE175" i="39"/>
  <c r="E175" i="39"/>
  <c r="M175" i="39"/>
  <c r="U175" i="39"/>
  <c r="AC175" i="39"/>
  <c r="H175" i="39"/>
  <c r="P175" i="39"/>
  <c r="X175" i="39"/>
  <c r="AF175" i="39"/>
  <c r="L175" i="39"/>
  <c r="AB175" i="39"/>
  <c r="I175" i="39"/>
  <c r="Q175" i="39"/>
  <c r="Y175" i="39"/>
  <c r="AG175" i="39"/>
  <c r="D175" i="39"/>
  <c r="T175" i="39"/>
  <c r="AG149" i="51"/>
  <c r="AG150" i="51"/>
  <c r="AG151" i="51"/>
  <c r="AG152" i="51"/>
  <c r="AG153" i="51"/>
  <c r="AG154" i="51"/>
  <c r="AG155" i="51"/>
  <c r="AG156" i="51"/>
  <c r="AG157" i="51"/>
  <c r="AG158" i="51"/>
  <c r="AG159" i="51"/>
  <c r="AG160" i="51"/>
  <c r="AG161" i="51"/>
  <c r="AG162" i="51"/>
  <c r="AG163" i="51"/>
  <c r="AG164" i="51"/>
  <c r="AG165" i="51"/>
  <c r="AG166" i="51"/>
  <c r="AG167" i="51"/>
  <c r="AG168" i="51"/>
  <c r="AG145" i="39"/>
  <c r="AG146" i="39"/>
  <c r="AG147" i="39"/>
  <c r="AG148" i="39"/>
  <c r="AG149" i="39"/>
  <c r="AG150" i="39"/>
  <c r="AG151" i="39"/>
  <c r="AG152" i="39"/>
  <c r="AG153" i="39"/>
  <c r="AG154" i="39"/>
  <c r="AG155" i="39"/>
  <c r="AG156" i="39"/>
  <c r="AG157" i="39"/>
  <c r="AG158" i="39"/>
  <c r="AG159" i="39"/>
  <c r="AG160" i="39"/>
  <c r="AG161" i="39"/>
  <c r="AG162" i="39"/>
  <c r="AG163" i="39"/>
  <c r="AG164" i="39"/>
  <c r="B180" i="51"/>
  <c r="C82" i="51"/>
  <c r="G82" i="51"/>
  <c r="K82" i="51"/>
  <c r="O82" i="51"/>
  <c r="S82" i="51"/>
  <c r="W82" i="51"/>
  <c r="AA82" i="51"/>
  <c r="AE82" i="51"/>
  <c r="D82" i="51"/>
  <c r="I82" i="51"/>
  <c r="N82" i="51"/>
  <c r="T82" i="51"/>
  <c r="Y82" i="51"/>
  <c r="AD82" i="51"/>
  <c r="F82" i="51"/>
  <c r="M82" i="51"/>
  <c r="U82" i="51"/>
  <c r="AB82" i="51"/>
  <c r="J82" i="51"/>
  <c r="Q82" i="51"/>
  <c r="X82" i="51"/>
  <c r="AF82" i="51"/>
  <c r="H82" i="51"/>
  <c r="P82" i="51"/>
  <c r="V82" i="51"/>
  <c r="AC82" i="51"/>
  <c r="Z82" i="51"/>
  <c r="E82" i="51"/>
  <c r="AG82" i="51"/>
  <c r="L82" i="51"/>
  <c r="R82" i="51"/>
  <c r="AH52" i="51"/>
  <c r="AH53" i="51"/>
  <c r="AH54" i="51"/>
  <c r="AH55" i="51"/>
  <c r="AH56" i="51"/>
  <c r="AH57" i="51"/>
  <c r="AH58" i="51"/>
  <c r="AH59" i="51"/>
  <c r="AH60" i="51"/>
  <c r="AH61" i="51"/>
  <c r="AH62" i="51"/>
  <c r="AH63" i="51"/>
  <c r="AH64" i="51"/>
  <c r="AH65" i="51"/>
  <c r="AH66" i="51"/>
  <c r="AH67" i="51"/>
  <c r="AH68" i="51"/>
  <c r="AH69" i="51"/>
  <c r="AH70" i="51"/>
  <c r="AH71" i="51"/>
  <c r="AH72" i="51"/>
  <c r="AG52" i="51"/>
  <c r="AG53" i="51"/>
  <c r="AG54" i="51"/>
  <c r="AG55" i="51"/>
  <c r="AG56" i="51"/>
  <c r="AG57" i="51"/>
  <c r="AG58" i="51"/>
  <c r="AG59" i="51"/>
  <c r="AG60" i="51"/>
  <c r="AG61" i="51"/>
  <c r="AG62" i="51"/>
  <c r="AG63" i="51"/>
  <c r="AG64" i="51"/>
  <c r="AG65" i="51"/>
  <c r="AG66" i="51"/>
  <c r="AG67" i="51"/>
  <c r="AG68" i="51"/>
  <c r="AG69" i="51"/>
  <c r="AG70" i="51"/>
  <c r="AG71" i="51"/>
  <c r="B83" i="51"/>
  <c r="C79" i="39"/>
  <c r="G79" i="39"/>
  <c r="K79" i="39"/>
  <c r="O79" i="39"/>
  <c r="S79" i="39"/>
  <c r="W79" i="39"/>
  <c r="AA79" i="39"/>
  <c r="AE79" i="39"/>
  <c r="H79" i="39"/>
  <c r="M79" i="39"/>
  <c r="R79" i="39"/>
  <c r="X79" i="39"/>
  <c r="AC79" i="39"/>
  <c r="D79" i="39"/>
  <c r="I79" i="39"/>
  <c r="N79" i="39"/>
  <c r="T79" i="39"/>
  <c r="Y79" i="39"/>
  <c r="AD79" i="39"/>
  <c r="E79" i="39"/>
  <c r="J79" i="39"/>
  <c r="P79" i="39"/>
  <c r="U79" i="39"/>
  <c r="Z79" i="39"/>
  <c r="AF79" i="39"/>
  <c r="Q79" i="39"/>
  <c r="V79" i="39"/>
  <c r="F79" i="39"/>
  <c r="AB79" i="39"/>
  <c r="L79" i="39"/>
  <c r="AG79" i="39"/>
  <c r="B176" i="39"/>
  <c r="AH49" i="39"/>
  <c r="AH50" i="39"/>
  <c r="AH51" i="39"/>
  <c r="AH52" i="39"/>
  <c r="AH53" i="39"/>
  <c r="AH54" i="39"/>
  <c r="AH55" i="39"/>
  <c r="AH56" i="39"/>
  <c r="AH57" i="39"/>
  <c r="AH58" i="39"/>
  <c r="AH59" i="39"/>
  <c r="AH60" i="39"/>
  <c r="AH61" i="39"/>
  <c r="AH62" i="39"/>
  <c r="AH63" i="39"/>
  <c r="AH64" i="39"/>
  <c r="AH65" i="39"/>
  <c r="AH66" i="39"/>
  <c r="AH67" i="39"/>
  <c r="AH68" i="39"/>
  <c r="AH69" i="39"/>
  <c r="AG49" i="39"/>
  <c r="AG50" i="39"/>
  <c r="AG51" i="39"/>
  <c r="AG52" i="39"/>
  <c r="AG53" i="39"/>
  <c r="AG54" i="39"/>
  <c r="AG55" i="39"/>
  <c r="AG56" i="39"/>
  <c r="AG57" i="39"/>
  <c r="AG58" i="39"/>
  <c r="AG59" i="39"/>
  <c r="AG60" i="39"/>
  <c r="AG61" i="39"/>
  <c r="AG62" i="39"/>
  <c r="AG63" i="39"/>
  <c r="AG64" i="39"/>
  <c r="AG65" i="39"/>
  <c r="AG66" i="39"/>
  <c r="AG67" i="39"/>
  <c r="AG68" i="39"/>
  <c r="B80" i="39"/>
  <c r="AG316" i="63"/>
  <c r="AH315" i="63"/>
  <c r="AH314" i="63"/>
  <c r="AH306" i="63"/>
  <c r="AI10" i="63"/>
  <c r="AI11" i="67" s="1"/>
  <c r="AI128" i="63"/>
  <c r="AI189" i="63"/>
  <c r="AI104" i="63"/>
  <c r="AI177" i="63"/>
  <c r="AI82" i="67" s="1"/>
  <c r="AI152" i="63"/>
  <c r="AI76" i="64" s="1"/>
  <c r="AI143" i="64" s="1"/>
  <c r="AI38" i="63"/>
  <c r="AI305" i="63" s="1"/>
  <c r="AK42" i="30"/>
  <c r="AJ54" i="30"/>
  <c r="AJ65" i="30" s="1"/>
  <c r="AJ89" i="30" s="1"/>
  <c r="AJ110" i="30" s="1"/>
  <c r="F217" i="2"/>
  <c r="F252" i="2" s="1"/>
  <c r="E217" i="2"/>
  <c r="E252" i="2" s="1"/>
  <c r="D217" i="2"/>
  <c r="D252" i="2" s="1"/>
  <c r="K217" i="2"/>
  <c r="K252" i="2" s="1"/>
  <c r="L217" i="2"/>
  <c r="L252" i="2" s="1"/>
  <c r="H43" i="30" s="1"/>
  <c r="G217" i="2"/>
  <c r="G252" i="2" s="1"/>
  <c r="C43" i="30" s="1"/>
  <c r="J217" i="2"/>
  <c r="I217" i="2"/>
  <c r="R217" i="2"/>
  <c r="H217" i="2"/>
  <c r="H252" i="2" s="1"/>
  <c r="M217" i="2"/>
  <c r="M252" i="2" s="1"/>
  <c r="I43" i="30" s="1"/>
  <c r="S217" i="2"/>
  <c r="T43" i="30"/>
  <c r="AB43" i="30"/>
  <c r="AF43" i="30"/>
  <c r="R43" i="30"/>
  <c r="W43" i="30"/>
  <c r="AI43" i="30"/>
  <c r="U43" i="30"/>
  <c r="Y43" i="30"/>
  <c r="AG43" i="30"/>
  <c r="V43" i="30"/>
  <c r="AE43" i="30"/>
  <c r="P43" i="30"/>
  <c r="M43" i="30"/>
  <c r="J43" i="30"/>
  <c r="AK102" i="30"/>
  <c r="AJ81" i="30"/>
  <c r="AJ21" i="63" s="1"/>
  <c r="AI21" i="54"/>
  <c r="AI21" i="37"/>
  <c r="AI11" i="37" s="1"/>
  <c r="AI18" i="51"/>
  <c r="AI24" i="49"/>
  <c r="AI16" i="39"/>
  <c r="AI21" i="40"/>
  <c r="AG180" i="47"/>
  <c r="AG164" i="47"/>
  <c r="AG218" i="47"/>
  <c r="AJ124" i="30"/>
  <c r="AI90" i="49"/>
  <c r="AI87" i="40"/>
  <c r="AH16" i="47"/>
  <c r="AH91" i="47"/>
  <c r="AH36" i="49"/>
  <c r="AH56" i="49" s="1"/>
  <c r="AH68" i="49"/>
  <c r="AH103" i="49"/>
  <c r="AI178" i="52"/>
  <c r="AI226" i="52"/>
  <c r="AI130" i="52"/>
  <c r="AH85" i="52"/>
  <c r="AI225" i="53"/>
  <c r="AI201" i="53"/>
  <c r="AI131" i="53"/>
  <c r="AH86" i="53"/>
  <c r="AI198" i="36"/>
  <c r="AI230" i="36"/>
  <c r="AI128" i="36"/>
  <c r="AI102" i="36"/>
  <c r="AI234" i="52"/>
  <c r="AI200" i="52"/>
  <c r="AI104" i="52"/>
  <c r="AI152" i="52"/>
  <c r="AI179" i="53"/>
  <c r="AI153" i="53"/>
  <c r="AI105" i="53"/>
  <c r="AH11" i="53"/>
  <c r="AI223" i="36"/>
  <c r="AI128" i="44"/>
  <c r="AI222" i="43"/>
  <c r="AI198" i="43"/>
  <c r="AI102" i="43"/>
  <c r="AH11" i="43"/>
  <c r="AI222" i="44"/>
  <c r="AI176" i="44"/>
  <c r="AI102" i="44"/>
  <c r="AI150" i="43"/>
  <c r="AH83" i="43"/>
  <c r="AI150" i="36"/>
  <c r="AH11" i="36"/>
  <c r="AI198" i="44"/>
  <c r="AH83" i="44"/>
  <c r="AI128" i="43"/>
  <c r="AH10" i="52"/>
  <c r="AI176" i="36"/>
  <c r="AH83" i="36"/>
  <c r="AI150" i="44"/>
  <c r="AH11" i="44"/>
  <c r="AI176" i="43"/>
  <c r="AH65" i="40"/>
  <c r="AH100" i="40"/>
  <c r="AH33" i="40"/>
  <c r="AH53" i="40" s="1"/>
  <c r="AH11" i="54"/>
  <c r="AG115" i="51"/>
  <c r="AG112" i="39"/>
  <c r="AI51" i="51"/>
  <c r="AI148" i="51"/>
  <c r="AI144" i="39"/>
  <c r="AI48" i="39"/>
  <c r="C13" i="37"/>
  <c r="C90" i="40"/>
  <c r="C13" i="54"/>
  <c r="C94" i="47"/>
  <c r="C104" i="49"/>
  <c r="C93" i="49"/>
  <c r="C46" i="40"/>
  <c r="C48" i="40" s="1"/>
  <c r="C55" i="40" s="1"/>
  <c r="C12" i="37" s="1"/>
  <c r="C49" i="49"/>
  <c r="C51" i="49" s="1"/>
  <c r="C58" i="49" s="1"/>
  <c r="C11" i="63" s="1"/>
  <c r="C12" i="67" s="1"/>
  <c r="C14" i="40"/>
  <c r="C16" i="40" s="1"/>
  <c r="C17" i="49"/>
  <c r="C19" i="49" s="1"/>
  <c r="C26" i="49" s="1"/>
  <c r="C13" i="63" s="1"/>
  <c r="F73" i="52"/>
  <c r="BA43" i="50"/>
  <c r="C12" i="44"/>
  <c r="C102" i="40"/>
  <c r="J183" i="35"/>
  <c r="F49" i="52" s="1"/>
  <c r="D73" i="52" s="1"/>
  <c r="T224" i="19"/>
  <c r="T260" i="19" s="1"/>
  <c r="D241" i="2"/>
  <c r="S43" i="30" l="1"/>
  <c r="Z43" i="30"/>
  <c r="C14" i="67"/>
  <c r="C289" i="63"/>
  <c r="C288" i="63"/>
  <c r="D43" i="30"/>
  <c r="E43" i="30"/>
  <c r="R252" i="2"/>
  <c r="N43" i="30" s="1"/>
  <c r="G43" i="30"/>
  <c r="S252" i="2"/>
  <c r="O43" i="30" s="1"/>
  <c r="J252" i="2"/>
  <c r="I252" i="2"/>
  <c r="AH101" i="64"/>
  <c r="AH117" i="64" s="1"/>
  <c r="AH168" i="64" s="1"/>
  <c r="AF414" i="47"/>
  <c r="AF432" i="47"/>
  <c r="AG355" i="47"/>
  <c r="AG349" i="47"/>
  <c r="AK77" i="47"/>
  <c r="AI226" i="63"/>
  <c r="AI44" i="67" s="1"/>
  <c r="AH307" i="63"/>
  <c r="AI287" i="63"/>
  <c r="AI133" i="64"/>
  <c r="T227" i="19"/>
  <c r="T240" i="19"/>
  <c r="T234" i="19"/>
  <c r="T235" i="19"/>
  <c r="T236" i="19"/>
  <c r="T247" i="19"/>
  <c r="T243" i="19"/>
  <c r="T252" i="19"/>
  <c r="T262" i="19"/>
  <c r="T265" i="19"/>
  <c r="T244" i="19"/>
  <c r="T248" i="19"/>
  <c r="T250" i="19"/>
  <c r="T253" i="19"/>
  <c r="T249" i="19"/>
  <c r="T255" i="19"/>
  <c r="T251" i="19"/>
  <c r="T245" i="19"/>
  <c r="T261" i="19"/>
  <c r="T242" i="19"/>
  <c r="T226" i="19"/>
  <c r="T241" i="19"/>
  <c r="T238" i="19"/>
  <c r="T233" i="19"/>
  <c r="T232" i="19"/>
  <c r="T229" i="19"/>
  <c r="T264" i="19"/>
  <c r="T259" i="19"/>
  <c r="T231" i="19"/>
  <c r="T254" i="19"/>
  <c r="T263" i="19"/>
  <c r="T237" i="19"/>
  <c r="T257" i="19"/>
  <c r="T230" i="19"/>
  <c r="T246" i="19"/>
  <c r="T258" i="19"/>
  <c r="T239" i="19"/>
  <c r="T256" i="19"/>
  <c r="T228" i="19"/>
  <c r="B55" i="64"/>
  <c r="AI247" i="63"/>
  <c r="AI145" i="39"/>
  <c r="AI146" i="39"/>
  <c r="AI147" i="39"/>
  <c r="AI148" i="39"/>
  <c r="AI149" i="39"/>
  <c r="AI150" i="39"/>
  <c r="AI151" i="39"/>
  <c r="AI152" i="39"/>
  <c r="AI153" i="39"/>
  <c r="AI154" i="39"/>
  <c r="AI155" i="39"/>
  <c r="AI156" i="39"/>
  <c r="AI157" i="39"/>
  <c r="AI158" i="39"/>
  <c r="AI159" i="39"/>
  <c r="AI160" i="39"/>
  <c r="AI161" i="39"/>
  <c r="AI162" i="39"/>
  <c r="AI163" i="39"/>
  <c r="AI164" i="39"/>
  <c r="AI165" i="39"/>
  <c r="AI166" i="39"/>
  <c r="AI149" i="51"/>
  <c r="AI150" i="51"/>
  <c r="AI151" i="51"/>
  <c r="AI152" i="51"/>
  <c r="AI153" i="51"/>
  <c r="AI154" i="51"/>
  <c r="AI155" i="51"/>
  <c r="AI156" i="51"/>
  <c r="AI157" i="51"/>
  <c r="AI158" i="51"/>
  <c r="AI159" i="51"/>
  <c r="AI160" i="51"/>
  <c r="AI161" i="51"/>
  <c r="AI162" i="51"/>
  <c r="AI163" i="51"/>
  <c r="AI164" i="51"/>
  <c r="AI165" i="51"/>
  <c r="AI166" i="51"/>
  <c r="AI167" i="51"/>
  <c r="AI168" i="51"/>
  <c r="AI169" i="51"/>
  <c r="AI170" i="51"/>
  <c r="C176" i="39"/>
  <c r="G176" i="39"/>
  <c r="K176" i="39"/>
  <c r="O176" i="39"/>
  <c r="S176" i="39"/>
  <c r="W176" i="39"/>
  <c r="AA176" i="39"/>
  <c r="AE176" i="39"/>
  <c r="D176" i="39"/>
  <c r="H176" i="39"/>
  <c r="L176" i="39"/>
  <c r="P176" i="39"/>
  <c r="T176" i="39"/>
  <c r="X176" i="39"/>
  <c r="AB176" i="39"/>
  <c r="AF176" i="39"/>
  <c r="J176" i="39"/>
  <c r="R176" i="39"/>
  <c r="Z176" i="39"/>
  <c r="AH176" i="39"/>
  <c r="E176" i="39"/>
  <c r="M176" i="39"/>
  <c r="U176" i="39"/>
  <c r="AC176" i="39"/>
  <c r="I176" i="39"/>
  <c r="Y176" i="39"/>
  <c r="F176" i="39"/>
  <c r="N176" i="39"/>
  <c r="V176" i="39"/>
  <c r="AD176" i="39"/>
  <c r="Q176" i="39"/>
  <c r="AG176" i="39"/>
  <c r="D180" i="51"/>
  <c r="H180" i="51"/>
  <c r="L180" i="51"/>
  <c r="P180" i="51"/>
  <c r="T180" i="51"/>
  <c r="X180" i="51"/>
  <c r="AB180" i="51"/>
  <c r="AF180" i="51"/>
  <c r="E180" i="51"/>
  <c r="I180" i="51"/>
  <c r="M180" i="51"/>
  <c r="Q180" i="51"/>
  <c r="U180" i="51"/>
  <c r="Y180" i="51"/>
  <c r="AC180" i="51"/>
  <c r="AG180" i="51"/>
  <c r="F180" i="51"/>
  <c r="J180" i="51"/>
  <c r="N180" i="51"/>
  <c r="R180" i="51"/>
  <c r="V180" i="51"/>
  <c r="Z180" i="51"/>
  <c r="AD180" i="51"/>
  <c r="AH180" i="51"/>
  <c r="C180" i="51"/>
  <c r="G180" i="51"/>
  <c r="K180" i="51"/>
  <c r="O180" i="51"/>
  <c r="S180" i="51"/>
  <c r="W180" i="51"/>
  <c r="AA180" i="51"/>
  <c r="AE180" i="51"/>
  <c r="D83" i="51"/>
  <c r="H83" i="51"/>
  <c r="L83" i="51"/>
  <c r="P83" i="51"/>
  <c r="T83" i="51"/>
  <c r="X83" i="51"/>
  <c r="AB83" i="51"/>
  <c r="AF83" i="51"/>
  <c r="F83" i="51"/>
  <c r="K83" i="51"/>
  <c r="Q83" i="51"/>
  <c r="V83" i="51"/>
  <c r="AA83" i="51"/>
  <c r="AG83" i="51"/>
  <c r="E83" i="51"/>
  <c r="M83" i="51"/>
  <c r="S83" i="51"/>
  <c r="Z83" i="51"/>
  <c r="AH83" i="51"/>
  <c r="I83" i="51"/>
  <c r="O83" i="51"/>
  <c r="W83" i="51"/>
  <c r="AD83" i="51"/>
  <c r="G83" i="51"/>
  <c r="N83" i="51"/>
  <c r="U83" i="51"/>
  <c r="AC83" i="51"/>
  <c r="C83" i="51"/>
  <c r="AE83" i="51"/>
  <c r="J83" i="51"/>
  <c r="R83" i="51"/>
  <c r="Y83" i="51"/>
  <c r="B181" i="51"/>
  <c r="AI52" i="51"/>
  <c r="AI53" i="51"/>
  <c r="AI54" i="51"/>
  <c r="AI55" i="51"/>
  <c r="AI56" i="51"/>
  <c r="AI57" i="51"/>
  <c r="AI58" i="51"/>
  <c r="AI59" i="51"/>
  <c r="AI60" i="51"/>
  <c r="AI61" i="51"/>
  <c r="AI62" i="51"/>
  <c r="AI63" i="51"/>
  <c r="AI64" i="51"/>
  <c r="AI65" i="51"/>
  <c r="AI66" i="51"/>
  <c r="AI67" i="51"/>
  <c r="AI68" i="51"/>
  <c r="AI69" i="51"/>
  <c r="AI70" i="51"/>
  <c r="AI71" i="51"/>
  <c r="AI72" i="51"/>
  <c r="AI73" i="51"/>
  <c r="B84" i="51"/>
  <c r="AI49" i="39"/>
  <c r="AI50" i="39"/>
  <c r="AI51" i="39"/>
  <c r="AI52" i="39"/>
  <c r="AI53" i="39"/>
  <c r="AI54" i="39"/>
  <c r="AI55" i="39"/>
  <c r="AI56" i="39"/>
  <c r="AI57" i="39"/>
  <c r="AI58" i="39"/>
  <c r="AI59" i="39"/>
  <c r="AI60" i="39"/>
  <c r="AI61" i="39"/>
  <c r="AI62" i="39"/>
  <c r="AI63" i="39"/>
  <c r="AI64" i="39"/>
  <c r="AI65" i="39"/>
  <c r="AI66" i="39"/>
  <c r="AI67" i="39"/>
  <c r="AI68" i="39"/>
  <c r="AI69" i="39"/>
  <c r="AI70" i="39"/>
  <c r="D80" i="39"/>
  <c r="H80" i="39"/>
  <c r="L80" i="39"/>
  <c r="P80" i="39"/>
  <c r="T80" i="39"/>
  <c r="X80" i="39"/>
  <c r="AB80" i="39"/>
  <c r="AF80" i="39"/>
  <c r="E80" i="39"/>
  <c r="J80" i="39"/>
  <c r="O80" i="39"/>
  <c r="U80" i="39"/>
  <c r="Z80" i="39"/>
  <c r="AE80" i="39"/>
  <c r="F80" i="39"/>
  <c r="K80" i="39"/>
  <c r="Q80" i="39"/>
  <c r="V80" i="39"/>
  <c r="AA80" i="39"/>
  <c r="AG80" i="39"/>
  <c r="G80" i="39"/>
  <c r="M80" i="39"/>
  <c r="R80" i="39"/>
  <c r="W80" i="39"/>
  <c r="AC80" i="39"/>
  <c r="AH80" i="39"/>
  <c r="I80" i="39"/>
  <c r="AD80" i="39"/>
  <c r="C80" i="39"/>
  <c r="N80" i="39"/>
  <c r="S80" i="39"/>
  <c r="Y80" i="39"/>
  <c r="B177" i="39"/>
  <c r="B81" i="39"/>
  <c r="R43" i="50"/>
  <c r="C14" i="63"/>
  <c r="C15" i="67" s="1"/>
  <c r="AJ104" i="63"/>
  <c r="AJ189" i="63"/>
  <c r="AJ10" i="63"/>
  <c r="AJ11" i="67" s="1"/>
  <c r="AJ152" i="63"/>
  <c r="AJ76" i="64" s="1"/>
  <c r="AJ143" i="64" s="1"/>
  <c r="AJ128" i="63"/>
  <c r="AJ38" i="63"/>
  <c r="AJ305" i="63" s="1"/>
  <c r="AJ177" i="63"/>
  <c r="AJ82" i="67" s="1"/>
  <c r="AI315" i="63"/>
  <c r="AI306" i="63"/>
  <c r="AI314" i="63"/>
  <c r="AH316" i="63"/>
  <c r="AK43" i="30"/>
  <c r="AL42" i="30"/>
  <c r="AL43" i="30" s="1"/>
  <c r="AK54" i="30"/>
  <c r="AK65" i="30" s="1"/>
  <c r="AK89" i="30" s="1"/>
  <c r="AK110" i="30" s="1"/>
  <c r="O43" i="50"/>
  <c r="M43" i="50"/>
  <c r="E43" i="50"/>
  <c r="F43" i="50"/>
  <c r="U43" i="50"/>
  <c r="H43" i="50"/>
  <c r="Q43" i="50"/>
  <c r="T43" i="50"/>
  <c r="V43" i="50"/>
  <c r="S43" i="50"/>
  <c r="N43" i="50"/>
  <c r="D43" i="50"/>
  <c r="W43" i="50"/>
  <c r="K43" i="50"/>
  <c r="P43" i="50"/>
  <c r="G43" i="50"/>
  <c r="I43" i="50"/>
  <c r="L43" i="50"/>
  <c r="C43" i="50"/>
  <c r="J43" i="50"/>
  <c r="C23" i="40"/>
  <c r="AL102" i="30"/>
  <c r="AH115" i="51"/>
  <c r="AH112" i="39"/>
  <c r="AH164" i="47"/>
  <c r="AH180" i="47"/>
  <c r="AH218" i="47"/>
  <c r="AK124" i="30"/>
  <c r="AJ90" i="49"/>
  <c r="AJ87" i="40"/>
  <c r="AI10" i="52"/>
  <c r="AJ223" i="36"/>
  <c r="AJ176" i="36"/>
  <c r="AJ150" i="36"/>
  <c r="AI83" i="36"/>
  <c r="AJ178" i="52"/>
  <c r="AJ226" i="52"/>
  <c r="AJ130" i="52"/>
  <c r="AI85" i="52"/>
  <c r="AJ225" i="53"/>
  <c r="AJ201" i="53"/>
  <c r="AJ131" i="53"/>
  <c r="AI86" i="53"/>
  <c r="AJ198" i="36"/>
  <c r="AJ230" i="36"/>
  <c r="AJ128" i="36"/>
  <c r="AJ102" i="36"/>
  <c r="AI11" i="36"/>
  <c r="AJ200" i="52"/>
  <c r="AJ179" i="53"/>
  <c r="AJ150" i="44"/>
  <c r="AI11" i="44"/>
  <c r="AJ176" i="43"/>
  <c r="AJ104" i="52"/>
  <c r="AJ153" i="53"/>
  <c r="AJ128" i="44"/>
  <c r="AJ222" i="43"/>
  <c r="AJ198" i="43"/>
  <c r="AJ102" i="43"/>
  <c r="AI11" i="43"/>
  <c r="AJ152" i="52"/>
  <c r="AJ105" i="53"/>
  <c r="AJ222" i="44"/>
  <c r="AJ176" i="44"/>
  <c r="AJ102" i="44"/>
  <c r="AJ150" i="43"/>
  <c r="AI83" i="43"/>
  <c r="AJ234" i="52"/>
  <c r="AI11" i="53"/>
  <c r="AJ198" i="44"/>
  <c r="AI83" i="44"/>
  <c r="AJ128" i="43"/>
  <c r="AI100" i="40"/>
  <c r="AI33" i="40"/>
  <c r="AI53" i="40" s="1"/>
  <c r="AI65" i="40"/>
  <c r="AI11" i="54"/>
  <c r="AI91" i="47"/>
  <c r="AI16" i="47"/>
  <c r="AI36" i="49"/>
  <c r="AI56" i="49" s="1"/>
  <c r="AI68" i="49"/>
  <c r="AI103" i="49"/>
  <c r="AK81" i="30"/>
  <c r="AK21" i="63" s="1"/>
  <c r="AJ21" i="54"/>
  <c r="AJ21" i="37"/>
  <c r="AJ11" i="37" s="1"/>
  <c r="AJ18" i="51"/>
  <c r="AJ24" i="49"/>
  <c r="AJ16" i="39"/>
  <c r="AJ21" i="40"/>
  <c r="AJ148" i="51"/>
  <c r="AJ51" i="51"/>
  <c r="AJ144" i="39"/>
  <c r="AJ48" i="39"/>
  <c r="C56" i="40"/>
  <c r="AK43" i="50"/>
  <c r="X43" i="50"/>
  <c r="AT43" i="50"/>
  <c r="AG43" i="50"/>
  <c r="AJ43" i="50"/>
  <c r="AM43" i="50"/>
  <c r="AP43" i="50"/>
  <c r="AS43" i="50"/>
  <c r="AC43" i="50"/>
  <c r="AV43" i="50"/>
  <c r="AF43" i="50"/>
  <c r="AY43" i="50"/>
  <c r="AI43" i="50"/>
  <c r="AL43" i="50"/>
  <c r="AN43" i="50"/>
  <c r="AA43" i="50"/>
  <c r="AD43" i="50"/>
  <c r="AW43" i="50"/>
  <c r="AZ43" i="50"/>
  <c r="Z43" i="50"/>
  <c r="C66" i="40"/>
  <c r="C67" i="40" s="1"/>
  <c r="C68" i="40" s="1"/>
  <c r="AO43" i="50"/>
  <c r="Y43" i="50"/>
  <c r="AR43" i="50"/>
  <c r="AB43" i="50"/>
  <c r="AU43" i="50"/>
  <c r="AE43" i="50"/>
  <c r="AX43" i="50"/>
  <c r="AH43" i="50"/>
  <c r="AQ43" i="50"/>
  <c r="C27" i="49"/>
  <c r="C14" i="54"/>
  <c r="C92" i="47"/>
  <c r="C37" i="49"/>
  <c r="C12" i="54"/>
  <c r="C93" i="47"/>
  <c r="C59" i="49"/>
  <c r="C69" i="49"/>
  <c r="C103" i="40"/>
  <c r="C13" i="44"/>
  <c r="F48" i="36"/>
  <c r="D71" i="36" s="1"/>
  <c r="U224" i="19"/>
  <c r="U260" i="19" s="1"/>
  <c r="B78" i="19"/>
  <c r="B126" i="19" s="1"/>
  <c r="B176" i="19" s="1"/>
  <c r="F43" i="30" l="1"/>
  <c r="C290" i="63"/>
  <c r="AI101" i="64"/>
  <c r="AI117" i="64" s="1"/>
  <c r="AI168" i="64" s="1"/>
  <c r="AG414" i="47"/>
  <c r="AG432" i="47"/>
  <c r="AH355" i="47"/>
  <c r="AH349" i="47"/>
  <c r="AL77" i="47"/>
  <c r="AJ226" i="63"/>
  <c r="AJ44" i="67" s="1"/>
  <c r="AJ287" i="63"/>
  <c r="AJ133" i="64"/>
  <c r="AI307" i="63"/>
  <c r="U228" i="19"/>
  <c r="U246" i="19"/>
  <c r="U263" i="19"/>
  <c r="U264" i="19"/>
  <c r="U238" i="19"/>
  <c r="U261" i="19"/>
  <c r="U249" i="19"/>
  <c r="U244" i="19"/>
  <c r="U243" i="19"/>
  <c r="U234" i="19"/>
  <c r="U256" i="19"/>
  <c r="U230" i="19"/>
  <c r="U254" i="19"/>
  <c r="U229" i="19"/>
  <c r="U241" i="19"/>
  <c r="U245" i="19"/>
  <c r="U253" i="19"/>
  <c r="U265" i="19"/>
  <c r="U247" i="19"/>
  <c r="U240" i="19"/>
  <c r="U239" i="19"/>
  <c r="U257" i="19"/>
  <c r="U231" i="19"/>
  <c r="U232" i="19"/>
  <c r="U226" i="19"/>
  <c r="U251" i="19"/>
  <c r="U250" i="19"/>
  <c r="U262" i="19"/>
  <c r="U236" i="19"/>
  <c r="U227" i="19"/>
  <c r="U258" i="19"/>
  <c r="U237" i="19"/>
  <c r="U259" i="19"/>
  <c r="U233" i="19"/>
  <c r="U242" i="19"/>
  <c r="U255" i="19"/>
  <c r="U248" i="19"/>
  <c r="U252" i="19"/>
  <c r="U235" i="19"/>
  <c r="B56" i="64"/>
  <c r="AJ247" i="63"/>
  <c r="AJ145" i="39"/>
  <c r="AJ146" i="39"/>
  <c r="AJ147" i="39"/>
  <c r="AJ148" i="39"/>
  <c r="AJ149" i="39"/>
  <c r="AJ150" i="39"/>
  <c r="AJ151" i="39"/>
  <c r="AJ152" i="39"/>
  <c r="AJ153" i="39"/>
  <c r="AJ154" i="39"/>
  <c r="AJ155" i="39"/>
  <c r="AJ156" i="39"/>
  <c r="AJ157" i="39"/>
  <c r="AJ158" i="39"/>
  <c r="AJ159" i="39"/>
  <c r="AJ160" i="39"/>
  <c r="AJ161" i="39"/>
  <c r="AJ162" i="39"/>
  <c r="AJ163" i="39"/>
  <c r="AJ164" i="39"/>
  <c r="AJ165" i="39"/>
  <c r="AJ166" i="39"/>
  <c r="AJ167" i="39"/>
  <c r="D177" i="39"/>
  <c r="H177" i="39"/>
  <c r="L177" i="39"/>
  <c r="P177" i="39"/>
  <c r="T177" i="39"/>
  <c r="X177" i="39"/>
  <c r="AB177" i="39"/>
  <c r="AF177" i="39"/>
  <c r="E177" i="39"/>
  <c r="I177" i="39"/>
  <c r="M177" i="39"/>
  <c r="Q177" i="39"/>
  <c r="U177" i="39"/>
  <c r="Y177" i="39"/>
  <c r="AC177" i="39"/>
  <c r="AG177" i="39"/>
  <c r="G177" i="39"/>
  <c r="O177" i="39"/>
  <c r="W177" i="39"/>
  <c r="AE177" i="39"/>
  <c r="J177" i="39"/>
  <c r="R177" i="39"/>
  <c r="Z177" i="39"/>
  <c r="AH177" i="39"/>
  <c r="F177" i="39"/>
  <c r="V177" i="39"/>
  <c r="C177" i="39"/>
  <c r="K177" i="39"/>
  <c r="S177" i="39"/>
  <c r="AA177" i="39"/>
  <c r="AI177" i="39"/>
  <c r="N177" i="39"/>
  <c r="AD177" i="39"/>
  <c r="AJ149" i="51"/>
  <c r="AJ150" i="51"/>
  <c r="AJ151" i="51"/>
  <c r="AJ152" i="51"/>
  <c r="AJ153" i="51"/>
  <c r="AJ154" i="51"/>
  <c r="AJ155" i="51"/>
  <c r="AJ156" i="51"/>
  <c r="AJ157" i="51"/>
  <c r="AJ158" i="51"/>
  <c r="AJ159" i="51"/>
  <c r="AJ160" i="51"/>
  <c r="AJ161" i="51"/>
  <c r="AJ162" i="51"/>
  <c r="AJ163" i="51"/>
  <c r="AJ164" i="51"/>
  <c r="AJ165" i="51"/>
  <c r="AJ166" i="51"/>
  <c r="AJ167" i="51"/>
  <c r="AJ168" i="51"/>
  <c r="AJ169" i="51"/>
  <c r="AJ170" i="51"/>
  <c r="AJ171" i="51"/>
  <c r="E181" i="51"/>
  <c r="I181" i="51"/>
  <c r="M181" i="51"/>
  <c r="Q181" i="51"/>
  <c r="U181" i="51"/>
  <c r="Y181" i="51"/>
  <c r="AC181" i="51"/>
  <c r="AG181" i="51"/>
  <c r="F181" i="51"/>
  <c r="J181" i="51"/>
  <c r="N181" i="51"/>
  <c r="R181" i="51"/>
  <c r="V181" i="51"/>
  <c r="Z181" i="51"/>
  <c r="AD181" i="51"/>
  <c r="AH181" i="51"/>
  <c r="C181" i="51"/>
  <c r="G181" i="51"/>
  <c r="K181" i="51"/>
  <c r="O181" i="51"/>
  <c r="S181" i="51"/>
  <c r="W181" i="51"/>
  <c r="AA181" i="51"/>
  <c r="AE181" i="51"/>
  <c r="AI181" i="51"/>
  <c r="D181" i="51"/>
  <c r="H181" i="51"/>
  <c r="L181" i="51"/>
  <c r="P181" i="51"/>
  <c r="T181" i="51"/>
  <c r="X181" i="51"/>
  <c r="AB181" i="51"/>
  <c r="AF181" i="51"/>
  <c r="B182" i="51"/>
  <c r="E84" i="51"/>
  <c r="I84" i="51"/>
  <c r="M84" i="51"/>
  <c r="Q84" i="51"/>
  <c r="U84" i="51"/>
  <c r="Y84" i="51"/>
  <c r="AC84" i="51"/>
  <c r="AG84" i="51"/>
  <c r="C84" i="51"/>
  <c r="H84" i="51"/>
  <c r="N84" i="51"/>
  <c r="S84" i="51"/>
  <c r="X84" i="51"/>
  <c r="AD84" i="51"/>
  <c r="AI84" i="51"/>
  <c r="D84" i="51"/>
  <c r="K84" i="51"/>
  <c r="R84" i="51"/>
  <c r="Z84" i="51"/>
  <c r="AF84" i="51"/>
  <c r="G84" i="51"/>
  <c r="O84" i="51"/>
  <c r="V84" i="51"/>
  <c r="AB84" i="51"/>
  <c r="F84" i="51"/>
  <c r="L84" i="51"/>
  <c r="T84" i="51"/>
  <c r="AA84" i="51"/>
  <c r="AH84" i="51"/>
  <c r="J84" i="51"/>
  <c r="P84" i="51"/>
  <c r="W84" i="51"/>
  <c r="AE84" i="51"/>
  <c r="AJ52" i="51"/>
  <c r="AJ53" i="51"/>
  <c r="AJ54" i="51"/>
  <c r="AJ55" i="51"/>
  <c r="AJ56" i="51"/>
  <c r="AJ57" i="51"/>
  <c r="AJ58" i="51"/>
  <c r="AJ59" i="51"/>
  <c r="AJ60" i="51"/>
  <c r="AJ61" i="51"/>
  <c r="AJ62" i="51"/>
  <c r="AJ63" i="51"/>
  <c r="AJ64" i="51"/>
  <c r="AJ65" i="51"/>
  <c r="AJ66" i="51"/>
  <c r="AJ67" i="51"/>
  <c r="AJ68" i="51"/>
  <c r="AJ69" i="51"/>
  <c r="AJ70" i="51"/>
  <c r="AJ71" i="51"/>
  <c r="AJ72" i="51"/>
  <c r="AJ73" i="51"/>
  <c r="AJ74" i="51"/>
  <c r="B85" i="51"/>
  <c r="E81" i="39"/>
  <c r="I81" i="39"/>
  <c r="M81" i="39"/>
  <c r="Q81" i="39"/>
  <c r="U81" i="39"/>
  <c r="Y81" i="39"/>
  <c r="AC81" i="39"/>
  <c r="AG81" i="39"/>
  <c r="G81" i="39"/>
  <c r="L81" i="39"/>
  <c r="R81" i="39"/>
  <c r="W81" i="39"/>
  <c r="AB81" i="39"/>
  <c r="AH81" i="39"/>
  <c r="C81" i="39"/>
  <c r="H81" i="39"/>
  <c r="N81" i="39"/>
  <c r="S81" i="39"/>
  <c r="X81" i="39"/>
  <c r="AD81" i="39"/>
  <c r="AI81" i="39"/>
  <c r="D81" i="39"/>
  <c r="J81" i="39"/>
  <c r="O81" i="39"/>
  <c r="T81" i="39"/>
  <c r="Z81" i="39"/>
  <c r="AE81" i="39"/>
  <c r="V81" i="39"/>
  <c r="F81" i="39"/>
  <c r="AA81" i="39"/>
  <c r="K81" i="39"/>
  <c r="AF81" i="39"/>
  <c r="P81" i="39"/>
  <c r="B178" i="39"/>
  <c r="AJ49" i="39"/>
  <c r="AJ50" i="39"/>
  <c r="AJ51" i="39"/>
  <c r="AJ52" i="39"/>
  <c r="AJ53" i="39"/>
  <c r="AJ54" i="39"/>
  <c r="AJ55" i="39"/>
  <c r="AJ56" i="39"/>
  <c r="AJ57" i="39"/>
  <c r="AJ58" i="39"/>
  <c r="AJ59" i="39"/>
  <c r="AJ60" i="39"/>
  <c r="AJ61" i="39"/>
  <c r="AJ62" i="39"/>
  <c r="AJ63" i="39"/>
  <c r="AJ64" i="39"/>
  <c r="AJ65" i="39"/>
  <c r="AJ66" i="39"/>
  <c r="AJ67" i="39"/>
  <c r="AJ68" i="39"/>
  <c r="AJ69" i="39"/>
  <c r="AJ70" i="39"/>
  <c r="AJ71" i="39"/>
  <c r="B82" i="39"/>
  <c r="AI316" i="63"/>
  <c r="AK38" i="63"/>
  <c r="AK305" i="63" s="1"/>
  <c r="AK152" i="63"/>
  <c r="AK76" i="64" s="1"/>
  <c r="AK143" i="64" s="1"/>
  <c r="AK10" i="63"/>
  <c r="AK11" i="67" s="1"/>
  <c r="AK128" i="63"/>
  <c r="AK189" i="63"/>
  <c r="AK177" i="63"/>
  <c r="AK82" i="67" s="1"/>
  <c r="AK104" i="63"/>
  <c r="AJ315" i="63"/>
  <c r="AJ306" i="63"/>
  <c r="AJ314" i="63"/>
  <c r="AM42" i="30"/>
  <c r="AL54" i="30"/>
  <c r="AL65" i="30" s="1"/>
  <c r="AL89" i="30" s="1"/>
  <c r="AL110" i="30" s="1"/>
  <c r="C34" i="40"/>
  <c r="C12" i="36" s="1"/>
  <c r="D224" i="36" s="1"/>
  <c r="D225" i="36" s="1"/>
  <c r="C24" i="40"/>
  <c r="C14" i="37"/>
  <c r="C15" i="37" s="1"/>
  <c r="C16" i="63" s="1"/>
  <c r="AM102" i="30"/>
  <c r="AK234" i="52"/>
  <c r="AK200" i="52"/>
  <c r="AK104" i="52"/>
  <c r="AK152" i="52"/>
  <c r="AK179" i="53"/>
  <c r="AK153" i="53"/>
  <c r="AK105" i="53"/>
  <c r="AJ11" i="53"/>
  <c r="AJ10" i="52"/>
  <c r="AK223" i="36"/>
  <c r="AK176" i="36"/>
  <c r="AK150" i="36"/>
  <c r="AJ83" i="36"/>
  <c r="AK178" i="52"/>
  <c r="AK226" i="52"/>
  <c r="AK130" i="52"/>
  <c r="AJ85" i="52"/>
  <c r="AK225" i="53"/>
  <c r="AK201" i="53"/>
  <c r="AK131" i="53"/>
  <c r="AJ86" i="53"/>
  <c r="AK198" i="36"/>
  <c r="AK128" i="36"/>
  <c r="AK198" i="44"/>
  <c r="AJ83" i="44"/>
  <c r="AK128" i="43"/>
  <c r="AK102" i="36"/>
  <c r="AK150" i="44"/>
  <c r="AJ11" i="44"/>
  <c r="AK176" i="43"/>
  <c r="AK230" i="36"/>
  <c r="AK128" i="44"/>
  <c r="AK222" i="43"/>
  <c r="AK198" i="43"/>
  <c r="AK102" i="43"/>
  <c r="AJ11" i="43"/>
  <c r="AJ11" i="36"/>
  <c r="AK222" i="44"/>
  <c r="AK176" i="44"/>
  <c r="AK102" i="44"/>
  <c r="AK150" i="43"/>
  <c r="AJ83" i="43"/>
  <c r="AJ100" i="40"/>
  <c r="AJ33" i="40"/>
  <c r="AJ53" i="40" s="1"/>
  <c r="AJ65" i="40"/>
  <c r="AJ11" i="54"/>
  <c r="AL124" i="30"/>
  <c r="AK90" i="49"/>
  <c r="AK87" i="40"/>
  <c r="AJ91" i="47"/>
  <c r="AJ16" i="47"/>
  <c r="AJ36" i="49"/>
  <c r="AJ56" i="49" s="1"/>
  <c r="AJ68" i="49"/>
  <c r="AJ103" i="49"/>
  <c r="AL81" i="30"/>
  <c r="AL21" i="63" s="1"/>
  <c r="AK21" i="54"/>
  <c r="AK21" i="37"/>
  <c r="AK11" i="37" s="1"/>
  <c r="AK18" i="51"/>
  <c r="AK24" i="49"/>
  <c r="AK16" i="39"/>
  <c r="AK21" i="40"/>
  <c r="AI115" i="51"/>
  <c r="AI112" i="39"/>
  <c r="AI218" i="47"/>
  <c r="AI164" i="47"/>
  <c r="AI180" i="47"/>
  <c r="AK148" i="51"/>
  <c r="AK51" i="51"/>
  <c r="AK144" i="39"/>
  <c r="AK48" i="39"/>
  <c r="C12" i="43"/>
  <c r="C15" i="54"/>
  <c r="C11" i="52"/>
  <c r="D227" i="52" s="1"/>
  <c r="C181" i="47"/>
  <c r="C182" i="47" s="1"/>
  <c r="C96" i="47"/>
  <c r="C12" i="53"/>
  <c r="D57" i="30"/>
  <c r="D55" i="30"/>
  <c r="D56" i="30"/>
  <c r="C14" i="43"/>
  <c r="C69" i="40"/>
  <c r="D143" i="44"/>
  <c r="D191" i="44" s="1"/>
  <c r="D141" i="44"/>
  <c r="D189" i="44" s="1"/>
  <c r="D142" i="44"/>
  <c r="D190" i="44" s="1"/>
  <c r="D138" i="44"/>
  <c r="D186" i="44" s="1"/>
  <c r="D140" i="44"/>
  <c r="D188" i="44" s="1"/>
  <c r="D139" i="44"/>
  <c r="D187" i="44" s="1"/>
  <c r="D146" i="44"/>
  <c r="D194" i="44" s="1"/>
  <c r="D145" i="44"/>
  <c r="D193" i="44" s="1"/>
  <c r="D144" i="44"/>
  <c r="D192" i="44" s="1"/>
  <c r="C104" i="40"/>
  <c r="C14" i="44"/>
  <c r="C113" i="39"/>
  <c r="C114" i="39" s="1"/>
  <c r="C120" i="39" s="1"/>
  <c r="C13" i="43"/>
  <c r="B225" i="19"/>
  <c r="V224" i="19"/>
  <c r="V260" i="19" s="1"/>
  <c r="F82" i="3"/>
  <c r="F83" i="3"/>
  <c r="F84" i="3"/>
  <c r="F85" i="3"/>
  <c r="F86" i="3"/>
  <c r="F87" i="3"/>
  <c r="F88" i="3"/>
  <c r="F89" i="3"/>
  <c r="F90" i="3"/>
  <c r="F91" i="3"/>
  <c r="F92" i="3"/>
  <c r="F81" i="3"/>
  <c r="C77" i="19"/>
  <c r="D77" i="19"/>
  <c r="D26" i="19"/>
  <c r="E26" i="19"/>
  <c r="E77" i="19"/>
  <c r="F77" i="19"/>
  <c r="G77" i="19"/>
  <c r="H77" i="19"/>
  <c r="I77" i="19"/>
  <c r="J77" i="19"/>
  <c r="K77" i="19"/>
  <c r="L77" i="19"/>
  <c r="M77" i="19"/>
  <c r="N77" i="19"/>
  <c r="O77" i="19"/>
  <c r="P77" i="19"/>
  <c r="Q77" i="19"/>
  <c r="R77" i="19"/>
  <c r="S77" i="19"/>
  <c r="T77" i="19"/>
  <c r="U77" i="19"/>
  <c r="V77" i="19"/>
  <c r="W77" i="19"/>
  <c r="X77" i="19"/>
  <c r="Y77" i="19"/>
  <c r="Z77" i="19"/>
  <c r="AA77" i="19"/>
  <c r="AB77" i="19"/>
  <c r="AC77" i="19"/>
  <c r="AD77" i="19"/>
  <c r="AE77" i="19"/>
  <c r="AF77" i="19"/>
  <c r="AG77" i="19"/>
  <c r="AJ101" i="64" l="1"/>
  <c r="AJ117" i="64" s="1"/>
  <c r="AJ168" i="64" s="1"/>
  <c r="AH414" i="47"/>
  <c r="AH432" i="47"/>
  <c r="AI355" i="47"/>
  <c r="AI349" i="47"/>
  <c r="AM77" i="47"/>
  <c r="AK226" i="63"/>
  <c r="AK44" i="67" s="1"/>
  <c r="C134" i="64"/>
  <c r="C17" i="67"/>
  <c r="AK287" i="63"/>
  <c r="AK133" i="64"/>
  <c r="AJ307" i="63"/>
  <c r="V235" i="19"/>
  <c r="V242" i="19"/>
  <c r="V258" i="19"/>
  <c r="V263" i="19"/>
  <c r="V262" i="19"/>
  <c r="V232" i="19"/>
  <c r="V234" i="19"/>
  <c r="V246" i="19"/>
  <c r="V253" i="19"/>
  <c r="V254" i="19"/>
  <c r="V252" i="19"/>
  <c r="V233" i="19"/>
  <c r="V243" i="19"/>
  <c r="V228" i="19"/>
  <c r="V250" i="19"/>
  <c r="V231" i="19"/>
  <c r="V249" i="19"/>
  <c r="V240" i="19"/>
  <c r="V245" i="19"/>
  <c r="V230" i="19"/>
  <c r="V248" i="19"/>
  <c r="V259" i="19"/>
  <c r="V244" i="19"/>
  <c r="V227" i="19"/>
  <c r="V251" i="19"/>
  <c r="V257" i="19"/>
  <c r="V261" i="19"/>
  <c r="V247" i="19"/>
  <c r="V241" i="19"/>
  <c r="V256" i="19"/>
  <c r="V255" i="19"/>
  <c r="V237" i="19"/>
  <c r="V238" i="19"/>
  <c r="V236" i="19"/>
  <c r="V226" i="19"/>
  <c r="V239" i="19"/>
  <c r="V264" i="19"/>
  <c r="V265" i="19"/>
  <c r="V229" i="19"/>
  <c r="B57" i="64"/>
  <c r="AK247" i="63"/>
  <c r="AK145" i="39"/>
  <c r="AK146" i="39"/>
  <c r="AK147" i="39"/>
  <c r="AK148" i="39"/>
  <c r="AK149" i="39"/>
  <c r="AK150" i="39"/>
  <c r="AK151" i="39"/>
  <c r="AK152" i="39"/>
  <c r="AK153" i="39"/>
  <c r="AK154" i="39"/>
  <c r="AK155" i="39"/>
  <c r="AK156" i="39"/>
  <c r="AK157" i="39"/>
  <c r="AK158" i="39"/>
  <c r="AK159" i="39"/>
  <c r="AK160" i="39"/>
  <c r="AK161" i="39"/>
  <c r="AK162" i="39"/>
  <c r="AK163" i="39"/>
  <c r="AK164" i="39"/>
  <c r="AK165" i="39"/>
  <c r="AK166" i="39"/>
  <c r="AK167" i="39"/>
  <c r="AK168" i="39"/>
  <c r="F182" i="51"/>
  <c r="J182" i="51"/>
  <c r="N182" i="51"/>
  <c r="R182" i="51"/>
  <c r="V182" i="51"/>
  <c r="Z182" i="51"/>
  <c r="AD182" i="51"/>
  <c r="AH182" i="51"/>
  <c r="C182" i="51"/>
  <c r="G182" i="51"/>
  <c r="K182" i="51"/>
  <c r="O182" i="51"/>
  <c r="S182" i="51"/>
  <c r="W182" i="51"/>
  <c r="AA182" i="51"/>
  <c r="AE182" i="51"/>
  <c r="AI182" i="51"/>
  <c r="D182" i="51"/>
  <c r="H182" i="51"/>
  <c r="L182" i="51"/>
  <c r="P182" i="51"/>
  <c r="T182" i="51"/>
  <c r="X182" i="51"/>
  <c r="AB182" i="51"/>
  <c r="AF182" i="51"/>
  <c r="AJ182" i="51"/>
  <c r="E182" i="51"/>
  <c r="I182" i="51"/>
  <c r="M182" i="51"/>
  <c r="Q182" i="51"/>
  <c r="U182" i="51"/>
  <c r="Y182" i="51"/>
  <c r="AC182" i="51"/>
  <c r="AG182" i="51"/>
  <c r="D145" i="39"/>
  <c r="E145" i="39"/>
  <c r="F145" i="39"/>
  <c r="G145" i="39"/>
  <c r="H145" i="39"/>
  <c r="I145" i="39"/>
  <c r="J145" i="39"/>
  <c r="K145" i="39"/>
  <c r="L145" i="39"/>
  <c r="M145" i="39"/>
  <c r="AK149" i="51"/>
  <c r="AK150" i="51"/>
  <c r="AK151" i="51"/>
  <c r="AK152" i="51"/>
  <c r="AK153" i="51"/>
  <c r="AK154" i="51"/>
  <c r="AK155" i="51"/>
  <c r="AK156" i="51"/>
  <c r="AK157" i="51"/>
  <c r="AK158" i="51"/>
  <c r="AK159" i="51"/>
  <c r="AK160" i="51"/>
  <c r="AK161" i="51"/>
  <c r="AK162" i="51"/>
  <c r="AK163" i="51"/>
  <c r="AK164" i="51"/>
  <c r="AK165" i="51"/>
  <c r="AK166" i="51"/>
  <c r="AK167" i="51"/>
  <c r="AK168" i="51"/>
  <c r="AK169" i="51"/>
  <c r="AK170" i="51"/>
  <c r="AK171" i="51"/>
  <c r="AK172" i="51"/>
  <c r="E178" i="39"/>
  <c r="I178" i="39"/>
  <c r="M178" i="39"/>
  <c r="Q178" i="39"/>
  <c r="U178" i="39"/>
  <c r="Y178" i="39"/>
  <c r="AC178" i="39"/>
  <c r="AG178" i="39"/>
  <c r="F178" i="39"/>
  <c r="J178" i="39"/>
  <c r="N178" i="39"/>
  <c r="R178" i="39"/>
  <c r="V178" i="39"/>
  <c r="Z178" i="39"/>
  <c r="AD178" i="39"/>
  <c r="AH178" i="39"/>
  <c r="D178" i="39"/>
  <c r="L178" i="39"/>
  <c r="T178" i="39"/>
  <c r="AB178" i="39"/>
  <c r="AJ178" i="39"/>
  <c r="G178" i="39"/>
  <c r="O178" i="39"/>
  <c r="W178" i="39"/>
  <c r="AE178" i="39"/>
  <c r="C178" i="39"/>
  <c r="S178" i="39"/>
  <c r="AI178" i="39"/>
  <c r="H178" i="39"/>
  <c r="P178" i="39"/>
  <c r="X178" i="39"/>
  <c r="AF178" i="39"/>
  <c r="K178" i="39"/>
  <c r="AA178" i="39"/>
  <c r="AK52" i="51"/>
  <c r="AK53" i="51"/>
  <c r="AK54" i="51"/>
  <c r="AK55" i="51"/>
  <c r="AK56" i="51"/>
  <c r="AK57" i="51"/>
  <c r="AK58" i="51"/>
  <c r="AK59" i="51"/>
  <c r="AK60" i="51"/>
  <c r="AK61" i="51"/>
  <c r="AK62" i="51"/>
  <c r="AK63" i="51"/>
  <c r="AK64" i="51"/>
  <c r="AK65" i="51"/>
  <c r="AK66" i="51"/>
  <c r="AK67" i="51"/>
  <c r="AK68" i="51"/>
  <c r="AK69" i="51"/>
  <c r="AK70" i="51"/>
  <c r="AK71" i="51"/>
  <c r="AK72" i="51"/>
  <c r="AK73" i="51"/>
  <c r="AK74" i="51"/>
  <c r="AK75" i="51"/>
  <c r="F85" i="51"/>
  <c r="J85" i="51"/>
  <c r="N85" i="51"/>
  <c r="R85" i="51"/>
  <c r="V85" i="51"/>
  <c r="Z85" i="51"/>
  <c r="AD85" i="51"/>
  <c r="AH85" i="51"/>
  <c r="E85" i="51"/>
  <c r="K85" i="51"/>
  <c r="P85" i="51"/>
  <c r="U85" i="51"/>
  <c r="AA85" i="51"/>
  <c r="C85" i="51"/>
  <c r="I85" i="51"/>
  <c r="Q85" i="51"/>
  <c r="X85" i="51"/>
  <c r="AE85" i="51"/>
  <c r="AJ85" i="51"/>
  <c r="G85" i="51"/>
  <c r="M85" i="51"/>
  <c r="T85" i="51"/>
  <c r="AB85" i="51"/>
  <c r="AG85" i="51"/>
  <c r="D85" i="51"/>
  <c r="L85" i="51"/>
  <c r="S85" i="51"/>
  <c r="Y85" i="51"/>
  <c r="AF85" i="51"/>
  <c r="O85" i="51"/>
  <c r="W85" i="51"/>
  <c r="AC85" i="51"/>
  <c r="H85" i="51"/>
  <c r="AI85" i="51"/>
  <c r="B183" i="51"/>
  <c r="B86" i="51"/>
  <c r="AK49" i="39"/>
  <c r="AK50" i="39"/>
  <c r="AK51" i="39"/>
  <c r="AK52" i="39"/>
  <c r="AK53" i="39"/>
  <c r="AK54" i="39"/>
  <c r="AK55" i="39"/>
  <c r="AK56" i="39"/>
  <c r="AK57" i="39"/>
  <c r="AK58" i="39"/>
  <c r="AK59" i="39"/>
  <c r="AK60" i="39"/>
  <c r="AK61" i="39"/>
  <c r="AK62" i="39"/>
  <c r="AK63" i="39"/>
  <c r="AK64" i="39"/>
  <c r="AK65" i="39"/>
  <c r="AK66" i="39"/>
  <c r="AK67" i="39"/>
  <c r="AK68" i="39"/>
  <c r="AK69" i="39"/>
  <c r="AK70" i="39"/>
  <c r="AK71" i="39"/>
  <c r="AK72" i="39"/>
  <c r="B179" i="39"/>
  <c r="F82" i="39"/>
  <c r="J82" i="39"/>
  <c r="N82" i="39"/>
  <c r="R82" i="39"/>
  <c r="V82" i="39"/>
  <c r="Z82" i="39"/>
  <c r="AD82" i="39"/>
  <c r="AH82" i="39"/>
  <c r="D82" i="39"/>
  <c r="I82" i="39"/>
  <c r="O82" i="39"/>
  <c r="T82" i="39"/>
  <c r="Y82" i="39"/>
  <c r="AE82" i="39"/>
  <c r="AJ82" i="39"/>
  <c r="E82" i="39"/>
  <c r="K82" i="39"/>
  <c r="P82" i="39"/>
  <c r="U82" i="39"/>
  <c r="AA82" i="39"/>
  <c r="AF82" i="39"/>
  <c r="G82" i="39"/>
  <c r="L82" i="39"/>
  <c r="Q82" i="39"/>
  <c r="W82" i="39"/>
  <c r="AB82" i="39"/>
  <c r="AG82" i="39"/>
  <c r="M82" i="39"/>
  <c r="AI82" i="39"/>
  <c r="H82" i="39"/>
  <c r="S82" i="39"/>
  <c r="C82" i="39"/>
  <c r="X82" i="39"/>
  <c r="AC82" i="39"/>
  <c r="B83" i="39"/>
  <c r="AJ316" i="63"/>
  <c r="AL10" i="63"/>
  <c r="AL11" i="67" s="1"/>
  <c r="AL152" i="63"/>
  <c r="AL76" i="64" s="1"/>
  <c r="AL143" i="64" s="1"/>
  <c r="AL104" i="63"/>
  <c r="AL128" i="63"/>
  <c r="AL189" i="63"/>
  <c r="AL177" i="63"/>
  <c r="AL82" i="67" s="1"/>
  <c r="AL38" i="63"/>
  <c r="AL305" i="63" s="1"/>
  <c r="AK315" i="63"/>
  <c r="AK314" i="63"/>
  <c r="AK306" i="63"/>
  <c r="AN42" i="30"/>
  <c r="AM54" i="30"/>
  <c r="AM65" i="30" s="1"/>
  <c r="AM89" i="30" s="1"/>
  <c r="AM110" i="30" s="1"/>
  <c r="AM43" i="30"/>
  <c r="AN102" i="30"/>
  <c r="AL230" i="36"/>
  <c r="AL128" i="36"/>
  <c r="AL102" i="36"/>
  <c r="AK11" i="36"/>
  <c r="AL234" i="52"/>
  <c r="AL200" i="52"/>
  <c r="AL104" i="52"/>
  <c r="AL152" i="52"/>
  <c r="AL179" i="53"/>
  <c r="AL153" i="53"/>
  <c r="AL105" i="53"/>
  <c r="AK11" i="53"/>
  <c r="AK10" i="52"/>
  <c r="AL223" i="36"/>
  <c r="AL176" i="36"/>
  <c r="AL150" i="36"/>
  <c r="AK83" i="36"/>
  <c r="AL130" i="52"/>
  <c r="AL131" i="53"/>
  <c r="AL222" i="44"/>
  <c r="AL176" i="44"/>
  <c r="AL102" i="44"/>
  <c r="AL150" i="43"/>
  <c r="AK83" i="43"/>
  <c r="AK85" i="52"/>
  <c r="AK86" i="53"/>
  <c r="AL198" i="44"/>
  <c r="AL128" i="43"/>
  <c r="AL178" i="52"/>
  <c r="AL225" i="53"/>
  <c r="AL198" i="36"/>
  <c r="AL150" i="44"/>
  <c r="AK83" i="44"/>
  <c r="AK11" i="44"/>
  <c r="AL176" i="43"/>
  <c r="AL226" i="52"/>
  <c r="AL201" i="53"/>
  <c r="AL128" i="44"/>
  <c r="AL222" i="43"/>
  <c r="AL198" i="43"/>
  <c r="AL102" i="43"/>
  <c r="AK11" i="43"/>
  <c r="AK65" i="40"/>
  <c r="AK100" i="40"/>
  <c r="AK33" i="40"/>
  <c r="AK53" i="40" s="1"/>
  <c r="AK11" i="54"/>
  <c r="AK16" i="47"/>
  <c r="AK91" i="47"/>
  <c r="AK36" i="49"/>
  <c r="AK56" i="49" s="1"/>
  <c r="AK68" i="49"/>
  <c r="AK103" i="49"/>
  <c r="AM81" i="30"/>
  <c r="AM21" i="63" s="1"/>
  <c r="AL21" i="37"/>
  <c r="AL11" i="37" s="1"/>
  <c r="AL21" i="54"/>
  <c r="AL24" i="49"/>
  <c r="AL18" i="51"/>
  <c r="AL16" i="39"/>
  <c r="AL21" i="40"/>
  <c r="AJ115" i="51"/>
  <c r="AJ112" i="39"/>
  <c r="AJ218" i="47"/>
  <c r="AJ180" i="47"/>
  <c r="AJ164" i="47"/>
  <c r="AM124" i="30"/>
  <c r="AL90" i="49"/>
  <c r="AL87" i="40"/>
  <c r="AL51" i="51"/>
  <c r="AL148" i="51"/>
  <c r="AL144" i="39"/>
  <c r="AL48" i="39"/>
  <c r="H32" i="53"/>
  <c r="H31" i="52"/>
  <c r="H38" i="53"/>
  <c r="H37" i="52"/>
  <c r="H30" i="53"/>
  <c r="H29" i="52"/>
  <c r="H27" i="53"/>
  <c r="H26" i="52"/>
  <c r="H37" i="53"/>
  <c r="H36" i="52"/>
  <c r="H31" i="53"/>
  <c r="H30" i="52"/>
  <c r="E56" i="30"/>
  <c r="F56" i="30" s="1"/>
  <c r="G56" i="30" s="1"/>
  <c r="H56" i="30" s="1"/>
  <c r="I56" i="30" s="1"/>
  <c r="J56" i="30" s="1"/>
  <c r="K56" i="30" s="1"/>
  <c r="L56" i="30" s="1"/>
  <c r="M56" i="30" s="1"/>
  <c r="N56" i="30" s="1"/>
  <c r="O56" i="30" s="1"/>
  <c r="P56" i="30" s="1"/>
  <c r="Q56" i="30" s="1"/>
  <c r="R56" i="30" s="1"/>
  <c r="S56" i="30" s="1"/>
  <c r="T56" i="30" s="1"/>
  <c r="U56" i="30" s="1"/>
  <c r="V56" i="30" s="1"/>
  <c r="W56" i="30" s="1"/>
  <c r="X56" i="30" s="1"/>
  <c r="Y56" i="30" s="1"/>
  <c r="Z56" i="30" s="1"/>
  <c r="AA56" i="30" s="1"/>
  <c r="AB56" i="30" s="1"/>
  <c r="AC56" i="30" s="1"/>
  <c r="AD56" i="30" s="1"/>
  <c r="AE56" i="30" s="1"/>
  <c r="AF56" i="30" s="1"/>
  <c r="AG56" i="30" s="1"/>
  <c r="AH56" i="30" s="1"/>
  <c r="AI56" i="30" s="1"/>
  <c r="AJ56" i="30" s="1"/>
  <c r="AK56" i="30" s="1"/>
  <c r="AL56" i="30" s="1"/>
  <c r="AM56" i="30" s="1"/>
  <c r="D90" i="30"/>
  <c r="E55" i="30"/>
  <c r="F55" i="30" s="1"/>
  <c r="G55" i="30" s="1"/>
  <c r="H55" i="30" s="1"/>
  <c r="I55" i="30" s="1"/>
  <c r="D66" i="30"/>
  <c r="E57" i="30"/>
  <c r="F57" i="30" s="1"/>
  <c r="G57" i="30" s="1"/>
  <c r="H57" i="30" s="1"/>
  <c r="I57" i="30" s="1"/>
  <c r="J57" i="30" s="1"/>
  <c r="K57" i="30" s="1"/>
  <c r="L57" i="30" s="1"/>
  <c r="M57" i="30" s="1"/>
  <c r="N57" i="30" s="1"/>
  <c r="O57" i="30" s="1"/>
  <c r="P57" i="30" s="1"/>
  <c r="Q57" i="30" s="1"/>
  <c r="R57" i="30" s="1"/>
  <c r="S57" i="30" s="1"/>
  <c r="T57" i="30" s="1"/>
  <c r="U57" i="30" s="1"/>
  <c r="V57" i="30" s="1"/>
  <c r="W57" i="30" s="1"/>
  <c r="X57" i="30" s="1"/>
  <c r="Y57" i="30" s="1"/>
  <c r="Z57" i="30" s="1"/>
  <c r="AA57" i="30" s="1"/>
  <c r="AB57" i="30" s="1"/>
  <c r="AC57" i="30" s="1"/>
  <c r="AD57" i="30" s="1"/>
  <c r="AE57" i="30" s="1"/>
  <c r="AF57" i="30" s="1"/>
  <c r="AG57" i="30" s="1"/>
  <c r="AH57" i="30" s="1"/>
  <c r="AI57" i="30" s="1"/>
  <c r="AJ57" i="30" s="1"/>
  <c r="AK57" i="30" s="1"/>
  <c r="AL57" i="30" s="1"/>
  <c r="AM57" i="30" s="1"/>
  <c r="D111" i="30"/>
  <c r="D161" i="44"/>
  <c r="D209" i="44" s="1"/>
  <c r="D168" i="44"/>
  <c r="D216" i="44" s="1"/>
  <c r="C15" i="44"/>
  <c r="D162" i="44"/>
  <c r="D210" i="44" s="1"/>
  <c r="D165" i="44"/>
  <c r="D213" i="44" s="1"/>
  <c r="D163" i="44"/>
  <c r="D211" i="44" s="1"/>
  <c r="D164" i="44"/>
  <c r="D212" i="44" s="1"/>
  <c r="D160" i="44"/>
  <c r="D208" i="44" s="1"/>
  <c r="D166" i="44"/>
  <c r="D214" i="44" s="1"/>
  <c r="D167" i="44"/>
  <c r="D215" i="44" s="1"/>
  <c r="C15" i="43"/>
  <c r="D164" i="43"/>
  <c r="D212" i="43" s="1"/>
  <c r="D165" i="43"/>
  <c r="D213" i="43" s="1"/>
  <c r="D166" i="43"/>
  <c r="D214" i="43" s="1"/>
  <c r="D161" i="43"/>
  <c r="D209" i="43" s="1"/>
  <c r="D168" i="43"/>
  <c r="D216" i="43" s="1"/>
  <c r="D163" i="43"/>
  <c r="D211" i="43" s="1"/>
  <c r="D167" i="43"/>
  <c r="D215" i="43" s="1"/>
  <c r="D162" i="43"/>
  <c r="D210" i="43" s="1"/>
  <c r="D160" i="43"/>
  <c r="D208" i="43" s="1"/>
  <c r="H32" i="44"/>
  <c r="H32" i="43"/>
  <c r="H30" i="43"/>
  <c r="H30" i="44"/>
  <c r="H37" i="36"/>
  <c r="H37" i="43"/>
  <c r="H37" i="44"/>
  <c r="H31" i="43"/>
  <c r="H31" i="44"/>
  <c r="H38" i="36"/>
  <c r="H38" i="43"/>
  <c r="H38" i="44"/>
  <c r="H27" i="43"/>
  <c r="H27" i="44"/>
  <c r="H31" i="36"/>
  <c r="H27" i="36"/>
  <c r="H32" i="36"/>
  <c r="H30" i="36"/>
  <c r="W224" i="19"/>
  <c r="W260" i="19" s="1"/>
  <c r="E27" i="19"/>
  <c r="D176" i="19" s="1"/>
  <c r="D27" i="19"/>
  <c r="C176" i="19" s="1"/>
  <c r="G26" i="19"/>
  <c r="H26" i="19"/>
  <c r="I26" i="19"/>
  <c r="J26" i="19"/>
  <c r="K26" i="19"/>
  <c r="L26" i="19"/>
  <c r="M26" i="19"/>
  <c r="N26" i="19"/>
  <c r="O26" i="19"/>
  <c r="P26" i="19"/>
  <c r="Q26" i="19"/>
  <c r="R26" i="19"/>
  <c r="S26" i="19"/>
  <c r="T26" i="19"/>
  <c r="U26" i="19"/>
  <c r="V26" i="19"/>
  <c r="W26" i="19"/>
  <c r="X26" i="19"/>
  <c r="Y26" i="19"/>
  <c r="Z26" i="19"/>
  <c r="AA26" i="19"/>
  <c r="AB26" i="19"/>
  <c r="AC26" i="19"/>
  <c r="AD26" i="19"/>
  <c r="AE26" i="19"/>
  <c r="AF26" i="19"/>
  <c r="AG26" i="19"/>
  <c r="AH26" i="19"/>
  <c r="J27" i="19"/>
  <c r="I176" i="19" s="1"/>
  <c r="K27" i="19"/>
  <c r="J176" i="19" s="1"/>
  <c r="L27" i="19"/>
  <c r="K176" i="19" s="1"/>
  <c r="M27" i="19"/>
  <c r="L176" i="19" s="1"/>
  <c r="N27" i="19"/>
  <c r="M176" i="19" s="1"/>
  <c r="F26" i="19"/>
  <c r="C138" i="3"/>
  <c r="AK101" i="64" l="1"/>
  <c r="AK117" i="64" s="1"/>
  <c r="AK168" i="64" s="1"/>
  <c r="AI414" i="47"/>
  <c r="AI432" i="47"/>
  <c r="AJ355" i="47"/>
  <c r="AJ349" i="47"/>
  <c r="AN77" i="47"/>
  <c r="AL226" i="63"/>
  <c r="AL44" i="67" s="1"/>
  <c r="AL287" i="63"/>
  <c r="AL133" i="64"/>
  <c r="AK307" i="63"/>
  <c r="M225" i="19"/>
  <c r="W229" i="19"/>
  <c r="W226" i="19"/>
  <c r="W255" i="19"/>
  <c r="W261" i="19"/>
  <c r="W244" i="19"/>
  <c r="W245" i="19"/>
  <c r="W250" i="19"/>
  <c r="W252" i="19"/>
  <c r="W234" i="19"/>
  <c r="W258" i="19"/>
  <c r="W265" i="19"/>
  <c r="W236" i="19"/>
  <c r="W256" i="19"/>
  <c r="W257" i="19"/>
  <c r="W259" i="19"/>
  <c r="W240" i="19"/>
  <c r="W228" i="19"/>
  <c r="W254" i="19"/>
  <c r="W232" i="19"/>
  <c r="W242" i="19"/>
  <c r="W264" i="19"/>
  <c r="W238" i="19"/>
  <c r="W241" i="19"/>
  <c r="W251" i="19"/>
  <c r="W248" i="19"/>
  <c r="W249" i="19"/>
  <c r="W243" i="19"/>
  <c r="W253" i="19"/>
  <c r="W262" i="19"/>
  <c r="W235" i="19"/>
  <c r="W239" i="19"/>
  <c r="W237" i="19"/>
  <c r="W247" i="19"/>
  <c r="W227" i="19"/>
  <c r="W230" i="19"/>
  <c r="W231" i="19"/>
  <c r="W233" i="19"/>
  <c r="W246" i="19"/>
  <c r="W263" i="19"/>
  <c r="B58" i="64"/>
  <c r="AL247" i="63"/>
  <c r="AL145" i="39"/>
  <c r="AL146" i="39"/>
  <c r="AL147" i="39"/>
  <c r="AL148" i="39"/>
  <c r="AL149" i="39"/>
  <c r="AL150" i="39"/>
  <c r="AL151" i="39"/>
  <c r="AL152" i="39"/>
  <c r="AL153" i="39"/>
  <c r="AL154" i="39"/>
  <c r="AL155" i="39"/>
  <c r="AL156" i="39"/>
  <c r="AL157" i="39"/>
  <c r="AL158" i="39"/>
  <c r="AL159" i="39"/>
  <c r="AL160" i="39"/>
  <c r="AL161" i="39"/>
  <c r="AL162" i="39"/>
  <c r="AL163" i="39"/>
  <c r="AL164" i="39"/>
  <c r="AL165" i="39"/>
  <c r="AL166" i="39"/>
  <c r="AL167" i="39"/>
  <c r="AL168" i="39"/>
  <c r="AL169" i="39"/>
  <c r="F179" i="39"/>
  <c r="J179" i="39"/>
  <c r="N179" i="39"/>
  <c r="R179" i="39"/>
  <c r="V179" i="39"/>
  <c r="Z179" i="39"/>
  <c r="AD179" i="39"/>
  <c r="AH179" i="39"/>
  <c r="C179" i="39"/>
  <c r="G179" i="39"/>
  <c r="K179" i="39"/>
  <c r="O179" i="39"/>
  <c r="S179" i="39"/>
  <c r="W179" i="39"/>
  <c r="AA179" i="39"/>
  <c r="AE179" i="39"/>
  <c r="AI179" i="39"/>
  <c r="I179" i="39"/>
  <c r="Q179" i="39"/>
  <c r="Y179" i="39"/>
  <c r="AG179" i="39"/>
  <c r="D179" i="39"/>
  <c r="L179" i="39"/>
  <c r="T179" i="39"/>
  <c r="AB179" i="39"/>
  <c r="AJ179" i="39"/>
  <c r="H179" i="39"/>
  <c r="X179" i="39"/>
  <c r="E179" i="39"/>
  <c r="M179" i="39"/>
  <c r="U179" i="39"/>
  <c r="AC179" i="39"/>
  <c r="AK179" i="39"/>
  <c r="P179" i="39"/>
  <c r="AF179" i="39"/>
  <c r="AL149" i="51"/>
  <c r="AL150" i="51"/>
  <c r="AL151" i="51"/>
  <c r="AL152" i="51"/>
  <c r="AL153" i="51"/>
  <c r="AL154" i="51"/>
  <c r="AL155" i="51"/>
  <c r="AL156" i="51"/>
  <c r="AL157" i="51"/>
  <c r="AL158" i="51"/>
  <c r="AL159" i="51"/>
  <c r="AL160" i="51"/>
  <c r="AL161" i="51"/>
  <c r="AL162" i="51"/>
  <c r="AL163" i="51"/>
  <c r="AL164" i="51"/>
  <c r="AL165" i="51"/>
  <c r="AL166" i="51"/>
  <c r="AL167" i="51"/>
  <c r="AL168" i="51"/>
  <c r="AL169" i="51"/>
  <c r="AL170" i="51"/>
  <c r="AL171" i="51"/>
  <c r="AL172" i="51"/>
  <c r="AL173" i="51"/>
  <c r="C183" i="51"/>
  <c r="G183" i="51"/>
  <c r="K183" i="51"/>
  <c r="O183" i="51"/>
  <c r="S183" i="51"/>
  <c r="W183" i="51"/>
  <c r="AA183" i="51"/>
  <c r="AE183" i="51"/>
  <c r="AI183" i="51"/>
  <c r="D183" i="51"/>
  <c r="H183" i="51"/>
  <c r="L183" i="51"/>
  <c r="P183" i="51"/>
  <c r="T183" i="51"/>
  <c r="X183" i="51"/>
  <c r="AB183" i="51"/>
  <c r="AF183" i="51"/>
  <c r="AJ183" i="51"/>
  <c r="E183" i="51"/>
  <c r="I183" i="51"/>
  <c r="M183" i="51"/>
  <c r="Q183" i="51"/>
  <c r="U183" i="51"/>
  <c r="Y183" i="51"/>
  <c r="AC183" i="51"/>
  <c r="AG183" i="51"/>
  <c r="AK183" i="51"/>
  <c r="F183" i="51"/>
  <c r="J183" i="51"/>
  <c r="N183" i="51"/>
  <c r="R183" i="51"/>
  <c r="V183" i="51"/>
  <c r="Z183" i="51"/>
  <c r="AD183" i="51"/>
  <c r="AH183" i="51"/>
  <c r="C86" i="51"/>
  <c r="G86" i="51"/>
  <c r="K86" i="51"/>
  <c r="O86" i="51"/>
  <c r="S86" i="51"/>
  <c r="W86" i="51"/>
  <c r="AA86" i="51"/>
  <c r="AE86" i="51"/>
  <c r="AI86" i="51"/>
  <c r="F86" i="51"/>
  <c r="L86" i="51"/>
  <c r="Q86" i="51"/>
  <c r="V86" i="51"/>
  <c r="AB86" i="51"/>
  <c r="AG86" i="51"/>
  <c r="D86" i="51"/>
  <c r="I86" i="51"/>
  <c r="N86" i="51"/>
  <c r="T86" i="51"/>
  <c r="Y86" i="51"/>
  <c r="AD86" i="51"/>
  <c r="AJ86" i="51"/>
  <c r="H86" i="51"/>
  <c r="M86" i="51"/>
  <c r="R86" i="51"/>
  <c r="X86" i="51"/>
  <c r="AC86" i="51"/>
  <c r="AH86" i="51"/>
  <c r="J86" i="51"/>
  <c r="AF86" i="51"/>
  <c r="P86" i="51"/>
  <c r="AK86" i="51"/>
  <c r="U86" i="51"/>
  <c r="E86" i="51"/>
  <c r="Z86" i="51"/>
  <c r="AL52" i="51"/>
  <c r="AL53" i="51"/>
  <c r="AL54" i="51"/>
  <c r="AL55" i="51"/>
  <c r="AL56" i="51"/>
  <c r="AL57" i="51"/>
  <c r="AL58" i="51"/>
  <c r="AL59" i="51"/>
  <c r="AL60" i="51"/>
  <c r="AL61" i="51"/>
  <c r="AL62" i="51"/>
  <c r="AL63" i="51"/>
  <c r="AL64" i="51"/>
  <c r="AL65" i="51"/>
  <c r="AL66" i="51"/>
  <c r="AL67" i="51"/>
  <c r="AL68" i="51"/>
  <c r="AL69" i="51"/>
  <c r="AL70" i="51"/>
  <c r="AL71" i="51"/>
  <c r="AL72" i="51"/>
  <c r="AL73" i="51"/>
  <c r="AL74" i="51"/>
  <c r="AL75" i="51"/>
  <c r="AL76" i="51"/>
  <c r="B184" i="51"/>
  <c r="B87" i="51"/>
  <c r="C83" i="39"/>
  <c r="G83" i="39"/>
  <c r="K83" i="39"/>
  <c r="O83" i="39"/>
  <c r="S83" i="39"/>
  <c r="W83" i="39"/>
  <c r="AA83" i="39"/>
  <c r="AE83" i="39"/>
  <c r="AI83" i="39"/>
  <c r="F83" i="39"/>
  <c r="L83" i="39"/>
  <c r="Q83" i="39"/>
  <c r="V83" i="39"/>
  <c r="AB83" i="39"/>
  <c r="AG83" i="39"/>
  <c r="H83" i="39"/>
  <c r="M83" i="39"/>
  <c r="R83" i="39"/>
  <c r="X83" i="39"/>
  <c r="AC83" i="39"/>
  <c r="AH83" i="39"/>
  <c r="D83" i="39"/>
  <c r="I83" i="39"/>
  <c r="N83" i="39"/>
  <c r="T83" i="39"/>
  <c r="Y83" i="39"/>
  <c r="AD83" i="39"/>
  <c r="AJ83" i="39"/>
  <c r="E83" i="39"/>
  <c r="Z83" i="39"/>
  <c r="U83" i="39"/>
  <c r="J83" i="39"/>
  <c r="AF83" i="39"/>
  <c r="P83" i="39"/>
  <c r="AK83" i="39"/>
  <c r="AL49" i="39"/>
  <c r="AL50" i="39"/>
  <c r="AL51" i="39"/>
  <c r="AL52" i="39"/>
  <c r="AL53" i="39"/>
  <c r="AL54" i="39"/>
  <c r="AL55" i="39"/>
  <c r="AL56" i="39"/>
  <c r="AL57" i="39"/>
  <c r="AL58" i="39"/>
  <c r="AL59" i="39"/>
  <c r="AL60" i="39"/>
  <c r="AL61" i="39"/>
  <c r="AL62" i="39"/>
  <c r="AL63" i="39"/>
  <c r="AL64" i="39"/>
  <c r="AL65" i="39"/>
  <c r="AL66" i="39"/>
  <c r="AL67" i="39"/>
  <c r="AL68" i="39"/>
  <c r="AL69" i="39"/>
  <c r="AL70" i="39"/>
  <c r="AL71" i="39"/>
  <c r="AL72" i="39"/>
  <c r="AL73" i="39"/>
  <c r="B180" i="39"/>
  <c r="B84" i="39"/>
  <c r="AK316" i="63"/>
  <c r="AN57" i="30"/>
  <c r="AN56" i="30"/>
  <c r="AL315" i="63"/>
  <c r="AL314" i="63"/>
  <c r="AL306" i="63"/>
  <c r="AM10" i="63"/>
  <c r="AM11" i="67" s="1"/>
  <c r="AM177" i="63"/>
  <c r="AM82" i="67" s="1"/>
  <c r="AM38" i="63"/>
  <c r="AM305" i="63" s="1"/>
  <c r="AM152" i="63"/>
  <c r="AM76" i="64" s="1"/>
  <c r="AM143" i="64" s="1"/>
  <c r="AM128" i="63"/>
  <c r="AM104" i="63"/>
  <c r="AM189" i="63"/>
  <c r="AO42" i="30"/>
  <c r="AN54" i="30"/>
  <c r="AN65" i="30" s="1"/>
  <c r="AN89" i="30" s="1"/>
  <c r="AN110" i="30" s="1"/>
  <c r="AN43" i="30"/>
  <c r="AO102" i="30"/>
  <c r="AN124" i="30"/>
  <c r="AM90" i="49"/>
  <c r="AM87" i="40"/>
  <c r="AN81" i="30"/>
  <c r="AN21" i="63" s="1"/>
  <c r="AM21" i="54"/>
  <c r="AM21" i="37"/>
  <c r="AM11" i="37" s="1"/>
  <c r="AM18" i="51"/>
  <c r="AM24" i="49"/>
  <c r="AM16" i="39"/>
  <c r="AM21" i="40"/>
  <c r="AK180" i="47"/>
  <c r="AK218" i="47"/>
  <c r="AK164" i="47"/>
  <c r="AL16" i="47"/>
  <c r="AL91" i="47"/>
  <c r="AL36" i="49"/>
  <c r="AL56" i="49" s="1"/>
  <c r="AL68" i="49"/>
  <c r="AL103" i="49"/>
  <c r="AM178" i="52"/>
  <c r="AM226" i="52"/>
  <c r="AM130" i="52"/>
  <c r="AL85" i="52"/>
  <c r="AM225" i="53"/>
  <c r="AM201" i="53"/>
  <c r="AM131" i="53"/>
  <c r="AL86" i="53"/>
  <c r="AM198" i="36"/>
  <c r="AM230" i="36"/>
  <c r="AM128" i="36"/>
  <c r="AM102" i="36"/>
  <c r="AM234" i="52"/>
  <c r="AM200" i="52"/>
  <c r="AM104" i="52"/>
  <c r="AM152" i="52"/>
  <c r="AM179" i="53"/>
  <c r="AM153" i="53"/>
  <c r="AM105" i="53"/>
  <c r="AL11" i="53"/>
  <c r="AL10" i="52"/>
  <c r="AM176" i="36"/>
  <c r="AL83" i="36"/>
  <c r="AL11" i="36"/>
  <c r="AM128" i="44"/>
  <c r="AM222" i="43"/>
  <c r="AM198" i="43"/>
  <c r="AM102" i="43"/>
  <c r="AL11" i="43"/>
  <c r="AM223" i="36"/>
  <c r="AM222" i="44"/>
  <c r="AM176" i="44"/>
  <c r="AM102" i="44"/>
  <c r="AM150" i="43"/>
  <c r="AL83" i="43"/>
  <c r="AM198" i="44"/>
  <c r="AM128" i="43"/>
  <c r="AM150" i="36"/>
  <c r="AM150" i="44"/>
  <c r="AL83" i="44"/>
  <c r="AL11" i="44"/>
  <c r="AM176" i="43"/>
  <c r="AL65" i="40"/>
  <c r="AL100" i="40"/>
  <c r="AL33" i="40"/>
  <c r="AL53" i="40" s="1"/>
  <c r="AL11" i="54"/>
  <c r="AK115" i="51"/>
  <c r="AK112" i="39"/>
  <c r="AM148" i="51"/>
  <c r="AM51" i="51"/>
  <c r="AM144" i="39"/>
  <c r="AM48" i="39"/>
  <c r="D68" i="30"/>
  <c r="D70" i="30" s="1"/>
  <c r="D69" i="30"/>
  <c r="D74" i="30"/>
  <c r="D114" i="30"/>
  <c r="D113" i="30"/>
  <c r="D115" i="30" s="1"/>
  <c r="D117" i="30"/>
  <c r="D93" i="30"/>
  <c r="D92" i="30"/>
  <c r="D94" i="30" s="1"/>
  <c r="D96" i="30"/>
  <c r="J55" i="30"/>
  <c r="X224" i="19"/>
  <c r="X260" i="19" s="1"/>
  <c r="AF27" i="19"/>
  <c r="AE176" i="19" s="1"/>
  <c r="AB27" i="19"/>
  <c r="AA176" i="19" s="1"/>
  <c r="T27" i="19"/>
  <c r="S176" i="19" s="1"/>
  <c r="P27" i="19"/>
  <c r="O176" i="19" s="1"/>
  <c r="I27" i="19"/>
  <c r="H176" i="19" s="1"/>
  <c r="AH27" i="19"/>
  <c r="AG176" i="19" s="1"/>
  <c r="H27" i="19"/>
  <c r="G176" i="19" s="1"/>
  <c r="I225" i="19" s="1"/>
  <c r="AC27" i="19"/>
  <c r="AB176" i="19" s="1"/>
  <c r="F27" i="19"/>
  <c r="E176" i="19" s="1"/>
  <c r="AA27" i="19"/>
  <c r="Z176" i="19" s="1"/>
  <c r="S27" i="19"/>
  <c r="R176" i="19" s="1"/>
  <c r="V27" i="19"/>
  <c r="U176" i="19" s="1"/>
  <c r="AD27" i="19"/>
  <c r="AC176" i="19" s="1"/>
  <c r="U27" i="19"/>
  <c r="T176" i="19" s="1"/>
  <c r="G27" i="19"/>
  <c r="F176" i="19" s="1"/>
  <c r="X27" i="19"/>
  <c r="W176" i="19" s="1"/>
  <c r="AE27" i="19"/>
  <c r="AD176" i="19" s="1"/>
  <c r="W27" i="19"/>
  <c r="V176" i="19" s="1"/>
  <c r="Z27" i="19"/>
  <c r="Y176" i="19" s="1"/>
  <c r="AG27" i="19"/>
  <c r="AF176" i="19" s="1"/>
  <c r="Y27" i="19"/>
  <c r="X176" i="19" s="1"/>
  <c r="Q27" i="19"/>
  <c r="P176" i="19" s="1"/>
  <c r="O27" i="19"/>
  <c r="N176" i="19" s="1"/>
  <c r="R27" i="19"/>
  <c r="Q176" i="19" s="1"/>
  <c r="AL101" i="64" l="1"/>
  <c r="AL117" i="64" s="1"/>
  <c r="AL168" i="64" s="1"/>
  <c r="AJ414" i="47"/>
  <c r="AJ432" i="47"/>
  <c r="AK355" i="47"/>
  <c r="AK349" i="47"/>
  <c r="AO77" i="47"/>
  <c r="AM226" i="63"/>
  <c r="AM44" i="67" s="1"/>
  <c r="AM287" i="63"/>
  <c r="AM133" i="64"/>
  <c r="AL307" i="63"/>
  <c r="N225" i="19"/>
  <c r="O225" i="19" s="1"/>
  <c r="P225" i="19" s="1"/>
  <c r="Q225" i="19" s="1"/>
  <c r="R225" i="19" s="1"/>
  <c r="S225" i="19" s="1"/>
  <c r="T225" i="19" s="1"/>
  <c r="U225" i="19" s="1"/>
  <c r="V225" i="19" s="1"/>
  <c r="W225" i="19" s="1"/>
  <c r="X225" i="19" s="1"/>
  <c r="X263" i="19"/>
  <c r="X230" i="19"/>
  <c r="X239" i="19"/>
  <c r="X243" i="19"/>
  <c r="X241" i="19"/>
  <c r="X232" i="19"/>
  <c r="X259" i="19"/>
  <c r="X265" i="19"/>
  <c r="X250" i="19"/>
  <c r="X255" i="19"/>
  <c r="X246" i="19"/>
  <c r="X227" i="19"/>
  <c r="X235" i="19"/>
  <c r="X249" i="19"/>
  <c r="X238" i="19"/>
  <c r="X254" i="19"/>
  <c r="X257" i="19"/>
  <c r="X258" i="19"/>
  <c r="X245" i="19"/>
  <c r="X226" i="19"/>
  <c r="X233" i="19"/>
  <c r="X247" i="19"/>
  <c r="X262" i="19"/>
  <c r="X248" i="19"/>
  <c r="X264" i="19"/>
  <c r="X228" i="19"/>
  <c r="X256" i="19"/>
  <c r="X234" i="19"/>
  <c r="X244" i="19"/>
  <c r="X229" i="19"/>
  <c r="X231" i="19"/>
  <c r="X237" i="19"/>
  <c r="X253" i="19"/>
  <c r="X251" i="19"/>
  <c r="X242" i="19"/>
  <c r="X240" i="19"/>
  <c r="X236" i="19"/>
  <c r="X252" i="19"/>
  <c r="X261" i="19"/>
  <c r="B59" i="64"/>
  <c r="AM247" i="63"/>
  <c r="D184" i="51"/>
  <c r="H184" i="51"/>
  <c r="L184" i="51"/>
  <c r="P184" i="51"/>
  <c r="T184" i="51"/>
  <c r="X184" i="51"/>
  <c r="AB184" i="51"/>
  <c r="AF184" i="51"/>
  <c r="AJ184" i="51"/>
  <c r="E184" i="51"/>
  <c r="I184" i="51"/>
  <c r="M184" i="51"/>
  <c r="Q184" i="51"/>
  <c r="U184" i="51"/>
  <c r="Y184" i="51"/>
  <c r="AC184" i="51"/>
  <c r="AG184" i="51"/>
  <c r="AK184" i="51"/>
  <c r="F184" i="51"/>
  <c r="J184" i="51"/>
  <c r="N184" i="51"/>
  <c r="R184" i="51"/>
  <c r="V184" i="51"/>
  <c r="Z184" i="51"/>
  <c r="AD184" i="51"/>
  <c r="AH184" i="51"/>
  <c r="AL184" i="51"/>
  <c r="C184" i="51"/>
  <c r="G184" i="51"/>
  <c r="K184" i="51"/>
  <c r="O184" i="51"/>
  <c r="S184" i="51"/>
  <c r="W184" i="51"/>
  <c r="AA184" i="51"/>
  <c r="AE184" i="51"/>
  <c r="AI184" i="51"/>
  <c r="AM149" i="51"/>
  <c r="AM150" i="51"/>
  <c r="AM151" i="51"/>
  <c r="AM152" i="51"/>
  <c r="AM153" i="51"/>
  <c r="AM154" i="51"/>
  <c r="AM155" i="51"/>
  <c r="AM156" i="51"/>
  <c r="AM157" i="51"/>
  <c r="AM158" i="51"/>
  <c r="AM159" i="51"/>
  <c r="AM160" i="51"/>
  <c r="AM161" i="51"/>
  <c r="AM162" i="51"/>
  <c r="AM163" i="51"/>
  <c r="AM164" i="51"/>
  <c r="AM165" i="51"/>
  <c r="AM166" i="51"/>
  <c r="AM167" i="51"/>
  <c r="AM168" i="51"/>
  <c r="AM169" i="51"/>
  <c r="AM170" i="51"/>
  <c r="AM171" i="51"/>
  <c r="AM172" i="51"/>
  <c r="AM173" i="51"/>
  <c r="AM174" i="51"/>
  <c r="AM145" i="39"/>
  <c r="AM146" i="39"/>
  <c r="AM147" i="39"/>
  <c r="AM148" i="39"/>
  <c r="AM149" i="39"/>
  <c r="AM150" i="39"/>
  <c r="AM151" i="39"/>
  <c r="AM152" i="39"/>
  <c r="AM153" i="39"/>
  <c r="AM154" i="39"/>
  <c r="AM155" i="39"/>
  <c r="AM156" i="39"/>
  <c r="AM157" i="39"/>
  <c r="AM158" i="39"/>
  <c r="AM159" i="39"/>
  <c r="AM160" i="39"/>
  <c r="AM161" i="39"/>
  <c r="AM162" i="39"/>
  <c r="AM163" i="39"/>
  <c r="AM164" i="39"/>
  <c r="AM165" i="39"/>
  <c r="AM166" i="39"/>
  <c r="AM167" i="39"/>
  <c r="AM168" i="39"/>
  <c r="AM169" i="39"/>
  <c r="AM170" i="39"/>
  <c r="B181" i="39"/>
  <c r="C180" i="39"/>
  <c r="G180" i="39"/>
  <c r="K180" i="39"/>
  <c r="O180" i="39"/>
  <c r="S180" i="39"/>
  <c r="W180" i="39"/>
  <c r="AA180" i="39"/>
  <c r="AE180" i="39"/>
  <c r="AI180" i="39"/>
  <c r="D180" i="39"/>
  <c r="H180" i="39"/>
  <c r="L180" i="39"/>
  <c r="P180" i="39"/>
  <c r="T180" i="39"/>
  <c r="X180" i="39"/>
  <c r="AB180" i="39"/>
  <c r="AF180" i="39"/>
  <c r="AJ180" i="39"/>
  <c r="F180" i="39"/>
  <c r="N180" i="39"/>
  <c r="V180" i="39"/>
  <c r="AD180" i="39"/>
  <c r="AL180" i="39"/>
  <c r="I180" i="39"/>
  <c r="Q180" i="39"/>
  <c r="Y180" i="39"/>
  <c r="AG180" i="39"/>
  <c r="E180" i="39"/>
  <c r="U180" i="39"/>
  <c r="AK180" i="39"/>
  <c r="J180" i="39"/>
  <c r="R180" i="39"/>
  <c r="Z180" i="39"/>
  <c r="AH180" i="39"/>
  <c r="M180" i="39"/>
  <c r="AC180" i="39"/>
  <c r="AM52" i="51"/>
  <c r="AM53" i="51"/>
  <c r="AM54" i="51"/>
  <c r="AM55" i="51"/>
  <c r="AM56" i="51"/>
  <c r="AM57" i="51"/>
  <c r="AM58" i="51"/>
  <c r="AM59" i="51"/>
  <c r="AM60" i="51"/>
  <c r="AM61" i="51"/>
  <c r="AM62" i="51"/>
  <c r="AM63" i="51"/>
  <c r="AM64" i="51"/>
  <c r="AM65" i="51"/>
  <c r="AM66" i="51"/>
  <c r="AM67" i="51"/>
  <c r="AM68" i="51"/>
  <c r="AM69" i="51"/>
  <c r="AM70" i="51"/>
  <c r="AM71" i="51"/>
  <c r="AM72" i="51"/>
  <c r="AM73" i="51"/>
  <c r="AM74" i="51"/>
  <c r="AM75" i="51"/>
  <c r="AM76" i="51"/>
  <c r="AM77" i="51"/>
  <c r="B185" i="51"/>
  <c r="D87" i="51"/>
  <c r="H87" i="51"/>
  <c r="L87" i="51"/>
  <c r="P87" i="51"/>
  <c r="T87" i="51"/>
  <c r="X87" i="51"/>
  <c r="AB87" i="51"/>
  <c r="AF87" i="51"/>
  <c r="AJ87" i="51"/>
  <c r="C87" i="51"/>
  <c r="I87" i="51"/>
  <c r="N87" i="51"/>
  <c r="S87" i="51"/>
  <c r="Y87" i="51"/>
  <c r="AD87" i="51"/>
  <c r="AI87" i="51"/>
  <c r="F87" i="51"/>
  <c r="K87" i="51"/>
  <c r="Q87" i="51"/>
  <c r="V87" i="51"/>
  <c r="AA87" i="51"/>
  <c r="AG87" i="51"/>
  <c r="AL87" i="51"/>
  <c r="E87" i="51"/>
  <c r="J87" i="51"/>
  <c r="O87" i="51"/>
  <c r="U87" i="51"/>
  <c r="Z87" i="51"/>
  <c r="AE87" i="51"/>
  <c r="AK87" i="51"/>
  <c r="W87" i="51"/>
  <c r="G87" i="51"/>
  <c r="AC87" i="51"/>
  <c r="M87" i="51"/>
  <c r="AH87" i="51"/>
  <c r="R87" i="51"/>
  <c r="B88" i="51"/>
  <c r="D84" i="39"/>
  <c r="H84" i="39"/>
  <c r="L84" i="39"/>
  <c r="P84" i="39"/>
  <c r="T84" i="39"/>
  <c r="X84" i="39"/>
  <c r="AB84" i="39"/>
  <c r="AF84" i="39"/>
  <c r="AJ84" i="39"/>
  <c r="C84" i="39"/>
  <c r="I84" i="39"/>
  <c r="N84" i="39"/>
  <c r="S84" i="39"/>
  <c r="Y84" i="39"/>
  <c r="AD84" i="39"/>
  <c r="AI84" i="39"/>
  <c r="E84" i="39"/>
  <c r="J84" i="39"/>
  <c r="O84" i="39"/>
  <c r="U84" i="39"/>
  <c r="Z84" i="39"/>
  <c r="AE84" i="39"/>
  <c r="AK84" i="39"/>
  <c r="F84" i="39"/>
  <c r="K84" i="39"/>
  <c r="Q84" i="39"/>
  <c r="V84" i="39"/>
  <c r="AA84" i="39"/>
  <c r="AG84" i="39"/>
  <c r="AL84" i="39"/>
  <c r="R84" i="39"/>
  <c r="M84" i="39"/>
  <c r="W84" i="39"/>
  <c r="G84" i="39"/>
  <c r="AC84" i="39"/>
  <c r="AH84" i="39"/>
  <c r="AM49" i="39"/>
  <c r="AM50" i="39"/>
  <c r="AM51" i="39"/>
  <c r="AM52" i="39"/>
  <c r="AM53" i="39"/>
  <c r="AM54" i="39"/>
  <c r="AM55" i="39"/>
  <c r="AM56" i="39"/>
  <c r="AM57" i="39"/>
  <c r="AM58" i="39"/>
  <c r="AM59" i="39"/>
  <c r="AM60" i="39"/>
  <c r="AM61" i="39"/>
  <c r="AM62" i="39"/>
  <c r="AM63" i="39"/>
  <c r="AM64" i="39"/>
  <c r="AM65" i="39"/>
  <c r="AM66" i="39"/>
  <c r="AM67" i="39"/>
  <c r="AM68" i="39"/>
  <c r="AM69" i="39"/>
  <c r="AM70" i="39"/>
  <c r="AM71" i="39"/>
  <c r="AM72" i="39"/>
  <c r="AM73" i="39"/>
  <c r="AM74" i="39"/>
  <c r="B85" i="39"/>
  <c r="AO57" i="30"/>
  <c r="AN189" i="63"/>
  <c r="AN128" i="63"/>
  <c r="AN104" i="63"/>
  <c r="AN177" i="63"/>
  <c r="AN82" i="67" s="1"/>
  <c r="AN152" i="63"/>
  <c r="AN76" i="64" s="1"/>
  <c r="AN143" i="64" s="1"/>
  <c r="AN10" i="63"/>
  <c r="AN11" i="67" s="1"/>
  <c r="AN38" i="63"/>
  <c r="AN305" i="63" s="1"/>
  <c r="AM315" i="63"/>
  <c r="AM306" i="63"/>
  <c r="AM314" i="63"/>
  <c r="AL316" i="63"/>
  <c r="AP42" i="30"/>
  <c r="AO54" i="30"/>
  <c r="AO65" i="30" s="1"/>
  <c r="AO89" i="30" s="1"/>
  <c r="AO110" i="30" s="1"/>
  <c r="AO43" i="30"/>
  <c r="AO56" i="30"/>
  <c r="AP102" i="30"/>
  <c r="AL164" i="47"/>
  <c r="AL180" i="47"/>
  <c r="AL218" i="47"/>
  <c r="AM91" i="47"/>
  <c r="AM16" i="47"/>
  <c r="AM36" i="49"/>
  <c r="AM56" i="49" s="1"/>
  <c r="AM68" i="49"/>
  <c r="AM103" i="49"/>
  <c r="AO81" i="30"/>
  <c r="AO21" i="63" s="1"/>
  <c r="AN21" i="54"/>
  <c r="AN21" i="37"/>
  <c r="AN11" i="37" s="1"/>
  <c r="AN18" i="51"/>
  <c r="AN24" i="49"/>
  <c r="AN16" i="39"/>
  <c r="AN21" i="40"/>
  <c r="AM10" i="52"/>
  <c r="AN223" i="36"/>
  <c r="AN176" i="36"/>
  <c r="AN150" i="36"/>
  <c r="AM83" i="36"/>
  <c r="AN178" i="52"/>
  <c r="AN226" i="52"/>
  <c r="AN130" i="52"/>
  <c r="AM85" i="52"/>
  <c r="AN225" i="53"/>
  <c r="AN201" i="53"/>
  <c r="AN131" i="53"/>
  <c r="AM86" i="53"/>
  <c r="AN198" i="36"/>
  <c r="AN230" i="36"/>
  <c r="AN128" i="36"/>
  <c r="AN102" i="36"/>
  <c r="AM11" i="36"/>
  <c r="AN234" i="52"/>
  <c r="AM11" i="53"/>
  <c r="AN150" i="44"/>
  <c r="AM83" i="44"/>
  <c r="AM11" i="44"/>
  <c r="AN176" i="43"/>
  <c r="AN200" i="52"/>
  <c r="AN179" i="53"/>
  <c r="AN128" i="44"/>
  <c r="AN222" i="43"/>
  <c r="AN198" i="43"/>
  <c r="AN102" i="43"/>
  <c r="AM11" i="43"/>
  <c r="AN104" i="52"/>
  <c r="AN153" i="53"/>
  <c r="AN222" i="44"/>
  <c r="AN176" i="44"/>
  <c r="AN102" i="44"/>
  <c r="AN150" i="43"/>
  <c r="AM83" i="43"/>
  <c r="AN152" i="52"/>
  <c r="AN105" i="53"/>
  <c r="AN198" i="44"/>
  <c r="AN128" i="43"/>
  <c r="AM100" i="40"/>
  <c r="AM33" i="40"/>
  <c r="AM53" i="40" s="1"/>
  <c r="AM65" i="40"/>
  <c r="AL115" i="51"/>
  <c r="AL112" i="39"/>
  <c r="AM11" i="54"/>
  <c r="AO124" i="30"/>
  <c r="AN90" i="49"/>
  <c r="AN87" i="40"/>
  <c r="AN51" i="51"/>
  <c r="AN148" i="51"/>
  <c r="AN144" i="39"/>
  <c r="AN48" i="39"/>
  <c r="E90" i="30"/>
  <c r="E93" i="30" s="1"/>
  <c r="E111" i="30"/>
  <c r="E66" i="30"/>
  <c r="E74" i="30" s="1"/>
  <c r="K55" i="30"/>
  <c r="H225" i="19"/>
  <c r="G225" i="19" s="1"/>
  <c r="F225" i="19" s="1"/>
  <c r="E225" i="19" s="1"/>
  <c r="D225" i="19" s="1"/>
  <c r="Y224" i="19"/>
  <c r="Y260" i="19" s="1"/>
  <c r="E66" i="3"/>
  <c r="E67" i="3"/>
  <c r="E65" i="3"/>
  <c r="AM101" i="64" l="1"/>
  <c r="AM117" i="64" s="1"/>
  <c r="AM168" i="64" s="1"/>
  <c r="AK414" i="47"/>
  <c r="AK432" i="47"/>
  <c r="AL355" i="47"/>
  <c r="AL349" i="47"/>
  <c r="AP77" i="47"/>
  <c r="AN226" i="63"/>
  <c r="AN44" i="67" s="1"/>
  <c r="AM307" i="63"/>
  <c r="AN287" i="63"/>
  <c r="AN133" i="64"/>
  <c r="Y261" i="19"/>
  <c r="Y242" i="19"/>
  <c r="Y231" i="19"/>
  <c r="Y256" i="19"/>
  <c r="Y262" i="19"/>
  <c r="Y245" i="19"/>
  <c r="Y238" i="19"/>
  <c r="Y246" i="19"/>
  <c r="Y259" i="19"/>
  <c r="Y239" i="19"/>
  <c r="Y252" i="19"/>
  <c r="Y251" i="19"/>
  <c r="Y229" i="19"/>
  <c r="Y228" i="19"/>
  <c r="Y247" i="19"/>
  <c r="Y258" i="19"/>
  <c r="Y249" i="19"/>
  <c r="Y255" i="19"/>
  <c r="Y232" i="19"/>
  <c r="Y230" i="19"/>
  <c r="Y236" i="19"/>
  <c r="Y253" i="19"/>
  <c r="Y244" i="19"/>
  <c r="Y264" i="19"/>
  <c r="Y233" i="19"/>
  <c r="Y257" i="19"/>
  <c r="Y235" i="19"/>
  <c r="Y250" i="19"/>
  <c r="Y241" i="19"/>
  <c r="Y263" i="19"/>
  <c r="Y225" i="19"/>
  <c r="Y240" i="19"/>
  <c r="Y237" i="19"/>
  <c r="Y234" i="19"/>
  <c r="Y248" i="19"/>
  <c r="Y226" i="19"/>
  <c r="Y254" i="19"/>
  <c r="Y227" i="19"/>
  <c r="Y265" i="19"/>
  <c r="Y243" i="19"/>
  <c r="B60" i="64"/>
  <c r="AN247" i="63"/>
  <c r="AN149" i="51"/>
  <c r="AN150" i="51"/>
  <c r="AN151" i="51"/>
  <c r="AN152" i="51"/>
  <c r="AN153" i="51"/>
  <c r="AN154" i="51"/>
  <c r="AN155" i="51"/>
  <c r="AN156" i="51"/>
  <c r="AN157" i="51"/>
  <c r="AN158" i="51"/>
  <c r="AN159" i="51"/>
  <c r="AN160" i="51"/>
  <c r="AN161" i="51"/>
  <c r="AN162" i="51"/>
  <c r="AN163" i="51"/>
  <c r="AN164" i="51"/>
  <c r="AN165" i="51"/>
  <c r="AN166" i="51"/>
  <c r="AN167" i="51"/>
  <c r="AN168" i="51"/>
  <c r="AN169" i="51"/>
  <c r="AN170" i="51"/>
  <c r="AN171" i="51"/>
  <c r="AN172" i="51"/>
  <c r="AN173" i="51"/>
  <c r="AN174" i="51"/>
  <c r="AN175" i="51"/>
  <c r="E185" i="51"/>
  <c r="I185" i="51"/>
  <c r="M185" i="51"/>
  <c r="Q185" i="51"/>
  <c r="U185" i="51"/>
  <c r="Y185" i="51"/>
  <c r="AC185" i="51"/>
  <c r="AG185" i="51"/>
  <c r="AK185" i="51"/>
  <c r="F185" i="51"/>
  <c r="J185" i="51"/>
  <c r="N185" i="51"/>
  <c r="R185" i="51"/>
  <c r="V185" i="51"/>
  <c r="Z185" i="51"/>
  <c r="AD185" i="51"/>
  <c r="AH185" i="51"/>
  <c r="AL185" i="51"/>
  <c r="C185" i="51"/>
  <c r="G185" i="51"/>
  <c r="K185" i="51"/>
  <c r="O185" i="51"/>
  <c r="S185" i="51"/>
  <c r="W185" i="51"/>
  <c r="AA185" i="51"/>
  <c r="AE185" i="51"/>
  <c r="AI185" i="51"/>
  <c r="AM185" i="51"/>
  <c r="D185" i="51"/>
  <c r="H185" i="51"/>
  <c r="L185" i="51"/>
  <c r="P185" i="51"/>
  <c r="T185" i="51"/>
  <c r="X185" i="51"/>
  <c r="AB185" i="51"/>
  <c r="AF185" i="51"/>
  <c r="AJ185" i="51"/>
  <c r="AN145" i="39"/>
  <c r="AN146" i="39"/>
  <c r="AN147" i="39"/>
  <c r="AN148" i="39"/>
  <c r="AN149" i="39"/>
  <c r="AN150" i="39"/>
  <c r="AN151" i="39"/>
  <c r="AN152" i="39"/>
  <c r="AN153" i="39"/>
  <c r="AN154" i="39"/>
  <c r="AN155" i="39"/>
  <c r="AN156" i="39"/>
  <c r="AN157" i="39"/>
  <c r="AN158" i="39"/>
  <c r="AN159" i="39"/>
  <c r="AN160" i="39"/>
  <c r="AN161" i="39"/>
  <c r="AN162" i="39"/>
  <c r="AN163" i="39"/>
  <c r="AN164" i="39"/>
  <c r="AN165" i="39"/>
  <c r="AN166" i="39"/>
  <c r="AN167" i="39"/>
  <c r="AN168" i="39"/>
  <c r="AN169" i="39"/>
  <c r="AN170" i="39"/>
  <c r="AN171" i="39"/>
  <c r="B182" i="39"/>
  <c r="D181" i="39"/>
  <c r="H181" i="39"/>
  <c r="L181" i="39"/>
  <c r="P181" i="39"/>
  <c r="T181" i="39"/>
  <c r="X181" i="39"/>
  <c r="AB181" i="39"/>
  <c r="AF181" i="39"/>
  <c r="AJ181" i="39"/>
  <c r="E181" i="39"/>
  <c r="I181" i="39"/>
  <c r="M181" i="39"/>
  <c r="Q181" i="39"/>
  <c r="U181" i="39"/>
  <c r="Y181" i="39"/>
  <c r="AC181" i="39"/>
  <c r="AG181" i="39"/>
  <c r="AK181" i="39"/>
  <c r="C181" i="39"/>
  <c r="K181" i="39"/>
  <c r="S181" i="39"/>
  <c r="AA181" i="39"/>
  <c r="AI181" i="39"/>
  <c r="F181" i="39"/>
  <c r="N181" i="39"/>
  <c r="V181" i="39"/>
  <c r="AD181" i="39"/>
  <c r="AL181" i="39"/>
  <c r="R181" i="39"/>
  <c r="AH181" i="39"/>
  <c r="G181" i="39"/>
  <c r="O181" i="39"/>
  <c r="W181" i="39"/>
  <c r="AE181" i="39"/>
  <c r="AM181" i="39"/>
  <c r="J181" i="39"/>
  <c r="Z181" i="39"/>
  <c r="B186" i="51"/>
  <c r="AN52" i="51"/>
  <c r="AN53" i="51"/>
  <c r="AN54" i="51"/>
  <c r="AN55" i="51"/>
  <c r="AN56" i="51"/>
  <c r="AN57" i="51"/>
  <c r="AN58" i="51"/>
  <c r="AN59" i="51"/>
  <c r="AN60" i="51"/>
  <c r="AN61" i="51"/>
  <c r="AN62" i="51"/>
  <c r="AN63" i="51"/>
  <c r="AN64" i="51"/>
  <c r="AN65" i="51"/>
  <c r="AN66" i="51"/>
  <c r="AN67" i="51"/>
  <c r="AN68" i="51"/>
  <c r="AN69" i="51"/>
  <c r="AN70" i="51"/>
  <c r="AN71" i="51"/>
  <c r="AN72" i="51"/>
  <c r="AN73" i="51"/>
  <c r="AN74" i="51"/>
  <c r="AN75" i="51"/>
  <c r="AN76" i="51"/>
  <c r="AN77" i="51"/>
  <c r="AN78" i="51"/>
  <c r="B89" i="51"/>
  <c r="E88" i="51"/>
  <c r="I88" i="51"/>
  <c r="M88" i="51"/>
  <c r="Q88" i="51"/>
  <c r="U88" i="51"/>
  <c r="Y88" i="51"/>
  <c r="AC88" i="51"/>
  <c r="AG88" i="51"/>
  <c r="AK88" i="51"/>
  <c r="F88" i="51"/>
  <c r="K88" i="51"/>
  <c r="P88" i="51"/>
  <c r="V88" i="51"/>
  <c r="AA88" i="51"/>
  <c r="AF88" i="51"/>
  <c r="AL88" i="51"/>
  <c r="C88" i="51"/>
  <c r="H88" i="51"/>
  <c r="N88" i="51"/>
  <c r="S88" i="51"/>
  <c r="X88" i="51"/>
  <c r="AD88" i="51"/>
  <c r="AI88" i="51"/>
  <c r="G88" i="51"/>
  <c r="L88" i="51"/>
  <c r="R88" i="51"/>
  <c r="W88" i="51"/>
  <c r="AB88" i="51"/>
  <c r="AH88" i="51"/>
  <c r="AM88" i="51"/>
  <c r="O88" i="51"/>
  <c r="AJ88" i="51"/>
  <c r="T88" i="51"/>
  <c r="D88" i="51"/>
  <c r="Z88" i="51"/>
  <c r="J88" i="51"/>
  <c r="AE88" i="51"/>
  <c r="AN49" i="39"/>
  <c r="AN50" i="39"/>
  <c r="AN51" i="39"/>
  <c r="AN52" i="39"/>
  <c r="AN53" i="39"/>
  <c r="AN54" i="39"/>
  <c r="AN55" i="39"/>
  <c r="AN56" i="39"/>
  <c r="AN57" i="39"/>
  <c r="AN58" i="39"/>
  <c r="AN59" i="39"/>
  <c r="AN60" i="39"/>
  <c r="AN61" i="39"/>
  <c r="AN62" i="39"/>
  <c r="AN63" i="39"/>
  <c r="AN64" i="39"/>
  <c r="AN65" i="39"/>
  <c r="AN66" i="39"/>
  <c r="AN67" i="39"/>
  <c r="AN68" i="39"/>
  <c r="AN69" i="39"/>
  <c r="AN70" i="39"/>
  <c r="AN71" i="39"/>
  <c r="AN72" i="39"/>
  <c r="AN73" i="39"/>
  <c r="AN74" i="39"/>
  <c r="AN75" i="39"/>
  <c r="E85" i="39"/>
  <c r="I85" i="39"/>
  <c r="M85" i="39"/>
  <c r="Q85" i="39"/>
  <c r="U85" i="39"/>
  <c r="Y85" i="39"/>
  <c r="AC85" i="39"/>
  <c r="AG85" i="39"/>
  <c r="AK85" i="39"/>
  <c r="F85" i="39"/>
  <c r="K85" i="39"/>
  <c r="P85" i="39"/>
  <c r="V85" i="39"/>
  <c r="AA85" i="39"/>
  <c r="AF85" i="39"/>
  <c r="AL85" i="39"/>
  <c r="G85" i="39"/>
  <c r="L85" i="39"/>
  <c r="R85" i="39"/>
  <c r="W85" i="39"/>
  <c r="AB85" i="39"/>
  <c r="AH85" i="39"/>
  <c r="AM85" i="39"/>
  <c r="C85" i="39"/>
  <c r="H85" i="39"/>
  <c r="N85" i="39"/>
  <c r="S85" i="39"/>
  <c r="X85" i="39"/>
  <c r="AD85" i="39"/>
  <c r="AI85" i="39"/>
  <c r="J85" i="39"/>
  <c r="AE85" i="39"/>
  <c r="D85" i="39"/>
  <c r="O85" i="39"/>
  <c r="AJ85" i="39"/>
  <c r="T85" i="39"/>
  <c r="Z85" i="39"/>
  <c r="B86" i="39"/>
  <c r="AP57" i="30"/>
  <c r="K57" i="64"/>
  <c r="K58" i="64"/>
  <c r="AM316" i="63"/>
  <c r="AN306" i="63"/>
  <c r="AN315" i="63"/>
  <c r="AN314" i="63"/>
  <c r="AO38" i="63"/>
  <c r="AO305" i="63" s="1"/>
  <c r="AP305" i="63" s="1"/>
  <c r="AO177" i="63"/>
  <c r="AO152" i="63"/>
  <c r="AO10" i="63"/>
  <c r="AO11" i="67" s="1"/>
  <c r="AO128" i="63"/>
  <c r="AP128" i="63" s="1"/>
  <c r="AQ128" i="63" s="1"/>
  <c r="AR128" i="63" s="1"/>
  <c r="AS128" i="63" s="1"/>
  <c r="AO104" i="63"/>
  <c r="AP104" i="63" s="1"/>
  <c r="AO189" i="63"/>
  <c r="AP54" i="30"/>
  <c r="AP65" i="30" s="1"/>
  <c r="AP89" i="30" s="1"/>
  <c r="AP110" i="30" s="1"/>
  <c r="AQ42" i="30"/>
  <c r="AP43" i="30"/>
  <c r="AP56" i="30"/>
  <c r="AQ102" i="30"/>
  <c r="AM115" i="51"/>
  <c r="AM112" i="39"/>
  <c r="AM218" i="47"/>
  <c r="AM164" i="47"/>
  <c r="AM180" i="47"/>
  <c r="AO234" i="52"/>
  <c r="AO200" i="52"/>
  <c r="AO104" i="52"/>
  <c r="AO152" i="52"/>
  <c r="AO179" i="53"/>
  <c r="AO153" i="53"/>
  <c r="AO105" i="53"/>
  <c r="AN11" i="53"/>
  <c r="AN10" i="52"/>
  <c r="AO223" i="36"/>
  <c r="AO176" i="36"/>
  <c r="AO150" i="36"/>
  <c r="AN83" i="36"/>
  <c r="AO178" i="52"/>
  <c r="AO226" i="52"/>
  <c r="AO130" i="52"/>
  <c r="AN85" i="52"/>
  <c r="AO225" i="53"/>
  <c r="AO201" i="53"/>
  <c r="AO131" i="53"/>
  <c r="AN86" i="53"/>
  <c r="AO198" i="36"/>
  <c r="AO198" i="44"/>
  <c r="AO128" i="43"/>
  <c r="AO128" i="36"/>
  <c r="AN11" i="36"/>
  <c r="AO150" i="44"/>
  <c r="AN83" i="44"/>
  <c r="AN11" i="44"/>
  <c r="AO176" i="43"/>
  <c r="AO102" i="36"/>
  <c r="AO128" i="44"/>
  <c r="AO222" i="43"/>
  <c r="AO198" i="43"/>
  <c r="AO102" i="43"/>
  <c r="AN11" i="43"/>
  <c r="AO230" i="36"/>
  <c r="AO222" i="44"/>
  <c r="AO176" i="44"/>
  <c r="AO102" i="44"/>
  <c r="AO150" i="43"/>
  <c r="AN83" i="43"/>
  <c r="AN100" i="40"/>
  <c r="AN33" i="40"/>
  <c r="AN53" i="40" s="1"/>
  <c r="AN65" i="40"/>
  <c r="AP124" i="30"/>
  <c r="AO90" i="49"/>
  <c r="AO87" i="40"/>
  <c r="AN11" i="54"/>
  <c r="AN91" i="47"/>
  <c r="AN16" i="47"/>
  <c r="AN36" i="49"/>
  <c r="AN56" i="49" s="1"/>
  <c r="AN68" i="49"/>
  <c r="AN103" i="49"/>
  <c r="AP81" i="30"/>
  <c r="AO21" i="54"/>
  <c r="AO21" i="37"/>
  <c r="AO11" i="37" s="1"/>
  <c r="AO18" i="51"/>
  <c r="AO24" i="49"/>
  <c r="AO16" i="47" s="1"/>
  <c r="AO16" i="39"/>
  <c r="AO21" i="40"/>
  <c r="AO85" i="52" s="1"/>
  <c r="AO51" i="51"/>
  <c r="AO148" i="51"/>
  <c r="AO144" i="39"/>
  <c r="AO48" i="39"/>
  <c r="H29" i="53"/>
  <c r="H28" i="52"/>
  <c r="H28" i="53"/>
  <c r="H27" i="52"/>
  <c r="H33" i="53"/>
  <c r="H32" i="52"/>
  <c r="E114" i="30"/>
  <c r="E117" i="30"/>
  <c r="E113" i="30"/>
  <c r="E115" i="30" s="1"/>
  <c r="E92" i="30"/>
  <c r="E94" i="30" s="1"/>
  <c r="F90" i="30" s="1"/>
  <c r="E96" i="30"/>
  <c r="E68" i="30"/>
  <c r="E70" i="30" s="1"/>
  <c r="E69" i="30"/>
  <c r="H28" i="43"/>
  <c r="H28" i="44"/>
  <c r="H33" i="44"/>
  <c r="H33" i="43"/>
  <c r="H29" i="36"/>
  <c r="H29" i="44"/>
  <c r="H29" i="43"/>
  <c r="H33" i="36"/>
  <c r="H28" i="36"/>
  <c r="L55" i="30"/>
  <c r="Z224" i="19"/>
  <c r="Z260" i="19" s="1"/>
  <c r="C75" i="19"/>
  <c r="C123" i="19"/>
  <c r="K125" i="19" s="1"/>
  <c r="AO101" i="64" l="1"/>
  <c r="AO117" i="64" s="1"/>
  <c r="AO168" i="64" s="1"/>
  <c r="AN101" i="64"/>
  <c r="AN117" i="64" s="1"/>
  <c r="AN168" i="64" s="1"/>
  <c r="AL414" i="47"/>
  <c r="AL432" i="47"/>
  <c r="AM355" i="47"/>
  <c r="AM349" i="47"/>
  <c r="AQ77" i="47"/>
  <c r="AQ104" i="63"/>
  <c r="AP226" i="63"/>
  <c r="AP44" i="67" s="1"/>
  <c r="AO82" i="67"/>
  <c r="AP177" i="63"/>
  <c r="AO76" i="64"/>
  <c r="AO143" i="64" s="1"/>
  <c r="AP152" i="63"/>
  <c r="AQ152" i="63" s="1"/>
  <c r="AR152" i="63" s="1"/>
  <c r="AS152" i="63" s="1"/>
  <c r="AQ305" i="63"/>
  <c r="AP306" i="63"/>
  <c r="AP307" i="63" s="1"/>
  <c r="K59" i="64"/>
  <c r="AO226" i="63"/>
  <c r="AO287" i="63"/>
  <c r="AO133" i="64"/>
  <c r="AN307" i="63"/>
  <c r="K56" i="64"/>
  <c r="Z265" i="19"/>
  <c r="Z248" i="19"/>
  <c r="Z225" i="19"/>
  <c r="Z235" i="19"/>
  <c r="Z244" i="19"/>
  <c r="Z232" i="19"/>
  <c r="Z247" i="19"/>
  <c r="Z252" i="19"/>
  <c r="Z238" i="19"/>
  <c r="Z231" i="19"/>
  <c r="Z227" i="19"/>
  <c r="Z234" i="19"/>
  <c r="Z263" i="19"/>
  <c r="Z257" i="19"/>
  <c r="Z253" i="19"/>
  <c r="Z255" i="19"/>
  <c r="Z228" i="19"/>
  <c r="Z239" i="19"/>
  <c r="Z245" i="19"/>
  <c r="Z242" i="19"/>
  <c r="Z254" i="19"/>
  <c r="Z237" i="19"/>
  <c r="Z241" i="19"/>
  <c r="Z233" i="19"/>
  <c r="Z236" i="19"/>
  <c r="Z249" i="19"/>
  <c r="Z229" i="19"/>
  <c r="Z259" i="19"/>
  <c r="Z262" i="19"/>
  <c r="Z261" i="19"/>
  <c r="AX80" i="19"/>
  <c r="AU115" i="19"/>
  <c r="AY106" i="19"/>
  <c r="AY98" i="19"/>
  <c r="AY90" i="19"/>
  <c r="BA102" i="19"/>
  <c r="AX114" i="19"/>
  <c r="AY108" i="19"/>
  <c r="AU104" i="19"/>
  <c r="AY114" i="19"/>
  <c r="AX106" i="19"/>
  <c r="AX98" i="19"/>
  <c r="AX90" i="19"/>
  <c r="AY92" i="19"/>
  <c r="AU84" i="19"/>
  <c r="BC115" i="19"/>
  <c r="BA104" i="19"/>
  <c r="AT104" i="19"/>
  <c r="AV102" i="19"/>
  <c r="AX100" i="19"/>
  <c r="AX92" i="19"/>
  <c r="AX84" i="19"/>
  <c r="BC99" i="19"/>
  <c r="AS105" i="19"/>
  <c r="AX78" i="19"/>
  <c r="AY103" i="19"/>
  <c r="BB90" i="19"/>
  <c r="AZ95" i="19"/>
  <c r="AV114" i="19"/>
  <c r="AZ102" i="19"/>
  <c r="AY91" i="19"/>
  <c r="AW110" i="19"/>
  <c r="AV110" i="19"/>
  <c r="AU99" i="19"/>
  <c r="AV84" i="19"/>
  <c r="BA114" i="19"/>
  <c r="AY107" i="19"/>
  <c r="AZ99" i="19"/>
  <c r="AV91" i="19"/>
  <c r="AU85" i="19"/>
  <c r="BC89" i="19"/>
  <c r="AW116" i="19"/>
  <c r="AZ113" i="19"/>
  <c r="AS112" i="19"/>
  <c r="AX107" i="19"/>
  <c r="AR105" i="19"/>
  <c r="AT103" i="19"/>
  <c r="AS100" i="19"/>
  <c r="AZ97" i="19"/>
  <c r="AX95" i="19"/>
  <c r="AX91" i="19"/>
  <c r="AX79" i="19"/>
  <c r="BC113" i="19"/>
  <c r="AT80" i="19"/>
  <c r="AU106" i="19"/>
  <c r="AU98" i="19"/>
  <c r="AU90" i="19"/>
  <c r="BA106" i="19"/>
  <c r="BA98" i="19"/>
  <c r="AT114" i="19"/>
  <c r="AU108" i="19"/>
  <c r="AU114" i="19"/>
  <c r="AT106" i="19"/>
  <c r="AT98" i="19"/>
  <c r="AT90" i="19"/>
  <c r="AY96" i="19"/>
  <c r="AU92" i="19"/>
  <c r="AX86" i="19"/>
  <c r="BA108" i="19"/>
  <c r="BA92" i="19"/>
  <c r="AY100" i="19"/>
  <c r="AT100" i="19"/>
  <c r="AX96" i="19"/>
  <c r="AV94" i="19"/>
  <c r="AT92" i="19"/>
  <c r="AT84" i="19"/>
  <c r="BC91" i="19"/>
  <c r="AT78" i="19"/>
  <c r="BB111" i="19"/>
  <c r="BC104" i="19"/>
  <c r="BA110" i="19"/>
  <c r="BB98" i="19"/>
  <c r="AT101" i="19"/>
  <c r="AS109" i="19"/>
  <c r="BB97" i="19"/>
  <c r="AS114" i="19"/>
  <c r="AT105" i="19"/>
  <c r="AZ98" i="19"/>
  <c r="AZ78" i="19"/>
  <c r="AX116" i="19"/>
  <c r="AY110" i="19"/>
  <c r="AY102" i="19"/>
  <c r="AY94" i="19"/>
  <c r="BB95" i="19"/>
  <c r="AX110" i="19"/>
  <c r="AX102" i="19"/>
  <c r="AX94" i="19"/>
  <c r="AY86" i="19"/>
  <c r="AU96" i="19"/>
  <c r="AT86" i="19"/>
  <c r="BA96" i="19"/>
  <c r="AU100" i="19"/>
  <c r="AY116" i="19"/>
  <c r="AX108" i="19"/>
  <c r="AT96" i="19"/>
  <c r="BC107" i="19"/>
  <c r="AW114" i="19"/>
  <c r="AV98" i="19"/>
  <c r="AZ114" i="19"/>
  <c r="AR107" i="19"/>
  <c r="AR110" i="19"/>
  <c r="BA97" i="19"/>
  <c r="AX93" i="19"/>
  <c r="AR106" i="19"/>
  <c r="AU95" i="19"/>
  <c r="AZ110" i="19"/>
  <c r="AZ103" i="19"/>
  <c r="AW97" i="19"/>
  <c r="BC108" i="19"/>
  <c r="AW80" i="19"/>
  <c r="AV117" i="19"/>
  <c r="AX115" i="19"/>
  <c r="AR113" i="19"/>
  <c r="AT111" i="19"/>
  <c r="AW108" i="19"/>
  <c r="AZ105" i="19"/>
  <c r="AS104" i="19"/>
  <c r="AR101" i="19"/>
  <c r="AX99" i="19"/>
  <c r="AR97" i="19"/>
  <c r="AT95" i="19"/>
  <c r="AW92" i="19"/>
  <c r="AZ89" i="19"/>
  <c r="BB116" i="19"/>
  <c r="AT116" i="19"/>
  <c r="AU110" i="19"/>
  <c r="AU102" i="19"/>
  <c r="AU94" i="19"/>
  <c r="BB103" i="19"/>
  <c r="BA94" i="19"/>
  <c r="AY104" i="19"/>
  <c r="AT110" i="19"/>
  <c r="AT102" i="19"/>
  <c r="AT94" i="19"/>
  <c r="AU86" i="19"/>
  <c r="AY84" i="19"/>
  <c r="BA100" i="19"/>
  <c r="AY118" i="19"/>
  <c r="AU116" i="19"/>
  <c r="AY111" i="19"/>
  <c r="AT108" i="19"/>
  <c r="AV106" i="19"/>
  <c r="AV99" i="19"/>
  <c r="AR95" i="19"/>
  <c r="AS93" i="19"/>
  <c r="BA93" i="19"/>
  <c r="AU93" i="19"/>
  <c r="AT83" i="19"/>
  <c r="AV105" i="19"/>
  <c r="AV101" i="19"/>
  <c r="AY113" i="19"/>
  <c r="AR108" i="19"/>
  <c r="AU105" i="19"/>
  <c r="AW103" i="19"/>
  <c r="AZ100" i="19"/>
  <c r="AS99" i="19"/>
  <c r="AV96" i="19"/>
  <c r="AR92" i="19"/>
  <c r="BB84" i="19"/>
  <c r="BA84" i="19"/>
  <c r="AS110" i="19"/>
  <c r="AS106" i="19"/>
  <c r="AS102" i="19"/>
  <c r="AX104" i="19"/>
  <c r="AR114" i="19"/>
  <c r="AV109" i="19"/>
  <c r="AU117" i="19"/>
  <c r="AR116" i="19"/>
  <c r="AU113" i="19"/>
  <c r="AU109" i="19"/>
  <c r="AW107" i="19"/>
  <c r="AZ104" i="19"/>
  <c r="AS103" i="19"/>
  <c r="AV100" i="19"/>
  <c r="AY97" i="19"/>
  <c r="AR96" i="19"/>
  <c r="AW91" i="19"/>
  <c r="AT79" i="19"/>
  <c r="BC109" i="19"/>
  <c r="BA107" i="19"/>
  <c r="BB104" i="19"/>
  <c r="BC101" i="19"/>
  <c r="BA99" i="19"/>
  <c r="BB96" i="19"/>
  <c r="BC93" i="19"/>
  <c r="BA91" i="19"/>
  <c r="AZ117" i="19"/>
  <c r="AS116" i="19"/>
  <c r="AV113" i="19"/>
  <c r="AZ109" i="19"/>
  <c r="AS108" i="19"/>
  <c r="AX103" i="19"/>
  <c r="AT99" i="19"/>
  <c r="AW96" i="19"/>
  <c r="AZ93" i="19"/>
  <c r="AS92" i="19"/>
  <c r="AZ84" i="19"/>
  <c r="BC117" i="19"/>
  <c r="BB88" i="19"/>
  <c r="AV104" i="19"/>
  <c r="AS91" i="19"/>
  <c r="AR81" i="19"/>
  <c r="AW117" i="19"/>
  <c r="AY115" i="19"/>
  <c r="AW84" i="19"/>
  <c r="BB80" i="19"/>
  <c r="BB89" i="19"/>
  <c r="BB115" i="19"/>
  <c r="AX109" i="19"/>
  <c r="AZ116" i="19"/>
  <c r="AV108" i="19"/>
  <c r="BB79" i="19"/>
  <c r="AV97" i="19"/>
  <c r="AT91" i="19"/>
  <c r="AY117" i="19"/>
  <c r="AW115" i="19"/>
  <c r="AW111" i="19"/>
  <c r="AZ108" i="19"/>
  <c r="AS107" i="19"/>
  <c r="AY101" i="19"/>
  <c r="AR100" i="19"/>
  <c r="AU97" i="19"/>
  <c r="AW95" i="19"/>
  <c r="AZ92" i="19"/>
  <c r="BC114" i="19"/>
  <c r="AW106" i="19"/>
  <c r="AW102" i="19"/>
  <c r="AW98" i="19"/>
  <c r="AW94" i="19"/>
  <c r="AW90" i="19"/>
  <c r="AS86" i="19"/>
  <c r="BA116" i="19"/>
  <c r="BB113" i="19"/>
  <c r="AV111" i="19"/>
  <c r="BB106" i="19"/>
  <c r="AR102" i="19"/>
  <c r="AT97" i="19"/>
  <c r="AU91" i="19"/>
  <c r="BC103" i="19"/>
  <c r="BB78" i="19"/>
  <c r="AW109" i="19"/>
  <c r="AX105" i="19"/>
  <c r="AU103" i="19"/>
  <c r="BA101" i="19"/>
  <c r="AV93" i="19"/>
  <c r="AS115" i="19"/>
  <c r="AS111" i="19"/>
  <c r="AY105" i="19"/>
  <c r="AR104" i="19"/>
  <c r="AU101" i="19"/>
  <c r="AW99" i="19"/>
  <c r="AZ96" i="19"/>
  <c r="AS95" i="19"/>
  <c r="AV92" i="19"/>
  <c r="AR88" i="19"/>
  <c r="BA111" i="19"/>
  <c r="BB108" i="19"/>
  <c r="BC105" i="19"/>
  <c r="BA103" i="19"/>
  <c r="BB100" i="19"/>
  <c r="BC97" i="19"/>
  <c r="BA95" i="19"/>
  <c r="BB92" i="19"/>
  <c r="AR117" i="19"/>
  <c r="AT115" i="19"/>
  <c r="AX111" i="19"/>
  <c r="AR109" i="19"/>
  <c r="AT107" i="19"/>
  <c r="AW104" i="19"/>
  <c r="AZ101" i="19"/>
  <c r="AW100" i="19"/>
  <c r="AS96" i="19"/>
  <c r="AR93" i="19"/>
  <c r="AV81" i="19"/>
  <c r="BA115" i="19"/>
  <c r="AV116" i="19"/>
  <c r="AY109" i="19"/>
  <c r="AY93" i="19"/>
  <c r="AR118" i="19"/>
  <c r="AS117" i="19"/>
  <c r="AS84" i="19"/>
  <c r="BB109" i="19"/>
  <c r="BC111" i="19"/>
  <c r="BB117" i="19"/>
  <c r="AZ115" i="19"/>
  <c r="AX113" i="19"/>
  <c r="AR111" i="19"/>
  <c r="BB105" i="19"/>
  <c r="AX101" i="19"/>
  <c r="AY95" i="19"/>
  <c r="BB86" i="19"/>
  <c r="BC92" i="19"/>
  <c r="AS78" i="19"/>
  <c r="AR115" i="19"/>
  <c r="AV107" i="19"/>
  <c r="AY99" i="19"/>
  <c r="AW78" i="19"/>
  <c r="AR94" i="19"/>
  <c r="AV90" i="19"/>
  <c r="AV86" i="19"/>
  <c r="AV78" i="19"/>
  <c r="BB107" i="19"/>
  <c r="BB99" i="19"/>
  <c r="BB91" i="19"/>
  <c r="BB114" i="19"/>
  <c r="AU111" i="19"/>
  <c r="AU107" i="19"/>
  <c r="BB102" i="19"/>
  <c r="AR98" i="19"/>
  <c r="BB93" i="19"/>
  <c r="AR78" i="19"/>
  <c r="BC110" i="19"/>
  <c r="BC94" i="19"/>
  <c r="AU78" i="19"/>
  <c r="AS94" i="19"/>
  <c r="AX117" i="19"/>
  <c r="AT113" i="19"/>
  <c r="AW105" i="19"/>
  <c r="BB94" i="19"/>
  <c r="BA86" i="19"/>
  <c r="BA113" i="19"/>
  <c r="BB110" i="19"/>
  <c r="AZ106" i="19"/>
  <c r="BB101" i="19"/>
  <c r="AX97" i="19"/>
  <c r="AT93" i="19"/>
  <c r="BC78" i="19"/>
  <c r="AW86" i="19"/>
  <c r="AT117" i="19"/>
  <c r="AZ111" i="19"/>
  <c r="AR103" i="19"/>
  <c r="AW93" i="19"/>
  <c r="AZ94" i="19"/>
  <c r="AZ90" i="19"/>
  <c r="AR90" i="19"/>
  <c r="AZ86" i="19"/>
  <c r="AR86" i="19"/>
  <c r="BC116" i="19"/>
  <c r="BC100" i="19"/>
  <c r="BC96" i="19"/>
  <c r="BA90" i="19"/>
  <c r="BA78" i="19"/>
  <c r="AW113" i="19"/>
  <c r="AT109" i="19"/>
  <c r="BA105" i="19"/>
  <c r="AW101" i="19"/>
  <c r="AS97" i="19"/>
  <c r="AZ91" i="19"/>
  <c r="BC102" i="19"/>
  <c r="BC86" i="19"/>
  <c r="AS98" i="19"/>
  <c r="AS90" i="19"/>
  <c r="BC95" i="19"/>
  <c r="AV115" i="19"/>
  <c r="BA109" i="19"/>
  <c r="AS101" i="19"/>
  <c r="AR84" i="19"/>
  <c r="BC84" i="19"/>
  <c r="BA117" i="19"/>
  <c r="AS113" i="19"/>
  <c r="AZ107" i="19"/>
  <c r="AV103" i="19"/>
  <c r="AR99" i="19"/>
  <c r="AV95" i="19"/>
  <c r="AR91" i="19"/>
  <c r="BC98" i="19"/>
  <c r="BC90" i="19"/>
  <c r="AY78" i="19"/>
  <c r="BC106" i="19"/>
  <c r="AX88" i="19"/>
  <c r="AY112" i="19"/>
  <c r="AY79" i="19"/>
  <c r="AX118" i="19"/>
  <c r="AT118" i="19"/>
  <c r="AZ112" i="19"/>
  <c r="AR112" i="19"/>
  <c r="AY89" i="19"/>
  <c r="AT87" i="19"/>
  <c r="BB112" i="19"/>
  <c r="BA81" i="19"/>
  <c r="AU79" i="19"/>
  <c r="AU89" i="19"/>
  <c r="BC79" i="19"/>
  <c r="AU87" i="19"/>
  <c r="AW85" i="19"/>
  <c r="AR79" i="19"/>
  <c r="AZ87" i="19"/>
  <c r="AS85" i="19"/>
  <c r="AT89" i="19"/>
  <c r="BC85" i="19"/>
  <c r="AV80" i="19"/>
  <c r="AS82" i="19"/>
  <c r="AS83" i="19"/>
  <c r="AX85" i="19"/>
  <c r="AZ85" i="19"/>
  <c r="BC112" i="19"/>
  <c r="AW118" i="19"/>
  <c r="AR80" i="19"/>
  <c r="AV79" i="19"/>
  <c r="AS118" i="19"/>
  <c r="BA80" i="19"/>
  <c r="AX83" i="19"/>
  <c r="AV89" i="19"/>
  <c r="AX112" i="19"/>
  <c r="AU88" i="19"/>
  <c r="AU118" i="19"/>
  <c r="AU82" i="19"/>
  <c r="AX87" i="19"/>
  <c r="AR89" i="19"/>
  <c r="AV118" i="19"/>
  <c r="BC82" i="19"/>
  <c r="AV85" i="19"/>
  <c r="AT81" i="19"/>
  <c r="BC87" i="19"/>
  <c r="AW82" i="19"/>
  <c r="AV82" i="19"/>
  <c r="AV88" i="19"/>
  <c r="AY87" i="19"/>
  <c r="AR83" i="19"/>
  <c r="AS89" i="19"/>
  <c r="BB87" i="19"/>
  <c r="BA79" i="19"/>
  <c r="BB83" i="19"/>
  <c r="AX89" i="19"/>
  <c r="BC80" i="19"/>
  <c r="AW83" i="19"/>
  <c r="AV87" i="19"/>
  <c r="BA118" i="19"/>
  <c r="AV112" i="19"/>
  <c r="AY88" i="19"/>
  <c r="AU80" i="19"/>
  <c r="AS88" i="19"/>
  <c r="AZ88" i="19"/>
  <c r="AY85" i="19"/>
  <c r="BB82" i="19"/>
  <c r="BC88" i="19"/>
  <c r="BC83" i="19"/>
  <c r="AZ80" i="19"/>
  <c r="AT85" i="19"/>
  <c r="AX81" i="19"/>
  <c r="AY81" i="19"/>
  <c r="AT88" i="19"/>
  <c r="AU112" i="19"/>
  <c r="AY82" i="19"/>
  <c r="AX82" i="19"/>
  <c r="AT82" i="19"/>
  <c r="AZ118" i="19"/>
  <c r="BB85" i="19"/>
  <c r="BB81" i="19"/>
  <c r="BA87" i="19"/>
  <c r="AR85" i="19"/>
  <c r="BC118" i="19"/>
  <c r="AU81" i="19"/>
  <c r="AY83" i="19"/>
  <c r="AW79" i="19"/>
  <c r="AW112" i="19"/>
  <c r="AV83" i="19"/>
  <c r="AS79" i="19"/>
  <c r="BA82" i="19"/>
  <c r="AZ81" i="19"/>
  <c r="AW88" i="19"/>
  <c r="AZ79" i="19"/>
  <c r="BA112" i="19"/>
  <c r="BA83" i="19"/>
  <c r="AS80" i="19"/>
  <c r="AU83" i="19"/>
  <c r="AW81" i="19"/>
  <c r="AR82" i="19"/>
  <c r="AZ83" i="19"/>
  <c r="AS81" i="19"/>
  <c r="BA85" i="19"/>
  <c r="AT112" i="19"/>
  <c r="AY80" i="19"/>
  <c r="AW87" i="19"/>
  <c r="AR87" i="19"/>
  <c r="BB118" i="19"/>
  <c r="AW89" i="19"/>
  <c r="BA88" i="19"/>
  <c r="AS87" i="19"/>
  <c r="BA89" i="19"/>
  <c r="BC81" i="19"/>
  <c r="AZ82" i="19"/>
  <c r="AK117" i="19"/>
  <c r="AM115" i="19"/>
  <c r="AP107" i="19"/>
  <c r="AI106" i="19"/>
  <c r="AL103" i="19"/>
  <c r="AN101" i="19"/>
  <c r="AM94" i="19"/>
  <c r="AP91" i="19"/>
  <c r="AI90" i="19"/>
  <c r="AH78" i="19"/>
  <c r="AJ117" i="19"/>
  <c r="AH110" i="19"/>
  <c r="AJ108" i="19"/>
  <c r="AJ104" i="19"/>
  <c r="AI86" i="19"/>
  <c r="AI108" i="19"/>
  <c r="AI92" i="19"/>
  <c r="AL86" i="19"/>
  <c r="AN78" i="19"/>
  <c r="AQ104" i="19"/>
  <c r="AM103" i="19"/>
  <c r="AO101" i="19"/>
  <c r="AM95" i="19"/>
  <c r="AO93" i="19"/>
  <c r="AH84" i="19"/>
  <c r="AQ111" i="19"/>
  <c r="AQ95" i="19"/>
  <c r="AN115" i="19"/>
  <c r="AQ103" i="19"/>
  <c r="AH107" i="19"/>
  <c r="AQ99" i="19"/>
  <c r="AN95" i="19"/>
  <c r="AJ111" i="19"/>
  <c r="AN103" i="19"/>
  <c r="AJ95" i="19"/>
  <c r="AH101" i="19"/>
  <c r="AP110" i="19"/>
  <c r="AM101" i="19"/>
  <c r="AI93" i="19"/>
  <c r="AN81" i="19"/>
  <c r="AM113" i="19"/>
  <c r="AI99" i="19"/>
  <c r="AK109" i="19"/>
  <c r="AQ78" i="19"/>
  <c r="AJ114" i="19"/>
  <c r="AN96" i="19"/>
  <c r="AM117" i="19"/>
  <c r="AO109" i="19"/>
  <c r="AN105" i="19"/>
  <c r="AL94" i="19"/>
  <c r="AJ106" i="19"/>
  <c r="AL92" i="19"/>
  <c r="AN84" i="19"/>
  <c r="AQ105" i="19"/>
  <c r="AQ114" i="19"/>
  <c r="AH108" i="19"/>
  <c r="AJ94" i="19"/>
  <c r="AL113" i="19"/>
  <c r="AL105" i="19"/>
  <c r="AP97" i="19"/>
  <c r="AN110" i="19"/>
  <c r="AL91" i="19"/>
  <c r="AN112" i="19"/>
  <c r="AO114" i="19"/>
  <c r="AK106" i="19"/>
  <c r="AK98" i="19"/>
  <c r="AK90" i="19"/>
  <c r="AK78" i="19"/>
  <c r="AO111" i="19"/>
  <c r="AP116" i="19"/>
  <c r="AP111" i="19"/>
  <c r="AL107" i="19"/>
  <c r="AH103" i="19"/>
  <c r="AJ101" i="19"/>
  <c r="AM98" i="19"/>
  <c r="AI94" i="19"/>
  <c r="AJ86" i="19"/>
  <c r="AQ115" i="19"/>
  <c r="AP115" i="19"/>
  <c r="AH102" i="19"/>
  <c r="AJ100" i="19"/>
  <c r="AN92" i="19"/>
  <c r="AP90" i="19"/>
  <c r="AJ84" i="19"/>
  <c r="AI96" i="19"/>
  <c r="AN91" i="19"/>
  <c r="AH86" i="19"/>
  <c r="AQ100" i="19"/>
  <c r="AL80" i="19"/>
  <c r="AK105" i="19"/>
  <c r="AI103" i="19"/>
  <c r="AK101" i="19"/>
  <c r="AM99" i="19"/>
  <c r="AI95" i="19"/>
  <c r="AK93" i="19"/>
  <c r="AQ91" i="19"/>
  <c r="AM108" i="19"/>
  <c r="AI100" i="19"/>
  <c r="AH98" i="19"/>
  <c r="AH109" i="19"/>
  <c r="AP101" i="19"/>
  <c r="AL93" i="19"/>
  <c r="AJ96" i="19"/>
  <c r="AN108" i="19"/>
  <c r="AM100" i="19"/>
  <c r="AM84" i="19"/>
  <c r="AH96" i="19"/>
  <c r="AJ90" i="19"/>
  <c r="AI111" i="19"/>
  <c r="AK97" i="19"/>
  <c r="AO105" i="19"/>
  <c r="AL106" i="19"/>
  <c r="AI105" i="19"/>
  <c r="AP98" i="19"/>
  <c r="AM97" i="19"/>
  <c r="AP81" i="19"/>
  <c r="AL116" i="19"/>
  <c r="AN114" i="19"/>
  <c r="AN109" i="19"/>
  <c r="AM102" i="19"/>
  <c r="AP99" i="19"/>
  <c r="AL95" i="19"/>
  <c r="AN93" i="19"/>
  <c r="AH91" i="19"/>
  <c r="AP78" i="19"/>
  <c r="AM111" i="19"/>
  <c r="AN113" i="19"/>
  <c r="AH94" i="19"/>
  <c r="AL90" i="19"/>
  <c r="AQ96" i="19"/>
  <c r="AP108" i="19"/>
  <c r="AI107" i="19"/>
  <c r="AN102" i="19"/>
  <c r="AP100" i="19"/>
  <c r="AP96" i="19"/>
  <c r="AN94" i="19"/>
  <c r="AH92" i="19"/>
  <c r="AP84" i="19"/>
  <c r="AI78" i="19"/>
  <c r="AP95" i="19"/>
  <c r="AL101" i="19"/>
  <c r="AL117" i="19"/>
  <c r="AQ86" i="19"/>
  <c r="AP109" i="19"/>
  <c r="AM116" i="19"/>
  <c r="AP94" i="19"/>
  <c r="AL109" i="19"/>
  <c r="AH116" i="19"/>
  <c r="AQ107" i="19"/>
  <c r="AN100" i="19"/>
  <c r="AM114" i="19"/>
  <c r="AL115" i="19"/>
  <c r="AP93" i="19"/>
  <c r="AP117" i="19"/>
  <c r="AN107" i="19"/>
  <c r="AI98" i="19"/>
  <c r="AQ97" i="19"/>
  <c r="AQ109" i="19"/>
  <c r="AL96" i="19"/>
  <c r="AI117" i="19"/>
  <c r="AJ97" i="19"/>
  <c r="AM105" i="19"/>
  <c r="AL111" i="19"/>
  <c r="AM107" i="19"/>
  <c r="AJ102" i="19"/>
  <c r="AM91" i="19"/>
  <c r="AP114" i="19"/>
  <c r="AJ98" i="19"/>
  <c r="AI113" i="19"/>
  <c r="AQ101" i="19"/>
  <c r="AJ115" i="19"/>
  <c r="AJ107" i="19"/>
  <c r="AM104" i="19"/>
  <c r="AH97" i="19"/>
  <c r="AQ110" i="19"/>
  <c r="AQ92" i="19"/>
  <c r="AN90" i="19"/>
  <c r="AK110" i="19"/>
  <c r="AK102" i="19"/>
  <c r="AK94" i="19"/>
  <c r="AK86" i="19"/>
  <c r="AO115" i="19"/>
  <c r="AO107" i="19"/>
  <c r="AH111" i="19"/>
  <c r="AI102" i="19"/>
  <c r="AJ93" i="19"/>
  <c r="AL110" i="19"/>
  <c r="AJ116" i="19"/>
  <c r="AI84" i="19"/>
  <c r="AI116" i="19"/>
  <c r="AJ105" i="19"/>
  <c r="AH117" i="19"/>
  <c r="AQ93" i="19"/>
  <c r="AQ113" i="19"/>
  <c r="AN104" i="19"/>
  <c r="AL114" i="19"/>
  <c r="AP104" i="19"/>
  <c r="AJ78" i="19"/>
  <c r="AM109" i="19"/>
  <c r="AP113" i="19"/>
  <c r="AJ99" i="19"/>
  <c r="AJ110" i="19"/>
  <c r="AJ91" i="19"/>
  <c r="AM90" i="19"/>
  <c r="AO106" i="19"/>
  <c r="AO90" i="19"/>
  <c r="AK115" i="19"/>
  <c r="AK103" i="19"/>
  <c r="AK95" i="19"/>
  <c r="AO79" i="19"/>
  <c r="AO108" i="19"/>
  <c r="AO100" i="19"/>
  <c r="AO92" i="19"/>
  <c r="AO102" i="19"/>
  <c r="AO99" i="19"/>
  <c r="AK79" i="19"/>
  <c r="AK100" i="19"/>
  <c r="AK107" i="19"/>
  <c r="AO116" i="19"/>
  <c r="AO96" i="19"/>
  <c r="AJ109" i="19"/>
  <c r="AL99" i="19"/>
  <c r="AN117" i="19"/>
  <c r="AH90" i="19"/>
  <c r="AQ108" i="19"/>
  <c r="AL108" i="19"/>
  <c r="AL100" i="19"/>
  <c r="AK113" i="19"/>
  <c r="AN99" i="19"/>
  <c r="AN111" i="19"/>
  <c r="AJ103" i="19"/>
  <c r="AH104" i="19"/>
  <c r="AQ84" i="19"/>
  <c r="AL98" i="19"/>
  <c r="AM110" i="19"/>
  <c r="AO97" i="19"/>
  <c r="AN86" i="19"/>
  <c r="AQ102" i="19"/>
  <c r="AH113" i="19"/>
  <c r="AL97" i="19"/>
  <c r="AI110" i="19"/>
  <c r="AI91" i="19"/>
  <c r="AQ88" i="19"/>
  <c r="AK111" i="19"/>
  <c r="AN97" i="19"/>
  <c r="AL78" i="19"/>
  <c r="AH115" i="19"/>
  <c r="AH106" i="19"/>
  <c r="AM92" i="19"/>
  <c r="AN106" i="19"/>
  <c r="AN98" i="19"/>
  <c r="AL84" i="19"/>
  <c r="AO117" i="19"/>
  <c r="AI104" i="19"/>
  <c r="AP102" i="19"/>
  <c r="AQ94" i="19"/>
  <c r="AP92" i="19"/>
  <c r="AH114" i="19"/>
  <c r="AP106" i="19"/>
  <c r="AI97" i="19"/>
  <c r="AI109" i="19"/>
  <c r="AM93" i="19"/>
  <c r="AQ106" i="19"/>
  <c r="AQ117" i="19"/>
  <c r="AI101" i="19"/>
  <c r="AP105" i="19"/>
  <c r="AM96" i="19"/>
  <c r="AO98" i="19"/>
  <c r="AO78" i="19"/>
  <c r="AK91" i="19"/>
  <c r="AO113" i="19"/>
  <c r="AP103" i="19"/>
  <c r="AH95" i="19"/>
  <c r="AJ113" i="19"/>
  <c r="AH82" i="19"/>
  <c r="AP86" i="19"/>
  <c r="AL104" i="19"/>
  <c r="AQ116" i="19"/>
  <c r="AH93" i="19"/>
  <c r="AL102" i="19"/>
  <c r="AI115" i="19"/>
  <c r="AH100" i="19"/>
  <c r="AM86" i="19"/>
  <c r="AM106" i="19"/>
  <c r="AM78" i="19"/>
  <c r="AN116" i="19"/>
  <c r="AH99" i="19"/>
  <c r="AQ98" i="19"/>
  <c r="AI114" i="19"/>
  <c r="AQ90" i="19"/>
  <c r="AH105" i="19"/>
  <c r="AJ92" i="19"/>
  <c r="AJ79" i="19"/>
  <c r="AO110" i="19"/>
  <c r="AO94" i="19"/>
  <c r="AK114" i="19"/>
  <c r="AO103" i="19"/>
  <c r="AO95" i="19"/>
  <c r="AK87" i="19"/>
  <c r="AK116" i="19"/>
  <c r="AK104" i="19"/>
  <c r="AK96" i="19"/>
  <c r="AK84" i="19"/>
  <c r="AO86" i="19"/>
  <c r="AO91" i="19"/>
  <c r="AK108" i="19"/>
  <c r="AK92" i="19"/>
  <c r="AK99" i="19"/>
  <c r="AO104" i="19"/>
  <c r="AO84" i="19"/>
  <c r="AL81" i="19"/>
  <c r="AH81" i="19"/>
  <c r="AJ85" i="19"/>
  <c r="AI85" i="19"/>
  <c r="AQ83" i="19"/>
  <c r="AJ89" i="19"/>
  <c r="AN89" i="19"/>
  <c r="AN82" i="19"/>
  <c r="AP87" i="19"/>
  <c r="AH112" i="19"/>
  <c r="AH118" i="19"/>
  <c r="AO83" i="19"/>
  <c r="AK88" i="19"/>
  <c r="AI79" i="19"/>
  <c r="AP85" i="19"/>
  <c r="AN118" i="19"/>
  <c r="AL89" i="19"/>
  <c r="AK89" i="19"/>
  <c r="AM81" i="19"/>
  <c r="AO88" i="19"/>
  <c r="AJ87" i="19"/>
  <c r="AK85" i="19"/>
  <c r="AN83" i="19"/>
  <c r="AQ87" i="19"/>
  <c r="AM83" i="19"/>
  <c r="AO85" i="19"/>
  <c r="AP88" i="19"/>
  <c r="AO81" i="19"/>
  <c r="AL88" i="19"/>
  <c r="AH80" i="19"/>
  <c r="AJ80" i="19"/>
  <c r="AP82" i="19"/>
  <c r="AH88" i="19"/>
  <c r="AQ112" i="19"/>
  <c r="AH89" i="19"/>
  <c r="AO89" i="19"/>
  <c r="AJ88" i="19"/>
  <c r="AH79" i="19"/>
  <c r="AQ118" i="19"/>
  <c r="AL118" i="19"/>
  <c r="AJ81" i="19"/>
  <c r="AP89" i="19"/>
  <c r="AN87" i="19"/>
  <c r="AI83" i="19"/>
  <c r="AO112" i="19"/>
  <c r="AM118" i="19"/>
  <c r="AQ85" i="19"/>
  <c r="AN79" i="19"/>
  <c r="AL112" i="19"/>
  <c r="AQ79" i="19"/>
  <c r="AL82" i="19"/>
  <c r="AK81" i="19"/>
  <c r="AM79" i="19"/>
  <c r="AH87" i="19"/>
  <c r="AM85" i="19"/>
  <c r="AO80" i="19"/>
  <c r="AJ118" i="19"/>
  <c r="AH85" i="19"/>
  <c r="AP79" i="19"/>
  <c r="AO118" i="19"/>
  <c r="AK118" i="19"/>
  <c r="AI88" i="19"/>
  <c r="AJ112" i="19"/>
  <c r="AJ82" i="19"/>
  <c r="AP112" i="19"/>
  <c r="AP118" i="19"/>
  <c r="AL79" i="19"/>
  <c r="AM88" i="19"/>
  <c r="AM80" i="19"/>
  <c r="AI82" i="19"/>
  <c r="AI87" i="19"/>
  <c r="AQ81" i="19"/>
  <c r="AN80" i="19"/>
  <c r="AI81" i="19"/>
  <c r="AK83" i="19"/>
  <c r="AM87" i="19"/>
  <c r="AM112" i="19"/>
  <c r="AK80" i="19"/>
  <c r="AM82" i="19"/>
  <c r="AK112" i="19"/>
  <c r="AP80" i="19"/>
  <c r="AQ82" i="19"/>
  <c r="AK82" i="19"/>
  <c r="AO82" i="19"/>
  <c r="AQ89" i="19"/>
  <c r="AL83" i="19"/>
  <c r="AI80" i="19"/>
  <c r="AL87" i="19"/>
  <c r="AP83" i="19"/>
  <c r="AH83" i="19"/>
  <c r="AO87" i="19"/>
  <c r="AL85" i="19"/>
  <c r="AN88" i="19"/>
  <c r="AN85" i="19"/>
  <c r="AI89" i="19"/>
  <c r="AI112" i="19"/>
  <c r="AI118" i="19"/>
  <c r="AQ80" i="19"/>
  <c r="AJ83" i="19"/>
  <c r="AM89" i="19"/>
  <c r="Z243" i="19"/>
  <c r="Z226" i="19"/>
  <c r="Z240" i="19"/>
  <c r="Z250" i="19"/>
  <c r="Z264" i="19"/>
  <c r="Z230" i="19"/>
  <c r="Z258" i="19"/>
  <c r="Z251" i="19"/>
  <c r="Z246" i="19"/>
  <c r="Z256" i="19"/>
  <c r="B61" i="64"/>
  <c r="AO247" i="63"/>
  <c r="AQ57" i="30"/>
  <c r="AP144" i="39"/>
  <c r="AQ144" i="39" s="1"/>
  <c r="AO145" i="39"/>
  <c r="AO146" i="39"/>
  <c r="AO147" i="39"/>
  <c r="AO148" i="39"/>
  <c r="AO149" i="39"/>
  <c r="AO150" i="39"/>
  <c r="AO151" i="39"/>
  <c r="AO152" i="39"/>
  <c r="AO153" i="39"/>
  <c r="AO154" i="39"/>
  <c r="AO155" i="39"/>
  <c r="AO156" i="39"/>
  <c r="AO157" i="39"/>
  <c r="AO158" i="39"/>
  <c r="AO159" i="39"/>
  <c r="AO160" i="39"/>
  <c r="AO161" i="39"/>
  <c r="AO162" i="39"/>
  <c r="AO163" i="39"/>
  <c r="AO164" i="39"/>
  <c r="AO165" i="39"/>
  <c r="AO166" i="39"/>
  <c r="AO167" i="39"/>
  <c r="AO168" i="39"/>
  <c r="AO169" i="39"/>
  <c r="AO170" i="39"/>
  <c r="AO171" i="39"/>
  <c r="AO172" i="39"/>
  <c r="AP90" i="49"/>
  <c r="AP87" i="40"/>
  <c r="F186" i="51"/>
  <c r="J186" i="51"/>
  <c r="N186" i="51"/>
  <c r="R186" i="51"/>
  <c r="V186" i="51"/>
  <c r="Z186" i="51"/>
  <c r="AD186" i="51"/>
  <c r="AH186" i="51"/>
  <c r="AL186" i="51"/>
  <c r="C186" i="51"/>
  <c r="G186" i="51"/>
  <c r="K186" i="51"/>
  <c r="O186" i="51"/>
  <c r="S186" i="51"/>
  <c r="W186" i="51"/>
  <c r="AA186" i="51"/>
  <c r="AE186" i="51"/>
  <c r="AI186" i="51"/>
  <c r="AM186" i="51"/>
  <c r="D186" i="51"/>
  <c r="H186" i="51"/>
  <c r="L186" i="51"/>
  <c r="P186" i="51"/>
  <c r="T186" i="51"/>
  <c r="X186" i="51"/>
  <c r="AB186" i="51"/>
  <c r="AF186" i="51"/>
  <c r="AJ186" i="51"/>
  <c r="AN186" i="51"/>
  <c r="E186" i="51"/>
  <c r="I186" i="51"/>
  <c r="M186" i="51"/>
  <c r="Q186" i="51"/>
  <c r="U186" i="51"/>
  <c r="Y186" i="51"/>
  <c r="AC186" i="51"/>
  <c r="AG186" i="51"/>
  <c r="AK186" i="51"/>
  <c r="B187" i="51"/>
  <c r="B183" i="39"/>
  <c r="E182" i="39"/>
  <c r="I182" i="39"/>
  <c r="M182" i="39"/>
  <c r="Q182" i="39"/>
  <c r="U182" i="39"/>
  <c r="Y182" i="39"/>
  <c r="AC182" i="39"/>
  <c r="AG182" i="39"/>
  <c r="AK182" i="39"/>
  <c r="F182" i="39"/>
  <c r="J182" i="39"/>
  <c r="N182" i="39"/>
  <c r="R182" i="39"/>
  <c r="V182" i="39"/>
  <c r="Z182" i="39"/>
  <c r="AD182" i="39"/>
  <c r="AH182" i="39"/>
  <c r="AL182" i="39"/>
  <c r="H182" i="39"/>
  <c r="P182" i="39"/>
  <c r="X182" i="39"/>
  <c r="AF182" i="39"/>
  <c r="AN182" i="39"/>
  <c r="C182" i="39"/>
  <c r="K182" i="39"/>
  <c r="S182" i="39"/>
  <c r="AA182" i="39"/>
  <c r="AI182" i="39"/>
  <c r="O182" i="39"/>
  <c r="AE182" i="39"/>
  <c r="D182" i="39"/>
  <c r="L182" i="39"/>
  <c r="T182" i="39"/>
  <c r="AB182" i="39"/>
  <c r="AJ182" i="39"/>
  <c r="G182" i="39"/>
  <c r="W182" i="39"/>
  <c r="AM182" i="39"/>
  <c r="AP148" i="51"/>
  <c r="AQ148" i="51" s="1"/>
  <c r="AO149" i="51"/>
  <c r="AO150" i="51"/>
  <c r="AO151" i="51"/>
  <c r="AO152" i="51"/>
  <c r="AO153" i="51"/>
  <c r="AO154" i="51"/>
  <c r="AO155" i="51"/>
  <c r="AO156" i="51"/>
  <c r="AO157" i="51"/>
  <c r="AO158" i="51"/>
  <c r="AO159" i="51"/>
  <c r="AO160" i="51"/>
  <c r="AO161" i="51"/>
  <c r="AO162" i="51"/>
  <c r="AO163" i="51"/>
  <c r="AO164" i="51"/>
  <c r="AO165" i="51"/>
  <c r="AO166" i="51"/>
  <c r="AO167" i="51"/>
  <c r="AO168" i="51"/>
  <c r="AO169" i="51"/>
  <c r="AO170" i="51"/>
  <c r="AO171" i="51"/>
  <c r="AO172" i="51"/>
  <c r="AO173" i="51"/>
  <c r="AO174" i="51"/>
  <c r="AO175" i="51"/>
  <c r="AO176" i="51"/>
  <c r="AQ81" i="30"/>
  <c r="AP18" i="51"/>
  <c r="AP24" i="49"/>
  <c r="AP21" i="40"/>
  <c r="AP16" i="39"/>
  <c r="AP51" i="51"/>
  <c r="AO52" i="51"/>
  <c r="AO53" i="51"/>
  <c r="AO54" i="51"/>
  <c r="AO55" i="51"/>
  <c r="AO56" i="51"/>
  <c r="AO57" i="51"/>
  <c r="AO58" i="51"/>
  <c r="AO59" i="51"/>
  <c r="AO60" i="51"/>
  <c r="AO61" i="51"/>
  <c r="AO62" i="51"/>
  <c r="AO63" i="51"/>
  <c r="AO64" i="51"/>
  <c r="AO65" i="51"/>
  <c r="AO66" i="51"/>
  <c r="AO67" i="51"/>
  <c r="AO68" i="51"/>
  <c r="AO69" i="51"/>
  <c r="AO70" i="51"/>
  <c r="AO71" i="51"/>
  <c r="AO72" i="51"/>
  <c r="AO73" i="51"/>
  <c r="AO74" i="51"/>
  <c r="AO75" i="51"/>
  <c r="AO76" i="51"/>
  <c r="AO77" i="51"/>
  <c r="AO78" i="51"/>
  <c r="AO79" i="51"/>
  <c r="B90" i="51"/>
  <c r="F89" i="51"/>
  <c r="J89" i="51"/>
  <c r="N89" i="51"/>
  <c r="R89" i="51"/>
  <c r="V89" i="51"/>
  <c r="Z89" i="51"/>
  <c r="AD89" i="51"/>
  <c r="AH89" i="51"/>
  <c r="AL89" i="51"/>
  <c r="C89" i="51"/>
  <c r="H89" i="51"/>
  <c r="M89" i="51"/>
  <c r="S89" i="51"/>
  <c r="X89" i="51"/>
  <c r="AC89" i="51"/>
  <c r="AI89" i="51"/>
  <c r="AN89" i="51"/>
  <c r="E89" i="51"/>
  <c r="K89" i="51"/>
  <c r="P89" i="51"/>
  <c r="U89" i="51"/>
  <c r="AA89" i="51"/>
  <c r="AF89" i="51"/>
  <c r="AK89" i="51"/>
  <c r="D89" i="51"/>
  <c r="I89" i="51"/>
  <c r="O89" i="51"/>
  <c r="T89" i="51"/>
  <c r="Y89" i="51"/>
  <c r="AE89" i="51"/>
  <c r="AJ89" i="51"/>
  <c r="G89" i="51"/>
  <c r="AB89" i="51"/>
  <c r="L89" i="51"/>
  <c r="AG89" i="51"/>
  <c r="Q89" i="51"/>
  <c r="AM89" i="51"/>
  <c r="W89" i="51"/>
  <c r="AO49" i="39"/>
  <c r="AO50" i="39"/>
  <c r="AO51" i="39"/>
  <c r="AO52" i="39"/>
  <c r="AO53" i="39"/>
  <c r="AO54" i="39"/>
  <c r="AO55" i="39"/>
  <c r="AO56" i="39"/>
  <c r="AO57" i="39"/>
  <c r="AO58" i="39"/>
  <c r="AO59" i="39"/>
  <c r="AO60" i="39"/>
  <c r="AO61" i="39"/>
  <c r="AO62" i="39"/>
  <c r="AO63" i="39"/>
  <c r="AO64" i="39"/>
  <c r="AO65" i="39"/>
  <c r="AO66" i="39"/>
  <c r="AO67" i="39"/>
  <c r="AO68" i="39"/>
  <c r="AO69" i="39"/>
  <c r="AO70" i="39"/>
  <c r="AO71" i="39"/>
  <c r="AO72" i="39"/>
  <c r="AO73" i="39"/>
  <c r="AO74" i="39"/>
  <c r="AO75" i="39"/>
  <c r="AO76" i="39"/>
  <c r="F86" i="39"/>
  <c r="J86" i="39"/>
  <c r="N86" i="39"/>
  <c r="R86" i="39"/>
  <c r="V86" i="39"/>
  <c r="Z86" i="39"/>
  <c r="AD86" i="39"/>
  <c r="AH86" i="39"/>
  <c r="AL86" i="39"/>
  <c r="C86" i="39"/>
  <c r="H86" i="39"/>
  <c r="M86" i="39"/>
  <c r="S86" i="39"/>
  <c r="X86" i="39"/>
  <c r="AC86" i="39"/>
  <c r="AI86" i="39"/>
  <c r="AN86" i="39"/>
  <c r="D86" i="39"/>
  <c r="I86" i="39"/>
  <c r="O86" i="39"/>
  <c r="T86" i="39"/>
  <c r="Y86" i="39"/>
  <c r="AE86" i="39"/>
  <c r="AJ86" i="39"/>
  <c r="E86" i="39"/>
  <c r="K86" i="39"/>
  <c r="P86" i="39"/>
  <c r="U86" i="39"/>
  <c r="AA86" i="39"/>
  <c r="AF86" i="39"/>
  <c r="AK86" i="39"/>
  <c r="W86" i="39"/>
  <c r="AM86" i="39"/>
  <c r="G86" i="39"/>
  <c r="AB86" i="39"/>
  <c r="L86" i="39"/>
  <c r="AG86" i="39"/>
  <c r="Q86" i="39"/>
  <c r="B87" i="39"/>
  <c r="K23" i="64"/>
  <c r="K24" i="64"/>
  <c r="K25" i="64"/>
  <c r="K27" i="64"/>
  <c r="K28" i="64"/>
  <c r="K26" i="64"/>
  <c r="K30" i="64"/>
  <c r="K29" i="64"/>
  <c r="K31" i="64"/>
  <c r="K32" i="64"/>
  <c r="K34" i="64"/>
  <c r="K35" i="64"/>
  <c r="K37" i="64"/>
  <c r="K36" i="64"/>
  <c r="K38" i="64"/>
  <c r="K39" i="64"/>
  <c r="K40" i="64"/>
  <c r="K41" i="64"/>
  <c r="K42" i="64"/>
  <c r="K43" i="64"/>
  <c r="K45" i="64"/>
  <c r="K47" i="64"/>
  <c r="K50" i="64"/>
  <c r="K51" i="64"/>
  <c r="K52" i="64"/>
  <c r="K53" i="64"/>
  <c r="K55" i="64"/>
  <c r="K54" i="64"/>
  <c r="AN316" i="63"/>
  <c r="AO306" i="63"/>
  <c r="AO314" i="63"/>
  <c r="AO315" i="63"/>
  <c r="K49" i="64"/>
  <c r="K44" i="64"/>
  <c r="K33" i="64"/>
  <c r="K46" i="64"/>
  <c r="K48" i="64"/>
  <c r="AQ56" i="30"/>
  <c r="AR42" i="30"/>
  <c r="AQ54" i="30"/>
  <c r="AQ65" i="30" s="1"/>
  <c r="AQ89" i="30" s="1"/>
  <c r="AQ110" i="30" s="1"/>
  <c r="AQ43" i="30"/>
  <c r="AQ124" i="30"/>
  <c r="AR102" i="30"/>
  <c r="AO11" i="54"/>
  <c r="AN115" i="51"/>
  <c r="AN112" i="39"/>
  <c r="AO91" i="47"/>
  <c r="AO36" i="49"/>
  <c r="AO56" i="49" s="1"/>
  <c r="AO68" i="49"/>
  <c r="AO103" i="49"/>
  <c r="AN218" i="47"/>
  <c r="AN164" i="47"/>
  <c r="AN180" i="47"/>
  <c r="AO10" i="52"/>
  <c r="AP230" i="36"/>
  <c r="AP198" i="36"/>
  <c r="AP128" i="36"/>
  <c r="AP102" i="36"/>
  <c r="AO11" i="36"/>
  <c r="AP234" i="52"/>
  <c r="AP200" i="52"/>
  <c r="AP104" i="52"/>
  <c r="AP152" i="52"/>
  <c r="AP179" i="53"/>
  <c r="AP153" i="53"/>
  <c r="AP105" i="53"/>
  <c r="AO11" i="53"/>
  <c r="AP223" i="36"/>
  <c r="AP150" i="36"/>
  <c r="AO83" i="36"/>
  <c r="AP226" i="52"/>
  <c r="AP201" i="53"/>
  <c r="AP222" i="44"/>
  <c r="AP150" i="43"/>
  <c r="AP198" i="43"/>
  <c r="AO83" i="43"/>
  <c r="AP130" i="52"/>
  <c r="AP131" i="53"/>
  <c r="AP176" i="44"/>
  <c r="AO11" i="44"/>
  <c r="AP222" i="43"/>
  <c r="AP102" i="43"/>
  <c r="AO11" i="43"/>
  <c r="AO86" i="53"/>
  <c r="AP176" i="36"/>
  <c r="AP198" i="44"/>
  <c r="AP150" i="44"/>
  <c r="AP128" i="44"/>
  <c r="AP178" i="52"/>
  <c r="AP225" i="53"/>
  <c r="AP102" i="44"/>
  <c r="AO83" i="44"/>
  <c r="AP128" i="43"/>
  <c r="AP176" i="43"/>
  <c r="AO65" i="40"/>
  <c r="AO100" i="40"/>
  <c r="AO33" i="40"/>
  <c r="AO53" i="40" s="1"/>
  <c r="AP48" i="39"/>
  <c r="F111" i="30"/>
  <c r="F117" i="30" s="1"/>
  <c r="F66" i="30"/>
  <c r="F69" i="30" s="1"/>
  <c r="F92" i="30"/>
  <c r="F94" i="30" s="1"/>
  <c r="F93" i="30"/>
  <c r="F96" i="30"/>
  <c r="F118" i="19"/>
  <c r="J118" i="19"/>
  <c r="N118" i="19"/>
  <c r="R118" i="19"/>
  <c r="V118" i="19"/>
  <c r="Z118" i="19"/>
  <c r="AD118" i="19"/>
  <c r="C118" i="19"/>
  <c r="G118" i="19"/>
  <c r="K118" i="19"/>
  <c r="O118" i="19"/>
  <c r="S118" i="19"/>
  <c r="W118" i="19"/>
  <c r="AA118" i="19"/>
  <c r="AE118" i="19"/>
  <c r="D118" i="19"/>
  <c r="H118" i="19"/>
  <c r="L118" i="19"/>
  <c r="P118" i="19"/>
  <c r="T118" i="19"/>
  <c r="X118" i="19"/>
  <c r="AB118" i="19"/>
  <c r="AF118" i="19"/>
  <c r="Q118" i="19"/>
  <c r="AG118" i="19"/>
  <c r="E118" i="19"/>
  <c r="U118" i="19"/>
  <c r="I118" i="19"/>
  <c r="Y118" i="19"/>
  <c r="M118" i="19"/>
  <c r="AC118" i="19"/>
  <c r="D79" i="19"/>
  <c r="H79" i="19"/>
  <c r="L79" i="19"/>
  <c r="P79" i="19"/>
  <c r="T79" i="19"/>
  <c r="X79" i="19"/>
  <c r="AB79" i="19"/>
  <c r="AF79" i="19"/>
  <c r="D80" i="19"/>
  <c r="H80" i="19"/>
  <c r="L80" i="19"/>
  <c r="P80" i="19"/>
  <c r="T80" i="19"/>
  <c r="X80" i="19"/>
  <c r="AB80" i="19"/>
  <c r="AF80" i="19"/>
  <c r="D81" i="19"/>
  <c r="H81" i="19"/>
  <c r="L81" i="19"/>
  <c r="P81" i="19"/>
  <c r="T81" i="19"/>
  <c r="X81" i="19"/>
  <c r="AB81" i="19"/>
  <c r="AF81" i="19"/>
  <c r="D82" i="19"/>
  <c r="H82" i="19"/>
  <c r="L82" i="19"/>
  <c r="P82" i="19"/>
  <c r="T82" i="19"/>
  <c r="X82" i="19"/>
  <c r="AB82" i="19"/>
  <c r="AF82" i="19"/>
  <c r="D83" i="19"/>
  <c r="H83" i="19"/>
  <c r="L83" i="19"/>
  <c r="P83" i="19"/>
  <c r="T83" i="19"/>
  <c r="X83" i="19"/>
  <c r="AB83" i="19"/>
  <c r="AF83" i="19"/>
  <c r="D84" i="19"/>
  <c r="H84" i="19"/>
  <c r="L84" i="19"/>
  <c r="P84" i="19"/>
  <c r="T84" i="19"/>
  <c r="X84" i="19"/>
  <c r="AB84" i="19"/>
  <c r="AF84" i="19"/>
  <c r="D85" i="19"/>
  <c r="H85" i="19"/>
  <c r="L85" i="19"/>
  <c r="P85" i="19"/>
  <c r="T85" i="19"/>
  <c r="X85" i="19"/>
  <c r="AB85" i="19"/>
  <c r="AF85" i="19"/>
  <c r="D86" i="19"/>
  <c r="H86" i="19"/>
  <c r="L86" i="19"/>
  <c r="P86" i="19"/>
  <c r="T86" i="19"/>
  <c r="X86" i="19"/>
  <c r="AB86" i="19"/>
  <c r="AF86" i="19"/>
  <c r="D87" i="19"/>
  <c r="H87" i="19"/>
  <c r="L87" i="19"/>
  <c r="P87" i="19"/>
  <c r="T87" i="19"/>
  <c r="X87" i="19"/>
  <c r="AB87" i="19"/>
  <c r="AF87" i="19"/>
  <c r="D88" i="19"/>
  <c r="H88" i="19"/>
  <c r="L88" i="19"/>
  <c r="P88" i="19"/>
  <c r="T88" i="19"/>
  <c r="X88" i="19"/>
  <c r="AB88" i="19"/>
  <c r="AF88" i="19"/>
  <c r="D89" i="19"/>
  <c r="H89" i="19"/>
  <c r="L89" i="19"/>
  <c r="P89" i="19"/>
  <c r="T89" i="19"/>
  <c r="X89" i="19"/>
  <c r="AB89" i="19"/>
  <c r="AF89" i="19"/>
  <c r="D90" i="19"/>
  <c r="H90" i="19"/>
  <c r="L90" i="19"/>
  <c r="P90" i="19"/>
  <c r="E79" i="19"/>
  <c r="I79" i="19"/>
  <c r="M79" i="19"/>
  <c r="Q79" i="19"/>
  <c r="U79" i="19"/>
  <c r="Y79" i="19"/>
  <c r="AC79" i="19"/>
  <c r="AG79" i="19"/>
  <c r="E80" i="19"/>
  <c r="I80" i="19"/>
  <c r="M80" i="19"/>
  <c r="Q80" i="19"/>
  <c r="U80" i="19"/>
  <c r="Y80" i="19"/>
  <c r="AC80" i="19"/>
  <c r="AG80" i="19"/>
  <c r="E81" i="19"/>
  <c r="I81" i="19"/>
  <c r="M81" i="19"/>
  <c r="Q81" i="19"/>
  <c r="U81" i="19"/>
  <c r="Y81" i="19"/>
  <c r="AC81" i="19"/>
  <c r="AG81" i="19"/>
  <c r="E82" i="19"/>
  <c r="I82" i="19"/>
  <c r="M82" i="19"/>
  <c r="Q82" i="19"/>
  <c r="U82" i="19"/>
  <c r="Y82" i="19"/>
  <c r="AC82" i="19"/>
  <c r="AG82" i="19"/>
  <c r="E83" i="19"/>
  <c r="I83" i="19"/>
  <c r="M83" i="19"/>
  <c r="Q83" i="19"/>
  <c r="U83" i="19"/>
  <c r="Y83" i="19"/>
  <c r="AC83" i="19"/>
  <c r="AG83" i="19"/>
  <c r="E84" i="19"/>
  <c r="I84" i="19"/>
  <c r="M84" i="19"/>
  <c r="Q84" i="19"/>
  <c r="U84" i="19"/>
  <c r="Y84" i="19"/>
  <c r="AC84" i="19"/>
  <c r="AG84" i="19"/>
  <c r="E85" i="19"/>
  <c r="I85" i="19"/>
  <c r="M85" i="19"/>
  <c r="Q85" i="19"/>
  <c r="U85" i="19"/>
  <c r="Y85" i="19"/>
  <c r="AC85" i="19"/>
  <c r="AG85" i="19"/>
  <c r="E86" i="19"/>
  <c r="I86" i="19"/>
  <c r="M86" i="19"/>
  <c r="Q86" i="19"/>
  <c r="U86" i="19"/>
  <c r="Y86" i="19"/>
  <c r="AC86" i="19"/>
  <c r="AG86" i="19"/>
  <c r="E87" i="19"/>
  <c r="I87" i="19"/>
  <c r="M87" i="19"/>
  <c r="Q87" i="19"/>
  <c r="U87" i="19"/>
  <c r="Y87" i="19"/>
  <c r="AC87" i="19"/>
  <c r="AG87" i="19"/>
  <c r="E88" i="19"/>
  <c r="I88" i="19"/>
  <c r="M88" i="19"/>
  <c r="Q88" i="19"/>
  <c r="U88" i="19"/>
  <c r="Y88" i="19"/>
  <c r="AC88" i="19"/>
  <c r="AG88" i="19"/>
  <c r="E89" i="19"/>
  <c r="I89" i="19"/>
  <c r="M89" i="19"/>
  <c r="Q89" i="19"/>
  <c r="U89" i="19"/>
  <c r="Y89" i="19"/>
  <c r="AC89" i="19"/>
  <c r="AG89" i="19"/>
  <c r="E90" i="19"/>
  <c r="I90" i="19"/>
  <c r="M90" i="19"/>
  <c r="Q90" i="19"/>
  <c r="F79" i="19"/>
  <c r="J79" i="19"/>
  <c r="N79" i="19"/>
  <c r="R79" i="19"/>
  <c r="V79" i="19"/>
  <c r="Z79" i="19"/>
  <c r="AD79" i="19"/>
  <c r="F80" i="19"/>
  <c r="J80" i="19"/>
  <c r="N80" i="19"/>
  <c r="R80" i="19"/>
  <c r="V80" i="19"/>
  <c r="Z80" i="19"/>
  <c r="AD80" i="19"/>
  <c r="F81" i="19"/>
  <c r="J81" i="19"/>
  <c r="N81" i="19"/>
  <c r="R81" i="19"/>
  <c r="V81" i="19"/>
  <c r="Z81" i="19"/>
  <c r="AD81" i="19"/>
  <c r="F82" i="19"/>
  <c r="J82" i="19"/>
  <c r="N82" i="19"/>
  <c r="R82" i="19"/>
  <c r="V82" i="19"/>
  <c r="Z82" i="19"/>
  <c r="AD82" i="19"/>
  <c r="F83" i="19"/>
  <c r="J83" i="19"/>
  <c r="N83" i="19"/>
  <c r="R83" i="19"/>
  <c r="V83" i="19"/>
  <c r="Z83" i="19"/>
  <c r="AD83" i="19"/>
  <c r="F84" i="19"/>
  <c r="J84" i="19"/>
  <c r="N84" i="19"/>
  <c r="R84" i="19"/>
  <c r="V84" i="19"/>
  <c r="Z84" i="19"/>
  <c r="AD84" i="19"/>
  <c r="F85" i="19"/>
  <c r="J85" i="19"/>
  <c r="N85" i="19"/>
  <c r="R85" i="19"/>
  <c r="V85" i="19"/>
  <c r="Z85" i="19"/>
  <c r="AD85" i="19"/>
  <c r="F86" i="19"/>
  <c r="J86" i="19"/>
  <c r="N86" i="19"/>
  <c r="R86" i="19"/>
  <c r="V86" i="19"/>
  <c r="Z86" i="19"/>
  <c r="AD86" i="19"/>
  <c r="F87" i="19"/>
  <c r="J87" i="19"/>
  <c r="N87" i="19"/>
  <c r="R87" i="19"/>
  <c r="V87" i="19"/>
  <c r="Z87" i="19"/>
  <c r="AD87" i="19"/>
  <c r="F88" i="19"/>
  <c r="J88" i="19"/>
  <c r="N88" i="19"/>
  <c r="R88" i="19"/>
  <c r="V88" i="19"/>
  <c r="Z88" i="19"/>
  <c r="AD88" i="19"/>
  <c r="F89" i="19"/>
  <c r="J89" i="19"/>
  <c r="N89" i="19"/>
  <c r="R89" i="19"/>
  <c r="V89" i="19"/>
  <c r="Z89" i="19"/>
  <c r="AD89" i="19"/>
  <c r="F90" i="19"/>
  <c r="J90" i="19"/>
  <c r="N90" i="19"/>
  <c r="R90" i="19"/>
  <c r="V90" i="19"/>
  <c r="Z90" i="19"/>
  <c r="AD90" i="19"/>
  <c r="F91" i="19"/>
  <c r="J91" i="19"/>
  <c r="N91" i="19"/>
  <c r="R91" i="19"/>
  <c r="V91" i="19"/>
  <c r="Z91" i="19"/>
  <c r="O79" i="19"/>
  <c r="AE79" i="19"/>
  <c r="K80" i="19"/>
  <c r="AA80" i="19"/>
  <c r="G81" i="19"/>
  <c r="W81" i="19"/>
  <c r="C82" i="19"/>
  <c r="S82" i="19"/>
  <c r="O83" i="19"/>
  <c r="AE83" i="19"/>
  <c r="K84" i="19"/>
  <c r="AA84" i="19"/>
  <c r="G85" i="19"/>
  <c r="W85" i="19"/>
  <c r="C86" i="19"/>
  <c r="S86" i="19"/>
  <c r="O87" i="19"/>
  <c r="AE87" i="19"/>
  <c r="K88" i="19"/>
  <c r="AA88" i="19"/>
  <c r="G89" i="19"/>
  <c r="W89" i="19"/>
  <c r="C90" i="19"/>
  <c r="S90" i="19"/>
  <c r="X90" i="19"/>
  <c r="AC90" i="19"/>
  <c r="G91" i="19"/>
  <c r="L91" i="19"/>
  <c r="Q91" i="19"/>
  <c r="W91" i="19"/>
  <c r="AB91" i="19"/>
  <c r="AF91" i="19"/>
  <c r="D92" i="19"/>
  <c r="H92" i="19"/>
  <c r="L92" i="19"/>
  <c r="P92" i="19"/>
  <c r="T92" i="19"/>
  <c r="X92" i="19"/>
  <c r="AB92" i="19"/>
  <c r="AF92" i="19"/>
  <c r="D93" i="19"/>
  <c r="H93" i="19"/>
  <c r="L93" i="19"/>
  <c r="P93" i="19"/>
  <c r="T93" i="19"/>
  <c r="X93" i="19"/>
  <c r="AB93" i="19"/>
  <c r="AF93" i="19"/>
  <c r="D94" i="19"/>
  <c r="H94" i="19"/>
  <c r="L94" i="19"/>
  <c r="P94" i="19"/>
  <c r="T94" i="19"/>
  <c r="X94" i="19"/>
  <c r="AB94" i="19"/>
  <c r="AF94" i="19"/>
  <c r="D95" i="19"/>
  <c r="H95" i="19"/>
  <c r="L95" i="19"/>
  <c r="P95" i="19"/>
  <c r="T95" i="19"/>
  <c r="X95" i="19"/>
  <c r="AB95" i="19"/>
  <c r="AF95" i="19"/>
  <c r="D96" i="19"/>
  <c r="H96" i="19"/>
  <c r="L96" i="19"/>
  <c r="P96" i="19"/>
  <c r="T96" i="19"/>
  <c r="X96" i="19"/>
  <c r="AB96" i="19"/>
  <c r="AF96" i="19"/>
  <c r="D97" i="19"/>
  <c r="H97" i="19"/>
  <c r="L97" i="19"/>
  <c r="P97" i="19"/>
  <c r="T97" i="19"/>
  <c r="X97" i="19"/>
  <c r="AB97" i="19"/>
  <c r="AF97" i="19"/>
  <c r="D98" i="19"/>
  <c r="H98" i="19"/>
  <c r="L98" i="19"/>
  <c r="P98" i="19"/>
  <c r="T98" i="19"/>
  <c r="X98" i="19"/>
  <c r="AB98" i="19"/>
  <c r="AF98" i="19"/>
  <c r="D99" i="19"/>
  <c r="H99" i="19"/>
  <c r="L99" i="19"/>
  <c r="P99" i="19"/>
  <c r="T99" i="19"/>
  <c r="X99" i="19"/>
  <c r="AB99" i="19"/>
  <c r="AF99" i="19"/>
  <c r="D100" i="19"/>
  <c r="H100" i="19"/>
  <c r="L100" i="19"/>
  <c r="P100" i="19"/>
  <c r="T100" i="19"/>
  <c r="X100" i="19"/>
  <c r="AB100" i="19"/>
  <c r="AF100" i="19"/>
  <c r="D101" i="19"/>
  <c r="H101" i="19"/>
  <c r="L101" i="19"/>
  <c r="P101" i="19"/>
  <c r="T101" i="19"/>
  <c r="X101" i="19"/>
  <c r="AB101" i="19"/>
  <c r="AF101" i="19"/>
  <c r="D102" i="19"/>
  <c r="H102" i="19"/>
  <c r="L102" i="19"/>
  <c r="P102" i="19"/>
  <c r="T102" i="19"/>
  <c r="X102" i="19"/>
  <c r="AB102" i="19"/>
  <c r="AF102" i="19"/>
  <c r="D103" i="19"/>
  <c r="H103" i="19"/>
  <c r="L103" i="19"/>
  <c r="P103" i="19"/>
  <c r="T103" i="19"/>
  <c r="X103" i="19"/>
  <c r="AB103" i="19"/>
  <c r="AF103" i="19"/>
  <c r="D104" i="19"/>
  <c r="H104" i="19"/>
  <c r="L104" i="19"/>
  <c r="P104" i="19"/>
  <c r="T104" i="19"/>
  <c r="X104" i="19"/>
  <c r="AB104" i="19"/>
  <c r="AF104" i="19"/>
  <c r="D105" i="19"/>
  <c r="H105" i="19"/>
  <c r="L105" i="19"/>
  <c r="P105" i="19"/>
  <c r="T105" i="19"/>
  <c r="X105" i="19"/>
  <c r="AB105" i="19"/>
  <c r="AF105" i="19"/>
  <c r="D106" i="19"/>
  <c r="H106" i="19"/>
  <c r="L106" i="19"/>
  <c r="P106" i="19"/>
  <c r="T106" i="19"/>
  <c r="X106" i="19"/>
  <c r="AB106" i="19"/>
  <c r="AF106" i="19"/>
  <c r="D107" i="19"/>
  <c r="H107" i="19"/>
  <c r="L107" i="19"/>
  <c r="P107" i="19"/>
  <c r="T107" i="19"/>
  <c r="X107" i="19"/>
  <c r="AB107" i="19"/>
  <c r="AF107" i="19"/>
  <c r="D108" i="19"/>
  <c r="H108" i="19"/>
  <c r="L108" i="19"/>
  <c r="P108" i="19"/>
  <c r="T108" i="19"/>
  <c r="X108" i="19"/>
  <c r="C79" i="19"/>
  <c r="S79" i="19"/>
  <c r="O80" i="19"/>
  <c r="AE80" i="19"/>
  <c r="K81" i="19"/>
  <c r="AA81" i="19"/>
  <c r="G82" i="19"/>
  <c r="W82" i="19"/>
  <c r="C83" i="19"/>
  <c r="S83" i="19"/>
  <c r="O84" i="19"/>
  <c r="AE84" i="19"/>
  <c r="K85" i="19"/>
  <c r="AA85" i="19"/>
  <c r="G86" i="19"/>
  <c r="W86" i="19"/>
  <c r="C87" i="19"/>
  <c r="S87" i="19"/>
  <c r="O88" i="19"/>
  <c r="AE88" i="19"/>
  <c r="K89" i="19"/>
  <c r="AA89" i="19"/>
  <c r="G90" i="19"/>
  <c r="T90" i="19"/>
  <c r="Y90" i="19"/>
  <c r="AE90" i="19"/>
  <c r="C91" i="19"/>
  <c r="H91" i="19"/>
  <c r="M91" i="19"/>
  <c r="S91" i="19"/>
  <c r="X91" i="19"/>
  <c r="AC91" i="19"/>
  <c r="AG91" i="19"/>
  <c r="E92" i="19"/>
  <c r="I92" i="19"/>
  <c r="M92" i="19"/>
  <c r="Q92" i="19"/>
  <c r="U92" i="19"/>
  <c r="Y92" i="19"/>
  <c r="AC92" i="19"/>
  <c r="AG92" i="19"/>
  <c r="E93" i="19"/>
  <c r="I93" i="19"/>
  <c r="M93" i="19"/>
  <c r="Q93" i="19"/>
  <c r="U93" i="19"/>
  <c r="Y93" i="19"/>
  <c r="AC93" i="19"/>
  <c r="AG93" i="19"/>
  <c r="E94" i="19"/>
  <c r="I94" i="19"/>
  <c r="M94" i="19"/>
  <c r="Q94" i="19"/>
  <c r="U94" i="19"/>
  <c r="Y94" i="19"/>
  <c r="AC94" i="19"/>
  <c r="AG94" i="19"/>
  <c r="E95" i="19"/>
  <c r="I95" i="19"/>
  <c r="M95" i="19"/>
  <c r="Q95" i="19"/>
  <c r="U95" i="19"/>
  <c r="Y95" i="19"/>
  <c r="AC95" i="19"/>
  <c r="AG95" i="19"/>
  <c r="E96" i="19"/>
  <c r="I96" i="19"/>
  <c r="M96" i="19"/>
  <c r="Q96" i="19"/>
  <c r="U96" i="19"/>
  <c r="Y96" i="19"/>
  <c r="AC96" i="19"/>
  <c r="AG96" i="19"/>
  <c r="E97" i="19"/>
  <c r="I97" i="19"/>
  <c r="M97" i="19"/>
  <c r="Q97" i="19"/>
  <c r="U97" i="19"/>
  <c r="Y97" i="19"/>
  <c r="AC97" i="19"/>
  <c r="AG97" i="19"/>
  <c r="E98" i="19"/>
  <c r="I98" i="19"/>
  <c r="M98" i="19"/>
  <c r="Q98" i="19"/>
  <c r="U98" i="19"/>
  <c r="Y98" i="19"/>
  <c r="AC98" i="19"/>
  <c r="AG98" i="19"/>
  <c r="E99" i="19"/>
  <c r="I99" i="19"/>
  <c r="M99" i="19"/>
  <c r="Q99" i="19"/>
  <c r="U99" i="19"/>
  <c r="Y99" i="19"/>
  <c r="AC99" i="19"/>
  <c r="AG99" i="19"/>
  <c r="E100" i="19"/>
  <c r="I100" i="19"/>
  <c r="M100" i="19"/>
  <c r="Q100" i="19"/>
  <c r="U100" i="19"/>
  <c r="Y100" i="19"/>
  <c r="AC100" i="19"/>
  <c r="AG100" i="19"/>
  <c r="E101" i="19"/>
  <c r="I101" i="19"/>
  <c r="M101" i="19"/>
  <c r="Q101" i="19"/>
  <c r="U101" i="19"/>
  <c r="Y101" i="19"/>
  <c r="AC101" i="19"/>
  <c r="AG101" i="19"/>
  <c r="E102" i="19"/>
  <c r="I102" i="19"/>
  <c r="M102" i="19"/>
  <c r="Q102" i="19"/>
  <c r="U102" i="19"/>
  <c r="Y102" i="19"/>
  <c r="AC102" i="19"/>
  <c r="AG102" i="19"/>
  <c r="E103" i="19"/>
  <c r="I103" i="19"/>
  <c r="M103" i="19"/>
  <c r="Q103" i="19"/>
  <c r="U103" i="19"/>
  <c r="Y103" i="19"/>
  <c r="AC103" i="19"/>
  <c r="AG103" i="19"/>
  <c r="E104" i="19"/>
  <c r="I104" i="19"/>
  <c r="M104" i="19"/>
  <c r="Q104" i="19"/>
  <c r="U104" i="19"/>
  <c r="Y104" i="19"/>
  <c r="AC104" i="19"/>
  <c r="AG104" i="19"/>
  <c r="E105" i="19"/>
  <c r="I105" i="19"/>
  <c r="M105" i="19"/>
  <c r="Q105" i="19"/>
  <c r="U105" i="19"/>
  <c r="Y105" i="19"/>
  <c r="AC105" i="19"/>
  <c r="AG105" i="19"/>
  <c r="E106" i="19"/>
  <c r="I106" i="19"/>
  <c r="M106" i="19"/>
  <c r="Q106" i="19"/>
  <c r="U106" i="19"/>
  <c r="Y106" i="19"/>
  <c r="AC106" i="19"/>
  <c r="AG106" i="19"/>
  <c r="E107" i="19"/>
  <c r="I107" i="19"/>
  <c r="M107" i="19"/>
  <c r="Q107" i="19"/>
  <c r="U107" i="19"/>
  <c r="Y107" i="19"/>
  <c r="AC107" i="19"/>
  <c r="AG107" i="19"/>
  <c r="E108" i="19"/>
  <c r="G79" i="19"/>
  <c r="W79" i="19"/>
  <c r="C80" i="19"/>
  <c r="S80" i="19"/>
  <c r="O81" i="19"/>
  <c r="AE81" i="19"/>
  <c r="K82" i="19"/>
  <c r="AA82" i="19"/>
  <c r="G83" i="19"/>
  <c r="W83" i="19"/>
  <c r="C84" i="19"/>
  <c r="S84" i="19"/>
  <c r="O85" i="19"/>
  <c r="AE85" i="19"/>
  <c r="K86" i="19"/>
  <c r="AA86" i="19"/>
  <c r="G87" i="19"/>
  <c r="W87" i="19"/>
  <c r="C88" i="19"/>
  <c r="S88" i="19"/>
  <c r="O89" i="19"/>
  <c r="AE89" i="19"/>
  <c r="K90" i="19"/>
  <c r="U90" i="19"/>
  <c r="AA90" i="19"/>
  <c r="AF90" i="19"/>
  <c r="D91" i="19"/>
  <c r="I91" i="19"/>
  <c r="O91" i="19"/>
  <c r="T91" i="19"/>
  <c r="Y91" i="19"/>
  <c r="AD91" i="19"/>
  <c r="F92" i="19"/>
  <c r="J92" i="19"/>
  <c r="N92" i="19"/>
  <c r="R92" i="19"/>
  <c r="V92" i="19"/>
  <c r="Z92" i="19"/>
  <c r="AD92" i="19"/>
  <c r="F93" i="19"/>
  <c r="J93" i="19"/>
  <c r="N93" i="19"/>
  <c r="R93" i="19"/>
  <c r="V93" i="19"/>
  <c r="Z93" i="19"/>
  <c r="AD93" i="19"/>
  <c r="F94" i="19"/>
  <c r="J94" i="19"/>
  <c r="N94" i="19"/>
  <c r="R94" i="19"/>
  <c r="V94" i="19"/>
  <c r="Z94" i="19"/>
  <c r="AD94" i="19"/>
  <c r="F95" i="19"/>
  <c r="J95" i="19"/>
  <c r="N95" i="19"/>
  <c r="R95" i="19"/>
  <c r="V95" i="19"/>
  <c r="Z95" i="19"/>
  <c r="AD95" i="19"/>
  <c r="F96" i="19"/>
  <c r="J96" i="19"/>
  <c r="N96" i="19"/>
  <c r="R96" i="19"/>
  <c r="V96" i="19"/>
  <c r="Z96" i="19"/>
  <c r="AD96" i="19"/>
  <c r="F97" i="19"/>
  <c r="J97" i="19"/>
  <c r="N97" i="19"/>
  <c r="R97" i="19"/>
  <c r="V97" i="19"/>
  <c r="Z97" i="19"/>
  <c r="AD97" i="19"/>
  <c r="F98" i="19"/>
  <c r="J98" i="19"/>
  <c r="N98" i="19"/>
  <c r="R98" i="19"/>
  <c r="V98" i="19"/>
  <c r="Z98" i="19"/>
  <c r="AD98" i="19"/>
  <c r="F99" i="19"/>
  <c r="J99" i="19"/>
  <c r="N99" i="19"/>
  <c r="R99" i="19"/>
  <c r="V99" i="19"/>
  <c r="Z99" i="19"/>
  <c r="AD99" i="19"/>
  <c r="F100" i="19"/>
  <c r="J100" i="19"/>
  <c r="N100" i="19"/>
  <c r="R100" i="19"/>
  <c r="V100" i="19"/>
  <c r="Z100" i="19"/>
  <c r="AD100" i="19"/>
  <c r="F101" i="19"/>
  <c r="J101" i="19"/>
  <c r="N101" i="19"/>
  <c r="R101" i="19"/>
  <c r="V101" i="19"/>
  <c r="Z101" i="19"/>
  <c r="AD101" i="19"/>
  <c r="F102" i="19"/>
  <c r="J102" i="19"/>
  <c r="N102" i="19"/>
  <c r="R102" i="19"/>
  <c r="V102" i="19"/>
  <c r="Z102" i="19"/>
  <c r="AD102" i="19"/>
  <c r="F103" i="19"/>
  <c r="J103" i="19"/>
  <c r="N103" i="19"/>
  <c r="R103" i="19"/>
  <c r="V103" i="19"/>
  <c r="Z103" i="19"/>
  <c r="AD103" i="19"/>
  <c r="F104" i="19"/>
  <c r="J104" i="19"/>
  <c r="N104" i="19"/>
  <c r="R104" i="19"/>
  <c r="V104" i="19"/>
  <c r="Z104" i="19"/>
  <c r="AD104" i="19"/>
  <c r="F105" i="19"/>
  <c r="J105" i="19"/>
  <c r="N105" i="19"/>
  <c r="R105" i="19"/>
  <c r="V105" i="19"/>
  <c r="Z105" i="19"/>
  <c r="AD105" i="19"/>
  <c r="F106" i="19"/>
  <c r="J106" i="19"/>
  <c r="N106" i="19"/>
  <c r="R106" i="19"/>
  <c r="V106" i="19"/>
  <c r="Z106" i="19"/>
  <c r="AD106" i="19"/>
  <c r="F107" i="19"/>
  <c r="J107" i="19"/>
  <c r="N107" i="19"/>
  <c r="R107" i="19"/>
  <c r="V107" i="19"/>
  <c r="Z107" i="19"/>
  <c r="AD107" i="19"/>
  <c r="F108" i="19"/>
  <c r="J108" i="19"/>
  <c r="N108" i="19"/>
  <c r="R108" i="19"/>
  <c r="V108" i="19"/>
  <c r="Z108" i="19"/>
  <c r="K79" i="19"/>
  <c r="W80" i="19"/>
  <c r="K83" i="19"/>
  <c r="W84" i="19"/>
  <c r="K87" i="19"/>
  <c r="W88" i="19"/>
  <c r="AG90" i="19"/>
  <c r="P91" i="19"/>
  <c r="O92" i="19"/>
  <c r="AE92" i="19"/>
  <c r="K93" i="19"/>
  <c r="AA93" i="19"/>
  <c r="G94" i="19"/>
  <c r="W94" i="19"/>
  <c r="C95" i="19"/>
  <c r="S95" i="19"/>
  <c r="O96" i="19"/>
  <c r="AE96" i="19"/>
  <c r="K97" i="19"/>
  <c r="AA97" i="19"/>
  <c r="G98" i="19"/>
  <c r="W98" i="19"/>
  <c r="C99" i="19"/>
  <c r="S99" i="19"/>
  <c r="O100" i="19"/>
  <c r="AE100" i="19"/>
  <c r="K101" i="19"/>
  <c r="AA101" i="19"/>
  <c r="G102" i="19"/>
  <c r="W102" i="19"/>
  <c r="C103" i="19"/>
  <c r="S103" i="19"/>
  <c r="O104" i="19"/>
  <c r="AE104" i="19"/>
  <c r="K105" i="19"/>
  <c r="AA105" i="19"/>
  <c r="G106" i="19"/>
  <c r="W106" i="19"/>
  <c r="C107" i="19"/>
  <c r="S107" i="19"/>
  <c r="K108" i="19"/>
  <c r="S108" i="19"/>
  <c r="AA108" i="19"/>
  <c r="AE108" i="19"/>
  <c r="C109" i="19"/>
  <c r="G109" i="19"/>
  <c r="K109" i="19"/>
  <c r="O109" i="19"/>
  <c r="S109" i="19"/>
  <c r="W109" i="19"/>
  <c r="AA109" i="19"/>
  <c r="AE109" i="19"/>
  <c r="C110" i="19"/>
  <c r="G110" i="19"/>
  <c r="K110" i="19"/>
  <c r="O110" i="19"/>
  <c r="S110" i="19"/>
  <c r="W110" i="19"/>
  <c r="AA110" i="19"/>
  <c r="AE110" i="19"/>
  <c r="C111" i="19"/>
  <c r="G111" i="19"/>
  <c r="K111" i="19"/>
  <c r="O111" i="19"/>
  <c r="S111" i="19"/>
  <c r="W111" i="19"/>
  <c r="AA111" i="19"/>
  <c r="AE111" i="19"/>
  <c r="C112" i="19"/>
  <c r="G112" i="19"/>
  <c r="K112" i="19"/>
  <c r="O112" i="19"/>
  <c r="S112" i="19"/>
  <c r="W112" i="19"/>
  <c r="AA112" i="19"/>
  <c r="AE112" i="19"/>
  <c r="C113" i="19"/>
  <c r="G113" i="19"/>
  <c r="K113" i="19"/>
  <c r="O113" i="19"/>
  <c r="S113" i="19"/>
  <c r="W113" i="19"/>
  <c r="AA113" i="19"/>
  <c r="AE113" i="19"/>
  <c r="C114" i="19"/>
  <c r="G114" i="19"/>
  <c r="K114" i="19"/>
  <c r="O114" i="19"/>
  <c r="S114" i="19"/>
  <c r="W114" i="19"/>
  <c r="AA114" i="19"/>
  <c r="AE114" i="19"/>
  <c r="C115" i="19"/>
  <c r="G115" i="19"/>
  <c r="K115" i="19"/>
  <c r="O115" i="19"/>
  <c r="S115" i="19"/>
  <c r="W115" i="19"/>
  <c r="AA115" i="19"/>
  <c r="AE115" i="19"/>
  <c r="C116" i="19"/>
  <c r="G116" i="19"/>
  <c r="K116" i="19"/>
  <c r="O116" i="19"/>
  <c r="S116" i="19"/>
  <c r="W116" i="19"/>
  <c r="AA116" i="19"/>
  <c r="AE116" i="19"/>
  <c r="C117" i="19"/>
  <c r="G117" i="19"/>
  <c r="K117" i="19"/>
  <c r="O117" i="19"/>
  <c r="S117" i="19"/>
  <c r="W117" i="19"/>
  <c r="AA117" i="19"/>
  <c r="AE117" i="19"/>
  <c r="AA79" i="19"/>
  <c r="O82" i="19"/>
  <c r="AA83" i="19"/>
  <c r="O86" i="19"/>
  <c r="AA87" i="19"/>
  <c r="O90" i="19"/>
  <c r="U91" i="19"/>
  <c r="C92" i="19"/>
  <c r="S92" i="19"/>
  <c r="O93" i="19"/>
  <c r="AE93" i="19"/>
  <c r="K94" i="19"/>
  <c r="AA94" i="19"/>
  <c r="G95" i="19"/>
  <c r="W95" i="19"/>
  <c r="C96" i="19"/>
  <c r="S96" i="19"/>
  <c r="O97" i="19"/>
  <c r="AE97" i="19"/>
  <c r="K98" i="19"/>
  <c r="AA98" i="19"/>
  <c r="G99" i="19"/>
  <c r="W99" i="19"/>
  <c r="C100" i="19"/>
  <c r="S100" i="19"/>
  <c r="O101" i="19"/>
  <c r="AE101" i="19"/>
  <c r="K102" i="19"/>
  <c r="AA102" i="19"/>
  <c r="G103" i="19"/>
  <c r="W103" i="19"/>
  <c r="C104" i="19"/>
  <c r="S104" i="19"/>
  <c r="O105" i="19"/>
  <c r="AE105" i="19"/>
  <c r="K106" i="19"/>
  <c r="AA106" i="19"/>
  <c r="G107" i="19"/>
  <c r="W107" i="19"/>
  <c r="C108" i="19"/>
  <c r="M108" i="19"/>
  <c r="U108" i="19"/>
  <c r="AB108" i="19"/>
  <c r="AF108" i="19"/>
  <c r="D109" i="19"/>
  <c r="H109" i="19"/>
  <c r="L109" i="19"/>
  <c r="P109" i="19"/>
  <c r="T109" i="19"/>
  <c r="X109" i="19"/>
  <c r="AB109" i="19"/>
  <c r="AF109" i="19"/>
  <c r="D110" i="19"/>
  <c r="H110" i="19"/>
  <c r="L110" i="19"/>
  <c r="P110" i="19"/>
  <c r="T110" i="19"/>
  <c r="X110" i="19"/>
  <c r="AB110" i="19"/>
  <c r="AF110" i="19"/>
  <c r="D111" i="19"/>
  <c r="H111" i="19"/>
  <c r="L111" i="19"/>
  <c r="P111" i="19"/>
  <c r="T111" i="19"/>
  <c r="X111" i="19"/>
  <c r="AB111" i="19"/>
  <c r="AF111" i="19"/>
  <c r="D112" i="19"/>
  <c r="H112" i="19"/>
  <c r="L112" i="19"/>
  <c r="P112" i="19"/>
  <c r="T112" i="19"/>
  <c r="X112" i="19"/>
  <c r="AB112" i="19"/>
  <c r="AF112" i="19"/>
  <c r="D113" i="19"/>
  <c r="H113" i="19"/>
  <c r="L113" i="19"/>
  <c r="P113" i="19"/>
  <c r="T113" i="19"/>
  <c r="X113" i="19"/>
  <c r="AB113" i="19"/>
  <c r="AF113" i="19"/>
  <c r="D114" i="19"/>
  <c r="H114" i="19"/>
  <c r="L114" i="19"/>
  <c r="P114" i="19"/>
  <c r="T114" i="19"/>
  <c r="X114" i="19"/>
  <c r="AB114" i="19"/>
  <c r="AF114" i="19"/>
  <c r="D115" i="19"/>
  <c r="H115" i="19"/>
  <c r="L115" i="19"/>
  <c r="P115" i="19"/>
  <c r="T115" i="19"/>
  <c r="X115" i="19"/>
  <c r="AB115" i="19"/>
  <c r="AF115" i="19"/>
  <c r="D116" i="19"/>
  <c r="H116" i="19"/>
  <c r="L116" i="19"/>
  <c r="P116" i="19"/>
  <c r="T116" i="19"/>
  <c r="X116" i="19"/>
  <c r="AB116" i="19"/>
  <c r="AF116" i="19"/>
  <c r="D117" i="19"/>
  <c r="H117" i="19"/>
  <c r="L117" i="19"/>
  <c r="P117" i="19"/>
  <c r="T117" i="19"/>
  <c r="X117" i="19"/>
  <c r="AB117" i="19"/>
  <c r="AF117" i="19"/>
  <c r="C81" i="19"/>
  <c r="AE82" i="19"/>
  <c r="C85" i="19"/>
  <c r="AE86" i="19"/>
  <c r="C89" i="19"/>
  <c r="W90" i="19"/>
  <c r="E91" i="19"/>
  <c r="AA91" i="19"/>
  <c r="G92" i="19"/>
  <c r="W92" i="19"/>
  <c r="C93" i="19"/>
  <c r="S93" i="19"/>
  <c r="O94" i="19"/>
  <c r="AE94" i="19"/>
  <c r="K95" i="19"/>
  <c r="AA95" i="19"/>
  <c r="G96" i="19"/>
  <c r="W96" i="19"/>
  <c r="C97" i="19"/>
  <c r="S97" i="19"/>
  <c r="O98" i="19"/>
  <c r="AE98" i="19"/>
  <c r="K99" i="19"/>
  <c r="AA99" i="19"/>
  <c r="G100" i="19"/>
  <c r="W100" i="19"/>
  <c r="C101" i="19"/>
  <c r="S101" i="19"/>
  <c r="O102" i="19"/>
  <c r="AE102" i="19"/>
  <c r="K103" i="19"/>
  <c r="AA103" i="19"/>
  <c r="G104" i="19"/>
  <c r="W104" i="19"/>
  <c r="C105" i="19"/>
  <c r="S105" i="19"/>
  <c r="O106" i="19"/>
  <c r="AE106" i="19"/>
  <c r="K107" i="19"/>
  <c r="AA107" i="19"/>
  <c r="G108" i="19"/>
  <c r="O108" i="19"/>
  <c r="W108" i="19"/>
  <c r="AC108" i="19"/>
  <c r="AG108" i="19"/>
  <c r="E109" i="19"/>
  <c r="I109" i="19"/>
  <c r="M109" i="19"/>
  <c r="Q109" i="19"/>
  <c r="U109" i="19"/>
  <c r="Y109" i="19"/>
  <c r="AC109" i="19"/>
  <c r="AG109" i="19"/>
  <c r="E110" i="19"/>
  <c r="I110" i="19"/>
  <c r="M110" i="19"/>
  <c r="Q110" i="19"/>
  <c r="U110" i="19"/>
  <c r="Y110" i="19"/>
  <c r="AC110" i="19"/>
  <c r="AG110" i="19"/>
  <c r="E111" i="19"/>
  <c r="I111" i="19"/>
  <c r="M111" i="19"/>
  <c r="Q111" i="19"/>
  <c r="U111" i="19"/>
  <c r="Y111" i="19"/>
  <c r="AC111" i="19"/>
  <c r="AG111" i="19"/>
  <c r="E112" i="19"/>
  <c r="I112" i="19"/>
  <c r="M112" i="19"/>
  <c r="Q112" i="19"/>
  <c r="U112" i="19"/>
  <c r="Y112" i="19"/>
  <c r="AC112" i="19"/>
  <c r="AG112" i="19"/>
  <c r="E113" i="19"/>
  <c r="I113" i="19"/>
  <c r="M113" i="19"/>
  <c r="Q113" i="19"/>
  <c r="U113" i="19"/>
  <c r="Y113" i="19"/>
  <c r="AC113" i="19"/>
  <c r="AG113" i="19"/>
  <c r="E114" i="19"/>
  <c r="I114" i="19"/>
  <c r="M114" i="19"/>
  <c r="Q114" i="19"/>
  <c r="U114" i="19"/>
  <c r="Y114" i="19"/>
  <c r="AC114" i="19"/>
  <c r="AG114" i="19"/>
  <c r="E115" i="19"/>
  <c r="I115" i="19"/>
  <c r="M115" i="19"/>
  <c r="Q115" i="19"/>
  <c r="U115" i="19"/>
  <c r="Y115" i="19"/>
  <c r="AC115" i="19"/>
  <c r="AG115" i="19"/>
  <c r="E116" i="19"/>
  <c r="I116" i="19"/>
  <c r="M116" i="19"/>
  <c r="Q116" i="19"/>
  <c r="U116" i="19"/>
  <c r="Y116" i="19"/>
  <c r="AC116" i="19"/>
  <c r="AG116" i="19"/>
  <c r="E117" i="19"/>
  <c r="I117" i="19"/>
  <c r="M117" i="19"/>
  <c r="Q117" i="19"/>
  <c r="U117" i="19"/>
  <c r="Y117" i="19"/>
  <c r="AC117" i="19"/>
  <c r="AG117" i="19"/>
  <c r="AE91" i="19"/>
  <c r="C94" i="19"/>
  <c r="AE95" i="19"/>
  <c r="C98" i="19"/>
  <c r="AE99" i="19"/>
  <c r="C102" i="19"/>
  <c r="AE103" i="19"/>
  <c r="C106" i="19"/>
  <c r="AE107" i="19"/>
  <c r="Y108" i="19"/>
  <c r="J109" i="19"/>
  <c r="Z109" i="19"/>
  <c r="J110" i="19"/>
  <c r="Z110" i="19"/>
  <c r="J111" i="19"/>
  <c r="Z111" i="19"/>
  <c r="J112" i="19"/>
  <c r="Z112" i="19"/>
  <c r="J113" i="19"/>
  <c r="Z113" i="19"/>
  <c r="J114" i="19"/>
  <c r="Z114" i="19"/>
  <c r="J115" i="19"/>
  <c r="Z115" i="19"/>
  <c r="J116" i="19"/>
  <c r="Z116" i="19"/>
  <c r="J117" i="19"/>
  <c r="Z117" i="19"/>
  <c r="G80" i="19"/>
  <c r="S85" i="19"/>
  <c r="G88" i="19"/>
  <c r="AB90" i="19"/>
  <c r="G93" i="19"/>
  <c r="S94" i="19"/>
  <c r="G97" i="19"/>
  <c r="S98" i="19"/>
  <c r="G101" i="19"/>
  <c r="S102" i="19"/>
  <c r="G105" i="19"/>
  <c r="S106" i="19"/>
  <c r="AD108" i="19"/>
  <c r="N109" i="19"/>
  <c r="AD109" i="19"/>
  <c r="N110" i="19"/>
  <c r="AD110" i="19"/>
  <c r="N111" i="19"/>
  <c r="AD111" i="19"/>
  <c r="N112" i="19"/>
  <c r="AD112" i="19"/>
  <c r="N113" i="19"/>
  <c r="AD113" i="19"/>
  <c r="N114" i="19"/>
  <c r="AD114" i="19"/>
  <c r="N115" i="19"/>
  <c r="AD115" i="19"/>
  <c r="N116" i="19"/>
  <c r="AD116" i="19"/>
  <c r="N117" i="19"/>
  <c r="AD117" i="19"/>
  <c r="K92" i="19"/>
  <c r="W93" i="19"/>
  <c r="K96" i="19"/>
  <c r="W97" i="19"/>
  <c r="K100" i="19"/>
  <c r="W101" i="19"/>
  <c r="K104" i="19"/>
  <c r="W105" i="19"/>
  <c r="I108" i="19"/>
  <c r="R109" i="19"/>
  <c r="R110" i="19"/>
  <c r="R111" i="19"/>
  <c r="R112" i="19"/>
  <c r="R113" i="19"/>
  <c r="R114" i="19"/>
  <c r="R115" i="19"/>
  <c r="R116" i="19"/>
  <c r="R117" i="19"/>
  <c r="S81" i="19"/>
  <c r="G84" i="19"/>
  <c r="S89" i="19"/>
  <c r="K91" i="19"/>
  <c r="AA92" i="19"/>
  <c r="O95" i="19"/>
  <c r="AA96" i="19"/>
  <c r="O99" i="19"/>
  <c r="AA100" i="19"/>
  <c r="O103" i="19"/>
  <c r="AA104" i="19"/>
  <c r="O107" i="19"/>
  <c r="Q108" i="19"/>
  <c r="F109" i="19"/>
  <c r="V109" i="19"/>
  <c r="F110" i="19"/>
  <c r="V110" i="19"/>
  <c r="F111" i="19"/>
  <c r="V111" i="19"/>
  <c r="F112" i="19"/>
  <c r="V112" i="19"/>
  <c r="F113" i="19"/>
  <c r="V113" i="19"/>
  <c r="F114" i="19"/>
  <c r="V114" i="19"/>
  <c r="F115" i="19"/>
  <c r="V115" i="19"/>
  <c r="F116" i="19"/>
  <c r="V116" i="19"/>
  <c r="F117" i="19"/>
  <c r="V117" i="19"/>
  <c r="G78" i="19"/>
  <c r="R78" i="19"/>
  <c r="T78" i="19"/>
  <c r="AE78" i="19"/>
  <c r="AD78" i="19"/>
  <c r="J78" i="19"/>
  <c r="F78" i="19"/>
  <c r="W78" i="19"/>
  <c r="AF78" i="19"/>
  <c r="L78" i="19"/>
  <c r="AA78" i="19"/>
  <c r="Z78" i="19"/>
  <c r="V78" i="19"/>
  <c r="P78" i="19"/>
  <c r="O78" i="19"/>
  <c r="X78" i="19"/>
  <c r="N78" i="19"/>
  <c r="AC78" i="19"/>
  <c r="M78" i="19"/>
  <c r="H78" i="19"/>
  <c r="K78" i="19"/>
  <c r="Y78" i="19"/>
  <c r="I78" i="19"/>
  <c r="C78" i="19"/>
  <c r="AG78" i="19"/>
  <c r="E78" i="19"/>
  <c r="U78" i="19"/>
  <c r="AB78" i="19"/>
  <c r="D78" i="19"/>
  <c r="Q78" i="19"/>
  <c r="S78" i="19"/>
  <c r="M55" i="30"/>
  <c r="AA224" i="19"/>
  <c r="AA260" i="19" s="1"/>
  <c r="M125" i="19"/>
  <c r="I125" i="19"/>
  <c r="D109" i="3"/>
  <c r="O109" i="3"/>
  <c r="N109" i="3"/>
  <c r="M109" i="3"/>
  <c r="L109" i="3"/>
  <c r="K109" i="3"/>
  <c r="J109" i="3"/>
  <c r="I109" i="3"/>
  <c r="H109" i="3"/>
  <c r="G109" i="3"/>
  <c r="F109" i="3"/>
  <c r="E109" i="3"/>
  <c r="AM414" i="47" l="1"/>
  <c r="AM432" i="47"/>
  <c r="AN355" i="47"/>
  <c r="AN349" i="47"/>
  <c r="AR77" i="47"/>
  <c r="AQ177" i="63"/>
  <c r="AP82" i="67"/>
  <c r="AR305" i="63"/>
  <c r="AQ306" i="63"/>
  <c r="AQ307" i="63" s="1"/>
  <c r="AQ226" i="63"/>
  <c r="AQ44" i="67" s="1"/>
  <c r="AR104" i="63"/>
  <c r="AO44" i="67"/>
  <c r="K60" i="64"/>
  <c r="AO307" i="63"/>
  <c r="M156" i="19"/>
  <c r="M155" i="19"/>
  <c r="M154" i="19"/>
  <c r="M153" i="19"/>
  <c r="M152" i="19"/>
  <c r="M151" i="19"/>
  <c r="M150" i="19"/>
  <c r="M149" i="19"/>
  <c r="M148" i="19"/>
  <c r="M147" i="19"/>
  <c r="M146" i="19"/>
  <c r="M145" i="19"/>
  <c r="M144" i="19"/>
  <c r="M143" i="19"/>
  <c r="M142" i="19"/>
  <c r="M141" i="19"/>
  <c r="M140" i="19"/>
  <c r="AA258" i="19"/>
  <c r="AA240" i="19"/>
  <c r="AA262" i="19"/>
  <c r="AA236" i="19"/>
  <c r="AA254" i="19"/>
  <c r="AA239" i="19"/>
  <c r="AA257" i="19"/>
  <c r="AA244" i="19"/>
  <c r="AA252" i="19"/>
  <c r="AA256" i="19"/>
  <c r="AA230" i="19"/>
  <c r="AA226" i="19"/>
  <c r="AA235" i="19"/>
  <c r="AA259" i="19"/>
  <c r="AA233" i="19"/>
  <c r="AA225" i="19"/>
  <c r="AA228" i="19"/>
  <c r="AA263" i="19"/>
  <c r="AA248" i="19"/>
  <c r="AA247" i="19"/>
  <c r="M126" i="19"/>
  <c r="M165" i="19"/>
  <c r="M164" i="19"/>
  <c r="M163" i="19"/>
  <c r="M162" i="19"/>
  <c r="M161" i="19"/>
  <c r="M160" i="19"/>
  <c r="M159" i="19"/>
  <c r="M158" i="19"/>
  <c r="M157" i="19"/>
  <c r="M138" i="19"/>
  <c r="M137" i="19"/>
  <c r="M136" i="19"/>
  <c r="M135" i="19"/>
  <c r="M134" i="19"/>
  <c r="M133" i="19"/>
  <c r="M132" i="19"/>
  <c r="M131" i="19"/>
  <c r="M130" i="19"/>
  <c r="M129" i="19"/>
  <c r="M128" i="19"/>
  <c r="M127" i="19"/>
  <c r="M166" i="19"/>
  <c r="AA246" i="19"/>
  <c r="AA264" i="19"/>
  <c r="AA243" i="19"/>
  <c r="AA265" i="19"/>
  <c r="AA229" i="19"/>
  <c r="AA241" i="19"/>
  <c r="AA242" i="19"/>
  <c r="AA255" i="19"/>
  <c r="AA234" i="19"/>
  <c r="AA231" i="19"/>
  <c r="AA232" i="19"/>
  <c r="M139" i="19"/>
  <c r="AA251" i="19"/>
  <c r="AA250" i="19"/>
  <c r="AA261" i="19"/>
  <c r="AA249" i="19"/>
  <c r="AA237" i="19"/>
  <c r="AA245" i="19"/>
  <c r="AA253" i="19"/>
  <c r="AA227" i="19"/>
  <c r="AA238" i="19"/>
  <c r="AR57" i="30"/>
  <c r="AP91" i="47"/>
  <c r="AP16" i="47"/>
  <c r="AQ149" i="51"/>
  <c r="AQ150" i="51"/>
  <c r="AQ151" i="51"/>
  <c r="AQ152" i="51"/>
  <c r="AQ153" i="51"/>
  <c r="AQ154" i="51"/>
  <c r="AQ155" i="51"/>
  <c r="AQ156" i="51"/>
  <c r="AQ157" i="51"/>
  <c r="AQ158" i="51"/>
  <c r="AQ159" i="51"/>
  <c r="AQ160" i="51"/>
  <c r="AQ161" i="51"/>
  <c r="AQ162" i="51"/>
  <c r="AQ163" i="51"/>
  <c r="AQ164" i="51"/>
  <c r="AQ165" i="51"/>
  <c r="AQ166" i="51"/>
  <c r="AQ167" i="51"/>
  <c r="AQ168" i="51"/>
  <c r="AQ169" i="51"/>
  <c r="AQ170" i="51"/>
  <c r="AQ171" i="51"/>
  <c r="AQ172" i="51"/>
  <c r="AQ173" i="51"/>
  <c r="AQ174" i="51"/>
  <c r="AQ175" i="51"/>
  <c r="AQ176" i="51"/>
  <c r="AQ177" i="51"/>
  <c r="AQ178" i="51"/>
  <c r="AP68" i="49"/>
  <c r="AP103" i="49"/>
  <c r="AP36" i="49"/>
  <c r="AP56" i="49" s="1"/>
  <c r="B188" i="51"/>
  <c r="C187" i="51"/>
  <c r="G187" i="51"/>
  <c r="K187" i="51"/>
  <c r="O187" i="51"/>
  <c r="S187" i="51"/>
  <c r="W187" i="51"/>
  <c r="AA187" i="51"/>
  <c r="AE187" i="51"/>
  <c r="AI187" i="51"/>
  <c r="AM187" i="51"/>
  <c r="D187" i="51"/>
  <c r="H187" i="51"/>
  <c r="L187" i="51"/>
  <c r="P187" i="51"/>
  <c r="T187" i="51"/>
  <c r="X187" i="51"/>
  <c r="AB187" i="51"/>
  <c r="AF187" i="51"/>
  <c r="AJ187" i="51"/>
  <c r="AN187" i="51"/>
  <c r="E187" i="51"/>
  <c r="I187" i="51"/>
  <c r="M187" i="51"/>
  <c r="Q187" i="51"/>
  <c r="U187" i="51"/>
  <c r="Y187" i="51"/>
  <c r="AC187" i="51"/>
  <c r="AG187" i="51"/>
  <c r="AK187" i="51"/>
  <c r="AO187" i="51"/>
  <c r="F187" i="51"/>
  <c r="J187" i="51"/>
  <c r="N187" i="51"/>
  <c r="R187" i="51"/>
  <c r="V187" i="51"/>
  <c r="Z187" i="51"/>
  <c r="AD187" i="51"/>
  <c r="AH187" i="51"/>
  <c r="AL187" i="51"/>
  <c r="AQ90" i="49"/>
  <c r="AQ87" i="40"/>
  <c r="AR81" i="30"/>
  <c r="AQ18" i="51"/>
  <c r="AQ16" i="39"/>
  <c r="AQ21" i="40"/>
  <c r="AQ24" i="49"/>
  <c r="AQ145" i="39"/>
  <c r="AQ146" i="39"/>
  <c r="AQ147" i="39"/>
  <c r="AQ148" i="39"/>
  <c r="AQ149" i="39"/>
  <c r="AQ150" i="39"/>
  <c r="AQ151" i="39"/>
  <c r="AQ152" i="39"/>
  <c r="AQ153" i="39"/>
  <c r="AQ154" i="39"/>
  <c r="AQ155" i="39"/>
  <c r="AQ156" i="39"/>
  <c r="AQ157" i="39"/>
  <c r="AQ158" i="39"/>
  <c r="AQ159" i="39"/>
  <c r="AQ160" i="39"/>
  <c r="AQ161" i="39"/>
  <c r="AQ162" i="39"/>
  <c r="AQ163" i="39"/>
  <c r="AQ164" i="39"/>
  <c r="AQ165" i="39"/>
  <c r="AQ166" i="39"/>
  <c r="AQ167" i="39"/>
  <c r="AQ168" i="39"/>
  <c r="AQ169" i="39"/>
  <c r="AQ170" i="39"/>
  <c r="AQ171" i="39"/>
  <c r="AQ172" i="39"/>
  <c r="AQ173" i="39"/>
  <c r="AQ174" i="39"/>
  <c r="AQ225" i="53"/>
  <c r="AQ179" i="53"/>
  <c r="AQ201" i="53"/>
  <c r="AQ131" i="53"/>
  <c r="AQ153" i="53"/>
  <c r="AP86" i="53"/>
  <c r="AQ105" i="53"/>
  <c r="AP11" i="53"/>
  <c r="AQ234" i="52"/>
  <c r="AQ226" i="52"/>
  <c r="AQ178" i="52"/>
  <c r="AQ200" i="52"/>
  <c r="AQ130" i="52"/>
  <c r="AQ104" i="52"/>
  <c r="AP10" i="52"/>
  <c r="AP85" i="52"/>
  <c r="AQ152" i="52"/>
  <c r="AQ176" i="44"/>
  <c r="AQ230" i="36"/>
  <c r="AQ198" i="36"/>
  <c r="AQ176" i="36"/>
  <c r="AQ223" i="36"/>
  <c r="AQ102" i="36"/>
  <c r="AQ128" i="36"/>
  <c r="AP11" i="36"/>
  <c r="AQ150" i="36"/>
  <c r="AP83" i="36"/>
  <c r="AQ128" i="44"/>
  <c r="AQ150" i="44"/>
  <c r="AQ102" i="44"/>
  <c r="AP11" i="44"/>
  <c r="AQ198" i="44"/>
  <c r="AQ222" i="44"/>
  <c r="AP83" i="44"/>
  <c r="AQ222" i="43"/>
  <c r="AQ198" i="43"/>
  <c r="AQ128" i="43"/>
  <c r="AQ150" i="43"/>
  <c r="AQ102" i="43"/>
  <c r="AP83" i="43"/>
  <c r="AP11" i="43"/>
  <c r="AQ176" i="43"/>
  <c r="AP33" i="40"/>
  <c r="AP53" i="40" s="1"/>
  <c r="AP65" i="40"/>
  <c r="AP100" i="40"/>
  <c r="AP149" i="51"/>
  <c r="AP150" i="51"/>
  <c r="AP151" i="51"/>
  <c r="AP152" i="51"/>
  <c r="AP153" i="51"/>
  <c r="AP154" i="51"/>
  <c r="AP155" i="51"/>
  <c r="AP156" i="51"/>
  <c r="AP157" i="51"/>
  <c r="AP158" i="51"/>
  <c r="AP159" i="51"/>
  <c r="AP160" i="51"/>
  <c r="AP161" i="51"/>
  <c r="AP162" i="51"/>
  <c r="AP163" i="51"/>
  <c r="AP164" i="51"/>
  <c r="AP165" i="51"/>
  <c r="AP166" i="51"/>
  <c r="AP167" i="51"/>
  <c r="AP168" i="51"/>
  <c r="AP169" i="51"/>
  <c r="AP170" i="51"/>
  <c r="AP171" i="51"/>
  <c r="AP172" i="51"/>
  <c r="AP173" i="51"/>
  <c r="AP174" i="51"/>
  <c r="AP175" i="51"/>
  <c r="AP176" i="51"/>
  <c r="AP177" i="51"/>
  <c r="B184" i="39"/>
  <c r="F183" i="39"/>
  <c r="J183" i="39"/>
  <c r="N183" i="39"/>
  <c r="R183" i="39"/>
  <c r="V183" i="39"/>
  <c r="Z183" i="39"/>
  <c r="AD183" i="39"/>
  <c r="AH183" i="39"/>
  <c r="AL183" i="39"/>
  <c r="C183" i="39"/>
  <c r="G183" i="39"/>
  <c r="K183" i="39"/>
  <c r="O183" i="39"/>
  <c r="S183" i="39"/>
  <c r="W183" i="39"/>
  <c r="AA183" i="39"/>
  <c r="AE183" i="39"/>
  <c r="AI183" i="39"/>
  <c r="AM183" i="39"/>
  <c r="E183" i="39"/>
  <c r="M183" i="39"/>
  <c r="U183" i="39"/>
  <c r="AC183" i="39"/>
  <c r="AK183" i="39"/>
  <c r="H183" i="39"/>
  <c r="P183" i="39"/>
  <c r="X183" i="39"/>
  <c r="AF183" i="39"/>
  <c r="AN183" i="39"/>
  <c r="L183" i="39"/>
  <c r="AB183" i="39"/>
  <c r="I183" i="39"/>
  <c r="Q183" i="39"/>
  <c r="Y183" i="39"/>
  <c r="AG183" i="39"/>
  <c r="AO183" i="39"/>
  <c r="D183" i="39"/>
  <c r="T183" i="39"/>
  <c r="AJ183" i="39"/>
  <c r="AP145" i="39"/>
  <c r="AP146" i="39"/>
  <c r="AP147" i="39"/>
  <c r="AP148" i="39"/>
  <c r="AP149" i="39"/>
  <c r="AP150" i="39"/>
  <c r="AP151" i="39"/>
  <c r="AP152" i="39"/>
  <c r="AP153" i="39"/>
  <c r="AP154" i="39"/>
  <c r="AP155" i="39"/>
  <c r="AP156" i="39"/>
  <c r="AP157" i="39"/>
  <c r="AP158" i="39"/>
  <c r="AP159" i="39"/>
  <c r="AP160" i="39"/>
  <c r="AP161" i="39"/>
  <c r="AP162" i="39"/>
  <c r="AP163" i="39"/>
  <c r="AP164" i="39"/>
  <c r="AP165" i="39"/>
  <c r="AP166" i="39"/>
  <c r="AP167" i="39"/>
  <c r="AP168" i="39"/>
  <c r="AP169" i="39"/>
  <c r="AP170" i="39"/>
  <c r="AP171" i="39"/>
  <c r="AP172" i="39"/>
  <c r="AP173" i="39"/>
  <c r="B91" i="51"/>
  <c r="C90" i="51"/>
  <c r="G90" i="51"/>
  <c r="K90" i="51"/>
  <c r="O90" i="51"/>
  <c r="S90" i="51"/>
  <c r="W90" i="51"/>
  <c r="AA90" i="51"/>
  <c r="AE90" i="51"/>
  <c r="AI90" i="51"/>
  <c r="AM90" i="51"/>
  <c r="E90" i="51"/>
  <c r="J90" i="51"/>
  <c r="P90" i="51"/>
  <c r="U90" i="51"/>
  <c r="Z90" i="51"/>
  <c r="AF90" i="51"/>
  <c r="AK90" i="51"/>
  <c r="H90" i="51"/>
  <c r="M90" i="51"/>
  <c r="R90" i="51"/>
  <c r="X90" i="51"/>
  <c r="AC90" i="51"/>
  <c r="AH90" i="51"/>
  <c r="AN90" i="51"/>
  <c r="F90" i="51"/>
  <c r="L90" i="51"/>
  <c r="Q90" i="51"/>
  <c r="V90" i="51"/>
  <c r="AB90" i="51"/>
  <c r="AG90" i="51"/>
  <c r="AL90" i="51"/>
  <c r="T90" i="51"/>
  <c r="AO90" i="51"/>
  <c r="D90" i="51"/>
  <c r="Y90" i="51"/>
  <c r="I90" i="51"/>
  <c r="AD90" i="51"/>
  <c r="N90" i="51"/>
  <c r="AJ90" i="51"/>
  <c r="AQ51" i="51"/>
  <c r="AP52" i="51"/>
  <c r="AP53" i="51"/>
  <c r="AP54" i="51"/>
  <c r="AP55" i="51"/>
  <c r="AP56" i="51"/>
  <c r="AP57" i="51"/>
  <c r="AP58" i="51"/>
  <c r="AP59" i="51"/>
  <c r="AP60" i="51"/>
  <c r="AP61" i="51"/>
  <c r="AP62" i="51"/>
  <c r="AP63" i="51"/>
  <c r="AP64" i="51"/>
  <c r="AP65" i="51"/>
  <c r="AP66" i="51"/>
  <c r="AP67" i="51"/>
  <c r="AP68" i="51"/>
  <c r="AP69" i="51"/>
  <c r="AP70" i="51"/>
  <c r="AP71" i="51"/>
  <c r="AP72" i="51"/>
  <c r="AP73" i="51"/>
  <c r="AP74" i="51"/>
  <c r="AP75" i="51"/>
  <c r="AP76" i="51"/>
  <c r="AP77" i="51"/>
  <c r="AP78" i="51"/>
  <c r="AP79" i="51"/>
  <c r="AP80" i="51"/>
  <c r="AR148" i="51"/>
  <c r="AP49" i="39"/>
  <c r="AP50" i="39"/>
  <c r="AP51" i="39"/>
  <c r="AP52" i="39"/>
  <c r="AP53" i="39"/>
  <c r="AP54" i="39"/>
  <c r="AP55" i="39"/>
  <c r="AP56" i="39"/>
  <c r="AP57" i="39"/>
  <c r="AP58" i="39"/>
  <c r="AP59" i="39"/>
  <c r="AP60" i="39"/>
  <c r="AP61" i="39"/>
  <c r="AP62" i="39"/>
  <c r="AP63" i="39"/>
  <c r="AP64" i="39"/>
  <c r="AP65" i="39"/>
  <c r="AP66" i="39"/>
  <c r="AP67" i="39"/>
  <c r="AP68" i="39"/>
  <c r="AP69" i="39"/>
  <c r="AP70" i="39"/>
  <c r="AP71" i="39"/>
  <c r="AP72" i="39"/>
  <c r="AP73" i="39"/>
  <c r="AP74" i="39"/>
  <c r="AP75" i="39"/>
  <c r="AP76" i="39"/>
  <c r="AP77" i="39"/>
  <c r="AR144" i="39"/>
  <c r="B88" i="39"/>
  <c r="C87" i="39"/>
  <c r="G87" i="39"/>
  <c r="K87" i="39"/>
  <c r="O87" i="39"/>
  <c r="S87" i="39"/>
  <c r="W87" i="39"/>
  <c r="AA87" i="39"/>
  <c r="AE87" i="39"/>
  <c r="AI87" i="39"/>
  <c r="AM87" i="39"/>
  <c r="E87" i="39"/>
  <c r="J87" i="39"/>
  <c r="P87" i="39"/>
  <c r="U87" i="39"/>
  <c r="Z87" i="39"/>
  <c r="AF87" i="39"/>
  <c r="AK87" i="39"/>
  <c r="F87" i="39"/>
  <c r="L87" i="39"/>
  <c r="Q87" i="39"/>
  <c r="V87" i="39"/>
  <c r="AB87" i="39"/>
  <c r="AG87" i="39"/>
  <c r="AL87" i="39"/>
  <c r="H87" i="39"/>
  <c r="M87" i="39"/>
  <c r="R87" i="39"/>
  <c r="X87" i="39"/>
  <c r="AC87" i="39"/>
  <c r="AH87" i="39"/>
  <c r="AN87" i="39"/>
  <c r="N87" i="39"/>
  <c r="AJ87" i="39"/>
  <c r="I87" i="39"/>
  <c r="T87" i="39"/>
  <c r="AO87" i="39"/>
  <c r="D87" i="39"/>
  <c r="Y87" i="39"/>
  <c r="AD87" i="39"/>
  <c r="AO316" i="63"/>
  <c r="AR56" i="30"/>
  <c r="AS42" i="30"/>
  <c r="AR54" i="30"/>
  <c r="AR65" i="30" s="1"/>
  <c r="AR43" i="30"/>
  <c r="AS102" i="30"/>
  <c r="AR124" i="30"/>
  <c r="AO180" i="47"/>
  <c r="AO218" i="47"/>
  <c r="AO164" i="47"/>
  <c r="AO115" i="51"/>
  <c r="AO112" i="39"/>
  <c r="AQ48" i="39"/>
  <c r="F114" i="30"/>
  <c r="F74" i="30"/>
  <c r="F68" i="30"/>
  <c r="F70" i="30" s="1"/>
  <c r="F113" i="30"/>
  <c r="F115" i="30" s="1"/>
  <c r="G90" i="30"/>
  <c r="G92" i="30" s="1"/>
  <c r="G94" i="30" s="1"/>
  <c r="I166" i="19"/>
  <c r="I127" i="19"/>
  <c r="I134" i="19"/>
  <c r="I128" i="19"/>
  <c r="I130" i="19"/>
  <c r="I131" i="19"/>
  <c r="I133" i="19"/>
  <c r="I135" i="19"/>
  <c r="I138" i="19"/>
  <c r="I143" i="19"/>
  <c r="I144" i="19"/>
  <c r="I145" i="19"/>
  <c r="I147" i="19"/>
  <c r="I151" i="19"/>
  <c r="I152" i="19"/>
  <c r="I159" i="19"/>
  <c r="I162" i="19"/>
  <c r="I165" i="19"/>
  <c r="I136" i="19"/>
  <c r="I137" i="19"/>
  <c r="I139" i="19"/>
  <c r="I140" i="19"/>
  <c r="I153" i="19"/>
  <c r="I156" i="19"/>
  <c r="I163" i="19"/>
  <c r="I141" i="19"/>
  <c r="I142" i="19"/>
  <c r="I154" i="19"/>
  <c r="I157" i="19"/>
  <c r="I160" i="19"/>
  <c r="I146" i="19"/>
  <c r="I148" i="19"/>
  <c r="I161" i="19"/>
  <c r="I158" i="19"/>
  <c r="I129" i="19"/>
  <c r="I150" i="19"/>
  <c r="I164" i="19"/>
  <c r="I132" i="19"/>
  <c r="I155" i="19"/>
  <c r="I149" i="19"/>
  <c r="N55" i="30"/>
  <c r="AB224" i="19"/>
  <c r="AB260" i="19" s="1"/>
  <c r="H125" i="19"/>
  <c r="I126" i="19"/>
  <c r="N125" i="19"/>
  <c r="N126" i="19" l="1"/>
  <c r="AP22" i="47"/>
  <c r="AN414" i="47"/>
  <c r="AN432" i="47"/>
  <c r="AO355" i="47"/>
  <c r="AO349" i="47"/>
  <c r="AS77" i="47"/>
  <c r="AS305" i="63"/>
  <c r="AG184" i="67" s="1"/>
  <c r="AR306" i="63"/>
  <c r="AR307" i="63" s="1"/>
  <c r="AS104" i="63"/>
  <c r="AS226" i="63" s="1"/>
  <c r="AS44" i="67" s="1"/>
  <c r="AR226" i="63"/>
  <c r="AR44" i="67" s="1"/>
  <c r="AR177" i="63"/>
  <c r="AQ82" i="67"/>
  <c r="K61" i="64"/>
  <c r="N143" i="19"/>
  <c r="N147" i="19"/>
  <c r="N151" i="19"/>
  <c r="N155" i="19"/>
  <c r="N130" i="19"/>
  <c r="N129" i="19"/>
  <c r="N136" i="19"/>
  <c r="N159" i="19"/>
  <c r="N163" i="19"/>
  <c r="N139" i="19"/>
  <c r="AB253" i="19"/>
  <c r="AB261" i="19"/>
  <c r="AB232" i="19"/>
  <c r="AB242" i="19"/>
  <c r="AB243" i="19"/>
  <c r="AB263" i="19"/>
  <c r="AB259" i="19"/>
  <c r="AB256" i="19"/>
  <c r="AB239" i="19"/>
  <c r="AB240" i="19"/>
  <c r="N140" i="19"/>
  <c r="N144" i="19"/>
  <c r="N148" i="19"/>
  <c r="N152" i="19"/>
  <c r="N156" i="19"/>
  <c r="N132" i="19"/>
  <c r="N131" i="19"/>
  <c r="N138" i="19"/>
  <c r="N160" i="19"/>
  <c r="N164" i="19"/>
  <c r="N166" i="19"/>
  <c r="AB245" i="19"/>
  <c r="AB250" i="19"/>
  <c r="AB231" i="19"/>
  <c r="AB241" i="19"/>
  <c r="AB264" i="19"/>
  <c r="AB228" i="19"/>
  <c r="AB235" i="19"/>
  <c r="AB252" i="19"/>
  <c r="AB254" i="19"/>
  <c r="AB258" i="19"/>
  <c r="N141" i="19"/>
  <c r="N145" i="19"/>
  <c r="N149" i="19"/>
  <c r="N153" i="19"/>
  <c r="N127" i="19"/>
  <c r="N134" i="19"/>
  <c r="N133" i="19"/>
  <c r="N157" i="19"/>
  <c r="N161" i="19"/>
  <c r="N165" i="19"/>
  <c r="AB238" i="19"/>
  <c r="AB237" i="19"/>
  <c r="AB251" i="19"/>
  <c r="AB234" i="19"/>
  <c r="AB229" i="19"/>
  <c r="AB246" i="19"/>
  <c r="AB247" i="19"/>
  <c r="AB225" i="19"/>
  <c r="AB226" i="19"/>
  <c r="AB244" i="19"/>
  <c r="AB236" i="19"/>
  <c r="N142" i="19"/>
  <c r="N146" i="19"/>
  <c r="N150" i="19"/>
  <c r="N154" i="19"/>
  <c r="N128" i="19"/>
  <c r="N137" i="19"/>
  <c r="N135" i="19"/>
  <c r="N158" i="19"/>
  <c r="N162" i="19"/>
  <c r="AB227" i="19"/>
  <c r="AB249" i="19"/>
  <c r="AB255" i="19"/>
  <c r="AB265" i="19"/>
  <c r="AB248" i="19"/>
  <c r="AB233" i="19"/>
  <c r="AB230" i="19"/>
  <c r="AB257" i="19"/>
  <c r="AB262" i="19"/>
  <c r="AS57" i="30"/>
  <c r="AP164" i="47"/>
  <c r="AP180" i="47"/>
  <c r="AP218" i="47"/>
  <c r="AP349" i="47" s="1"/>
  <c r="AQ91" i="47"/>
  <c r="AQ16" i="47"/>
  <c r="B189" i="51"/>
  <c r="D188" i="51"/>
  <c r="H188" i="51"/>
  <c r="L188" i="51"/>
  <c r="P188" i="51"/>
  <c r="T188" i="51"/>
  <c r="X188" i="51"/>
  <c r="AB188" i="51"/>
  <c r="AF188" i="51"/>
  <c r="AJ188" i="51"/>
  <c r="AN188" i="51"/>
  <c r="E188" i="51"/>
  <c r="I188" i="51"/>
  <c r="M188" i="51"/>
  <c r="Q188" i="51"/>
  <c r="U188" i="51"/>
  <c r="Y188" i="51"/>
  <c r="AC188" i="51"/>
  <c r="AG188" i="51"/>
  <c r="AK188" i="51"/>
  <c r="AO188" i="51"/>
  <c r="F188" i="51"/>
  <c r="J188" i="51"/>
  <c r="N188" i="51"/>
  <c r="R188" i="51"/>
  <c r="V188" i="51"/>
  <c r="Z188" i="51"/>
  <c r="AD188" i="51"/>
  <c r="AH188" i="51"/>
  <c r="AL188" i="51"/>
  <c r="AP188" i="51"/>
  <c r="C188" i="51"/>
  <c r="G188" i="51"/>
  <c r="K188" i="51"/>
  <c r="O188" i="51"/>
  <c r="S188" i="51"/>
  <c r="W188" i="51"/>
  <c r="AA188" i="51"/>
  <c r="AE188" i="51"/>
  <c r="AI188" i="51"/>
  <c r="AM188" i="51"/>
  <c r="AP115" i="51"/>
  <c r="AP112" i="39"/>
  <c r="AR87" i="40"/>
  <c r="AR90" i="49"/>
  <c r="AR145" i="39"/>
  <c r="AR146" i="39"/>
  <c r="AR147" i="39"/>
  <c r="AR148" i="39"/>
  <c r="AR149" i="39"/>
  <c r="AR150" i="39"/>
  <c r="AR151" i="39"/>
  <c r="AR152" i="39"/>
  <c r="AR153" i="39"/>
  <c r="AR154" i="39"/>
  <c r="AR155" i="39"/>
  <c r="AR156" i="39"/>
  <c r="AR157" i="39"/>
  <c r="AR158" i="39"/>
  <c r="AR159" i="39"/>
  <c r="AR160" i="39"/>
  <c r="AR161" i="39"/>
  <c r="AR162" i="39"/>
  <c r="AR163" i="39"/>
  <c r="AR164" i="39"/>
  <c r="AR165" i="39"/>
  <c r="AR166" i="39"/>
  <c r="AR167" i="39"/>
  <c r="AR168" i="39"/>
  <c r="AR169" i="39"/>
  <c r="AR170" i="39"/>
  <c r="AR171" i="39"/>
  <c r="AR172" i="39"/>
  <c r="AR173" i="39"/>
  <c r="AR174" i="39"/>
  <c r="AR175" i="39"/>
  <c r="AR149" i="51"/>
  <c r="AR150" i="51"/>
  <c r="AR151" i="51"/>
  <c r="AR152" i="51"/>
  <c r="AR153" i="51"/>
  <c r="AR154" i="51"/>
  <c r="AR155" i="51"/>
  <c r="AR156" i="51"/>
  <c r="AR157" i="51"/>
  <c r="AR158" i="51"/>
  <c r="AR159" i="51"/>
  <c r="AR160" i="51"/>
  <c r="AR161" i="51"/>
  <c r="AR162" i="51"/>
  <c r="AR163" i="51"/>
  <c r="AR164" i="51"/>
  <c r="AR165" i="51"/>
  <c r="AR166" i="51"/>
  <c r="AR167" i="51"/>
  <c r="AR168" i="51"/>
  <c r="AR169" i="51"/>
  <c r="AR170" i="51"/>
  <c r="AR171" i="51"/>
  <c r="AR172" i="51"/>
  <c r="AR173" i="51"/>
  <c r="AR174" i="51"/>
  <c r="AR175" i="51"/>
  <c r="AR176" i="51"/>
  <c r="AR177" i="51"/>
  <c r="AR178" i="51"/>
  <c r="AR179" i="51"/>
  <c r="B185" i="39"/>
  <c r="C184" i="39"/>
  <c r="G184" i="39"/>
  <c r="K184" i="39"/>
  <c r="O184" i="39"/>
  <c r="S184" i="39"/>
  <c r="W184" i="39"/>
  <c r="AA184" i="39"/>
  <c r="AE184" i="39"/>
  <c r="AI184" i="39"/>
  <c r="AM184" i="39"/>
  <c r="D184" i="39"/>
  <c r="H184" i="39"/>
  <c r="L184" i="39"/>
  <c r="P184" i="39"/>
  <c r="T184" i="39"/>
  <c r="X184" i="39"/>
  <c r="AB184" i="39"/>
  <c r="AF184" i="39"/>
  <c r="AJ184" i="39"/>
  <c r="AN184" i="39"/>
  <c r="F184" i="39"/>
  <c r="N184" i="39"/>
  <c r="V184" i="39"/>
  <c r="AD184" i="39"/>
  <c r="AL184" i="39"/>
  <c r="E184" i="39"/>
  <c r="I184" i="39"/>
  <c r="M184" i="39"/>
  <c r="Q184" i="39"/>
  <c r="U184" i="39"/>
  <c r="Y184" i="39"/>
  <c r="AC184" i="39"/>
  <c r="AG184" i="39"/>
  <c r="AK184" i="39"/>
  <c r="AO184" i="39"/>
  <c r="J184" i="39"/>
  <c r="R184" i="39"/>
  <c r="Z184" i="39"/>
  <c r="AH184" i="39"/>
  <c r="AP184" i="39"/>
  <c r="AQ68" i="49"/>
  <c r="AQ103" i="49"/>
  <c r="AQ36" i="49"/>
  <c r="AQ56" i="49" s="1"/>
  <c r="AS81" i="30"/>
  <c r="AR18" i="51"/>
  <c r="AR24" i="49"/>
  <c r="AR16" i="39"/>
  <c r="AR21" i="40"/>
  <c r="AQ33" i="40"/>
  <c r="AQ53" i="40" s="1"/>
  <c r="AR225" i="53"/>
  <c r="AR179" i="53"/>
  <c r="AR131" i="53"/>
  <c r="AR153" i="53"/>
  <c r="AQ86" i="53"/>
  <c r="AR201" i="53"/>
  <c r="AR105" i="53"/>
  <c r="AQ11" i="53"/>
  <c r="AR178" i="52"/>
  <c r="AR200" i="52"/>
  <c r="AR234" i="52"/>
  <c r="AR226" i="52"/>
  <c r="AR152" i="52"/>
  <c r="AR130" i="52"/>
  <c r="AR104" i="52"/>
  <c r="AQ85" i="52"/>
  <c r="AR223" i="36"/>
  <c r="AR102" i="36"/>
  <c r="AR128" i="36"/>
  <c r="AR150" i="36"/>
  <c r="AQ83" i="36"/>
  <c r="AQ11" i="36"/>
  <c r="AR176" i="44"/>
  <c r="AQ10" i="52"/>
  <c r="AR230" i="36"/>
  <c r="AR198" i="36"/>
  <c r="AR176" i="36"/>
  <c r="AR198" i="44"/>
  <c r="AR222" i="44"/>
  <c r="AQ83" i="44"/>
  <c r="AR128" i="44"/>
  <c r="AR150" i="44"/>
  <c r="AR102" i="44"/>
  <c r="AQ11" i="44"/>
  <c r="AR176" i="43"/>
  <c r="AR222" i="43"/>
  <c r="AR198" i="43"/>
  <c r="AR128" i="43"/>
  <c r="AR150" i="43"/>
  <c r="AR102" i="43"/>
  <c r="AQ100" i="40"/>
  <c r="AQ65" i="40"/>
  <c r="AQ83" i="43"/>
  <c r="AQ11" i="43"/>
  <c r="AQ52" i="51"/>
  <c r="AQ53" i="51"/>
  <c r="AQ54" i="51"/>
  <c r="AQ55" i="51"/>
  <c r="AQ56" i="51"/>
  <c r="AQ57" i="51"/>
  <c r="AQ58" i="51"/>
  <c r="AQ59" i="51"/>
  <c r="AQ60" i="51"/>
  <c r="AQ61" i="51"/>
  <c r="AQ62" i="51"/>
  <c r="AQ63" i="51"/>
  <c r="AQ64" i="51"/>
  <c r="AQ65" i="51"/>
  <c r="AQ66" i="51"/>
  <c r="AQ67" i="51"/>
  <c r="AQ68" i="51"/>
  <c r="AQ69" i="51"/>
  <c r="AQ70" i="51"/>
  <c r="AQ71" i="51"/>
  <c r="AQ72" i="51"/>
  <c r="AQ73" i="51"/>
  <c r="AQ74" i="51"/>
  <c r="AQ75" i="51"/>
  <c r="AQ76" i="51"/>
  <c r="AQ77" i="51"/>
  <c r="AQ78" i="51"/>
  <c r="AQ79" i="51"/>
  <c r="AQ80" i="51"/>
  <c r="AQ81" i="51"/>
  <c r="AS148" i="51"/>
  <c r="B92" i="51"/>
  <c r="D91" i="51"/>
  <c r="H91" i="51"/>
  <c r="L91" i="51"/>
  <c r="P91" i="51"/>
  <c r="T91" i="51"/>
  <c r="X91" i="51"/>
  <c r="AB91" i="51"/>
  <c r="AF91" i="51"/>
  <c r="AJ91" i="51"/>
  <c r="AN91" i="51"/>
  <c r="F91" i="51"/>
  <c r="J91" i="51"/>
  <c r="N91" i="51"/>
  <c r="R91" i="51"/>
  <c r="V91" i="51"/>
  <c r="Z91" i="51"/>
  <c r="AD91" i="51"/>
  <c r="AH91" i="51"/>
  <c r="AL91" i="51"/>
  <c r="AP91" i="51"/>
  <c r="E91" i="51"/>
  <c r="I91" i="51"/>
  <c r="M91" i="51"/>
  <c r="Q91" i="51"/>
  <c r="U91" i="51"/>
  <c r="Y91" i="51"/>
  <c r="AC91" i="51"/>
  <c r="AG91" i="51"/>
  <c r="AK91" i="51"/>
  <c r="AO91" i="51"/>
  <c r="G91" i="51"/>
  <c r="W91" i="51"/>
  <c r="AM91" i="51"/>
  <c r="K91" i="51"/>
  <c r="AA91" i="51"/>
  <c r="O91" i="51"/>
  <c r="AE91" i="51"/>
  <c r="C91" i="51"/>
  <c r="S91" i="51"/>
  <c r="AI91" i="51"/>
  <c r="AR51" i="51"/>
  <c r="AS51" i="51" s="1"/>
  <c r="AQ49" i="39"/>
  <c r="AQ50" i="39"/>
  <c r="AQ51" i="39"/>
  <c r="AQ52" i="39"/>
  <c r="AQ53" i="39"/>
  <c r="AQ54" i="39"/>
  <c r="AQ55" i="39"/>
  <c r="AQ56" i="39"/>
  <c r="AQ57" i="39"/>
  <c r="AQ58" i="39"/>
  <c r="AQ59" i="39"/>
  <c r="AQ60" i="39"/>
  <c r="AQ61" i="39"/>
  <c r="AQ62" i="39"/>
  <c r="AQ63" i="39"/>
  <c r="AQ64" i="39"/>
  <c r="AQ65" i="39"/>
  <c r="AQ66" i="39"/>
  <c r="AQ67" i="39"/>
  <c r="AQ68" i="39"/>
  <c r="AQ69" i="39"/>
  <c r="AQ70" i="39"/>
  <c r="AQ71" i="39"/>
  <c r="AQ72" i="39"/>
  <c r="AQ73" i="39"/>
  <c r="AQ74" i="39"/>
  <c r="AQ75" i="39"/>
  <c r="AQ76" i="39"/>
  <c r="AQ77" i="39"/>
  <c r="AQ78" i="39"/>
  <c r="B89" i="39"/>
  <c r="D88" i="39"/>
  <c r="H88" i="39"/>
  <c r="L88" i="39"/>
  <c r="P88" i="39"/>
  <c r="T88" i="39"/>
  <c r="X88" i="39"/>
  <c r="AB88" i="39"/>
  <c r="AF88" i="39"/>
  <c r="AJ88" i="39"/>
  <c r="AN88" i="39"/>
  <c r="G88" i="39"/>
  <c r="M88" i="39"/>
  <c r="R88" i="39"/>
  <c r="W88" i="39"/>
  <c r="AC88" i="39"/>
  <c r="AH88" i="39"/>
  <c r="AM88" i="39"/>
  <c r="C88" i="39"/>
  <c r="I88" i="39"/>
  <c r="N88" i="39"/>
  <c r="S88" i="39"/>
  <c r="Y88" i="39"/>
  <c r="AD88" i="39"/>
  <c r="AI88" i="39"/>
  <c r="AO88" i="39"/>
  <c r="E88" i="39"/>
  <c r="J88" i="39"/>
  <c r="O88" i="39"/>
  <c r="U88" i="39"/>
  <c r="Z88" i="39"/>
  <c r="AE88" i="39"/>
  <c r="AK88" i="39"/>
  <c r="AP88" i="39"/>
  <c r="F88" i="39"/>
  <c r="AA88" i="39"/>
  <c r="K88" i="39"/>
  <c r="AG88" i="39"/>
  <c r="Q88" i="39"/>
  <c r="AL88" i="39"/>
  <c r="V88" i="39"/>
  <c r="AS144" i="39"/>
  <c r="AS56" i="30"/>
  <c r="AR89" i="30"/>
  <c r="AR110" i="30" s="1"/>
  <c r="AT42" i="30"/>
  <c r="AS54" i="30"/>
  <c r="AS65" i="30" s="1"/>
  <c r="AS43" i="30"/>
  <c r="AT102" i="30"/>
  <c r="AS124" i="30"/>
  <c r="AR48" i="39"/>
  <c r="G93" i="30"/>
  <c r="H90" i="30" s="1"/>
  <c r="G66" i="30"/>
  <c r="G74" i="30" s="1"/>
  <c r="G111" i="30"/>
  <c r="G113" i="30" s="1"/>
  <c r="G115" i="30" s="1"/>
  <c r="G96" i="30"/>
  <c r="H166" i="19"/>
  <c r="H132" i="19"/>
  <c r="H141" i="19"/>
  <c r="H140" i="19"/>
  <c r="H165" i="19"/>
  <c r="H133" i="19"/>
  <c r="H129" i="19"/>
  <c r="H137" i="19"/>
  <c r="H139" i="19"/>
  <c r="H156" i="19"/>
  <c r="H163" i="19"/>
  <c r="H142" i="19"/>
  <c r="H154" i="19"/>
  <c r="H160" i="19"/>
  <c r="H146" i="19"/>
  <c r="H148" i="19"/>
  <c r="H149" i="19"/>
  <c r="H150" i="19"/>
  <c r="H155" i="19"/>
  <c r="H158" i="19"/>
  <c r="H164" i="19"/>
  <c r="H143" i="19"/>
  <c r="H152" i="19"/>
  <c r="H162" i="19"/>
  <c r="H138" i="19"/>
  <c r="H144" i="19"/>
  <c r="H159" i="19"/>
  <c r="H161" i="19"/>
  <c r="H157" i="19"/>
  <c r="H147" i="19"/>
  <c r="H130" i="19"/>
  <c r="H145" i="19"/>
  <c r="H135" i="19"/>
  <c r="H128" i="19"/>
  <c r="H153" i="19"/>
  <c r="H136" i="19"/>
  <c r="H134" i="19"/>
  <c r="H151" i="19"/>
  <c r="H131" i="19"/>
  <c r="H127" i="19"/>
  <c r="O55" i="30"/>
  <c r="AC224" i="19"/>
  <c r="AC260" i="19" s="1"/>
  <c r="O125" i="19"/>
  <c r="G125" i="19"/>
  <c r="H126" i="19"/>
  <c r="AQ22" i="47" l="1"/>
  <c r="AO414" i="47"/>
  <c r="AO432" i="47"/>
  <c r="AT77" i="47"/>
  <c r="C184" i="67"/>
  <c r="D184" i="67"/>
  <c r="F184" i="67"/>
  <c r="E184" i="67"/>
  <c r="I184" i="67"/>
  <c r="G184" i="67"/>
  <c r="H184" i="67"/>
  <c r="K184" i="67"/>
  <c r="J184" i="67"/>
  <c r="N184" i="67"/>
  <c r="L184" i="67"/>
  <c r="M184" i="67"/>
  <c r="P184" i="67"/>
  <c r="O184" i="67"/>
  <c r="S184" i="67"/>
  <c r="Q184" i="67"/>
  <c r="R184" i="67"/>
  <c r="U184" i="67"/>
  <c r="T184" i="67"/>
  <c r="V184" i="67"/>
  <c r="X184" i="67"/>
  <c r="W184" i="67"/>
  <c r="AA184" i="67"/>
  <c r="Y184" i="67"/>
  <c r="Z184" i="67"/>
  <c r="AH184" i="67"/>
  <c r="AD184" i="67"/>
  <c r="AF184" i="67"/>
  <c r="AC184" i="67"/>
  <c r="AB184" i="67"/>
  <c r="AE184" i="67"/>
  <c r="AS177" i="63"/>
  <c r="AS82" i="67" s="1"/>
  <c r="AR82" i="67"/>
  <c r="AS306" i="63"/>
  <c r="AS307" i="63" s="1"/>
  <c r="AJ184" i="67" s="1"/>
  <c r="AI184" i="67"/>
  <c r="AL184" i="67"/>
  <c r="AT57" i="30"/>
  <c r="AC230" i="19"/>
  <c r="AC255" i="19"/>
  <c r="O158" i="19"/>
  <c r="O154" i="19"/>
  <c r="AC236" i="19"/>
  <c r="AC247" i="19"/>
  <c r="AC251" i="19"/>
  <c r="O161" i="19"/>
  <c r="O127" i="19"/>
  <c r="O141" i="19"/>
  <c r="AC235" i="19"/>
  <c r="AC231" i="19"/>
  <c r="O164" i="19"/>
  <c r="O132" i="19"/>
  <c r="O144" i="19"/>
  <c r="AC256" i="19"/>
  <c r="AC242" i="19"/>
  <c r="O139" i="19"/>
  <c r="O129" i="19"/>
  <c r="O147" i="19"/>
  <c r="AC233" i="19"/>
  <c r="AC249" i="19"/>
  <c r="O135" i="19"/>
  <c r="O150" i="19"/>
  <c r="AC244" i="19"/>
  <c r="AC246" i="19"/>
  <c r="AC237" i="19"/>
  <c r="O157" i="19"/>
  <c r="O153" i="19"/>
  <c r="AC258" i="19"/>
  <c r="AC228" i="19"/>
  <c r="AC250" i="19"/>
  <c r="O160" i="19"/>
  <c r="O156" i="19"/>
  <c r="O140" i="19"/>
  <c r="AC259" i="19"/>
  <c r="AC232" i="19"/>
  <c r="O163" i="19"/>
  <c r="O130" i="19"/>
  <c r="O143" i="19"/>
  <c r="O136" i="19"/>
  <c r="O155" i="19"/>
  <c r="AC262" i="19"/>
  <c r="AC248" i="19"/>
  <c r="AC227" i="19"/>
  <c r="O137" i="19"/>
  <c r="O146" i="19"/>
  <c r="AC226" i="19"/>
  <c r="AC229" i="19"/>
  <c r="AC238" i="19"/>
  <c r="O133" i="19"/>
  <c r="O149" i="19"/>
  <c r="AC254" i="19"/>
  <c r="AC264" i="19"/>
  <c r="AC245" i="19"/>
  <c r="O138" i="19"/>
  <c r="O152" i="19"/>
  <c r="AC240" i="19"/>
  <c r="AC263" i="19"/>
  <c r="AC261" i="19"/>
  <c r="O159" i="19"/>
  <c r="O126" i="19"/>
  <c r="AC257" i="19"/>
  <c r="AC265" i="19"/>
  <c r="O162" i="19"/>
  <c r="O128" i="19"/>
  <c r="O142" i="19"/>
  <c r="AC225" i="19"/>
  <c r="AC234" i="19"/>
  <c r="O165" i="19"/>
  <c r="O134" i="19"/>
  <c r="O145" i="19"/>
  <c r="AC252" i="19"/>
  <c r="AC241" i="19"/>
  <c r="O166" i="19"/>
  <c r="O131" i="19"/>
  <c r="O148" i="19"/>
  <c r="AC239" i="19"/>
  <c r="AC243" i="19"/>
  <c r="AC253" i="19"/>
  <c r="O151" i="19"/>
  <c r="AR91" i="47"/>
  <c r="AR16" i="47"/>
  <c r="AQ164" i="47"/>
  <c r="AQ180" i="47"/>
  <c r="AQ218" i="47"/>
  <c r="AQ349" i="47" s="1"/>
  <c r="AP355" i="47"/>
  <c r="AP432" i="47" s="1"/>
  <c r="AS145" i="39"/>
  <c r="AS146" i="39"/>
  <c r="AS147" i="39"/>
  <c r="AS148" i="39"/>
  <c r="AS149" i="39"/>
  <c r="AS150" i="39"/>
  <c r="AS151" i="39"/>
  <c r="AS152" i="39"/>
  <c r="AS153" i="39"/>
  <c r="AS154" i="39"/>
  <c r="AS155" i="39"/>
  <c r="AS156" i="39"/>
  <c r="AS157" i="39"/>
  <c r="AS158" i="39"/>
  <c r="AS159" i="39"/>
  <c r="AS160" i="39"/>
  <c r="AS161" i="39"/>
  <c r="AS162" i="39"/>
  <c r="AS163" i="39"/>
  <c r="AS164" i="39"/>
  <c r="AS165" i="39"/>
  <c r="AS166" i="39"/>
  <c r="AS167" i="39"/>
  <c r="AS168" i="39"/>
  <c r="AS169" i="39"/>
  <c r="AS170" i="39"/>
  <c r="AS171" i="39"/>
  <c r="AS172" i="39"/>
  <c r="AS173" i="39"/>
  <c r="AS174" i="39"/>
  <c r="AS175" i="39"/>
  <c r="AS176" i="39"/>
  <c r="B186" i="39"/>
  <c r="D185" i="39"/>
  <c r="H185" i="39"/>
  <c r="L185" i="39"/>
  <c r="P185" i="39"/>
  <c r="T185" i="39"/>
  <c r="X185" i="39"/>
  <c r="AB185" i="39"/>
  <c r="AF185" i="39"/>
  <c r="AJ185" i="39"/>
  <c r="AN185" i="39"/>
  <c r="E185" i="39"/>
  <c r="I185" i="39"/>
  <c r="M185" i="39"/>
  <c r="Q185" i="39"/>
  <c r="U185" i="39"/>
  <c r="Y185" i="39"/>
  <c r="AC185" i="39"/>
  <c r="AG185" i="39"/>
  <c r="AK185" i="39"/>
  <c r="AO185" i="39"/>
  <c r="C185" i="39"/>
  <c r="K185" i="39"/>
  <c r="S185" i="39"/>
  <c r="AA185" i="39"/>
  <c r="AI185" i="39"/>
  <c r="AQ185" i="39"/>
  <c r="F185" i="39"/>
  <c r="J185" i="39"/>
  <c r="N185" i="39"/>
  <c r="R185" i="39"/>
  <c r="V185" i="39"/>
  <c r="Z185" i="39"/>
  <c r="AD185" i="39"/>
  <c r="AH185" i="39"/>
  <c r="AL185" i="39"/>
  <c r="AP185" i="39"/>
  <c r="G185" i="39"/>
  <c r="O185" i="39"/>
  <c r="W185" i="39"/>
  <c r="AE185" i="39"/>
  <c r="AM185" i="39"/>
  <c r="AS90" i="49"/>
  <c r="AS87" i="40"/>
  <c r="AS149" i="51"/>
  <c r="AS150" i="51"/>
  <c r="AS151" i="51"/>
  <c r="AS152" i="51"/>
  <c r="AS153" i="51"/>
  <c r="AS154" i="51"/>
  <c r="AS155" i="51"/>
  <c r="AS156" i="51"/>
  <c r="AS157" i="51"/>
  <c r="AS158" i="51"/>
  <c r="AS159" i="51"/>
  <c r="AS160" i="51"/>
  <c r="AS161" i="51"/>
  <c r="AS162" i="51"/>
  <c r="AS163" i="51"/>
  <c r="AS164" i="51"/>
  <c r="AS165" i="51"/>
  <c r="AS166" i="51"/>
  <c r="AS167" i="51"/>
  <c r="AS168" i="51"/>
  <c r="AS169" i="51"/>
  <c r="AS170" i="51"/>
  <c r="AS171" i="51"/>
  <c r="AS172" i="51"/>
  <c r="AS173" i="51"/>
  <c r="AS174" i="51"/>
  <c r="AS175" i="51"/>
  <c r="AS176" i="51"/>
  <c r="AS177" i="51"/>
  <c r="AS178" i="51"/>
  <c r="AS179" i="51"/>
  <c r="AS180" i="51"/>
  <c r="AR36" i="49"/>
  <c r="AR56" i="49" s="1"/>
  <c r="AR68" i="49"/>
  <c r="AR103" i="49"/>
  <c r="B190" i="51"/>
  <c r="E189" i="51"/>
  <c r="I189" i="51"/>
  <c r="M189" i="51"/>
  <c r="Q189" i="51"/>
  <c r="U189" i="51"/>
  <c r="Y189" i="51"/>
  <c r="AC189" i="51"/>
  <c r="AG189" i="51"/>
  <c r="AK189" i="51"/>
  <c r="AO189" i="51"/>
  <c r="F189" i="51"/>
  <c r="J189" i="51"/>
  <c r="N189" i="51"/>
  <c r="R189" i="51"/>
  <c r="V189" i="51"/>
  <c r="Z189" i="51"/>
  <c r="AD189" i="51"/>
  <c r="AH189" i="51"/>
  <c r="AL189" i="51"/>
  <c r="AP189" i="51"/>
  <c r="C189" i="51"/>
  <c r="G189" i="51"/>
  <c r="K189" i="51"/>
  <c r="O189" i="51"/>
  <c r="S189" i="51"/>
  <c r="W189" i="51"/>
  <c r="AA189" i="51"/>
  <c r="AE189" i="51"/>
  <c r="AI189" i="51"/>
  <c r="AM189" i="51"/>
  <c r="AQ189" i="51"/>
  <c r="D189" i="51"/>
  <c r="H189" i="51"/>
  <c r="L189" i="51"/>
  <c r="P189" i="51"/>
  <c r="T189" i="51"/>
  <c r="X189" i="51"/>
  <c r="AB189" i="51"/>
  <c r="AF189" i="51"/>
  <c r="AJ189" i="51"/>
  <c r="AN189" i="51"/>
  <c r="AR65" i="40"/>
  <c r="AS179" i="53"/>
  <c r="AS201" i="53"/>
  <c r="AS225" i="53"/>
  <c r="AR11" i="53"/>
  <c r="AS131" i="53"/>
  <c r="AS153" i="53"/>
  <c r="AR86" i="53"/>
  <c r="AS105" i="53"/>
  <c r="AS178" i="52"/>
  <c r="AS200" i="52"/>
  <c r="AS234" i="52"/>
  <c r="AS226" i="52"/>
  <c r="AR10" i="52"/>
  <c r="AR85" i="52"/>
  <c r="AS152" i="52"/>
  <c r="AS130" i="52"/>
  <c r="AS230" i="36"/>
  <c r="AS198" i="36"/>
  <c r="AS176" i="36"/>
  <c r="AS223" i="36"/>
  <c r="AS102" i="36"/>
  <c r="AS128" i="36"/>
  <c r="AS150" i="36"/>
  <c r="AR83" i="36"/>
  <c r="AR11" i="36"/>
  <c r="AS176" i="44"/>
  <c r="AS104" i="52"/>
  <c r="AS128" i="44"/>
  <c r="AS198" i="44"/>
  <c r="AS222" i="44"/>
  <c r="AR83" i="44"/>
  <c r="AR83" i="43"/>
  <c r="AR11" i="43"/>
  <c r="AS150" i="44"/>
  <c r="AS102" i="44"/>
  <c r="AS176" i="43"/>
  <c r="AS222" i="43"/>
  <c r="AS198" i="43"/>
  <c r="AR11" i="44"/>
  <c r="AS128" i="43"/>
  <c r="AS150" i="43"/>
  <c r="AS102" i="43"/>
  <c r="AR33" i="40"/>
  <c r="AR53" i="40" s="1"/>
  <c r="AR100" i="40"/>
  <c r="AT81" i="30"/>
  <c r="AS18" i="51"/>
  <c r="AS24" i="49"/>
  <c r="AS16" i="39"/>
  <c r="AS21" i="40"/>
  <c r="AQ115" i="51"/>
  <c r="AQ112" i="39"/>
  <c r="AS52" i="51"/>
  <c r="AS53" i="51"/>
  <c r="AS54" i="51"/>
  <c r="AS55" i="51"/>
  <c r="AS56" i="51"/>
  <c r="AS57" i="51"/>
  <c r="AS58" i="51"/>
  <c r="AS59" i="51"/>
  <c r="AS60" i="51"/>
  <c r="AS61" i="51"/>
  <c r="AS62" i="51"/>
  <c r="AS63" i="51"/>
  <c r="AS64" i="51"/>
  <c r="AS65" i="51"/>
  <c r="AS66" i="51"/>
  <c r="AS67" i="51"/>
  <c r="AS68" i="51"/>
  <c r="AS69" i="51"/>
  <c r="AS70" i="51"/>
  <c r="AS71" i="51"/>
  <c r="AS72" i="51"/>
  <c r="AS73" i="51"/>
  <c r="AS74" i="51"/>
  <c r="AS75" i="51"/>
  <c r="AS76" i="51"/>
  <c r="AS77" i="51"/>
  <c r="AS78" i="51"/>
  <c r="AS79" i="51"/>
  <c r="AS80" i="51"/>
  <c r="AS81" i="51"/>
  <c r="AS82" i="51"/>
  <c r="AS83" i="51"/>
  <c r="AR52" i="51"/>
  <c r="AR53" i="51"/>
  <c r="AR54" i="51"/>
  <c r="AR55" i="51"/>
  <c r="AR56" i="51"/>
  <c r="AR57" i="51"/>
  <c r="AR58" i="51"/>
  <c r="AR59" i="51"/>
  <c r="AR60" i="51"/>
  <c r="AR61" i="51"/>
  <c r="AR62" i="51"/>
  <c r="AR63" i="51"/>
  <c r="AR64" i="51"/>
  <c r="AR65" i="51"/>
  <c r="AR66" i="51"/>
  <c r="AR67" i="51"/>
  <c r="AR68" i="51"/>
  <c r="AR69" i="51"/>
  <c r="AR70" i="51"/>
  <c r="AR71" i="51"/>
  <c r="AR72" i="51"/>
  <c r="AR73" i="51"/>
  <c r="AR74" i="51"/>
  <c r="AR75" i="51"/>
  <c r="AR76" i="51"/>
  <c r="AR77" i="51"/>
  <c r="AR78" i="51"/>
  <c r="AR79" i="51"/>
  <c r="AR80" i="51"/>
  <c r="AR81" i="51"/>
  <c r="AR82" i="51"/>
  <c r="B93" i="51"/>
  <c r="E92" i="51"/>
  <c r="I92" i="51"/>
  <c r="M92" i="51"/>
  <c r="Q92" i="51"/>
  <c r="U92" i="51"/>
  <c r="Y92" i="51"/>
  <c r="AC92" i="51"/>
  <c r="AG92" i="51"/>
  <c r="AK92" i="51"/>
  <c r="AO92" i="51"/>
  <c r="C92" i="51"/>
  <c r="G92" i="51"/>
  <c r="K92" i="51"/>
  <c r="O92" i="51"/>
  <c r="S92" i="51"/>
  <c r="W92" i="51"/>
  <c r="AA92" i="51"/>
  <c r="AE92" i="51"/>
  <c r="AI92" i="51"/>
  <c r="AM92" i="51"/>
  <c r="AQ92" i="51"/>
  <c r="F92" i="51"/>
  <c r="J92" i="51"/>
  <c r="N92" i="51"/>
  <c r="R92" i="51"/>
  <c r="V92" i="51"/>
  <c r="Z92" i="51"/>
  <c r="AD92" i="51"/>
  <c r="AH92" i="51"/>
  <c r="AL92" i="51"/>
  <c r="AP92" i="51"/>
  <c r="D92" i="51"/>
  <c r="T92" i="51"/>
  <c r="AJ92" i="51"/>
  <c r="H92" i="51"/>
  <c r="X92" i="51"/>
  <c r="AN92" i="51"/>
  <c r="L92" i="51"/>
  <c r="AB92" i="51"/>
  <c r="P92" i="51"/>
  <c r="AF92" i="51"/>
  <c r="AT148" i="51"/>
  <c r="AT51" i="51"/>
  <c r="AT144" i="39"/>
  <c r="B90" i="39"/>
  <c r="E89" i="39"/>
  <c r="I89" i="39"/>
  <c r="M89" i="39"/>
  <c r="Q89" i="39"/>
  <c r="U89" i="39"/>
  <c r="Y89" i="39"/>
  <c r="AC89" i="39"/>
  <c r="AG89" i="39"/>
  <c r="AK89" i="39"/>
  <c r="AO89" i="39"/>
  <c r="D89" i="39"/>
  <c r="J89" i="39"/>
  <c r="O89" i="39"/>
  <c r="T89" i="39"/>
  <c r="Z89" i="39"/>
  <c r="AE89" i="39"/>
  <c r="AJ89" i="39"/>
  <c r="AP89" i="39"/>
  <c r="F89" i="39"/>
  <c r="K89" i="39"/>
  <c r="P89" i="39"/>
  <c r="V89" i="39"/>
  <c r="AA89" i="39"/>
  <c r="AF89" i="39"/>
  <c r="AL89" i="39"/>
  <c r="AQ89" i="39"/>
  <c r="G89" i="39"/>
  <c r="L89" i="39"/>
  <c r="R89" i="39"/>
  <c r="W89" i="39"/>
  <c r="AB89" i="39"/>
  <c r="AH89" i="39"/>
  <c r="AM89" i="39"/>
  <c r="S89" i="39"/>
  <c r="AN89" i="39"/>
  <c r="AI89" i="39"/>
  <c r="C89" i="39"/>
  <c r="X89" i="39"/>
  <c r="H89" i="39"/>
  <c r="AD89" i="39"/>
  <c r="N89" i="39"/>
  <c r="AR49" i="39"/>
  <c r="AR50" i="39"/>
  <c r="AR51" i="39"/>
  <c r="AR52" i="39"/>
  <c r="AR53" i="39"/>
  <c r="AR54" i="39"/>
  <c r="AR55" i="39"/>
  <c r="AR56" i="39"/>
  <c r="AR57" i="39"/>
  <c r="AR58" i="39"/>
  <c r="AR59" i="39"/>
  <c r="AR60" i="39"/>
  <c r="AR61" i="39"/>
  <c r="AR62" i="39"/>
  <c r="AR63" i="39"/>
  <c r="AR64" i="39"/>
  <c r="AR65" i="39"/>
  <c r="AR66" i="39"/>
  <c r="AR67" i="39"/>
  <c r="AR68" i="39"/>
  <c r="AR69" i="39"/>
  <c r="AR70" i="39"/>
  <c r="AR71" i="39"/>
  <c r="AR72" i="39"/>
  <c r="AR73" i="39"/>
  <c r="AR74" i="39"/>
  <c r="AR75" i="39"/>
  <c r="AR76" i="39"/>
  <c r="AR77" i="39"/>
  <c r="AR78" i="39"/>
  <c r="AR79" i="39"/>
  <c r="AS48" i="39"/>
  <c r="AT48" i="39" s="1"/>
  <c r="AS89" i="30"/>
  <c r="AS110" i="30" s="1"/>
  <c r="AU42" i="30"/>
  <c r="AT54" i="30"/>
  <c r="AT65" i="30" s="1"/>
  <c r="AT43" i="30"/>
  <c r="AT56" i="30"/>
  <c r="AT124" i="30"/>
  <c r="AU102" i="30"/>
  <c r="G69" i="30"/>
  <c r="G68" i="30"/>
  <c r="G70" i="30" s="1"/>
  <c r="G117" i="30"/>
  <c r="G114" i="30"/>
  <c r="H111" i="30" s="1"/>
  <c r="G166" i="19"/>
  <c r="H93" i="30"/>
  <c r="H96" i="30"/>
  <c r="H92" i="30"/>
  <c r="H94" i="30" s="1"/>
  <c r="G128" i="19"/>
  <c r="G142" i="19"/>
  <c r="G154" i="19"/>
  <c r="G148" i="19"/>
  <c r="G149" i="19"/>
  <c r="G158" i="19"/>
  <c r="G138" i="19"/>
  <c r="G162" i="19"/>
  <c r="G137" i="19"/>
  <c r="G145" i="19"/>
  <c r="G139" i="19"/>
  <c r="G151" i="19"/>
  <c r="G130" i="19"/>
  <c r="G165" i="19"/>
  <c r="G134" i="19"/>
  <c r="G147" i="19"/>
  <c r="G159" i="19"/>
  <c r="G152" i="19"/>
  <c r="G155" i="19"/>
  <c r="G146" i="19"/>
  <c r="G163" i="19"/>
  <c r="G129" i="19"/>
  <c r="G127" i="19"/>
  <c r="G141" i="19"/>
  <c r="G136" i="19"/>
  <c r="G157" i="19"/>
  <c r="G144" i="19"/>
  <c r="G143" i="19"/>
  <c r="G150" i="19"/>
  <c r="G160" i="19"/>
  <c r="G156" i="19"/>
  <c r="G133" i="19"/>
  <c r="G131" i="19"/>
  <c r="G132" i="19"/>
  <c r="G153" i="19"/>
  <c r="G135" i="19"/>
  <c r="G161" i="19"/>
  <c r="G164" i="19"/>
  <c r="G140" i="19"/>
  <c r="P55" i="30"/>
  <c r="AD224" i="19"/>
  <c r="AD260" i="19" s="1"/>
  <c r="F125" i="19"/>
  <c r="G126" i="19"/>
  <c r="P125" i="19"/>
  <c r="AK184" i="67" l="1"/>
  <c r="AR22" i="47"/>
  <c r="AU77" i="47"/>
  <c r="AU57" i="30"/>
  <c r="P166" i="19"/>
  <c r="P134" i="19"/>
  <c r="P142" i="19"/>
  <c r="P133" i="19"/>
  <c r="P146" i="19"/>
  <c r="P130" i="19"/>
  <c r="P140" i="19"/>
  <c r="P135" i="19"/>
  <c r="P129" i="19"/>
  <c r="P144" i="19"/>
  <c r="P158" i="19"/>
  <c r="AD263" i="19"/>
  <c r="AD262" i="19"/>
  <c r="AD239" i="19"/>
  <c r="AD241" i="19"/>
  <c r="P165" i="19"/>
  <c r="P128" i="19"/>
  <c r="P126" i="19"/>
  <c r="AD240" i="19"/>
  <c r="AD264" i="19"/>
  <c r="AD238" i="19"/>
  <c r="P137" i="19"/>
  <c r="P155" i="19"/>
  <c r="P163" i="19"/>
  <c r="P156" i="19"/>
  <c r="AD258" i="19"/>
  <c r="AD246" i="19"/>
  <c r="AD249" i="19"/>
  <c r="P139" i="19"/>
  <c r="P132" i="19"/>
  <c r="P141" i="19"/>
  <c r="AD247" i="19"/>
  <c r="AD255" i="19"/>
  <c r="AD243" i="19"/>
  <c r="AD257" i="19"/>
  <c r="AD245" i="19"/>
  <c r="AD228" i="19"/>
  <c r="AD237" i="19"/>
  <c r="AD235" i="19"/>
  <c r="AD251" i="19"/>
  <c r="P151" i="19"/>
  <c r="P148" i="19"/>
  <c r="AD252" i="19"/>
  <c r="AD234" i="19"/>
  <c r="P162" i="19"/>
  <c r="P159" i="19"/>
  <c r="P152" i="19"/>
  <c r="AD254" i="19"/>
  <c r="AD229" i="19"/>
  <c r="AD227" i="19"/>
  <c r="P136" i="19"/>
  <c r="AD232" i="19"/>
  <c r="P160" i="19"/>
  <c r="P153" i="19"/>
  <c r="AD244" i="19"/>
  <c r="AD233" i="19"/>
  <c r="AD242" i="19"/>
  <c r="P164" i="19"/>
  <c r="P127" i="19"/>
  <c r="AD236" i="19"/>
  <c r="AD230" i="19"/>
  <c r="AD253" i="19"/>
  <c r="P131" i="19"/>
  <c r="P145" i="19"/>
  <c r="AD225" i="19"/>
  <c r="AD265" i="19"/>
  <c r="AD261" i="19"/>
  <c r="P138" i="19"/>
  <c r="P149" i="19"/>
  <c r="AD226" i="19"/>
  <c r="AD248" i="19"/>
  <c r="P143" i="19"/>
  <c r="AD259" i="19"/>
  <c r="AD250" i="19"/>
  <c r="P157" i="19"/>
  <c r="P150" i="19"/>
  <c r="P147" i="19"/>
  <c r="AD256" i="19"/>
  <c r="AD231" i="19"/>
  <c r="P161" i="19"/>
  <c r="P154" i="19"/>
  <c r="AP414" i="47"/>
  <c r="AS91" i="47"/>
  <c r="AS16" i="47"/>
  <c r="AQ355" i="47"/>
  <c r="AQ432" i="47" s="1"/>
  <c r="AR218" i="47"/>
  <c r="AR349" i="47" s="1"/>
  <c r="AR164" i="47"/>
  <c r="AR180" i="47"/>
  <c r="AU81" i="30"/>
  <c r="AT18" i="51"/>
  <c r="AT24" i="49"/>
  <c r="AT21" i="40"/>
  <c r="AT16" i="39"/>
  <c r="AS68" i="49"/>
  <c r="AS36" i="49"/>
  <c r="AS56" i="49" s="1"/>
  <c r="AS103" i="49"/>
  <c r="B191" i="51"/>
  <c r="F190" i="51"/>
  <c r="J190" i="51"/>
  <c r="N190" i="51"/>
  <c r="R190" i="51"/>
  <c r="V190" i="51"/>
  <c r="Z190" i="51"/>
  <c r="AD190" i="51"/>
  <c r="AH190" i="51"/>
  <c r="AL190" i="51"/>
  <c r="AP190" i="51"/>
  <c r="C190" i="51"/>
  <c r="G190" i="51"/>
  <c r="K190" i="51"/>
  <c r="O190" i="51"/>
  <c r="S190" i="51"/>
  <c r="W190" i="51"/>
  <c r="AA190" i="51"/>
  <c r="AE190" i="51"/>
  <c r="AI190" i="51"/>
  <c r="AM190" i="51"/>
  <c r="AQ190" i="51"/>
  <c r="D190" i="51"/>
  <c r="H190" i="51"/>
  <c r="L190" i="51"/>
  <c r="P190" i="51"/>
  <c r="T190" i="51"/>
  <c r="X190" i="51"/>
  <c r="AB190" i="51"/>
  <c r="AF190" i="51"/>
  <c r="AJ190" i="51"/>
  <c r="AN190" i="51"/>
  <c r="AR190" i="51"/>
  <c r="E190" i="51"/>
  <c r="I190" i="51"/>
  <c r="M190" i="51"/>
  <c r="Q190" i="51"/>
  <c r="U190" i="51"/>
  <c r="Y190" i="51"/>
  <c r="AC190" i="51"/>
  <c r="AG190" i="51"/>
  <c r="AK190" i="51"/>
  <c r="AO190" i="51"/>
  <c r="B187" i="39"/>
  <c r="E186" i="39"/>
  <c r="I186" i="39"/>
  <c r="M186" i="39"/>
  <c r="Q186" i="39"/>
  <c r="U186" i="39"/>
  <c r="Y186" i="39"/>
  <c r="AC186" i="39"/>
  <c r="AG186" i="39"/>
  <c r="AK186" i="39"/>
  <c r="AO186" i="39"/>
  <c r="F186" i="39"/>
  <c r="J186" i="39"/>
  <c r="N186" i="39"/>
  <c r="R186" i="39"/>
  <c r="V186" i="39"/>
  <c r="Z186" i="39"/>
  <c r="AD186" i="39"/>
  <c r="AH186" i="39"/>
  <c r="AL186" i="39"/>
  <c r="AP186" i="39"/>
  <c r="H186" i="39"/>
  <c r="P186" i="39"/>
  <c r="X186" i="39"/>
  <c r="AF186" i="39"/>
  <c r="AN186" i="39"/>
  <c r="C186" i="39"/>
  <c r="G186" i="39"/>
  <c r="K186" i="39"/>
  <c r="O186" i="39"/>
  <c r="S186" i="39"/>
  <c r="W186" i="39"/>
  <c r="AA186" i="39"/>
  <c r="AE186" i="39"/>
  <c r="AI186" i="39"/>
  <c r="AM186" i="39"/>
  <c r="AQ186" i="39"/>
  <c r="D186" i="39"/>
  <c r="L186" i="39"/>
  <c r="T186" i="39"/>
  <c r="AB186" i="39"/>
  <c r="AJ186" i="39"/>
  <c r="AR186" i="39"/>
  <c r="AT145" i="39"/>
  <c r="AT146" i="39"/>
  <c r="AT147" i="39"/>
  <c r="AT148" i="39"/>
  <c r="AT149" i="39"/>
  <c r="AT150" i="39"/>
  <c r="AT151" i="39"/>
  <c r="AT152" i="39"/>
  <c r="AT153" i="39"/>
  <c r="AT154" i="39"/>
  <c r="AT155" i="39"/>
  <c r="AT156" i="39"/>
  <c r="AT157" i="39"/>
  <c r="AT158" i="39"/>
  <c r="AT159" i="39"/>
  <c r="AT160" i="39"/>
  <c r="AT161" i="39"/>
  <c r="AT162" i="39"/>
  <c r="AT163" i="39"/>
  <c r="AT164" i="39"/>
  <c r="AT165" i="39"/>
  <c r="AT166" i="39"/>
  <c r="AT167" i="39"/>
  <c r="AT168" i="39"/>
  <c r="AT169" i="39"/>
  <c r="AT170" i="39"/>
  <c r="AT171" i="39"/>
  <c r="AT172" i="39"/>
  <c r="AT173" i="39"/>
  <c r="AT174" i="39"/>
  <c r="AT175" i="39"/>
  <c r="AT176" i="39"/>
  <c r="AT177" i="39"/>
  <c r="AT179" i="53"/>
  <c r="AT201" i="53"/>
  <c r="AT105" i="53"/>
  <c r="AT225" i="53"/>
  <c r="AS11" i="53"/>
  <c r="AT153" i="53"/>
  <c r="AS86" i="53"/>
  <c r="AT131" i="53"/>
  <c r="AT234" i="52"/>
  <c r="AT226" i="52"/>
  <c r="AT178" i="52"/>
  <c r="AT200" i="52"/>
  <c r="AT104" i="52"/>
  <c r="AS10" i="52"/>
  <c r="AS85" i="52"/>
  <c r="AT152" i="52"/>
  <c r="AT230" i="36"/>
  <c r="AT198" i="36"/>
  <c r="AT176" i="36"/>
  <c r="AT130" i="52"/>
  <c r="AT223" i="36"/>
  <c r="AT102" i="36"/>
  <c r="AT128" i="36"/>
  <c r="AT150" i="36"/>
  <c r="AS83" i="36"/>
  <c r="AS11" i="36"/>
  <c r="AT128" i="44"/>
  <c r="AT150" i="44"/>
  <c r="AT102" i="44"/>
  <c r="AS11" i="44"/>
  <c r="AT198" i="44"/>
  <c r="AT222" i="44"/>
  <c r="AT176" i="44"/>
  <c r="AS83" i="44"/>
  <c r="AT128" i="43"/>
  <c r="AT150" i="43"/>
  <c r="AT102" i="43"/>
  <c r="AS83" i="43"/>
  <c r="AS11" i="43"/>
  <c r="AT176" i="43"/>
  <c r="AT222" i="43"/>
  <c r="AT198" i="43"/>
  <c r="AS65" i="40"/>
  <c r="AS100" i="40"/>
  <c r="AS33" i="40"/>
  <c r="AS53" i="40" s="1"/>
  <c r="AT90" i="49"/>
  <c r="AT87" i="40"/>
  <c r="AT149" i="51"/>
  <c r="AT150" i="51"/>
  <c r="AT151" i="51"/>
  <c r="AT152" i="51"/>
  <c r="AT153" i="51"/>
  <c r="AT154" i="51"/>
  <c r="AT155" i="51"/>
  <c r="AT156" i="51"/>
  <c r="AT157" i="51"/>
  <c r="AT158" i="51"/>
  <c r="AT159" i="51"/>
  <c r="AT160" i="51"/>
  <c r="AT161" i="51"/>
  <c r="AT162" i="51"/>
  <c r="AT163" i="51"/>
  <c r="AT164" i="51"/>
  <c r="AT165" i="51"/>
  <c r="AT166" i="51"/>
  <c r="AT167" i="51"/>
  <c r="AT168" i="51"/>
  <c r="AT169" i="51"/>
  <c r="AT170" i="51"/>
  <c r="AT171" i="51"/>
  <c r="AT172" i="51"/>
  <c r="AT173" i="51"/>
  <c r="AT174" i="51"/>
  <c r="AT175" i="51"/>
  <c r="AT176" i="51"/>
  <c r="AT177" i="51"/>
  <c r="AT178" i="51"/>
  <c r="AT179" i="51"/>
  <c r="AT180" i="51"/>
  <c r="AT181" i="51"/>
  <c r="AR115" i="51"/>
  <c r="AR112" i="39"/>
  <c r="AT52" i="51"/>
  <c r="AT53" i="51"/>
  <c r="AT54" i="51"/>
  <c r="AT55" i="51"/>
  <c r="AT56" i="51"/>
  <c r="AT57" i="51"/>
  <c r="AT58" i="51"/>
  <c r="AT59" i="51"/>
  <c r="AT60" i="51"/>
  <c r="AT61" i="51"/>
  <c r="AT62" i="51"/>
  <c r="AT63" i="51"/>
  <c r="AT64" i="51"/>
  <c r="AT65" i="51"/>
  <c r="AT66" i="51"/>
  <c r="AT67" i="51"/>
  <c r="AT68" i="51"/>
  <c r="AT69" i="51"/>
  <c r="AT70" i="51"/>
  <c r="AT71" i="51"/>
  <c r="AT72" i="51"/>
  <c r="AT73" i="51"/>
  <c r="AT74" i="51"/>
  <c r="AT75" i="51"/>
  <c r="AT76" i="51"/>
  <c r="AT77" i="51"/>
  <c r="AT78" i="51"/>
  <c r="AT79" i="51"/>
  <c r="AT80" i="51"/>
  <c r="AT81" i="51"/>
  <c r="AT82" i="51"/>
  <c r="AT83" i="51"/>
  <c r="AT84" i="51"/>
  <c r="B94" i="51"/>
  <c r="F93" i="51"/>
  <c r="J93" i="51"/>
  <c r="N93" i="51"/>
  <c r="R93" i="51"/>
  <c r="V93" i="51"/>
  <c r="Z93" i="51"/>
  <c r="AD93" i="51"/>
  <c r="AH93" i="51"/>
  <c r="AL93" i="51"/>
  <c r="AP93" i="51"/>
  <c r="D93" i="51"/>
  <c r="H93" i="51"/>
  <c r="L93" i="51"/>
  <c r="P93" i="51"/>
  <c r="T93" i="51"/>
  <c r="X93" i="51"/>
  <c r="AB93" i="51"/>
  <c r="AF93" i="51"/>
  <c r="AJ93" i="51"/>
  <c r="AN93" i="51"/>
  <c r="AR93" i="51"/>
  <c r="C93" i="51"/>
  <c r="G93" i="51"/>
  <c r="K93" i="51"/>
  <c r="O93" i="51"/>
  <c r="S93" i="51"/>
  <c r="W93" i="51"/>
  <c r="AA93" i="51"/>
  <c r="AE93" i="51"/>
  <c r="AI93" i="51"/>
  <c r="AM93" i="51"/>
  <c r="AQ93" i="51"/>
  <c r="Q93" i="51"/>
  <c r="AG93" i="51"/>
  <c r="E93" i="51"/>
  <c r="U93" i="51"/>
  <c r="AK93" i="51"/>
  <c r="I93" i="51"/>
  <c r="Y93" i="51"/>
  <c r="AO93" i="51"/>
  <c r="M93" i="51"/>
  <c r="AC93" i="51"/>
  <c r="AU148" i="51"/>
  <c r="AU51" i="51"/>
  <c r="AT49" i="39"/>
  <c r="AT50" i="39"/>
  <c r="AT51" i="39"/>
  <c r="AT52" i="39"/>
  <c r="AT53" i="39"/>
  <c r="AT54" i="39"/>
  <c r="AT55" i="39"/>
  <c r="AT56" i="39"/>
  <c r="AT57" i="39"/>
  <c r="AT58" i="39"/>
  <c r="AT59" i="39"/>
  <c r="AT60" i="39"/>
  <c r="AT61" i="39"/>
  <c r="AT62" i="39"/>
  <c r="AT63" i="39"/>
  <c r="AT64" i="39"/>
  <c r="AT65" i="39"/>
  <c r="AT66" i="39"/>
  <c r="AT67" i="39"/>
  <c r="AT68" i="39"/>
  <c r="AT69" i="39"/>
  <c r="AT70" i="39"/>
  <c r="AT71" i="39"/>
  <c r="AT72" i="39"/>
  <c r="AT73" i="39"/>
  <c r="AT74" i="39"/>
  <c r="AT75" i="39"/>
  <c r="AT76" i="39"/>
  <c r="AT77" i="39"/>
  <c r="AT78" i="39"/>
  <c r="AT79" i="39"/>
  <c r="AT80" i="39"/>
  <c r="AT81" i="39"/>
  <c r="AS49" i="39"/>
  <c r="AS50" i="39"/>
  <c r="AS51" i="39"/>
  <c r="AS52" i="39"/>
  <c r="AS53" i="39"/>
  <c r="AS54" i="39"/>
  <c r="AS55" i="39"/>
  <c r="AS56" i="39"/>
  <c r="AS57" i="39"/>
  <c r="AS58" i="39"/>
  <c r="AS59" i="39"/>
  <c r="AS60" i="39"/>
  <c r="AS61" i="39"/>
  <c r="AS62" i="39"/>
  <c r="AS63" i="39"/>
  <c r="AS64" i="39"/>
  <c r="AS65" i="39"/>
  <c r="AS66" i="39"/>
  <c r="AS67" i="39"/>
  <c r="AS68" i="39"/>
  <c r="AS69" i="39"/>
  <c r="AS70" i="39"/>
  <c r="AS71" i="39"/>
  <c r="AS72" i="39"/>
  <c r="AS73" i="39"/>
  <c r="AS74" i="39"/>
  <c r="AS75" i="39"/>
  <c r="AS76" i="39"/>
  <c r="AS77" i="39"/>
  <c r="AS78" i="39"/>
  <c r="AS79" i="39"/>
  <c r="AS80" i="39"/>
  <c r="B91" i="39"/>
  <c r="F90" i="39"/>
  <c r="J90" i="39"/>
  <c r="N90" i="39"/>
  <c r="R90" i="39"/>
  <c r="V90" i="39"/>
  <c r="Z90" i="39"/>
  <c r="AD90" i="39"/>
  <c r="AH90" i="39"/>
  <c r="AL90" i="39"/>
  <c r="AP90" i="39"/>
  <c r="G90" i="39"/>
  <c r="L90" i="39"/>
  <c r="Q90" i="39"/>
  <c r="W90" i="39"/>
  <c r="AB90" i="39"/>
  <c r="AG90" i="39"/>
  <c r="AM90" i="39"/>
  <c r="AR90" i="39"/>
  <c r="C90" i="39"/>
  <c r="H90" i="39"/>
  <c r="D90" i="39"/>
  <c r="I90" i="39"/>
  <c r="O90" i="39"/>
  <c r="K90" i="39"/>
  <c r="T90" i="39"/>
  <c r="AA90" i="39"/>
  <c r="AI90" i="39"/>
  <c r="AO90" i="39"/>
  <c r="E90" i="39"/>
  <c r="Y90" i="39"/>
  <c r="AN90" i="39"/>
  <c r="M90" i="39"/>
  <c r="U90" i="39"/>
  <c r="AC90" i="39"/>
  <c r="AJ90" i="39"/>
  <c r="AQ90" i="39"/>
  <c r="P90" i="39"/>
  <c r="X90" i="39"/>
  <c r="AE90" i="39"/>
  <c r="AK90" i="39"/>
  <c r="S90" i="39"/>
  <c r="AF90" i="39"/>
  <c r="AU144" i="39"/>
  <c r="AU48" i="39"/>
  <c r="AU56" i="30"/>
  <c r="AU54" i="30"/>
  <c r="AU65" i="30" s="1"/>
  <c r="AV42" i="30"/>
  <c r="AU43" i="30"/>
  <c r="AT89" i="30"/>
  <c r="AT110" i="30" s="1"/>
  <c r="AV102" i="30"/>
  <c r="AU124" i="30"/>
  <c r="H66" i="30"/>
  <c r="H68" i="30" s="1"/>
  <c r="H70" i="30" s="1"/>
  <c r="H113" i="30"/>
  <c r="H115" i="30" s="1"/>
  <c r="H114" i="30"/>
  <c r="H117" i="30"/>
  <c r="F166" i="19"/>
  <c r="I90" i="30"/>
  <c r="F133" i="19"/>
  <c r="F143" i="19"/>
  <c r="F127" i="19"/>
  <c r="F147" i="19"/>
  <c r="F151" i="19"/>
  <c r="F162" i="19"/>
  <c r="F161" i="19"/>
  <c r="F153" i="19"/>
  <c r="F156" i="19"/>
  <c r="F144" i="19"/>
  <c r="F155" i="19"/>
  <c r="F139" i="19"/>
  <c r="F138" i="19"/>
  <c r="F154" i="19"/>
  <c r="F131" i="19"/>
  <c r="F148" i="19"/>
  <c r="F141" i="19"/>
  <c r="F146" i="19"/>
  <c r="F150" i="19"/>
  <c r="F135" i="19"/>
  <c r="F140" i="19"/>
  <c r="F132" i="19"/>
  <c r="F160" i="19"/>
  <c r="F136" i="19"/>
  <c r="F129" i="19"/>
  <c r="F152" i="19"/>
  <c r="F134" i="19"/>
  <c r="F145" i="19"/>
  <c r="F158" i="19"/>
  <c r="F142" i="19"/>
  <c r="F164" i="19"/>
  <c r="F157" i="19"/>
  <c r="F163" i="19"/>
  <c r="F159" i="19"/>
  <c r="F165" i="19"/>
  <c r="F130" i="19"/>
  <c r="F137" i="19"/>
  <c r="F149" i="19"/>
  <c r="F128" i="19"/>
  <c r="Q55" i="30"/>
  <c r="AE224" i="19"/>
  <c r="AE260" i="19" s="1"/>
  <c r="E125" i="19"/>
  <c r="F126" i="19"/>
  <c r="Q125" i="19"/>
  <c r="AV57" i="30" l="1"/>
  <c r="AS22" i="47"/>
  <c r="AV77" i="47"/>
  <c r="Q133" i="19"/>
  <c r="AE231" i="19"/>
  <c r="Q157" i="19"/>
  <c r="AE248" i="19"/>
  <c r="AE261" i="19"/>
  <c r="Q131" i="19"/>
  <c r="Q127" i="19"/>
  <c r="AE244" i="19"/>
  <c r="Q136" i="19"/>
  <c r="Q152" i="19"/>
  <c r="AE252" i="19"/>
  <c r="AE235" i="19"/>
  <c r="Q130" i="19"/>
  <c r="Q134" i="19"/>
  <c r="Q141" i="19"/>
  <c r="AE246" i="19"/>
  <c r="Q155" i="19"/>
  <c r="AE240" i="19"/>
  <c r="AE241" i="19"/>
  <c r="Q135" i="19"/>
  <c r="AE263" i="19"/>
  <c r="AE256" i="19"/>
  <c r="AE250" i="19"/>
  <c r="AE226" i="19"/>
  <c r="AE265" i="19"/>
  <c r="AE253" i="19"/>
  <c r="Q164" i="19"/>
  <c r="Q153" i="19"/>
  <c r="AE227" i="19"/>
  <c r="Q159" i="19"/>
  <c r="Q148" i="19"/>
  <c r="Q129" i="19"/>
  <c r="Q146" i="19"/>
  <c r="AE243" i="19"/>
  <c r="Q132" i="19"/>
  <c r="AE258" i="19"/>
  <c r="Q137" i="19"/>
  <c r="Q126" i="19"/>
  <c r="AE239" i="19"/>
  <c r="Q140" i="19"/>
  <c r="Q142" i="19"/>
  <c r="Q154" i="19"/>
  <c r="Q147" i="19"/>
  <c r="AE259" i="19"/>
  <c r="Q149" i="19"/>
  <c r="AE225" i="19"/>
  <c r="AE230" i="19"/>
  <c r="AE242" i="19"/>
  <c r="Q160" i="19"/>
  <c r="AE229" i="19"/>
  <c r="Q162" i="19"/>
  <c r="Q151" i="19"/>
  <c r="AE237" i="19"/>
  <c r="AE245" i="19"/>
  <c r="AE255" i="19"/>
  <c r="Q139" i="19"/>
  <c r="Q156" i="19"/>
  <c r="AE238" i="19"/>
  <c r="Q128" i="19"/>
  <c r="Q158" i="19"/>
  <c r="AE262" i="19"/>
  <c r="Q166" i="19"/>
  <c r="Q161" i="19"/>
  <c r="Q150" i="19"/>
  <c r="Q143" i="19"/>
  <c r="Q138" i="19"/>
  <c r="Q145" i="19"/>
  <c r="AE236" i="19"/>
  <c r="AE233" i="19"/>
  <c r="AE232" i="19"/>
  <c r="AE254" i="19"/>
  <c r="AE234" i="19"/>
  <c r="AE251" i="19"/>
  <c r="AE228" i="19"/>
  <c r="AE257" i="19"/>
  <c r="AE247" i="19"/>
  <c r="AE249" i="19"/>
  <c r="Q163" i="19"/>
  <c r="AE264" i="19"/>
  <c r="Q165" i="19"/>
  <c r="Q144" i="19"/>
  <c r="AQ414" i="47"/>
  <c r="AR355" i="47"/>
  <c r="AR432" i="47" s="1"/>
  <c r="AS180" i="47"/>
  <c r="AS218" i="47"/>
  <c r="AS349" i="47" s="1"/>
  <c r="AS164" i="47"/>
  <c r="AT91" i="47"/>
  <c r="AT16" i="47"/>
  <c r="AU90" i="49"/>
  <c r="AU87" i="40"/>
  <c r="AU145" i="39"/>
  <c r="AU146" i="39"/>
  <c r="AU147" i="39"/>
  <c r="AU148" i="39"/>
  <c r="AU149" i="39"/>
  <c r="AU150" i="39"/>
  <c r="AU151" i="39"/>
  <c r="AU152" i="39"/>
  <c r="AU153" i="39"/>
  <c r="AU154" i="39"/>
  <c r="AU155" i="39"/>
  <c r="AU156" i="39"/>
  <c r="AU157" i="39"/>
  <c r="AU158" i="39"/>
  <c r="AU159" i="39"/>
  <c r="AU160" i="39"/>
  <c r="AU161" i="39"/>
  <c r="AU162" i="39"/>
  <c r="AU163" i="39"/>
  <c r="AU164" i="39"/>
  <c r="AU165" i="39"/>
  <c r="AU166" i="39"/>
  <c r="AU167" i="39"/>
  <c r="AU168" i="39"/>
  <c r="AU169" i="39"/>
  <c r="AU170" i="39"/>
  <c r="AU171" i="39"/>
  <c r="AU172" i="39"/>
  <c r="AU173" i="39"/>
  <c r="AU174" i="39"/>
  <c r="AU175" i="39"/>
  <c r="AU176" i="39"/>
  <c r="AU177" i="39"/>
  <c r="AU178" i="39"/>
  <c r="AU149" i="51"/>
  <c r="AU150" i="51"/>
  <c r="AU151" i="51"/>
  <c r="AU152" i="51"/>
  <c r="AU153" i="51"/>
  <c r="AU154" i="51"/>
  <c r="AU155" i="51"/>
  <c r="AU156" i="51"/>
  <c r="AU157" i="51"/>
  <c r="AU158" i="51"/>
  <c r="AU159" i="51"/>
  <c r="AU160" i="51"/>
  <c r="AU161" i="51"/>
  <c r="AU162" i="51"/>
  <c r="AU163" i="51"/>
  <c r="AU164" i="51"/>
  <c r="AU165" i="51"/>
  <c r="AU166" i="51"/>
  <c r="AU167" i="51"/>
  <c r="AU168" i="51"/>
  <c r="AU169" i="51"/>
  <c r="AU170" i="51"/>
  <c r="AU171" i="51"/>
  <c r="AU172" i="51"/>
  <c r="AU173" i="51"/>
  <c r="AU174" i="51"/>
  <c r="AU175" i="51"/>
  <c r="AU176" i="51"/>
  <c r="AU177" i="51"/>
  <c r="AU178" i="51"/>
  <c r="AU179" i="51"/>
  <c r="AU180" i="51"/>
  <c r="AU181" i="51"/>
  <c r="AU182" i="51"/>
  <c r="AU225" i="53"/>
  <c r="AU179" i="53"/>
  <c r="AU201" i="53"/>
  <c r="AU131" i="53"/>
  <c r="AU153" i="53"/>
  <c r="AT86" i="53"/>
  <c r="AU105" i="53"/>
  <c r="AT11" i="53"/>
  <c r="AU234" i="52"/>
  <c r="AU226" i="52"/>
  <c r="AU178" i="52"/>
  <c r="AU200" i="52"/>
  <c r="AU130" i="52"/>
  <c r="AU104" i="52"/>
  <c r="AT10" i="52"/>
  <c r="AT85" i="52"/>
  <c r="AU176" i="44"/>
  <c r="AU152" i="52"/>
  <c r="AU230" i="36"/>
  <c r="AU198" i="36"/>
  <c r="AU176" i="36"/>
  <c r="AU223" i="36"/>
  <c r="AU102" i="36"/>
  <c r="AU128" i="36"/>
  <c r="AT11" i="36"/>
  <c r="AU128" i="44"/>
  <c r="AU150" i="44"/>
  <c r="AU102" i="44"/>
  <c r="AT11" i="44"/>
  <c r="AU150" i="36"/>
  <c r="AT83" i="36"/>
  <c r="AU198" i="44"/>
  <c r="AU222" i="44"/>
  <c r="AU222" i="43"/>
  <c r="AU198" i="43"/>
  <c r="AT83" i="44"/>
  <c r="AU128" i="43"/>
  <c r="AU150" i="43"/>
  <c r="AU102" i="43"/>
  <c r="AT83" i="43"/>
  <c r="AT11" i="43"/>
  <c r="AU176" i="43"/>
  <c r="AT33" i="40"/>
  <c r="AT53" i="40" s="1"/>
  <c r="AT100" i="40"/>
  <c r="AT65" i="40"/>
  <c r="AS115" i="51"/>
  <c r="AS112" i="39"/>
  <c r="B188" i="39"/>
  <c r="F187" i="39"/>
  <c r="J187" i="39"/>
  <c r="N187" i="39"/>
  <c r="R187" i="39"/>
  <c r="V187" i="39"/>
  <c r="Z187" i="39"/>
  <c r="AD187" i="39"/>
  <c r="AH187" i="39"/>
  <c r="AL187" i="39"/>
  <c r="AP187" i="39"/>
  <c r="C187" i="39"/>
  <c r="G187" i="39"/>
  <c r="K187" i="39"/>
  <c r="O187" i="39"/>
  <c r="S187" i="39"/>
  <c r="W187" i="39"/>
  <c r="AA187" i="39"/>
  <c r="AE187" i="39"/>
  <c r="AI187" i="39"/>
  <c r="AM187" i="39"/>
  <c r="AQ187" i="39"/>
  <c r="E187" i="39"/>
  <c r="M187" i="39"/>
  <c r="U187" i="39"/>
  <c r="AC187" i="39"/>
  <c r="AK187" i="39"/>
  <c r="AS187" i="39"/>
  <c r="D187" i="39"/>
  <c r="H187" i="39"/>
  <c r="L187" i="39"/>
  <c r="P187" i="39"/>
  <c r="T187" i="39"/>
  <c r="X187" i="39"/>
  <c r="AB187" i="39"/>
  <c r="AF187" i="39"/>
  <c r="AJ187" i="39"/>
  <c r="AN187" i="39"/>
  <c r="AR187" i="39"/>
  <c r="I187" i="39"/>
  <c r="Q187" i="39"/>
  <c r="Y187" i="39"/>
  <c r="AG187" i="39"/>
  <c r="AO187" i="39"/>
  <c r="B192" i="51"/>
  <c r="C191" i="51"/>
  <c r="G191" i="51"/>
  <c r="K191" i="51"/>
  <c r="O191" i="51"/>
  <c r="S191" i="51"/>
  <c r="W191" i="51"/>
  <c r="AA191" i="51"/>
  <c r="AE191" i="51"/>
  <c r="AI191" i="51"/>
  <c r="AM191" i="51"/>
  <c r="AQ191" i="51"/>
  <c r="D191" i="51"/>
  <c r="H191" i="51"/>
  <c r="L191" i="51"/>
  <c r="P191" i="51"/>
  <c r="T191" i="51"/>
  <c r="X191" i="51"/>
  <c r="AB191" i="51"/>
  <c r="AF191" i="51"/>
  <c r="AJ191" i="51"/>
  <c r="AN191" i="51"/>
  <c r="AR191" i="51"/>
  <c r="E191" i="51"/>
  <c r="I191" i="51"/>
  <c r="M191" i="51"/>
  <c r="Q191" i="51"/>
  <c r="U191" i="51"/>
  <c r="Y191" i="51"/>
  <c r="AC191" i="51"/>
  <c r="AG191" i="51"/>
  <c r="AK191" i="51"/>
  <c r="AO191" i="51"/>
  <c r="AS191" i="51"/>
  <c r="F191" i="51"/>
  <c r="J191" i="51"/>
  <c r="N191" i="51"/>
  <c r="R191" i="51"/>
  <c r="V191" i="51"/>
  <c r="Z191" i="51"/>
  <c r="AD191" i="51"/>
  <c r="AH191" i="51"/>
  <c r="AL191" i="51"/>
  <c r="AP191" i="51"/>
  <c r="AT36" i="49"/>
  <c r="AT56" i="49" s="1"/>
  <c r="AT68" i="49"/>
  <c r="AT103" i="49"/>
  <c r="AV81" i="30"/>
  <c r="AU18" i="51"/>
  <c r="AU16" i="39"/>
  <c r="AU21" i="40"/>
  <c r="AU24" i="49"/>
  <c r="AU52" i="51"/>
  <c r="AU53" i="51"/>
  <c r="AU54" i="51"/>
  <c r="AU55" i="51"/>
  <c r="AU56" i="51"/>
  <c r="AU57" i="51"/>
  <c r="AU58" i="51"/>
  <c r="AU59" i="51"/>
  <c r="AU60" i="51"/>
  <c r="AU61" i="51"/>
  <c r="AU62" i="51"/>
  <c r="AU63" i="51"/>
  <c r="AU64" i="51"/>
  <c r="AU65" i="51"/>
  <c r="AU66" i="51"/>
  <c r="AU67" i="51"/>
  <c r="AU68" i="51"/>
  <c r="AU69" i="51"/>
  <c r="AU70" i="51"/>
  <c r="AU71" i="51"/>
  <c r="AU72" i="51"/>
  <c r="AU73" i="51"/>
  <c r="AU74" i="51"/>
  <c r="AU75" i="51"/>
  <c r="AU76" i="51"/>
  <c r="AU77" i="51"/>
  <c r="AU78" i="51"/>
  <c r="AU79" i="51"/>
  <c r="AU80" i="51"/>
  <c r="AU81" i="51"/>
  <c r="AU82" i="51"/>
  <c r="AU83" i="51"/>
  <c r="AU84" i="51"/>
  <c r="AU85" i="51"/>
  <c r="AV148" i="51"/>
  <c r="B95" i="51"/>
  <c r="C94" i="51"/>
  <c r="G94" i="51"/>
  <c r="K94" i="51"/>
  <c r="O94" i="51"/>
  <c r="S94" i="51"/>
  <c r="W94" i="51"/>
  <c r="AA94" i="51"/>
  <c r="AE94" i="51"/>
  <c r="AI94" i="51"/>
  <c r="AM94" i="51"/>
  <c r="AQ94" i="51"/>
  <c r="I94" i="51"/>
  <c r="M94" i="51"/>
  <c r="Q94" i="51"/>
  <c r="U94" i="51"/>
  <c r="Y94" i="51"/>
  <c r="AC94" i="51"/>
  <c r="AG94" i="51"/>
  <c r="AK94" i="51"/>
  <c r="AO94" i="51"/>
  <c r="AS94" i="51"/>
  <c r="D94" i="51"/>
  <c r="H94" i="51"/>
  <c r="L94" i="51"/>
  <c r="P94" i="51"/>
  <c r="T94" i="51"/>
  <c r="X94" i="51"/>
  <c r="AB94" i="51"/>
  <c r="AF94" i="51"/>
  <c r="AJ94" i="51"/>
  <c r="AN94" i="51"/>
  <c r="AR94" i="51"/>
  <c r="E94" i="51"/>
  <c r="N94" i="51"/>
  <c r="AD94" i="51"/>
  <c r="J94" i="51"/>
  <c r="R94" i="51"/>
  <c r="AH94" i="51"/>
  <c r="F94" i="51"/>
  <c r="V94" i="51"/>
  <c r="AL94" i="51"/>
  <c r="Z94" i="51"/>
  <c r="AP94" i="51"/>
  <c r="AV51" i="51"/>
  <c r="AU49" i="39"/>
  <c r="AU50" i="39"/>
  <c r="AU51" i="39"/>
  <c r="AU52" i="39"/>
  <c r="AU53" i="39"/>
  <c r="AU54" i="39"/>
  <c r="AU55" i="39"/>
  <c r="AU56" i="39"/>
  <c r="AU57" i="39"/>
  <c r="AU58" i="39"/>
  <c r="AU59" i="39"/>
  <c r="AU60" i="39"/>
  <c r="AU61" i="39"/>
  <c r="AU62" i="39"/>
  <c r="AU63" i="39"/>
  <c r="AU64" i="39"/>
  <c r="AU65" i="39"/>
  <c r="AU66" i="39"/>
  <c r="AU67" i="39"/>
  <c r="AU68" i="39"/>
  <c r="AU69" i="39"/>
  <c r="AU70" i="39"/>
  <c r="AU71" i="39"/>
  <c r="AU72" i="39"/>
  <c r="AU73" i="39"/>
  <c r="AU74" i="39"/>
  <c r="AU75" i="39"/>
  <c r="AU76" i="39"/>
  <c r="AU77" i="39"/>
  <c r="AU78" i="39"/>
  <c r="AU79" i="39"/>
  <c r="AU80" i="39"/>
  <c r="AU81" i="39"/>
  <c r="AU82" i="39"/>
  <c r="AV144" i="39"/>
  <c r="B92" i="39"/>
  <c r="C91" i="39"/>
  <c r="G91" i="39"/>
  <c r="K91" i="39"/>
  <c r="O91" i="39"/>
  <c r="S91" i="39"/>
  <c r="W91" i="39"/>
  <c r="AA91" i="39"/>
  <c r="AE91" i="39"/>
  <c r="AI91" i="39"/>
  <c r="AM91" i="39"/>
  <c r="AQ91" i="39"/>
  <c r="D91" i="39"/>
  <c r="I91" i="39"/>
  <c r="N91" i="39"/>
  <c r="T91" i="39"/>
  <c r="Y91" i="39"/>
  <c r="AD91" i="39"/>
  <c r="AJ91" i="39"/>
  <c r="AO91" i="39"/>
  <c r="E91" i="39"/>
  <c r="L91" i="39"/>
  <c r="R91" i="39"/>
  <c r="Z91" i="39"/>
  <c r="AG91" i="39"/>
  <c r="AN91" i="39"/>
  <c r="Q91" i="39"/>
  <c r="AF91" i="39"/>
  <c r="AS91" i="39"/>
  <c r="F91" i="39"/>
  <c r="M91" i="39"/>
  <c r="U91" i="39"/>
  <c r="AB91" i="39"/>
  <c r="AH91" i="39"/>
  <c r="AP91" i="39"/>
  <c r="H91" i="39"/>
  <c r="P91" i="39"/>
  <c r="V91" i="39"/>
  <c r="AC91" i="39"/>
  <c r="AK91" i="39"/>
  <c r="AR91" i="39"/>
  <c r="J91" i="39"/>
  <c r="X91" i="39"/>
  <c r="AL91" i="39"/>
  <c r="AV48" i="39"/>
  <c r="AW42" i="30"/>
  <c r="AV54" i="30"/>
  <c r="AV65" i="30" s="1"/>
  <c r="AV43" i="30"/>
  <c r="AW57" i="30" s="1"/>
  <c r="AU89" i="30"/>
  <c r="AU110" i="30" s="1"/>
  <c r="AV56" i="30"/>
  <c r="AV124" i="30"/>
  <c r="AW102" i="30"/>
  <c r="H69" i="30"/>
  <c r="I66" i="30" s="1"/>
  <c r="I69" i="30" s="1"/>
  <c r="H74" i="30"/>
  <c r="I111" i="30"/>
  <c r="I113" i="30" s="1"/>
  <c r="I115" i="30" s="1"/>
  <c r="C54" i="40"/>
  <c r="E166" i="19"/>
  <c r="I96" i="30"/>
  <c r="I92" i="30"/>
  <c r="I94" i="30" s="1"/>
  <c r="I93" i="30"/>
  <c r="E130" i="19"/>
  <c r="E140" i="19"/>
  <c r="E137" i="19"/>
  <c r="E163" i="19"/>
  <c r="E164" i="19"/>
  <c r="E152" i="19"/>
  <c r="E146" i="19"/>
  <c r="E154" i="19"/>
  <c r="E155" i="19"/>
  <c r="E144" i="19"/>
  <c r="E161" i="19"/>
  <c r="E165" i="19"/>
  <c r="E142" i="19"/>
  <c r="E129" i="19"/>
  <c r="E160" i="19"/>
  <c r="E141" i="19"/>
  <c r="E138" i="19"/>
  <c r="E156" i="19"/>
  <c r="E162" i="19"/>
  <c r="E147" i="19"/>
  <c r="E143" i="19"/>
  <c r="E128" i="19"/>
  <c r="E157" i="19"/>
  <c r="E158" i="19"/>
  <c r="E134" i="19"/>
  <c r="E136" i="19"/>
  <c r="E132" i="19"/>
  <c r="E135" i="19"/>
  <c r="E148" i="19"/>
  <c r="E139" i="19"/>
  <c r="E153" i="19"/>
  <c r="E151" i="19"/>
  <c r="E127" i="19"/>
  <c r="E133" i="19"/>
  <c r="E149" i="19"/>
  <c r="E159" i="19"/>
  <c r="E145" i="19"/>
  <c r="E150" i="19"/>
  <c r="E131" i="19"/>
  <c r="R55" i="30"/>
  <c r="AF224" i="19"/>
  <c r="AF260" i="19" s="1"/>
  <c r="E126" i="19"/>
  <c r="D125" i="19"/>
  <c r="R125" i="19"/>
  <c r="R133" i="19" s="1"/>
  <c r="AT22" i="47" l="1"/>
  <c r="AW77" i="47"/>
  <c r="R165" i="19"/>
  <c r="R150" i="19"/>
  <c r="R158" i="19"/>
  <c r="AF247" i="19"/>
  <c r="AF234" i="19"/>
  <c r="AF236" i="19"/>
  <c r="AF264" i="19"/>
  <c r="AF257" i="19"/>
  <c r="AF254" i="19"/>
  <c r="R145" i="19"/>
  <c r="R161" i="19"/>
  <c r="R128" i="19"/>
  <c r="AF255" i="19"/>
  <c r="R162" i="19"/>
  <c r="AF230" i="19"/>
  <c r="R147" i="19"/>
  <c r="AF239" i="19"/>
  <c r="R132" i="19"/>
  <c r="R148" i="19"/>
  <c r="R164" i="19"/>
  <c r="AF250" i="19"/>
  <c r="AF241" i="19"/>
  <c r="R141" i="19"/>
  <c r="AF252" i="19"/>
  <c r="R127" i="19"/>
  <c r="R157" i="19"/>
  <c r="R163" i="19"/>
  <c r="AF228" i="19"/>
  <c r="AF232" i="19"/>
  <c r="R138" i="19"/>
  <c r="R166" i="19"/>
  <c r="AF238" i="19"/>
  <c r="AF245" i="19"/>
  <c r="AF229" i="19"/>
  <c r="AF225" i="19"/>
  <c r="R154" i="19"/>
  <c r="R126" i="19"/>
  <c r="AF243" i="19"/>
  <c r="R159" i="19"/>
  <c r="AF253" i="19"/>
  <c r="AF256" i="19"/>
  <c r="AF240" i="19"/>
  <c r="R134" i="19"/>
  <c r="R152" i="19"/>
  <c r="R131" i="19"/>
  <c r="AF231" i="19"/>
  <c r="R144" i="19"/>
  <c r="AF249" i="19"/>
  <c r="AF251" i="19"/>
  <c r="AF233" i="19"/>
  <c r="R143" i="19"/>
  <c r="AF262" i="19"/>
  <c r="R156" i="19"/>
  <c r="AF237" i="19"/>
  <c r="R160" i="19"/>
  <c r="R149" i="19"/>
  <c r="R142" i="19"/>
  <c r="R137" i="19"/>
  <c r="R146" i="19"/>
  <c r="AF227" i="19"/>
  <c r="AF265" i="19"/>
  <c r="AF263" i="19"/>
  <c r="R155" i="19"/>
  <c r="R130" i="19"/>
  <c r="R136" i="19"/>
  <c r="AF261" i="19"/>
  <c r="R139" i="19"/>
  <c r="R151" i="19"/>
  <c r="AF242" i="19"/>
  <c r="AF259" i="19"/>
  <c r="R140" i="19"/>
  <c r="AF258" i="19"/>
  <c r="R129" i="19"/>
  <c r="R153" i="19"/>
  <c r="AF226" i="19"/>
  <c r="R135" i="19"/>
  <c r="AF246" i="19"/>
  <c r="AF235" i="19"/>
  <c r="AF244" i="19"/>
  <c r="AF248" i="19"/>
  <c r="AU91" i="47"/>
  <c r="AU16" i="47"/>
  <c r="AS355" i="47"/>
  <c r="AS432" i="47" s="1"/>
  <c r="AR414" i="47"/>
  <c r="AT164" i="47"/>
  <c r="AT180" i="47"/>
  <c r="AT218" i="47"/>
  <c r="AT349" i="47" s="1"/>
  <c r="AU68" i="49"/>
  <c r="AU103" i="49"/>
  <c r="AU36" i="49"/>
  <c r="AU56" i="49" s="1"/>
  <c r="AW81" i="30"/>
  <c r="AV18" i="51"/>
  <c r="AV24" i="49"/>
  <c r="AV16" i="39"/>
  <c r="AV21" i="40"/>
  <c r="B189" i="39"/>
  <c r="C188" i="39"/>
  <c r="G188" i="39"/>
  <c r="K188" i="39"/>
  <c r="O188" i="39"/>
  <c r="S188" i="39"/>
  <c r="W188" i="39"/>
  <c r="AA188" i="39"/>
  <c r="AE188" i="39"/>
  <c r="AI188" i="39"/>
  <c r="AM188" i="39"/>
  <c r="AQ188" i="39"/>
  <c r="D188" i="39"/>
  <c r="H188" i="39"/>
  <c r="L188" i="39"/>
  <c r="P188" i="39"/>
  <c r="T188" i="39"/>
  <c r="X188" i="39"/>
  <c r="AB188" i="39"/>
  <c r="AF188" i="39"/>
  <c r="AJ188" i="39"/>
  <c r="AN188" i="39"/>
  <c r="AR188" i="39"/>
  <c r="J188" i="39"/>
  <c r="R188" i="39"/>
  <c r="Z188" i="39"/>
  <c r="AH188" i="39"/>
  <c r="AP188" i="39"/>
  <c r="E188" i="39"/>
  <c r="I188" i="39"/>
  <c r="M188" i="39"/>
  <c r="Q188" i="39"/>
  <c r="U188" i="39"/>
  <c r="Y188" i="39"/>
  <c r="AC188" i="39"/>
  <c r="AG188" i="39"/>
  <c r="AK188" i="39"/>
  <c r="AO188" i="39"/>
  <c r="AS188" i="39"/>
  <c r="F188" i="39"/>
  <c r="N188" i="39"/>
  <c r="V188" i="39"/>
  <c r="AD188" i="39"/>
  <c r="AL188" i="39"/>
  <c r="AT188" i="39"/>
  <c r="AV90" i="49"/>
  <c r="AV87" i="40"/>
  <c r="AV149" i="51"/>
  <c r="AV150" i="51"/>
  <c r="AV151" i="51"/>
  <c r="AV152" i="51"/>
  <c r="AV153" i="51"/>
  <c r="AV154" i="51"/>
  <c r="AV155" i="51"/>
  <c r="AV156" i="51"/>
  <c r="AV157" i="51"/>
  <c r="AV158" i="51"/>
  <c r="AV159" i="51"/>
  <c r="AV160" i="51"/>
  <c r="AV161" i="51"/>
  <c r="AV162" i="51"/>
  <c r="AV163" i="51"/>
  <c r="AV164" i="51"/>
  <c r="AV165" i="51"/>
  <c r="AV166" i="51"/>
  <c r="AV167" i="51"/>
  <c r="AV168" i="51"/>
  <c r="AV169" i="51"/>
  <c r="AV170" i="51"/>
  <c r="AV171" i="51"/>
  <c r="AV172" i="51"/>
  <c r="AV173" i="51"/>
  <c r="AV174" i="51"/>
  <c r="AV175" i="51"/>
  <c r="AV176" i="51"/>
  <c r="AV177" i="51"/>
  <c r="AV178" i="51"/>
  <c r="AV179" i="51"/>
  <c r="AV180" i="51"/>
  <c r="AV181" i="51"/>
  <c r="AV182" i="51"/>
  <c r="AV183" i="51"/>
  <c r="AU33" i="40"/>
  <c r="AU53" i="40" s="1"/>
  <c r="AV225" i="53"/>
  <c r="AV131" i="53"/>
  <c r="AV153" i="53"/>
  <c r="AU86" i="53"/>
  <c r="AV179" i="53"/>
  <c r="AV105" i="53"/>
  <c r="AV201" i="53"/>
  <c r="AU11" i="53"/>
  <c r="AV178" i="52"/>
  <c r="AV200" i="52"/>
  <c r="AV234" i="52"/>
  <c r="AV226" i="52"/>
  <c r="AV152" i="52"/>
  <c r="AV130" i="52"/>
  <c r="AV104" i="52"/>
  <c r="AU10" i="52"/>
  <c r="AV223" i="36"/>
  <c r="AV102" i="36"/>
  <c r="AV128" i="36"/>
  <c r="AV150" i="36"/>
  <c r="AU83" i="36"/>
  <c r="AU11" i="36"/>
  <c r="AU85" i="52"/>
  <c r="AV176" i="44"/>
  <c r="AV230" i="36"/>
  <c r="AV198" i="36"/>
  <c r="AV176" i="36"/>
  <c r="AV198" i="44"/>
  <c r="AV222" i="44"/>
  <c r="AU83" i="44"/>
  <c r="AV128" i="44"/>
  <c r="AV150" i="44"/>
  <c r="AV102" i="44"/>
  <c r="AU11" i="44"/>
  <c r="AV176" i="43"/>
  <c r="AV222" i="43"/>
  <c r="AV198" i="43"/>
  <c r="AV128" i="43"/>
  <c r="AV150" i="43"/>
  <c r="AV102" i="43"/>
  <c r="AU83" i="43"/>
  <c r="AU11" i="43"/>
  <c r="AU100" i="40"/>
  <c r="AU65" i="40"/>
  <c r="B193" i="51"/>
  <c r="D192" i="51"/>
  <c r="H192" i="51"/>
  <c r="L192" i="51"/>
  <c r="P192" i="51"/>
  <c r="T192" i="51"/>
  <c r="X192" i="51"/>
  <c r="AB192" i="51"/>
  <c r="AF192" i="51"/>
  <c r="AJ192" i="51"/>
  <c r="AN192" i="51"/>
  <c r="AR192" i="51"/>
  <c r="E192" i="51"/>
  <c r="I192" i="51"/>
  <c r="M192" i="51"/>
  <c r="Q192" i="51"/>
  <c r="U192" i="51"/>
  <c r="Y192" i="51"/>
  <c r="AC192" i="51"/>
  <c r="AG192" i="51"/>
  <c r="AK192" i="51"/>
  <c r="AO192" i="51"/>
  <c r="AS192" i="51"/>
  <c r="F192" i="51"/>
  <c r="J192" i="51"/>
  <c r="N192" i="51"/>
  <c r="R192" i="51"/>
  <c r="V192" i="51"/>
  <c r="Z192" i="51"/>
  <c r="AD192" i="51"/>
  <c r="AH192" i="51"/>
  <c r="AL192" i="51"/>
  <c r="AP192" i="51"/>
  <c r="AT192" i="51"/>
  <c r="C192" i="51"/>
  <c r="G192" i="51"/>
  <c r="K192" i="51"/>
  <c r="O192" i="51"/>
  <c r="S192" i="51"/>
  <c r="W192" i="51"/>
  <c r="AA192" i="51"/>
  <c r="AE192" i="51"/>
  <c r="AI192" i="51"/>
  <c r="AM192" i="51"/>
  <c r="AQ192" i="51"/>
  <c r="AV145" i="39"/>
  <c r="AV146" i="39"/>
  <c r="AV147" i="39"/>
  <c r="AV148" i="39"/>
  <c r="AV149" i="39"/>
  <c r="AV150" i="39"/>
  <c r="AV151" i="39"/>
  <c r="AV152" i="39"/>
  <c r="AV153" i="39"/>
  <c r="AV154" i="39"/>
  <c r="AV155" i="39"/>
  <c r="AV156" i="39"/>
  <c r="AV157" i="39"/>
  <c r="AV158" i="39"/>
  <c r="AV159" i="39"/>
  <c r="AV160" i="39"/>
  <c r="AV161" i="39"/>
  <c r="AV162" i="39"/>
  <c r="AV163" i="39"/>
  <c r="AV164" i="39"/>
  <c r="AV165" i="39"/>
  <c r="AV166" i="39"/>
  <c r="AV167" i="39"/>
  <c r="AV168" i="39"/>
  <c r="AV169" i="39"/>
  <c r="AV170" i="39"/>
  <c r="AV171" i="39"/>
  <c r="AV172" i="39"/>
  <c r="AV173" i="39"/>
  <c r="AV174" i="39"/>
  <c r="AV175" i="39"/>
  <c r="AV176" i="39"/>
  <c r="AV177" i="39"/>
  <c r="AV178" i="39"/>
  <c r="AV179" i="39"/>
  <c r="AT115" i="51"/>
  <c r="AT112" i="39"/>
  <c r="AW148" i="51"/>
  <c r="AV52" i="51"/>
  <c r="AV53" i="51"/>
  <c r="AV54" i="51"/>
  <c r="AV55" i="51"/>
  <c r="AV56" i="51"/>
  <c r="AV57" i="51"/>
  <c r="AV58" i="51"/>
  <c r="AV59" i="51"/>
  <c r="AV60" i="51"/>
  <c r="AV61" i="51"/>
  <c r="AV62" i="51"/>
  <c r="AV63" i="51"/>
  <c r="AV64" i="51"/>
  <c r="AV65" i="51"/>
  <c r="AV66" i="51"/>
  <c r="AV67" i="51"/>
  <c r="AV68" i="51"/>
  <c r="AV69" i="51"/>
  <c r="AV70" i="51"/>
  <c r="AV71" i="51"/>
  <c r="AV72" i="51"/>
  <c r="AV73" i="51"/>
  <c r="AV74" i="51"/>
  <c r="AV75" i="51"/>
  <c r="AV76" i="51"/>
  <c r="AV77" i="51"/>
  <c r="AV78" i="51"/>
  <c r="AV79" i="51"/>
  <c r="AV80" i="51"/>
  <c r="AV81" i="51"/>
  <c r="AV82" i="51"/>
  <c r="AV83" i="51"/>
  <c r="AV84" i="51"/>
  <c r="AV85" i="51"/>
  <c r="AV86" i="51"/>
  <c r="B96" i="51"/>
  <c r="D95" i="51"/>
  <c r="H95" i="51"/>
  <c r="L95" i="51"/>
  <c r="P95" i="51"/>
  <c r="T95" i="51"/>
  <c r="X95" i="51"/>
  <c r="AB95" i="51"/>
  <c r="AF95" i="51"/>
  <c r="AJ95" i="51"/>
  <c r="AN95" i="51"/>
  <c r="AR95" i="51"/>
  <c r="F95" i="51"/>
  <c r="J95" i="51"/>
  <c r="N95" i="51"/>
  <c r="R95" i="51"/>
  <c r="V95" i="51"/>
  <c r="Z95" i="51"/>
  <c r="AD95" i="51"/>
  <c r="AH95" i="51"/>
  <c r="AL95" i="51"/>
  <c r="AP95" i="51"/>
  <c r="AT95" i="51"/>
  <c r="E95" i="51"/>
  <c r="I95" i="51"/>
  <c r="M95" i="51"/>
  <c r="Q95" i="51"/>
  <c r="U95" i="51"/>
  <c r="Y95" i="51"/>
  <c r="AC95" i="51"/>
  <c r="AG95" i="51"/>
  <c r="AK95" i="51"/>
  <c r="AO95" i="51"/>
  <c r="AS95" i="51"/>
  <c r="K95" i="51"/>
  <c r="AA95" i="51"/>
  <c r="AQ95" i="51"/>
  <c r="O95" i="51"/>
  <c r="AE95" i="51"/>
  <c r="C95" i="51"/>
  <c r="S95" i="51"/>
  <c r="AI95" i="51"/>
  <c r="G95" i="51"/>
  <c r="W95" i="51"/>
  <c r="AM95" i="51"/>
  <c r="AW51" i="51"/>
  <c r="B93" i="39"/>
  <c r="D92" i="39"/>
  <c r="H92" i="39"/>
  <c r="L92" i="39"/>
  <c r="P92" i="39"/>
  <c r="T92" i="39"/>
  <c r="X92" i="39"/>
  <c r="AB92" i="39"/>
  <c r="AF92" i="39"/>
  <c r="AJ92" i="39"/>
  <c r="AN92" i="39"/>
  <c r="AR92" i="39"/>
  <c r="F92" i="39"/>
  <c r="K92" i="39"/>
  <c r="Q92" i="39"/>
  <c r="V92" i="39"/>
  <c r="AA92" i="39"/>
  <c r="AG92" i="39"/>
  <c r="AL92" i="39"/>
  <c r="AQ92" i="39"/>
  <c r="C92" i="39"/>
  <c r="J92" i="39"/>
  <c r="R92" i="39"/>
  <c r="Y92" i="39"/>
  <c r="AE92" i="39"/>
  <c r="AM92" i="39"/>
  <c r="AT92" i="39"/>
  <c r="O92" i="39"/>
  <c r="AD92" i="39"/>
  <c r="AS92" i="39"/>
  <c r="E92" i="39"/>
  <c r="M92" i="39"/>
  <c r="S92" i="39"/>
  <c r="Z92" i="39"/>
  <c r="AH92" i="39"/>
  <c r="AO92" i="39"/>
  <c r="G92" i="39"/>
  <c r="N92" i="39"/>
  <c r="U92" i="39"/>
  <c r="AC92" i="39"/>
  <c r="AI92" i="39"/>
  <c r="AP92" i="39"/>
  <c r="I92" i="39"/>
  <c r="W92" i="39"/>
  <c r="AK92" i="39"/>
  <c r="AW144" i="39"/>
  <c r="AV49" i="39"/>
  <c r="AV50" i="39"/>
  <c r="AV51" i="39"/>
  <c r="AV52" i="39"/>
  <c r="AV53" i="39"/>
  <c r="AV54" i="39"/>
  <c r="AV55" i="39"/>
  <c r="AV56" i="39"/>
  <c r="AV57" i="39"/>
  <c r="AV58" i="39"/>
  <c r="AV59" i="39"/>
  <c r="AV60" i="39"/>
  <c r="AV61" i="39"/>
  <c r="AV62" i="39"/>
  <c r="AV63" i="39"/>
  <c r="AV64" i="39"/>
  <c r="AV65" i="39"/>
  <c r="AV66" i="39"/>
  <c r="AV67" i="39"/>
  <c r="AV68" i="39"/>
  <c r="AV69" i="39"/>
  <c r="AV70" i="39"/>
  <c r="AV71" i="39"/>
  <c r="AV72" i="39"/>
  <c r="AV73" i="39"/>
  <c r="AV74" i="39"/>
  <c r="AV75" i="39"/>
  <c r="AV76" i="39"/>
  <c r="AV77" i="39"/>
  <c r="AV78" i="39"/>
  <c r="AV79" i="39"/>
  <c r="AV80" i="39"/>
  <c r="AV81" i="39"/>
  <c r="AV82" i="39"/>
  <c r="AV83" i="39"/>
  <c r="AW48" i="39"/>
  <c r="AV89" i="30"/>
  <c r="AV110" i="30" s="1"/>
  <c r="AX42" i="30"/>
  <c r="AW54" i="30"/>
  <c r="AW65" i="30" s="1"/>
  <c r="AW43" i="30"/>
  <c r="AX57" i="30" s="1"/>
  <c r="AW56" i="30"/>
  <c r="AX102" i="30"/>
  <c r="AW124" i="30"/>
  <c r="I68" i="30"/>
  <c r="I70" i="30" s="1"/>
  <c r="J66" i="30" s="1"/>
  <c r="I114" i="30"/>
  <c r="J111" i="30" s="1"/>
  <c r="I117" i="30"/>
  <c r="I74" i="30"/>
  <c r="C22" i="40"/>
  <c r="J90" i="30"/>
  <c r="D166" i="19"/>
  <c r="D150" i="19"/>
  <c r="D145" i="19"/>
  <c r="D149" i="19"/>
  <c r="D127" i="19"/>
  <c r="D139" i="19"/>
  <c r="D136" i="19"/>
  <c r="D162" i="19"/>
  <c r="D141" i="19"/>
  <c r="D142" i="19"/>
  <c r="D161" i="19"/>
  <c r="D154" i="19"/>
  <c r="D152" i="19"/>
  <c r="D134" i="19"/>
  <c r="D128" i="19"/>
  <c r="D156" i="19"/>
  <c r="D160" i="19"/>
  <c r="D146" i="19"/>
  <c r="D137" i="19"/>
  <c r="D159" i="19"/>
  <c r="D151" i="19"/>
  <c r="D135" i="19"/>
  <c r="D158" i="19"/>
  <c r="D147" i="19"/>
  <c r="D129" i="19"/>
  <c r="D165" i="19"/>
  <c r="D155" i="19"/>
  <c r="D164" i="19"/>
  <c r="D143" i="19"/>
  <c r="D144" i="19"/>
  <c r="D140" i="19"/>
  <c r="D148" i="19"/>
  <c r="D131" i="19"/>
  <c r="D133" i="19"/>
  <c r="D153" i="19"/>
  <c r="D132" i="19"/>
  <c r="D157" i="19"/>
  <c r="D138" i="19"/>
  <c r="D163" i="19"/>
  <c r="D130" i="19"/>
  <c r="S55" i="30"/>
  <c r="AG224" i="19"/>
  <c r="AG247" i="19" s="1"/>
  <c r="D126" i="19"/>
  <c r="S125" i="19"/>
  <c r="S133" i="19" s="1"/>
  <c r="AU22" i="47" l="1"/>
  <c r="AX77" i="47"/>
  <c r="AG235" i="19"/>
  <c r="S153" i="19"/>
  <c r="AG259" i="19"/>
  <c r="S158" i="19"/>
  <c r="S155" i="19"/>
  <c r="S146" i="19"/>
  <c r="S160" i="19"/>
  <c r="S143" i="19"/>
  <c r="S144" i="19"/>
  <c r="S152" i="19"/>
  <c r="AG253" i="19"/>
  <c r="S154" i="19"/>
  <c r="AG238" i="19"/>
  <c r="AG228" i="19"/>
  <c r="S157" i="19"/>
  <c r="AG241" i="19"/>
  <c r="S132" i="19"/>
  <c r="S162" i="19"/>
  <c r="S145" i="19"/>
  <c r="AG236" i="19"/>
  <c r="AG246" i="19"/>
  <c r="S129" i="19"/>
  <c r="AG242" i="19"/>
  <c r="AG261" i="19"/>
  <c r="AG263" i="19"/>
  <c r="S137" i="19"/>
  <c r="AG237" i="19"/>
  <c r="AG233" i="19"/>
  <c r="AG234" i="19"/>
  <c r="S134" i="19"/>
  <c r="S159" i="19"/>
  <c r="AG225" i="19"/>
  <c r="S166" i="19"/>
  <c r="S163" i="19"/>
  <c r="S127" i="19"/>
  <c r="AG250" i="19"/>
  <c r="AG239" i="19"/>
  <c r="AG255" i="19"/>
  <c r="AG254" i="19"/>
  <c r="S165" i="19"/>
  <c r="AG248" i="19"/>
  <c r="S135" i="19"/>
  <c r="AG258" i="19"/>
  <c r="S151" i="19"/>
  <c r="S136" i="19"/>
  <c r="AG265" i="19"/>
  <c r="S142" i="19"/>
  <c r="S156" i="19"/>
  <c r="AG251" i="19"/>
  <c r="AG231" i="19"/>
  <c r="AG240" i="19"/>
  <c r="AG243" i="19"/>
  <c r="AG229" i="19"/>
  <c r="S138" i="19"/>
  <c r="S150" i="19"/>
  <c r="AG252" i="19"/>
  <c r="S164" i="19"/>
  <c r="S147" i="19"/>
  <c r="S128" i="19"/>
  <c r="AG257" i="19"/>
  <c r="AG260" i="19"/>
  <c r="AG244" i="19"/>
  <c r="AG226" i="19"/>
  <c r="S140" i="19"/>
  <c r="S139" i="19"/>
  <c r="S130" i="19"/>
  <c r="AG227" i="19"/>
  <c r="S149" i="19"/>
  <c r="AG262" i="19"/>
  <c r="AG249" i="19"/>
  <c r="S131" i="19"/>
  <c r="AG256" i="19"/>
  <c r="S126" i="19"/>
  <c r="AG245" i="19"/>
  <c r="AG232" i="19"/>
  <c r="S141" i="19"/>
  <c r="S148" i="19"/>
  <c r="AG230" i="19"/>
  <c r="S161" i="19"/>
  <c r="AG264" i="19"/>
  <c r="AV91" i="47"/>
  <c r="AV16" i="47"/>
  <c r="AS414" i="47"/>
  <c r="AT355" i="47"/>
  <c r="AT432" i="47" s="1"/>
  <c r="AU164" i="47"/>
  <c r="AU180" i="47"/>
  <c r="AU218" i="47"/>
  <c r="AU349" i="47" s="1"/>
  <c r="AW90" i="49"/>
  <c r="AW87" i="40"/>
  <c r="AW149" i="51"/>
  <c r="AW150" i="51"/>
  <c r="AW151" i="51"/>
  <c r="AW152" i="51"/>
  <c r="AW153" i="51"/>
  <c r="AW154" i="51"/>
  <c r="AW155" i="51"/>
  <c r="AW156" i="51"/>
  <c r="AW157" i="51"/>
  <c r="AW158" i="51"/>
  <c r="AW159" i="51"/>
  <c r="AW160" i="51"/>
  <c r="AW161" i="51"/>
  <c r="AW162" i="51"/>
  <c r="AW163" i="51"/>
  <c r="AW164" i="51"/>
  <c r="AW165" i="51"/>
  <c r="AW166" i="51"/>
  <c r="AW167" i="51"/>
  <c r="AW168" i="51"/>
  <c r="AW169" i="51"/>
  <c r="AW170" i="51"/>
  <c r="AW171" i="51"/>
  <c r="AW172" i="51"/>
  <c r="AW173" i="51"/>
  <c r="AW174" i="51"/>
  <c r="AW175" i="51"/>
  <c r="AW176" i="51"/>
  <c r="AW177" i="51"/>
  <c r="AW178" i="51"/>
  <c r="AW179" i="51"/>
  <c r="AW180" i="51"/>
  <c r="AW181" i="51"/>
  <c r="AW182" i="51"/>
  <c r="AW183" i="51"/>
  <c r="AW184" i="51"/>
  <c r="B194" i="51"/>
  <c r="E193" i="51"/>
  <c r="I193" i="51"/>
  <c r="M193" i="51"/>
  <c r="Q193" i="51"/>
  <c r="U193" i="51"/>
  <c r="Y193" i="51"/>
  <c r="AC193" i="51"/>
  <c r="AG193" i="51"/>
  <c r="AK193" i="51"/>
  <c r="AO193" i="51"/>
  <c r="AS193" i="51"/>
  <c r="F193" i="51"/>
  <c r="J193" i="51"/>
  <c r="N193" i="51"/>
  <c r="R193" i="51"/>
  <c r="V193" i="51"/>
  <c r="Z193" i="51"/>
  <c r="AD193" i="51"/>
  <c r="AH193" i="51"/>
  <c r="AL193" i="51"/>
  <c r="AP193" i="51"/>
  <c r="AT193" i="51"/>
  <c r="C193" i="51"/>
  <c r="G193" i="51"/>
  <c r="K193" i="51"/>
  <c r="O193" i="51"/>
  <c r="S193" i="51"/>
  <c r="W193" i="51"/>
  <c r="AA193" i="51"/>
  <c r="AE193" i="51"/>
  <c r="AI193" i="51"/>
  <c r="AM193" i="51"/>
  <c r="AQ193" i="51"/>
  <c r="AU193" i="51"/>
  <c r="D193" i="51"/>
  <c r="H193" i="51"/>
  <c r="L193" i="51"/>
  <c r="P193" i="51"/>
  <c r="T193" i="51"/>
  <c r="X193" i="51"/>
  <c r="AB193" i="51"/>
  <c r="AF193" i="51"/>
  <c r="AJ193" i="51"/>
  <c r="AN193" i="51"/>
  <c r="AR193" i="51"/>
  <c r="AV36" i="49"/>
  <c r="AV56" i="49" s="1"/>
  <c r="AV68" i="49"/>
  <c r="AV103" i="49"/>
  <c r="B190" i="39"/>
  <c r="D189" i="39"/>
  <c r="H189" i="39"/>
  <c r="L189" i="39"/>
  <c r="P189" i="39"/>
  <c r="T189" i="39"/>
  <c r="X189" i="39"/>
  <c r="AB189" i="39"/>
  <c r="AF189" i="39"/>
  <c r="AJ189" i="39"/>
  <c r="AN189" i="39"/>
  <c r="AR189" i="39"/>
  <c r="E189" i="39"/>
  <c r="I189" i="39"/>
  <c r="M189" i="39"/>
  <c r="Q189" i="39"/>
  <c r="U189" i="39"/>
  <c r="Y189" i="39"/>
  <c r="AC189" i="39"/>
  <c r="AG189" i="39"/>
  <c r="AK189" i="39"/>
  <c r="AO189" i="39"/>
  <c r="AS189" i="39"/>
  <c r="G189" i="39"/>
  <c r="O189" i="39"/>
  <c r="W189" i="39"/>
  <c r="AE189" i="39"/>
  <c r="AM189" i="39"/>
  <c r="AU189" i="39"/>
  <c r="F189" i="39"/>
  <c r="J189" i="39"/>
  <c r="N189" i="39"/>
  <c r="R189" i="39"/>
  <c r="V189" i="39"/>
  <c r="Z189" i="39"/>
  <c r="AD189" i="39"/>
  <c r="AH189" i="39"/>
  <c r="AL189" i="39"/>
  <c r="AP189" i="39"/>
  <c r="AT189" i="39"/>
  <c r="C189" i="39"/>
  <c r="K189" i="39"/>
  <c r="S189" i="39"/>
  <c r="AA189" i="39"/>
  <c r="AI189" i="39"/>
  <c r="AQ189" i="39"/>
  <c r="AV65" i="40"/>
  <c r="AW179" i="53"/>
  <c r="AW201" i="53"/>
  <c r="AW225" i="53"/>
  <c r="AV11" i="53"/>
  <c r="AW131" i="53"/>
  <c r="AW153" i="53"/>
  <c r="AV86" i="53"/>
  <c r="AW105" i="53"/>
  <c r="AW178" i="52"/>
  <c r="AW200" i="52"/>
  <c r="AW234" i="52"/>
  <c r="AW226" i="52"/>
  <c r="AV10" i="52"/>
  <c r="AV85" i="52"/>
  <c r="AW152" i="52"/>
  <c r="AW130" i="52"/>
  <c r="AW104" i="52"/>
  <c r="AW230" i="36"/>
  <c r="AW198" i="36"/>
  <c r="AW176" i="36"/>
  <c r="AW223" i="36"/>
  <c r="AW102" i="36"/>
  <c r="AW128" i="36"/>
  <c r="AW150" i="36"/>
  <c r="AV83" i="36"/>
  <c r="AV11" i="36"/>
  <c r="AW176" i="44"/>
  <c r="AW128" i="44"/>
  <c r="AW198" i="44"/>
  <c r="AW222" i="44"/>
  <c r="AV83" i="44"/>
  <c r="AV11" i="44"/>
  <c r="AV83" i="43"/>
  <c r="AW176" i="43"/>
  <c r="AW150" i="44"/>
  <c r="AW102" i="44"/>
  <c r="AW222" i="43"/>
  <c r="AW198" i="43"/>
  <c r="AV11" i="43"/>
  <c r="AW128" i="43"/>
  <c r="AW150" i="43"/>
  <c r="AW102" i="43"/>
  <c r="AV100" i="40"/>
  <c r="AV33" i="40"/>
  <c r="AV53" i="40" s="1"/>
  <c r="AX81" i="30"/>
  <c r="AW18" i="51"/>
  <c r="AW24" i="49"/>
  <c r="AW21" i="40"/>
  <c r="AW16" i="39"/>
  <c r="AW145" i="39"/>
  <c r="AW146" i="39"/>
  <c r="AW147" i="39"/>
  <c r="AW148" i="39"/>
  <c r="AW149" i="39"/>
  <c r="AW150" i="39"/>
  <c r="AW151" i="39"/>
  <c r="AW152" i="39"/>
  <c r="AW153" i="39"/>
  <c r="AW154" i="39"/>
  <c r="AW155" i="39"/>
  <c r="AW156" i="39"/>
  <c r="AW157" i="39"/>
  <c r="AW158" i="39"/>
  <c r="AW159" i="39"/>
  <c r="AW160" i="39"/>
  <c r="AW161" i="39"/>
  <c r="AW162" i="39"/>
  <c r="AW163" i="39"/>
  <c r="AW164" i="39"/>
  <c r="AW165" i="39"/>
  <c r="AW166" i="39"/>
  <c r="AW167" i="39"/>
  <c r="AW168" i="39"/>
  <c r="AW169" i="39"/>
  <c r="AW170" i="39"/>
  <c r="AW171" i="39"/>
  <c r="AW172" i="39"/>
  <c r="AW173" i="39"/>
  <c r="AW174" i="39"/>
  <c r="AW175" i="39"/>
  <c r="AW176" i="39"/>
  <c r="AW177" i="39"/>
  <c r="AW178" i="39"/>
  <c r="AW179" i="39"/>
  <c r="AW180" i="39"/>
  <c r="AU115" i="51"/>
  <c r="AU112" i="39"/>
  <c r="E96" i="51"/>
  <c r="I96" i="51"/>
  <c r="M96" i="51"/>
  <c r="Q96" i="51"/>
  <c r="U96" i="51"/>
  <c r="Y96" i="51"/>
  <c r="AC96" i="51"/>
  <c r="AG96" i="51"/>
  <c r="AK96" i="51"/>
  <c r="AO96" i="51"/>
  <c r="AS96" i="51"/>
  <c r="C96" i="51"/>
  <c r="G96" i="51"/>
  <c r="K96" i="51"/>
  <c r="O96" i="51"/>
  <c r="S96" i="51"/>
  <c r="W96" i="51"/>
  <c r="AA96" i="51"/>
  <c r="AI96" i="51"/>
  <c r="AM96" i="51"/>
  <c r="AQ96" i="51"/>
  <c r="AU96" i="51"/>
  <c r="F96" i="51"/>
  <c r="J96" i="51"/>
  <c r="N96" i="51"/>
  <c r="R96" i="51"/>
  <c r="V96" i="51"/>
  <c r="Z96" i="51"/>
  <c r="AD96" i="51"/>
  <c r="AH96" i="51"/>
  <c r="AL96" i="51"/>
  <c r="AP96" i="51"/>
  <c r="AT96" i="51"/>
  <c r="B97" i="51"/>
  <c r="AE96" i="51"/>
  <c r="H96" i="51"/>
  <c r="X96" i="51"/>
  <c r="AN96" i="51"/>
  <c r="AJ96" i="51"/>
  <c r="L96" i="51"/>
  <c r="AB96" i="51"/>
  <c r="AR96" i="51"/>
  <c r="P96" i="51"/>
  <c r="AF96" i="51"/>
  <c r="D96" i="51"/>
  <c r="T96" i="51"/>
  <c r="AX148" i="51"/>
  <c r="AW52" i="51"/>
  <c r="AW53" i="51"/>
  <c r="AW54" i="51"/>
  <c r="AW55" i="51"/>
  <c r="AW56" i="51"/>
  <c r="AW57" i="51"/>
  <c r="AW58" i="51"/>
  <c r="AW59" i="51"/>
  <c r="AW60" i="51"/>
  <c r="AW61" i="51"/>
  <c r="AW62" i="51"/>
  <c r="AW63" i="51"/>
  <c r="AW64" i="51"/>
  <c r="AW65" i="51"/>
  <c r="AW66" i="51"/>
  <c r="AW67" i="51"/>
  <c r="AW68" i="51"/>
  <c r="AW69" i="51"/>
  <c r="AW70" i="51"/>
  <c r="AW71" i="51"/>
  <c r="AW72" i="51"/>
  <c r="AW73" i="51"/>
  <c r="AW74" i="51"/>
  <c r="AW75" i="51"/>
  <c r="AW76" i="51"/>
  <c r="AW77" i="51"/>
  <c r="AW78" i="51"/>
  <c r="AW79" i="51"/>
  <c r="AW80" i="51"/>
  <c r="AW81" i="51"/>
  <c r="AW82" i="51"/>
  <c r="AW83" i="51"/>
  <c r="AW84" i="51"/>
  <c r="AW85" i="51"/>
  <c r="AW86" i="51"/>
  <c r="AW87" i="51"/>
  <c r="AX51" i="51"/>
  <c r="AW49" i="39"/>
  <c r="AW50" i="39"/>
  <c r="AW51" i="39"/>
  <c r="AW52" i="39"/>
  <c r="AW53" i="39"/>
  <c r="AW54" i="39"/>
  <c r="AW55" i="39"/>
  <c r="AW56" i="39"/>
  <c r="AW57" i="39"/>
  <c r="AW58" i="39"/>
  <c r="AW59" i="39"/>
  <c r="AW60" i="39"/>
  <c r="AW61" i="39"/>
  <c r="AW62" i="39"/>
  <c r="AW63" i="39"/>
  <c r="AW64" i="39"/>
  <c r="AW65" i="39"/>
  <c r="AW66" i="39"/>
  <c r="AW67" i="39"/>
  <c r="AW68" i="39"/>
  <c r="AW69" i="39"/>
  <c r="AW70" i="39"/>
  <c r="AW71" i="39"/>
  <c r="AW72" i="39"/>
  <c r="AW73" i="39"/>
  <c r="AW74" i="39"/>
  <c r="AW75" i="39"/>
  <c r="AW76" i="39"/>
  <c r="AW77" i="39"/>
  <c r="AW78" i="39"/>
  <c r="AW79" i="39"/>
  <c r="AW80" i="39"/>
  <c r="AW81" i="39"/>
  <c r="AW82" i="39"/>
  <c r="AW83" i="39"/>
  <c r="AW84" i="39"/>
  <c r="AX144" i="39"/>
  <c r="B94" i="39"/>
  <c r="E93" i="39"/>
  <c r="I93" i="39"/>
  <c r="M93" i="39"/>
  <c r="Q93" i="39"/>
  <c r="U93" i="39"/>
  <c r="Y93" i="39"/>
  <c r="AC93" i="39"/>
  <c r="AG93" i="39"/>
  <c r="AK93" i="39"/>
  <c r="AO93" i="39"/>
  <c r="AS93" i="39"/>
  <c r="G93" i="39"/>
  <c r="L93" i="39"/>
  <c r="R93" i="39"/>
  <c r="W93" i="39"/>
  <c r="AB93" i="39"/>
  <c r="AH93" i="39"/>
  <c r="AM93" i="39"/>
  <c r="AR93" i="39"/>
  <c r="K93" i="39"/>
  <c r="V93" i="39"/>
  <c r="AF93" i="39"/>
  <c r="AQ93" i="39"/>
  <c r="C93" i="39"/>
  <c r="H93" i="39"/>
  <c r="N93" i="39"/>
  <c r="S93" i="39"/>
  <c r="X93" i="39"/>
  <c r="AD93" i="39"/>
  <c r="AI93" i="39"/>
  <c r="AN93" i="39"/>
  <c r="AT93" i="39"/>
  <c r="D93" i="39"/>
  <c r="J93" i="39"/>
  <c r="O93" i="39"/>
  <c r="T93" i="39"/>
  <c r="Z93" i="39"/>
  <c r="AE93" i="39"/>
  <c r="AJ93" i="39"/>
  <c r="AP93" i="39"/>
  <c r="AU93" i="39"/>
  <c r="F93" i="39"/>
  <c r="P93" i="39"/>
  <c r="AA93" i="39"/>
  <c r="AL93" i="39"/>
  <c r="AX48" i="39"/>
  <c r="AY42" i="30"/>
  <c r="AX54" i="30"/>
  <c r="AX65" i="30" s="1"/>
  <c r="AX43" i="30"/>
  <c r="AY57" i="30" s="1"/>
  <c r="AX56" i="30"/>
  <c r="AW89" i="30"/>
  <c r="AW110" i="30" s="1"/>
  <c r="AX124" i="30"/>
  <c r="AY102" i="30"/>
  <c r="J114" i="30"/>
  <c r="J113" i="30"/>
  <c r="J115" i="30" s="1"/>
  <c r="J117" i="30"/>
  <c r="J74" i="30"/>
  <c r="J68" i="30"/>
  <c r="J70" i="30" s="1"/>
  <c r="J69" i="30"/>
  <c r="J92" i="30"/>
  <c r="J94" i="30" s="1"/>
  <c r="J93" i="30"/>
  <c r="J96" i="30"/>
  <c r="T55" i="30"/>
  <c r="AH224" i="19"/>
  <c r="AH247" i="19" s="1"/>
  <c r="T125" i="19"/>
  <c r="T133" i="19" s="1"/>
  <c r="C52" i="3"/>
  <c r="D52" i="3"/>
  <c r="E52" i="3"/>
  <c r="F52" i="3"/>
  <c r="G52" i="3"/>
  <c r="H52" i="3"/>
  <c r="I52" i="3"/>
  <c r="J52" i="3"/>
  <c r="K52" i="3"/>
  <c r="L52" i="3"/>
  <c r="M52" i="3"/>
  <c r="D53" i="3"/>
  <c r="E53" i="3"/>
  <c r="G53" i="3"/>
  <c r="H53" i="3"/>
  <c r="I53" i="3"/>
  <c r="J53" i="3"/>
  <c r="K53" i="3"/>
  <c r="L53" i="3"/>
  <c r="M53" i="3"/>
  <c r="D54" i="3"/>
  <c r="E54" i="3"/>
  <c r="G54" i="3"/>
  <c r="H54" i="3"/>
  <c r="I54" i="3"/>
  <c r="J54" i="3"/>
  <c r="K54" i="3"/>
  <c r="L54" i="3"/>
  <c r="M54" i="3"/>
  <c r="D55" i="3"/>
  <c r="E55" i="3"/>
  <c r="F55" i="3"/>
  <c r="G55" i="3"/>
  <c r="H55" i="3"/>
  <c r="I55" i="3"/>
  <c r="J55" i="3"/>
  <c r="K55" i="3"/>
  <c r="L55" i="3"/>
  <c r="M55" i="3"/>
  <c r="D56" i="3"/>
  <c r="E56" i="3"/>
  <c r="F56" i="3"/>
  <c r="C123" i="3" s="1"/>
  <c r="G56" i="3"/>
  <c r="C121" i="3" s="1"/>
  <c r="H56" i="3"/>
  <c r="I56" i="3"/>
  <c r="J56" i="3"/>
  <c r="K56" i="3"/>
  <c r="C124" i="3" s="1"/>
  <c r="L56" i="3"/>
  <c r="M56" i="3"/>
  <c r="C53" i="3"/>
  <c r="C54" i="3"/>
  <c r="C55" i="3"/>
  <c r="C56" i="3"/>
  <c r="E28" i="3"/>
  <c r="F28" i="3"/>
  <c r="G28" i="3"/>
  <c r="H28" i="3"/>
  <c r="I28" i="3"/>
  <c r="J28" i="3"/>
  <c r="K28" i="3"/>
  <c r="L28" i="3"/>
  <c r="M28" i="3"/>
  <c r="N28" i="3"/>
  <c r="E29" i="3"/>
  <c r="F29" i="3"/>
  <c r="G29" i="3"/>
  <c r="H29" i="3"/>
  <c r="I29" i="3"/>
  <c r="J29" i="3"/>
  <c r="K29" i="3"/>
  <c r="L29" i="3"/>
  <c r="M29" i="3"/>
  <c r="N29" i="3"/>
  <c r="E30" i="3"/>
  <c r="F30" i="3"/>
  <c r="G30" i="3"/>
  <c r="C28" i="53" s="1"/>
  <c r="E28" i="53" s="1"/>
  <c r="H30" i="3"/>
  <c r="C29" i="53" s="1"/>
  <c r="E29" i="53" s="1"/>
  <c r="I30" i="3"/>
  <c r="C30" i="53" s="1"/>
  <c r="E30" i="53" s="1"/>
  <c r="J30" i="3"/>
  <c r="C31" i="53" s="1"/>
  <c r="E31" i="53" s="1"/>
  <c r="K30" i="3"/>
  <c r="C32" i="53" s="1"/>
  <c r="E32" i="53" s="1"/>
  <c r="L30" i="3"/>
  <c r="C33" i="53" s="1"/>
  <c r="E33" i="53" s="1"/>
  <c r="M30" i="3"/>
  <c r="N30" i="3"/>
  <c r="C34" i="53" s="1"/>
  <c r="E31" i="3"/>
  <c r="F31" i="3"/>
  <c r="G31" i="3"/>
  <c r="H31" i="3"/>
  <c r="I31" i="3"/>
  <c r="J31" i="3"/>
  <c r="K31" i="3"/>
  <c r="L31" i="3"/>
  <c r="M31" i="3"/>
  <c r="N31" i="3"/>
  <c r="E32" i="3"/>
  <c r="F32" i="3"/>
  <c r="G32" i="3"/>
  <c r="C27" i="52" s="1"/>
  <c r="E27" i="52" s="1"/>
  <c r="H32" i="3"/>
  <c r="C28" i="52" s="1"/>
  <c r="E28" i="52" s="1"/>
  <c r="I32" i="3"/>
  <c r="C29" i="52" s="1"/>
  <c r="E29" i="52" s="1"/>
  <c r="J32" i="3"/>
  <c r="C30" i="52" s="1"/>
  <c r="E30" i="52" s="1"/>
  <c r="K32" i="3"/>
  <c r="C31" i="52" s="1"/>
  <c r="E31" i="52" s="1"/>
  <c r="L32" i="3"/>
  <c r="C32" i="52" s="1"/>
  <c r="E32" i="52" s="1"/>
  <c r="M32" i="3"/>
  <c r="N32" i="3"/>
  <c r="C33" i="52" s="1"/>
  <c r="D29" i="3"/>
  <c r="D30" i="3"/>
  <c r="C27" i="53" s="1"/>
  <c r="E27" i="53" s="1"/>
  <c r="D31" i="3"/>
  <c r="D32" i="3"/>
  <c r="C26" i="52" s="1"/>
  <c r="E26" i="52" s="1"/>
  <c r="D28" i="3"/>
  <c r="O42" i="3"/>
  <c r="O48" i="3" s="1"/>
  <c r="O43" i="3"/>
  <c r="O47" i="3" s="1"/>
  <c r="O44" i="3"/>
  <c r="O45" i="3"/>
  <c r="O46" i="3" s="1"/>
  <c r="O41" i="3"/>
  <c r="AV22" i="47" l="1"/>
  <c r="AY77" i="47"/>
  <c r="AH230" i="19"/>
  <c r="AH245" i="19"/>
  <c r="AH249" i="19"/>
  <c r="T130" i="19"/>
  <c r="AH244" i="19"/>
  <c r="T147" i="19"/>
  <c r="T138" i="19"/>
  <c r="AH231" i="19"/>
  <c r="AH265" i="19"/>
  <c r="T135" i="19"/>
  <c r="AH255" i="19"/>
  <c r="T163" i="19"/>
  <c r="T134" i="19"/>
  <c r="T137" i="19"/>
  <c r="T129" i="19"/>
  <c r="T162" i="19"/>
  <c r="AH228" i="19"/>
  <c r="T152" i="19"/>
  <c r="T146" i="19"/>
  <c r="T153" i="19"/>
  <c r="T148" i="19"/>
  <c r="T126" i="19"/>
  <c r="AH262" i="19"/>
  <c r="T139" i="19"/>
  <c r="AH260" i="19"/>
  <c r="T164" i="19"/>
  <c r="AH229" i="19"/>
  <c r="AH251" i="19"/>
  <c r="T136" i="19"/>
  <c r="AH248" i="19"/>
  <c r="AH239" i="19"/>
  <c r="T166" i="19"/>
  <c r="AH234" i="19"/>
  <c r="AH263" i="19"/>
  <c r="AH246" i="19"/>
  <c r="T132" i="19"/>
  <c r="AH238" i="19"/>
  <c r="T144" i="19"/>
  <c r="T155" i="19"/>
  <c r="AH235" i="19"/>
  <c r="AH264" i="19"/>
  <c r="T141" i="19"/>
  <c r="AH256" i="19"/>
  <c r="T149" i="19"/>
  <c r="T140" i="19"/>
  <c r="AH257" i="19"/>
  <c r="AH252" i="19"/>
  <c r="AH243" i="19"/>
  <c r="T156" i="19"/>
  <c r="T151" i="19"/>
  <c r="T165" i="19"/>
  <c r="AH250" i="19"/>
  <c r="AH225" i="19"/>
  <c r="AH233" i="19"/>
  <c r="AH261" i="19"/>
  <c r="AH236" i="19"/>
  <c r="AH241" i="19"/>
  <c r="T154" i="19"/>
  <c r="T143" i="19"/>
  <c r="T158" i="19"/>
  <c r="T161" i="19"/>
  <c r="AH232" i="19"/>
  <c r="T131" i="19"/>
  <c r="AH227" i="19"/>
  <c r="AH226" i="19"/>
  <c r="T128" i="19"/>
  <c r="T150" i="19"/>
  <c r="AH240" i="19"/>
  <c r="T142" i="19"/>
  <c r="AH258" i="19"/>
  <c r="AH254" i="19"/>
  <c r="T127" i="19"/>
  <c r="T159" i="19"/>
  <c r="AH237" i="19"/>
  <c r="AH242" i="19"/>
  <c r="T145" i="19"/>
  <c r="T157" i="19"/>
  <c r="AH253" i="19"/>
  <c r="T160" i="19"/>
  <c r="AH259" i="19"/>
  <c r="AT414" i="47"/>
  <c r="AW91" i="47"/>
  <c r="AW16" i="47"/>
  <c r="AV218" i="47"/>
  <c r="AV349" i="47" s="1"/>
  <c r="AV164" i="47"/>
  <c r="AV180" i="47"/>
  <c r="AU355" i="47"/>
  <c r="AU432" i="47" s="1"/>
  <c r="AX145" i="39"/>
  <c r="AX146" i="39"/>
  <c r="AX147" i="39"/>
  <c r="AX148" i="39"/>
  <c r="AX149" i="39"/>
  <c r="AX150" i="39"/>
  <c r="AX151" i="39"/>
  <c r="AX152" i="39"/>
  <c r="AX153" i="39"/>
  <c r="AX154" i="39"/>
  <c r="AX155" i="39"/>
  <c r="AX156" i="39"/>
  <c r="AX157" i="39"/>
  <c r="AX158" i="39"/>
  <c r="AX159" i="39"/>
  <c r="AX160" i="39"/>
  <c r="AX161" i="39"/>
  <c r="AX162" i="39"/>
  <c r="AX163" i="39"/>
  <c r="AX164" i="39"/>
  <c r="AX165" i="39"/>
  <c r="AX166" i="39"/>
  <c r="AX167" i="39"/>
  <c r="AX168" i="39"/>
  <c r="AX169" i="39"/>
  <c r="AX170" i="39"/>
  <c r="AX171" i="39"/>
  <c r="AX172" i="39"/>
  <c r="AX173" i="39"/>
  <c r="AX174" i="39"/>
  <c r="AX175" i="39"/>
  <c r="AX176" i="39"/>
  <c r="AX177" i="39"/>
  <c r="AX178" i="39"/>
  <c r="AX179" i="39"/>
  <c r="AX180" i="39"/>
  <c r="AX181" i="39"/>
  <c r="AX90" i="49"/>
  <c r="AX87" i="40"/>
  <c r="AY81" i="30"/>
  <c r="AX18" i="51"/>
  <c r="AX24" i="49"/>
  <c r="AX21" i="40"/>
  <c r="AX16" i="39"/>
  <c r="AX179" i="53"/>
  <c r="AX201" i="53"/>
  <c r="AX105" i="53"/>
  <c r="AW11" i="53"/>
  <c r="AX225" i="53"/>
  <c r="AX131" i="53"/>
  <c r="AW86" i="53"/>
  <c r="AX153" i="53"/>
  <c r="AX234" i="52"/>
  <c r="AX226" i="52"/>
  <c r="AX178" i="52"/>
  <c r="AX200" i="52"/>
  <c r="AX104" i="52"/>
  <c r="AW85" i="52"/>
  <c r="AW10" i="52"/>
  <c r="AX152" i="52"/>
  <c r="AX230" i="36"/>
  <c r="AX198" i="36"/>
  <c r="AX176" i="36"/>
  <c r="AX223" i="36"/>
  <c r="AX102" i="36"/>
  <c r="AX128" i="36"/>
  <c r="AX150" i="36"/>
  <c r="AW83" i="36"/>
  <c r="AW11" i="36"/>
  <c r="AX130" i="52"/>
  <c r="AX176" i="44"/>
  <c r="AX128" i="44"/>
  <c r="AX150" i="44"/>
  <c r="AX102" i="44"/>
  <c r="AW11" i="44"/>
  <c r="AX198" i="44"/>
  <c r="AX222" i="44"/>
  <c r="AW83" i="44"/>
  <c r="AX128" i="43"/>
  <c r="AX150" i="43"/>
  <c r="AX102" i="43"/>
  <c r="AW83" i="43"/>
  <c r="AX176" i="43"/>
  <c r="AX222" i="43"/>
  <c r="AX198" i="43"/>
  <c r="AW11" i="43"/>
  <c r="AW65" i="40"/>
  <c r="AW33" i="40"/>
  <c r="AW53" i="40" s="1"/>
  <c r="AW100" i="40"/>
  <c r="AV115" i="51"/>
  <c r="AV112" i="39"/>
  <c r="B195" i="51"/>
  <c r="F194" i="51"/>
  <c r="J194" i="51"/>
  <c r="N194" i="51"/>
  <c r="R194" i="51"/>
  <c r="V194" i="51"/>
  <c r="Z194" i="51"/>
  <c r="AD194" i="51"/>
  <c r="AH194" i="51"/>
  <c r="AL194" i="51"/>
  <c r="AP194" i="51"/>
  <c r="AT194" i="51"/>
  <c r="C194" i="51"/>
  <c r="G194" i="51"/>
  <c r="K194" i="51"/>
  <c r="O194" i="51"/>
  <c r="S194" i="51"/>
  <c r="W194" i="51"/>
  <c r="AA194" i="51"/>
  <c r="AE194" i="51"/>
  <c r="AI194" i="51"/>
  <c r="AM194" i="51"/>
  <c r="AQ194" i="51"/>
  <c r="AU194" i="51"/>
  <c r="D194" i="51"/>
  <c r="H194" i="51"/>
  <c r="L194" i="51"/>
  <c r="P194" i="51"/>
  <c r="T194" i="51"/>
  <c r="X194" i="51"/>
  <c r="AB194" i="51"/>
  <c r="AF194" i="51"/>
  <c r="AJ194" i="51"/>
  <c r="AN194" i="51"/>
  <c r="AR194" i="51"/>
  <c r="AV194" i="51"/>
  <c r="E194" i="51"/>
  <c r="I194" i="51"/>
  <c r="M194" i="51"/>
  <c r="Q194" i="51"/>
  <c r="U194" i="51"/>
  <c r="Y194" i="51"/>
  <c r="AC194" i="51"/>
  <c r="AG194" i="51"/>
  <c r="AK194" i="51"/>
  <c r="AO194" i="51"/>
  <c r="AS194" i="51"/>
  <c r="AX149" i="51"/>
  <c r="AX150" i="51"/>
  <c r="AX151" i="51"/>
  <c r="AX152" i="51"/>
  <c r="AX153" i="51"/>
  <c r="AX154" i="51"/>
  <c r="AX155" i="51"/>
  <c r="AX156" i="51"/>
  <c r="AX157" i="51"/>
  <c r="AX158" i="51"/>
  <c r="AX159" i="51"/>
  <c r="AX160" i="51"/>
  <c r="AX161" i="51"/>
  <c r="AX162" i="51"/>
  <c r="AX163" i="51"/>
  <c r="AX164" i="51"/>
  <c r="AX165" i="51"/>
  <c r="AX166" i="51"/>
  <c r="AX167" i="51"/>
  <c r="AX168" i="51"/>
  <c r="AX169" i="51"/>
  <c r="AX170" i="51"/>
  <c r="AX171" i="51"/>
  <c r="AX172" i="51"/>
  <c r="AX173" i="51"/>
  <c r="AX174" i="51"/>
  <c r="AX175" i="51"/>
  <c r="AX176" i="51"/>
  <c r="AX177" i="51"/>
  <c r="AX178" i="51"/>
  <c r="AX179" i="51"/>
  <c r="AX180" i="51"/>
  <c r="AX181" i="51"/>
  <c r="AX182" i="51"/>
  <c r="AX183" i="51"/>
  <c r="AX184" i="51"/>
  <c r="AX185" i="51"/>
  <c r="AW68" i="49"/>
  <c r="AW36" i="49"/>
  <c r="AW56" i="49" s="1"/>
  <c r="AW103" i="49"/>
  <c r="B191" i="39"/>
  <c r="E190" i="39"/>
  <c r="I190" i="39"/>
  <c r="M190" i="39"/>
  <c r="Q190" i="39"/>
  <c r="U190" i="39"/>
  <c r="Y190" i="39"/>
  <c r="AC190" i="39"/>
  <c r="AG190" i="39"/>
  <c r="AK190" i="39"/>
  <c r="AO190" i="39"/>
  <c r="AS190" i="39"/>
  <c r="F190" i="39"/>
  <c r="J190" i="39"/>
  <c r="N190" i="39"/>
  <c r="R190" i="39"/>
  <c r="V190" i="39"/>
  <c r="Z190" i="39"/>
  <c r="AD190" i="39"/>
  <c r="AH190" i="39"/>
  <c r="AL190" i="39"/>
  <c r="AP190" i="39"/>
  <c r="AT190" i="39"/>
  <c r="D190" i="39"/>
  <c r="H190" i="39"/>
  <c r="P190" i="39"/>
  <c r="X190" i="39"/>
  <c r="AF190" i="39"/>
  <c r="AN190" i="39"/>
  <c r="AV190" i="39"/>
  <c r="C190" i="39"/>
  <c r="G190" i="39"/>
  <c r="K190" i="39"/>
  <c r="O190" i="39"/>
  <c r="S190" i="39"/>
  <c r="W190" i="39"/>
  <c r="AA190" i="39"/>
  <c r="AE190" i="39"/>
  <c r="AI190" i="39"/>
  <c r="AM190" i="39"/>
  <c r="AQ190" i="39"/>
  <c r="AU190" i="39"/>
  <c r="L190" i="39"/>
  <c r="T190" i="39"/>
  <c r="AB190" i="39"/>
  <c r="AJ190" i="39"/>
  <c r="AR190" i="39"/>
  <c r="AX52" i="51"/>
  <c r="AX53" i="51"/>
  <c r="AX54" i="51"/>
  <c r="AX55" i="51"/>
  <c r="AX56" i="51"/>
  <c r="AX57" i="51"/>
  <c r="AX58" i="51"/>
  <c r="AX59" i="51"/>
  <c r="AX60" i="51"/>
  <c r="AX61" i="51"/>
  <c r="AX62" i="51"/>
  <c r="AX63" i="51"/>
  <c r="AX64" i="51"/>
  <c r="AX65" i="51"/>
  <c r="AX66" i="51"/>
  <c r="AX67" i="51"/>
  <c r="AX68" i="51"/>
  <c r="AX69" i="51"/>
  <c r="AX70" i="51"/>
  <c r="AX71" i="51"/>
  <c r="AX72" i="51"/>
  <c r="AX73" i="51"/>
  <c r="AX74" i="51"/>
  <c r="AX75" i="51"/>
  <c r="AX76" i="51"/>
  <c r="AX77" i="51"/>
  <c r="AX78" i="51"/>
  <c r="AX79" i="51"/>
  <c r="AX80" i="51"/>
  <c r="AX81" i="51"/>
  <c r="AX82" i="51"/>
  <c r="AX83" i="51"/>
  <c r="AX84" i="51"/>
  <c r="AX85" i="51"/>
  <c r="AX86" i="51"/>
  <c r="AX87" i="51"/>
  <c r="AX88" i="51"/>
  <c r="AY148" i="51"/>
  <c r="B98" i="51"/>
  <c r="F97" i="51"/>
  <c r="J97" i="51"/>
  <c r="N97" i="51"/>
  <c r="R97" i="51"/>
  <c r="V97" i="51"/>
  <c r="Z97" i="51"/>
  <c r="AD97" i="51"/>
  <c r="AH97" i="51"/>
  <c r="AL97" i="51"/>
  <c r="AP97" i="51"/>
  <c r="AT97" i="51"/>
  <c r="D97" i="51"/>
  <c r="H97" i="51"/>
  <c r="P97" i="51"/>
  <c r="X97" i="51"/>
  <c r="AF97" i="51"/>
  <c r="C97" i="51"/>
  <c r="G97" i="51"/>
  <c r="K97" i="51"/>
  <c r="O97" i="51"/>
  <c r="S97" i="51"/>
  <c r="W97" i="51"/>
  <c r="AA97" i="51"/>
  <c r="AE97" i="51"/>
  <c r="AI97" i="51"/>
  <c r="AM97" i="51"/>
  <c r="AQ97" i="51"/>
  <c r="AU97" i="51"/>
  <c r="L97" i="51"/>
  <c r="T97" i="51"/>
  <c r="AB97" i="51"/>
  <c r="E97" i="51"/>
  <c r="U97" i="51"/>
  <c r="AJ97" i="51"/>
  <c r="AR97" i="51"/>
  <c r="AG97" i="51"/>
  <c r="AO97" i="51"/>
  <c r="I97" i="51"/>
  <c r="Y97" i="51"/>
  <c r="AK97" i="51"/>
  <c r="AS97" i="51"/>
  <c r="M97" i="51"/>
  <c r="AC97" i="51"/>
  <c r="AN97" i="51"/>
  <c r="AV97" i="51"/>
  <c r="Q97" i="51"/>
  <c r="AY51" i="51"/>
  <c r="AX49" i="39"/>
  <c r="AX50" i="39"/>
  <c r="AX51" i="39"/>
  <c r="AX52" i="39"/>
  <c r="AX53" i="39"/>
  <c r="AX54" i="39"/>
  <c r="AX55" i="39"/>
  <c r="AX56" i="39"/>
  <c r="AX57" i="39"/>
  <c r="AX58" i="39"/>
  <c r="AX59" i="39"/>
  <c r="AX60" i="39"/>
  <c r="AX61" i="39"/>
  <c r="AX62" i="39"/>
  <c r="AX63" i="39"/>
  <c r="AX64" i="39"/>
  <c r="AX65" i="39"/>
  <c r="AX66" i="39"/>
  <c r="AX67" i="39"/>
  <c r="AX68" i="39"/>
  <c r="AX69" i="39"/>
  <c r="AX70" i="39"/>
  <c r="AX71" i="39"/>
  <c r="AX72" i="39"/>
  <c r="AX73" i="39"/>
  <c r="AX74" i="39"/>
  <c r="AX75" i="39"/>
  <c r="AX76" i="39"/>
  <c r="AX77" i="39"/>
  <c r="AX78" i="39"/>
  <c r="AX79" i="39"/>
  <c r="AX80" i="39"/>
  <c r="AX81" i="39"/>
  <c r="AX82" i="39"/>
  <c r="AX83" i="39"/>
  <c r="AX84" i="39"/>
  <c r="AX85" i="39"/>
  <c r="B95" i="39"/>
  <c r="F94" i="39"/>
  <c r="J94" i="39"/>
  <c r="N94" i="39"/>
  <c r="R94" i="39"/>
  <c r="V94" i="39"/>
  <c r="Z94" i="39"/>
  <c r="AD94" i="39"/>
  <c r="AH94" i="39"/>
  <c r="AL94" i="39"/>
  <c r="AP94" i="39"/>
  <c r="AT94" i="39"/>
  <c r="D94" i="39"/>
  <c r="I94" i="39"/>
  <c r="O94" i="39"/>
  <c r="T94" i="39"/>
  <c r="Y94" i="39"/>
  <c r="AE94" i="39"/>
  <c r="AJ94" i="39"/>
  <c r="AO94" i="39"/>
  <c r="AU94" i="39"/>
  <c r="H94" i="39"/>
  <c r="S94" i="39"/>
  <c r="AC94" i="39"/>
  <c r="AS94" i="39"/>
  <c r="E94" i="39"/>
  <c r="K94" i="39"/>
  <c r="P94" i="39"/>
  <c r="U94" i="39"/>
  <c r="AA94" i="39"/>
  <c r="AF94" i="39"/>
  <c r="AK94" i="39"/>
  <c r="AQ94" i="39"/>
  <c r="AV94" i="39"/>
  <c r="G94" i="39"/>
  <c r="L94" i="39"/>
  <c r="Q94" i="39"/>
  <c r="W94" i="39"/>
  <c r="AB94" i="39"/>
  <c r="AG94" i="39"/>
  <c r="AM94" i="39"/>
  <c r="AR94" i="39"/>
  <c r="C94" i="39"/>
  <c r="M94" i="39"/>
  <c r="X94" i="39"/>
  <c r="AI94" i="39"/>
  <c r="AN94" i="39"/>
  <c r="AY144" i="39"/>
  <c r="AY48" i="39"/>
  <c r="AX89" i="30"/>
  <c r="AX110" i="30" s="1"/>
  <c r="AZ42" i="30"/>
  <c r="AY54" i="30"/>
  <c r="AY65" i="30" s="1"/>
  <c r="AY43" i="30"/>
  <c r="AZ57" i="30" s="1"/>
  <c r="AY56" i="30"/>
  <c r="AZ102" i="30"/>
  <c r="AY124" i="30"/>
  <c r="C67" i="53"/>
  <c r="F33" i="53"/>
  <c r="F67" i="53"/>
  <c r="C62" i="52"/>
  <c r="F62" i="52"/>
  <c r="F28" i="52"/>
  <c r="C61" i="52"/>
  <c r="F27" i="52"/>
  <c r="J27" i="52" s="1"/>
  <c r="F61" i="52"/>
  <c r="F66" i="52"/>
  <c r="C66" i="52"/>
  <c r="F32" i="52"/>
  <c r="J32" i="52" s="1"/>
  <c r="F31" i="52"/>
  <c r="F65" i="52"/>
  <c r="C65" i="52"/>
  <c r="F66" i="53"/>
  <c r="F32" i="53"/>
  <c r="J32" i="53" s="1"/>
  <c r="C66" i="53"/>
  <c r="F60" i="52"/>
  <c r="C60" i="52"/>
  <c r="F26" i="52"/>
  <c r="C36" i="52"/>
  <c r="E36" i="52" s="1"/>
  <c r="C37" i="52"/>
  <c r="E37" i="52" s="1"/>
  <c r="F64" i="52"/>
  <c r="F30" i="52"/>
  <c r="C64" i="52"/>
  <c r="C37" i="53"/>
  <c r="E37" i="53" s="1"/>
  <c r="C38" i="53"/>
  <c r="E38" i="53" s="1"/>
  <c r="C65" i="53"/>
  <c r="F31" i="53"/>
  <c r="F65" i="53"/>
  <c r="F61" i="53"/>
  <c r="F27" i="53"/>
  <c r="J27" i="53" s="1"/>
  <c r="C61" i="53"/>
  <c r="F63" i="53"/>
  <c r="C63" i="53"/>
  <c r="F29" i="53"/>
  <c r="J29" i="53" s="1"/>
  <c r="F62" i="53"/>
  <c r="C62" i="53"/>
  <c r="F28" i="53"/>
  <c r="F63" i="52"/>
  <c r="F29" i="52"/>
  <c r="J29" i="52" s="1"/>
  <c r="C63" i="52"/>
  <c r="F64" i="53"/>
  <c r="F30" i="53"/>
  <c r="J30" i="53" s="1"/>
  <c r="C64" i="53"/>
  <c r="K111" i="30"/>
  <c r="K90" i="30"/>
  <c r="K96" i="30" s="1"/>
  <c r="K66" i="30"/>
  <c r="C30" i="44"/>
  <c r="E30" i="44" s="1"/>
  <c r="C34" i="43"/>
  <c r="C31" i="43"/>
  <c r="E31" i="43" s="1"/>
  <c r="C33" i="44"/>
  <c r="E33" i="44" s="1"/>
  <c r="C29" i="44"/>
  <c r="E29" i="44" s="1"/>
  <c r="D248" i="43"/>
  <c r="C30" i="43"/>
  <c r="E30" i="43" s="1"/>
  <c r="C32" i="44"/>
  <c r="E32" i="44" s="1"/>
  <c r="C28" i="44"/>
  <c r="E28" i="44" s="1"/>
  <c r="D248" i="44"/>
  <c r="C33" i="43"/>
  <c r="E33" i="43" s="1"/>
  <c r="C29" i="43"/>
  <c r="E29" i="43" s="1"/>
  <c r="C34" i="44"/>
  <c r="C31" i="44"/>
  <c r="E31" i="44" s="1"/>
  <c r="D256" i="36"/>
  <c r="C32" i="43"/>
  <c r="E32" i="43" s="1"/>
  <c r="C28" i="43"/>
  <c r="E28" i="43" s="1"/>
  <c r="C27" i="44"/>
  <c r="E27" i="44" s="1"/>
  <c r="C27" i="43"/>
  <c r="E27" i="43" s="1"/>
  <c r="C31" i="36"/>
  <c r="C30" i="36"/>
  <c r="C27" i="36"/>
  <c r="C33" i="36"/>
  <c r="C29" i="36"/>
  <c r="C34" i="36"/>
  <c r="C32" i="36"/>
  <c r="C28" i="36"/>
  <c r="U55" i="30"/>
  <c r="AI224" i="19"/>
  <c r="AI247" i="19" s="1"/>
  <c r="U125" i="19"/>
  <c r="AW22" i="47" l="1"/>
  <c r="AZ77" i="47"/>
  <c r="U133" i="19"/>
  <c r="U128" i="19"/>
  <c r="U154" i="19"/>
  <c r="AI253" i="19"/>
  <c r="AI237" i="19"/>
  <c r="AI258" i="19"/>
  <c r="AI233" i="19"/>
  <c r="U151" i="19"/>
  <c r="AI257" i="19"/>
  <c r="U141" i="19"/>
  <c r="U144" i="19"/>
  <c r="AI263" i="19"/>
  <c r="AI248" i="19"/>
  <c r="U164" i="19"/>
  <c r="U126" i="19"/>
  <c r="U152" i="19"/>
  <c r="U137" i="19"/>
  <c r="U135" i="19"/>
  <c r="U147" i="19"/>
  <c r="AI245" i="19"/>
  <c r="AI232" i="19"/>
  <c r="U157" i="19"/>
  <c r="U159" i="19"/>
  <c r="U142" i="19"/>
  <c r="AI226" i="19"/>
  <c r="U161" i="19"/>
  <c r="AI241" i="19"/>
  <c r="AI225" i="19"/>
  <c r="U156" i="19"/>
  <c r="U140" i="19"/>
  <c r="AI264" i="19"/>
  <c r="AI238" i="19"/>
  <c r="AI234" i="19"/>
  <c r="U136" i="19"/>
  <c r="AI260" i="19"/>
  <c r="U148" i="19"/>
  <c r="AI228" i="19"/>
  <c r="U134" i="19"/>
  <c r="AI265" i="19"/>
  <c r="AI244" i="19"/>
  <c r="AI230" i="19"/>
  <c r="AI259" i="19"/>
  <c r="U145" i="19"/>
  <c r="U127" i="19"/>
  <c r="AI240" i="19"/>
  <c r="AI227" i="19"/>
  <c r="U158" i="19"/>
  <c r="AI236" i="19"/>
  <c r="AI250" i="19"/>
  <c r="AI243" i="19"/>
  <c r="U149" i="19"/>
  <c r="AI235" i="19"/>
  <c r="U132" i="19"/>
  <c r="U166" i="19"/>
  <c r="AI251" i="19"/>
  <c r="U139" i="19"/>
  <c r="U153" i="19"/>
  <c r="U162" i="19"/>
  <c r="U163" i="19"/>
  <c r="AI231" i="19"/>
  <c r="U130" i="19"/>
  <c r="U160" i="19"/>
  <c r="AI242" i="19"/>
  <c r="AI254" i="19"/>
  <c r="U150" i="19"/>
  <c r="U131" i="19"/>
  <c r="U143" i="19"/>
  <c r="AI261" i="19"/>
  <c r="U165" i="19"/>
  <c r="AI252" i="19"/>
  <c r="AI256" i="19"/>
  <c r="U155" i="19"/>
  <c r="AI246" i="19"/>
  <c r="AI239" i="19"/>
  <c r="AI229" i="19"/>
  <c r="AI262" i="19"/>
  <c r="U146" i="19"/>
  <c r="U129" i="19"/>
  <c r="AI255" i="19"/>
  <c r="U138" i="19"/>
  <c r="AI249" i="19"/>
  <c r="AX91" i="47"/>
  <c r="AX16" i="47"/>
  <c r="AV355" i="47"/>
  <c r="AV432" i="47" s="1"/>
  <c r="AW180" i="47"/>
  <c r="AW218" i="47"/>
  <c r="AW349" i="47" s="1"/>
  <c r="AW164" i="47"/>
  <c r="AU414" i="47"/>
  <c r="B196" i="51"/>
  <c r="C195" i="51"/>
  <c r="G195" i="51"/>
  <c r="K195" i="51"/>
  <c r="O195" i="51"/>
  <c r="S195" i="51"/>
  <c r="W195" i="51"/>
  <c r="AA195" i="51"/>
  <c r="AE195" i="51"/>
  <c r="AI195" i="51"/>
  <c r="AM195" i="51"/>
  <c r="AQ195" i="51"/>
  <c r="AU195" i="51"/>
  <c r="D195" i="51"/>
  <c r="H195" i="51"/>
  <c r="L195" i="51"/>
  <c r="P195" i="51"/>
  <c r="T195" i="51"/>
  <c r="X195" i="51"/>
  <c r="AB195" i="51"/>
  <c r="AF195" i="51"/>
  <c r="AJ195" i="51"/>
  <c r="AN195" i="51"/>
  <c r="AR195" i="51"/>
  <c r="AV195" i="51"/>
  <c r="E195" i="51"/>
  <c r="I195" i="51"/>
  <c r="M195" i="51"/>
  <c r="Q195" i="51"/>
  <c r="U195" i="51"/>
  <c r="Y195" i="51"/>
  <c r="AC195" i="51"/>
  <c r="AG195" i="51"/>
  <c r="AK195" i="51"/>
  <c r="AO195" i="51"/>
  <c r="AS195" i="51"/>
  <c r="AW195" i="51"/>
  <c r="F195" i="51"/>
  <c r="J195" i="51"/>
  <c r="N195" i="51"/>
  <c r="R195" i="51"/>
  <c r="V195" i="51"/>
  <c r="Z195" i="51"/>
  <c r="AD195" i="51"/>
  <c r="AH195" i="51"/>
  <c r="AL195" i="51"/>
  <c r="AP195" i="51"/>
  <c r="AT195" i="51"/>
  <c r="AY145" i="39"/>
  <c r="AY146" i="39"/>
  <c r="AY147" i="39"/>
  <c r="AY148" i="39"/>
  <c r="AY149" i="39"/>
  <c r="AY150" i="39"/>
  <c r="AY151" i="39"/>
  <c r="AY152" i="39"/>
  <c r="AY153" i="39"/>
  <c r="AY154" i="39"/>
  <c r="AY155" i="39"/>
  <c r="AY156" i="39"/>
  <c r="AY157" i="39"/>
  <c r="AY158" i="39"/>
  <c r="AY159" i="39"/>
  <c r="AY160" i="39"/>
  <c r="AY161" i="39"/>
  <c r="AY162" i="39"/>
  <c r="AY163" i="39"/>
  <c r="AY164" i="39"/>
  <c r="AY165" i="39"/>
  <c r="AY166" i="39"/>
  <c r="AY167" i="39"/>
  <c r="AY168" i="39"/>
  <c r="AY169" i="39"/>
  <c r="AY170" i="39"/>
  <c r="AY171" i="39"/>
  <c r="AY172" i="39"/>
  <c r="AY173" i="39"/>
  <c r="AY174" i="39"/>
  <c r="AY175" i="39"/>
  <c r="AY176" i="39"/>
  <c r="AY177" i="39"/>
  <c r="AY178" i="39"/>
  <c r="AY179" i="39"/>
  <c r="AY180" i="39"/>
  <c r="AY181" i="39"/>
  <c r="AY182" i="39"/>
  <c r="AY149" i="51"/>
  <c r="AY150" i="51"/>
  <c r="AY151" i="51"/>
  <c r="AY152" i="51"/>
  <c r="AY153" i="51"/>
  <c r="AY154" i="51"/>
  <c r="AY155" i="51"/>
  <c r="AY156" i="51"/>
  <c r="AY157" i="51"/>
  <c r="AY158" i="51"/>
  <c r="AY159" i="51"/>
  <c r="AY160" i="51"/>
  <c r="AY161" i="51"/>
  <c r="AY162" i="51"/>
  <c r="AY163" i="51"/>
  <c r="AY164" i="51"/>
  <c r="AY165" i="51"/>
  <c r="AY166" i="51"/>
  <c r="AY167" i="51"/>
  <c r="AY168" i="51"/>
  <c r="AY169" i="51"/>
  <c r="AY170" i="51"/>
  <c r="AY171" i="51"/>
  <c r="AY172" i="51"/>
  <c r="AY173" i="51"/>
  <c r="AY174" i="51"/>
  <c r="AY175" i="51"/>
  <c r="AY176" i="51"/>
  <c r="AY177" i="51"/>
  <c r="AY178" i="51"/>
  <c r="AY179" i="51"/>
  <c r="AY180" i="51"/>
  <c r="AY181" i="51"/>
  <c r="AY182" i="51"/>
  <c r="AY183" i="51"/>
  <c r="AY184" i="51"/>
  <c r="AY185" i="51"/>
  <c r="AY186" i="51"/>
  <c r="AZ81" i="30"/>
  <c r="AY18" i="51"/>
  <c r="AY24" i="49"/>
  <c r="AY16" i="39"/>
  <c r="AY21" i="40"/>
  <c r="AY90" i="49"/>
  <c r="AY87" i="40"/>
  <c r="AW115" i="51"/>
  <c r="AW112" i="39"/>
  <c r="AY225" i="53"/>
  <c r="AY179" i="53"/>
  <c r="AY201" i="53"/>
  <c r="AY131" i="53"/>
  <c r="AY153" i="53"/>
  <c r="AX86" i="53"/>
  <c r="AY105" i="53"/>
  <c r="AX11" i="53"/>
  <c r="AY234" i="52"/>
  <c r="AY226" i="52"/>
  <c r="AY178" i="52"/>
  <c r="AY200" i="52"/>
  <c r="AY130" i="52"/>
  <c r="AY104" i="52"/>
  <c r="AX85" i="52"/>
  <c r="AX10" i="52"/>
  <c r="AY176" i="44"/>
  <c r="AY152" i="52"/>
  <c r="AY230" i="36"/>
  <c r="AY198" i="36"/>
  <c r="AY176" i="36"/>
  <c r="AY223" i="36"/>
  <c r="AY102" i="36"/>
  <c r="AY128" i="36"/>
  <c r="AY150" i="36"/>
  <c r="AX83" i="36"/>
  <c r="AX11" i="36"/>
  <c r="AY128" i="44"/>
  <c r="AY150" i="44"/>
  <c r="AY102" i="44"/>
  <c r="AX11" i="44"/>
  <c r="AY198" i="44"/>
  <c r="AY222" i="44"/>
  <c r="AY222" i="43"/>
  <c r="AY198" i="43"/>
  <c r="AX11" i="43"/>
  <c r="AY128" i="43"/>
  <c r="AY150" i="43"/>
  <c r="AY102" i="43"/>
  <c r="AX83" i="44"/>
  <c r="AX83" i="43"/>
  <c r="AY176" i="43"/>
  <c r="AX65" i="40"/>
  <c r="AX100" i="40"/>
  <c r="AX33" i="40"/>
  <c r="AX53" i="40" s="1"/>
  <c r="F191" i="39"/>
  <c r="J191" i="39"/>
  <c r="N191" i="39"/>
  <c r="R191" i="39"/>
  <c r="V191" i="39"/>
  <c r="Z191" i="39"/>
  <c r="AD191" i="39"/>
  <c r="AH191" i="39"/>
  <c r="AL191" i="39"/>
  <c r="AP191" i="39"/>
  <c r="AT191" i="39"/>
  <c r="C191" i="39"/>
  <c r="G191" i="39"/>
  <c r="K191" i="39"/>
  <c r="O191" i="39"/>
  <c r="S191" i="39"/>
  <c r="W191" i="39"/>
  <c r="AA191" i="39"/>
  <c r="AE191" i="39"/>
  <c r="AI191" i="39"/>
  <c r="AM191" i="39"/>
  <c r="AQ191" i="39"/>
  <c r="AU191" i="39"/>
  <c r="E191" i="39"/>
  <c r="M191" i="39"/>
  <c r="U191" i="39"/>
  <c r="AC191" i="39"/>
  <c r="AK191" i="39"/>
  <c r="AS191" i="39"/>
  <c r="B192" i="39"/>
  <c r="D191" i="39"/>
  <c r="H191" i="39"/>
  <c r="L191" i="39"/>
  <c r="P191" i="39"/>
  <c r="T191" i="39"/>
  <c r="X191" i="39"/>
  <c r="AB191" i="39"/>
  <c r="AF191" i="39"/>
  <c r="AJ191" i="39"/>
  <c r="AN191" i="39"/>
  <c r="AR191" i="39"/>
  <c r="AV191" i="39"/>
  <c r="I191" i="39"/>
  <c r="Q191" i="39"/>
  <c r="Y191" i="39"/>
  <c r="AG191" i="39"/>
  <c r="AO191" i="39"/>
  <c r="AW191" i="39"/>
  <c r="AX103" i="49"/>
  <c r="AX36" i="49"/>
  <c r="AX56" i="49" s="1"/>
  <c r="AX68" i="49"/>
  <c r="AY52" i="51"/>
  <c r="AY53" i="51"/>
  <c r="AY54" i="51"/>
  <c r="AY55" i="51"/>
  <c r="AY56" i="51"/>
  <c r="AY57" i="51"/>
  <c r="AY58" i="51"/>
  <c r="AY59" i="51"/>
  <c r="AY60" i="51"/>
  <c r="AY61" i="51"/>
  <c r="AY62" i="51"/>
  <c r="AY63" i="51"/>
  <c r="AY64" i="51"/>
  <c r="AY65" i="51"/>
  <c r="AY66" i="51"/>
  <c r="AY67" i="51"/>
  <c r="AY68" i="51"/>
  <c r="AY69" i="51"/>
  <c r="AY70" i="51"/>
  <c r="AY71" i="51"/>
  <c r="AY72" i="51"/>
  <c r="AY73" i="51"/>
  <c r="AY74" i="51"/>
  <c r="AY75" i="51"/>
  <c r="AY76" i="51"/>
  <c r="AY77" i="51"/>
  <c r="AY78" i="51"/>
  <c r="AY79" i="51"/>
  <c r="AY80" i="51"/>
  <c r="AY81" i="51"/>
  <c r="AY82" i="51"/>
  <c r="AY83" i="51"/>
  <c r="AY84" i="51"/>
  <c r="AY85" i="51"/>
  <c r="AY86" i="51"/>
  <c r="AY87" i="51"/>
  <c r="AY88" i="51"/>
  <c r="AY89" i="51"/>
  <c r="B99" i="51"/>
  <c r="C98" i="51"/>
  <c r="G98" i="51"/>
  <c r="K98" i="51"/>
  <c r="O98" i="51"/>
  <c r="S98" i="51"/>
  <c r="W98" i="51"/>
  <c r="AA98" i="51"/>
  <c r="AE98" i="51"/>
  <c r="AI98" i="51"/>
  <c r="AM98" i="51"/>
  <c r="AQ98" i="51"/>
  <c r="AU98" i="51"/>
  <c r="D98" i="51"/>
  <c r="H98" i="51"/>
  <c r="L98" i="51"/>
  <c r="P98" i="51"/>
  <c r="T98" i="51"/>
  <c r="X98" i="51"/>
  <c r="AB98" i="51"/>
  <c r="AF98" i="51"/>
  <c r="AJ98" i="51"/>
  <c r="AN98" i="51"/>
  <c r="AR98" i="51"/>
  <c r="AV98" i="51"/>
  <c r="I98" i="51"/>
  <c r="Q98" i="51"/>
  <c r="Y98" i="51"/>
  <c r="AG98" i="51"/>
  <c r="AO98" i="51"/>
  <c r="AW98" i="51"/>
  <c r="F98" i="51"/>
  <c r="N98" i="51"/>
  <c r="AD98" i="51"/>
  <c r="AT98" i="51"/>
  <c r="J98" i="51"/>
  <c r="R98" i="51"/>
  <c r="Z98" i="51"/>
  <c r="AH98" i="51"/>
  <c r="AP98" i="51"/>
  <c r="E98" i="51"/>
  <c r="M98" i="51"/>
  <c r="U98" i="51"/>
  <c r="AC98" i="51"/>
  <c r="AK98" i="51"/>
  <c r="AS98" i="51"/>
  <c r="V98" i="51"/>
  <c r="AL98" i="51"/>
  <c r="AZ148" i="51"/>
  <c r="AZ51" i="51"/>
  <c r="AY49" i="39"/>
  <c r="AY50" i="39"/>
  <c r="AY51" i="39"/>
  <c r="AY52" i="39"/>
  <c r="AY53" i="39"/>
  <c r="AY54" i="39"/>
  <c r="AY55" i="39"/>
  <c r="AY56" i="39"/>
  <c r="AY57" i="39"/>
  <c r="AY58" i="39"/>
  <c r="AY59" i="39"/>
  <c r="AY60" i="39"/>
  <c r="AY61" i="39"/>
  <c r="AY62" i="39"/>
  <c r="AY63" i="39"/>
  <c r="AY64" i="39"/>
  <c r="AY65" i="39"/>
  <c r="AY66" i="39"/>
  <c r="AY67" i="39"/>
  <c r="AY68" i="39"/>
  <c r="AY69" i="39"/>
  <c r="AY70" i="39"/>
  <c r="AY71" i="39"/>
  <c r="AY72" i="39"/>
  <c r="AY73" i="39"/>
  <c r="AY74" i="39"/>
  <c r="AY75" i="39"/>
  <c r="AY76" i="39"/>
  <c r="AY77" i="39"/>
  <c r="AY78" i="39"/>
  <c r="AY79" i="39"/>
  <c r="AY80" i="39"/>
  <c r="AY81" i="39"/>
  <c r="AY82" i="39"/>
  <c r="AY83" i="39"/>
  <c r="AY84" i="39"/>
  <c r="AY85" i="39"/>
  <c r="AY86" i="39"/>
  <c r="AZ144" i="39"/>
  <c r="B96" i="39"/>
  <c r="C95" i="39"/>
  <c r="G95" i="39"/>
  <c r="K95" i="39"/>
  <c r="O95" i="39"/>
  <c r="S95" i="39"/>
  <c r="W95" i="39"/>
  <c r="AA95" i="39"/>
  <c r="AE95" i="39"/>
  <c r="AI95" i="39"/>
  <c r="AM95" i="39"/>
  <c r="AQ95" i="39"/>
  <c r="AU95" i="39"/>
  <c r="F95" i="39"/>
  <c r="L95" i="39"/>
  <c r="Q95" i="39"/>
  <c r="V95" i="39"/>
  <c r="AB95" i="39"/>
  <c r="AG95" i="39"/>
  <c r="AL95" i="39"/>
  <c r="AR95" i="39"/>
  <c r="AW95" i="39"/>
  <c r="E95" i="39"/>
  <c r="P95" i="39"/>
  <c r="AF95" i="39"/>
  <c r="AP95" i="39"/>
  <c r="H95" i="39"/>
  <c r="M95" i="39"/>
  <c r="R95" i="39"/>
  <c r="X95" i="39"/>
  <c r="AC95" i="39"/>
  <c r="AH95" i="39"/>
  <c r="AN95" i="39"/>
  <c r="AS95" i="39"/>
  <c r="D95" i="39"/>
  <c r="I95" i="39"/>
  <c r="N95" i="39"/>
  <c r="T95" i="39"/>
  <c r="Y95" i="39"/>
  <c r="AD95" i="39"/>
  <c r="AJ95" i="39"/>
  <c r="AO95" i="39"/>
  <c r="AT95" i="39"/>
  <c r="J95" i="39"/>
  <c r="U95" i="39"/>
  <c r="Z95" i="39"/>
  <c r="AK95" i="39"/>
  <c r="AV95" i="39"/>
  <c r="AZ48" i="39"/>
  <c r="AZ56" i="30"/>
  <c r="AZ54" i="30"/>
  <c r="AZ65" i="30" s="1"/>
  <c r="BA42" i="30"/>
  <c r="AZ43" i="30"/>
  <c r="BA57" i="30" s="1"/>
  <c r="AY89" i="30"/>
  <c r="AY110" i="30" s="1"/>
  <c r="AZ124" i="30"/>
  <c r="BA102" i="30"/>
  <c r="G64" i="53"/>
  <c r="D64" i="53"/>
  <c r="G63" i="52"/>
  <c r="D63" i="52"/>
  <c r="C39" i="53"/>
  <c r="F68" i="52"/>
  <c r="C68" i="52"/>
  <c r="F37" i="52"/>
  <c r="J37" i="52" s="1"/>
  <c r="J28" i="52"/>
  <c r="G62" i="52"/>
  <c r="D62" i="52"/>
  <c r="F69" i="53"/>
  <c r="F38" i="53"/>
  <c r="C69" i="53"/>
  <c r="D64" i="52"/>
  <c r="G64" i="52"/>
  <c r="F67" i="52"/>
  <c r="F36" i="52"/>
  <c r="J36" i="52" s="1"/>
  <c r="C67" i="52"/>
  <c r="G66" i="52"/>
  <c r="D66" i="52"/>
  <c r="G67" i="53"/>
  <c r="D67" i="53"/>
  <c r="J28" i="53"/>
  <c r="D62" i="53"/>
  <c r="G62" i="53"/>
  <c r="D63" i="53"/>
  <c r="G63" i="53"/>
  <c r="J31" i="53"/>
  <c r="G65" i="53"/>
  <c r="D65" i="53"/>
  <c r="F68" i="53"/>
  <c r="C68" i="53"/>
  <c r="F37" i="53"/>
  <c r="J37" i="53" s="1"/>
  <c r="J26" i="52"/>
  <c r="G60" i="52"/>
  <c r="D60" i="52"/>
  <c r="D61" i="52"/>
  <c r="G61" i="52"/>
  <c r="D61" i="53"/>
  <c r="G61" i="53"/>
  <c r="J30" i="52"/>
  <c r="C38" i="52"/>
  <c r="G66" i="53"/>
  <c r="D66" i="53"/>
  <c r="J31" i="52"/>
  <c r="D65" i="52"/>
  <c r="G65" i="52"/>
  <c r="J33" i="53"/>
  <c r="K117" i="30"/>
  <c r="K114" i="30"/>
  <c r="K113" i="30"/>
  <c r="K115" i="30" s="1"/>
  <c r="K93" i="30"/>
  <c r="K92" i="30"/>
  <c r="K94" i="30" s="1"/>
  <c r="K69" i="30"/>
  <c r="K68" i="30"/>
  <c r="K74" i="30"/>
  <c r="F32" i="43"/>
  <c r="D63" i="43" s="1"/>
  <c r="C63" i="43"/>
  <c r="F31" i="44"/>
  <c r="D62" i="44" s="1"/>
  <c r="C62" i="44"/>
  <c r="C60" i="43"/>
  <c r="F29" i="43"/>
  <c r="D60" i="43" s="1"/>
  <c r="C59" i="44"/>
  <c r="F28" i="44"/>
  <c r="D59" i="44" s="1"/>
  <c r="C61" i="43"/>
  <c r="F30" i="43"/>
  <c r="D61" i="43" s="1"/>
  <c r="C64" i="44"/>
  <c r="F33" i="44"/>
  <c r="D64" i="44" s="1"/>
  <c r="C37" i="43"/>
  <c r="C38" i="43"/>
  <c r="E38" i="43" s="1"/>
  <c r="F28" i="43"/>
  <c r="D59" i="43" s="1"/>
  <c r="C59" i="43"/>
  <c r="C37" i="44"/>
  <c r="C38" i="44"/>
  <c r="E38" i="44" s="1"/>
  <c r="F33" i="43"/>
  <c r="D64" i="43" s="1"/>
  <c r="C64" i="43"/>
  <c r="C63" i="44"/>
  <c r="F32" i="44"/>
  <c r="D63" i="44" s="1"/>
  <c r="F29" i="44"/>
  <c r="D60" i="44" s="1"/>
  <c r="C60" i="44"/>
  <c r="F31" i="43"/>
  <c r="D62" i="43" s="1"/>
  <c r="C62" i="43"/>
  <c r="C61" i="44"/>
  <c r="F30" i="44"/>
  <c r="D61" i="44" s="1"/>
  <c r="C58" i="43"/>
  <c r="F27" i="43"/>
  <c r="D58" i="43" s="1"/>
  <c r="F27" i="44"/>
  <c r="D58" i="44" s="1"/>
  <c r="C58" i="44"/>
  <c r="E32" i="36"/>
  <c r="C63" i="36" s="1"/>
  <c r="E29" i="36"/>
  <c r="E27" i="36"/>
  <c r="E31" i="36"/>
  <c r="E28" i="36"/>
  <c r="C38" i="36"/>
  <c r="C37" i="36"/>
  <c r="E33" i="36"/>
  <c r="E30" i="36"/>
  <c r="V55" i="30"/>
  <c r="AJ224" i="19"/>
  <c r="AK224" i="19" s="1"/>
  <c r="AL224" i="19" s="1"/>
  <c r="V125" i="19"/>
  <c r="AX22" i="47" l="1"/>
  <c r="BA77" i="47"/>
  <c r="V133" i="19"/>
  <c r="AJ255" i="19"/>
  <c r="AK255" i="19" s="1"/>
  <c r="AL255" i="19" s="1"/>
  <c r="AJ229" i="19"/>
  <c r="AK229" i="19" s="1"/>
  <c r="AL229" i="19" s="1"/>
  <c r="AJ256" i="19"/>
  <c r="AK256" i="19" s="1"/>
  <c r="AL256" i="19" s="1"/>
  <c r="V143" i="19"/>
  <c r="AJ242" i="19"/>
  <c r="AK242" i="19" s="1"/>
  <c r="AL242" i="19" s="1"/>
  <c r="AJ231" i="19"/>
  <c r="AK231" i="19" s="1"/>
  <c r="AL231" i="19" s="1"/>
  <c r="V139" i="19"/>
  <c r="AJ235" i="19"/>
  <c r="AK235" i="19" s="1"/>
  <c r="AL235" i="19" s="1"/>
  <c r="AJ236" i="19"/>
  <c r="AK236" i="19" s="1"/>
  <c r="AL236" i="19" s="1"/>
  <c r="V127" i="19"/>
  <c r="AJ230" i="19"/>
  <c r="AK230" i="19" s="1"/>
  <c r="AL230" i="19" s="1"/>
  <c r="AJ228" i="19"/>
  <c r="AK228" i="19" s="1"/>
  <c r="AL228" i="19" s="1"/>
  <c r="AJ234" i="19"/>
  <c r="AK234" i="19" s="1"/>
  <c r="AL234" i="19" s="1"/>
  <c r="V156" i="19"/>
  <c r="AJ226" i="19"/>
  <c r="AK226" i="19" s="1"/>
  <c r="AL226" i="19" s="1"/>
  <c r="AJ232" i="19"/>
  <c r="AK232" i="19" s="1"/>
  <c r="AL232" i="19" s="1"/>
  <c r="V137" i="19"/>
  <c r="AJ248" i="19"/>
  <c r="AK248" i="19" s="1"/>
  <c r="AL248" i="19" s="1"/>
  <c r="AJ257" i="19"/>
  <c r="AK257" i="19" s="1"/>
  <c r="AL257" i="19" s="1"/>
  <c r="AJ237" i="19"/>
  <c r="AK237" i="19" s="1"/>
  <c r="AL237" i="19" s="1"/>
  <c r="V129" i="19"/>
  <c r="AJ239" i="19"/>
  <c r="AK239" i="19" s="1"/>
  <c r="AL239" i="19" s="1"/>
  <c r="AJ252" i="19"/>
  <c r="AK252" i="19" s="1"/>
  <c r="AL252" i="19" s="1"/>
  <c r="V131" i="19"/>
  <c r="V160" i="19"/>
  <c r="V163" i="19"/>
  <c r="AJ251" i="19"/>
  <c r="AK251" i="19" s="1"/>
  <c r="AL251" i="19" s="1"/>
  <c r="V149" i="19"/>
  <c r="V158" i="19"/>
  <c r="V145" i="19"/>
  <c r="AJ244" i="19"/>
  <c r="AK244" i="19" s="1"/>
  <c r="AL244" i="19" s="1"/>
  <c r="V148" i="19"/>
  <c r="AJ238" i="19"/>
  <c r="AK238" i="19" s="1"/>
  <c r="AL238" i="19" s="1"/>
  <c r="AJ225" i="19"/>
  <c r="AK225" i="19" s="1"/>
  <c r="AL225" i="19" s="1"/>
  <c r="V142" i="19"/>
  <c r="AJ245" i="19"/>
  <c r="AK245" i="19" s="1"/>
  <c r="AL245" i="19" s="1"/>
  <c r="V152" i="19"/>
  <c r="AJ263" i="19"/>
  <c r="AK263" i="19" s="1"/>
  <c r="AL263" i="19" s="1"/>
  <c r="V151" i="19"/>
  <c r="AJ253" i="19"/>
  <c r="AK253" i="19" s="1"/>
  <c r="AL253" i="19" s="1"/>
  <c r="AJ249" i="19"/>
  <c r="AK249" i="19" s="1"/>
  <c r="AL249" i="19" s="1"/>
  <c r="V146" i="19"/>
  <c r="AJ246" i="19"/>
  <c r="AK246" i="19" s="1"/>
  <c r="AL246" i="19" s="1"/>
  <c r="V165" i="19"/>
  <c r="V150" i="19"/>
  <c r="V128" i="19"/>
  <c r="V162" i="19"/>
  <c r="V166" i="19"/>
  <c r="AJ243" i="19"/>
  <c r="AK243" i="19" s="1"/>
  <c r="AL243" i="19" s="1"/>
  <c r="AJ227" i="19"/>
  <c r="AK227" i="19" s="1"/>
  <c r="AL227" i="19" s="1"/>
  <c r="AJ259" i="19"/>
  <c r="AK259" i="19" s="1"/>
  <c r="AL259" i="19" s="1"/>
  <c r="AJ265" i="19"/>
  <c r="AK265" i="19" s="1"/>
  <c r="AL265" i="19" s="1"/>
  <c r="AJ260" i="19"/>
  <c r="AK260" i="19" s="1"/>
  <c r="AL260" i="19" s="1"/>
  <c r="AJ264" i="19"/>
  <c r="AK264" i="19" s="1"/>
  <c r="AL264" i="19" s="1"/>
  <c r="AJ241" i="19"/>
  <c r="AK241" i="19" s="1"/>
  <c r="AL241" i="19" s="1"/>
  <c r="V159" i="19"/>
  <c r="V147" i="19"/>
  <c r="V126" i="19"/>
  <c r="V144" i="19"/>
  <c r="AJ233" i="19"/>
  <c r="AK233" i="19" s="1"/>
  <c r="AL233" i="19" s="1"/>
  <c r="AJ247" i="19"/>
  <c r="AK247" i="19" s="1"/>
  <c r="AL247" i="19" s="1"/>
  <c r="V138" i="19"/>
  <c r="AJ262" i="19"/>
  <c r="AK262" i="19" s="1"/>
  <c r="AL262" i="19" s="1"/>
  <c r="V155" i="19"/>
  <c r="AJ261" i="19"/>
  <c r="AK261" i="19" s="1"/>
  <c r="AL261" i="19" s="1"/>
  <c r="AJ254" i="19"/>
  <c r="AK254" i="19" s="1"/>
  <c r="AL254" i="19" s="1"/>
  <c r="V130" i="19"/>
  <c r="V153" i="19"/>
  <c r="V132" i="19"/>
  <c r="AJ250" i="19"/>
  <c r="AK250" i="19" s="1"/>
  <c r="AL250" i="19" s="1"/>
  <c r="AJ240" i="19"/>
  <c r="AK240" i="19" s="1"/>
  <c r="AL240" i="19" s="1"/>
  <c r="V154" i="19"/>
  <c r="V134" i="19"/>
  <c r="V136" i="19"/>
  <c r="V140" i="19"/>
  <c r="V161" i="19"/>
  <c r="V157" i="19"/>
  <c r="V135" i="19"/>
  <c r="V164" i="19"/>
  <c r="V141" i="19"/>
  <c r="AJ258" i="19"/>
  <c r="AK258" i="19" s="1"/>
  <c r="AL258" i="19" s="1"/>
  <c r="AV414" i="47"/>
  <c r="AW355" i="47"/>
  <c r="AW432" i="47" s="1"/>
  <c r="AY16" i="47"/>
  <c r="AY91" i="47"/>
  <c r="AX164" i="47"/>
  <c r="AX180" i="47"/>
  <c r="AX218" i="47"/>
  <c r="AX349" i="47" s="1"/>
  <c r="B197" i="51"/>
  <c r="D196" i="51"/>
  <c r="H196" i="51"/>
  <c r="L196" i="51"/>
  <c r="E196" i="51"/>
  <c r="I196" i="51"/>
  <c r="M196" i="51"/>
  <c r="F196" i="51"/>
  <c r="J196" i="51"/>
  <c r="N196" i="51"/>
  <c r="C196" i="51"/>
  <c r="G196" i="51"/>
  <c r="K196" i="51"/>
  <c r="O196" i="51"/>
  <c r="Q196" i="51"/>
  <c r="U196" i="51"/>
  <c r="Y196" i="51"/>
  <c r="AC196" i="51"/>
  <c r="AG196" i="51"/>
  <c r="AK196" i="51"/>
  <c r="AO196" i="51"/>
  <c r="AS196" i="51"/>
  <c r="AW196" i="51"/>
  <c r="R196" i="51"/>
  <c r="V196" i="51"/>
  <c r="Z196" i="51"/>
  <c r="AD196" i="51"/>
  <c r="AH196" i="51"/>
  <c r="AL196" i="51"/>
  <c r="AP196" i="51"/>
  <c r="AT196" i="51"/>
  <c r="AX196" i="51"/>
  <c r="S196" i="51"/>
  <c r="W196" i="51"/>
  <c r="AA196" i="51"/>
  <c r="AE196" i="51"/>
  <c r="AI196" i="51"/>
  <c r="AM196" i="51"/>
  <c r="AQ196" i="51"/>
  <c r="AU196" i="51"/>
  <c r="P196" i="51"/>
  <c r="AF196" i="51"/>
  <c r="AV196" i="51"/>
  <c r="T196" i="51"/>
  <c r="AJ196" i="51"/>
  <c r="X196" i="51"/>
  <c r="AN196" i="51"/>
  <c r="AB196" i="51"/>
  <c r="AR196" i="51"/>
  <c r="AZ145" i="39"/>
  <c r="AZ146" i="39"/>
  <c r="AZ147" i="39"/>
  <c r="AZ148" i="39"/>
  <c r="AZ149" i="39"/>
  <c r="AZ150" i="39"/>
  <c r="AZ151" i="39"/>
  <c r="AZ152" i="39"/>
  <c r="AZ153" i="39"/>
  <c r="AZ154" i="39"/>
  <c r="AZ155" i="39"/>
  <c r="AZ156" i="39"/>
  <c r="AZ157" i="39"/>
  <c r="AZ158" i="39"/>
  <c r="AZ159" i="39"/>
  <c r="AZ160" i="39"/>
  <c r="AZ161" i="39"/>
  <c r="AZ162" i="39"/>
  <c r="AZ163" i="39"/>
  <c r="AZ164" i="39"/>
  <c r="AZ165" i="39"/>
  <c r="AZ166" i="39"/>
  <c r="AZ167" i="39"/>
  <c r="AZ168" i="39"/>
  <c r="AZ169" i="39"/>
  <c r="AZ170" i="39"/>
  <c r="AZ171" i="39"/>
  <c r="AZ172" i="39"/>
  <c r="AZ173" i="39"/>
  <c r="AZ174" i="39"/>
  <c r="AZ175" i="39"/>
  <c r="AZ176" i="39"/>
  <c r="AZ177" i="39"/>
  <c r="AZ178" i="39"/>
  <c r="AZ179" i="39"/>
  <c r="AZ180" i="39"/>
  <c r="AZ181" i="39"/>
  <c r="AZ182" i="39"/>
  <c r="AZ183" i="39"/>
  <c r="AX115" i="51"/>
  <c r="AX112" i="39"/>
  <c r="AZ225" i="53"/>
  <c r="AZ201" i="53"/>
  <c r="AZ131" i="53"/>
  <c r="AZ153" i="53"/>
  <c r="AY86" i="53"/>
  <c r="AZ105" i="53"/>
  <c r="AY11" i="53"/>
  <c r="AZ179" i="53"/>
  <c r="AZ178" i="52"/>
  <c r="AZ200" i="52"/>
  <c r="AZ234" i="52"/>
  <c r="AZ226" i="52"/>
  <c r="AZ152" i="52"/>
  <c r="AZ130" i="52"/>
  <c r="AZ104" i="52"/>
  <c r="AY85" i="52"/>
  <c r="AZ223" i="36"/>
  <c r="AZ102" i="36"/>
  <c r="AZ128" i="36"/>
  <c r="AZ150" i="36"/>
  <c r="AY83" i="36"/>
  <c r="AY11" i="36"/>
  <c r="AY10" i="52"/>
  <c r="AZ176" i="44"/>
  <c r="AZ230" i="36"/>
  <c r="AZ198" i="36"/>
  <c r="AZ176" i="36"/>
  <c r="AZ198" i="44"/>
  <c r="AZ222" i="44"/>
  <c r="AY83" i="44"/>
  <c r="AZ128" i="44"/>
  <c r="AZ150" i="44"/>
  <c r="AZ102" i="44"/>
  <c r="AY11" i="44"/>
  <c r="AZ176" i="43"/>
  <c r="AZ222" i="43"/>
  <c r="AZ198" i="43"/>
  <c r="AZ128" i="43"/>
  <c r="AZ150" i="43"/>
  <c r="AZ102" i="43"/>
  <c r="AY11" i="43"/>
  <c r="AY83" i="43"/>
  <c r="AY33" i="40"/>
  <c r="AY53" i="40" s="1"/>
  <c r="AY65" i="40"/>
  <c r="AY100" i="40"/>
  <c r="BA81" i="30"/>
  <c r="AZ18" i="51"/>
  <c r="AZ24" i="49"/>
  <c r="AZ16" i="39"/>
  <c r="AZ21" i="40"/>
  <c r="AZ90" i="49"/>
  <c r="AZ87" i="40"/>
  <c r="AZ149" i="51"/>
  <c r="AZ150" i="51"/>
  <c r="AZ151" i="51"/>
  <c r="AZ152" i="51"/>
  <c r="AZ153" i="51"/>
  <c r="AZ154" i="51"/>
  <c r="AZ155" i="51"/>
  <c r="AZ156" i="51"/>
  <c r="AZ157" i="51"/>
  <c r="AZ158" i="51"/>
  <c r="AZ159" i="51"/>
  <c r="AZ160" i="51"/>
  <c r="AZ161" i="51"/>
  <c r="AZ162" i="51"/>
  <c r="AZ163" i="51"/>
  <c r="AZ164" i="51"/>
  <c r="AZ165" i="51"/>
  <c r="AZ166" i="51"/>
  <c r="AZ167" i="51"/>
  <c r="AZ168" i="51"/>
  <c r="AZ169" i="51"/>
  <c r="AZ170" i="51"/>
  <c r="AZ171" i="51"/>
  <c r="AZ172" i="51"/>
  <c r="AZ173" i="51"/>
  <c r="AZ174" i="51"/>
  <c r="AZ175" i="51"/>
  <c r="AZ176" i="51"/>
  <c r="AZ177" i="51"/>
  <c r="AZ178" i="51"/>
  <c r="AZ179" i="51"/>
  <c r="AZ180" i="51"/>
  <c r="AZ181" i="51"/>
  <c r="AZ182" i="51"/>
  <c r="AZ183" i="51"/>
  <c r="AZ184" i="51"/>
  <c r="AZ185" i="51"/>
  <c r="AZ186" i="51"/>
  <c r="AZ187" i="51"/>
  <c r="C192" i="39"/>
  <c r="G192" i="39"/>
  <c r="K192" i="39"/>
  <c r="O192" i="39"/>
  <c r="S192" i="39"/>
  <c r="W192" i="39"/>
  <c r="AA192" i="39"/>
  <c r="AE192" i="39"/>
  <c r="AI192" i="39"/>
  <c r="AM192" i="39"/>
  <c r="AQ192" i="39"/>
  <c r="AU192" i="39"/>
  <c r="B193" i="39"/>
  <c r="D192" i="39"/>
  <c r="H192" i="39"/>
  <c r="L192" i="39"/>
  <c r="P192" i="39"/>
  <c r="T192" i="39"/>
  <c r="X192" i="39"/>
  <c r="AB192" i="39"/>
  <c r="AF192" i="39"/>
  <c r="AJ192" i="39"/>
  <c r="AN192" i="39"/>
  <c r="AR192" i="39"/>
  <c r="AV192" i="39"/>
  <c r="J192" i="39"/>
  <c r="R192" i="39"/>
  <c r="Z192" i="39"/>
  <c r="AH192" i="39"/>
  <c r="AP192" i="39"/>
  <c r="AX192" i="39"/>
  <c r="E192" i="39"/>
  <c r="I192" i="39"/>
  <c r="M192" i="39"/>
  <c r="Q192" i="39"/>
  <c r="U192" i="39"/>
  <c r="Y192" i="39"/>
  <c r="AC192" i="39"/>
  <c r="AG192" i="39"/>
  <c r="AK192" i="39"/>
  <c r="AO192" i="39"/>
  <c r="AS192" i="39"/>
  <c r="AW192" i="39"/>
  <c r="F192" i="39"/>
  <c r="N192" i="39"/>
  <c r="V192" i="39"/>
  <c r="AD192" i="39"/>
  <c r="AL192" i="39"/>
  <c r="AT192" i="39"/>
  <c r="AY103" i="49"/>
  <c r="AY36" i="49"/>
  <c r="AY56" i="49" s="1"/>
  <c r="AY68" i="49"/>
  <c r="AZ52" i="51"/>
  <c r="AZ53" i="51"/>
  <c r="AZ54" i="51"/>
  <c r="AZ55" i="51"/>
  <c r="AZ56" i="51"/>
  <c r="AZ57" i="51"/>
  <c r="AZ58" i="51"/>
  <c r="AZ59" i="51"/>
  <c r="AZ60" i="51"/>
  <c r="AZ61" i="51"/>
  <c r="AZ62" i="51"/>
  <c r="AZ63" i="51"/>
  <c r="AZ64" i="51"/>
  <c r="AZ65" i="51"/>
  <c r="AZ66" i="51"/>
  <c r="AZ67" i="51"/>
  <c r="AZ68" i="51"/>
  <c r="AZ69" i="51"/>
  <c r="AZ70" i="51"/>
  <c r="AZ71" i="51"/>
  <c r="AZ72" i="51"/>
  <c r="AZ73" i="51"/>
  <c r="AZ74" i="51"/>
  <c r="AZ75" i="51"/>
  <c r="AZ76" i="51"/>
  <c r="AZ77" i="51"/>
  <c r="AZ78" i="51"/>
  <c r="AZ79" i="51"/>
  <c r="AZ80" i="51"/>
  <c r="AZ81" i="51"/>
  <c r="AZ82" i="51"/>
  <c r="AZ83" i="51"/>
  <c r="AZ84" i="51"/>
  <c r="AZ85" i="51"/>
  <c r="AZ86" i="51"/>
  <c r="AZ87" i="51"/>
  <c r="AZ88" i="51"/>
  <c r="AZ89" i="51"/>
  <c r="AZ90" i="51"/>
  <c r="BA148" i="51"/>
  <c r="B100" i="51"/>
  <c r="D99" i="51"/>
  <c r="H99" i="51"/>
  <c r="L99" i="51"/>
  <c r="P99" i="51"/>
  <c r="T99" i="51"/>
  <c r="X99" i="51"/>
  <c r="AB99" i="51"/>
  <c r="AF99" i="51"/>
  <c r="AJ99" i="51"/>
  <c r="AN99" i="51"/>
  <c r="AR99" i="51"/>
  <c r="AV99" i="51"/>
  <c r="E99" i="51"/>
  <c r="I99" i="51"/>
  <c r="M99" i="51"/>
  <c r="Q99" i="51"/>
  <c r="U99" i="51"/>
  <c r="Y99" i="51"/>
  <c r="AC99" i="51"/>
  <c r="AG99" i="51"/>
  <c r="AK99" i="51"/>
  <c r="AO99" i="51"/>
  <c r="AS99" i="51"/>
  <c r="AW99" i="51"/>
  <c r="F99" i="51"/>
  <c r="N99" i="51"/>
  <c r="V99" i="51"/>
  <c r="AD99" i="51"/>
  <c r="AL99" i="51"/>
  <c r="AT99" i="51"/>
  <c r="S99" i="51"/>
  <c r="AI99" i="51"/>
  <c r="G99" i="51"/>
  <c r="O99" i="51"/>
  <c r="W99" i="51"/>
  <c r="AE99" i="51"/>
  <c r="AM99" i="51"/>
  <c r="AU99" i="51"/>
  <c r="J99" i="51"/>
  <c r="R99" i="51"/>
  <c r="Z99" i="51"/>
  <c r="AH99" i="51"/>
  <c r="AP99" i="51"/>
  <c r="AX99" i="51"/>
  <c r="C99" i="51"/>
  <c r="K99" i="51"/>
  <c r="AA99" i="51"/>
  <c r="AQ99" i="51"/>
  <c r="BA51" i="51"/>
  <c r="AZ49" i="39"/>
  <c r="AZ50" i="39"/>
  <c r="AZ51" i="39"/>
  <c r="AZ52" i="39"/>
  <c r="AZ53" i="39"/>
  <c r="AZ54" i="39"/>
  <c r="AZ55" i="39"/>
  <c r="AZ56" i="39"/>
  <c r="AZ57" i="39"/>
  <c r="AZ58" i="39"/>
  <c r="AZ59" i="39"/>
  <c r="AZ60" i="39"/>
  <c r="AZ61" i="39"/>
  <c r="AZ62" i="39"/>
  <c r="AZ63" i="39"/>
  <c r="AZ64" i="39"/>
  <c r="AZ65" i="39"/>
  <c r="AZ66" i="39"/>
  <c r="AZ67" i="39"/>
  <c r="AZ68" i="39"/>
  <c r="AZ69" i="39"/>
  <c r="AZ70" i="39"/>
  <c r="AZ71" i="39"/>
  <c r="AZ72" i="39"/>
  <c r="AZ73" i="39"/>
  <c r="AZ74" i="39"/>
  <c r="AZ75" i="39"/>
  <c r="AZ76" i="39"/>
  <c r="AZ77" i="39"/>
  <c r="AZ78" i="39"/>
  <c r="AZ79" i="39"/>
  <c r="AZ80" i="39"/>
  <c r="AZ81" i="39"/>
  <c r="AZ82" i="39"/>
  <c r="AZ83" i="39"/>
  <c r="AZ84" i="39"/>
  <c r="AZ85" i="39"/>
  <c r="AZ86" i="39"/>
  <c r="AZ87" i="39"/>
  <c r="B97" i="39"/>
  <c r="D96" i="39"/>
  <c r="H96" i="39"/>
  <c r="L96" i="39"/>
  <c r="P96" i="39"/>
  <c r="T96" i="39"/>
  <c r="X96" i="39"/>
  <c r="AB96" i="39"/>
  <c r="AF96" i="39"/>
  <c r="AJ96" i="39"/>
  <c r="AN96" i="39"/>
  <c r="AR96" i="39"/>
  <c r="AV96" i="39"/>
  <c r="C96" i="39"/>
  <c r="I96" i="39"/>
  <c r="N96" i="39"/>
  <c r="S96" i="39"/>
  <c r="Y96" i="39"/>
  <c r="AD96" i="39"/>
  <c r="AI96" i="39"/>
  <c r="AO96" i="39"/>
  <c r="AT96" i="39"/>
  <c r="M96" i="39"/>
  <c r="W96" i="39"/>
  <c r="AH96" i="39"/>
  <c r="AS96" i="39"/>
  <c r="E96" i="39"/>
  <c r="J96" i="39"/>
  <c r="O96" i="39"/>
  <c r="U96" i="39"/>
  <c r="Z96" i="39"/>
  <c r="AE96" i="39"/>
  <c r="AK96" i="39"/>
  <c r="AP96" i="39"/>
  <c r="AU96" i="39"/>
  <c r="F96" i="39"/>
  <c r="K96" i="39"/>
  <c r="Q96" i="39"/>
  <c r="V96" i="39"/>
  <c r="AA96" i="39"/>
  <c r="AG96" i="39"/>
  <c r="AL96" i="39"/>
  <c r="AQ96" i="39"/>
  <c r="AW96" i="39"/>
  <c r="G96" i="39"/>
  <c r="R96" i="39"/>
  <c r="AC96" i="39"/>
  <c r="AM96" i="39"/>
  <c r="AX96" i="39"/>
  <c r="BA144" i="39"/>
  <c r="BA48" i="39"/>
  <c r="BB42" i="30"/>
  <c r="BA54" i="30"/>
  <c r="BA65" i="30" s="1"/>
  <c r="BA43" i="30"/>
  <c r="BB57" i="30" s="1"/>
  <c r="AZ89" i="30"/>
  <c r="AZ110" i="30" s="1"/>
  <c r="BA56" i="30"/>
  <c r="BB102" i="30"/>
  <c r="BA124" i="30"/>
  <c r="C78" i="52"/>
  <c r="C79" i="53"/>
  <c r="F78" i="52"/>
  <c r="F79" i="53"/>
  <c r="G68" i="53"/>
  <c r="D68" i="53"/>
  <c r="G67" i="52"/>
  <c r="D67" i="52"/>
  <c r="D68" i="52"/>
  <c r="G68" i="52"/>
  <c r="J38" i="53"/>
  <c r="D69" i="53"/>
  <c r="G69" i="53"/>
  <c r="L111" i="30"/>
  <c r="L90" i="30"/>
  <c r="L93" i="30" s="1"/>
  <c r="K70" i="30"/>
  <c r="J32" i="43"/>
  <c r="J31" i="44"/>
  <c r="J30" i="43"/>
  <c r="J30" i="44"/>
  <c r="J28" i="43"/>
  <c r="J29" i="43"/>
  <c r="D153" i="44"/>
  <c r="D201" i="44" s="1"/>
  <c r="D134" i="44"/>
  <c r="D182" i="44" s="1"/>
  <c r="C66" i="44"/>
  <c r="F38" i="44"/>
  <c r="D66" i="44" s="1"/>
  <c r="D152" i="43"/>
  <c r="D200" i="43" s="1"/>
  <c r="F38" i="43"/>
  <c r="D66" i="43" s="1"/>
  <c r="C66" i="43"/>
  <c r="D135" i="44"/>
  <c r="D183" i="44" s="1"/>
  <c r="J28" i="44"/>
  <c r="D153" i="43"/>
  <c r="D155" i="44"/>
  <c r="D203" i="44" s="1"/>
  <c r="D154" i="44"/>
  <c r="D202" i="44" s="1"/>
  <c r="J31" i="43"/>
  <c r="J29" i="44"/>
  <c r="J33" i="43"/>
  <c r="C39" i="44"/>
  <c r="E37" i="44"/>
  <c r="C39" i="43"/>
  <c r="E37" i="43"/>
  <c r="D152" i="44"/>
  <c r="D200" i="44" s="1"/>
  <c r="J27" i="44"/>
  <c r="D132" i="44"/>
  <c r="D180" i="44" s="1"/>
  <c r="D155" i="43"/>
  <c r="D203" i="43" s="1"/>
  <c r="J32" i="44"/>
  <c r="J33" i="44"/>
  <c r="D154" i="43"/>
  <c r="D202" i="43" s="1"/>
  <c r="D130" i="44"/>
  <c r="D178" i="44" s="1"/>
  <c r="D131" i="44"/>
  <c r="D179" i="44" s="1"/>
  <c r="D156" i="44"/>
  <c r="D204" i="44" s="1"/>
  <c r="D157" i="43"/>
  <c r="D205" i="43" s="1"/>
  <c r="D157" i="44"/>
  <c r="D205" i="44" s="1"/>
  <c r="D133" i="44"/>
  <c r="D181" i="44" s="1"/>
  <c r="D156" i="43"/>
  <c r="D204" i="43" s="1"/>
  <c r="D151" i="43"/>
  <c r="D151" i="44"/>
  <c r="D129" i="44"/>
  <c r="J27" i="43"/>
  <c r="C59" i="36"/>
  <c r="C61" i="36"/>
  <c r="C58" i="36"/>
  <c r="C62" i="36"/>
  <c r="C60" i="36"/>
  <c r="F33" i="36"/>
  <c r="F28" i="36"/>
  <c r="F29" i="36"/>
  <c r="C39" i="36"/>
  <c r="E37" i="36"/>
  <c r="C64" i="36" s="1"/>
  <c r="F31" i="36"/>
  <c r="F27" i="36"/>
  <c r="D60" i="36" s="1"/>
  <c r="F32" i="36"/>
  <c r="D63" i="36" s="1"/>
  <c r="F30" i="36"/>
  <c r="E38" i="36"/>
  <c r="C66" i="36" s="1"/>
  <c r="W55" i="30"/>
  <c r="AM224" i="19"/>
  <c r="AN224" i="19" s="1"/>
  <c r="AO224" i="19" s="1"/>
  <c r="AP224" i="19" s="1"/>
  <c r="AQ224" i="19" s="1"/>
  <c r="AR224" i="19" s="1"/>
  <c r="AS224" i="19" s="1"/>
  <c r="AT224" i="19" s="1"/>
  <c r="AU224" i="19" s="1"/>
  <c r="AV224" i="19" s="1"/>
  <c r="AW224" i="19" s="1"/>
  <c r="AX224" i="19" s="1"/>
  <c r="AY224" i="19" s="1"/>
  <c r="AZ224" i="19" s="1"/>
  <c r="BA224" i="19" s="1"/>
  <c r="BB224" i="19" s="1"/>
  <c r="BC224" i="19" s="1"/>
  <c r="BD224" i="19" s="1"/>
  <c r="W125" i="19"/>
  <c r="AY22" i="47" l="1"/>
  <c r="W133" i="19"/>
  <c r="W164" i="19"/>
  <c r="W140" i="19"/>
  <c r="AM240" i="19"/>
  <c r="AN240" i="19" s="1"/>
  <c r="AO240" i="19" s="1"/>
  <c r="AP240" i="19" s="1"/>
  <c r="AQ240" i="19" s="1"/>
  <c r="AR240" i="19" s="1"/>
  <c r="AS240" i="19" s="1"/>
  <c r="AT240" i="19" s="1"/>
  <c r="AU240" i="19" s="1"/>
  <c r="AV240" i="19" s="1"/>
  <c r="AW240" i="19" s="1"/>
  <c r="AX240" i="19" s="1"/>
  <c r="AY240" i="19" s="1"/>
  <c r="AZ240" i="19" s="1"/>
  <c r="BA240" i="19" s="1"/>
  <c r="BB240" i="19" s="1"/>
  <c r="BC240" i="19" s="1"/>
  <c r="BD240" i="19" s="1"/>
  <c r="W130" i="19"/>
  <c r="AM262" i="19"/>
  <c r="AN262" i="19" s="1"/>
  <c r="AO262" i="19" s="1"/>
  <c r="AP262" i="19" s="1"/>
  <c r="AQ262" i="19" s="1"/>
  <c r="AR262" i="19" s="1"/>
  <c r="AS262" i="19" s="1"/>
  <c r="AT262" i="19" s="1"/>
  <c r="AU262" i="19" s="1"/>
  <c r="AV262" i="19" s="1"/>
  <c r="AW262" i="19" s="1"/>
  <c r="AX262" i="19" s="1"/>
  <c r="AY262" i="19" s="1"/>
  <c r="AZ262" i="19" s="1"/>
  <c r="BA262" i="19" s="1"/>
  <c r="BB262" i="19" s="1"/>
  <c r="BC262" i="19" s="1"/>
  <c r="BD262" i="19" s="1"/>
  <c r="W144" i="19"/>
  <c r="AM241" i="19"/>
  <c r="AN241" i="19" s="1"/>
  <c r="AO241" i="19" s="1"/>
  <c r="AP241" i="19" s="1"/>
  <c r="AQ241" i="19" s="1"/>
  <c r="AR241" i="19" s="1"/>
  <c r="AS241" i="19" s="1"/>
  <c r="AT241" i="19" s="1"/>
  <c r="AU241" i="19" s="1"/>
  <c r="AV241" i="19" s="1"/>
  <c r="AW241" i="19" s="1"/>
  <c r="AX241" i="19" s="1"/>
  <c r="AY241" i="19" s="1"/>
  <c r="AZ241" i="19" s="1"/>
  <c r="BA241" i="19" s="1"/>
  <c r="BB241" i="19" s="1"/>
  <c r="BC241" i="19" s="1"/>
  <c r="BD241" i="19" s="1"/>
  <c r="AM259" i="19"/>
  <c r="AN259" i="19" s="1"/>
  <c r="AO259" i="19" s="1"/>
  <c r="AP259" i="19" s="1"/>
  <c r="AQ259" i="19" s="1"/>
  <c r="AR259" i="19" s="1"/>
  <c r="AS259" i="19" s="1"/>
  <c r="AT259" i="19" s="1"/>
  <c r="AU259" i="19" s="1"/>
  <c r="AV259" i="19" s="1"/>
  <c r="AW259" i="19" s="1"/>
  <c r="AX259" i="19" s="1"/>
  <c r="AY259" i="19" s="1"/>
  <c r="AZ259" i="19" s="1"/>
  <c r="BA259" i="19" s="1"/>
  <c r="BB259" i="19" s="1"/>
  <c r="BC259" i="19" s="1"/>
  <c r="BD259" i="19" s="1"/>
  <c r="W162" i="19"/>
  <c r="AM246" i="19"/>
  <c r="AN246" i="19" s="1"/>
  <c r="AO246" i="19" s="1"/>
  <c r="AP246" i="19" s="1"/>
  <c r="AQ246" i="19" s="1"/>
  <c r="AR246" i="19" s="1"/>
  <c r="AS246" i="19" s="1"/>
  <c r="AT246" i="19" s="1"/>
  <c r="AU246" i="19" s="1"/>
  <c r="AV246" i="19" s="1"/>
  <c r="AW246" i="19" s="1"/>
  <c r="AX246" i="19" s="1"/>
  <c r="AY246" i="19" s="1"/>
  <c r="AZ246" i="19" s="1"/>
  <c r="BA246" i="19" s="1"/>
  <c r="BB246" i="19" s="1"/>
  <c r="BC246" i="19" s="1"/>
  <c r="BD246" i="19" s="1"/>
  <c r="W151" i="19"/>
  <c r="W142" i="19"/>
  <c r="AM244" i="19"/>
  <c r="AN244" i="19" s="1"/>
  <c r="AO244" i="19" s="1"/>
  <c r="AP244" i="19" s="1"/>
  <c r="AQ244" i="19" s="1"/>
  <c r="AR244" i="19" s="1"/>
  <c r="AS244" i="19" s="1"/>
  <c r="AT244" i="19" s="1"/>
  <c r="AU244" i="19" s="1"/>
  <c r="AV244" i="19" s="1"/>
  <c r="AW244" i="19" s="1"/>
  <c r="AX244" i="19" s="1"/>
  <c r="AY244" i="19" s="1"/>
  <c r="AZ244" i="19" s="1"/>
  <c r="BA244" i="19" s="1"/>
  <c r="BB244" i="19" s="1"/>
  <c r="BC244" i="19" s="1"/>
  <c r="BD244" i="19" s="1"/>
  <c r="AM251" i="19"/>
  <c r="AN251" i="19" s="1"/>
  <c r="AO251" i="19" s="1"/>
  <c r="AP251" i="19" s="1"/>
  <c r="AQ251" i="19" s="1"/>
  <c r="AR251" i="19" s="1"/>
  <c r="AS251" i="19" s="1"/>
  <c r="AT251" i="19" s="1"/>
  <c r="AU251" i="19" s="1"/>
  <c r="AV251" i="19" s="1"/>
  <c r="AW251" i="19" s="1"/>
  <c r="AX251" i="19" s="1"/>
  <c r="AY251" i="19" s="1"/>
  <c r="AZ251" i="19" s="1"/>
  <c r="BA251" i="19" s="1"/>
  <c r="BB251" i="19" s="1"/>
  <c r="BC251" i="19" s="1"/>
  <c r="BD251" i="19" s="1"/>
  <c r="AM252" i="19"/>
  <c r="AN252" i="19" s="1"/>
  <c r="AO252" i="19" s="1"/>
  <c r="AP252" i="19" s="1"/>
  <c r="AQ252" i="19" s="1"/>
  <c r="AR252" i="19" s="1"/>
  <c r="AS252" i="19" s="1"/>
  <c r="AT252" i="19" s="1"/>
  <c r="AU252" i="19" s="1"/>
  <c r="AV252" i="19" s="1"/>
  <c r="AW252" i="19" s="1"/>
  <c r="AX252" i="19" s="1"/>
  <c r="AY252" i="19" s="1"/>
  <c r="AZ252" i="19" s="1"/>
  <c r="BA252" i="19" s="1"/>
  <c r="BB252" i="19" s="1"/>
  <c r="BC252" i="19" s="1"/>
  <c r="BD252" i="19" s="1"/>
  <c r="AM257" i="19"/>
  <c r="AN257" i="19" s="1"/>
  <c r="AO257" i="19" s="1"/>
  <c r="AP257" i="19" s="1"/>
  <c r="AQ257" i="19" s="1"/>
  <c r="AR257" i="19" s="1"/>
  <c r="AS257" i="19" s="1"/>
  <c r="AT257" i="19" s="1"/>
  <c r="AU257" i="19" s="1"/>
  <c r="AV257" i="19" s="1"/>
  <c r="AW257" i="19" s="1"/>
  <c r="AX257" i="19" s="1"/>
  <c r="AY257" i="19" s="1"/>
  <c r="AZ257" i="19" s="1"/>
  <c r="BA257" i="19" s="1"/>
  <c r="BB257" i="19" s="1"/>
  <c r="BC257" i="19" s="1"/>
  <c r="BD257" i="19" s="1"/>
  <c r="AM226" i="19"/>
  <c r="AN226" i="19" s="1"/>
  <c r="AO226" i="19" s="1"/>
  <c r="AP226" i="19" s="1"/>
  <c r="AQ226" i="19" s="1"/>
  <c r="AR226" i="19" s="1"/>
  <c r="AS226" i="19" s="1"/>
  <c r="AT226" i="19" s="1"/>
  <c r="AU226" i="19" s="1"/>
  <c r="AV226" i="19" s="1"/>
  <c r="AW226" i="19" s="1"/>
  <c r="AX226" i="19" s="1"/>
  <c r="AY226" i="19" s="1"/>
  <c r="AZ226" i="19" s="1"/>
  <c r="BA226" i="19" s="1"/>
  <c r="BB226" i="19" s="1"/>
  <c r="BC226" i="19" s="1"/>
  <c r="BD226" i="19" s="1"/>
  <c r="AM230" i="19"/>
  <c r="AN230" i="19" s="1"/>
  <c r="AO230" i="19" s="1"/>
  <c r="AP230" i="19" s="1"/>
  <c r="AQ230" i="19" s="1"/>
  <c r="AR230" i="19" s="1"/>
  <c r="AS230" i="19" s="1"/>
  <c r="AT230" i="19" s="1"/>
  <c r="AU230" i="19" s="1"/>
  <c r="AV230" i="19" s="1"/>
  <c r="AW230" i="19" s="1"/>
  <c r="AX230" i="19" s="1"/>
  <c r="AY230" i="19" s="1"/>
  <c r="AZ230" i="19" s="1"/>
  <c r="BA230" i="19" s="1"/>
  <c r="BB230" i="19" s="1"/>
  <c r="BC230" i="19" s="1"/>
  <c r="BD230" i="19" s="1"/>
  <c r="W139" i="19"/>
  <c r="AM256" i="19"/>
  <c r="AN256" i="19" s="1"/>
  <c r="AO256" i="19" s="1"/>
  <c r="AP256" i="19" s="1"/>
  <c r="AQ256" i="19" s="1"/>
  <c r="AR256" i="19" s="1"/>
  <c r="AS256" i="19" s="1"/>
  <c r="AT256" i="19" s="1"/>
  <c r="AU256" i="19" s="1"/>
  <c r="AV256" i="19" s="1"/>
  <c r="AW256" i="19" s="1"/>
  <c r="AX256" i="19" s="1"/>
  <c r="AY256" i="19" s="1"/>
  <c r="AZ256" i="19" s="1"/>
  <c r="BA256" i="19" s="1"/>
  <c r="BB256" i="19" s="1"/>
  <c r="BC256" i="19" s="1"/>
  <c r="BD256" i="19" s="1"/>
  <c r="W135" i="19"/>
  <c r="W136" i="19"/>
  <c r="AM250" i="19"/>
  <c r="AN250" i="19" s="1"/>
  <c r="AO250" i="19" s="1"/>
  <c r="AP250" i="19" s="1"/>
  <c r="AQ250" i="19" s="1"/>
  <c r="AR250" i="19" s="1"/>
  <c r="AS250" i="19" s="1"/>
  <c r="AT250" i="19" s="1"/>
  <c r="AU250" i="19" s="1"/>
  <c r="AV250" i="19" s="1"/>
  <c r="AW250" i="19" s="1"/>
  <c r="AX250" i="19" s="1"/>
  <c r="AY250" i="19" s="1"/>
  <c r="AZ250" i="19" s="1"/>
  <c r="BA250" i="19" s="1"/>
  <c r="BB250" i="19" s="1"/>
  <c r="BC250" i="19" s="1"/>
  <c r="BD250" i="19" s="1"/>
  <c r="AM254" i="19"/>
  <c r="AN254" i="19" s="1"/>
  <c r="AO254" i="19" s="1"/>
  <c r="AP254" i="19" s="1"/>
  <c r="AQ254" i="19" s="1"/>
  <c r="AR254" i="19" s="1"/>
  <c r="AS254" i="19" s="1"/>
  <c r="AT254" i="19" s="1"/>
  <c r="AU254" i="19" s="1"/>
  <c r="AV254" i="19" s="1"/>
  <c r="AW254" i="19" s="1"/>
  <c r="AX254" i="19" s="1"/>
  <c r="AY254" i="19" s="1"/>
  <c r="AZ254" i="19" s="1"/>
  <c r="BA254" i="19" s="1"/>
  <c r="BB254" i="19" s="1"/>
  <c r="BC254" i="19" s="1"/>
  <c r="BD254" i="19" s="1"/>
  <c r="W138" i="19"/>
  <c r="W126" i="19"/>
  <c r="AM264" i="19"/>
  <c r="AN264" i="19" s="1"/>
  <c r="AO264" i="19" s="1"/>
  <c r="AP264" i="19" s="1"/>
  <c r="AQ264" i="19" s="1"/>
  <c r="AR264" i="19" s="1"/>
  <c r="AS264" i="19" s="1"/>
  <c r="AT264" i="19" s="1"/>
  <c r="AU264" i="19" s="1"/>
  <c r="AV264" i="19" s="1"/>
  <c r="AW264" i="19" s="1"/>
  <c r="AX264" i="19" s="1"/>
  <c r="AY264" i="19" s="1"/>
  <c r="AZ264" i="19" s="1"/>
  <c r="BA264" i="19" s="1"/>
  <c r="BB264" i="19" s="1"/>
  <c r="BC264" i="19" s="1"/>
  <c r="BD264" i="19" s="1"/>
  <c r="AM227" i="19"/>
  <c r="AN227" i="19" s="1"/>
  <c r="AO227" i="19" s="1"/>
  <c r="AP227" i="19" s="1"/>
  <c r="AQ227" i="19" s="1"/>
  <c r="AR227" i="19" s="1"/>
  <c r="AS227" i="19" s="1"/>
  <c r="AT227" i="19" s="1"/>
  <c r="AU227" i="19" s="1"/>
  <c r="AV227" i="19" s="1"/>
  <c r="AW227" i="19" s="1"/>
  <c r="AX227" i="19" s="1"/>
  <c r="AY227" i="19" s="1"/>
  <c r="AZ227" i="19" s="1"/>
  <c r="BA227" i="19" s="1"/>
  <c r="BB227" i="19" s="1"/>
  <c r="BC227" i="19" s="1"/>
  <c r="BD227" i="19" s="1"/>
  <c r="W128" i="19"/>
  <c r="W146" i="19"/>
  <c r="AM263" i="19"/>
  <c r="AN263" i="19" s="1"/>
  <c r="AO263" i="19" s="1"/>
  <c r="AP263" i="19" s="1"/>
  <c r="AQ263" i="19" s="1"/>
  <c r="AR263" i="19" s="1"/>
  <c r="AS263" i="19" s="1"/>
  <c r="AT263" i="19" s="1"/>
  <c r="AU263" i="19" s="1"/>
  <c r="AV263" i="19" s="1"/>
  <c r="AW263" i="19" s="1"/>
  <c r="AX263" i="19" s="1"/>
  <c r="AY263" i="19" s="1"/>
  <c r="AZ263" i="19" s="1"/>
  <c r="BA263" i="19" s="1"/>
  <c r="BB263" i="19" s="1"/>
  <c r="BC263" i="19" s="1"/>
  <c r="BD263" i="19" s="1"/>
  <c r="AM225" i="19"/>
  <c r="AN225" i="19" s="1"/>
  <c r="AO225" i="19" s="1"/>
  <c r="AP225" i="19" s="1"/>
  <c r="AQ225" i="19" s="1"/>
  <c r="AR225" i="19" s="1"/>
  <c r="AS225" i="19" s="1"/>
  <c r="AT225" i="19" s="1"/>
  <c r="AU225" i="19" s="1"/>
  <c r="AV225" i="19" s="1"/>
  <c r="AW225" i="19" s="1"/>
  <c r="AX225" i="19" s="1"/>
  <c r="AY225" i="19" s="1"/>
  <c r="AZ225" i="19" s="1"/>
  <c r="BA225" i="19" s="1"/>
  <c r="BB225" i="19" s="1"/>
  <c r="BC225" i="19" s="1"/>
  <c r="BD225" i="19" s="1"/>
  <c r="W145" i="19"/>
  <c r="W163" i="19"/>
  <c r="AM239" i="19"/>
  <c r="AN239" i="19" s="1"/>
  <c r="AO239" i="19" s="1"/>
  <c r="AP239" i="19" s="1"/>
  <c r="AQ239" i="19" s="1"/>
  <c r="AR239" i="19" s="1"/>
  <c r="AS239" i="19" s="1"/>
  <c r="AT239" i="19" s="1"/>
  <c r="AU239" i="19" s="1"/>
  <c r="AV239" i="19" s="1"/>
  <c r="AW239" i="19" s="1"/>
  <c r="AX239" i="19" s="1"/>
  <c r="AY239" i="19" s="1"/>
  <c r="AZ239" i="19" s="1"/>
  <c r="BA239" i="19" s="1"/>
  <c r="BB239" i="19" s="1"/>
  <c r="BC239" i="19" s="1"/>
  <c r="BD239" i="19" s="1"/>
  <c r="AM248" i="19"/>
  <c r="AN248" i="19" s="1"/>
  <c r="AO248" i="19" s="1"/>
  <c r="AP248" i="19" s="1"/>
  <c r="AQ248" i="19" s="1"/>
  <c r="AR248" i="19" s="1"/>
  <c r="AS248" i="19" s="1"/>
  <c r="AT248" i="19" s="1"/>
  <c r="AU248" i="19" s="1"/>
  <c r="AV248" i="19" s="1"/>
  <c r="AW248" i="19" s="1"/>
  <c r="AX248" i="19" s="1"/>
  <c r="AY248" i="19" s="1"/>
  <c r="AZ248" i="19" s="1"/>
  <c r="BA248" i="19" s="1"/>
  <c r="BB248" i="19" s="1"/>
  <c r="BC248" i="19" s="1"/>
  <c r="BD248" i="19" s="1"/>
  <c r="W156" i="19"/>
  <c r="W127" i="19"/>
  <c r="AM231" i="19"/>
  <c r="AN231" i="19" s="1"/>
  <c r="AO231" i="19" s="1"/>
  <c r="AP231" i="19" s="1"/>
  <c r="AQ231" i="19" s="1"/>
  <c r="AR231" i="19" s="1"/>
  <c r="AS231" i="19" s="1"/>
  <c r="AT231" i="19" s="1"/>
  <c r="AU231" i="19" s="1"/>
  <c r="AV231" i="19" s="1"/>
  <c r="AW231" i="19" s="1"/>
  <c r="AX231" i="19" s="1"/>
  <c r="AY231" i="19" s="1"/>
  <c r="AZ231" i="19" s="1"/>
  <c r="BA231" i="19" s="1"/>
  <c r="BB231" i="19" s="1"/>
  <c r="BC231" i="19" s="1"/>
  <c r="BD231" i="19" s="1"/>
  <c r="AM229" i="19"/>
  <c r="AN229" i="19" s="1"/>
  <c r="AO229" i="19" s="1"/>
  <c r="AP229" i="19" s="1"/>
  <c r="AQ229" i="19" s="1"/>
  <c r="AR229" i="19" s="1"/>
  <c r="AS229" i="19" s="1"/>
  <c r="AT229" i="19" s="1"/>
  <c r="AU229" i="19" s="1"/>
  <c r="AV229" i="19" s="1"/>
  <c r="AW229" i="19" s="1"/>
  <c r="AX229" i="19" s="1"/>
  <c r="AY229" i="19" s="1"/>
  <c r="AZ229" i="19" s="1"/>
  <c r="BA229" i="19" s="1"/>
  <c r="BB229" i="19" s="1"/>
  <c r="BC229" i="19" s="1"/>
  <c r="BD229" i="19" s="1"/>
  <c r="AM258" i="19"/>
  <c r="AN258" i="19" s="1"/>
  <c r="AO258" i="19" s="1"/>
  <c r="AP258" i="19" s="1"/>
  <c r="AQ258" i="19" s="1"/>
  <c r="AR258" i="19" s="1"/>
  <c r="AS258" i="19" s="1"/>
  <c r="AT258" i="19" s="1"/>
  <c r="AU258" i="19" s="1"/>
  <c r="AV258" i="19" s="1"/>
  <c r="AW258" i="19" s="1"/>
  <c r="AX258" i="19" s="1"/>
  <c r="AY258" i="19" s="1"/>
  <c r="AZ258" i="19" s="1"/>
  <c r="BA258" i="19" s="1"/>
  <c r="BB258" i="19" s="1"/>
  <c r="BC258" i="19" s="1"/>
  <c r="BD258" i="19" s="1"/>
  <c r="W157" i="19"/>
  <c r="W134" i="19"/>
  <c r="W132" i="19"/>
  <c r="AM261" i="19"/>
  <c r="AN261" i="19" s="1"/>
  <c r="AO261" i="19" s="1"/>
  <c r="AP261" i="19" s="1"/>
  <c r="AQ261" i="19" s="1"/>
  <c r="AR261" i="19" s="1"/>
  <c r="AS261" i="19" s="1"/>
  <c r="AT261" i="19" s="1"/>
  <c r="AU261" i="19" s="1"/>
  <c r="AV261" i="19" s="1"/>
  <c r="AW261" i="19" s="1"/>
  <c r="AX261" i="19" s="1"/>
  <c r="AY261" i="19" s="1"/>
  <c r="AZ261" i="19" s="1"/>
  <c r="BA261" i="19" s="1"/>
  <c r="BB261" i="19" s="1"/>
  <c r="BC261" i="19" s="1"/>
  <c r="BD261" i="19" s="1"/>
  <c r="AM247" i="19"/>
  <c r="AN247" i="19" s="1"/>
  <c r="AO247" i="19" s="1"/>
  <c r="AP247" i="19" s="1"/>
  <c r="AQ247" i="19" s="1"/>
  <c r="AR247" i="19" s="1"/>
  <c r="AS247" i="19" s="1"/>
  <c r="AT247" i="19" s="1"/>
  <c r="AU247" i="19" s="1"/>
  <c r="AV247" i="19" s="1"/>
  <c r="AW247" i="19" s="1"/>
  <c r="AX247" i="19" s="1"/>
  <c r="AY247" i="19" s="1"/>
  <c r="AZ247" i="19" s="1"/>
  <c r="BA247" i="19" s="1"/>
  <c r="BB247" i="19" s="1"/>
  <c r="BC247" i="19" s="1"/>
  <c r="BD247" i="19" s="1"/>
  <c r="W147" i="19"/>
  <c r="AM260" i="19"/>
  <c r="AN260" i="19" s="1"/>
  <c r="AO260" i="19" s="1"/>
  <c r="AP260" i="19" s="1"/>
  <c r="AQ260" i="19" s="1"/>
  <c r="AR260" i="19" s="1"/>
  <c r="AS260" i="19" s="1"/>
  <c r="AT260" i="19" s="1"/>
  <c r="AU260" i="19" s="1"/>
  <c r="AV260" i="19" s="1"/>
  <c r="AW260" i="19" s="1"/>
  <c r="AX260" i="19" s="1"/>
  <c r="AY260" i="19" s="1"/>
  <c r="AZ260" i="19" s="1"/>
  <c r="BA260" i="19" s="1"/>
  <c r="BB260" i="19" s="1"/>
  <c r="BC260" i="19" s="1"/>
  <c r="BD260" i="19" s="1"/>
  <c r="AM243" i="19"/>
  <c r="AN243" i="19" s="1"/>
  <c r="AO243" i="19" s="1"/>
  <c r="AP243" i="19" s="1"/>
  <c r="AQ243" i="19" s="1"/>
  <c r="AR243" i="19" s="1"/>
  <c r="AS243" i="19" s="1"/>
  <c r="AT243" i="19" s="1"/>
  <c r="AU243" i="19" s="1"/>
  <c r="AV243" i="19" s="1"/>
  <c r="AW243" i="19" s="1"/>
  <c r="AX243" i="19" s="1"/>
  <c r="AY243" i="19" s="1"/>
  <c r="AZ243" i="19" s="1"/>
  <c r="BA243" i="19" s="1"/>
  <c r="BB243" i="19" s="1"/>
  <c r="BC243" i="19" s="1"/>
  <c r="BD243" i="19" s="1"/>
  <c r="W150" i="19"/>
  <c r="AM249" i="19"/>
  <c r="AN249" i="19" s="1"/>
  <c r="AO249" i="19" s="1"/>
  <c r="AP249" i="19" s="1"/>
  <c r="AQ249" i="19" s="1"/>
  <c r="AR249" i="19" s="1"/>
  <c r="AS249" i="19" s="1"/>
  <c r="AT249" i="19" s="1"/>
  <c r="AU249" i="19" s="1"/>
  <c r="AV249" i="19" s="1"/>
  <c r="AW249" i="19" s="1"/>
  <c r="AX249" i="19" s="1"/>
  <c r="AY249" i="19" s="1"/>
  <c r="AZ249" i="19" s="1"/>
  <c r="BA249" i="19" s="1"/>
  <c r="BB249" i="19" s="1"/>
  <c r="BC249" i="19" s="1"/>
  <c r="BD249" i="19" s="1"/>
  <c r="W152" i="19"/>
  <c r="AM238" i="19"/>
  <c r="AN238" i="19" s="1"/>
  <c r="AO238" i="19" s="1"/>
  <c r="AP238" i="19" s="1"/>
  <c r="AQ238" i="19" s="1"/>
  <c r="AR238" i="19" s="1"/>
  <c r="AS238" i="19" s="1"/>
  <c r="AT238" i="19" s="1"/>
  <c r="AU238" i="19" s="1"/>
  <c r="AV238" i="19" s="1"/>
  <c r="AW238" i="19" s="1"/>
  <c r="AX238" i="19" s="1"/>
  <c r="AY238" i="19" s="1"/>
  <c r="AZ238" i="19" s="1"/>
  <c r="BA238" i="19" s="1"/>
  <c r="BB238" i="19" s="1"/>
  <c r="BC238" i="19" s="1"/>
  <c r="BD238" i="19" s="1"/>
  <c r="W158" i="19"/>
  <c r="W160" i="19"/>
  <c r="W129" i="19"/>
  <c r="W137" i="19"/>
  <c r="AM234" i="19"/>
  <c r="AN234" i="19" s="1"/>
  <c r="AO234" i="19" s="1"/>
  <c r="AP234" i="19" s="1"/>
  <c r="AQ234" i="19" s="1"/>
  <c r="AR234" i="19" s="1"/>
  <c r="AS234" i="19" s="1"/>
  <c r="AT234" i="19" s="1"/>
  <c r="AU234" i="19" s="1"/>
  <c r="AV234" i="19" s="1"/>
  <c r="AW234" i="19" s="1"/>
  <c r="AX234" i="19" s="1"/>
  <c r="AY234" i="19" s="1"/>
  <c r="AZ234" i="19" s="1"/>
  <c r="BA234" i="19" s="1"/>
  <c r="BB234" i="19" s="1"/>
  <c r="BC234" i="19" s="1"/>
  <c r="BD234" i="19" s="1"/>
  <c r="AM236" i="19"/>
  <c r="AN236" i="19" s="1"/>
  <c r="AO236" i="19" s="1"/>
  <c r="AP236" i="19" s="1"/>
  <c r="AQ236" i="19" s="1"/>
  <c r="AR236" i="19" s="1"/>
  <c r="AS236" i="19" s="1"/>
  <c r="AT236" i="19" s="1"/>
  <c r="AU236" i="19" s="1"/>
  <c r="AV236" i="19" s="1"/>
  <c r="AW236" i="19" s="1"/>
  <c r="AX236" i="19" s="1"/>
  <c r="AY236" i="19" s="1"/>
  <c r="AZ236" i="19" s="1"/>
  <c r="BA236" i="19" s="1"/>
  <c r="BB236" i="19" s="1"/>
  <c r="BC236" i="19" s="1"/>
  <c r="BD236" i="19" s="1"/>
  <c r="AM242" i="19"/>
  <c r="AN242" i="19" s="1"/>
  <c r="AO242" i="19" s="1"/>
  <c r="AP242" i="19" s="1"/>
  <c r="AQ242" i="19" s="1"/>
  <c r="AR242" i="19" s="1"/>
  <c r="AS242" i="19" s="1"/>
  <c r="AT242" i="19" s="1"/>
  <c r="AU242" i="19" s="1"/>
  <c r="AV242" i="19" s="1"/>
  <c r="AW242" i="19" s="1"/>
  <c r="AX242" i="19" s="1"/>
  <c r="AY242" i="19" s="1"/>
  <c r="AZ242" i="19" s="1"/>
  <c r="BA242" i="19" s="1"/>
  <c r="BB242" i="19" s="1"/>
  <c r="BC242" i="19" s="1"/>
  <c r="BD242" i="19" s="1"/>
  <c r="AM255" i="19"/>
  <c r="AN255" i="19" s="1"/>
  <c r="AO255" i="19" s="1"/>
  <c r="AP255" i="19" s="1"/>
  <c r="AQ255" i="19" s="1"/>
  <c r="AR255" i="19" s="1"/>
  <c r="AS255" i="19" s="1"/>
  <c r="AT255" i="19" s="1"/>
  <c r="AU255" i="19" s="1"/>
  <c r="AV255" i="19" s="1"/>
  <c r="AW255" i="19" s="1"/>
  <c r="AX255" i="19" s="1"/>
  <c r="AY255" i="19" s="1"/>
  <c r="AZ255" i="19" s="1"/>
  <c r="BA255" i="19" s="1"/>
  <c r="BB255" i="19" s="1"/>
  <c r="BC255" i="19" s="1"/>
  <c r="BD255" i="19" s="1"/>
  <c r="W141" i="19"/>
  <c r="W161" i="19"/>
  <c r="W154" i="19"/>
  <c r="W153" i="19"/>
  <c r="W155" i="19"/>
  <c r="AM233" i="19"/>
  <c r="AN233" i="19" s="1"/>
  <c r="AO233" i="19" s="1"/>
  <c r="AP233" i="19" s="1"/>
  <c r="AQ233" i="19" s="1"/>
  <c r="AR233" i="19" s="1"/>
  <c r="AS233" i="19" s="1"/>
  <c r="AT233" i="19" s="1"/>
  <c r="AU233" i="19" s="1"/>
  <c r="AV233" i="19" s="1"/>
  <c r="AW233" i="19" s="1"/>
  <c r="AX233" i="19" s="1"/>
  <c r="AY233" i="19" s="1"/>
  <c r="AZ233" i="19" s="1"/>
  <c r="BA233" i="19" s="1"/>
  <c r="BB233" i="19" s="1"/>
  <c r="BC233" i="19" s="1"/>
  <c r="BD233" i="19" s="1"/>
  <c r="W159" i="19"/>
  <c r="AM265" i="19"/>
  <c r="AN265" i="19" s="1"/>
  <c r="AO265" i="19" s="1"/>
  <c r="AP265" i="19" s="1"/>
  <c r="AQ265" i="19" s="1"/>
  <c r="AR265" i="19" s="1"/>
  <c r="AS265" i="19" s="1"/>
  <c r="AT265" i="19" s="1"/>
  <c r="AU265" i="19" s="1"/>
  <c r="AV265" i="19" s="1"/>
  <c r="AW265" i="19" s="1"/>
  <c r="AX265" i="19" s="1"/>
  <c r="AY265" i="19" s="1"/>
  <c r="AZ265" i="19" s="1"/>
  <c r="BA265" i="19" s="1"/>
  <c r="BB265" i="19" s="1"/>
  <c r="BC265" i="19" s="1"/>
  <c r="BD265" i="19" s="1"/>
  <c r="W166" i="19"/>
  <c r="W165" i="19"/>
  <c r="AM253" i="19"/>
  <c r="AN253" i="19" s="1"/>
  <c r="AO253" i="19" s="1"/>
  <c r="AP253" i="19" s="1"/>
  <c r="AQ253" i="19" s="1"/>
  <c r="AR253" i="19" s="1"/>
  <c r="AS253" i="19" s="1"/>
  <c r="AT253" i="19" s="1"/>
  <c r="AU253" i="19" s="1"/>
  <c r="AV253" i="19" s="1"/>
  <c r="AW253" i="19" s="1"/>
  <c r="AX253" i="19" s="1"/>
  <c r="AY253" i="19" s="1"/>
  <c r="AZ253" i="19" s="1"/>
  <c r="BA253" i="19" s="1"/>
  <c r="BB253" i="19" s="1"/>
  <c r="BC253" i="19" s="1"/>
  <c r="BD253" i="19" s="1"/>
  <c r="AM245" i="19"/>
  <c r="AN245" i="19" s="1"/>
  <c r="AO245" i="19" s="1"/>
  <c r="AP245" i="19" s="1"/>
  <c r="AQ245" i="19" s="1"/>
  <c r="AR245" i="19" s="1"/>
  <c r="AS245" i="19" s="1"/>
  <c r="AT245" i="19" s="1"/>
  <c r="AU245" i="19" s="1"/>
  <c r="AV245" i="19" s="1"/>
  <c r="AW245" i="19" s="1"/>
  <c r="AX245" i="19" s="1"/>
  <c r="AY245" i="19" s="1"/>
  <c r="AZ245" i="19" s="1"/>
  <c r="BA245" i="19" s="1"/>
  <c r="BB245" i="19" s="1"/>
  <c r="BC245" i="19" s="1"/>
  <c r="BD245" i="19" s="1"/>
  <c r="W148" i="19"/>
  <c r="W149" i="19"/>
  <c r="W131" i="19"/>
  <c r="AM237" i="19"/>
  <c r="AN237" i="19" s="1"/>
  <c r="AO237" i="19" s="1"/>
  <c r="AP237" i="19" s="1"/>
  <c r="AQ237" i="19" s="1"/>
  <c r="AR237" i="19" s="1"/>
  <c r="AS237" i="19" s="1"/>
  <c r="AT237" i="19" s="1"/>
  <c r="AU237" i="19" s="1"/>
  <c r="AV237" i="19" s="1"/>
  <c r="AW237" i="19" s="1"/>
  <c r="AX237" i="19" s="1"/>
  <c r="AY237" i="19" s="1"/>
  <c r="AZ237" i="19" s="1"/>
  <c r="BA237" i="19" s="1"/>
  <c r="BB237" i="19" s="1"/>
  <c r="BC237" i="19" s="1"/>
  <c r="BD237" i="19" s="1"/>
  <c r="AM232" i="19"/>
  <c r="AN232" i="19" s="1"/>
  <c r="AO232" i="19" s="1"/>
  <c r="AP232" i="19" s="1"/>
  <c r="AQ232" i="19" s="1"/>
  <c r="AR232" i="19" s="1"/>
  <c r="AS232" i="19" s="1"/>
  <c r="AT232" i="19" s="1"/>
  <c r="AU232" i="19" s="1"/>
  <c r="AV232" i="19" s="1"/>
  <c r="AW232" i="19" s="1"/>
  <c r="AX232" i="19" s="1"/>
  <c r="AY232" i="19" s="1"/>
  <c r="AZ232" i="19" s="1"/>
  <c r="BA232" i="19" s="1"/>
  <c r="BB232" i="19" s="1"/>
  <c r="BC232" i="19" s="1"/>
  <c r="BD232" i="19" s="1"/>
  <c r="AM228" i="19"/>
  <c r="AN228" i="19" s="1"/>
  <c r="AO228" i="19" s="1"/>
  <c r="AP228" i="19" s="1"/>
  <c r="AQ228" i="19" s="1"/>
  <c r="AR228" i="19" s="1"/>
  <c r="AS228" i="19" s="1"/>
  <c r="AT228" i="19" s="1"/>
  <c r="AU228" i="19" s="1"/>
  <c r="AV228" i="19" s="1"/>
  <c r="AW228" i="19" s="1"/>
  <c r="AX228" i="19" s="1"/>
  <c r="AY228" i="19" s="1"/>
  <c r="AZ228" i="19" s="1"/>
  <c r="BA228" i="19" s="1"/>
  <c r="BB228" i="19" s="1"/>
  <c r="BC228" i="19" s="1"/>
  <c r="BD228" i="19" s="1"/>
  <c r="AM235" i="19"/>
  <c r="AN235" i="19" s="1"/>
  <c r="AO235" i="19" s="1"/>
  <c r="AP235" i="19" s="1"/>
  <c r="AQ235" i="19" s="1"/>
  <c r="AR235" i="19" s="1"/>
  <c r="AS235" i="19" s="1"/>
  <c r="AT235" i="19" s="1"/>
  <c r="AU235" i="19" s="1"/>
  <c r="AV235" i="19" s="1"/>
  <c r="AW235" i="19" s="1"/>
  <c r="AX235" i="19" s="1"/>
  <c r="AY235" i="19" s="1"/>
  <c r="AZ235" i="19" s="1"/>
  <c r="BA235" i="19" s="1"/>
  <c r="BB235" i="19" s="1"/>
  <c r="BC235" i="19" s="1"/>
  <c r="BD235" i="19" s="1"/>
  <c r="W143" i="19"/>
  <c r="AZ91" i="47"/>
  <c r="AZ16" i="47"/>
  <c r="AY164" i="47"/>
  <c r="AY180" i="47"/>
  <c r="AY218" i="47"/>
  <c r="AY349" i="47" s="1"/>
  <c r="AX355" i="47"/>
  <c r="AX432" i="47" s="1"/>
  <c r="AW414" i="47"/>
  <c r="BB81" i="30"/>
  <c r="BC81" i="30" s="1"/>
  <c r="BD81" i="30" s="1"/>
  <c r="BA18" i="51"/>
  <c r="BA24" i="49"/>
  <c r="BA91" i="47" s="1"/>
  <c r="BA16" i="39"/>
  <c r="BA21" i="40"/>
  <c r="BA90" i="49"/>
  <c r="BA87" i="40"/>
  <c r="BA145" i="39"/>
  <c r="BA146" i="39"/>
  <c r="BA147" i="39"/>
  <c r="BA148" i="39"/>
  <c r="BA149" i="39"/>
  <c r="BA150" i="39"/>
  <c r="BA151" i="39"/>
  <c r="BA152" i="39"/>
  <c r="BA153" i="39"/>
  <c r="BA154" i="39"/>
  <c r="BA155" i="39"/>
  <c r="BA156" i="39"/>
  <c r="BA157" i="39"/>
  <c r="BA158" i="39"/>
  <c r="BA159" i="39"/>
  <c r="BA160" i="39"/>
  <c r="BA161" i="39"/>
  <c r="BA162" i="39"/>
  <c r="BA163" i="39"/>
  <c r="BA164" i="39"/>
  <c r="BA165" i="39"/>
  <c r="BA166" i="39"/>
  <c r="BA167" i="39"/>
  <c r="BA168" i="39"/>
  <c r="BA169" i="39"/>
  <c r="BA170" i="39"/>
  <c r="BA171" i="39"/>
  <c r="BA172" i="39"/>
  <c r="BA173" i="39"/>
  <c r="BA174" i="39"/>
  <c r="BA175" i="39"/>
  <c r="BA176" i="39"/>
  <c r="BA177" i="39"/>
  <c r="BA178" i="39"/>
  <c r="BA179" i="39"/>
  <c r="BA180" i="39"/>
  <c r="BA181" i="39"/>
  <c r="BA182" i="39"/>
  <c r="BA183" i="39"/>
  <c r="BA184" i="39"/>
  <c r="BA149" i="51"/>
  <c r="BA150" i="51"/>
  <c r="BA151" i="51"/>
  <c r="BA152" i="51"/>
  <c r="BA153" i="51"/>
  <c r="BA154" i="51"/>
  <c r="BA155" i="51"/>
  <c r="BA156" i="51"/>
  <c r="BA157" i="51"/>
  <c r="BA158" i="51"/>
  <c r="BA159" i="51"/>
  <c r="BA160" i="51"/>
  <c r="BA161" i="51"/>
  <c r="BA162" i="51"/>
  <c r="BA163" i="51"/>
  <c r="BA164" i="51"/>
  <c r="BA165" i="51"/>
  <c r="BA166" i="51"/>
  <c r="BA167" i="51"/>
  <c r="BA168" i="51"/>
  <c r="BA169" i="51"/>
  <c r="BA170" i="51"/>
  <c r="BA171" i="51"/>
  <c r="BA172" i="51"/>
  <c r="BA173" i="51"/>
  <c r="BA174" i="51"/>
  <c r="BA175" i="51"/>
  <c r="BA176" i="51"/>
  <c r="BA177" i="51"/>
  <c r="BA178" i="51"/>
  <c r="BA179" i="51"/>
  <c r="BA180" i="51"/>
  <c r="BA181" i="51"/>
  <c r="BA182" i="51"/>
  <c r="BA183" i="51"/>
  <c r="BA184" i="51"/>
  <c r="BA185" i="51"/>
  <c r="BA186" i="51"/>
  <c r="BA187" i="51"/>
  <c r="BA188" i="51"/>
  <c r="BA179" i="53"/>
  <c r="BA201" i="53"/>
  <c r="BA225" i="53"/>
  <c r="AZ11" i="53"/>
  <c r="BA131" i="53"/>
  <c r="BA153" i="53"/>
  <c r="AZ86" i="53"/>
  <c r="BA105" i="53"/>
  <c r="BA178" i="52"/>
  <c r="BA200" i="52"/>
  <c r="BA234" i="52"/>
  <c r="BA226" i="52"/>
  <c r="BA152" i="52"/>
  <c r="AZ10" i="52"/>
  <c r="BA130" i="52"/>
  <c r="BA230" i="36"/>
  <c r="BA198" i="36"/>
  <c r="BA176" i="36"/>
  <c r="BA104" i="52"/>
  <c r="BA223" i="36"/>
  <c r="BA102" i="36"/>
  <c r="BA128" i="36"/>
  <c r="BA150" i="36"/>
  <c r="AZ83" i="36"/>
  <c r="AZ11" i="36"/>
  <c r="BA176" i="44"/>
  <c r="AZ85" i="52"/>
  <c r="BA128" i="44"/>
  <c r="BA198" i="44"/>
  <c r="BA222" i="44"/>
  <c r="AZ83" i="44"/>
  <c r="AZ83" i="43"/>
  <c r="AZ11" i="44"/>
  <c r="BA176" i="43"/>
  <c r="BA222" i="43"/>
  <c r="BA198" i="43"/>
  <c r="BA150" i="44"/>
  <c r="BA102" i="44"/>
  <c r="BA128" i="43"/>
  <c r="BA150" i="43"/>
  <c r="BA102" i="43"/>
  <c r="AZ100" i="40"/>
  <c r="AZ11" i="43"/>
  <c r="AZ33" i="40"/>
  <c r="AZ53" i="40" s="1"/>
  <c r="AZ65" i="40"/>
  <c r="B194" i="39"/>
  <c r="D193" i="39"/>
  <c r="H193" i="39"/>
  <c r="L193" i="39"/>
  <c r="P193" i="39"/>
  <c r="T193" i="39"/>
  <c r="X193" i="39"/>
  <c r="AB193" i="39"/>
  <c r="AF193" i="39"/>
  <c r="AJ193" i="39"/>
  <c r="AN193" i="39"/>
  <c r="AR193" i="39"/>
  <c r="AV193" i="39"/>
  <c r="E193" i="39"/>
  <c r="I193" i="39"/>
  <c r="M193" i="39"/>
  <c r="Q193" i="39"/>
  <c r="U193" i="39"/>
  <c r="Y193" i="39"/>
  <c r="AC193" i="39"/>
  <c r="AG193" i="39"/>
  <c r="AK193" i="39"/>
  <c r="AO193" i="39"/>
  <c r="AS193" i="39"/>
  <c r="AW193" i="39"/>
  <c r="G193" i="39"/>
  <c r="O193" i="39"/>
  <c r="W193" i="39"/>
  <c r="AE193" i="39"/>
  <c r="AM193" i="39"/>
  <c r="AU193" i="39"/>
  <c r="F193" i="39"/>
  <c r="J193" i="39"/>
  <c r="N193" i="39"/>
  <c r="R193" i="39"/>
  <c r="V193" i="39"/>
  <c r="Z193" i="39"/>
  <c r="AD193" i="39"/>
  <c r="AH193" i="39"/>
  <c r="AL193" i="39"/>
  <c r="AP193" i="39"/>
  <c r="AT193" i="39"/>
  <c r="AX193" i="39"/>
  <c r="C193" i="39"/>
  <c r="K193" i="39"/>
  <c r="S193" i="39"/>
  <c r="AA193" i="39"/>
  <c r="AI193" i="39"/>
  <c r="AQ193" i="39"/>
  <c r="AY193" i="39"/>
  <c r="AZ36" i="49"/>
  <c r="AZ56" i="49" s="1"/>
  <c r="AZ68" i="49"/>
  <c r="AZ103" i="49"/>
  <c r="AY115" i="51"/>
  <c r="AY112" i="39"/>
  <c r="B198" i="51"/>
  <c r="F197" i="51"/>
  <c r="J197" i="51"/>
  <c r="N197" i="51"/>
  <c r="R197" i="51"/>
  <c r="V197" i="51"/>
  <c r="Z197" i="51"/>
  <c r="AD197" i="51"/>
  <c r="AH197" i="51"/>
  <c r="AL197" i="51"/>
  <c r="AP197" i="51"/>
  <c r="AT197" i="51"/>
  <c r="AX197" i="51"/>
  <c r="C197" i="51"/>
  <c r="G197" i="51"/>
  <c r="K197" i="51"/>
  <c r="O197" i="51"/>
  <c r="S197" i="51"/>
  <c r="W197" i="51"/>
  <c r="AA197" i="51"/>
  <c r="AE197" i="51"/>
  <c r="AI197" i="51"/>
  <c r="AM197" i="51"/>
  <c r="AQ197" i="51"/>
  <c r="AU197" i="51"/>
  <c r="AY197" i="51"/>
  <c r="D197" i="51"/>
  <c r="H197" i="51"/>
  <c r="L197" i="51"/>
  <c r="P197" i="51"/>
  <c r="T197" i="51"/>
  <c r="X197" i="51"/>
  <c r="AB197" i="51"/>
  <c r="AF197" i="51"/>
  <c r="AJ197" i="51"/>
  <c r="AN197" i="51"/>
  <c r="AR197" i="51"/>
  <c r="AV197" i="51"/>
  <c r="M197" i="51"/>
  <c r="AC197" i="51"/>
  <c r="AS197" i="51"/>
  <c r="Q197" i="51"/>
  <c r="AG197" i="51"/>
  <c r="AW197" i="51"/>
  <c r="E197" i="51"/>
  <c r="U197" i="51"/>
  <c r="AK197" i="51"/>
  <c r="I197" i="51"/>
  <c r="Y197" i="51"/>
  <c r="AO197" i="51"/>
  <c r="BA52" i="51"/>
  <c r="BA53" i="51"/>
  <c r="BA54" i="51"/>
  <c r="BA55" i="51"/>
  <c r="BA56" i="51"/>
  <c r="BA57" i="51"/>
  <c r="BA58" i="51"/>
  <c r="BA59" i="51"/>
  <c r="BA60" i="51"/>
  <c r="BA61" i="51"/>
  <c r="BA62" i="51"/>
  <c r="BA63" i="51"/>
  <c r="BA64" i="51"/>
  <c r="BA65" i="51"/>
  <c r="BA66" i="51"/>
  <c r="BA67" i="51"/>
  <c r="BA68" i="51"/>
  <c r="BA69" i="51"/>
  <c r="BA70" i="51"/>
  <c r="BA71" i="51"/>
  <c r="BA72" i="51"/>
  <c r="BA73" i="51"/>
  <c r="BA74" i="51"/>
  <c r="BA75" i="51"/>
  <c r="BA76" i="51"/>
  <c r="BA77" i="51"/>
  <c r="BA78" i="51"/>
  <c r="BA79" i="51"/>
  <c r="BA80" i="51"/>
  <c r="BA81" i="51"/>
  <c r="BA82" i="51"/>
  <c r="BA83" i="51"/>
  <c r="BA84" i="51"/>
  <c r="BA85" i="51"/>
  <c r="BA86" i="51"/>
  <c r="BA87" i="51"/>
  <c r="BA88" i="51"/>
  <c r="BA89" i="51"/>
  <c r="BA90" i="51"/>
  <c r="BA91" i="51"/>
  <c r="B101" i="51"/>
  <c r="E100" i="51"/>
  <c r="I100" i="51"/>
  <c r="M100" i="51"/>
  <c r="Q100" i="51"/>
  <c r="U100" i="51"/>
  <c r="Y100" i="51"/>
  <c r="AC100" i="51"/>
  <c r="AG100" i="51"/>
  <c r="AK100" i="51"/>
  <c r="AO100" i="51"/>
  <c r="AS100" i="51"/>
  <c r="AW100" i="51"/>
  <c r="F100" i="51"/>
  <c r="J100" i="51"/>
  <c r="N100" i="51"/>
  <c r="R100" i="51"/>
  <c r="V100" i="51"/>
  <c r="Z100" i="51"/>
  <c r="AD100" i="51"/>
  <c r="AH100" i="51"/>
  <c r="AL100" i="51"/>
  <c r="AP100" i="51"/>
  <c r="AT100" i="51"/>
  <c r="AX100" i="51"/>
  <c r="C100" i="51"/>
  <c r="K100" i="51"/>
  <c r="S100" i="51"/>
  <c r="AA100" i="51"/>
  <c r="AI100" i="51"/>
  <c r="AQ100" i="51"/>
  <c r="AY100" i="51"/>
  <c r="H100" i="51"/>
  <c r="P100" i="51"/>
  <c r="AF100" i="51"/>
  <c r="AN100" i="51"/>
  <c r="D100" i="51"/>
  <c r="L100" i="51"/>
  <c r="T100" i="51"/>
  <c r="AB100" i="51"/>
  <c r="AJ100" i="51"/>
  <c r="AR100" i="51"/>
  <c r="G100" i="51"/>
  <c r="O100" i="51"/>
  <c r="W100" i="51"/>
  <c r="AE100" i="51"/>
  <c r="AM100" i="51"/>
  <c r="AU100" i="51"/>
  <c r="X100" i="51"/>
  <c r="AV100" i="51"/>
  <c r="BA49" i="39"/>
  <c r="BA50" i="39"/>
  <c r="BA51" i="39"/>
  <c r="BA52" i="39"/>
  <c r="BA53" i="39"/>
  <c r="BA54" i="39"/>
  <c r="BA55" i="39"/>
  <c r="BA56" i="39"/>
  <c r="BA57" i="39"/>
  <c r="BA58" i="39"/>
  <c r="BA59" i="39"/>
  <c r="BA60" i="39"/>
  <c r="BA61" i="39"/>
  <c r="BA62" i="39"/>
  <c r="BA63" i="39"/>
  <c r="BA64" i="39"/>
  <c r="BA65" i="39"/>
  <c r="BA66" i="39"/>
  <c r="BA67" i="39"/>
  <c r="BA68" i="39"/>
  <c r="BA69" i="39"/>
  <c r="BA70" i="39"/>
  <c r="BA71" i="39"/>
  <c r="BA72" i="39"/>
  <c r="BA73" i="39"/>
  <c r="BA74" i="39"/>
  <c r="BA75" i="39"/>
  <c r="BA76" i="39"/>
  <c r="BA77" i="39"/>
  <c r="BA78" i="39"/>
  <c r="BA79" i="39"/>
  <c r="BA80" i="39"/>
  <c r="BA81" i="39"/>
  <c r="BA82" i="39"/>
  <c r="BA83" i="39"/>
  <c r="BA84" i="39"/>
  <c r="BA85" i="39"/>
  <c r="BA86" i="39"/>
  <c r="BA87" i="39"/>
  <c r="BA88" i="39"/>
  <c r="B98" i="39"/>
  <c r="E97" i="39"/>
  <c r="I97" i="39"/>
  <c r="M97" i="39"/>
  <c r="Q97" i="39"/>
  <c r="U97" i="39"/>
  <c r="Y97" i="39"/>
  <c r="AC97" i="39"/>
  <c r="AG97" i="39"/>
  <c r="F97" i="39"/>
  <c r="K97" i="39"/>
  <c r="P97" i="39"/>
  <c r="V97" i="39"/>
  <c r="AA97" i="39"/>
  <c r="AF97" i="39"/>
  <c r="AK97" i="39"/>
  <c r="AO97" i="39"/>
  <c r="AS97" i="39"/>
  <c r="AW97" i="39"/>
  <c r="D97" i="39"/>
  <c r="O97" i="39"/>
  <c r="T97" i="39"/>
  <c r="AE97" i="39"/>
  <c r="AN97" i="39"/>
  <c r="AV97" i="39"/>
  <c r="G97" i="39"/>
  <c r="L97" i="39"/>
  <c r="R97" i="39"/>
  <c r="W97" i="39"/>
  <c r="AB97" i="39"/>
  <c r="AH97" i="39"/>
  <c r="AL97" i="39"/>
  <c r="AP97" i="39"/>
  <c r="AT97" i="39"/>
  <c r="AX97" i="39"/>
  <c r="C97" i="39"/>
  <c r="H97" i="39"/>
  <c r="N97" i="39"/>
  <c r="S97" i="39"/>
  <c r="X97" i="39"/>
  <c r="AD97" i="39"/>
  <c r="AI97" i="39"/>
  <c r="AM97" i="39"/>
  <c r="AQ97" i="39"/>
  <c r="AU97" i="39"/>
  <c r="AY97" i="39"/>
  <c r="J97" i="39"/>
  <c r="Z97" i="39"/>
  <c r="AJ97" i="39"/>
  <c r="AR97" i="39"/>
  <c r="BB56" i="30"/>
  <c r="BA89" i="30"/>
  <c r="BA110" i="30" s="1"/>
  <c r="BB54" i="30"/>
  <c r="BB65" i="30" s="1"/>
  <c r="BB89" i="30" s="1"/>
  <c r="BB110" i="30" s="1"/>
  <c r="BC42" i="30"/>
  <c r="BB43" i="30"/>
  <c r="BC57" i="30" s="1"/>
  <c r="BB124" i="30"/>
  <c r="BC102" i="30"/>
  <c r="L96" i="30"/>
  <c r="G79" i="53"/>
  <c r="D79" i="53"/>
  <c r="D78" i="52"/>
  <c r="L114" i="30"/>
  <c r="L113" i="30"/>
  <c r="L115" i="30" s="1"/>
  <c r="L117" i="30"/>
  <c r="L92" i="30"/>
  <c r="L94" i="30" s="1"/>
  <c r="M90" i="30" s="1"/>
  <c r="L66" i="30"/>
  <c r="L74" i="30" s="1"/>
  <c r="D201" i="43"/>
  <c r="J38" i="43"/>
  <c r="J38" i="44"/>
  <c r="D159" i="43"/>
  <c r="D207" i="43" s="1"/>
  <c r="D159" i="44"/>
  <c r="D207" i="44" s="1"/>
  <c r="C65" i="44"/>
  <c r="F37" i="44"/>
  <c r="D65" i="44" s="1"/>
  <c r="D137" i="44"/>
  <c r="D185" i="44" s="1"/>
  <c r="F37" i="43"/>
  <c r="D65" i="43" s="1"/>
  <c r="C65" i="43"/>
  <c r="D199" i="44"/>
  <c r="D199" i="43"/>
  <c r="D177" i="44"/>
  <c r="D61" i="36"/>
  <c r="D58" i="36"/>
  <c r="C65" i="36"/>
  <c r="D62" i="36"/>
  <c r="D59" i="36"/>
  <c r="J28" i="36"/>
  <c r="J33" i="36"/>
  <c r="J27" i="36"/>
  <c r="J32" i="36"/>
  <c r="J31" i="36"/>
  <c r="F37" i="36"/>
  <c r="D64" i="36" s="1"/>
  <c r="F38" i="36"/>
  <c r="D66" i="36" s="1"/>
  <c r="J30" i="36"/>
  <c r="J29" i="36"/>
  <c r="X55" i="30"/>
  <c r="X125" i="19"/>
  <c r="AZ22" i="47" l="1"/>
  <c r="X133" i="19"/>
  <c r="X148" i="19"/>
  <c r="X166" i="19"/>
  <c r="X155" i="19"/>
  <c r="X141" i="19"/>
  <c r="X164" i="19"/>
  <c r="X158" i="19"/>
  <c r="X150" i="19"/>
  <c r="X157" i="19"/>
  <c r="X144" i="19"/>
  <c r="X143" i="19"/>
  <c r="X153" i="19"/>
  <c r="X151" i="19"/>
  <c r="X137" i="19"/>
  <c r="X131" i="19"/>
  <c r="X159" i="19"/>
  <c r="X154" i="19"/>
  <c r="X162" i="19"/>
  <c r="X129" i="19"/>
  <c r="X152" i="19"/>
  <c r="X132" i="19"/>
  <c r="X142" i="19"/>
  <c r="X127" i="19"/>
  <c r="X163" i="19"/>
  <c r="X146" i="19"/>
  <c r="X126" i="19"/>
  <c r="X136" i="19"/>
  <c r="X139" i="19"/>
  <c r="X149" i="19"/>
  <c r="X165" i="19"/>
  <c r="X161" i="19"/>
  <c r="X140" i="19"/>
  <c r="X160" i="19"/>
  <c r="X147" i="19"/>
  <c r="X134" i="19"/>
  <c r="X130" i="19"/>
  <c r="X156" i="19"/>
  <c r="X145" i="19"/>
  <c r="X128" i="19"/>
  <c r="X138" i="19"/>
  <c r="X135" i="19"/>
  <c r="AX414" i="47"/>
  <c r="BA218" i="47"/>
  <c r="BA349" i="47" s="1"/>
  <c r="BA180" i="47"/>
  <c r="BA164" i="47"/>
  <c r="AY355" i="47"/>
  <c r="AY432" i="47" s="1"/>
  <c r="AZ218" i="47"/>
  <c r="AZ349" i="47" s="1"/>
  <c r="AZ164" i="47"/>
  <c r="AZ180" i="47"/>
  <c r="B199" i="51"/>
  <c r="C198" i="51"/>
  <c r="G198" i="51"/>
  <c r="K198" i="51"/>
  <c r="O198" i="51"/>
  <c r="S198" i="51"/>
  <c r="W198" i="51"/>
  <c r="AA198" i="51"/>
  <c r="AE198" i="51"/>
  <c r="AI198" i="51"/>
  <c r="AM198" i="51"/>
  <c r="AQ198" i="51"/>
  <c r="AU198" i="51"/>
  <c r="AY198" i="51"/>
  <c r="D198" i="51"/>
  <c r="H198" i="51"/>
  <c r="L198" i="51"/>
  <c r="P198" i="51"/>
  <c r="T198" i="51"/>
  <c r="X198" i="51"/>
  <c r="AB198" i="51"/>
  <c r="AF198" i="51"/>
  <c r="AJ198" i="51"/>
  <c r="AN198" i="51"/>
  <c r="AR198" i="51"/>
  <c r="AV198" i="51"/>
  <c r="AZ198" i="51"/>
  <c r="E198" i="51"/>
  <c r="I198" i="51"/>
  <c r="M198" i="51"/>
  <c r="Q198" i="51"/>
  <c r="U198" i="51"/>
  <c r="Y198" i="51"/>
  <c r="AC198" i="51"/>
  <c r="AG198" i="51"/>
  <c r="AK198" i="51"/>
  <c r="AO198" i="51"/>
  <c r="AS198" i="51"/>
  <c r="AW198" i="51"/>
  <c r="J198" i="51"/>
  <c r="Z198" i="51"/>
  <c r="AP198" i="51"/>
  <c r="N198" i="51"/>
  <c r="AD198" i="51"/>
  <c r="AT198" i="51"/>
  <c r="R198" i="51"/>
  <c r="AH198" i="51"/>
  <c r="AX198" i="51"/>
  <c r="F198" i="51"/>
  <c r="V198" i="51"/>
  <c r="AL198" i="51"/>
  <c r="BA68" i="49"/>
  <c r="BA103" i="49"/>
  <c r="BA36" i="49"/>
  <c r="BA56" i="49" s="1"/>
  <c r="BB179" i="53"/>
  <c r="BB201" i="53"/>
  <c r="BB153" i="53"/>
  <c r="BB105" i="53"/>
  <c r="BA11" i="53"/>
  <c r="BA86" i="53"/>
  <c r="BB131" i="53"/>
  <c r="BB225" i="53"/>
  <c r="BB234" i="52"/>
  <c r="BB226" i="52"/>
  <c r="BB178" i="52"/>
  <c r="BB200" i="52"/>
  <c r="BB152" i="52"/>
  <c r="BA85" i="52"/>
  <c r="BB104" i="52"/>
  <c r="BA10" i="52"/>
  <c r="BB230" i="36"/>
  <c r="BB130" i="52"/>
  <c r="BB223" i="36"/>
  <c r="BB102" i="36"/>
  <c r="BB128" i="36"/>
  <c r="BB150" i="36"/>
  <c r="BA83" i="36"/>
  <c r="BA11" i="36"/>
  <c r="BB198" i="36"/>
  <c r="BB176" i="36"/>
  <c r="BB176" i="44"/>
  <c r="BB128" i="44"/>
  <c r="BB150" i="44"/>
  <c r="BB102" i="44"/>
  <c r="BA11" i="44"/>
  <c r="BB198" i="44"/>
  <c r="BB222" i="44"/>
  <c r="BA83" i="44"/>
  <c r="BB150" i="43"/>
  <c r="BB198" i="43"/>
  <c r="BA83" i="43"/>
  <c r="BB222" i="43"/>
  <c r="BB128" i="43"/>
  <c r="BA11" i="43"/>
  <c r="BB102" i="43"/>
  <c r="BB176" i="43"/>
  <c r="BA33" i="40"/>
  <c r="BA53" i="40" s="1"/>
  <c r="BA100" i="40"/>
  <c r="BA65" i="40"/>
  <c r="AZ115" i="51"/>
  <c r="AZ112" i="39"/>
  <c r="B195" i="39"/>
  <c r="E194" i="39"/>
  <c r="I194" i="39"/>
  <c r="M194" i="39"/>
  <c r="Q194" i="39"/>
  <c r="U194" i="39"/>
  <c r="Y194" i="39"/>
  <c r="AC194" i="39"/>
  <c r="AG194" i="39"/>
  <c r="AK194" i="39"/>
  <c r="AO194" i="39"/>
  <c r="AS194" i="39"/>
  <c r="AW194" i="39"/>
  <c r="F194" i="39"/>
  <c r="J194" i="39"/>
  <c r="N194" i="39"/>
  <c r="R194" i="39"/>
  <c r="V194" i="39"/>
  <c r="Z194" i="39"/>
  <c r="AD194" i="39"/>
  <c r="AH194" i="39"/>
  <c r="AL194" i="39"/>
  <c r="AP194" i="39"/>
  <c r="AT194" i="39"/>
  <c r="AX194" i="39"/>
  <c r="D194" i="39"/>
  <c r="L194" i="39"/>
  <c r="T194" i="39"/>
  <c r="AB194" i="39"/>
  <c r="AJ194" i="39"/>
  <c r="AR194" i="39"/>
  <c r="AZ194" i="39"/>
  <c r="C194" i="39"/>
  <c r="G194" i="39"/>
  <c r="K194" i="39"/>
  <c r="O194" i="39"/>
  <c r="S194" i="39"/>
  <c r="W194" i="39"/>
  <c r="AA194" i="39"/>
  <c r="AE194" i="39"/>
  <c r="AI194" i="39"/>
  <c r="AM194" i="39"/>
  <c r="AQ194" i="39"/>
  <c r="AU194" i="39"/>
  <c r="AY194" i="39"/>
  <c r="H194" i="39"/>
  <c r="P194" i="39"/>
  <c r="X194" i="39"/>
  <c r="AF194" i="39"/>
  <c r="AN194" i="39"/>
  <c r="AV194" i="39"/>
  <c r="B102" i="51"/>
  <c r="F101" i="51"/>
  <c r="J101" i="51"/>
  <c r="N101" i="51"/>
  <c r="R101" i="51"/>
  <c r="V101" i="51"/>
  <c r="Z101" i="51"/>
  <c r="AD101" i="51"/>
  <c r="AH101" i="51"/>
  <c r="AL101" i="51"/>
  <c r="AP101" i="51"/>
  <c r="AT101" i="51"/>
  <c r="AX101" i="51"/>
  <c r="C101" i="51"/>
  <c r="G101" i="51"/>
  <c r="K101" i="51"/>
  <c r="O101" i="51"/>
  <c r="S101" i="51"/>
  <c r="W101" i="51"/>
  <c r="AA101" i="51"/>
  <c r="AE101" i="51"/>
  <c r="AI101" i="51"/>
  <c r="AM101" i="51"/>
  <c r="AQ101" i="51"/>
  <c r="AU101" i="51"/>
  <c r="AY101" i="51"/>
  <c r="H101" i="51"/>
  <c r="P101" i="51"/>
  <c r="X101" i="51"/>
  <c r="AF101" i="51"/>
  <c r="AN101" i="51"/>
  <c r="AV101" i="51"/>
  <c r="E101" i="51"/>
  <c r="U101" i="51"/>
  <c r="AK101" i="51"/>
  <c r="I101" i="51"/>
  <c r="Q101" i="51"/>
  <c r="Y101" i="51"/>
  <c r="AG101" i="51"/>
  <c r="AO101" i="51"/>
  <c r="AW101" i="51"/>
  <c r="D101" i="51"/>
  <c r="L101" i="51"/>
  <c r="T101" i="51"/>
  <c r="AB101" i="51"/>
  <c r="AJ101" i="51"/>
  <c r="AR101" i="51"/>
  <c r="AZ101" i="51"/>
  <c r="M101" i="51"/>
  <c r="AC101" i="51"/>
  <c r="AS101" i="51"/>
  <c r="B99" i="39"/>
  <c r="F98" i="39"/>
  <c r="J98" i="39"/>
  <c r="N98" i="39"/>
  <c r="R98" i="39"/>
  <c r="V98" i="39"/>
  <c r="Z98" i="39"/>
  <c r="AD98" i="39"/>
  <c r="AH98" i="39"/>
  <c r="AL98" i="39"/>
  <c r="AP98" i="39"/>
  <c r="AT98" i="39"/>
  <c r="AX98" i="39"/>
  <c r="I98" i="39"/>
  <c r="M98" i="39"/>
  <c r="U98" i="39"/>
  <c r="AC98" i="39"/>
  <c r="AG98" i="39"/>
  <c r="AO98" i="39"/>
  <c r="AW98" i="39"/>
  <c r="C98" i="39"/>
  <c r="G98" i="39"/>
  <c r="K98" i="39"/>
  <c r="O98" i="39"/>
  <c r="S98" i="39"/>
  <c r="W98" i="39"/>
  <c r="AA98" i="39"/>
  <c r="AE98" i="39"/>
  <c r="AI98" i="39"/>
  <c r="AM98" i="39"/>
  <c r="AQ98" i="39"/>
  <c r="AU98" i="39"/>
  <c r="AY98" i="39"/>
  <c r="D98" i="39"/>
  <c r="H98" i="39"/>
  <c r="L98" i="39"/>
  <c r="P98" i="39"/>
  <c r="T98" i="39"/>
  <c r="X98" i="39"/>
  <c r="AB98" i="39"/>
  <c r="AF98" i="39"/>
  <c r="AJ98" i="39"/>
  <c r="AN98" i="39"/>
  <c r="AR98" i="39"/>
  <c r="AV98" i="39"/>
  <c r="AZ98" i="39"/>
  <c r="E98" i="39"/>
  <c r="Q98" i="39"/>
  <c r="Y98" i="39"/>
  <c r="AK98" i="39"/>
  <c r="AS98" i="39"/>
  <c r="BD42" i="30"/>
  <c r="BC54" i="30"/>
  <c r="BC65" i="30" s="1"/>
  <c r="BC89" i="30" s="1"/>
  <c r="BC43" i="30"/>
  <c r="BD57" i="30" s="1"/>
  <c r="BC56" i="30"/>
  <c r="BD102" i="30"/>
  <c r="BC124" i="30"/>
  <c r="M111" i="30"/>
  <c r="M114" i="30" s="1"/>
  <c r="M93" i="30"/>
  <c r="M92" i="30"/>
  <c r="M94" i="30" s="1"/>
  <c r="M96" i="30"/>
  <c r="L69" i="30"/>
  <c r="L68" i="30"/>
  <c r="L70" i="30" s="1"/>
  <c r="J37" i="43"/>
  <c r="J37" i="44"/>
  <c r="C76" i="43"/>
  <c r="D158" i="44"/>
  <c r="D76" i="44"/>
  <c r="D158" i="43"/>
  <c r="D76" i="43"/>
  <c r="D136" i="44"/>
  <c r="C76" i="44"/>
  <c r="C76" i="36"/>
  <c r="D65" i="36"/>
  <c r="J38" i="36"/>
  <c r="J37" i="36"/>
  <c r="Y55" i="30"/>
  <c r="Y125" i="19"/>
  <c r="Y133" i="19" l="1"/>
  <c r="Y138" i="19"/>
  <c r="Y130" i="19"/>
  <c r="Y140" i="19"/>
  <c r="Y139" i="19"/>
  <c r="Y163" i="19"/>
  <c r="Y152" i="19"/>
  <c r="Y159" i="19"/>
  <c r="Y153" i="19"/>
  <c r="Y150" i="19"/>
  <c r="Y155" i="19"/>
  <c r="Y128" i="19"/>
  <c r="Y134" i="19"/>
  <c r="Y161" i="19"/>
  <c r="Y136" i="19"/>
  <c r="Y127" i="19"/>
  <c r="Y129" i="19"/>
  <c r="Y131" i="19"/>
  <c r="Y143" i="19"/>
  <c r="Y158" i="19"/>
  <c r="Y166" i="19"/>
  <c r="Y145" i="19"/>
  <c r="Y147" i="19"/>
  <c r="Y165" i="19"/>
  <c r="Y126" i="19"/>
  <c r="Y142" i="19"/>
  <c r="Y162" i="19"/>
  <c r="Y137" i="19"/>
  <c r="Y144" i="19"/>
  <c r="Y164" i="19"/>
  <c r="Y148" i="19"/>
  <c r="Y135" i="19"/>
  <c r="Y156" i="19"/>
  <c r="Y160" i="19"/>
  <c r="Y149" i="19"/>
  <c r="Y146" i="19"/>
  <c r="Y132" i="19"/>
  <c r="Y154" i="19"/>
  <c r="Y151" i="19"/>
  <c r="Y157" i="19"/>
  <c r="Y141" i="19"/>
  <c r="AY414" i="47"/>
  <c r="BA355" i="47"/>
  <c r="BA432" i="47" s="1"/>
  <c r="AZ355" i="47"/>
  <c r="AZ432" i="47" s="1"/>
  <c r="D199" i="51"/>
  <c r="H199" i="51"/>
  <c r="L199" i="51"/>
  <c r="P199" i="51"/>
  <c r="T199" i="51"/>
  <c r="X199" i="51"/>
  <c r="AB199" i="51"/>
  <c r="AF199" i="51"/>
  <c r="AJ199" i="51"/>
  <c r="AN199" i="51"/>
  <c r="AR199" i="51"/>
  <c r="AV199" i="51"/>
  <c r="AZ199" i="51"/>
  <c r="E199" i="51"/>
  <c r="I199" i="51"/>
  <c r="M199" i="51"/>
  <c r="Q199" i="51"/>
  <c r="U199" i="51"/>
  <c r="Y199" i="51"/>
  <c r="AC199" i="51"/>
  <c r="AG199" i="51"/>
  <c r="AK199" i="51"/>
  <c r="AO199" i="51"/>
  <c r="AS199" i="51"/>
  <c r="AW199" i="51"/>
  <c r="BA199" i="51"/>
  <c r="F199" i="51"/>
  <c r="J199" i="51"/>
  <c r="N199" i="51"/>
  <c r="R199" i="51"/>
  <c r="V199" i="51"/>
  <c r="Z199" i="51"/>
  <c r="AD199" i="51"/>
  <c r="AH199" i="51"/>
  <c r="AL199" i="51"/>
  <c r="AP199" i="51"/>
  <c r="AT199" i="51"/>
  <c r="AX199" i="51"/>
  <c r="G199" i="51"/>
  <c r="W199" i="51"/>
  <c r="AM199" i="51"/>
  <c r="K199" i="51"/>
  <c r="AA199" i="51"/>
  <c r="AQ199" i="51"/>
  <c r="O199" i="51"/>
  <c r="AE199" i="51"/>
  <c r="AU199" i="51"/>
  <c r="C199" i="51"/>
  <c r="C201" i="51" s="1"/>
  <c r="C87" i="53" s="1"/>
  <c r="S199" i="51"/>
  <c r="AI199" i="51"/>
  <c r="AY199" i="51"/>
  <c r="F195" i="39"/>
  <c r="J195" i="39"/>
  <c r="N195" i="39"/>
  <c r="R195" i="39"/>
  <c r="V195" i="39"/>
  <c r="Z195" i="39"/>
  <c r="AD195" i="39"/>
  <c r="AH195" i="39"/>
  <c r="AL195" i="39"/>
  <c r="AP195" i="39"/>
  <c r="AT195" i="39"/>
  <c r="AX195" i="39"/>
  <c r="C195" i="39"/>
  <c r="C197" i="39" s="1"/>
  <c r="C84" i="43" s="1"/>
  <c r="G195" i="39"/>
  <c r="K195" i="39"/>
  <c r="O195" i="39"/>
  <c r="S195" i="39"/>
  <c r="W195" i="39"/>
  <c r="AA195" i="39"/>
  <c r="AE195" i="39"/>
  <c r="AI195" i="39"/>
  <c r="AM195" i="39"/>
  <c r="AQ195" i="39"/>
  <c r="AU195" i="39"/>
  <c r="AY195" i="39"/>
  <c r="I195" i="39"/>
  <c r="Q195" i="39"/>
  <c r="Y195" i="39"/>
  <c r="AG195" i="39"/>
  <c r="AO195" i="39"/>
  <c r="AW195" i="39"/>
  <c r="D195" i="39"/>
  <c r="D197" i="39" s="1"/>
  <c r="H195" i="39"/>
  <c r="L195" i="39"/>
  <c r="P195" i="39"/>
  <c r="T195" i="39"/>
  <c r="X195" i="39"/>
  <c r="AB195" i="39"/>
  <c r="AF195" i="39"/>
  <c r="AJ195" i="39"/>
  <c r="AN195" i="39"/>
  <c r="AR195" i="39"/>
  <c r="AV195" i="39"/>
  <c r="AZ195" i="39"/>
  <c r="E195" i="39"/>
  <c r="M195" i="39"/>
  <c r="U195" i="39"/>
  <c r="AC195" i="39"/>
  <c r="AK195" i="39"/>
  <c r="AS195" i="39"/>
  <c r="BA195" i="39"/>
  <c r="BA115" i="51"/>
  <c r="BA112" i="39"/>
  <c r="C102" i="51"/>
  <c r="C104" i="51" s="1"/>
  <c r="C86" i="52" s="1"/>
  <c r="G102" i="51"/>
  <c r="K102" i="51"/>
  <c r="O102" i="51"/>
  <c r="S102" i="51"/>
  <c r="W102" i="51"/>
  <c r="AA102" i="51"/>
  <c r="AE102" i="51"/>
  <c r="AI102" i="51"/>
  <c r="AM102" i="51"/>
  <c r="AQ102" i="51"/>
  <c r="AU102" i="51"/>
  <c r="AY102" i="51"/>
  <c r="D102" i="51"/>
  <c r="H102" i="51"/>
  <c r="L102" i="51"/>
  <c r="P102" i="51"/>
  <c r="T102" i="51"/>
  <c r="X102" i="51"/>
  <c r="AB102" i="51"/>
  <c r="AF102" i="51"/>
  <c r="AJ102" i="51"/>
  <c r="AN102" i="51"/>
  <c r="AR102" i="51"/>
  <c r="AV102" i="51"/>
  <c r="AZ102" i="51"/>
  <c r="E102" i="51"/>
  <c r="M102" i="51"/>
  <c r="U102" i="51"/>
  <c r="AC102" i="51"/>
  <c r="AK102" i="51"/>
  <c r="AS102" i="51"/>
  <c r="BA102" i="51"/>
  <c r="R102" i="51"/>
  <c r="AH102" i="51"/>
  <c r="AX102" i="51"/>
  <c r="F102" i="51"/>
  <c r="N102" i="51"/>
  <c r="V102" i="51"/>
  <c r="AD102" i="51"/>
  <c r="AL102" i="51"/>
  <c r="AT102" i="51"/>
  <c r="I102" i="51"/>
  <c r="Q102" i="51"/>
  <c r="Y102" i="51"/>
  <c r="AG102" i="51"/>
  <c r="AO102" i="51"/>
  <c r="AW102" i="51"/>
  <c r="J102" i="51"/>
  <c r="Z102" i="51"/>
  <c r="AP102" i="51"/>
  <c r="C99" i="39"/>
  <c r="C101" i="39" s="1"/>
  <c r="C84" i="36" s="1"/>
  <c r="G99" i="39"/>
  <c r="K99" i="39"/>
  <c r="O99" i="39"/>
  <c r="S99" i="39"/>
  <c r="W99" i="39"/>
  <c r="AA99" i="39"/>
  <c r="AE99" i="39"/>
  <c r="AI99" i="39"/>
  <c r="AM99" i="39"/>
  <c r="AQ99" i="39"/>
  <c r="AU99" i="39"/>
  <c r="AY99" i="39"/>
  <c r="F99" i="39"/>
  <c r="N99" i="39"/>
  <c r="V99" i="39"/>
  <c r="AD99" i="39"/>
  <c r="AH99" i="39"/>
  <c r="AP99" i="39"/>
  <c r="AX99" i="39"/>
  <c r="D99" i="39"/>
  <c r="H99" i="39"/>
  <c r="L99" i="39"/>
  <c r="P99" i="39"/>
  <c r="T99" i="39"/>
  <c r="X99" i="39"/>
  <c r="AB99" i="39"/>
  <c r="AF99" i="39"/>
  <c r="AJ99" i="39"/>
  <c r="AN99" i="39"/>
  <c r="AR99" i="39"/>
  <c r="AV99" i="39"/>
  <c r="AZ99" i="39"/>
  <c r="E99" i="39"/>
  <c r="I99" i="39"/>
  <c r="M99" i="39"/>
  <c r="Q99" i="39"/>
  <c r="U99" i="39"/>
  <c r="Y99" i="39"/>
  <c r="AC99" i="39"/>
  <c r="AG99" i="39"/>
  <c r="AK99" i="39"/>
  <c r="AO99" i="39"/>
  <c r="AS99" i="39"/>
  <c r="AW99" i="39"/>
  <c r="BA99" i="39"/>
  <c r="J99" i="39"/>
  <c r="R99" i="39"/>
  <c r="Z99" i="39"/>
  <c r="AL99" i="39"/>
  <c r="AT99" i="39"/>
  <c r="BC110" i="30"/>
  <c r="BE42" i="30"/>
  <c r="BD54" i="30"/>
  <c r="BD65" i="30" s="1"/>
  <c r="BD89" i="30" s="1"/>
  <c r="BD110" i="30" s="1"/>
  <c r="BD43" i="30"/>
  <c r="BE57" i="30" s="1"/>
  <c r="BD56" i="30"/>
  <c r="BD124" i="30"/>
  <c r="M113" i="30"/>
  <c r="M115" i="30" s="1"/>
  <c r="N111" i="30" s="1"/>
  <c r="N113" i="30" s="1"/>
  <c r="N115" i="30" s="1"/>
  <c r="M117" i="30"/>
  <c r="M66" i="30"/>
  <c r="M69" i="30" s="1"/>
  <c r="N90" i="30"/>
  <c r="D184" i="44"/>
  <c r="D206" i="43"/>
  <c r="D169" i="43"/>
  <c r="D206" i="44"/>
  <c r="D169" i="44"/>
  <c r="D76" i="36"/>
  <c r="Z55" i="30"/>
  <c r="Z125" i="19"/>
  <c r="E22" i="5"/>
  <c r="Z133" i="19" l="1"/>
  <c r="Z157" i="19"/>
  <c r="Z146" i="19"/>
  <c r="Z135" i="19"/>
  <c r="Z137" i="19"/>
  <c r="Z165" i="19"/>
  <c r="Z158" i="19"/>
  <c r="Z127" i="19"/>
  <c r="Z128" i="19"/>
  <c r="Z159" i="19"/>
  <c r="Z140" i="19"/>
  <c r="Z151" i="19"/>
  <c r="Z149" i="19"/>
  <c r="Z148" i="19"/>
  <c r="Z162" i="19"/>
  <c r="Z147" i="19"/>
  <c r="Z143" i="19"/>
  <c r="Z136" i="19"/>
  <c r="Z155" i="19"/>
  <c r="Z152" i="19"/>
  <c r="Z130" i="19"/>
  <c r="Z154" i="19"/>
  <c r="Z160" i="19"/>
  <c r="Z164" i="19"/>
  <c r="Z142" i="19"/>
  <c r="Z145" i="19"/>
  <c r="Z131" i="19"/>
  <c r="Z161" i="19"/>
  <c r="Z150" i="19"/>
  <c r="Z163" i="19"/>
  <c r="Z138" i="19"/>
  <c r="Z141" i="19"/>
  <c r="Z132" i="19"/>
  <c r="Z156" i="19"/>
  <c r="Z144" i="19"/>
  <c r="Z126" i="19"/>
  <c r="Z166" i="19"/>
  <c r="Z129" i="19"/>
  <c r="Z134" i="19"/>
  <c r="Z153" i="19"/>
  <c r="Z139" i="19"/>
  <c r="D107" i="52"/>
  <c r="D106" i="52"/>
  <c r="D105" i="52"/>
  <c r="D114" i="52"/>
  <c r="D116" i="52"/>
  <c r="D111" i="52"/>
  <c r="D113" i="52"/>
  <c r="D108" i="52"/>
  <c r="D109" i="52"/>
  <c r="D112" i="52"/>
  <c r="D122" i="52"/>
  <c r="D115" i="52"/>
  <c r="D110" i="52"/>
  <c r="D118" i="52"/>
  <c r="D119" i="52"/>
  <c r="D117" i="52"/>
  <c r="D121" i="52"/>
  <c r="D120" i="52"/>
  <c r="BA414" i="47"/>
  <c r="AZ414" i="47"/>
  <c r="D103" i="43"/>
  <c r="D129" i="43" s="1"/>
  <c r="D120" i="43"/>
  <c r="D146" i="43" s="1"/>
  <c r="D194" i="43" s="1"/>
  <c r="D116" i="43"/>
  <c r="D142" i="43" s="1"/>
  <c r="D190" i="43" s="1"/>
  <c r="D112" i="43"/>
  <c r="D138" i="43" s="1"/>
  <c r="D186" i="43" s="1"/>
  <c r="D118" i="43"/>
  <c r="D144" i="43" s="1"/>
  <c r="D192" i="43" s="1"/>
  <c r="D110" i="43"/>
  <c r="D136" i="43" s="1"/>
  <c r="D184" i="43" s="1"/>
  <c r="D115" i="43"/>
  <c r="D141" i="43" s="1"/>
  <c r="D189" i="43" s="1"/>
  <c r="D107" i="43"/>
  <c r="D133" i="43" s="1"/>
  <c r="D181" i="43" s="1"/>
  <c r="D105" i="43"/>
  <c r="D131" i="43" s="1"/>
  <c r="D179" i="43" s="1"/>
  <c r="D104" i="43"/>
  <c r="D130" i="43" s="1"/>
  <c r="D178" i="43" s="1"/>
  <c r="D114" i="43"/>
  <c r="D140" i="43" s="1"/>
  <c r="D188" i="43" s="1"/>
  <c r="D106" i="43"/>
  <c r="D132" i="43" s="1"/>
  <c r="D180" i="43" s="1"/>
  <c r="D119" i="43"/>
  <c r="D145" i="43" s="1"/>
  <c r="D193" i="43" s="1"/>
  <c r="D113" i="43"/>
  <c r="D139" i="43" s="1"/>
  <c r="D187" i="43" s="1"/>
  <c r="D117" i="43"/>
  <c r="D143" i="43" s="1"/>
  <c r="D191" i="43" s="1"/>
  <c r="D108" i="43"/>
  <c r="D134" i="43" s="1"/>
  <c r="D182" i="43" s="1"/>
  <c r="D109" i="43"/>
  <c r="D135" i="43" s="1"/>
  <c r="D183" i="43" s="1"/>
  <c r="D111" i="43"/>
  <c r="D137" i="43" s="1"/>
  <c r="D185" i="43" s="1"/>
  <c r="D106" i="36"/>
  <c r="D118" i="36"/>
  <c r="D109" i="36"/>
  <c r="D119" i="36"/>
  <c r="D114" i="36"/>
  <c r="D107" i="36"/>
  <c r="D104" i="36"/>
  <c r="D111" i="36"/>
  <c r="D110" i="36"/>
  <c r="D116" i="36"/>
  <c r="D120" i="36"/>
  <c r="D115" i="36"/>
  <c r="D112" i="36"/>
  <c r="D105" i="36"/>
  <c r="D103" i="36"/>
  <c r="D113" i="36"/>
  <c r="D108" i="36"/>
  <c r="D117" i="36"/>
  <c r="BF42" i="30"/>
  <c r="BE54" i="30"/>
  <c r="BE65" i="30" s="1"/>
  <c r="BE89" i="30" s="1"/>
  <c r="BE43" i="30"/>
  <c r="BF57" i="30" s="1"/>
  <c r="BE56" i="30"/>
  <c r="M74" i="30"/>
  <c r="M68" i="30"/>
  <c r="M70" i="30" s="1"/>
  <c r="N66" i="30" s="1"/>
  <c r="N114" i="30"/>
  <c r="O111" i="30" s="1"/>
  <c r="O114" i="30" s="1"/>
  <c r="N117" i="30"/>
  <c r="N93" i="30"/>
  <c r="N96" i="30"/>
  <c r="D103" i="30" s="1"/>
  <c r="D54" i="40" s="1"/>
  <c r="D55" i="40" s="1"/>
  <c r="N92" i="30"/>
  <c r="N94" i="30" s="1"/>
  <c r="AA55" i="30"/>
  <c r="AA125" i="19"/>
  <c r="AA133" i="19" l="1"/>
  <c r="AA153" i="19"/>
  <c r="AA126" i="19"/>
  <c r="AA141" i="19"/>
  <c r="AA161" i="19"/>
  <c r="AA164" i="19"/>
  <c r="AA152" i="19"/>
  <c r="AA147" i="19"/>
  <c r="AA151" i="19"/>
  <c r="AA127" i="19"/>
  <c r="AA135" i="19"/>
  <c r="AA134" i="19"/>
  <c r="AA144" i="19"/>
  <c r="AA138" i="19"/>
  <c r="AA131" i="19"/>
  <c r="AA160" i="19"/>
  <c r="AA155" i="19"/>
  <c r="AA162" i="19"/>
  <c r="AA140" i="19"/>
  <c r="AA158" i="19"/>
  <c r="AA146" i="19"/>
  <c r="AA129" i="19"/>
  <c r="AA156" i="19"/>
  <c r="AA163" i="19"/>
  <c r="AA145" i="19"/>
  <c r="AA154" i="19"/>
  <c r="AA136" i="19"/>
  <c r="AA148" i="19"/>
  <c r="AA159" i="19"/>
  <c r="AA165" i="19"/>
  <c r="AA157" i="19"/>
  <c r="AA139" i="19"/>
  <c r="AA166" i="19"/>
  <c r="AA132" i="19"/>
  <c r="AA150" i="19"/>
  <c r="AA142" i="19"/>
  <c r="AA130" i="19"/>
  <c r="AA143" i="19"/>
  <c r="AA149" i="19"/>
  <c r="AA128" i="19"/>
  <c r="AA137" i="19"/>
  <c r="D125" i="30"/>
  <c r="D12" i="37"/>
  <c r="D66" i="40"/>
  <c r="D177" i="43"/>
  <c r="D147" i="43"/>
  <c r="BF56" i="30"/>
  <c r="BE110" i="30"/>
  <c r="BG42" i="30"/>
  <c r="BF54" i="30"/>
  <c r="BF65" i="30" s="1"/>
  <c r="BF89" i="30" s="1"/>
  <c r="BF110" i="30" s="1"/>
  <c r="BF43" i="30"/>
  <c r="BG57" i="30" s="1"/>
  <c r="O117" i="30"/>
  <c r="O113" i="30"/>
  <c r="O115" i="30" s="1"/>
  <c r="P111" i="30" s="1"/>
  <c r="O90" i="30"/>
  <c r="O93" i="30" s="1"/>
  <c r="N74" i="30"/>
  <c r="N68" i="30"/>
  <c r="N69" i="30"/>
  <c r="AB55" i="30"/>
  <c r="AB125" i="19"/>
  <c r="AB133" i="19" l="1"/>
  <c r="AB128" i="19"/>
  <c r="AB142" i="19"/>
  <c r="AB139" i="19"/>
  <c r="AB148" i="19"/>
  <c r="AB163" i="19"/>
  <c r="AB158" i="19"/>
  <c r="AB160" i="19"/>
  <c r="AB134" i="19"/>
  <c r="AB153" i="19"/>
  <c r="AB152" i="19"/>
  <c r="AB149" i="19"/>
  <c r="AB150" i="19"/>
  <c r="AB157" i="19"/>
  <c r="AB136" i="19"/>
  <c r="AB156" i="19"/>
  <c r="AB140" i="19"/>
  <c r="AB131" i="19"/>
  <c r="AB147" i="19"/>
  <c r="AB135" i="19"/>
  <c r="AB161" i="19"/>
  <c r="AB143" i="19"/>
  <c r="AB132" i="19"/>
  <c r="AB165" i="19"/>
  <c r="AB154" i="19"/>
  <c r="AB129" i="19"/>
  <c r="AB162" i="19"/>
  <c r="AB138" i="19"/>
  <c r="AB164" i="19"/>
  <c r="AB127" i="19"/>
  <c r="AB126" i="19"/>
  <c r="AB137" i="19"/>
  <c r="AB130" i="19"/>
  <c r="AB166" i="19"/>
  <c r="AB159" i="19"/>
  <c r="AB145" i="19"/>
  <c r="AB146" i="19"/>
  <c r="AB155" i="19"/>
  <c r="AB144" i="19"/>
  <c r="AB141" i="19"/>
  <c r="AB151" i="19"/>
  <c r="D82" i="30"/>
  <c r="D22" i="40" s="1"/>
  <c r="D23" i="40" s="1"/>
  <c r="D12" i="43"/>
  <c r="D67" i="40"/>
  <c r="E125" i="30"/>
  <c r="BG54" i="30"/>
  <c r="BG65" i="30" s="1"/>
  <c r="BG89" i="30" s="1"/>
  <c r="BG110" i="30" s="1"/>
  <c r="BH42" i="30"/>
  <c r="BG43" i="30"/>
  <c r="BH57" i="30" s="1"/>
  <c r="BG56" i="30"/>
  <c r="O92" i="30"/>
  <c r="O94" i="30" s="1"/>
  <c r="P90" i="30" s="1"/>
  <c r="O96" i="30"/>
  <c r="P117" i="30"/>
  <c r="P113" i="30"/>
  <c r="P115" i="30" s="1"/>
  <c r="P114" i="30"/>
  <c r="N70" i="30"/>
  <c r="O66" i="30" s="1"/>
  <c r="AC55" i="30"/>
  <c r="AC125" i="19"/>
  <c r="AC133" i="19" s="1"/>
  <c r="AC141" i="19" l="1"/>
  <c r="AC145" i="19"/>
  <c r="AC137" i="19"/>
  <c r="AC126" i="19"/>
  <c r="AC144" i="19"/>
  <c r="AC159" i="19"/>
  <c r="AC138" i="19"/>
  <c r="AC165" i="19"/>
  <c r="AC135" i="19"/>
  <c r="AC156" i="19"/>
  <c r="AC149" i="19"/>
  <c r="AC160" i="19"/>
  <c r="AC139" i="19"/>
  <c r="AC162" i="19"/>
  <c r="AC132" i="19"/>
  <c r="AC147" i="19"/>
  <c r="AC136" i="19"/>
  <c r="AC152" i="19"/>
  <c r="AC158" i="19"/>
  <c r="AC142" i="19"/>
  <c r="AC155" i="19"/>
  <c r="AC166" i="19"/>
  <c r="AC127" i="19"/>
  <c r="AC129" i="19"/>
  <c r="AC143" i="19"/>
  <c r="AC131" i="19"/>
  <c r="AC157" i="19"/>
  <c r="AC153" i="19"/>
  <c r="AC163" i="19"/>
  <c r="AC128" i="19"/>
  <c r="AC151" i="19"/>
  <c r="AC146" i="19"/>
  <c r="AC130" i="19"/>
  <c r="AC164" i="19"/>
  <c r="AC154" i="19"/>
  <c r="AC161" i="19"/>
  <c r="AC140" i="19"/>
  <c r="AC150" i="19"/>
  <c r="AC134" i="19"/>
  <c r="AC148" i="19"/>
  <c r="D13" i="43"/>
  <c r="D113" i="39"/>
  <c r="D114" i="39" s="1"/>
  <c r="D120" i="39" s="1"/>
  <c r="D14" i="37"/>
  <c r="D34" i="40"/>
  <c r="E103" i="30"/>
  <c r="E54" i="40" s="1"/>
  <c r="E55" i="40" s="1"/>
  <c r="F125" i="30"/>
  <c r="D68" i="40"/>
  <c r="BH56" i="30"/>
  <c r="BH54" i="30"/>
  <c r="BH65" i="30" s="1"/>
  <c r="BH43" i="30"/>
  <c r="P96" i="30"/>
  <c r="F103" i="30" s="1"/>
  <c r="F54" i="40" s="1"/>
  <c r="P93" i="30"/>
  <c r="P92" i="30"/>
  <c r="P94" i="30" s="1"/>
  <c r="Q111" i="30"/>
  <c r="O69" i="30"/>
  <c r="O68" i="30"/>
  <c r="O74" i="30"/>
  <c r="AD55" i="30"/>
  <c r="AD125" i="19"/>
  <c r="AD133" i="19" l="1"/>
  <c r="AD134" i="19"/>
  <c r="AD154" i="19"/>
  <c r="AD153" i="19"/>
  <c r="AD136" i="19"/>
  <c r="AD138" i="19"/>
  <c r="AD150" i="19"/>
  <c r="AD164" i="19"/>
  <c r="AD159" i="19"/>
  <c r="AD157" i="19"/>
  <c r="AD127" i="19"/>
  <c r="AD142" i="19"/>
  <c r="AD147" i="19"/>
  <c r="AD141" i="19"/>
  <c r="AD156" i="19"/>
  <c r="AD137" i="19"/>
  <c r="AD151" i="19"/>
  <c r="AD129" i="19"/>
  <c r="AD144" i="19"/>
  <c r="AD126" i="19"/>
  <c r="AD149" i="19"/>
  <c r="AD140" i="19"/>
  <c r="AD130" i="19"/>
  <c r="AD128" i="19"/>
  <c r="AD131" i="19"/>
  <c r="AD166" i="19"/>
  <c r="AD158" i="19"/>
  <c r="AD132" i="19"/>
  <c r="AD139" i="19"/>
  <c r="AD135" i="19"/>
  <c r="AD145" i="19"/>
  <c r="AD148" i="19"/>
  <c r="AD161" i="19"/>
  <c r="AD146" i="19"/>
  <c r="AD163" i="19"/>
  <c r="AD143" i="19"/>
  <c r="AD155" i="19"/>
  <c r="AD152" i="19"/>
  <c r="AD162" i="19"/>
  <c r="AD160" i="19"/>
  <c r="AD165" i="19"/>
  <c r="D35" i="40"/>
  <c r="D12" i="36"/>
  <c r="E224" i="36" s="1"/>
  <c r="E225" i="36" s="1"/>
  <c r="E12" i="37"/>
  <c r="F55" i="40"/>
  <c r="E66" i="40"/>
  <c r="G146" i="39"/>
  <c r="K146" i="39"/>
  <c r="E146" i="39"/>
  <c r="E197" i="39" s="1"/>
  <c r="F146" i="39"/>
  <c r="N146" i="39"/>
  <c r="H146" i="39"/>
  <c r="L146" i="39"/>
  <c r="I146" i="39"/>
  <c r="M146" i="39"/>
  <c r="J146" i="39"/>
  <c r="E82" i="30"/>
  <c r="E22" i="40" s="1"/>
  <c r="E23" i="40" s="1"/>
  <c r="D69" i="40"/>
  <c r="D14" i="43"/>
  <c r="BH89" i="30"/>
  <c r="BD82" i="30"/>
  <c r="BB82" i="30"/>
  <c r="BC82" i="30"/>
  <c r="Q90" i="30"/>
  <c r="Q93" i="30" s="1"/>
  <c r="Q117" i="30"/>
  <c r="Q113" i="30"/>
  <c r="Q115" i="30" s="1"/>
  <c r="Q114" i="30"/>
  <c r="O70" i="30"/>
  <c r="P66" i="30" s="1"/>
  <c r="AE55" i="30"/>
  <c r="AE125" i="19"/>
  <c r="AE133" i="19" l="1"/>
  <c r="AE139" i="19"/>
  <c r="AE131" i="19"/>
  <c r="AE160" i="19"/>
  <c r="AE143" i="19"/>
  <c r="AE148" i="19"/>
  <c r="AE149" i="19"/>
  <c r="AE151" i="19"/>
  <c r="AE147" i="19"/>
  <c r="AE159" i="19"/>
  <c r="AE136" i="19"/>
  <c r="AE162" i="19"/>
  <c r="AE163" i="19"/>
  <c r="AE154" i="19"/>
  <c r="AE132" i="19"/>
  <c r="AE128" i="19"/>
  <c r="AE126" i="19"/>
  <c r="AE137" i="19"/>
  <c r="AE142" i="19"/>
  <c r="AE164" i="19"/>
  <c r="AE153" i="19"/>
  <c r="AE152" i="19"/>
  <c r="AE146" i="19"/>
  <c r="AE145" i="19"/>
  <c r="AE158" i="19"/>
  <c r="AE130" i="19"/>
  <c r="AE144" i="19"/>
  <c r="AE156" i="19"/>
  <c r="AE127" i="19"/>
  <c r="AE150" i="19"/>
  <c r="AE134" i="19"/>
  <c r="AE165" i="19"/>
  <c r="AE155" i="19"/>
  <c r="AE161" i="19"/>
  <c r="AE135" i="19"/>
  <c r="AE166" i="19"/>
  <c r="AE140" i="19"/>
  <c r="AE129" i="19"/>
  <c r="AE141" i="19"/>
  <c r="AE157" i="19"/>
  <c r="AE138" i="19"/>
  <c r="F12" i="37"/>
  <c r="F66" i="40"/>
  <c r="E159" i="43"/>
  <c r="E207" i="43" s="1"/>
  <c r="E165" i="43"/>
  <c r="E213" i="43" s="1"/>
  <c r="E151" i="43"/>
  <c r="E168" i="43"/>
  <c r="E216" i="43" s="1"/>
  <c r="D15" i="43"/>
  <c r="E162" i="43"/>
  <c r="E210" i="43" s="1"/>
  <c r="E167" i="43"/>
  <c r="E215" i="43" s="1"/>
  <c r="E161" i="43"/>
  <c r="E209" i="43" s="1"/>
  <c r="E152" i="43"/>
  <c r="E200" i="43" s="1"/>
  <c r="E155" i="43"/>
  <c r="E203" i="43" s="1"/>
  <c r="E157" i="43"/>
  <c r="E205" i="43" s="1"/>
  <c r="E164" i="43"/>
  <c r="E212" i="43" s="1"/>
  <c r="E153" i="43"/>
  <c r="E201" i="43" s="1"/>
  <c r="E156" i="43"/>
  <c r="E204" i="43" s="1"/>
  <c r="E166" i="43"/>
  <c r="E214" i="43" s="1"/>
  <c r="E158" i="43"/>
  <c r="E206" i="43" s="1"/>
  <c r="E163" i="43"/>
  <c r="E211" i="43" s="1"/>
  <c r="E154" i="43"/>
  <c r="E202" i="43" s="1"/>
  <c r="E160" i="43"/>
  <c r="E208" i="43" s="1"/>
  <c r="G125" i="30"/>
  <c r="E34" i="40"/>
  <c r="E14" i="37"/>
  <c r="E12" i="43"/>
  <c r="E67" i="40"/>
  <c r="D36" i="40"/>
  <c r="D17" i="39"/>
  <c r="D18" i="39" s="1"/>
  <c r="D24" i="39" s="1"/>
  <c r="D13" i="36"/>
  <c r="BH110" i="30"/>
  <c r="BC103" i="30"/>
  <c r="BB103" i="30"/>
  <c r="BD103" i="30"/>
  <c r="Q96" i="30"/>
  <c r="G103" i="30" s="1"/>
  <c r="G54" i="40" s="1"/>
  <c r="G55" i="40" s="1"/>
  <c r="Q92" i="30"/>
  <c r="Q94" i="30" s="1"/>
  <c r="R90" i="30" s="1"/>
  <c r="R111" i="30"/>
  <c r="P74" i="30"/>
  <c r="P69" i="30"/>
  <c r="P68" i="30"/>
  <c r="P70" i="30" s="1"/>
  <c r="AF55" i="30"/>
  <c r="AF125" i="19"/>
  <c r="AF133" i="19" s="1"/>
  <c r="AF157" i="19" l="1"/>
  <c r="AF166" i="19"/>
  <c r="AF165" i="19"/>
  <c r="AF156" i="19"/>
  <c r="AF145" i="19"/>
  <c r="AF153" i="19"/>
  <c r="AF126" i="19"/>
  <c r="AF163" i="19"/>
  <c r="AF136" i="19"/>
  <c r="AF149" i="19"/>
  <c r="AF141" i="19"/>
  <c r="AF135" i="19"/>
  <c r="AF134" i="19"/>
  <c r="AF144" i="19"/>
  <c r="AF146" i="19"/>
  <c r="AF164" i="19"/>
  <c r="AF128" i="19"/>
  <c r="AF162" i="19"/>
  <c r="AF159" i="19"/>
  <c r="AF131" i="19"/>
  <c r="AF129" i="19"/>
  <c r="AF161" i="19"/>
  <c r="AF150" i="19"/>
  <c r="AF130" i="19"/>
  <c r="AF152" i="19"/>
  <c r="AF142" i="19"/>
  <c r="AF132" i="19"/>
  <c r="AF148" i="19"/>
  <c r="AF147" i="19"/>
  <c r="AF143" i="19"/>
  <c r="AF138" i="19"/>
  <c r="AF140" i="19"/>
  <c r="AF155" i="19"/>
  <c r="AF127" i="19"/>
  <c r="AF158" i="19"/>
  <c r="AF139" i="19"/>
  <c r="AF137" i="19"/>
  <c r="AF154" i="19"/>
  <c r="AF160" i="19"/>
  <c r="AF151" i="19"/>
  <c r="G66" i="40"/>
  <c r="G12" i="37"/>
  <c r="F50" i="39"/>
  <c r="J50" i="39"/>
  <c r="N50" i="39"/>
  <c r="H50" i="39"/>
  <c r="I50" i="39"/>
  <c r="G50" i="39"/>
  <c r="K50" i="39"/>
  <c r="L50" i="39"/>
  <c r="E50" i="39"/>
  <c r="M50" i="39"/>
  <c r="E199" i="43"/>
  <c r="E169" i="43"/>
  <c r="F12" i="43"/>
  <c r="F67" i="40"/>
  <c r="E68" i="40"/>
  <c r="E113" i="39"/>
  <c r="E114" i="39" s="1"/>
  <c r="E120" i="39" s="1"/>
  <c r="E13" i="43"/>
  <c r="F82" i="30"/>
  <c r="F22" i="40" s="1"/>
  <c r="F23" i="40" s="1"/>
  <c r="D14" i="36"/>
  <c r="D37" i="40"/>
  <c r="E12" i="36"/>
  <c r="F224" i="36" s="1"/>
  <c r="F225" i="36" s="1"/>
  <c r="E35" i="40"/>
  <c r="BC125" i="30"/>
  <c r="BB125" i="30"/>
  <c r="BD125" i="30"/>
  <c r="R93" i="30"/>
  <c r="R96" i="30"/>
  <c r="R92" i="30"/>
  <c r="R94" i="30" s="1"/>
  <c r="R113" i="30"/>
  <c r="R115" i="30" s="1"/>
  <c r="R114" i="30"/>
  <c r="R117" i="30"/>
  <c r="Q66" i="30"/>
  <c r="Q62" i="30" s="1"/>
  <c r="AG55" i="30"/>
  <c r="AG125" i="19"/>
  <c r="AG133" i="19" l="1"/>
  <c r="AG160" i="19"/>
  <c r="AG158" i="19"/>
  <c r="AG138" i="19"/>
  <c r="AG132" i="19"/>
  <c r="AG150" i="19"/>
  <c r="AG159" i="19"/>
  <c r="AG146" i="19"/>
  <c r="AG141" i="19"/>
  <c r="AG126" i="19"/>
  <c r="AG165" i="19"/>
  <c r="AG154" i="19"/>
  <c r="AG127" i="19"/>
  <c r="AG143" i="19"/>
  <c r="AG142" i="19"/>
  <c r="AG161" i="19"/>
  <c r="AG162" i="19"/>
  <c r="AG144" i="19"/>
  <c r="AG149" i="19"/>
  <c r="AG153" i="19"/>
  <c r="AG166" i="19"/>
  <c r="AG137" i="19"/>
  <c r="AG155" i="19"/>
  <c r="AG147" i="19"/>
  <c r="AG152" i="19"/>
  <c r="AG129" i="19"/>
  <c r="AG128" i="19"/>
  <c r="AG134" i="19"/>
  <c r="AG136" i="19"/>
  <c r="AG145" i="19"/>
  <c r="AG157" i="19"/>
  <c r="AG151" i="19"/>
  <c r="AG139" i="19"/>
  <c r="AG140" i="19"/>
  <c r="AG148" i="19"/>
  <c r="AG130" i="19"/>
  <c r="AG131" i="19"/>
  <c r="AG164" i="19"/>
  <c r="AG135" i="19"/>
  <c r="AG163" i="19"/>
  <c r="AG156" i="19"/>
  <c r="H125" i="30"/>
  <c r="G147" i="39"/>
  <c r="K147" i="39"/>
  <c r="O147" i="39"/>
  <c r="I147" i="39"/>
  <c r="F147" i="39"/>
  <c r="F197" i="39" s="1"/>
  <c r="N147" i="39"/>
  <c r="H147" i="39"/>
  <c r="L147" i="39"/>
  <c r="M147" i="39"/>
  <c r="J147" i="39"/>
  <c r="E36" i="40"/>
  <c r="E13" i="36"/>
  <c r="E17" i="39"/>
  <c r="E18" i="39" s="1"/>
  <c r="E24" i="39" s="1"/>
  <c r="F34" i="40"/>
  <c r="F14" i="37"/>
  <c r="E69" i="40"/>
  <c r="E14" i="43"/>
  <c r="F113" i="39"/>
  <c r="F114" i="39" s="1"/>
  <c r="F120" i="39" s="1"/>
  <c r="F13" i="43"/>
  <c r="H103" i="30"/>
  <c r="H54" i="40" s="1"/>
  <c r="H55" i="40" s="1"/>
  <c r="E152" i="36"/>
  <c r="E200" i="36" s="1"/>
  <c r="E159" i="36"/>
  <c r="E207" i="36" s="1"/>
  <c r="E165" i="36"/>
  <c r="E213" i="36" s="1"/>
  <c r="E161" i="36"/>
  <c r="E209" i="36" s="1"/>
  <c r="E160" i="36"/>
  <c r="E208" i="36" s="1"/>
  <c r="E156" i="36"/>
  <c r="E204" i="36" s="1"/>
  <c r="D15" i="36"/>
  <c r="E155" i="36"/>
  <c r="E203" i="36" s="1"/>
  <c r="E154" i="36"/>
  <c r="E202" i="36" s="1"/>
  <c r="E166" i="36"/>
  <c r="E214" i="36" s="1"/>
  <c r="E164" i="36"/>
  <c r="E212" i="36" s="1"/>
  <c r="E168" i="36"/>
  <c r="E216" i="36" s="1"/>
  <c r="E162" i="36"/>
  <c r="E210" i="36" s="1"/>
  <c r="E151" i="36"/>
  <c r="E153" i="36"/>
  <c r="E201" i="36" s="1"/>
  <c r="E158" i="36"/>
  <c r="E206" i="36" s="1"/>
  <c r="E157" i="36"/>
  <c r="E205" i="36" s="1"/>
  <c r="E167" i="36"/>
  <c r="E215" i="36" s="1"/>
  <c r="E163" i="36"/>
  <c r="E211" i="36" s="1"/>
  <c r="F68" i="40"/>
  <c r="G12" i="43"/>
  <c r="G67" i="40"/>
  <c r="G68" i="40" s="1"/>
  <c r="S90" i="30"/>
  <c r="S92" i="30" s="1"/>
  <c r="S94" i="30" s="1"/>
  <c r="S111" i="30"/>
  <c r="C88" i="40"/>
  <c r="Q74" i="30"/>
  <c r="Q69" i="30"/>
  <c r="Q68" i="30"/>
  <c r="AH125" i="19"/>
  <c r="AH133" i="19" s="1"/>
  <c r="AH55" i="30"/>
  <c r="AH163" i="19" l="1"/>
  <c r="AH130" i="19"/>
  <c r="AH151" i="19"/>
  <c r="AH134" i="19"/>
  <c r="AH147" i="19"/>
  <c r="AH153" i="19"/>
  <c r="AH161" i="19"/>
  <c r="AH154" i="19"/>
  <c r="AH146" i="19"/>
  <c r="AH138" i="19"/>
  <c r="AH135" i="19"/>
  <c r="AH148" i="19"/>
  <c r="AH157" i="19"/>
  <c r="AH128" i="19"/>
  <c r="AH155" i="19"/>
  <c r="AH149" i="19"/>
  <c r="AH142" i="19"/>
  <c r="AH165" i="19"/>
  <c r="AH159" i="19"/>
  <c r="AH158" i="19"/>
  <c r="AH164" i="19"/>
  <c r="AH140" i="19"/>
  <c r="AH145" i="19"/>
  <c r="AH129" i="19"/>
  <c r="AH137" i="19"/>
  <c r="AH144" i="19"/>
  <c r="AH143" i="19"/>
  <c r="AH126" i="19"/>
  <c r="AH150" i="19"/>
  <c r="AH160" i="19"/>
  <c r="AH156" i="19"/>
  <c r="AH131" i="19"/>
  <c r="AH139" i="19"/>
  <c r="AH136" i="19"/>
  <c r="AH152" i="19"/>
  <c r="AH166" i="19"/>
  <c r="AH162" i="19"/>
  <c r="AH127" i="19"/>
  <c r="AH141" i="19"/>
  <c r="AH132" i="19"/>
  <c r="F69" i="40"/>
  <c r="F14" i="43"/>
  <c r="H66" i="40"/>
  <c r="H12" i="37"/>
  <c r="F167" i="43"/>
  <c r="F215" i="43" s="1"/>
  <c r="F164" i="43"/>
  <c r="F212" i="43" s="1"/>
  <c r="E15" i="43"/>
  <c r="F165" i="43"/>
  <c r="F213" i="43" s="1"/>
  <c r="F152" i="43"/>
  <c r="F200" i="43" s="1"/>
  <c r="F163" i="43"/>
  <c r="F211" i="43" s="1"/>
  <c r="F159" i="43"/>
  <c r="F207" i="43" s="1"/>
  <c r="F151" i="43"/>
  <c r="F160" i="43"/>
  <c r="F208" i="43" s="1"/>
  <c r="F168" i="43"/>
  <c r="F216" i="43" s="1"/>
  <c r="F156" i="43"/>
  <c r="F204" i="43" s="1"/>
  <c r="F162" i="43"/>
  <c r="F210" i="43" s="1"/>
  <c r="F157" i="43"/>
  <c r="F205" i="43" s="1"/>
  <c r="F166" i="43"/>
  <c r="F214" i="43" s="1"/>
  <c r="F155" i="43"/>
  <c r="F203" i="43" s="1"/>
  <c r="F158" i="43"/>
  <c r="F206" i="43" s="1"/>
  <c r="F161" i="43"/>
  <c r="F209" i="43" s="1"/>
  <c r="F154" i="43"/>
  <c r="F202" i="43" s="1"/>
  <c r="F153" i="43"/>
  <c r="F201" i="43" s="1"/>
  <c r="F12" i="36"/>
  <c r="G224" i="36" s="1"/>
  <c r="G225" i="36" s="1"/>
  <c r="F35" i="40"/>
  <c r="F36" i="40" s="1"/>
  <c r="G69" i="40"/>
  <c r="G14" i="43"/>
  <c r="H51" i="39"/>
  <c r="L51" i="39"/>
  <c r="J51" i="39"/>
  <c r="K51" i="39"/>
  <c r="I51" i="39"/>
  <c r="M51" i="39"/>
  <c r="F51" i="39"/>
  <c r="N51" i="39"/>
  <c r="G51" i="39"/>
  <c r="O51" i="39"/>
  <c r="G13" i="43"/>
  <c r="G113" i="39"/>
  <c r="G114" i="39" s="1"/>
  <c r="G120" i="39" s="1"/>
  <c r="E199" i="36"/>
  <c r="E169" i="36"/>
  <c r="G82" i="30"/>
  <c r="G22" i="40" s="1"/>
  <c r="G23" i="40" s="1"/>
  <c r="J148" i="39"/>
  <c r="N148" i="39"/>
  <c r="L148" i="39"/>
  <c r="M148" i="39"/>
  <c r="G148" i="39"/>
  <c r="G197" i="39" s="1"/>
  <c r="K148" i="39"/>
  <c r="O148" i="39"/>
  <c r="H148" i="39"/>
  <c r="P148" i="39"/>
  <c r="I148" i="39"/>
  <c r="E14" i="36"/>
  <c r="E37" i="40"/>
  <c r="AI125" i="19"/>
  <c r="AI133" i="19" s="1"/>
  <c r="S93" i="30"/>
  <c r="T90" i="30" s="1"/>
  <c r="T92" i="30" s="1"/>
  <c r="T94" i="30" s="1"/>
  <c r="S96" i="30"/>
  <c r="S113" i="30"/>
  <c r="S115" i="30" s="1"/>
  <c r="S117" i="30"/>
  <c r="S114" i="30"/>
  <c r="G75" i="52"/>
  <c r="G70" i="52"/>
  <c r="G71" i="52"/>
  <c r="Q70" i="30"/>
  <c r="R66" i="30" s="1"/>
  <c r="AI55" i="30"/>
  <c r="AI141" i="19" l="1"/>
  <c r="AI152" i="19"/>
  <c r="AI156" i="19"/>
  <c r="AI150" i="19"/>
  <c r="AI137" i="19"/>
  <c r="AI164" i="19"/>
  <c r="AI142" i="19"/>
  <c r="AI157" i="19"/>
  <c r="AI146" i="19"/>
  <c r="AI147" i="19"/>
  <c r="AI127" i="19"/>
  <c r="AI136" i="19"/>
  <c r="AI151" i="19"/>
  <c r="AI126" i="19"/>
  <c r="AI129" i="19"/>
  <c r="AI158" i="19"/>
  <c r="AI149" i="19"/>
  <c r="AI148" i="19"/>
  <c r="AI154" i="19"/>
  <c r="AI134" i="19"/>
  <c r="AI162" i="19"/>
  <c r="AI139" i="19"/>
  <c r="AI163" i="19"/>
  <c r="AI143" i="19"/>
  <c r="AI145" i="19"/>
  <c r="AI159" i="19"/>
  <c r="AI155" i="19"/>
  <c r="AI135" i="19"/>
  <c r="AI161" i="19"/>
  <c r="AI130" i="19"/>
  <c r="AJ125" i="19"/>
  <c r="AJ133" i="19" s="1"/>
  <c r="AI132" i="19"/>
  <c r="AI166" i="19"/>
  <c r="AI131" i="19"/>
  <c r="AI160" i="19"/>
  <c r="AJ160" i="19" s="1"/>
  <c r="AI144" i="19"/>
  <c r="AJ144" i="19" s="1"/>
  <c r="AI140" i="19"/>
  <c r="AI165" i="19"/>
  <c r="AI128" i="19"/>
  <c r="AJ128" i="19" s="1"/>
  <c r="AI138" i="19"/>
  <c r="AJ138" i="19" s="1"/>
  <c r="AI153" i="19"/>
  <c r="I103" i="30"/>
  <c r="I54" i="40" s="1"/>
  <c r="I55" i="40" s="1"/>
  <c r="F155" i="36"/>
  <c r="F203" i="36" s="1"/>
  <c r="F164" i="36"/>
  <c r="F212" i="36" s="1"/>
  <c r="F153" i="36"/>
  <c r="F201" i="36" s="1"/>
  <c r="F151" i="36"/>
  <c r="F154" i="36"/>
  <c r="F202" i="36" s="1"/>
  <c r="F152" i="36"/>
  <c r="F200" i="36" s="1"/>
  <c r="F156" i="36"/>
  <c r="F204" i="36" s="1"/>
  <c r="F163" i="36"/>
  <c r="F211" i="36" s="1"/>
  <c r="F162" i="36"/>
  <c r="F210" i="36" s="1"/>
  <c r="F157" i="36"/>
  <c r="F205" i="36" s="1"/>
  <c r="E15" i="36"/>
  <c r="F159" i="36"/>
  <c r="F207" i="36" s="1"/>
  <c r="F158" i="36"/>
  <c r="F206" i="36" s="1"/>
  <c r="F168" i="36"/>
  <c r="F216" i="36" s="1"/>
  <c r="F161" i="36"/>
  <c r="F209" i="36" s="1"/>
  <c r="F160" i="36"/>
  <c r="F208" i="36" s="1"/>
  <c r="F165" i="36"/>
  <c r="F213" i="36" s="1"/>
  <c r="F167" i="36"/>
  <c r="F215" i="36" s="1"/>
  <c r="F166" i="36"/>
  <c r="F214" i="36" s="1"/>
  <c r="H165" i="43"/>
  <c r="H213" i="43" s="1"/>
  <c r="H159" i="43"/>
  <c r="H207" i="43" s="1"/>
  <c r="G15" i="43"/>
  <c r="H152" i="43"/>
  <c r="H200" i="43" s="1"/>
  <c r="H164" i="43"/>
  <c r="H212" i="43" s="1"/>
  <c r="H161" i="43"/>
  <c r="H209" i="43" s="1"/>
  <c r="H160" i="43"/>
  <c r="H208" i="43" s="1"/>
  <c r="H151" i="43"/>
  <c r="H157" i="43"/>
  <c r="H205" i="43" s="1"/>
  <c r="H162" i="43"/>
  <c r="H210" i="43" s="1"/>
  <c r="H156" i="43"/>
  <c r="H204" i="43" s="1"/>
  <c r="H155" i="43"/>
  <c r="H203" i="43" s="1"/>
  <c r="H168" i="43"/>
  <c r="H216" i="43" s="1"/>
  <c r="H158" i="43"/>
  <c r="H206" i="43" s="1"/>
  <c r="H163" i="43"/>
  <c r="H211" i="43" s="1"/>
  <c r="H153" i="43"/>
  <c r="H201" i="43" s="1"/>
  <c r="H154" i="43"/>
  <c r="H202" i="43" s="1"/>
  <c r="H166" i="43"/>
  <c r="H214" i="43" s="1"/>
  <c r="H167" i="43"/>
  <c r="H215" i="43" s="1"/>
  <c r="F169" i="43"/>
  <c r="F199" i="43"/>
  <c r="H67" i="40"/>
  <c r="H12" i="43"/>
  <c r="I125" i="30"/>
  <c r="F37" i="40"/>
  <c r="F14" i="36"/>
  <c r="G166" i="43"/>
  <c r="G214" i="43" s="1"/>
  <c r="G155" i="43"/>
  <c r="G203" i="43" s="1"/>
  <c r="G156" i="43"/>
  <c r="G204" i="43" s="1"/>
  <c r="F15" i="43"/>
  <c r="G167" i="43"/>
  <c r="G215" i="43" s="1"/>
  <c r="G164" i="43"/>
  <c r="G212" i="43" s="1"/>
  <c r="G168" i="43"/>
  <c r="G216" i="43" s="1"/>
  <c r="G162" i="43"/>
  <c r="G210" i="43" s="1"/>
  <c r="G160" i="43"/>
  <c r="G208" i="43" s="1"/>
  <c r="G161" i="43"/>
  <c r="G209" i="43" s="1"/>
  <c r="G163" i="43"/>
  <c r="G211" i="43" s="1"/>
  <c r="G159" i="43"/>
  <c r="G207" i="43" s="1"/>
  <c r="G157" i="43"/>
  <c r="G205" i="43" s="1"/>
  <c r="G165" i="43"/>
  <c r="G213" i="43" s="1"/>
  <c r="G151" i="43"/>
  <c r="G153" i="43"/>
  <c r="G201" i="43" s="1"/>
  <c r="G152" i="43"/>
  <c r="G200" i="43" s="1"/>
  <c r="G158" i="43"/>
  <c r="G206" i="43" s="1"/>
  <c r="G154" i="43"/>
  <c r="G202" i="43" s="1"/>
  <c r="G14" i="37"/>
  <c r="G34" i="40"/>
  <c r="I149" i="39"/>
  <c r="M149" i="39"/>
  <c r="Q149" i="39"/>
  <c r="K149" i="39"/>
  <c r="L149" i="39"/>
  <c r="J149" i="39"/>
  <c r="N149" i="39"/>
  <c r="O149" i="39"/>
  <c r="H149" i="39"/>
  <c r="H197" i="39" s="1"/>
  <c r="P149" i="39"/>
  <c r="F13" i="36"/>
  <c r="F17" i="39"/>
  <c r="F18" i="39" s="1"/>
  <c r="F24" i="39" s="1"/>
  <c r="T93" i="30"/>
  <c r="U90" i="30" s="1"/>
  <c r="T96" i="30"/>
  <c r="T111" i="30"/>
  <c r="T113" i="30" s="1"/>
  <c r="T115" i="30" s="1"/>
  <c r="D88" i="40"/>
  <c r="D89" i="40" s="1"/>
  <c r="G78" i="52"/>
  <c r="R74" i="30"/>
  <c r="R68" i="30"/>
  <c r="R70" i="30" s="1"/>
  <c r="R69" i="30"/>
  <c r="AJ55" i="30"/>
  <c r="AK125" i="19" l="1"/>
  <c r="AK160" i="19" s="1"/>
  <c r="AJ165" i="19"/>
  <c r="AJ131" i="19"/>
  <c r="AJ153" i="19"/>
  <c r="AK153" i="19" s="1"/>
  <c r="AJ140" i="19"/>
  <c r="AJ166" i="19"/>
  <c r="AJ161" i="19"/>
  <c r="AK161" i="19" s="1"/>
  <c r="AK133" i="19"/>
  <c r="AK128" i="19"/>
  <c r="AJ155" i="19"/>
  <c r="AJ163" i="19"/>
  <c r="AK163" i="19" s="1"/>
  <c r="AJ154" i="19"/>
  <c r="AK154" i="19" s="1"/>
  <c r="AJ129" i="19"/>
  <c r="AJ127" i="19"/>
  <c r="AJ142" i="19"/>
  <c r="AK142" i="19" s="1"/>
  <c r="AJ156" i="19"/>
  <c r="AK156" i="19" s="1"/>
  <c r="AJ130" i="19"/>
  <c r="AK130" i="19" s="1"/>
  <c r="AJ159" i="19"/>
  <c r="AK159" i="19" s="1"/>
  <c r="AJ139" i="19"/>
  <c r="AJ148" i="19"/>
  <c r="AJ126" i="19"/>
  <c r="AK126" i="19" s="1"/>
  <c r="AJ147" i="19"/>
  <c r="AK147" i="19" s="1"/>
  <c r="AJ164" i="19"/>
  <c r="AJ152" i="19"/>
  <c r="AK152" i="19" s="1"/>
  <c r="AK140" i="19"/>
  <c r="AJ145" i="19"/>
  <c r="AK145" i="19" s="1"/>
  <c r="AJ162" i="19"/>
  <c r="AK162" i="19" s="1"/>
  <c r="AJ149" i="19"/>
  <c r="AJ151" i="19"/>
  <c r="AK151" i="19" s="1"/>
  <c r="AJ146" i="19"/>
  <c r="AK146" i="19" s="1"/>
  <c r="AJ137" i="19"/>
  <c r="AK137" i="19" s="1"/>
  <c r="AJ141" i="19"/>
  <c r="AK138" i="19"/>
  <c r="AK144" i="19"/>
  <c r="AJ132" i="19"/>
  <c r="AK132" i="19" s="1"/>
  <c r="AJ135" i="19"/>
  <c r="AJ143" i="19"/>
  <c r="AK143" i="19" s="1"/>
  <c r="AJ134" i="19"/>
  <c r="AK134" i="19" s="1"/>
  <c r="AJ158" i="19"/>
  <c r="AK158" i="19" s="1"/>
  <c r="AJ136" i="19"/>
  <c r="AJ157" i="19"/>
  <c r="AK157" i="19" s="1"/>
  <c r="AJ150" i="19"/>
  <c r="AK150" i="19" s="1"/>
  <c r="G169" i="43"/>
  <c r="G199" i="43"/>
  <c r="F169" i="36"/>
  <c r="F199" i="36"/>
  <c r="I66" i="40"/>
  <c r="I12" i="37"/>
  <c r="G151" i="36"/>
  <c r="G167" i="36"/>
  <c r="G215" i="36" s="1"/>
  <c r="G165" i="36"/>
  <c r="G213" i="36" s="1"/>
  <c r="G158" i="36"/>
  <c r="G206" i="36" s="1"/>
  <c r="G161" i="36"/>
  <c r="G209" i="36" s="1"/>
  <c r="G162" i="36"/>
  <c r="G210" i="36" s="1"/>
  <c r="F15" i="36"/>
  <c r="G163" i="36"/>
  <c r="G211" i="36" s="1"/>
  <c r="G157" i="36"/>
  <c r="G205" i="36" s="1"/>
  <c r="G153" i="36"/>
  <c r="G201" i="36" s="1"/>
  <c r="G166" i="36"/>
  <c r="G214" i="36" s="1"/>
  <c r="G155" i="36"/>
  <c r="G203" i="36" s="1"/>
  <c r="G160" i="36"/>
  <c r="G208" i="36" s="1"/>
  <c r="G159" i="36"/>
  <c r="G207" i="36" s="1"/>
  <c r="G154" i="36"/>
  <c r="G202" i="36" s="1"/>
  <c r="G168" i="36"/>
  <c r="G216" i="36" s="1"/>
  <c r="G164" i="36"/>
  <c r="G212" i="36" s="1"/>
  <c r="G152" i="36"/>
  <c r="G200" i="36" s="1"/>
  <c r="G156" i="36"/>
  <c r="G204" i="36" s="1"/>
  <c r="H68" i="40"/>
  <c r="H13" i="43"/>
  <c r="H113" i="39"/>
  <c r="H114" i="39" s="1"/>
  <c r="H120" i="39" s="1"/>
  <c r="H82" i="30"/>
  <c r="H22" i="40" s="1"/>
  <c r="H23" i="40" s="1"/>
  <c r="J103" i="30"/>
  <c r="J54" i="40" s="1"/>
  <c r="J55" i="40" s="1"/>
  <c r="J52" i="39"/>
  <c r="N52" i="39"/>
  <c r="H52" i="39"/>
  <c r="P52" i="39"/>
  <c r="I52" i="39"/>
  <c r="G52" i="39"/>
  <c r="K52" i="39"/>
  <c r="O52" i="39"/>
  <c r="L52" i="39"/>
  <c r="M52" i="39"/>
  <c r="G35" i="40"/>
  <c r="G12" i="36"/>
  <c r="H224" i="36" s="1"/>
  <c r="H225" i="36" s="1"/>
  <c r="H199" i="43"/>
  <c r="H169" i="43"/>
  <c r="U93" i="30"/>
  <c r="U92" i="30"/>
  <c r="U94" i="30" s="1"/>
  <c r="U96" i="30"/>
  <c r="K103" i="30" s="1"/>
  <c r="K54" i="40" s="1"/>
  <c r="T117" i="30"/>
  <c r="T114" i="30"/>
  <c r="U111" i="30" s="1"/>
  <c r="U117" i="30" s="1"/>
  <c r="D101" i="40"/>
  <c r="D13" i="37"/>
  <c r="D15" i="37" s="1"/>
  <c r="S66" i="30"/>
  <c r="AK55" i="30"/>
  <c r="AK148" i="19" l="1"/>
  <c r="AK131" i="19"/>
  <c r="AK127" i="19"/>
  <c r="AK155" i="19"/>
  <c r="AL125" i="19"/>
  <c r="AL133" i="19" s="1"/>
  <c r="AK136" i="19"/>
  <c r="AK135" i="19"/>
  <c r="AK141" i="19"/>
  <c r="AK149" i="19"/>
  <c r="AK166" i="19"/>
  <c r="AK164" i="19"/>
  <c r="AL164" i="19" s="1"/>
  <c r="AK139" i="19"/>
  <c r="AK165" i="19"/>
  <c r="AK129" i="19"/>
  <c r="AL147" i="19"/>
  <c r="AL150" i="19"/>
  <c r="AL146" i="19"/>
  <c r="K55" i="40"/>
  <c r="J12" i="37"/>
  <c r="J66" i="40"/>
  <c r="G36" i="40"/>
  <c r="G13" i="36"/>
  <c r="G17" i="39"/>
  <c r="G18" i="39" s="1"/>
  <c r="G24" i="39" s="1"/>
  <c r="K125" i="30"/>
  <c r="H34" i="40"/>
  <c r="H14" i="37"/>
  <c r="H69" i="40"/>
  <c r="H14" i="43"/>
  <c r="K150" i="39"/>
  <c r="O150" i="39"/>
  <c r="M150" i="39"/>
  <c r="N150" i="39"/>
  <c r="L150" i="39"/>
  <c r="P150" i="39"/>
  <c r="I150" i="39"/>
  <c r="I197" i="39" s="1"/>
  <c r="Q150" i="39"/>
  <c r="J150" i="39"/>
  <c r="R150" i="39"/>
  <c r="G169" i="36"/>
  <c r="G199" i="36"/>
  <c r="J125" i="30"/>
  <c r="I67" i="40"/>
  <c r="I12" i="43"/>
  <c r="E88" i="40"/>
  <c r="E89" i="40" s="1"/>
  <c r="E13" i="37" s="1"/>
  <c r="E15" i="37" s="1"/>
  <c r="V90" i="30"/>
  <c r="U114" i="30"/>
  <c r="U113" i="30"/>
  <c r="U115" i="30" s="1"/>
  <c r="F88" i="40"/>
  <c r="D12" i="44"/>
  <c r="D102" i="40"/>
  <c r="D13" i="44" s="1"/>
  <c r="S68" i="30"/>
  <c r="S70" i="30" s="1"/>
  <c r="S69" i="30"/>
  <c r="S74" i="30"/>
  <c r="AL55" i="30"/>
  <c r="AL148" i="19" l="1"/>
  <c r="AL142" i="19"/>
  <c r="AL137" i="19"/>
  <c r="AL135" i="19"/>
  <c r="AM135" i="19" s="1"/>
  <c r="AL151" i="19"/>
  <c r="AL130" i="19"/>
  <c r="AL128" i="19"/>
  <c r="AL132" i="19"/>
  <c r="AM132" i="19" s="1"/>
  <c r="AL155" i="19"/>
  <c r="AM125" i="19"/>
  <c r="AM133" i="19" s="1"/>
  <c r="AL145" i="19"/>
  <c r="AL159" i="19"/>
  <c r="AM159" i="19" s="1"/>
  <c r="AL160" i="19"/>
  <c r="AL129" i="19"/>
  <c r="AL166" i="19"/>
  <c r="AM166" i="19" s="1"/>
  <c r="AL126" i="19"/>
  <c r="AM126" i="19" s="1"/>
  <c r="AL144" i="19"/>
  <c r="AL154" i="19"/>
  <c r="AL140" i="19"/>
  <c r="AL158" i="19"/>
  <c r="AM158" i="19" s="1"/>
  <c r="AL165" i="19"/>
  <c r="AM165" i="19" s="1"/>
  <c r="AL149" i="19"/>
  <c r="AL127" i="19"/>
  <c r="AM127" i="19" s="1"/>
  <c r="AL152" i="19"/>
  <c r="AM152" i="19" s="1"/>
  <c r="AL143" i="19"/>
  <c r="AM143" i="19" s="1"/>
  <c r="AL138" i="19"/>
  <c r="AL163" i="19"/>
  <c r="AM163" i="19" s="1"/>
  <c r="AL153" i="19"/>
  <c r="AM153" i="19" s="1"/>
  <c r="AL134" i="19"/>
  <c r="AM134" i="19" s="1"/>
  <c r="AL156" i="19"/>
  <c r="AM156" i="19" s="1"/>
  <c r="AL162" i="19"/>
  <c r="AM162" i="19" s="1"/>
  <c r="AL136" i="19"/>
  <c r="AM136" i="19" s="1"/>
  <c r="AL139" i="19"/>
  <c r="AM139" i="19" s="1"/>
  <c r="AL141" i="19"/>
  <c r="AM141" i="19" s="1"/>
  <c r="AL131" i="19"/>
  <c r="AM131" i="19" s="1"/>
  <c r="AL161" i="19"/>
  <c r="AM161" i="19" s="1"/>
  <c r="AL157" i="19"/>
  <c r="AM157" i="19" s="1"/>
  <c r="AM142" i="19"/>
  <c r="AM145" i="19"/>
  <c r="AM150" i="19"/>
  <c r="AM129" i="19"/>
  <c r="AM130" i="19"/>
  <c r="AM146" i="19"/>
  <c r="AM137" i="19"/>
  <c r="AM149" i="19"/>
  <c r="AM148" i="19"/>
  <c r="AM144" i="19"/>
  <c r="AM128" i="19"/>
  <c r="AM147" i="19"/>
  <c r="AM138" i="19"/>
  <c r="AM154" i="19"/>
  <c r="AM160" i="19"/>
  <c r="AM164" i="19"/>
  <c r="G37" i="40"/>
  <c r="G14" i="36"/>
  <c r="I113" i="39"/>
  <c r="I114" i="39" s="1"/>
  <c r="I120" i="39" s="1"/>
  <c r="I13" i="43"/>
  <c r="J12" i="43"/>
  <c r="J67" i="40"/>
  <c r="J68" i="40" s="1"/>
  <c r="I82" i="30"/>
  <c r="I22" i="40" s="1"/>
  <c r="I23" i="40" s="1"/>
  <c r="H53" i="39"/>
  <c r="L53" i="39"/>
  <c r="P53" i="39"/>
  <c r="J53" i="39"/>
  <c r="K53" i="39"/>
  <c r="I53" i="39"/>
  <c r="M53" i="39"/>
  <c r="Q53" i="39"/>
  <c r="N53" i="39"/>
  <c r="O53" i="39"/>
  <c r="I165" i="43"/>
  <c r="I213" i="43" s="1"/>
  <c r="I151" i="43"/>
  <c r="I152" i="43"/>
  <c r="I200" i="43" s="1"/>
  <c r="I155" i="43"/>
  <c r="I203" i="43" s="1"/>
  <c r="I153" i="43"/>
  <c r="I201" i="43" s="1"/>
  <c r="I168" i="43"/>
  <c r="I216" i="43" s="1"/>
  <c r="I164" i="43"/>
  <c r="I212" i="43" s="1"/>
  <c r="I166" i="43"/>
  <c r="I214" i="43" s="1"/>
  <c r="I157" i="43"/>
  <c r="I205" i="43" s="1"/>
  <c r="I154" i="43"/>
  <c r="I202" i="43" s="1"/>
  <c r="H15" i="43"/>
  <c r="I163" i="43"/>
  <c r="I211" i="43" s="1"/>
  <c r="I160" i="43"/>
  <c r="I208" i="43" s="1"/>
  <c r="I156" i="43"/>
  <c r="I204" i="43" s="1"/>
  <c r="I161" i="43"/>
  <c r="I209" i="43" s="1"/>
  <c r="I158" i="43"/>
  <c r="I206" i="43" s="1"/>
  <c r="I162" i="43"/>
  <c r="I210" i="43" s="1"/>
  <c r="I159" i="43"/>
  <c r="I207" i="43" s="1"/>
  <c r="I167" i="43"/>
  <c r="I215" i="43" s="1"/>
  <c r="I68" i="40"/>
  <c r="H12" i="36"/>
  <c r="I224" i="36" s="1"/>
  <c r="I225" i="36" s="1"/>
  <c r="H35" i="40"/>
  <c r="H36" i="40" s="1"/>
  <c r="K66" i="40"/>
  <c r="K12" i="37"/>
  <c r="F89" i="40"/>
  <c r="F101" i="40" s="1"/>
  <c r="F102" i="40" s="1"/>
  <c r="V111" i="30"/>
  <c r="V117" i="30" s="1"/>
  <c r="E101" i="40"/>
  <c r="E12" i="44" s="1"/>
  <c r="V92" i="30"/>
  <c r="V94" i="30" s="1"/>
  <c r="V96" i="30"/>
  <c r="L103" i="30" s="1"/>
  <c r="L54" i="40" s="1"/>
  <c r="L55" i="40" s="1"/>
  <c r="V93" i="30"/>
  <c r="D103" i="40"/>
  <c r="D104" i="40" s="1"/>
  <c r="E139" i="44"/>
  <c r="E187" i="44" s="1"/>
  <c r="E145" i="44"/>
  <c r="E193" i="44" s="1"/>
  <c r="E138" i="44"/>
  <c r="E186" i="44" s="1"/>
  <c r="E142" i="44"/>
  <c r="E190" i="44" s="1"/>
  <c r="E136" i="44"/>
  <c r="E184" i="44" s="1"/>
  <c r="E131" i="44"/>
  <c r="E179" i="44" s="1"/>
  <c r="E129" i="44"/>
  <c r="E144" i="44"/>
  <c r="E192" i="44" s="1"/>
  <c r="E141" i="44"/>
  <c r="E189" i="44" s="1"/>
  <c r="E132" i="44"/>
  <c r="E180" i="44" s="1"/>
  <c r="E130" i="44"/>
  <c r="E178" i="44" s="1"/>
  <c r="E134" i="44"/>
  <c r="E182" i="44" s="1"/>
  <c r="E135" i="44"/>
  <c r="E183" i="44" s="1"/>
  <c r="E146" i="44"/>
  <c r="E194" i="44" s="1"/>
  <c r="E143" i="44"/>
  <c r="E191" i="44" s="1"/>
  <c r="E140" i="44"/>
  <c r="E188" i="44" s="1"/>
  <c r="E137" i="44"/>
  <c r="E185" i="44" s="1"/>
  <c r="E133" i="44"/>
  <c r="E181" i="44" s="1"/>
  <c r="V113" i="30"/>
  <c r="V115" i="30" s="1"/>
  <c r="T66" i="30"/>
  <c r="AM55" i="30"/>
  <c r="AN125" i="19"/>
  <c r="AO125" i="19" s="1"/>
  <c r="AP125" i="19" s="1"/>
  <c r="AQ125" i="19" s="1"/>
  <c r="AR125" i="19" s="1"/>
  <c r="AS125" i="19" s="1"/>
  <c r="AT125" i="19" s="1"/>
  <c r="AU125" i="19" s="1"/>
  <c r="AV125" i="19" s="1"/>
  <c r="AW125" i="19" s="1"/>
  <c r="AX125" i="19" s="1"/>
  <c r="AY125" i="19" s="1"/>
  <c r="AZ125" i="19" s="1"/>
  <c r="BA125" i="19" s="1"/>
  <c r="BB125" i="19" s="1"/>
  <c r="BC125" i="19" s="1"/>
  <c r="BD125" i="19" s="1"/>
  <c r="AM140" i="19" l="1"/>
  <c r="AM155" i="19"/>
  <c r="AM151" i="19"/>
  <c r="AN151" i="19" s="1"/>
  <c r="AO151" i="19" s="1"/>
  <c r="AP151" i="19" s="1"/>
  <c r="AQ151" i="19" s="1"/>
  <c r="AR151" i="19" s="1"/>
  <c r="AS151" i="19" s="1"/>
  <c r="AT151" i="19" s="1"/>
  <c r="AU151" i="19" s="1"/>
  <c r="AV151" i="19" s="1"/>
  <c r="AW151" i="19" s="1"/>
  <c r="AX151" i="19" s="1"/>
  <c r="AY151" i="19" s="1"/>
  <c r="AZ151" i="19" s="1"/>
  <c r="BA151" i="19" s="1"/>
  <c r="BB151" i="19" s="1"/>
  <c r="BC151" i="19" s="1"/>
  <c r="BD151" i="19" s="1"/>
  <c r="D232" i="44"/>
  <c r="D233" i="44"/>
  <c r="D240" i="44"/>
  <c r="D237" i="44"/>
  <c r="D235" i="44"/>
  <c r="D239" i="44"/>
  <c r="D236" i="44"/>
  <c r="D238" i="44"/>
  <c r="D234" i="44"/>
  <c r="D228" i="44"/>
  <c r="D227" i="44"/>
  <c r="D229" i="44"/>
  <c r="D225" i="44"/>
  <c r="D224" i="44"/>
  <c r="D226" i="44"/>
  <c r="D237" i="43"/>
  <c r="D223" i="44"/>
  <c r="D231" i="44"/>
  <c r="D233" i="43"/>
  <c r="D226" i="43"/>
  <c r="D240" i="43"/>
  <c r="D236" i="43"/>
  <c r="D230" i="43"/>
  <c r="D225" i="43"/>
  <c r="D227" i="43"/>
  <c r="D234" i="43"/>
  <c r="D230" i="44"/>
  <c r="D235" i="43"/>
  <c r="D229" i="43"/>
  <c r="D238" i="43"/>
  <c r="D228" i="43"/>
  <c r="D231" i="43"/>
  <c r="D224" i="43"/>
  <c r="D232" i="43"/>
  <c r="D239" i="43"/>
  <c r="D223" i="43"/>
  <c r="AN135" i="19"/>
  <c r="AO135" i="19" s="1"/>
  <c r="AP135" i="19" s="1"/>
  <c r="AQ135" i="19" s="1"/>
  <c r="AR135" i="19" s="1"/>
  <c r="AS135" i="19" s="1"/>
  <c r="AT135" i="19" s="1"/>
  <c r="AU135" i="19" s="1"/>
  <c r="AV135" i="19" s="1"/>
  <c r="AW135" i="19" s="1"/>
  <c r="AX135" i="19" s="1"/>
  <c r="AY135" i="19" s="1"/>
  <c r="AZ135" i="19" s="1"/>
  <c r="BA135" i="19" s="1"/>
  <c r="BB135" i="19" s="1"/>
  <c r="BC135" i="19" s="1"/>
  <c r="BD135" i="19" s="1"/>
  <c r="AN140" i="19"/>
  <c r="AO140" i="19" s="1"/>
  <c r="AP140" i="19" s="1"/>
  <c r="AQ140" i="19" s="1"/>
  <c r="AR140" i="19" s="1"/>
  <c r="AS140" i="19" s="1"/>
  <c r="AT140" i="19" s="1"/>
  <c r="AU140" i="19" s="1"/>
  <c r="AV140" i="19" s="1"/>
  <c r="AW140" i="19" s="1"/>
  <c r="AX140" i="19" s="1"/>
  <c r="AY140" i="19" s="1"/>
  <c r="AZ140" i="19" s="1"/>
  <c r="BA140" i="19" s="1"/>
  <c r="BB140" i="19" s="1"/>
  <c r="BC140" i="19" s="1"/>
  <c r="BD140" i="19" s="1"/>
  <c r="AN163" i="19"/>
  <c r="AO163" i="19" s="1"/>
  <c r="AP163" i="19" s="1"/>
  <c r="AQ163" i="19" s="1"/>
  <c r="AR163" i="19" s="1"/>
  <c r="AS163" i="19" s="1"/>
  <c r="AT163" i="19" s="1"/>
  <c r="AU163" i="19" s="1"/>
  <c r="AV163" i="19" s="1"/>
  <c r="AW163" i="19" s="1"/>
  <c r="AX163" i="19" s="1"/>
  <c r="AY163" i="19" s="1"/>
  <c r="AZ163" i="19" s="1"/>
  <c r="BA163" i="19" s="1"/>
  <c r="BB163" i="19" s="1"/>
  <c r="BC163" i="19" s="1"/>
  <c r="BD163" i="19" s="1"/>
  <c r="AN139" i="19"/>
  <c r="AO139" i="19" s="1"/>
  <c r="AP139" i="19" s="1"/>
  <c r="AQ139" i="19" s="1"/>
  <c r="AR139" i="19" s="1"/>
  <c r="AS139" i="19" s="1"/>
  <c r="AT139" i="19" s="1"/>
  <c r="AU139" i="19" s="1"/>
  <c r="AV139" i="19" s="1"/>
  <c r="AW139" i="19" s="1"/>
  <c r="AX139" i="19" s="1"/>
  <c r="AY139" i="19" s="1"/>
  <c r="AZ139" i="19" s="1"/>
  <c r="BA139" i="19" s="1"/>
  <c r="BB139" i="19" s="1"/>
  <c r="BC139" i="19" s="1"/>
  <c r="BD139" i="19" s="1"/>
  <c r="AN128" i="19"/>
  <c r="AO128" i="19" s="1"/>
  <c r="AP128" i="19" s="1"/>
  <c r="AQ128" i="19" s="1"/>
  <c r="AR128" i="19" s="1"/>
  <c r="AS128" i="19" s="1"/>
  <c r="AT128" i="19" s="1"/>
  <c r="AU128" i="19" s="1"/>
  <c r="AV128" i="19" s="1"/>
  <c r="AW128" i="19" s="1"/>
  <c r="AX128" i="19" s="1"/>
  <c r="AY128" i="19" s="1"/>
  <c r="AZ128" i="19" s="1"/>
  <c r="BA128" i="19" s="1"/>
  <c r="BB128" i="19" s="1"/>
  <c r="BC128" i="19" s="1"/>
  <c r="BD128" i="19" s="1"/>
  <c r="AN143" i="19"/>
  <c r="AO143" i="19" s="1"/>
  <c r="AP143" i="19" s="1"/>
  <c r="AQ143" i="19" s="1"/>
  <c r="AR143" i="19" s="1"/>
  <c r="AS143" i="19" s="1"/>
  <c r="AT143" i="19" s="1"/>
  <c r="AU143" i="19" s="1"/>
  <c r="AV143" i="19" s="1"/>
  <c r="AW143" i="19" s="1"/>
  <c r="AX143" i="19" s="1"/>
  <c r="AY143" i="19" s="1"/>
  <c r="AZ143" i="19" s="1"/>
  <c r="BA143" i="19" s="1"/>
  <c r="BB143" i="19" s="1"/>
  <c r="BC143" i="19" s="1"/>
  <c r="BD143" i="19" s="1"/>
  <c r="AN137" i="19"/>
  <c r="AO137" i="19" s="1"/>
  <c r="AP137" i="19" s="1"/>
  <c r="AQ137" i="19" s="1"/>
  <c r="AR137" i="19" s="1"/>
  <c r="AS137" i="19" s="1"/>
  <c r="AT137" i="19" s="1"/>
  <c r="AU137" i="19" s="1"/>
  <c r="AV137" i="19" s="1"/>
  <c r="AW137" i="19" s="1"/>
  <c r="AX137" i="19" s="1"/>
  <c r="AY137" i="19" s="1"/>
  <c r="AZ137" i="19" s="1"/>
  <c r="BA137" i="19" s="1"/>
  <c r="BB137" i="19" s="1"/>
  <c r="BC137" i="19" s="1"/>
  <c r="BD137" i="19" s="1"/>
  <c r="AN130" i="19"/>
  <c r="AO130" i="19" s="1"/>
  <c r="AP130" i="19" s="1"/>
  <c r="AQ130" i="19" s="1"/>
  <c r="AR130" i="19" s="1"/>
  <c r="AS130" i="19" s="1"/>
  <c r="AT130" i="19" s="1"/>
  <c r="AU130" i="19" s="1"/>
  <c r="AV130" i="19" s="1"/>
  <c r="AW130" i="19" s="1"/>
  <c r="AX130" i="19" s="1"/>
  <c r="AY130" i="19" s="1"/>
  <c r="AZ130" i="19" s="1"/>
  <c r="BA130" i="19" s="1"/>
  <c r="BB130" i="19" s="1"/>
  <c r="BC130" i="19" s="1"/>
  <c r="BD130" i="19" s="1"/>
  <c r="AN129" i="19"/>
  <c r="AO129" i="19" s="1"/>
  <c r="AP129" i="19" s="1"/>
  <c r="AQ129" i="19" s="1"/>
  <c r="AR129" i="19" s="1"/>
  <c r="AS129" i="19" s="1"/>
  <c r="AT129" i="19" s="1"/>
  <c r="AU129" i="19" s="1"/>
  <c r="AV129" i="19" s="1"/>
  <c r="AW129" i="19" s="1"/>
  <c r="AX129" i="19" s="1"/>
  <c r="AY129" i="19" s="1"/>
  <c r="AZ129" i="19" s="1"/>
  <c r="BA129" i="19" s="1"/>
  <c r="BB129" i="19" s="1"/>
  <c r="BC129" i="19" s="1"/>
  <c r="BD129" i="19" s="1"/>
  <c r="AN150" i="19"/>
  <c r="AO150" i="19" s="1"/>
  <c r="AP150" i="19" s="1"/>
  <c r="AQ150" i="19" s="1"/>
  <c r="AR150" i="19" s="1"/>
  <c r="AS150" i="19" s="1"/>
  <c r="AT150" i="19" s="1"/>
  <c r="AU150" i="19" s="1"/>
  <c r="AV150" i="19" s="1"/>
  <c r="AW150" i="19" s="1"/>
  <c r="AX150" i="19" s="1"/>
  <c r="AY150" i="19" s="1"/>
  <c r="AZ150" i="19" s="1"/>
  <c r="BA150" i="19" s="1"/>
  <c r="BB150" i="19" s="1"/>
  <c r="BC150" i="19" s="1"/>
  <c r="BD150" i="19" s="1"/>
  <c r="AN164" i="19"/>
  <c r="AO164" i="19" s="1"/>
  <c r="AP164" i="19" s="1"/>
  <c r="AQ164" i="19" s="1"/>
  <c r="AR164" i="19" s="1"/>
  <c r="AS164" i="19" s="1"/>
  <c r="AT164" i="19" s="1"/>
  <c r="AU164" i="19" s="1"/>
  <c r="AV164" i="19" s="1"/>
  <c r="AW164" i="19" s="1"/>
  <c r="AX164" i="19" s="1"/>
  <c r="AY164" i="19" s="1"/>
  <c r="AZ164" i="19" s="1"/>
  <c r="BA164" i="19" s="1"/>
  <c r="BB164" i="19" s="1"/>
  <c r="BC164" i="19" s="1"/>
  <c r="BD164" i="19" s="1"/>
  <c r="AN154" i="19"/>
  <c r="AO154" i="19" s="1"/>
  <c r="AP154" i="19" s="1"/>
  <c r="AQ154" i="19" s="1"/>
  <c r="AR154" i="19" s="1"/>
  <c r="AS154" i="19" s="1"/>
  <c r="AT154" i="19" s="1"/>
  <c r="AU154" i="19" s="1"/>
  <c r="AV154" i="19" s="1"/>
  <c r="AW154" i="19" s="1"/>
  <c r="AX154" i="19" s="1"/>
  <c r="AY154" i="19" s="1"/>
  <c r="AZ154" i="19" s="1"/>
  <c r="BA154" i="19" s="1"/>
  <c r="BB154" i="19" s="1"/>
  <c r="BC154" i="19" s="1"/>
  <c r="BD154" i="19" s="1"/>
  <c r="AN138" i="19"/>
  <c r="AO138" i="19" s="1"/>
  <c r="AP138" i="19" s="1"/>
  <c r="AQ138" i="19" s="1"/>
  <c r="AR138" i="19" s="1"/>
  <c r="AS138" i="19" s="1"/>
  <c r="AT138" i="19" s="1"/>
  <c r="AU138" i="19" s="1"/>
  <c r="AV138" i="19" s="1"/>
  <c r="AW138" i="19" s="1"/>
  <c r="AX138" i="19" s="1"/>
  <c r="AY138" i="19" s="1"/>
  <c r="AZ138" i="19" s="1"/>
  <c r="BA138" i="19" s="1"/>
  <c r="BB138" i="19" s="1"/>
  <c r="BC138" i="19" s="1"/>
  <c r="BD138" i="19" s="1"/>
  <c r="AN157" i="19"/>
  <c r="AO157" i="19" s="1"/>
  <c r="AP157" i="19" s="1"/>
  <c r="AQ157" i="19" s="1"/>
  <c r="AR157" i="19" s="1"/>
  <c r="AS157" i="19" s="1"/>
  <c r="AT157" i="19" s="1"/>
  <c r="AU157" i="19" s="1"/>
  <c r="AV157" i="19" s="1"/>
  <c r="AW157" i="19" s="1"/>
  <c r="AX157" i="19" s="1"/>
  <c r="AY157" i="19" s="1"/>
  <c r="AZ157" i="19" s="1"/>
  <c r="BA157" i="19" s="1"/>
  <c r="BB157" i="19" s="1"/>
  <c r="BC157" i="19" s="1"/>
  <c r="BD157" i="19" s="1"/>
  <c r="AN144" i="19"/>
  <c r="AO144" i="19" s="1"/>
  <c r="AP144" i="19" s="1"/>
  <c r="AQ144" i="19" s="1"/>
  <c r="AR144" i="19" s="1"/>
  <c r="AS144" i="19" s="1"/>
  <c r="AT144" i="19" s="1"/>
  <c r="AU144" i="19" s="1"/>
  <c r="AV144" i="19" s="1"/>
  <c r="AW144" i="19" s="1"/>
  <c r="AX144" i="19" s="1"/>
  <c r="AY144" i="19" s="1"/>
  <c r="AZ144" i="19" s="1"/>
  <c r="BA144" i="19" s="1"/>
  <c r="BB144" i="19" s="1"/>
  <c r="BC144" i="19" s="1"/>
  <c r="BD144" i="19" s="1"/>
  <c r="AN149" i="19"/>
  <c r="AO149" i="19" s="1"/>
  <c r="AP149" i="19" s="1"/>
  <c r="AQ149" i="19" s="1"/>
  <c r="AR149" i="19" s="1"/>
  <c r="AS149" i="19" s="1"/>
  <c r="AT149" i="19" s="1"/>
  <c r="AU149" i="19" s="1"/>
  <c r="AV149" i="19" s="1"/>
  <c r="AW149" i="19" s="1"/>
  <c r="AX149" i="19" s="1"/>
  <c r="AY149" i="19" s="1"/>
  <c r="AZ149" i="19" s="1"/>
  <c r="BA149" i="19" s="1"/>
  <c r="BB149" i="19" s="1"/>
  <c r="BC149" i="19" s="1"/>
  <c r="BD149" i="19" s="1"/>
  <c r="AN159" i="19"/>
  <c r="AO159" i="19" s="1"/>
  <c r="AP159" i="19" s="1"/>
  <c r="AQ159" i="19" s="1"/>
  <c r="AR159" i="19" s="1"/>
  <c r="AS159" i="19" s="1"/>
  <c r="AT159" i="19" s="1"/>
  <c r="AU159" i="19" s="1"/>
  <c r="AV159" i="19" s="1"/>
  <c r="AW159" i="19" s="1"/>
  <c r="AX159" i="19" s="1"/>
  <c r="AY159" i="19" s="1"/>
  <c r="AZ159" i="19" s="1"/>
  <c r="BA159" i="19" s="1"/>
  <c r="BB159" i="19" s="1"/>
  <c r="BC159" i="19" s="1"/>
  <c r="BD159" i="19" s="1"/>
  <c r="AN131" i="19"/>
  <c r="AO131" i="19" s="1"/>
  <c r="AP131" i="19" s="1"/>
  <c r="AQ131" i="19" s="1"/>
  <c r="AR131" i="19" s="1"/>
  <c r="AS131" i="19" s="1"/>
  <c r="AT131" i="19" s="1"/>
  <c r="AU131" i="19" s="1"/>
  <c r="AV131" i="19" s="1"/>
  <c r="AW131" i="19" s="1"/>
  <c r="AX131" i="19" s="1"/>
  <c r="AY131" i="19" s="1"/>
  <c r="AZ131" i="19" s="1"/>
  <c r="BA131" i="19" s="1"/>
  <c r="BB131" i="19" s="1"/>
  <c r="BC131" i="19" s="1"/>
  <c r="BD131" i="19" s="1"/>
  <c r="AN136" i="19"/>
  <c r="AO136" i="19" s="1"/>
  <c r="AP136" i="19" s="1"/>
  <c r="AQ136" i="19" s="1"/>
  <c r="AR136" i="19" s="1"/>
  <c r="AS136" i="19" s="1"/>
  <c r="AT136" i="19" s="1"/>
  <c r="AU136" i="19" s="1"/>
  <c r="AV136" i="19" s="1"/>
  <c r="AW136" i="19" s="1"/>
  <c r="AX136" i="19" s="1"/>
  <c r="AY136" i="19" s="1"/>
  <c r="AZ136" i="19" s="1"/>
  <c r="BA136" i="19" s="1"/>
  <c r="BB136" i="19" s="1"/>
  <c r="BC136" i="19" s="1"/>
  <c r="BD136" i="19" s="1"/>
  <c r="AN145" i="19"/>
  <c r="AO145" i="19" s="1"/>
  <c r="AP145" i="19" s="1"/>
  <c r="AQ145" i="19" s="1"/>
  <c r="AR145" i="19" s="1"/>
  <c r="AS145" i="19" s="1"/>
  <c r="AT145" i="19" s="1"/>
  <c r="AU145" i="19" s="1"/>
  <c r="AV145" i="19" s="1"/>
  <c r="AW145" i="19" s="1"/>
  <c r="AX145" i="19" s="1"/>
  <c r="AY145" i="19" s="1"/>
  <c r="AZ145" i="19" s="1"/>
  <c r="BA145" i="19" s="1"/>
  <c r="BB145" i="19" s="1"/>
  <c r="BC145" i="19" s="1"/>
  <c r="BD145" i="19" s="1"/>
  <c r="AN160" i="19"/>
  <c r="AO160" i="19" s="1"/>
  <c r="AP160" i="19" s="1"/>
  <c r="AQ160" i="19" s="1"/>
  <c r="AR160" i="19" s="1"/>
  <c r="AS160" i="19" s="1"/>
  <c r="AT160" i="19" s="1"/>
  <c r="AU160" i="19" s="1"/>
  <c r="AV160" i="19" s="1"/>
  <c r="AW160" i="19" s="1"/>
  <c r="AX160" i="19" s="1"/>
  <c r="AY160" i="19" s="1"/>
  <c r="AZ160" i="19" s="1"/>
  <c r="BA160" i="19" s="1"/>
  <c r="BB160" i="19" s="1"/>
  <c r="BC160" i="19" s="1"/>
  <c r="BD160" i="19" s="1"/>
  <c r="AN134" i="19"/>
  <c r="AO134" i="19" s="1"/>
  <c r="AP134" i="19" s="1"/>
  <c r="AQ134" i="19" s="1"/>
  <c r="AR134" i="19" s="1"/>
  <c r="AS134" i="19" s="1"/>
  <c r="AT134" i="19" s="1"/>
  <c r="AU134" i="19" s="1"/>
  <c r="AV134" i="19" s="1"/>
  <c r="AW134" i="19" s="1"/>
  <c r="AX134" i="19" s="1"/>
  <c r="AY134" i="19" s="1"/>
  <c r="AZ134" i="19" s="1"/>
  <c r="BA134" i="19" s="1"/>
  <c r="BB134" i="19" s="1"/>
  <c r="BC134" i="19" s="1"/>
  <c r="BD134" i="19" s="1"/>
  <c r="AN155" i="19"/>
  <c r="AO155" i="19" s="1"/>
  <c r="AP155" i="19" s="1"/>
  <c r="AQ155" i="19" s="1"/>
  <c r="AR155" i="19" s="1"/>
  <c r="AS155" i="19" s="1"/>
  <c r="AT155" i="19" s="1"/>
  <c r="AU155" i="19" s="1"/>
  <c r="AV155" i="19" s="1"/>
  <c r="AW155" i="19" s="1"/>
  <c r="AX155" i="19" s="1"/>
  <c r="AY155" i="19" s="1"/>
  <c r="AZ155" i="19" s="1"/>
  <c r="BA155" i="19" s="1"/>
  <c r="BB155" i="19" s="1"/>
  <c r="BC155" i="19" s="1"/>
  <c r="BD155" i="19" s="1"/>
  <c r="AN132" i="19"/>
  <c r="AO132" i="19" s="1"/>
  <c r="AP132" i="19" s="1"/>
  <c r="AQ132" i="19" s="1"/>
  <c r="AR132" i="19" s="1"/>
  <c r="AS132" i="19" s="1"/>
  <c r="AT132" i="19" s="1"/>
  <c r="AU132" i="19" s="1"/>
  <c r="AV132" i="19" s="1"/>
  <c r="AW132" i="19" s="1"/>
  <c r="AX132" i="19" s="1"/>
  <c r="AY132" i="19" s="1"/>
  <c r="AZ132" i="19" s="1"/>
  <c r="BA132" i="19" s="1"/>
  <c r="BB132" i="19" s="1"/>
  <c r="BC132" i="19" s="1"/>
  <c r="BD132" i="19" s="1"/>
  <c r="AN126" i="19"/>
  <c r="AO126" i="19" s="1"/>
  <c r="AP126" i="19" s="1"/>
  <c r="AQ126" i="19" s="1"/>
  <c r="AR126" i="19" s="1"/>
  <c r="AS126" i="19" s="1"/>
  <c r="AT126" i="19" s="1"/>
  <c r="AU126" i="19" s="1"/>
  <c r="AV126" i="19" s="1"/>
  <c r="AW126" i="19" s="1"/>
  <c r="AX126" i="19" s="1"/>
  <c r="AY126" i="19" s="1"/>
  <c r="AZ126" i="19" s="1"/>
  <c r="BA126" i="19" s="1"/>
  <c r="BB126" i="19" s="1"/>
  <c r="BC126" i="19" s="1"/>
  <c r="BD126" i="19" s="1"/>
  <c r="AN165" i="19"/>
  <c r="AO165" i="19" s="1"/>
  <c r="AP165" i="19" s="1"/>
  <c r="AQ165" i="19" s="1"/>
  <c r="AR165" i="19" s="1"/>
  <c r="AS165" i="19" s="1"/>
  <c r="AT165" i="19" s="1"/>
  <c r="AU165" i="19" s="1"/>
  <c r="AV165" i="19" s="1"/>
  <c r="AW165" i="19" s="1"/>
  <c r="AX165" i="19" s="1"/>
  <c r="AY165" i="19" s="1"/>
  <c r="AZ165" i="19" s="1"/>
  <c r="BA165" i="19" s="1"/>
  <c r="BB165" i="19" s="1"/>
  <c r="BC165" i="19" s="1"/>
  <c r="BD165" i="19" s="1"/>
  <c r="AN161" i="19"/>
  <c r="AO161" i="19" s="1"/>
  <c r="AP161" i="19" s="1"/>
  <c r="AQ161" i="19" s="1"/>
  <c r="AR161" i="19" s="1"/>
  <c r="AS161" i="19" s="1"/>
  <c r="AT161" i="19" s="1"/>
  <c r="AU161" i="19" s="1"/>
  <c r="AV161" i="19" s="1"/>
  <c r="AW161" i="19" s="1"/>
  <c r="AX161" i="19" s="1"/>
  <c r="AY161" i="19" s="1"/>
  <c r="AZ161" i="19" s="1"/>
  <c r="BA161" i="19" s="1"/>
  <c r="BB161" i="19" s="1"/>
  <c r="BC161" i="19" s="1"/>
  <c r="BD161" i="19" s="1"/>
  <c r="AN162" i="19"/>
  <c r="AO162" i="19" s="1"/>
  <c r="AP162" i="19" s="1"/>
  <c r="AQ162" i="19" s="1"/>
  <c r="AR162" i="19" s="1"/>
  <c r="AS162" i="19" s="1"/>
  <c r="AT162" i="19" s="1"/>
  <c r="AU162" i="19" s="1"/>
  <c r="AV162" i="19" s="1"/>
  <c r="AW162" i="19" s="1"/>
  <c r="AX162" i="19" s="1"/>
  <c r="AY162" i="19" s="1"/>
  <c r="AZ162" i="19" s="1"/>
  <c r="BA162" i="19" s="1"/>
  <c r="BB162" i="19" s="1"/>
  <c r="BC162" i="19" s="1"/>
  <c r="BD162" i="19" s="1"/>
  <c r="AN142" i="19"/>
  <c r="AO142" i="19" s="1"/>
  <c r="AP142" i="19" s="1"/>
  <c r="AQ142" i="19" s="1"/>
  <c r="AR142" i="19" s="1"/>
  <c r="AS142" i="19" s="1"/>
  <c r="AT142" i="19" s="1"/>
  <c r="AU142" i="19" s="1"/>
  <c r="AV142" i="19" s="1"/>
  <c r="AW142" i="19" s="1"/>
  <c r="AX142" i="19" s="1"/>
  <c r="AY142" i="19" s="1"/>
  <c r="AZ142" i="19" s="1"/>
  <c r="BA142" i="19" s="1"/>
  <c r="BB142" i="19" s="1"/>
  <c r="BC142" i="19" s="1"/>
  <c r="BD142" i="19" s="1"/>
  <c r="AN127" i="19"/>
  <c r="AO127" i="19" s="1"/>
  <c r="AP127" i="19" s="1"/>
  <c r="AQ127" i="19" s="1"/>
  <c r="AR127" i="19" s="1"/>
  <c r="AS127" i="19" s="1"/>
  <c r="AT127" i="19" s="1"/>
  <c r="AU127" i="19" s="1"/>
  <c r="AV127" i="19" s="1"/>
  <c r="AW127" i="19" s="1"/>
  <c r="AX127" i="19" s="1"/>
  <c r="AY127" i="19" s="1"/>
  <c r="AZ127" i="19" s="1"/>
  <c r="BA127" i="19" s="1"/>
  <c r="BB127" i="19" s="1"/>
  <c r="BC127" i="19" s="1"/>
  <c r="BD127" i="19" s="1"/>
  <c r="AN158" i="19"/>
  <c r="AO158" i="19" s="1"/>
  <c r="AP158" i="19" s="1"/>
  <c r="AQ158" i="19" s="1"/>
  <c r="AR158" i="19" s="1"/>
  <c r="AS158" i="19" s="1"/>
  <c r="AT158" i="19" s="1"/>
  <c r="AU158" i="19" s="1"/>
  <c r="AV158" i="19" s="1"/>
  <c r="AW158" i="19" s="1"/>
  <c r="AX158" i="19" s="1"/>
  <c r="AY158" i="19" s="1"/>
  <c r="AZ158" i="19" s="1"/>
  <c r="BA158" i="19" s="1"/>
  <c r="BB158" i="19" s="1"/>
  <c r="BC158" i="19" s="1"/>
  <c r="BD158" i="19" s="1"/>
  <c r="AN153" i="19"/>
  <c r="AO153" i="19" s="1"/>
  <c r="AP153" i="19" s="1"/>
  <c r="AQ153" i="19" s="1"/>
  <c r="AR153" i="19" s="1"/>
  <c r="AS153" i="19" s="1"/>
  <c r="AT153" i="19" s="1"/>
  <c r="AU153" i="19" s="1"/>
  <c r="AV153" i="19" s="1"/>
  <c r="AW153" i="19" s="1"/>
  <c r="AX153" i="19" s="1"/>
  <c r="AY153" i="19" s="1"/>
  <c r="AZ153" i="19" s="1"/>
  <c r="BA153" i="19" s="1"/>
  <c r="BB153" i="19" s="1"/>
  <c r="BC153" i="19" s="1"/>
  <c r="BD153" i="19" s="1"/>
  <c r="AN141" i="19"/>
  <c r="AO141" i="19" s="1"/>
  <c r="AP141" i="19" s="1"/>
  <c r="AQ141" i="19" s="1"/>
  <c r="AR141" i="19" s="1"/>
  <c r="AS141" i="19" s="1"/>
  <c r="AT141" i="19" s="1"/>
  <c r="AU141" i="19" s="1"/>
  <c r="AV141" i="19" s="1"/>
  <c r="AW141" i="19" s="1"/>
  <c r="AX141" i="19" s="1"/>
  <c r="AY141" i="19" s="1"/>
  <c r="AZ141" i="19" s="1"/>
  <c r="BA141" i="19" s="1"/>
  <c r="BB141" i="19" s="1"/>
  <c r="BC141" i="19" s="1"/>
  <c r="BD141" i="19" s="1"/>
  <c r="AN147" i="19"/>
  <c r="AO147" i="19" s="1"/>
  <c r="AP147" i="19" s="1"/>
  <c r="AQ147" i="19" s="1"/>
  <c r="AR147" i="19" s="1"/>
  <c r="AS147" i="19" s="1"/>
  <c r="AT147" i="19" s="1"/>
  <c r="AU147" i="19" s="1"/>
  <c r="AV147" i="19" s="1"/>
  <c r="AW147" i="19" s="1"/>
  <c r="AX147" i="19" s="1"/>
  <c r="AY147" i="19" s="1"/>
  <c r="AZ147" i="19" s="1"/>
  <c r="BA147" i="19" s="1"/>
  <c r="BB147" i="19" s="1"/>
  <c r="BC147" i="19" s="1"/>
  <c r="BD147" i="19" s="1"/>
  <c r="AN148" i="19"/>
  <c r="AO148" i="19" s="1"/>
  <c r="AP148" i="19" s="1"/>
  <c r="AQ148" i="19" s="1"/>
  <c r="AR148" i="19" s="1"/>
  <c r="AS148" i="19" s="1"/>
  <c r="AT148" i="19" s="1"/>
  <c r="AU148" i="19" s="1"/>
  <c r="AV148" i="19" s="1"/>
  <c r="AW148" i="19" s="1"/>
  <c r="AX148" i="19" s="1"/>
  <c r="AY148" i="19" s="1"/>
  <c r="AZ148" i="19" s="1"/>
  <c r="BA148" i="19" s="1"/>
  <c r="BB148" i="19" s="1"/>
  <c r="BC148" i="19" s="1"/>
  <c r="BD148" i="19" s="1"/>
  <c r="AN152" i="19"/>
  <c r="AO152" i="19" s="1"/>
  <c r="AP152" i="19" s="1"/>
  <c r="AQ152" i="19" s="1"/>
  <c r="AR152" i="19" s="1"/>
  <c r="AS152" i="19" s="1"/>
  <c r="AT152" i="19" s="1"/>
  <c r="AU152" i="19" s="1"/>
  <c r="AV152" i="19" s="1"/>
  <c r="AW152" i="19" s="1"/>
  <c r="AX152" i="19" s="1"/>
  <c r="AY152" i="19" s="1"/>
  <c r="AZ152" i="19" s="1"/>
  <c r="BA152" i="19" s="1"/>
  <c r="BB152" i="19" s="1"/>
  <c r="BC152" i="19" s="1"/>
  <c r="BD152" i="19" s="1"/>
  <c r="AN146" i="19"/>
  <c r="AO146" i="19" s="1"/>
  <c r="AP146" i="19" s="1"/>
  <c r="AQ146" i="19" s="1"/>
  <c r="AR146" i="19" s="1"/>
  <c r="AS146" i="19" s="1"/>
  <c r="AT146" i="19" s="1"/>
  <c r="AU146" i="19" s="1"/>
  <c r="AV146" i="19" s="1"/>
  <c r="AW146" i="19" s="1"/>
  <c r="AX146" i="19" s="1"/>
  <c r="AY146" i="19" s="1"/>
  <c r="AZ146" i="19" s="1"/>
  <c r="BA146" i="19" s="1"/>
  <c r="BB146" i="19" s="1"/>
  <c r="BC146" i="19" s="1"/>
  <c r="BD146" i="19" s="1"/>
  <c r="AN166" i="19"/>
  <c r="AO166" i="19" s="1"/>
  <c r="AP166" i="19" s="1"/>
  <c r="AQ166" i="19" s="1"/>
  <c r="AR166" i="19" s="1"/>
  <c r="AS166" i="19" s="1"/>
  <c r="AT166" i="19" s="1"/>
  <c r="AU166" i="19" s="1"/>
  <c r="AV166" i="19" s="1"/>
  <c r="AW166" i="19" s="1"/>
  <c r="AX166" i="19" s="1"/>
  <c r="AY166" i="19" s="1"/>
  <c r="AZ166" i="19" s="1"/>
  <c r="BA166" i="19" s="1"/>
  <c r="BB166" i="19" s="1"/>
  <c r="BC166" i="19" s="1"/>
  <c r="BD166" i="19" s="1"/>
  <c r="AN156" i="19"/>
  <c r="AO156" i="19" s="1"/>
  <c r="AP156" i="19" s="1"/>
  <c r="AQ156" i="19" s="1"/>
  <c r="AR156" i="19" s="1"/>
  <c r="AS156" i="19" s="1"/>
  <c r="AT156" i="19" s="1"/>
  <c r="AU156" i="19" s="1"/>
  <c r="AV156" i="19" s="1"/>
  <c r="AW156" i="19" s="1"/>
  <c r="AX156" i="19" s="1"/>
  <c r="AY156" i="19" s="1"/>
  <c r="AZ156" i="19" s="1"/>
  <c r="BA156" i="19" s="1"/>
  <c r="BB156" i="19" s="1"/>
  <c r="BC156" i="19" s="1"/>
  <c r="BD156" i="19" s="1"/>
  <c r="AN133" i="19"/>
  <c r="AO133" i="19" s="1"/>
  <c r="AP133" i="19" s="1"/>
  <c r="AQ133" i="19" s="1"/>
  <c r="AR133" i="19" s="1"/>
  <c r="AS133" i="19" s="1"/>
  <c r="AT133" i="19" s="1"/>
  <c r="AU133" i="19" s="1"/>
  <c r="AV133" i="19" s="1"/>
  <c r="AW133" i="19" s="1"/>
  <c r="AX133" i="19" s="1"/>
  <c r="AY133" i="19" s="1"/>
  <c r="AZ133" i="19" s="1"/>
  <c r="BA133" i="19" s="1"/>
  <c r="BB133" i="19" s="1"/>
  <c r="BC133" i="19" s="1"/>
  <c r="BD133" i="19" s="1"/>
  <c r="K12" i="43"/>
  <c r="K67" i="40"/>
  <c r="H37" i="40"/>
  <c r="H14" i="36"/>
  <c r="I14" i="43"/>
  <c r="I69" i="40"/>
  <c r="J69" i="40"/>
  <c r="J14" i="43"/>
  <c r="M151" i="39"/>
  <c r="Q151" i="39"/>
  <c r="K151" i="39"/>
  <c r="S151" i="39"/>
  <c r="P151" i="39"/>
  <c r="J151" i="39"/>
  <c r="J197" i="39" s="1"/>
  <c r="N151" i="39"/>
  <c r="R151" i="39"/>
  <c r="O151" i="39"/>
  <c r="L151" i="39"/>
  <c r="L125" i="30"/>
  <c r="H13" i="36"/>
  <c r="H17" i="39"/>
  <c r="H18" i="39" s="1"/>
  <c r="H24" i="39" s="1"/>
  <c r="J13" i="43"/>
  <c r="J113" i="39"/>
  <c r="J114" i="39" s="1"/>
  <c r="J120" i="39" s="1"/>
  <c r="H155" i="36"/>
  <c r="H203" i="36" s="1"/>
  <c r="H153" i="36"/>
  <c r="H201" i="36" s="1"/>
  <c r="H157" i="36"/>
  <c r="H205" i="36" s="1"/>
  <c r="H158" i="36"/>
  <c r="H206" i="36" s="1"/>
  <c r="H154" i="36"/>
  <c r="H202" i="36" s="1"/>
  <c r="H164" i="36"/>
  <c r="H212" i="36" s="1"/>
  <c r="H160" i="36"/>
  <c r="H208" i="36" s="1"/>
  <c r="H156" i="36"/>
  <c r="H204" i="36" s="1"/>
  <c r="H167" i="36"/>
  <c r="H215" i="36" s="1"/>
  <c r="H151" i="36"/>
  <c r="H159" i="36"/>
  <c r="H207" i="36" s="1"/>
  <c r="H165" i="36"/>
  <c r="H213" i="36" s="1"/>
  <c r="H168" i="36"/>
  <c r="H216" i="36" s="1"/>
  <c r="H161" i="36"/>
  <c r="H209" i="36" s="1"/>
  <c r="G15" i="36"/>
  <c r="H163" i="36"/>
  <c r="H211" i="36" s="1"/>
  <c r="H152" i="36"/>
  <c r="H200" i="36" s="1"/>
  <c r="H166" i="36"/>
  <c r="H214" i="36" s="1"/>
  <c r="H162" i="36"/>
  <c r="H210" i="36" s="1"/>
  <c r="L12" i="37"/>
  <c r="L66" i="40"/>
  <c r="I169" i="43"/>
  <c r="I199" i="43"/>
  <c r="I34" i="40"/>
  <c r="I14" i="37"/>
  <c r="V114" i="30"/>
  <c r="W111" i="30" s="1"/>
  <c r="F12" i="44"/>
  <c r="F13" i="37"/>
  <c r="F15" i="37" s="1"/>
  <c r="E102" i="40"/>
  <c r="E13" i="44" s="1"/>
  <c r="W90" i="30"/>
  <c r="W92" i="30" s="1"/>
  <c r="W94" i="30" s="1"/>
  <c r="D14" i="44"/>
  <c r="E153" i="44" s="1"/>
  <c r="E201" i="44" s="1"/>
  <c r="E225" i="44" s="1"/>
  <c r="G88" i="40"/>
  <c r="G89" i="40" s="1"/>
  <c r="E177" i="44"/>
  <c r="F103" i="40"/>
  <c r="F13" i="44"/>
  <c r="T68" i="30"/>
  <c r="T70" i="30" s="1"/>
  <c r="T69" i="30"/>
  <c r="T74" i="30"/>
  <c r="AN55" i="30"/>
  <c r="I35" i="40" l="1"/>
  <c r="I36" i="40" s="1"/>
  <c r="I12" i="36"/>
  <c r="J224" i="36" s="1"/>
  <c r="J225" i="36" s="1"/>
  <c r="M152" i="39"/>
  <c r="Q152" i="39"/>
  <c r="O152" i="39"/>
  <c r="P152" i="39"/>
  <c r="N152" i="39"/>
  <c r="R152" i="39"/>
  <c r="K152" i="39"/>
  <c r="K197" i="39" s="1"/>
  <c r="S152" i="39"/>
  <c r="L152" i="39"/>
  <c r="T152" i="39"/>
  <c r="K154" i="43"/>
  <c r="K202" i="43" s="1"/>
  <c r="K160" i="43"/>
  <c r="K208" i="43" s="1"/>
  <c r="K158" i="43"/>
  <c r="K206" i="43" s="1"/>
  <c r="K163" i="43"/>
  <c r="K211" i="43" s="1"/>
  <c r="K161" i="43"/>
  <c r="K209" i="43" s="1"/>
  <c r="K156" i="43"/>
  <c r="K204" i="43" s="1"/>
  <c r="J15" i="43"/>
  <c r="K152" i="43"/>
  <c r="K200" i="43" s="1"/>
  <c r="K164" i="43"/>
  <c r="K212" i="43" s="1"/>
  <c r="K166" i="43"/>
  <c r="K214" i="43" s="1"/>
  <c r="K151" i="43"/>
  <c r="K168" i="43"/>
  <c r="K216" i="43" s="1"/>
  <c r="K159" i="43"/>
  <c r="K207" i="43" s="1"/>
  <c r="K165" i="43"/>
  <c r="K213" i="43" s="1"/>
  <c r="K167" i="43"/>
  <c r="K215" i="43" s="1"/>
  <c r="K153" i="43"/>
  <c r="K201" i="43" s="1"/>
  <c r="K157" i="43"/>
  <c r="K205" i="43" s="1"/>
  <c r="K162" i="43"/>
  <c r="K210" i="43" s="1"/>
  <c r="K155" i="43"/>
  <c r="K203" i="43" s="1"/>
  <c r="I155" i="36"/>
  <c r="I203" i="36" s="1"/>
  <c r="I161" i="36"/>
  <c r="I209" i="36" s="1"/>
  <c r="I159" i="36"/>
  <c r="I207" i="36" s="1"/>
  <c r="I152" i="36"/>
  <c r="I200" i="36" s="1"/>
  <c r="I156" i="36"/>
  <c r="I204" i="36" s="1"/>
  <c r="I168" i="36"/>
  <c r="I216" i="36" s="1"/>
  <c r="I166" i="36"/>
  <c r="I214" i="36" s="1"/>
  <c r="I154" i="36"/>
  <c r="I202" i="36" s="1"/>
  <c r="I162" i="36"/>
  <c r="I210" i="36" s="1"/>
  <c r="I167" i="36"/>
  <c r="I215" i="36" s="1"/>
  <c r="I165" i="36"/>
  <c r="I213" i="36" s="1"/>
  <c r="I151" i="36"/>
  <c r="I157" i="36"/>
  <c r="I205" i="36" s="1"/>
  <c r="I163" i="36"/>
  <c r="I211" i="36" s="1"/>
  <c r="H15" i="36"/>
  <c r="I164" i="36"/>
  <c r="I212" i="36" s="1"/>
  <c r="I158" i="36"/>
  <c r="I206" i="36" s="1"/>
  <c r="I153" i="36"/>
  <c r="I201" i="36" s="1"/>
  <c r="I160" i="36"/>
  <c r="I208" i="36" s="1"/>
  <c r="H169" i="36"/>
  <c r="H199" i="36"/>
  <c r="J54" i="39"/>
  <c r="N54" i="39"/>
  <c r="R54" i="39"/>
  <c r="M54" i="39"/>
  <c r="K54" i="39"/>
  <c r="O54" i="39"/>
  <c r="L54" i="39"/>
  <c r="P54" i="39"/>
  <c r="I54" i="39"/>
  <c r="Q54" i="39"/>
  <c r="K68" i="40"/>
  <c r="K13" i="43"/>
  <c r="K113" i="39"/>
  <c r="K114" i="39" s="1"/>
  <c r="K120" i="39" s="1"/>
  <c r="J82" i="30"/>
  <c r="J22" i="40" s="1"/>
  <c r="J23" i="40" s="1"/>
  <c r="L12" i="43"/>
  <c r="L67" i="40"/>
  <c r="J162" i="43"/>
  <c r="J210" i="43" s="1"/>
  <c r="J158" i="43"/>
  <c r="J206" i="43" s="1"/>
  <c r="J155" i="43"/>
  <c r="J203" i="43" s="1"/>
  <c r="J153" i="43"/>
  <c r="J201" i="43" s="1"/>
  <c r="I15" i="43"/>
  <c r="J164" i="43"/>
  <c r="J212" i="43" s="1"/>
  <c r="J157" i="43"/>
  <c r="J205" i="43" s="1"/>
  <c r="J165" i="43"/>
  <c r="J213" i="43" s="1"/>
  <c r="J167" i="43"/>
  <c r="J215" i="43" s="1"/>
  <c r="J159" i="43"/>
  <c r="J207" i="43" s="1"/>
  <c r="J161" i="43"/>
  <c r="J209" i="43" s="1"/>
  <c r="J163" i="43"/>
  <c r="J211" i="43" s="1"/>
  <c r="J166" i="43"/>
  <c r="J214" i="43" s="1"/>
  <c r="J154" i="43"/>
  <c r="J202" i="43" s="1"/>
  <c r="J168" i="43"/>
  <c r="J216" i="43" s="1"/>
  <c r="J151" i="43"/>
  <c r="J152" i="43"/>
  <c r="J200" i="43" s="1"/>
  <c r="J156" i="43"/>
  <c r="J204" i="43" s="1"/>
  <c r="J160" i="43"/>
  <c r="J208" i="43" s="1"/>
  <c r="W93" i="30"/>
  <c r="X90" i="30" s="1"/>
  <c r="E103" i="40"/>
  <c r="E104" i="40" s="1"/>
  <c r="W96" i="30"/>
  <c r="D242" i="43"/>
  <c r="C22" i="37" s="1"/>
  <c r="D242" i="44"/>
  <c r="C23" i="63" s="1"/>
  <c r="E157" i="44"/>
  <c r="E205" i="44" s="1"/>
  <c r="E229" i="44" s="1"/>
  <c r="E162" i="44"/>
  <c r="E210" i="44" s="1"/>
  <c r="E234" i="44" s="1"/>
  <c r="E168" i="44"/>
  <c r="E216" i="44" s="1"/>
  <c r="E240" i="44" s="1"/>
  <c r="E156" i="44"/>
  <c r="E204" i="44" s="1"/>
  <c r="E228" i="44" s="1"/>
  <c r="E161" i="44"/>
  <c r="E209" i="44" s="1"/>
  <c r="E233" i="44" s="1"/>
  <c r="E151" i="44"/>
  <c r="E199" i="44" s="1"/>
  <c r="E223" i="44" s="1"/>
  <c r="E152" i="44"/>
  <c r="E200" i="44" s="1"/>
  <c r="E224" i="44" s="1"/>
  <c r="E159" i="44"/>
  <c r="E207" i="44" s="1"/>
  <c r="E231" i="44" s="1"/>
  <c r="E160" i="44"/>
  <c r="E208" i="44" s="1"/>
  <c r="E232" i="44" s="1"/>
  <c r="E163" i="44"/>
  <c r="E211" i="44" s="1"/>
  <c r="E235" i="44" s="1"/>
  <c r="E158" i="44"/>
  <c r="E206" i="44" s="1"/>
  <c r="E230" i="44" s="1"/>
  <c r="E166" i="44"/>
  <c r="E214" i="44" s="1"/>
  <c r="E238" i="44" s="1"/>
  <c r="D15" i="44"/>
  <c r="E155" i="44"/>
  <c r="E203" i="44" s="1"/>
  <c r="E227" i="44" s="1"/>
  <c r="E167" i="44"/>
  <c r="E215" i="44" s="1"/>
  <c r="E239" i="44" s="1"/>
  <c r="E165" i="44"/>
  <c r="E213" i="44" s="1"/>
  <c r="E237" i="44" s="1"/>
  <c r="E154" i="44"/>
  <c r="E202" i="44" s="1"/>
  <c r="E226" i="44" s="1"/>
  <c r="E164" i="44"/>
  <c r="E212" i="44" s="1"/>
  <c r="E236" i="44" s="1"/>
  <c r="W113" i="30"/>
  <c r="W115" i="30" s="1"/>
  <c r="W114" i="30"/>
  <c r="W117" i="30"/>
  <c r="F143" i="44"/>
  <c r="F191" i="44" s="1"/>
  <c r="F142" i="44"/>
  <c r="F190" i="44" s="1"/>
  <c r="F146" i="44"/>
  <c r="F194" i="44" s="1"/>
  <c r="F137" i="44"/>
  <c r="F185" i="44" s="1"/>
  <c r="F135" i="44"/>
  <c r="F183" i="44" s="1"/>
  <c r="F130" i="44"/>
  <c r="F178" i="44" s="1"/>
  <c r="F144" i="44"/>
  <c r="F192" i="44" s="1"/>
  <c r="F133" i="44"/>
  <c r="F181" i="44" s="1"/>
  <c r="F141" i="44"/>
  <c r="F189" i="44" s="1"/>
  <c r="F145" i="44"/>
  <c r="F193" i="44" s="1"/>
  <c r="F139" i="44"/>
  <c r="F187" i="44" s="1"/>
  <c r="F140" i="44"/>
  <c r="F188" i="44" s="1"/>
  <c r="F136" i="44"/>
  <c r="F184" i="44" s="1"/>
  <c r="F134" i="44"/>
  <c r="F182" i="44" s="1"/>
  <c r="F138" i="44"/>
  <c r="F186" i="44" s="1"/>
  <c r="F129" i="44"/>
  <c r="F131" i="44"/>
  <c r="F179" i="44" s="1"/>
  <c r="F132" i="44"/>
  <c r="F180" i="44" s="1"/>
  <c r="G101" i="40"/>
  <c r="G13" i="37"/>
  <c r="G15" i="37" s="1"/>
  <c r="F14" i="44"/>
  <c r="F104" i="40"/>
  <c r="G142" i="44"/>
  <c r="G190" i="44" s="1"/>
  <c r="G145" i="44"/>
  <c r="G193" i="44" s="1"/>
  <c r="G133" i="44"/>
  <c r="G181" i="44" s="1"/>
  <c r="G129" i="44"/>
  <c r="G143" i="44"/>
  <c r="G191" i="44" s="1"/>
  <c r="G139" i="44"/>
  <c r="G187" i="44" s="1"/>
  <c r="G144" i="44"/>
  <c r="G192" i="44" s="1"/>
  <c r="G132" i="44"/>
  <c r="G180" i="44" s="1"/>
  <c r="G137" i="44"/>
  <c r="G185" i="44" s="1"/>
  <c r="G140" i="44"/>
  <c r="G188" i="44" s="1"/>
  <c r="G141" i="44"/>
  <c r="G189" i="44" s="1"/>
  <c r="G134" i="44"/>
  <c r="G182" i="44" s="1"/>
  <c r="G130" i="44"/>
  <c r="G178" i="44" s="1"/>
  <c r="G136" i="44"/>
  <c r="G184" i="44" s="1"/>
  <c r="G146" i="44"/>
  <c r="G194" i="44" s="1"/>
  <c r="G138" i="44"/>
  <c r="G186" i="44" s="1"/>
  <c r="G135" i="44"/>
  <c r="G183" i="44" s="1"/>
  <c r="G131" i="44"/>
  <c r="G179" i="44" s="1"/>
  <c r="U66" i="30"/>
  <c r="AO55" i="30"/>
  <c r="I14" i="36" l="1"/>
  <c r="I37" i="40"/>
  <c r="M125" i="30"/>
  <c r="I199" i="36"/>
  <c r="I169" i="36"/>
  <c r="K199" i="43"/>
  <c r="K169" i="43"/>
  <c r="M103" i="30"/>
  <c r="M54" i="40" s="1"/>
  <c r="M55" i="40" s="1"/>
  <c r="J199" i="43"/>
  <c r="J169" i="43"/>
  <c r="L68" i="40"/>
  <c r="L13" i="43"/>
  <c r="L113" i="39"/>
  <c r="L114" i="39" s="1"/>
  <c r="L120" i="39" s="1"/>
  <c r="O153" i="39"/>
  <c r="S153" i="39"/>
  <c r="M153" i="39"/>
  <c r="U153" i="39"/>
  <c r="L153" i="39"/>
  <c r="L197" i="39" s="1"/>
  <c r="P153" i="39"/>
  <c r="T153" i="39"/>
  <c r="Q153" i="39"/>
  <c r="N153" i="39"/>
  <c r="R153" i="39"/>
  <c r="J34" i="40"/>
  <c r="J14" i="37"/>
  <c r="K69" i="40"/>
  <c r="K14" i="43"/>
  <c r="I17" i="39"/>
  <c r="I18" i="39" s="1"/>
  <c r="I24" i="39" s="1"/>
  <c r="I13" i="36"/>
  <c r="E14" i="44"/>
  <c r="F160" i="44" s="1"/>
  <c r="F208" i="44" s="1"/>
  <c r="F232" i="44" s="1"/>
  <c r="C23" i="54"/>
  <c r="C23" i="37"/>
  <c r="D247" i="44"/>
  <c r="D249" i="44" s="1"/>
  <c r="D247" i="43"/>
  <c r="D249" i="43" s="1"/>
  <c r="X93" i="30"/>
  <c r="X96" i="30"/>
  <c r="N103" i="30" s="1"/>
  <c r="N54" i="40" s="1"/>
  <c r="X92" i="30"/>
  <c r="X94" i="30" s="1"/>
  <c r="E242" i="44"/>
  <c r="D23" i="63" s="1"/>
  <c r="E169" i="44"/>
  <c r="X111" i="30"/>
  <c r="X114" i="30" s="1"/>
  <c r="F177" i="44"/>
  <c r="H88" i="40"/>
  <c r="H89" i="40" s="1"/>
  <c r="G12" i="44"/>
  <c r="G102" i="40"/>
  <c r="G177" i="44"/>
  <c r="G168" i="44"/>
  <c r="G216" i="44" s="1"/>
  <c r="G240" i="44" s="1"/>
  <c r="G160" i="44"/>
  <c r="G208" i="44" s="1"/>
  <c r="G232" i="44" s="1"/>
  <c r="G151" i="44"/>
  <c r="G154" i="44"/>
  <c r="G202" i="44" s="1"/>
  <c r="G226" i="44" s="1"/>
  <c r="G165" i="44"/>
  <c r="G213" i="44" s="1"/>
  <c r="G237" i="44" s="1"/>
  <c r="G164" i="44"/>
  <c r="G212" i="44" s="1"/>
  <c r="G236" i="44" s="1"/>
  <c r="G166" i="44"/>
  <c r="G214" i="44" s="1"/>
  <c r="G238" i="44" s="1"/>
  <c r="G156" i="44"/>
  <c r="G204" i="44" s="1"/>
  <c r="G228" i="44" s="1"/>
  <c r="G152" i="44"/>
  <c r="G200" i="44" s="1"/>
  <c r="G224" i="44" s="1"/>
  <c r="G161" i="44"/>
  <c r="G209" i="44" s="1"/>
  <c r="G233" i="44" s="1"/>
  <c r="G162" i="44"/>
  <c r="G210" i="44" s="1"/>
  <c r="G234" i="44" s="1"/>
  <c r="G167" i="44"/>
  <c r="G215" i="44" s="1"/>
  <c r="G239" i="44" s="1"/>
  <c r="G157" i="44"/>
  <c r="G205" i="44" s="1"/>
  <c r="G229" i="44" s="1"/>
  <c r="G159" i="44"/>
  <c r="G207" i="44" s="1"/>
  <c r="G231" i="44" s="1"/>
  <c r="F15" i="44"/>
  <c r="G163" i="44"/>
  <c r="G211" i="44" s="1"/>
  <c r="G235" i="44" s="1"/>
  <c r="G153" i="44"/>
  <c r="G201" i="44" s="1"/>
  <c r="G225" i="44" s="1"/>
  <c r="G155" i="44"/>
  <c r="G203" i="44" s="1"/>
  <c r="G227" i="44" s="1"/>
  <c r="G158" i="44"/>
  <c r="G206" i="44" s="1"/>
  <c r="G230" i="44" s="1"/>
  <c r="U74" i="30"/>
  <c r="U69" i="30"/>
  <c r="U68" i="30"/>
  <c r="AP55" i="30"/>
  <c r="N55" i="40" l="1"/>
  <c r="N66" i="40" s="1"/>
  <c r="P154" i="39"/>
  <c r="T154" i="39"/>
  <c r="N154" i="39"/>
  <c r="M154" i="39"/>
  <c r="M197" i="39" s="1"/>
  <c r="Q154" i="39"/>
  <c r="U154" i="39"/>
  <c r="R154" i="39"/>
  <c r="V154" i="39"/>
  <c r="O154" i="39"/>
  <c r="S154" i="39"/>
  <c r="M55" i="39"/>
  <c r="Q55" i="39"/>
  <c r="O55" i="39"/>
  <c r="L55" i="39"/>
  <c r="J55" i="39"/>
  <c r="N55" i="39"/>
  <c r="R55" i="39"/>
  <c r="K55" i="39"/>
  <c r="S55" i="39"/>
  <c r="P55" i="39"/>
  <c r="J12" i="36"/>
  <c r="K224" i="36" s="1"/>
  <c r="K225" i="36" s="1"/>
  <c r="J35" i="40"/>
  <c r="M12" i="37"/>
  <c r="M66" i="40"/>
  <c r="K82" i="30"/>
  <c r="K22" i="40" s="1"/>
  <c r="K23" i="40" s="1"/>
  <c r="L159" i="43"/>
  <c r="L207" i="43" s="1"/>
  <c r="L161" i="43"/>
  <c r="L209" i="43" s="1"/>
  <c r="L164" i="43"/>
  <c r="L212" i="43" s="1"/>
  <c r="L160" i="43"/>
  <c r="L208" i="43" s="1"/>
  <c r="L163" i="43"/>
  <c r="L211" i="43" s="1"/>
  <c r="L165" i="43"/>
  <c r="L213" i="43" s="1"/>
  <c r="L155" i="43"/>
  <c r="L203" i="43" s="1"/>
  <c r="L166" i="43"/>
  <c r="L214" i="43" s="1"/>
  <c r="L168" i="43"/>
  <c r="L216" i="43" s="1"/>
  <c r="L154" i="43"/>
  <c r="L202" i="43" s="1"/>
  <c r="L167" i="43"/>
  <c r="L215" i="43" s="1"/>
  <c r="L158" i="43"/>
  <c r="L206" i="43" s="1"/>
  <c r="L153" i="43"/>
  <c r="L201" i="43" s="1"/>
  <c r="L157" i="43"/>
  <c r="L205" i="43" s="1"/>
  <c r="L156" i="43"/>
  <c r="L204" i="43" s="1"/>
  <c r="L152" i="43"/>
  <c r="L200" i="43" s="1"/>
  <c r="L151" i="43"/>
  <c r="L162" i="43"/>
  <c r="L210" i="43" s="1"/>
  <c r="K15" i="43"/>
  <c r="L14" i="43"/>
  <c r="L69" i="40"/>
  <c r="J156" i="36"/>
  <c r="J204" i="36" s="1"/>
  <c r="J151" i="36"/>
  <c r="J166" i="36"/>
  <c r="J214" i="36" s="1"/>
  <c r="J161" i="36"/>
  <c r="J209" i="36" s="1"/>
  <c r="J157" i="36"/>
  <c r="J205" i="36" s="1"/>
  <c r="J168" i="36"/>
  <c r="J216" i="36" s="1"/>
  <c r="J167" i="36"/>
  <c r="J215" i="36" s="1"/>
  <c r="J164" i="36"/>
  <c r="J212" i="36" s="1"/>
  <c r="J163" i="36"/>
  <c r="J211" i="36" s="1"/>
  <c r="J160" i="36"/>
  <c r="J208" i="36" s="1"/>
  <c r="I15" i="36"/>
  <c r="J158" i="36"/>
  <c r="J206" i="36" s="1"/>
  <c r="J152" i="36"/>
  <c r="J200" i="36" s="1"/>
  <c r="J155" i="36"/>
  <c r="J203" i="36" s="1"/>
  <c r="J153" i="36"/>
  <c r="J201" i="36" s="1"/>
  <c r="J165" i="36"/>
  <c r="J213" i="36" s="1"/>
  <c r="J159" i="36"/>
  <c r="J207" i="36" s="1"/>
  <c r="J154" i="36"/>
  <c r="J202" i="36" s="1"/>
  <c r="J162" i="36"/>
  <c r="J210" i="36" s="1"/>
  <c r="F164" i="44"/>
  <c r="F212" i="44" s="1"/>
  <c r="F236" i="44" s="1"/>
  <c r="F167" i="44"/>
  <c r="F215" i="44" s="1"/>
  <c r="F239" i="44" s="1"/>
  <c r="F168" i="44"/>
  <c r="F216" i="44" s="1"/>
  <c r="F240" i="44" s="1"/>
  <c r="F162" i="44"/>
  <c r="F210" i="44" s="1"/>
  <c r="F234" i="44" s="1"/>
  <c r="F154" i="44"/>
  <c r="F202" i="44" s="1"/>
  <c r="F226" i="44" s="1"/>
  <c r="F151" i="44"/>
  <c r="F199" i="44" s="1"/>
  <c r="F223" i="44" s="1"/>
  <c r="F163" i="44"/>
  <c r="F211" i="44" s="1"/>
  <c r="F235" i="44" s="1"/>
  <c r="F152" i="44"/>
  <c r="F200" i="44" s="1"/>
  <c r="F224" i="44" s="1"/>
  <c r="F161" i="44"/>
  <c r="F209" i="44" s="1"/>
  <c r="F233" i="44" s="1"/>
  <c r="F155" i="44"/>
  <c r="F203" i="44" s="1"/>
  <c r="F227" i="44" s="1"/>
  <c r="F159" i="44"/>
  <c r="F207" i="44" s="1"/>
  <c r="F231" i="44" s="1"/>
  <c r="F158" i="44"/>
  <c r="F206" i="44" s="1"/>
  <c r="F230" i="44" s="1"/>
  <c r="F157" i="44"/>
  <c r="F205" i="44" s="1"/>
  <c r="F229" i="44" s="1"/>
  <c r="F166" i="44"/>
  <c r="F214" i="44" s="1"/>
  <c r="F238" i="44" s="1"/>
  <c r="F153" i="44"/>
  <c r="F201" i="44" s="1"/>
  <c r="F225" i="44" s="1"/>
  <c r="E15" i="44"/>
  <c r="F156" i="44"/>
  <c r="F204" i="44" s="1"/>
  <c r="F228" i="44" s="1"/>
  <c r="F165" i="44"/>
  <c r="F213" i="44" s="1"/>
  <c r="F237" i="44" s="1"/>
  <c r="D23" i="54"/>
  <c r="D23" i="37"/>
  <c r="E244" i="44"/>
  <c r="Y90" i="30"/>
  <c r="Y92" i="30" s="1"/>
  <c r="Y94" i="30" s="1"/>
  <c r="X117" i="30"/>
  <c r="X113" i="30"/>
  <c r="X115" i="30" s="1"/>
  <c r="Y111" i="30" s="1"/>
  <c r="H101" i="40"/>
  <c r="H13" i="37"/>
  <c r="H15" i="37" s="1"/>
  <c r="G103" i="40"/>
  <c r="G13" i="44"/>
  <c r="G199" i="44"/>
  <c r="G223" i="44" s="1"/>
  <c r="G169" i="44"/>
  <c r="U70" i="30"/>
  <c r="AQ55" i="30"/>
  <c r="N12" i="37" l="1"/>
  <c r="M12" i="43"/>
  <c r="M67" i="40"/>
  <c r="M68" i="40" s="1"/>
  <c r="N125" i="30"/>
  <c r="L199" i="43"/>
  <c r="L169" i="43"/>
  <c r="J169" i="36"/>
  <c r="J199" i="36"/>
  <c r="J17" i="39"/>
  <c r="J18" i="39" s="1"/>
  <c r="J24" i="39" s="1"/>
  <c r="J13" i="36"/>
  <c r="M161" i="43"/>
  <c r="M209" i="43" s="1"/>
  <c r="M153" i="43"/>
  <c r="M201" i="43" s="1"/>
  <c r="M162" i="43"/>
  <c r="M210" i="43" s="1"/>
  <c r="M159" i="43"/>
  <c r="M207" i="43" s="1"/>
  <c r="M165" i="43"/>
  <c r="M213" i="43" s="1"/>
  <c r="M154" i="43"/>
  <c r="M202" i="43" s="1"/>
  <c r="M163" i="43"/>
  <c r="M211" i="43" s="1"/>
  <c r="M164" i="43"/>
  <c r="M212" i="43" s="1"/>
  <c r="M151" i="43"/>
  <c r="M160" i="43"/>
  <c r="M208" i="43" s="1"/>
  <c r="M168" i="43"/>
  <c r="M216" i="43" s="1"/>
  <c r="M155" i="43"/>
  <c r="M203" i="43" s="1"/>
  <c r="M157" i="43"/>
  <c r="M205" i="43" s="1"/>
  <c r="M158" i="43"/>
  <c r="M206" i="43" s="1"/>
  <c r="M167" i="43"/>
  <c r="M215" i="43" s="1"/>
  <c r="M156" i="43"/>
  <c r="M204" i="43" s="1"/>
  <c r="L15" i="43"/>
  <c r="M166" i="43"/>
  <c r="M214" i="43" s="1"/>
  <c r="M152" i="43"/>
  <c r="M200" i="43" s="1"/>
  <c r="K14" i="37"/>
  <c r="K34" i="40"/>
  <c r="J36" i="40"/>
  <c r="N67" i="40"/>
  <c r="N68" i="40" s="1"/>
  <c r="N12" i="43"/>
  <c r="F169" i="44"/>
  <c r="Y93" i="30"/>
  <c r="Z90" i="30" s="1"/>
  <c r="F242" i="44"/>
  <c r="G242" i="44"/>
  <c r="F23" i="63" s="1"/>
  <c r="Y96" i="30"/>
  <c r="I88" i="40"/>
  <c r="I89" i="40" s="1"/>
  <c r="Y117" i="30"/>
  <c r="Y114" i="30"/>
  <c r="Y113" i="30"/>
  <c r="Y115" i="30" s="1"/>
  <c r="H102" i="40"/>
  <c r="H12" i="44"/>
  <c r="H146" i="44"/>
  <c r="H194" i="44" s="1"/>
  <c r="H130" i="44"/>
  <c r="H178" i="44" s="1"/>
  <c r="H132" i="44"/>
  <c r="H180" i="44" s="1"/>
  <c r="H138" i="44"/>
  <c r="H186" i="44" s="1"/>
  <c r="H145" i="44"/>
  <c r="H193" i="44" s="1"/>
  <c r="H143" i="44"/>
  <c r="H191" i="44" s="1"/>
  <c r="H137" i="44"/>
  <c r="H185" i="44" s="1"/>
  <c r="H139" i="44"/>
  <c r="H187" i="44" s="1"/>
  <c r="H131" i="44"/>
  <c r="H179" i="44" s="1"/>
  <c r="H142" i="44"/>
  <c r="H190" i="44" s="1"/>
  <c r="H135" i="44"/>
  <c r="H183" i="44" s="1"/>
  <c r="H133" i="44"/>
  <c r="H181" i="44" s="1"/>
  <c r="H144" i="44"/>
  <c r="H192" i="44" s="1"/>
  <c r="H134" i="44"/>
  <c r="H182" i="44" s="1"/>
  <c r="H140" i="44"/>
  <c r="H188" i="44" s="1"/>
  <c r="H129" i="44"/>
  <c r="H136" i="44"/>
  <c r="H184" i="44" s="1"/>
  <c r="H141" i="44"/>
  <c r="H189" i="44" s="1"/>
  <c r="G104" i="40"/>
  <c r="G14" i="44"/>
  <c r="V66" i="30"/>
  <c r="V68" i="30" s="1"/>
  <c r="V70" i="30" s="1"/>
  <c r="AR55" i="30"/>
  <c r="O125" i="30" l="1"/>
  <c r="M69" i="40"/>
  <c r="M14" i="43"/>
  <c r="O103" i="30"/>
  <c r="O54" i="40" s="1"/>
  <c r="O55" i="40" s="1"/>
  <c r="N13" i="43"/>
  <c r="N113" i="39"/>
  <c r="N114" i="39" s="1"/>
  <c r="N120" i="39" s="1"/>
  <c r="L56" i="39"/>
  <c r="P56" i="39"/>
  <c r="T56" i="39"/>
  <c r="R56" i="39"/>
  <c r="K56" i="39"/>
  <c r="S56" i="39"/>
  <c r="M56" i="39"/>
  <c r="Q56" i="39"/>
  <c r="N56" i="39"/>
  <c r="O56" i="39"/>
  <c r="M113" i="39"/>
  <c r="M114" i="39" s="1"/>
  <c r="M120" i="39" s="1"/>
  <c r="M13" i="43"/>
  <c r="N14" i="43"/>
  <c r="N69" i="40"/>
  <c r="K12" i="36"/>
  <c r="L224" i="36" s="1"/>
  <c r="L225" i="36" s="1"/>
  <c r="K35" i="40"/>
  <c r="M169" i="43"/>
  <c r="M199" i="43"/>
  <c r="J37" i="40"/>
  <c r="J14" i="36"/>
  <c r="E23" i="37"/>
  <c r="E23" i="63"/>
  <c r="F244" i="44"/>
  <c r="E23" i="54"/>
  <c r="F23" i="37"/>
  <c r="F23" i="54"/>
  <c r="G244" i="44"/>
  <c r="Z93" i="30"/>
  <c r="Z96" i="30"/>
  <c r="P103" i="30" s="1"/>
  <c r="P54" i="40" s="1"/>
  <c r="Z92" i="30"/>
  <c r="Z94" i="30" s="1"/>
  <c r="I101" i="40"/>
  <c r="I13" i="37"/>
  <c r="I15" i="37" s="1"/>
  <c r="J88" i="40"/>
  <c r="J89" i="40" s="1"/>
  <c r="J101" i="40" s="1"/>
  <c r="Z111" i="30"/>
  <c r="V74" i="30"/>
  <c r="L82" i="30" s="1"/>
  <c r="L22" i="40" s="1"/>
  <c r="L23" i="40" s="1"/>
  <c r="V69" i="30"/>
  <c r="W66" i="30" s="1"/>
  <c r="H164" i="44"/>
  <c r="H212" i="44" s="1"/>
  <c r="H236" i="44" s="1"/>
  <c r="H159" i="44"/>
  <c r="H207" i="44" s="1"/>
  <c r="H231" i="44" s="1"/>
  <c r="H166" i="44"/>
  <c r="H214" i="44" s="1"/>
  <c r="H238" i="44" s="1"/>
  <c r="H168" i="44"/>
  <c r="H216" i="44" s="1"/>
  <c r="H240" i="44" s="1"/>
  <c r="G15" i="44"/>
  <c r="H158" i="44"/>
  <c r="H206" i="44" s="1"/>
  <c r="H230" i="44" s="1"/>
  <c r="H151" i="44"/>
  <c r="H162" i="44"/>
  <c r="H210" i="44" s="1"/>
  <c r="H234" i="44" s="1"/>
  <c r="H152" i="44"/>
  <c r="H200" i="44" s="1"/>
  <c r="H224" i="44" s="1"/>
  <c r="H163" i="44"/>
  <c r="H211" i="44" s="1"/>
  <c r="H235" i="44" s="1"/>
  <c r="H165" i="44"/>
  <c r="H213" i="44" s="1"/>
  <c r="H237" i="44" s="1"/>
  <c r="H157" i="44"/>
  <c r="H205" i="44" s="1"/>
  <c r="H229" i="44" s="1"/>
  <c r="H156" i="44"/>
  <c r="H204" i="44" s="1"/>
  <c r="H228" i="44" s="1"/>
  <c r="H153" i="44"/>
  <c r="H201" i="44" s="1"/>
  <c r="H225" i="44" s="1"/>
  <c r="H160" i="44"/>
  <c r="H208" i="44" s="1"/>
  <c r="H232" i="44" s="1"/>
  <c r="H161" i="44"/>
  <c r="H209" i="44" s="1"/>
  <c r="H233" i="44" s="1"/>
  <c r="H155" i="44"/>
  <c r="H203" i="44" s="1"/>
  <c r="H227" i="44" s="1"/>
  <c r="H154" i="44"/>
  <c r="H202" i="44" s="1"/>
  <c r="H226" i="44" s="1"/>
  <c r="H167" i="44"/>
  <c r="H215" i="44" s="1"/>
  <c r="H239" i="44" s="1"/>
  <c r="H177" i="44"/>
  <c r="H103" i="40"/>
  <c r="H13" i="44"/>
  <c r="AS55" i="30"/>
  <c r="P55" i="40" l="1"/>
  <c r="P12" i="37" s="1"/>
  <c r="L14" i="37"/>
  <c r="L34" i="40"/>
  <c r="O12" i="37"/>
  <c r="O66" i="40"/>
  <c r="K157" i="36"/>
  <c r="K205" i="36" s="1"/>
  <c r="J15" i="36"/>
  <c r="K162" i="36"/>
  <c r="K210" i="36" s="1"/>
  <c r="K161" i="36"/>
  <c r="K209" i="36" s="1"/>
  <c r="K163" i="36"/>
  <c r="K211" i="36" s="1"/>
  <c r="K158" i="36"/>
  <c r="K206" i="36" s="1"/>
  <c r="K167" i="36"/>
  <c r="K215" i="36" s="1"/>
  <c r="K152" i="36"/>
  <c r="K200" i="36" s="1"/>
  <c r="K154" i="36"/>
  <c r="K202" i="36" s="1"/>
  <c r="K160" i="36"/>
  <c r="K208" i="36" s="1"/>
  <c r="K168" i="36"/>
  <c r="K216" i="36" s="1"/>
  <c r="K153" i="36"/>
  <c r="K201" i="36" s="1"/>
  <c r="K159" i="36"/>
  <c r="K207" i="36" s="1"/>
  <c r="K156" i="36"/>
  <c r="K204" i="36" s="1"/>
  <c r="K151" i="36"/>
  <c r="K165" i="36"/>
  <c r="K213" i="36" s="1"/>
  <c r="K155" i="36"/>
  <c r="K203" i="36" s="1"/>
  <c r="K166" i="36"/>
  <c r="K214" i="36" s="1"/>
  <c r="K164" i="36"/>
  <c r="K212" i="36" s="1"/>
  <c r="K36" i="40"/>
  <c r="K17" i="39"/>
  <c r="K18" i="39" s="1"/>
  <c r="K24" i="39" s="1"/>
  <c r="K13" i="36"/>
  <c r="P156" i="39"/>
  <c r="T156" i="39"/>
  <c r="X156" i="39"/>
  <c r="V156" i="39"/>
  <c r="O156" i="39"/>
  <c r="W156" i="39"/>
  <c r="Q156" i="39"/>
  <c r="U156" i="39"/>
  <c r="R156" i="39"/>
  <c r="S156" i="39"/>
  <c r="N161" i="43"/>
  <c r="N209" i="43" s="1"/>
  <c r="N166" i="43"/>
  <c r="N214" i="43" s="1"/>
  <c r="N165" i="43"/>
  <c r="N213" i="43" s="1"/>
  <c r="N159" i="43"/>
  <c r="N207" i="43" s="1"/>
  <c r="N152" i="43"/>
  <c r="N200" i="43" s="1"/>
  <c r="N167" i="43"/>
  <c r="N215" i="43" s="1"/>
  <c r="N151" i="43"/>
  <c r="N164" i="43"/>
  <c r="N212" i="43" s="1"/>
  <c r="N154" i="43"/>
  <c r="N202" i="43" s="1"/>
  <c r="N168" i="43"/>
  <c r="N216" i="43" s="1"/>
  <c r="N158" i="43"/>
  <c r="N206" i="43" s="1"/>
  <c r="M15" i="43"/>
  <c r="N153" i="43"/>
  <c r="N201" i="43" s="1"/>
  <c r="N162" i="43"/>
  <c r="N210" i="43" s="1"/>
  <c r="N157" i="43"/>
  <c r="N205" i="43" s="1"/>
  <c r="N155" i="43"/>
  <c r="N203" i="43" s="1"/>
  <c r="N163" i="43"/>
  <c r="N211" i="43" s="1"/>
  <c r="N160" i="43"/>
  <c r="N208" i="43" s="1"/>
  <c r="N156" i="43"/>
  <c r="N204" i="43" s="1"/>
  <c r="Q155" i="39"/>
  <c r="U155" i="39"/>
  <c r="S155" i="39"/>
  <c r="P155" i="39"/>
  <c r="N155" i="39"/>
  <c r="N197" i="39" s="1"/>
  <c r="N84" i="43" s="1"/>
  <c r="R155" i="39"/>
  <c r="V155" i="39"/>
  <c r="O155" i="39"/>
  <c r="W155" i="39"/>
  <c r="T155" i="39"/>
  <c r="O158" i="43"/>
  <c r="O206" i="43" s="1"/>
  <c r="O157" i="43"/>
  <c r="O205" i="43" s="1"/>
  <c r="O163" i="43"/>
  <c r="O211" i="43" s="1"/>
  <c r="O154" i="43"/>
  <c r="O202" i="43" s="1"/>
  <c r="O164" i="43"/>
  <c r="O212" i="43" s="1"/>
  <c r="O166" i="43"/>
  <c r="O214" i="43" s="1"/>
  <c r="O160" i="43"/>
  <c r="O208" i="43" s="1"/>
  <c r="O156" i="43"/>
  <c r="O204" i="43" s="1"/>
  <c r="O161" i="43"/>
  <c r="O209" i="43" s="1"/>
  <c r="O167" i="43"/>
  <c r="O215" i="43" s="1"/>
  <c r="O159" i="43"/>
  <c r="O207" i="43" s="1"/>
  <c r="N15" i="43"/>
  <c r="O152" i="43"/>
  <c r="O200" i="43" s="1"/>
  <c r="O153" i="43"/>
  <c r="O201" i="43" s="1"/>
  <c r="O162" i="43"/>
  <c r="O210" i="43" s="1"/>
  <c r="O155" i="43"/>
  <c r="O203" i="43" s="1"/>
  <c r="O165" i="43"/>
  <c r="O213" i="43" s="1"/>
  <c r="O151" i="43"/>
  <c r="O168" i="43"/>
  <c r="O216" i="43" s="1"/>
  <c r="J13" i="37"/>
  <c r="J15" i="37" s="1"/>
  <c r="AA90" i="30"/>
  <c r="I12" i="44"/>
  <c r="I102" i="40"/>
  <c r="Z117" i="30"/>
  <c r="Z114" i="30"/>
  <c r="Z113" i="30"/>
  <c r="Z115" i="30" s="1"/>
  <c r="I133" i="44"/>
  <c r="I181" i="44" s="1"/>
  <c r="I135" i="44"/>
  <c r="I183" i="44" s="1"/>
  <c r="I131" i="44"/>
  <c r="I179" i="44" s="1"/>
  <c r="I138" i="44"/>
  <c r="I186" i="44" s="1"/>
  <c r="I140" i="44"/>
  <c r="I188" i="44" s="1"/>
  <c r="I146" i="44"/>
  <c r="I194" i="44" s="1"/>
  <c r="I137" i="44"/>
  <c r="I185" i="44" s="1"/>
  <c r="I132" i="44"/>
  <c r="I180" i="44" s="1"/>
  <c r="I134" i="44"/>
  <c r="I182" i="44" s="1"/>
  <c r="I145" i="44"/>
  <c r="I193" i="44" s="1"/>
  <c r="I139" i="44"/>
  <c r="I187" i="44" s="1"/>
  <c r="I143" i="44"/>
  <c r="I191" i="44" s="1"/>
  <c r="I136" i="44"/>
  <c r="I184" i="44" s="1"/>
  <c r="I130" i="44"/>
  <c r="I178" i="44" s="1"/>
  <c r="I129" i="44"/>
  <c r="I144" i="44"/>
  <c r="I192" i="44" s="1"/>
  <c r="I141" i="44"/>
  <c r="I189" i="44" s="1"/>
  <c r="I142" i="44"/>
  <c r="I190" i="44" s="1"/>
  <c r="H14" i="44"/>
  <c r="H104" i="40"/>
  <c r="H199" i="44"/>
  <c r="H223" i="44" s="1"/>
  <c r="H169" i="44"/>
  <c r="J102" i="40"/>
  <c r="J12" i="44"/>
  <c r="W69" i="30"/>
  <c r="W74" i="30"/>
  <c r="W68" i="30"/>
  <c r="AT55" i="30"/>
  <c r="P66" i="40" l="1"/>
  <c r="P67" i="40" s="1"/>
  <c r="M82" i="30"/>
  <c r="M22" i="40" s="1"/>
  <c r="M23" i="40" s="1"/>
  <c r="P125" i="30"/>
  <c r="O113" i="43"/>
  <c r="O139" i="43" s="1"/>
  <c r="O187" i="43" s="1"/>
  <c r="O233" i="43" s="1"/>
  <c r="O110" i="43"/>
  <c r="O136" i="43" s="1"/>
  <c r="O184" i="43" s="1"/>
  <c r="O230" i="43" s="1"/>
  <c r="O112" i="43"/>
  <c r="O138" i="43" s="1"/>
  <c r="O186" i="43" s="1"/>
  <c r="O232" i="43" s="1"/>
  <c r="O104" i="43"/>
  <c r="O130" i="43" s="1"/>
  <c r="O178" i="43" s="1"/>
  <c r="O224" i="43" s="1"/>
  <c r="O119" i="43"/>
  <c r="O145" i="43" s="1"/>
  <c r="O193" i="43" s="1"/>
  <c r="O239" i="43" s="1"/>
  <c r="O120" i="43"/>
  <c r="O146" i="43" s="1"/>
  <c r="O194" i="43" s="1"/>
  <c r="O240" i="43" s="1"/>
  <c r="O115" i="43"/>
  <c r="O141" i="43" s="1"/>
  <c r="O189" i="43" s="1"/>
  <c r="O235" i="43" s="1"/>
  <c r="O117" i="43"/>
  <c r="O143" i="43" s="1"/>
  <c r="O191" i="43" s="1"/>
  <c r="O237" i="43" s="1"/>
  <c r="O103" i="43"/>
  <c r="O129" i="43" s="1"/>
  <c r="O111" i="43"/>
  <c r="O137" i="43" s="1"/>
  <c r="O185" i="43" s="1"/>
  <c r="O231" i="43" s="1"/>
  <c r="O106" i="43"/>
  <c r="O132" i="43" s="1"/>
  <c r="O180" i="43" s="1"/>
  <c r="O226" i="43" s="1"/>
  <c r="O107" i="43"/>
  <c r="O133" i="43" s="1"/>
  <c r="O181" i="43" s="1"/>
  <c r="O227" i="43" s="1"/>
  <c r="O118" i="43"/>
  <c r="O144" i="43" s="1"/>
  <c r="O192" i="43" s="1"/>
  <c r="O238" i="43" s="1"/>
  <c r="O108" i="43"/>
  <c r="O134" i="43" s="1"/>
  <c r="O182" i="43" s="1"/>
  <c r="O228" i="43" s="1"/>
  <c r="O116" i="43"/>
  <c r="O142" i="43" s="1"/>
  <c r="O190" i="43" s="1"/>
  <c r="O236" i="43" s="1"/>
  <c r="O105" i="43"/>
  <c r="O131" i="43" s="1"/>
  <c r="O179" i="43" s="1"/>
  <c r="O225" i="43" s="1"/>
  <c r="O109" i="43"/>
  <c r="O135" i="43" s="1"/>
  <c r="O183" i="43" s="1"/>
  <c r="O229" i="43" s="1"/>
  <c r="O114" i="43"/>
  <c r="O140" i="43" s="1"/>
  <c r="O188" i="43" s="1"/>
  <c r="O234" i="43" s="1"/>
  <c r="O12" i="43"/>
  <c r="O67" i="40"/>
  <c r="O169" i="43"/>
  <c r="O199" i="43"/>
  <c r="N169" i="43"/>
  <c r="N199" i="43"/>
  <c r="O197" i="39"/>
  <c r="O84" i="43" s="1"/>
  <c r="K169" i="36"/>
  <c r="K199" i="36"/>
  <c r="L35" i="40"/>
  <c r="L36" i="40" s="1"/>
  <c r="L12" i="36"/>
  <c r="M224" i="36" s="1"/>
  <c r="M225" i="36" s="1"/>
  <c r="M57" i="39"/>
  <c r="Q57" i="39"/>
  <c r="U57" i="39"/>
  <c r="O57" i="39"/>
  <c r="P57" i="39"/>
  <c r="N57" i="39"/>
  <c r="R57" i="39"/>
  <c r="S57" i="39"/>
  <c r="L57" i="39"/>
  <c r="T57" i="39"/>
  <c r="K14" i="36"/>
  <c r="K37" i="40"/>
  <c r="P12" i="43"/>
  <c r="H242" i="44"/>
  <c r="G23" i="63" s="1"/>
  <c r="AA92" i="30"/>
  <c r="AA94" i="30" s="1"/>
  <c r="AA93" i="30"/>
  <c r="AA96" i="30"/>
  <c r="Q103" i="30" s="1"/>
  <c r="Q54" i="40" s="1"/>
  <c r="Q55" i="40" s="1"/>
  <c r="I103" i="40"/>
  <c r="I13" i="44"/>
  <c r="AA111" i="30"/>
  <c r="AA117" i="30" s="1"/>
  <c r="K88" i="40"/>
  <c r="K89" i="40" s="1"/>
  <c r="I160" i="44"/>
  <c r="I208" i="44" s="1"/>
  <c r="I232" i="44" s="1"/>
  <c r="I162" i="44"/>
  <c r="I210" i="44" s="1"/>
  <c r="I234" i="44" s="1"/>
  <c r="I161" i="44"/>
  <c r="I209" i="44" s="1"/>
  <c r="I233" i="44" s="1"/>
  <c r="I159" i="44"/>
  <c r="I207" i="44" s="1"/>
  <c r="I231" i="44" s="1"/>
  <c r="I155" i="44"/>
  <c r="I203" i="44" s="1"/>
  <c r="I227" i="44" s="1"/>
  <c r="I157" i="44"/>
  <c r="I205" i="44" s="1"/>
  <c r="I229" i="44" s="1"/>
  <c r="I166" i="44"/>
  <c r="I214" i="44" s="1"/>
  <c r="I238" i="44" s="1"/>
  <c r="I168" i="44"/>
  <c r="I216" i="44" s="1"/>
  <c r="I240" i="44" s="1"/>
  <c r="H15" i="44"/>
  <c r="I158" i="44"/>
  <c r="I206" i="44" s="1"/>
  <c r="I230" i="44" s="1"/>
  <c r="I154" i="44"/>
  <c r="I202" i="44" s="1"/>
  <c r="I226" i="44" s="1"/>
  <c r="I151" i="44"/>
  <c r="I167" i="44"/>
  <c r="I215" i="44" s="1"/>
  <c r="I239" i="44" s="1"/>
  <c r="I163" i="44"/>
  <c r="I211" i="44" s="1"/>
  <c r="I235" i="44" s="1"/>
  <c r="I164" i="44"/>
  <c r="I212" i="44" s="1"/>
  <c r="I236" i="44" s="1"/>
  <c r="I165" i="44"/>
  <c r="I213" i="44" s="1"/>
  <c r="I237" i="44" s="1"/>
  <c r="I156" i="44"/>
  <c r="I204" i="44" s="1"/>
  <c r="I228" i="44" s="1"/>
  <c r="I153" i="44"/>
  <c r="I201" i="44" s="1"/>
  <c r="I225" i="44" s="1"/>
  <c r="I152" i="44"/>
  <c r="I200" i="44" s="1"/>
  <c r="I224" i="44" s="1"/>
  <c r="I177" i="44"/>
  <c r="C107" i="47"/>
  <c r="C426" i="47" s="1"/>
  <c r="J103" i="40"/>
  <c r="J13" i="44"/>
  <c r="W70" i="30"/>
  <c r="X66" i="30" s="1"/>
  <c r="AU55" i="30"/>
  <c r="Q12" i="37" l="1"/>
  <c r="Q66" i="40"/>
  <c r="P68" i="40"/>
  <c r="P13" i="43"/>
  <c r="P113" i="39"/>
  <c r="P114" i="39" s="1"/>
  <c r="P120" i="39" s="1"/>
  <c r="O13" i="43"/>
  <c r="O113" i="39"/>
  <c r="O114" i="39" s="1"/>
  <c r="O120" i="39" s="1"/>
  <c r="O147" i="43"/>
  <c r="O177" i="43"/>
  <c r="O223" i="43" s="1"/>
  <c r="O242" i="43" s="1"/>
  <c r="N22" i="37" s="1"/>
  <c r="L40" i="40"/>
  <c r="L13" i="36"/>
  <c r="L17" i="39"/>
  <c r="L18" i="39" s="1"/>
  <c r="L24" i="39" s="1"/>
  <c r="L165" i="36"/>
  <c r="L213" i="36" s="1"/>
  <c r="L162" i="36"/>
  <c r="L210" i="36" s="1"/>
  <c r="L157" i="36"/>
  <c r="L205" i="36" s="1"/>
  <c r="L160" i="36"/>
  <c r="L208" i="36" s="1"/>
  <c r="L168" i="36"/>
  <c r="L216" i="36" s="1"/>
  <c r="L164" i="36"/>
  <c r="L212" i="36" s="1"/>
  <c r="L163" i="36"/>
  <c r="L211" i="36" s="1"/>
  <c r="L167" i="36"/>
  <c r="L215" i="36" s="1"/>
  <c r="L152" i="36"/>
  <c r="L200" i="36" s="1"/>
  <c r="L166" i="36"/>
  <c r="L214" i="36" s="1"/>
  <c r="L151" i="36"/>
  <c r="K15" i="36"/>
  <c r="L159" i="36"/>
  <c r="L207" i="36" s="1"/>
  <c r="L155" i="36"/>
  <c r="L203" i="36" s="1"/>
  <c r="L161" i="36"/>
  <c r="L209" i="36" s="1"/>
  <c r="L154" i="36"/>
  <c r="L202" i="36" s="1"/>
  <c r="L153" i="36"/>
  <c r="L201" i="36" s="1"/>
  <c r="L158" i="36"/>
  <c r="L206" i="36" s="1"/>
  <c r="L156" i="36"/>
  <c r="L204" i="36" s="1"/>
  <c r="L14" i="36"/>
  <c r="L37" i="40"/>
  <c r="Q125" i="30"/>
  <c r="P106" i="43"/>
  <c r="P115" i="43"/>
  <c r="P113" i="43"/>
  <c r="P109" i="43"/>
  <c r="P105" i="43"/>
  <c r="P118" i="43"/>
  <c r="P111" i="43"/>
  <c r="P119" i="43"/>
  <c r="P117" i="43"/>
  <c r="P110" i="43"/>
  <c r="P108" i="43"/>
  <c r="P103" i="43"/>
  <c r="P107" i="43"/>
  <c r="P116" i="43"/>
  <c r="P104" i="43"/>
  <c r="P120" i="43"/>
  <c r="P112" i="43"/>
  <c r="P114" i="43"/>
  <c r="M14" i="37"/>
  <c r="M34" i="40"/>
  <c r="O68" i="40"/>
  <c r="C429" i="47"/>
  <c r="G23" i="37"/>
  <c r="H244" i="44"/>
  <c r="G23" i="54"/>
  <c r="AB90" i="30"/>
  <c r="AB93" i="30" s="1"/>
  <c r="AA114" i="30"/>
  <c r="J142" i="44"/>
  <c r="J190" i="44" s="1"/>
  <c r="J137" i="44"/>
  <c r="J185" i="44" s="1"/>
  <c r="J135" i="44"/>
  <c r="J183" i="44" s="1"/>
  <c r="J138" i="44"/>
  <c r="J186" i="44" s="1"/>
  <c r="J145" i="44"/>
  <c r="J193" i="44" s="1"/>
  <c r="J139" i="44"/>
  <c r="J187" i="44" s="1"/>
  <c r="J140" i="44"/>
  <c r="J188" i="44" s="1"/>
  <c r="J136" i="44"/>
  <c r="J184" i="44" s="1"/>
  <c r="J130" i="44"/>
  <c r="J178" i="44" s="1"/>
  <c r="J133" i="44"/>
  <c r="J181" i="44" s="1"/>
  <c r="J144" i="44"/>
  <c r="J192" i="44" s="1"/>
  <c r="J141" i="44"/>
  <c r="J189" i="44" s="1"/>
  <c r="J131" i="44"/>
  <c r="J179" i="44" s="1"/>
  <c r="J132" i="44"/>
  <c r="J180" i="44" s="1"/>
  <c r="J129" i="44"/>
  <c r="J134" i="44"/>
  <c r="J182" i="44" s="1"/>
  <c r="J146" i="44"/>
  <c r="J194" i="44" s="1"/>
  <c r="J143" i="44"/>
  <c r="J191" i="44" s="1"/>
  <c r="AA113" i="30"/>
  <c r="AA115" i="30" s="1"/>
  <c r="I14" i="44"/>
  <c r="I104" i="40"/>
  <c r="L88" i="40"/>
  <c r="L89" i="40" s="1"/>
  <c r="K101" i="40"/>
  <c r="K13" i="37"/>
  <c r="I169" i="44"/>
  <c r="I199" i="44"/>
  <c r="I223" i="44" s="1"/>
  <c r="K140" i="44"/>
  <c r="K188" i="44" s="1"/>
  <c r="K141" i="44"/>
  <c r="K189" i="44" s="1"/>
  <c r="K144" i="44"/>
  <c r="K192" i="44" s="1"/>
  <c r="K131" i="44"/>
  <c r="K179" i="44" s="1"/>
  <c r="K137" i="44"/>
  <c r="K185" i="44" s="1"/>
  <c r="K146" i="44"/>
  <c r="K194" i="44" s="1"/>
  <c r="K139" i="44"/>
  <c r="K187" i="44" s="1"/>
  <c r="K132" i="44"/>
  <c r="K180" i="44" s="1"/>
  <c r="K133" i="44"/>
  <c r="K181" i="44" s="1"/>
  <c r="K136" i="44"/>
  <c r="K184" i="44" s="1"/>
  <c r="K143" i="44"/>
  <c r="K191" i="44" s="1"/>
  <c r="K138" i="44"/>
  <c r="K186" i="44" s="1"/>
  <c r="K130" i="44"/>
  <c r="K178" i="44" s="1"/>
  <c r="K134" i="44"/>
  <c r="K182" i="44" s="1"/>
  <c r="K142" i="44"/>
  <c r="K190" i="44" s="1"/>
  <c r="K145" i="44"/>
  <c r="K193" i="44" s="1"/>
  <c r="K135" i="44"/>
  <c r="K183" i="44" s="1"/>
  <c r="K129" i="44"/>
  <c r="J14" i="44"/>
  <c r="J104" i="40"/>
  <c r="X74" i="30"/>
  <c r="X69" i="30"/>
  <c r="X68" i="30"/>
  <c r="X70" i="30" s="1"/>
  <c r="AV55" i="30"/>
  <c r="L199" i="36" l="1"/>
  <c r="L169" i="36"/>
  <c r="P136" i="43"/>
  <c r="P184" i="43" s="1"/>
  <c r="P139" i="43"/>
  <c r="P187" i="43" s="1"/>
  <c r="P146" i="43"/>
  <c r="P194" i="43" s="1"/>
  <c r="P142" i="43"/>
  <c r="P190" i="43" s="1"/>
  <c r="P134" i="43"/>
  <c r="P182" i="43" s="1"/>
  <c r="P140" i="43"/>
  <c r="P188" i="43" s="1"/>
  <c r="P135" i="43"/>
  <c r="P183" i="43" s="1"/>
  <c r="P129" i="43"/>
  <c r="P143" i="43"/>
  <c r="P191" i="43" s="1"/>
  <c r="P145" i="43"/>
  <c r="P193" i="43" s="1"/>
  <c r="P141" i="43"/>
  <c r="P189" i="43" s="1"/>
  <c r="P144" i="43"/>
  <c r="P192" i="43" s="1"/>
  <c r="P130" i="43"/>
  <c r="P178" i="43" s="1"/>
  <c r="P131" i="43"/>
  <c r="P179" i="43" s="1"/>
  <c r="P137" i="43"/>
  <c r="P185" i="43" s="1"/>
  <c r="P132" i="43"/>
  <c r="P180" i="43" s="1"/>
  <c r="P133" i="43"/>
  <c r="P181" i="43" s="1"/>
  <c r="P138" i="43"/>
  <c r="P186" i="43" s="1"/>
  <c r="P69" i="40"/>
  <c r="P14" i="43"/>
  <c r="N82" i="30"/>
  <c r="N22" i="40" s="1"/>
  <c r="N23" i="40" s="1"/>
  <c r="Q12" i="43"/>
  <c r="Q67" i="40"/>
  <c r="Q68" i="40" s="1"/>
  <c r="M35" i="40"/>
  <c r="M12" i="36"/>
  <c r="N224" i="36" s="1"/>
  <c r="N225" i="36" s="1"/>
  <c r="P157" i="39"/>
  <c r="P197" i="39" s="1"/>
  <c r="P84" i="43" s="1"/>
  <c r="T157" i="39"/>
  <c r="X157" i="39"/>
  <c r="R157" i="39"/>
  <c r="S157" i="39"/>
  <c r="Q157" i="39"/>
  <c r="U157" i="39"/>
  <c r="Y157" i="39"/>
  <c r="V157" i="39"/>
  <c r="W157" i="39"/>
  <c r="O69" i="40"/>
  <c r="O14" i="43"/>
  <c r="L15" i="36"/>
  <c r="M162" i="36"/>
  <c r="M210" i="36" s="1"/>
  <c r="M165" i="36"/>
  <c r="M213" i="36" s="1"/>
  <c r="M157" i="36"/>
  <c r="M205" i="36" s="1"/>
  <c r="M161" i="36"/>
  <c r="M209" i="36" s="1"/>
  <c r="M153" i="36"/>
  <c r="M201" i="36" s="1"/>
  <c r="M166" i="36"/>
  <c r="M214" i="36" s="1"/>
  <c r="M163" i="36"/>
  <c r="M211" i="36" s="1"/>
  <c r="M152" i="36"/>
  <c r="M200" i="36" s="1"/>
  <c r="M155" i="36"/>
  <c r="M203" i="36" s="1"/>
  <c r="M158" i="36"/>
  <c r="M206" i="36" s="1"/>
  <c r="M160" i="36"/>
  <c r="M208" i="36" s="1"/>
  <c r="M164" i="36"/>
  <c r="M212" i="36" s="1"/>
  <c r="M159" i="36"/>
  <c r="M207" i="36" s="1"/>
  <c r="M151" i="36"/>
  <c r="M154" i="36"/>
  <c r="M202" i="36" s="1"/>
  <c r="M168" i="36"/>
  <c r="M216" i="36" s="1"/>
  <c r="M156" i="36"/>
  <c r="M204" i="36" s="1"/>
  <c r="M167" i="36"/>
  <c r="M215" i="36" s="1"/>
  <c r="P58" i="39"/>
  <c r="T58" i="39"/>
  <c r="R58" i="39"/>
  <c r="S58" i="39"/>
  <c r="M58" i="39"/>
  <c r="Q58" i="39"/>
  <c r="U58" i="39"/>
  <c r="N58" i="39"/>
  <c r="V58" i="39"/>
  <c r="O58" i="39"/>
  <c r="Q158" i="39"/>
  <c r="U158" i="39"/>
  <c r="Y158" i="39"/>
  <c r="W158" i="39"/>
  <c r="X158" i="39"/>
  <c r="R158" i="39"/>
  <c r="V158" i="39"/>
  <c r="Z158" i="39"/>
  <c r="S158" i="39"/>
  <c r="T158" i="39"/>
  <c r="AB96" i="30"/>
  <c r="R103" i="30" s="1"/>
  <c r="R54" i="40" s="1"/>
  <c r="R55" i="40" s="1"/>
  <c r="AB92" i="30"/>
  <c r="AB94" i="30" s="1"/>
  <c r="AC90" i="30" s="1"/>
  <c r="I242" i="44"/>
  <c r="AB111" i="30"/>
  <c r="AB114" i="30" s="1"/>
  <c r="J151" i="44"/>
  <c r="J160" i="44"/>
  <c r="J208" i="44" s="1"/>
  <c r="J232" i="44" s="1"/>
  <c r="J157" i="44"/>
  <c r="J205" i="44" s="1"/>
  <c r="J229" i="44" s="1"/>
  <c r="J154" i="44"/>
  <c r="J202" i="44" s="1"/>
  <c r="J226" i="44" s="1"/>
  <c r="J156" i="44"/>
  <c r="J204" i="44" s="1"/>
  <c r="J228" i="44" s="1"/>
  <c r="J165" i="44"/>
  <c r="J213" i="44" s="1"/>
  <c r="J237" i="44" s="1"/>
  <c r="J158" i="44"/>
  <c r="J206" i="44" s="1"/>
  <c r="J230" i="44" s="1"/>
  <c r="J153" i="44"/>
  <c r="J201" i="44" s="1"/>
  <c r="J225" i="44" s="1"/>
  <c r="J152" i="44"/>
  <c r="J200" i="44" s="1"/>
  <c r="J224" i="44" s="1"/>
  <c r="J164" i="44"/>
  <c r="J212" i="44" s="1"/>
  <c r="J236" i="44" s="1"/>
  <c r="J163" i="44"/>
  <c r="J211" i="44" s="1"/>
  <c r="J235" i="44" s="1"/>
  <c r="J155" i="44"/>
  <c r="J203" i="44" s="1"/>
  <c r="J227" i="44" s="1"/>
  <c r="J162" i="44"/>
  <c r="J210" i="44" s="1"/>
  <c r="J234" i="44" s="1"/>
  <c r="J161" i="44"/>
  <c r="J209" i="44" s="1"/>
  <c r="J233" i="44" s="1"/>
  <c r="J166" i="44"/>
  <c r="J214" i="44" s="1"/>
  <c r="J238" i="44" s="1"/>
  <c r="J167" i="44"/>
  <c r="J215" i="44" s="1"/>
  <c r="J239" i="44" s="1"/>
  <c r="I15" i="44"/>
  <c r="J159" i="44"/>
  <c r="J207" i="44" s="1"/>
  <c r="J231" i="44" s="1"/>
  <c r="J168" i="44"/>
  <c r="J216" i="44" s="1"/>
  <c r="J240" i="44" s="1"/>
  <c r="J177" i="44"/>
  <c r="L101" i="40"/>
  <c r="L13" i="37"/>
  <c r="K102" i="40"/>
  <c r="K12" i="44"/>
  <c r="K15" i="37"/>
  <c r="K162" i="44"/>
  <c r="K210" i="44" s="1"/>
  <c r="K234" i="44" s="1"/>
  <c r="K160" i="44"/>
  <c r="K208" i="44" s="1"/>
  <c r="K232" i="44" s="1"/>
  <c r="K157" i="44"/>
  <c r="K205" i="44" s="1"/>
  <c r="K229" i="44" s="1"/>
  <c r="K156" i="44"/>
  <c r="K204" i="44" s="1"/>
  <c r="K228" i="44" s="1"/>
  <c r="J15" i="44"/>
  <c r="K164" i="44"/>
  <c r="K212" i="44" s="1"/>
  <c r="K236" i="44" s="1"/>
  <c r="K166" i="44"/>
  <c r="K154" i="44"/>
  <c r="K202" i="44" s="1"/>
  <c r="K226" i="44" s="1"/>
  <c r="K151" i="44"/>
  <c r="K165" i="44"/>
  <c r="K213" i="44" s="1"/>
  <c r="K237" i="44" s="1"/>
  <c r="K168" i="44"/>
  <c r="K216" i="44" s="1"/>
  <c r="K240" i="44" s="1"/>
  <c r="K167" i="44"/>
  <c r="K215" i="44" s="1"/>
  <c r="K239" i="44" s="1"/>
  <c r="K155" i="44"/>
  <c r="K203" i="44" s="1"/>
  <c r="K227" i="44" s="1"/>
  <c r="K159" i="44"/>
  <c r="K207" i="44" s="1"/>
  <c r="K231" i="44" s="1"/>
  <c r="K161" i="44"/>
  <c r="K209" i="44" s="1"/>
  <c r="K233" i="44" s="1"/>
  <c r="K163" i="44"/>
  <c r="K211" i="44" s="1"/>
  <c r="K235" i="44" s="1"/>
  <c r="K153" i="44"/>
  <c r="K201" i="44" s="1"/>
  <c r="K225" i="44" s="1"/>
  <c r="K152" i="44"/>
  <c r="K200" i="44" s="1"/>
  <c r="K224" i="44" s="1"/>
  <c r="K158" i="44"/>
  <c r="K206" i="44" s="1"/>
  <c r="K230" i="44" s="1"/>
  <c r="K177" i="44"/>
  <c r="Y66" i="30"/>
  <c r="AW55" i="30"/>
  <c r="M199" i="36" l="1"/>
  <c r="M169" i="36"/>
  <c r="M36" i="40"/>
  <c r="M13" i="36"/>
  <c r="M17" i="39"/>
  <c r="M18" i="39" s="1"/>
  <c r="M24" i="39" s="1"/>
  <c r="N34" i="40"/>
  <c r="N14" i="37"/>
  <c r="Q197" i="39"/>
  <c r="Q84" i="43" s="1"/>
  <c r="Q107" i="43"/>
  <c r="Q133" i="43" s="1"/>
  <c r="Q181" i="43" s="1"/>
  <c r="Q120" i="43"/>
  <c r="Q146" i="43" s="1"/>
  <c r="Q194" i="43" s="1"/>
  <c r="Q110" i="43"/>
  <c r="Q136" i="43" s="1"/>
  <c r="Q184" i="43" s="1"/>
  <c r="Q105" i="43"/>
  <c r="Q131" i="43" s="1"/>
  <c r="Q179" i="43" s="1"/>
  <c r="Q116" i="43"/>
  <c r="Q142" i="43" s="1"/>
  <c r="Q190" i="43" s="1"/>
  <c r="Q111" i="43"/>
  <c r="Q137" i="43" s="1"/>
  <c r="Q185" i="43" s="1"/>
  <c r="Q109" i="43"/>
  <c r="Q135" i="43" s="1"/>
  <c r="Q183" i="43" s="1"/>
  <c r="Q119" i="43"/>
  <c r="Q145" i="43" s="1"/>
  <c r="Q193" i="43" s="1"/>
  <c r="Q112" i="43"/>
  <c r="Q138" i="43" s="1"/>
  <c r="Q186" i="43" s="1"/>
  <c r="Q108" i="43"/>
  <c r="Q134" i="43" s="1"/>
  <c r="Q182" i="43" s="1"/>
  <c r="Q106" i="43"/>
  <c r="Q132" i="43" s="1"/>
  <c r="Q180" i="43" s="1"/>
  <c r="Q118" i="43"/>
  <c r="Q144" i="43" s="1"/>
  <c r="Q192" i="43" s="1"/>
  <c r="Q117" i="43"/>
  <c r="Q143" i="43" s="1"/>
  <c r="Q191" i="43" s="1"/>
  <c r="Q115" i="43"/>
  <c r="Q141" i="43" s="1"/>
  <c r="Q189" i="43" s="1"/>
  <c r="Q113" i="43"/>
  <c r="Q139" i="43" s="1"/>
  <c r="Q187" i="43" s="1"/>
  <c r="Q114" i="43"/>
  <c r="Q140" i="43" s="1"/>
  <c r="Q188" i="43" s="1"/>
  <c r="Q103" i="43"/>
  <c r="Q129" i="43" s="1"/>
  <c r="Q104" i="43"/>
  <c r="Q130" i="43" s="1"/>
  <c r="Q178" i="43" s="1"/>
  <c r="Q13" i="43"/>
  <c r="Q113" i="39"/>
  <c r="Q114" i="39" s="1"/>
  <c r="Q120" i="39" s="1"/>
  <c r="Q157" i="43"/>
  <c r="Q205" i="43" s="1"/>
  <c r="Q159" i="43"/>
  <c r="Q207" i="43" s="1"/>
  <c r="Q166" i="43"/>
  <c r="Q214" i="43" s="1"/>
  <c r="Q160" i="43"/>
  <c r="Q208" i="43" s="1"/>
  <c r="Q155" i="43"/>
  <c r="Q203" i="43" s="1"/>
  <c r="Q165" i="43"/>
  <c r="Q213" i="43" s="1"/>
  <c r="Q161" i="43"/>
  <c r="Q209" i="43" s="1"/>
  <c r="Q167" i="43"/>
  <c r="Q215" i="43" s="1"/>
  <c r="Q154" i="43"/>
  <c r="Q202" i="43" s="1"/>
  <c r="Q163" i="43"/>
  <c r="Q211" i="43" s="1"/>
  <c r="Q156" i="43"/>
  <c r="Q204" i="43" s="1"/>
  <c r="Q153" i="43"/>
  <c r="Q201" i="43" s="1"/>
  <c r="Q162" i="43"/>
  <c r="Q210" i="43" s="1"/>
  <c r="Q158" i="43"/>
  <c r="Q206" i="43" s="1"/>
  <c r="Q164" i="43"/>
  <c r="Q212" i="43" s="1"/>
  <c r="Q152" i="43"/>
  <c r="Q200" i="43" s="1"/>
  <c r="Q168" i="43"/>
  <c r="Q216" i="43" s="1"/>
  <c r="P15" i="43"/>
  <c r="Q151" i="43"/>
  <c r="P177" i="43"/>
  <c r="P147" i="43"/>
  <c r="Q14" i="43"/>
  <c r="Q69" i="40"/>
  <c r="R12" i="37"/>
  <c r="R66" i="40"/>
  <c r="P161" i="43"/>
  <c r="P209" i="43" s="1"/>
  <c r="P233" i="43" s="1"/>
  <c r="P167" i="43"/>
  <c r="P215" i="43" s="1"/>
  <c r="P239" i="43" s="1"/>
  <c r="O15" i="43"/>
  <c r="P163" i="43"/>
  <c r="P211" i="43" s="1"/>
  <c r="P235" i="43" s="1"/>
  <c r="P160" i="43"/>
  <c r="P208" i="43" s="1"/>
  <c r="P232" i="43" s="1"/>
  <c r="P166" i="43"/>
  <c r="P214" i="43" s="1"/>
  <c r="P238" i="43" s="1"/>
  <c r="P158" i="43"/>
  <c r="P206" i="43" s="1"/>
  <c r="P230" i="43" s="1"/>
  <c r="P159" i="43"/>
  <c r="P207" i="43" s="1"/>
  <c r="P231" i="43" s="1"/>
  <c r="P155" i="43"/>
  <c r="P203" i="43" s="1"/>
  <c r="P227" i="43" s="1"/>
  <c r="P151" i="43"/>
  <c r="P153" i="43"/>
  <c r="P201" i="43" s="1"/>
  <c r="P225" i="43" s="1"/>
  <c r="P165" i="43"/>
  <c r="P213" i="43" s="1"/>
  <c r="P237" i="43" s="1"/>
  <c r="P157" i="43"/>
  <c r="P205" i="43" s="1"/>
  <c r="P229" i="43" s="1"/>
  <c r="P164" i="43"/>
  <c r="P212" i="43" s="1"/>
  <c r="P236" i="43" s="1"/>
  <c r="P154" i="43"/>
  <c r="P202" i="43" s="1"/>
  <c r="P226" i="43" s="1"/>
  <c r="P152" i="43"/>
  <c r="P200" i="43" s="1"/>
  <c r="P224" i="43" s="1"/>
  <c r="P156" i="43"/>
  <c r="P204" i="43" s="1"/>
  <c r="P228" i="43" s="1"/>
  <c r="P168" i="43"/>
  <c r="P216" i="43" s="1"/>
  <c r="P240" i="43" s="1"/>
  <c r="P162" i="43"/>
  <c r="P210" i="43" s="1"/>
  <c r="P234" i="43" s="1"/>
  <c r="H23" i="37"/>
  <c r="H23" i="63"/>
  <c r="H23" i="54"/>
  <c r="AB113" i="30"/>
  <c r="AB115" i="30" s="1"/>
  <c r="AC111" i="30" s="1"/>
  <c r="I244" i="44"/>
  <c r="AB117" i="30"/>
  <c r="R125" i="30" s="1"/>
  <c r="AC92" i="30"/>
  <c r="AC94" i="30" s="1"/>
  <c r="AC93" i="30"/>
  <c r="AC96" i="30"/>
  <c r="S103" i="30" s="1"/>
  <c r="S54" i="40" s="1"/>
  <c r="S55" i="40" s="1"/>
  <c r="L102" i="40"/>
  <c r="L103" i="40" s="1"/>
  <c r="J199" i="44"/>
  <c r="J223" i="44" s="1"/>
  <c r="J169" i="44"/>
  <c r="L12" i="44"/>
  <c r="L15" i="37"/>
  <c r="K13" i="44"/>
  <c r="K103" i="40"/>
  <c r="K214" i="44"/>
  <c r="K238" i="44" s="1"/>
  <c r="K199" i="44"/>
  <c r="K223" i="44" s="1"/>
  <c r="K169" i="44"/>
  <c r="Y74" i="30"/>
  <c r="Y68" i="30"/>
  <c r="Y70" i="30" s="1"/>
  <c r="Y69" i="30"/>
  <c r="AX55" i="30"/>
  <c r="Q226" i="43" l="1"/>
  <c r="Q229" i="43"/>
  <c r="Q230" i="43"/>
  <c r="Q224" i="43"/>
  <c r="Q240" i="43"/>
  <c r="Q228" i="43"/>
  <c r="Q231" i="43"/>
  <c r="S66" i="40"/>
  <c r="S12" i="37"/>
  <c r="Q147" i="43"/>
  <c r="Q177" i="43"/>
  <c r="Q237" i="43"/>
  <c r="Q232" i="43"/>
  <c r="Q236" i="43"/>
  <c r="Q227" i="43"/>
  <c r="N12" i="36"/>
  <c r="O224" i="36" s="1"/>
  <c r="O225" i="36" s="1"/>
  <c r="N35" i="40"/>
  <c r="R153" i="43"/>
  <c r="R201" i="43" s="1"/>
  <c r="R159" i="43"/>
  <c r="R207" i="43" s="1"/>
  <c r="R155" i="43"/>
  <c r="R203" i="43" s="1"/>
  <c r="R167" i="43"/>
  <c r="R215" i="43" s="1"/>
  <c r="R166" i="43"/>
  <c r="R214" i="43" s="1"/>
  <c r="R151" i="43"/>
  <c r="R163" i="43"/>
  <c r="R211" i="43" s="1"/>
  <c r="Q15" i="43"/>
  <c r="R161" i="43"/>
  <c r="R209" i="43" s="1"/>
  <c r="R160" i="43"/>
  <c r="R208" i="43" s="1"/>
  <c r="R158" i="43"/>
  <c r="R206" i="43" s="1"/>
  <c r="R164" i="43"/>
  <c r="R212" i="43" s="1"/>
  <c r="R152" i="43"/>
  <c r="R200" i="43" s="1"/>
  <c r="R168" i="43"/>
  <c r="R216" i="43" s="1"/>
  <c r="R162" i="43"/>
  <c r="R210" i="43" s="1"/>
  <c r="R165" i="43"/>
  <c r="R213" i="43" s="1"/>
  <c r="R154" i="43"/>
  <c r="R202" i="43" s="1"/>
  <c r="R157" i="43"/>
  <c r="R205" i="43" s="1"/>
  <c r="R156" i="43"/>
  <c r="R204" i="43" s="1"/>
  <c r="Q199" i="43"/>
  <c r="Q169" i="43"/>
  <c r="Q233" i="43"/>
  <c r="R120" i="43"/>
  <c r="R146" i="43" s="1"/>
  <c r="R194" i="43" s="1"/>
  <c r="R105" i="43"/>
  <c r="R131" i="43" s="1"/>
  <c r="R179" i="43" s="1"/>
  <c r="R112" i="43"/>
  <c r="R138" i="43" s="1"/>
  <c r="R186" i="43" s="1"/>
  <c r="R111" i="43"/>
  <c r="R137" i="43" s="1"/>
  <c r="R185" i="43" s="1"/>
  <c r="R116" i="43"/>
  <c r="R142" i="43" s="1"/>
  <c r="R190" i="43" s="1"/>
  <c r="R109" i="43"/>
  <c r="R135" i="43" s="1"/>
  <c r="R183" i="43" s="1"/>
  <c r="R115" i="43"/>
  <c r="R141" i="43" s="1"/>
  <c r="R189" i="43" s="1"/>
  <c r="R114" i="43"/>
  <c r="R140" i="43" s="1"/>
  <c r="R188" i="43" s="1"/>
  <c r="R110" i="43"/>
  <c r="R136" i="43" s="1"/>
  <c r="R184" i="43" s="1"/>
  <c r="R107" i="43"/>
  <c r="R133" i="43" s="1"/>
  <c r="R181" i="43" s="1"/>
  <c r="R118" i="43"/>
  <c r="R144" i="43" s="1"/>
  <c r="R192" i="43" s="1"/>
  <c r="R108" i="43"/>
  <c r="R134" i="43" s="1"/>
  <c r="R182" i="43" s="1"/>
  <c r="R119" i="43"/>
  <c r="R145" i="43" s="1"/>
  <c r="R193" i="43" s="1"/>
  <c r="R104" i="43"/>
  <c r="R130" i="43" s="1"/>
  <c r="R178" i="43" s="1"/>
  <c r="R117" i="43"/>
  <c r="R143" i="43" s="1"/>
  <c r="R191" i="43" s="1"/>
  <c r="R113" i="43"/>
  <c r="R139" i="43" s="1"/>
  <c r="R187" i="43" s="1"/>
  <c r="R106" i="43"/>
  <c r="R132" i="43" s="1"/>
  <c r="R180" i="43" s="1"/>
  <c r="R103" i="43"/>
  <c r="R129" i="43" s="1"/>
  <c r="R12" i="43"/>
  <c r="R67" i="40"/>
  <c r="R68" i="40" s="1"/>
  <c r="Q235" i="43"/>
  <c r="M37" i="40"/>
  <c r="M14" i="36"/>
  <c r="O82" i="30"/>
  <c r="O22" i="40" s="1"/>
  <c r="O23" i="40" s="1"/>
  <c r="P169" i="43"/>
  <c r="P199" i="43"/>
  <c r="P223" i="43" s="1"/>
  <c r="P242" i="43" s="1"/>
  <c r="R159" i="39"/>
  <c r="R197" i="39" s="1"/>
  <c r="R84" i="43" s="1"/>
  <c r="V159" i="39"/>
  <c r="Z159" i="39"/>
  <c r="X159" i="39"/>
  <c r="S159" i="39"/>
  <c r="W159" i="39"/>
  <c r="AA159" i="39"/>
  <c r="T159" i="39"/>
  <c r="U159" i="39"/>
  <c r="Y159" i="39"/>
  <c r="Q234" i="43"/>
  <c r="Q238" i="43"/>
  <c r="Q239" i="43"/>
  <c r="Q225" i="43"/>
  <c r="P59" i="39"/>
  <c r="T59" i="39"/>
  <c r="N59" i="39"/>
  <c r="N101" i="39" s="1"/>
  <c r="N84" i="36" s="1"/>
  <c r="V59" i="39"/>
  <c r="O59" i="39"/>
  <c r="W59" i="39"/>
  <c r="Q59" i="39"/>
  <c r="U59" i="39"/>
  <c r="R59" i="39"/>
  <c r="S59" i="39"/>
  <c r="M88" i="40"/>
  <c r="M89" i="40" s="1"/>
  <c r="M101" i="40" s="1"/>
  <c r="M12" i="44" s="1"/>
  <c r="AD90" i="30"/>
  <c r="AD93" i="30" s="1"/>
  <c r="L13" i="44"/>
  <c r="M133" i="44" s="1"/>
  <c r="M181" i="44" s="1"/>
  <c r="J242" i="44"/>
  <c r="I23" i="63" s="1"/>
  <c r="L104" i="40"/>
  <c r="L14" i="44"/>
  <c r="AC117" i="30"/>
  <c r="S125" i="30" s="1"/>
  <c r="AC113" i="30"/>
  <c r="AC115" i="30" s="1"/>
  <c r="AC114" i="30"/>
  <c r="K14" i="44"/>
  <c r="K104" i="40"/>
  <c r="L134" i="44"/>
  <c r="L182" i="44" s="1"/>
  <c r="L132" i="44"/>
  <c r="L180" i="44" s="1"/>
  <c r="L130" i="44"/>
  <c r="L178" i="44" s="1"/>
  <c r="L144" i="44"/>
  <c r="L192" i="44" s="1"/>
  <c r="L146" i="44"/>
  <c r="L194" i="44" s="1"/>
  <c r="L136" i="44"/>
  <c r="L184" i="44" s="1"/>
  <c r="L129" i="44"/>
  <c r="L133" i="44"/>
  <c r="L181" i="44" s="1"/>
  <c r="L131" i="44"/>
  <c r="L179" i="44" s="1"/>
  <c r="L135" i="44"/>
  <c r="L183" i="44" s="1"/>
  <c r="L145" i="44"/>
  <c r="L193" i="44" s="1"/>
  <c r="L141" i="44"/>
  <c r="L189" i="44" s="1"/>
  <c r="L143" i="44"/>
  <c r="L191" i="44" s="1"/>
  <c r="L142" i="44"/>
  <c r="L190" i="44" s="1"/>
  <c r="L140" i="44"/>
  <c r="L188" i="44" s="1"/>
  <c r="L137" i="44"/>
  <c r="L185" i="44" s="1"/>
  <c r="L138" i="44"/>
  <c r="L186" i="44" s="1"/>
  <c r="L139" i="44"/>
  <c r="L187" i="44" s="1"/>
  <c r="Z66" i="30"/>
  <c r="AY55" i="30"/>
  <c r="R228" i="43" l="1"/>
  <c r="R230" i="43"/>
  <c r="R227" i="43"/>
  <c r="N13" i="36"/>
  <c r="N17" i="39"/>
  <c r="N18" i="39" s="1"/>
  <c r="N24" i="39" s="1"/>
  <c r="O14" i="37"/>
  <c r="O34" i="40"/>
  <c r="R240" i="43"/>
  <c r="R231" i="43"/>
  <c r="S67" i="40"/>
  <c r="S68" i="40" s="1"/>
  <c r="S12" i="43"/>
  <c r="P244" i="43"/>
  <c r="O22" i="37"/>
  <c r="R14" i="43"/>
  <c r="R69" i="40"/>
  <c r="R226" i="43"/>
  <c r="R224" i="43"/>
  <c r="R233" i="43"/>
  <c r="R238" i="43"/>
  <c r="R225" i="43"/>
  <c r="Q223" i="43"/>
  <c r="Q242" i="43" s="1"/>
  <c r="R177" i="43"/>
  <c r="R147" i="43"/>
  <c r="R234" i="43"/>
  <c r="R235" i="43"/>
  <c r="O108" i="36"/>
  <c r="O109" i="36"/>
  <c r="O115" i="36"/>
  <c r="O119" i="36"/>
  <c r="O110" i="36"/>
  <c r="O104" i="36"/>
  <c r="O107" i="36"/>
  <c r="O116" i="36"/>
  <c r="O112" i="36"/>
  <c r="O120" i="36"/>
  <c r="O106" i="36"/>
  <c r="O105" i="36"/>
  <c r="O113" i="36"/>
  <c r="O118" i="36"/>
  <c r="O111" i="36"/>
  <c r="O114" i="36"/>
  <c r="O117" i="36"/>
  <c r="O103" i="36"/>
  <c r="S117" i="43"/>
  <c r="S118" i="43"/>
  <c r="S112" i="43"/>
  <c r="S120" i="43"/>
  <c r="S119" i="43"/>
  <c r="S104" i="43"/>
  <c r="S111" i="43"/>
  <c r="S108" i="43"/>
  <c r="S107" i="43"/>
  <c r="S109" i="43"/>
  <c r="S106" i="43"/>
  <c r="S114" i="43"/>
  <c r="S113" i="43"/>
  <c r="S116" i="43"/>
  <c r="S115" i="43"/>
  <c r="S103" i="43"/>
  <c r="S110" i="43"/>
  <c r="S105" i="43"/>
  <c r="R229" i="43"/>
  <c r="R232" i="43"/>
  <c r="R169" i="43"/>
  <c r="R199" i="43"/>
  <c r="N156" i="36"/>
  <c r="N204" i="36" s="1"/>
  <c r="N164" i="36"/>
  <c r="N212" i="36" s="1"/>
  <c r="M15" i="36"/>
  <c r="N168" i="36"/>
  <c r="N216" i="36" s="1"/>
  <c r="N162" i="36"/>
  <c r="N210" i="36" s="1"/>
  <c r="N163" i="36"/>
  <c r="N211" i="36" s="1"/>
  <c r="N153" i="36"/>
  <c r="N201" i="36" s="1"/>
  <c r="N165" i="36"/>
  <c r="N213" i="36" s="1"/>
  <c r="N166" i="36"/>
  <c r="N214" i="36" s="1"/>
  <c r="N158" i="36"/>
  <c r="N206" i="36" s="1"/>
  <c r="N160" i="36"/>
  <c r="N208" i="36" s="1"/>
  <c r="N159" i="36"/>
  <c r="N207" i="36" s="1"/>
  <c r="N167" i="36"/>
  <c r="N215" i="36" s="1"/>
  <c r="N161" i="36"/>
  <c r="N209" i="36" s="1"/>
  <c r="N155" i="36"/>
  <c r="N203" i="36" s="1"/>
  <c r="N157" i="36"/>
  <c r="N205" i="36" s="1"/>
  <c r="N152" i="36"/>
  <c r="N200" i="36" s="1"/>
  <c r="N151" i="36"/>
  <c r="N154" i="36"/>
  <c r="N202" i="36" s="1"/>
  <c r="R113" i="39"/>
  <c r="R114" i="39" s="1"/>
  <c r="R120" i="39" s="1"/>
  <c r="R13" i="43"/>
  <c r="R237" i="43"/>
  <c r="R236" i="43"/>
  <c r="R239" i="43"/>
  <c r="N36" i="40"/>
  <c r="M102" i="40"/>
  <c r="M13" i="44" s="1"/>
  <c r="M13" i="37"/>
  <c r="N88" i="40"/>
  <c r="N89" i="40" s="1"/>
  <c r="N101" i="40" s="1"/>
  <c r="N102" i="40" s="1"/>
  <c r="AD96" i="30"/>
  <c r="T103" i="30" s="1"/>
  <c r="T54" i="40" s="1"/>
  <c r="T55" i="40" s="1"/>
  <c r="K242" i="44"/>
  <c r="I23" i="54"/>
  <c r="I23" i="37"/>
  <c r="AD92" i="30"/>
  <c r="AD94" i="30" s="1"/>
  <c r="AE90" i="30" s="1"/>
  <c r="M145" i="44"/>
  <c r="M193" i="44" s="1"/>
  <c r="M141" i="44"/>
  <c r="M189" i="44" s="1"/>
  <c r="M137" i="44"/>
  <c r="M185" i="44" s="1"/>
  <c r="M143" i="44"/>
  <c r="M191" i="44" s="1"/>
  <c r="M135" i="44"/>
  <c r="M183" i="44" s="1"/>
  <c r="M130" i="44"/>
  <c r="M178" i="44" s="1"/>
  <c r="M136" i="44"/>
  <c r="M184" i="44" s="1"/>
  <c r="M139" i="44"/>
  <c r="M187" i="44" s="1"/>
  <c r="M131" i="44"/>
  <c r="M179" i="44" s="1"/>
  <c r="M134" i="44"/>
  <c r="M182" i="44" s="1"/>
  <c r="M140" i="44"/>
  <c r="M188" i="44" s="1"/>
  <c r="M129" i="44"/>
  <c r="M132" i="44"/>
  <c r="M180" i="44" s="1"/>
  <c r="M146" i="44"/>
  <c r="M194" i="44" s="1"/>
  <c r="M144" i="44"/>
  <c r="M192" i="44" s="1"/>
  <c r="M138" i="44"/>
  <c r="M186" i="44" s="1"/>
  <c r="M142" i="44"/>
  <c r="M190" i="44" s="1"/>
  <c r="M163" i="44"/>
  <c r="M211" i="44" s="1"/>
  <c r="M168" i="44"/>
  <c r="M216" i="44" s="1"/>
  <c r="M161" i="44"/>
  <c r="M209" i="44" s="1"/>
  <c r="M155" i="44"/>
  <c r="M203" i="44" s="1"/>
  <c r="M227" i="44" s="1"/>
  <c r="M152" i="44"/>
  <c r="M200" i="44" s="1"/>
  <c r="M165" i="44"/>
  <c r="M213" i="44" s="1"/>
  <c r="M158" i="44"/>
  <c r="M206" i="44" s="1"/>
  <c r="M157" i="44"/>
  <c r="M205" i="44" s="1"/>
  <c r="M153" i="44"/>
  <c r="M201" i="44" s="1"/>
  <c r="M160" i="44"/>
  <c r="M208" i="44" s="1"/>
  <c r="M164" i="44"/>
  <c r="M212" i="44" s="1"/>
  <c r="L15" i="44"/>
  <c r="M159" i="44"/>
  <c r="M207" i="44" s="1"/>
  <c r="M151" i="44"/>
  <c r="M167" i="44"/>
  <c r="M215" i="44" s="1"/>
  <c r="M154" i="44"/>
  <c r="M202" i="44" s="1"/>
  <c r="M156" i="44"/>
  <c r="M204" i="44" s="1"/>
  <c r="M166" i="44"/>
  <c r="M214" i="44" s="1"/>
  <c r="M162" i="44"/>
  <c r="M210" i="44" s="1"/>
  <c r="J244" i="44"/>
  <c r="AD111" i="30"/>
  <c r="L177" i="44"/>
  <c r="L165" i="44"/>
  <c r="L213" i="44" s="1"/>
  <c r="L237" i="44" s="1"/>
  <c r="L158" i="44"/>
  <c r="L206" i="44" s="1"/>
  <c r="L230" i="44" s="1"/>
  <c r="L156" i="44"/>
  <c r="L204" i="44" s="1"/>
  <c r="L228" i="44" s="1"/>
  <c r="L166" i="44"/>
  <c r="L159" i="44"/>
  <c r="L207" i="44" s="1"/>
  <c r="L231" i="44" s="1"/>
  <c r="L154" i="44"/>
  <c r="L202" i="44" s="1"/>
  <c r="L226" i="44" s="1"/>
  <c r="L163" i="44"/>
  <c r="L211" i="44" s="1"/>
  <c r="L235" i="44" s="1"/>
  <c r="L168" i="44"/>
  <c r="L216" i="44" s="1"/>
  <c r="L240" i="44" s="1"/>
  <c r="L167" i="44"/>
  <c r="L215" i="44" s="1"/>
  <c r="L239" i="44" s="1"/>
  <c r="L151" i="44"/>
  <c r="L164" i="44"/>
  <c r="L212" i="44" s="1"/>
  <c r="L236" i="44" s="1"/>
  <c r="K15" i="44"/>
  <c r="L152" i="44"/>
  <c r="L200" i="44" s="1"/>
  <c r="L224" i="44" s="1"/>
  <c r="L160" i="44"/>
  <c r="L208" i="44" s="1"/>
  <c r="L232" i="44" s="1"/>
  <c r="L161" i="44"/>
  <c r="L209" i="44" s="1"/>
  <c r="L233" i="44" s="1"/>
  <c r="L157" i="44"/>
  <c r="L205" i="44" s="1"/>
  <c r="L229" i="44" s="1"/>
  <c r="L162" i="44"/>
  <c r="L210" i="44" s="1"/>
  <c r="L234" i="44" s="1"/>
  <c r="L155" i="44"/>
  <c r="L203" i="44" s="1"/>
  <c r="L227" i="44" s="1"/>
  <c r="L153" i="44"/>
  <c r="L201" i="44" s="1"/>
  <c r="L225" i="44" s="1"/>
  <c r="Z74" i="30"/>
  <c r="Z68" i="30"/>
  <c r="Z70" i="30" s="1"/>
  <c r="Z69" i="30"/>
  <c r="AZ55" i="30"/>
  <c r="S129" i="43" l="1"/>
  <c r="S177" i="43" s="1"/>
  <c r="S140" i="43"/>
  <c r="S188" i="43" s="1"/>
  <c r="S134" i="43"/>
  <c r="S182" i="43" s="1"/>
  <c r="R223" i="43"/>
  <c r="R242" i="43" s="1"/>
  <c r="N199" i="36"/>
  <c r="N169" i="36"/>
  <c r="S146" i="43"/>
  <c r="S194" i="43" s="1"/>
  <c r="S132" i="43"/>
  <c r="S180" i="43" s="1"/>
  <c r="S138" i="43"/>
  <c r="S186" i="43" s="1"/>
  <c r="T160" i="39"/>
  <c r="X160" i="39"/>
  <c r="AB160" i="39"/>
  <c r="Z160" i="39"/>
  <c r="S160" i="39"/>
  <c r="S197" i="39" s="1"/>
  <c r="S84" i="43" s="1"/>
  <c r="AA160" i="39"/>
  <c r="U160" i="39"/>
  <c r="Y160" i="39"/>
  <c r="V160" i="39"/>
  <c r="W160" i="39"/>
  <c r="S131" i="43"/>
  <c r="S179" i="43" s="1"/>
  <c r="S142" i="43"/>
  <c r="S190" i="43" s="1"/>
  <c r="S135" i="43"/>
  <c r="S183" i="43" s="1"/>
  <c r="S130" i="43"/>
  <c r="S178" i="43" s="1"/>
  <c r="S144" i="43"/>
  <c r="S192" i="43" s="1"/>
  <c r="Q244" i="43"/>
  <c r="P22" i="37"/>
  <c r="O35" i="40"/>
  <c r="O36" i="40" s="1"/>
  <c r="O12" i="36"/>
  <c r="P224" i="36" s="1"/>
  <c r="P225" i="36" s="1"/>
  <c r="R60" i="39"/>
  <c r="V60" i="39"/>
  <c r="T60" i="39"/>
  <c r="O60" i="39"/>
  <c r="O101" i="39" s="1"/>
  <c r="O84" i="36" s="1"/>
  <c r="S60" i="39"/>
  <c r="W60" i="39"/>
  <c r="P60" i="39"/>
  <c r="X60" i="39"/>
  <c r="Q60" i="39"/>
  <c r="U60" i="39"/>
  <c r="P82" i="30"/>
  <c r="P22" i="40" s="1"/>
  <c r="P23" i="40" s="1"/>
  <c r="N14" i="36"/>
  <c r="N37" i="40"/>
  <c r="S141" i="43"/>
  <c r="S189" i="43" s="1"/>
  <c r="S137" i="43"/>
  <c r="S185" i="43" s="1"/>
  <c r="S153" i="43"/>
  <c r="S201" i="43" s="1"/>
  <c r="R15" i="43"/>
  <c r="S167" i="43"/>
  <c r="S215" i="43" s="1"/>
  <c r="S162" i="43"/>
  <c r="S210" i="43" s="1"/>
  <c r="S163" i="43"/>
  <c r="S211" i="43" s="1"/>
  <c r="S151" i="43"/>
  <c r="S155" i="43"/>
  <c r="S203" i="43" s="1"/>
  <c r="S160" i="43"/>
  <c r="S208" i="43" s="1"/>
  <c r="S165" i="43"/>
  <c r="S213" i="43" s="1"/>
  <c r="S159" i="43"/>
  <c r="S207" i="43" s="1"/>
  <c r="S156" i="43"/>
  <c r="S204" i="43" s="1"/>
  <c r="S152" i="43"/>
  <c r="S200" i="43" s="1"/>
  <c r="S161" i="43"/>
  <c r="S209" i="43" s="1"/>
  <c r="S158" i="43"/>
  <c r="S206" i="43" s="1"/>
  <c r="S168" i="43"/>
  <c r="S216" i="43" s="1"/>
  <c r="S154" i="43"/>
  <c r="S202" i="43" s="1"/>
  <c r="S166" i="43"/>
  <c r="S214" i="43" s="1"/>
  <c r="S157" i="43"/>
  <c r="S205" i="43" s="1"/>
  <c r="S164" i="43"/>
  <c r="S212" i="43" s="1"/>
  <c r="S69" i="40"/>
  <c r="S14" i="43"/>
  <c r="T12" i="37"/>
  <c r="T66" i="40"/>
  <c r="S136" i="43"/>
  <c r="S184" i="43" s="1"/>
  <c r="S139" i="43"/>
  <c r="S187" i="43" s="1"/>
  <c r="S133" i="43"/>
  <c r="S181" i="43" s="1"/>
  <c r="S145" i="43"/>
  <c r="S193" i="43" s="1"/>
  <c r="S143" i="43"/>
  <c r="S191" i="43" s="1"/>
  <c r="S113" i="39"/>
  <c r="S114" i="39" s="1"/>
  <c r="S120" i="39" s="1"/>
  <c r="S13" i="43"/>
  <c r="O138" i="36"/>
  <c r="O186" i="36" s="1"/>
  <c r="O142" i="36"/>
  <c r="O190" i="36" s="1"/>
  <c r="O133" i="36"/>
  <c r="O181" i="36" s="1"/>
  <c r="O144" i="36"/>
  <c r="O192" i="36" s="1"/>
  <c r="O140" i="36"/>
  <c r="O188" i="36" s="1"/>
  <c r="O146" i="36"/>
  <c r="O194" i="36" s="1"/>
  <c r="O139" i="36"/>
  <c r="O187" i="36" s="1"/>
  <c r="O135" i="36"/>
  <c r="O183" i="36" s="1"/>
  <c r="O131" i="36"/>
  <c r="O179" i="36" s="1"/>
  <c r="O136" i="36"/>
  <c r="O184" i="36" s="1"/>
  <c r="O132" i="36"/>
  <c r="O180" i="36" s="1"/>
  <c r="O130" i="36"/>
  <c r="O178" i="36" s="1"/>
  <c r="O143" i="36"/>
  <c r="O191" i="36" s="1"/>
  <c r="O134" i="36"/>
  <c r="O182" i="36" s="1"/>
  <c r="O137" i="36"/>
  <c r="O185" i="36" s="1"/>
  <c r="O141" i="36"/>
  <c r="O189" i="36" s="1"/>
  <c r="O129" i="36"/>
  <c r="O145" i="36"/>
  <c r="O193" i="36" s="1"/>
  <c r="L214" i="44"/>
  <c r="L238" i="44" s="1"/>
  <c r="E297" i="47"/>
  <c r="J297" i="47" s="1"/>
  <c r="M103" i="40"/>
  <c r="M14" i="44" s="1"/>
  <c r="M232" i="44"/>
  <c r="M237" i="44"/>
  <c r="M240" i="44"/>
  <c r="M228" i="44"/>
  <c r="M224" i="44"/>
  <c r="M235" i="44"/>
  <c r="M233" i="44"/>
  <c r="M236" i="44"/>
  <c r="M226" i="44"/>
  <c r="M225" i="44"/>
  <c r="M229" i="44"/>
  <c r="M239" i="44"/>
  <c r="M238" i="44"/>
  <c r="M234" i="44"/>
  <c r="M230" i="44"/>
  <c r="M231" i="44"/>
  <c r="J23" i="37"/>
  <c r="T30" i="37" s="1"/>
  <c r="J23" i="63"/>
  <c r="M15" i="37"/>
  <c r="N12" i="44"/>
  <c r="N13" i="37"/>
  <c r="J23" i="54"/>
  <c r="K244" i="44"/>
  <c r="AE93" i="30"/>
  <c r="AE92" i="30"/>
  <c r="AE94" i="30" s="1"/>
  <c r="AE96" i="30"/>
  <c r="U103" i="30" s="1"/>
  <c r="U54" i="40" s="1"/>
  <c r="U55" i="40" s="1"/>
  <c r="M177" i="44"/>
  <c r="M199" i="44"/>
  <c r="M169" i="44"/>
  <c r="AD113" i="30"/>
  <c r="AD115" i="30" s="1"/>
  <c r="AD117" i="30"/>
  <c r="T125" i="30" s="1"/>
  <c r="AD114" i="30"/>
  <c r="N143" i="44"/>
  <c r="N191" i="44" s="1"/>
  <c r="N137" i="44"/>
  <c r="N185" i="44" s="1"/>
  <c r="N129" i="44"/>
  <c r="N130" i="44"/>
  <c r="N178" i="44" s="1"/>
  <c r="N134" i="44"/>
  <c r="N182" i="44" s="1"/>
  <c r="N139" i="44"/>
  <c r="N187" i="44" s="1"/>
  <c r="N140" i="44"/>
  <c r="N188" i="44" s="1"/>
  <c r="N136" i="44"/>
  <c r="N184" i="44" s="1"/>
  <c r="N131" i="44"/>
  <c r="N179" i="44" s="1"/>
  <c r="N132" i="44"/>
  <c r="N180" i="44" s="1"/>
  <c r="N144" i="44"/>
  <c r="N192" i="44" s="1"/>
  <c r="N141" i="44"/>
  <c r="N189" i="44" s="1"/>
  <c r="N142" i="44"/>
  <c r="N190" i="44" s="1"/>
  <c r="N146" i="44"/>
  <c r="N194" i="44" s="1"/>
  <c r="N138" i="44"/>
  <c r="N186" i="44" s="1"/>
  <c r="N133" i="44"/>
  <c r="N181" i="44" s="1"/>
  <c r="N135" i="44"/>
  <c r="N183" i="44" s="1"/>
  <c r="N145" i="44"/>
  <c r="N193" i="44" s="1"/>
  <c r="L199" i="44"/>
  <c r="L223" i="44" s="1"/>
  <c r="L169" i="44"/>
  <c r="N103" i="40"/>
  <c r="N13" i="44"/>
  <c r="AA66" i="30"/>
  <c r="BA55" i="30"/>
  <c r="S226" i="43" l="1"/>
  <c r="S232" i="43"/>
  <c r="S234" i="43"/>
  <c r="S229" i="43"/>
  <c r="S224" i="43"/>
  <c r="S240" i="43"/>
  <c r="S228" i="43"/>
  <c r="S227" i="43"/>
  <c r="P34" i="40"/>
  <c r="P14" i="37"/>
  <c r="S147" i="43"/>
  <c r="O177" i="36"/>
  <c r="O147" i="36"/>
  <c r="U66" i="40"/>
  <c r="U12" i="37"/>
  <c r="S230" i="43"/>
  <c r="S231" i="43"/>
  <c r="S199" i="43"/>
  <c r="S223" i="43" s="1"/>
  <c r="S169" i="43"/>
  <c r="O13" i="36"/>
  <c r="O17" i="39"/>
  <c r="O18" i="39" s="1"/>
  <c r="O24" i="39" s="1"/>
  <c r="P113" i="36"/>
  <c r="P103" i="36"/>
  <c r="P120" i="36"/>
  <c r="P107" i="36"/>
  <c r="P105" i="36"/>
  <c r="P109" i="36"/>
  <c r="P115" i="36"/>
  <c r="P106" i="36"/>
  <c r="P114" i="36"/>
  <c r="P117" i="36"/>
  <c r="P108" i="36"/>
  <c r="P112" i="36"/>
  <c r="P116" i="36"/>
  <c r="P119" i="36"/>
  <c r="P104" i="36"/>
  <c r="P111" i="36"/>
  <c r="P118" i="36"/>
  <c r="P110" i="36"/>
  <c r="O14" i="36"/>
  <c r="O37" i="40"/>
  <c r="R244" i="43"/>
  <c r="Q22" i="37"/>
  <c r="T12" i="43"/>
  <c r="T67" i="40"/>
  <c r="S236" i="43"/>
  <c r="S239" i="43"/>
  <c r="U161" i="39"/>
  <c r="Y161" i="39"/>
  <c r="AC161" i="39"/>
  <c r="W161" i="39"/>
  <c r="AA161" i="39"/>
  <c r="T161" i="39"/>
  <c r="T197" i="39" s="1"/>
  <c r="T84" i="43" s="1"/>
  <c r="X161" i="39"/>
  <c r="AB161" i="39"/>
  <c r="V161" i="39"/>
  <c r="Z161" i="39"/>
  <c r="T167" i="43"/>
  <c r="T215" i="43" s="1"/>
  <c r="T157" i="43"/>
  <c r="T205" i="43" s="1"/>
  <c r="S15" i="43"/>
  <c r="T154" i="43"/>
  <c r="T202" i="43" s="1"/>
  <c r="T156" i="43"/>
  <c r="T204" i="43" s="1"/>
  <c r="T168" i="43"/>
  <c r="T216" i="43" s="1"/>
  <c r="T161" i="43"/>
  <c r="T209" i="43" s="1"/>
  <c r="T160" i="43"/>
  <c r="T208" i="43" s="1"/>
  <c r="T152" i="43"/>
  <c r="T200" i="43" s="1"/>
  <c r="T165" i="43"/>
  <c r="T213" i="43" s="1"/>
  <c r="T162" i="43"/>
  <c r="T210" i="43" s="1"/>
  <c r="T164" i="43"/>
  <c r="T212" i="43" s="1"/>
  <c r="T151" i="43"/>
  <c r="T166" i="43"/>
  <c r="T214" i="43" s="1"/>
  <c r="T159" i="43"/>
  <c r="T207" i="43" s="1"/>
  <c r="T163" i="43"/>
  <c r="T211" i="43" s="1"/>
  <c r="T155" i="43"/>
  <c r="T203" i="43" s="1"/>
  <c r="T153" i="43"/>
  <c r="T201" i="43" s="1"/>
  <c r="T158" i="43"/>
  <c r="T206" i="43" s="1"/>
  <c r="S238" i="43"/>
  <c r="S233" i="43"/>
  <c r="S237" i="43"/>
  <c r="S235" i="43"/>
  <c r="S225" i="43"/>
  <c r="O167" i="36"/>
  <c r="O215" i="36" s="1"/>
  <c r="O247" i="36" s="1"/>
  <c r="O168" i="36"/>
  <c r="O216" i="36" s="1"/>
  <c r="O248" i="36" s="1"/>
  <c r="O158" i="36"/>
  <c r="O206" i="36" s="1"/>
  <c r="O238" i="36" s="1"/>
  <c r="O151" i="36"/>
  <c r="O161" i="36"/>
  <c r="O209" i="36" s="1"/>
  <c r="O241" i="36" s="1"/>
  <c r="O160" i="36"/>
  <c r="O208" i="36" s="1"/>
  <c r="O240" i="36" s="1"/>
  <c r="O153" i="36"/>
  <c r="O201" i="36" s="1"/>
  <c r="O233" i="36" s="1"/>
  <c r="O163" i="36"/>
  <c r="O211" i="36" s="1"/>
  <c r="O243" i="36" s="1"/>
  <c r="O164" i="36"/>
  <c r="O212" i="36" s="1"/>
  <c r="O244" i="36" s="1"/>
  <c r="O155" i="36"/>
  <c r="O203" i="36" s="1"/>
  <c r="O235" i="36" s="1"/>
  <c r="O166" i="36"/>
  <c r="O214" i="36" s="1"/>
  <c r="O246" i="36" s="1"/>
  <c r="O152" i="36"/>
  <c r="O200" i="36" s="1"/>
  <c r="O232" i="36" s="1"/>
  <c r="O159" i="36"/>
  <c r="O207" i="36" s="1"/>
  <c r="O239" i="36" s="1"/>
  <c r="O157" i="36"/>
  <c r="O205" i="36" s="1"/>
  <c r="O237" i="36" s="1"/>
  <c r="O165" i="36"/>
  <c r="O213" i="36" s="1"/>
  <c r="O245" i="36" s="1"/>
  <c r="O162" i="36"/>
  <c r="O210" i="36" s="1"/>
  <c r="O242" i="36" s="1"/>
  <c r="O156" i="36"/>
  <c r="O204" i="36" s="1"/>
  <c r="O236" i="36" s="1"/>
  <c r="O154" i="36"/>
  <c r="O202" i="36" s="1"/>
  <c r="O234" i="36" s="1"/>
  <c r="N15" i="36"/>
  <c r="T112" i="43"/>
  <c r="T138" i="43" s="1"/>
  <c r="T186" i="43" s="1"/>
  <c r="T114" i="43"/>
  <c r="T140" i="43" s="1"/>
  <c r="T188" i="43" s="1"/>
  <c r="T108" i="43"/>
  <c r="T134" i="43" s="1"/>
  <c r="T182" i="43" s="1"/>
  <c r="T103" i="43"/>
  <c r="T129" i="43" s="1"/>
  <c r="T104" i="43"/>
  <c r="T130" i="43" s="1"/>
  <c r="T178" i="43" s="1"/>
  <c r="T106" i="43"/>
  <c r="T132" i="43" s="1"/>
  <c r="T180" i="43" s="1"/>
  <c r="T105" i="43"/>
  <c r="T131" i="43" s="1"/>
  <c r="T179" i="43" s="1"/>
  <c r="T119" i="43"/>
  <c r="T145" i="43" s="1"/>
  <c r="T193" i="43" s="1"/>
  <c r="T118" i="43"/>
  <c r="T144" i="43" s="1"/>
  <c r="T192" i="43" s="1"/>
  <c r="T117" i="43"/>
  <c r="T143" i="43" s="1"/>
  <c r="T191" i="43" s="1"/>
  <c r="T111" i="43"/>
  <c r="T137" i="43" s="1"/>
  <c r="T185" i="43" s="1"/>
  <c r="T113" i="43"/>
  <c r="T139" i="43" s="1"/>
  <c r="T187" i="43" s="1"/>
  <c r="T109" i="43"/>
  <c r="T135" i="43" s="1"/>
  <c r="T183" i="43" s="1"/>
  <c r="T120" i="43"/>
  <c r="T146" i="43" s="1"/>
  <c r="T194" i="43" s="1"/>
  <c r="T110" i="43"/>
  <c r="T136" i="43" s="1"/>
  <c r="T184" i="43" s="1"/>
  <c r="T115" i="43"/>
  <c r="T141" i="43" s="1"/>
  <c r="T189" i="43" s="1"/>
  <c r="T107" i="43"/>
  <c r="T133" i="43" s="1"/>
  <c r="T181" i="43" s="1"/>
  <c r="T116" i="43"/>
  <c r="T142" i="43" s="1"/>
  <c r="T190" i="43" s="1"/>
  <c r="M104" i="40"/>
  <c r="N15" i="37"/>
  <c r="M223" i="44"/>
  <c r="M242" i="44" s="1"/>
  <c r="L23" i="63" s="1"/>
  <c r="O88" i="40"/>
  <c r="O89" i="40" s="1"/>
  <c r="O13" i="37" s="1"/>
  <c r="AF90" i="30"/>
  <c r="AF96" i="30" s="1"/>
  <c r="V103" i="30" s="1"/>
  <c r="V54" i="40" s="1"/>
  <c r="V55" i="40" s="1"/>
  <c r="L242" i="44"/>
  <c r="AE111" i="30"/>
  <c r="AE114" i="30" s="1"/>
  <c r="N177" i="44"/>
  <c r="N161" i="44"/>
  <c r="N209" i="44" s="1"/>
  <c r="N233" i="44" s="1"/>
  <c r="N158" i="44"/>
  <c r="N206" i="44" s="1"/>
  <c r="N230" i="44" s="1"/>
  <c r="N154" i="44"/>
  <c r="N202" i="44" s="1"/>
  <c r="N226" i="44" s="1"/>
  <c r="N157" i="44"/>
  <c r="N205" i="44" s="1"/>
  <c r="N229" i="44" s="1"/>
  <c r="N166" i="44"/>
  <c r="N214" i="44" s="1"/>
  <c r="N238" i="44" s="1"/>
  <c r="N160" i="44"/>
  <c r="N208" i="44" s="1"/>
  <c r="N232" i="44" s="1"/>
  <c r="M15" i="44"/>
  <c r="N168" i="44"/>
  <c r="N216" i="44" s="1"/>
  <c r="N240" i="44" s="1"/>
  <c r="N152" i="44"/>
  <c r="N200" i="44" s="1"/>
  <c r="N224" i="44" s="1"/>
  <c r="N151" i="44"/>
  <c r="N156" i="44"/>
  <c r="N204" i="44" s="1"/>
  <c r="N228" i="44" s="1"/>
  <c r="N162" i="44"/>
  <c r="N210" i="44" s="1"/>
  <c r="N234" i="44" s="1"/>
  <c r="N153" i="44"/>
  <c r="N201" i="44" s="1"/>
  <c r="N225" i="44" s="1"/>
  <c r="N163" i="44"/>
  <c r="N211" i="44" s="1"/>
  <c r="N235" i="44" s="1"/>
  <c r="N164" i="44"/>
  <c r="N212" i="44" s="1"/>
  <c r="N236" i="44" s="1"/>
  <c r="N165" i="44"/>
  <c r="N213" i="44" s="1"/>
  <c r="N237" i="44" s="1"/>
  <c r="N159" i="44"/>
  <c r="N207" i="44" s="1"/>
  <c r="N231" i="44" s="1"/>
  <c r="N155" i="44"/>
  <c r="N203" i="44" s="1"/>
  <c r="N227" i="44" s="1"/>
  <c r="N167" i="44"/>
  <c r="N215" i="44" s="1"/>
  <c r="N239" i="44" s="1"/>
  <c r="O139" i="44"/>
  <c r="O187" i="44" s="1"/>
  <c r="O145" i="44"/>
  <c r="O193" i="44" s="1"/>
  <c r="O141" i="44"/>
  <c r="O189" i="44" s="1"/>
  <c r="O142" i="44"/>
  <c r="O190" i="44" s="1"/>
  <c r="O136" i="44"/>
  <c r="O184" i="44" s="1"/>
  <c r="O140" i="44"/>
  <c r="O188" i="44" s="1"/>
  <c r="O143" i="44"/>
  <c r="O191" i="44" s="1"/>
  <c r="O135" i="44"/>
  <c r="O183" i="44" s="1"/>
  <c r="O129" i="44"/>
  <c r="O132" i="44"/>
  <c r="O180" i="44" s="1"/>
  <c r="O144" i="44"/>
  <c r="O192" i="44" s="1"/>
  <c r="O138" i="44"/>
  <c r="O186" i="44" s="1"/>
  <c r="O137" i="44"/>
  <c r="O185" i="44" s="1"/>
  <c r="O133" i="44"/>
  <c r="O181" i="44" s="1"/>
  <c r="O134" i="44"/>
  <c r="O182" i="44" s="1"/>
  <c r="O131" i="44"/>
  <c r="O179" i="44" s="1"/>
  <c r="O130" i="44"/>
  <c r="O178" i="44" s="1"/>
  <c r="O146" i="44"/>
  <c r="O194" i="44" s="1"/>
  <c r="N104" i="40"/>
  <c r="N14" i="44"/>
  <c r="AA69" i="30"/>
  <c r="AA68" i="30"/>
  <c r="AA74" i="30"/>
  <c r="BB55" i="30"/>
  <c r="S242" i="43" l="1"/>
  <c r="R22" i="37" s="1"/>
  <c r="T235" i="43"/>
  <c r="T226" i="43"/>
  <c r="T177" i="43"/>
  <c r="T147" i="43"/>
  <c r="T236" i="43"/>
  <c r="T232" i="43"/>
  <c r="T230" i="43"/>
  <c r="T234" i="43"/>
  <c r="Q82" i="30"/>
  <c r="Q22" i="40" s="1"/>
  <c r="Q23" i="40" s="1"/>
  <c r="T225" i="43"/>
  <c r="T238" i="43"/>
  <c r="T237" i="43"/>
  <c r="T240" i="43"/>
  <c r="T229" i="43"/>
  <c r="P159" i="36"/>
  <c r="P207" i="36" s="1"/>
  <c r="P153" i="36"/>
  <c r="P201" i="36" s="1"/>
  <c r="P167" i="36"/>
  <c r="P215" i="36" s="1"/>
  <c r="P158" i="36"/>
  <c r="P206" i="36" s="1"/>
  <c r="P164" i="36"/>
  <c r="P212" i="36" s="1"/>
  <c r="P163" i="36"/>
  <c r="P211" i="36" s="1"/>
  <c r="P160" i="36"/>
  <c r="P208" i="36" s="1"/>
  <c r="P162" i="36"/>
  <c r="P210" i="36" s="1"/>
  <c r="P151" i="36"/>
  <c r="P152" i="36"/>
  <c r="P200" i="36" s="1"/>
  <c r="P156" i="36"/>
  <c r="P204" i="36" s="1"/>
  <c r="P168" i="36"/>
  <c r="P216" i="36" s="1"/>
  <c r="P157" i="36"/>
  <c r="P205" i="36" s="1"/>
  <c r="P154" i="36"/>
  <c r="P202" i="36" s="1"/>
  <c r="P165" i="36"/>
  <c r="P213" i="36" s="1"/>
  <c r="P155" i="36"/>
  <c r="P203" i="36" s="1"/>
  <c r="O15" i="36"/>
  <c r="P166" i="36"/>
  <c r="P214" i="36" s="1"/>
  <c r="P161" i="36"/>
  <c r="P209" i="36" s="1"/>
  <c r="P134" i="36"/>
  <c r="P182" i="36" s="1"/>
  <c r="P145" i="36"/>
  <c r="P193" i="36" s="1"/>
  <c r="P142" i="36"/>
  <c r="P190" i="36" s="1"/>
  <c r="P130" i="36"/>
  <c r="P178" i="36" s="1"/>
  <c r="P133" i="36"/>
  <c r="P181" i="36" s="1"/>
  <c r="P143" i="36"/>
  <c r="P191" i="36" s="1"/>
  <c r="P129" i="36"/>
  <c r="P135" i="36"/>
  <c r="P183" i="36" s="1"/>
  <c r="P131" i="36"/>
  <c r="P179" i="36" s="1"/>
  <c r="P138" i="36"/>
  <c r="P186" i="36" s="1"/>
  <c r="P146" i="36"/>
  <c r="P194" i="36" s="1"/>
  <c r="P144" i="36"/>
  <c r="P192" i="36" s="1"/>
  <c r="P132" i="36"/>
  <c r="P180" i="36" s="1"/>
  <c r="P137" i="36"/>
  <c r="P185" i="36" s="1"/>
  <c r="P139" i="36"/>
  <c r="P187" i="36" s="1"/>
  <c r="P136" i="36"/>
  <c r="P184" i="36" s="1"/>
  <c r="P140" i="36"/>
  <c r="P188" i="36" s="1"/>
  <c r="P141" i="36"/>
  <c r="P189" i="36" s="1"/>
  <c r="U12" i="43"/>
  <c r="U67" i="40"/>
  <c r="U108" i="43"/>
  <c r="U112" i="43"/>
  <c r="U104" i="43"/>
  <c r="U119" i="43"/>
  <c r="U107" i="43"/>
  <c r="U105" i="43"/>
  <c r="U109" i="43"/>
  <c r="U110" i="43"/>
  <c r="U116" i="43"/>
  <c r="U111" i="43"/>
  <c r="U103" i="43"/>
  <c r="U115" i="43"/>
  <c r="U118" i="43"/>
  <c r="U113" i="43"/>
  <c r="U117" i="43"/>
  <c r="U106" i="43"/>
  <c r="U120" i="43"/>
  <c r="U114" i="43"/>
  <c r="O199" i="36"/>
  <c r="O231" i="36" s="1"/>
  <c r="O169" i="36"/>
  <c r="T231" i="43"/>
  <c r="T233" i="43"/>
  <c r="T68" i="40"/>
  <c r="T13" i="43"/>
  <c r="T113" i="39"/>
  <c r="T114" i="39" s="1"/>
  <c r="T120" i="39" s="1"/>
  <c r="R61" i="39"/>
  <c r="V61" i="39"/>
  <c r="P61" i="39"/>
  <c r="P101" i="39" s="1"/>
  <c r="P84" i="36" s="1"/>
  <c r="T61" i="39"/>
  <c r="X61" i="39"/>
  <c r="Q61" i="39"/>
  <c r="U61" i="39"/>
  <c r="Y61" i="39"/>
  <c r="S61" i="39"/>
  <c r="W61" i="39"/>
  <c r="V66" i="40"/>
  <c r="V12" i="37"/>
  <c r="T227" i="43"/>
  <c r="T169" i="43"/>
  <c r="T199" i="43"/>
  <c r="T224" i="43"/>
  <c r="T228" i="43"/>
  <c r="T239" i="43"/>
  <c r="P35" i="40"/>
  <c r="P12" i="36"/>
  <c r="Q224" i="36" s="1"/>
  <c r="Q225" i="36" s="1"/>
  <c r="K23" i="37"/>
  <c r="K23" i="63"/>
  <c r="O101" i="40"/>
  <c r="O102" i="40" s="1"/>
  <c r="AF93" i="30"/>
  <c r="L244" i="44"/>
  <c r="K23" i="54"/>
  <c r="AF92" i="30"/>
  <c r="AF94" i="30" s="1"/>
  <c r="AE113" i="30"/>
  <c r="AE115" i="30" s="1"/>
  <c r="AF111" i="30" s="1"/>
  <c r="L23" i="54"/>
  <c r="L23" i="37"/>
  <c r="AE117" i="30"/>
  <c r="U125" i="30" s="1"/>
  <c r="M244" i="44"/>
  <c r="O15" i="37"/>
  <c r="N169" i="44"/>
  <c r="N199" i="44"/>
  <c r="N223" i="44" s="1"/>
  <c r="O162" i="44"/>
  <c r="O210" i="44" s="1"/>
  <c r="O234" i="44" s="1"/>
  <c r="N116" i="63" s="1"/>
  <c r="N15" i="44"/>
  <c r="O158" i="44"/>
  <c r="O206" i="44" s="1"/>
  <c r="O230" i="44" s="1"/>
  <c r="N112" i="63" s="1"/>
  <c r="O152" i="44"/>
  <c r="O200" i="44" s="1"/>
  <c r="O224" i="44" s="1"/>
  <c r="N106" i="63" s="1"/>
  <c r="O151" i="44"/>
  <c r="O167" i="44"/>
  <c r="O215" i="44" s="1"/>
  <c r="O239" i="44" s="1"/>
  <c r="N121" i="63" s="1"/>
  <c r="O160" i="44"/>
  <c r="O208" i="44" s="1"/>
  <c r="O232" i="44" s="1"/>
  <c r="N114" i="63" s="1"/>
  <c r="O164" i="44"/>
  <c r="O212" i="44" s="1"/>
  <c r="O236" i="44" s="1"/>
  <c r="N118" i="63" s="1"/>
  <c r="O165" i="44"/>
  <c r="O213" i="44" s="1"/>
  <c r="O237" i="44" s="1"/>
  <c r="N119" i="63" s="1"/>
  <c r="O156" i="44"/>
  <c r="O204" i="44" s="1"/>
  <c r="O228" i="44" s="1"/>
  <c r="N110" i="63" s="1"/>
  <c r="O154" i="44"/>
  <c r="O202" i="44" s="1"/>
  <c r="O226" i="44" s="1"/>
  <c r="N108" i="63" s="1"/>
  <c r="O153" i="44"/>
  <c r="O201" i="44" s="1"/>
  <c r="O225" i="44" s="1"/>
  <c r="N107" i="63" s="1"/>
  <c r="O163" i="44"/>
  <c r="O211" i="44" s="1"/>
  <c r="O235" i="44" s="1"/>
  <c r="N117" i="63" s="1"/>
  <c r="O168" i="44"/>
  <c r="O216" i="44" s="1"/>
  <c r="O240" i="44" s="1"/>
  <c r="N122" i="63" s="1"/>
  <c r="O161" i="44"/>
  <c r="O209" i="44" s="1"/>
  <c r="O233" i="44" s="1"/>
  <c r="N115" i="63" s="1"/>
  <c r="O159" i="44"/>
  <c r="O207" i="44" s="1"/>
  <c r="O231" i="44" s="1"/>
  <c r="N113" i="63" s="1"/>
  <c r="O157" i="44"/>
  <c r="O205" i="44" s="1"/>
  <c r="O229" i="44" s="1"/>
  <c r="N111" i="63" s="1"/>
  <c r="O155" i="44"/>
  <c r="O203" i="44" s="1"/>
  <c r="O227" i="44" s="1"/>
  <c r="N109" i="63" s="1"/>
  <c r="O166" i="44"/>
  <c r="O214" i="44" s="1"/>
  <c r="O238" i="44" s="1"/>
  <c r="N120" i="63" s="1"/>
  <c r="O177" i="44"/>
  <c r="AA70" i="30"/>
  <c r="AB66" i="30" s="1"/>
  <c r="BC55" i="30"/>
  <c r="O250" i="36" l="1"/>
  <c r="N24" i="37" s="1"/>
  <c r="S244" i="43"/>
  <c r="P237" i="36"/>
  <c r="P244" i="36"/>
  <c r="P248" i="36"/>
  <c r="P238" i="36"/>
  <c r="P169" i="36"/>
  <c r="P199" i="36"/>
  <c r="P239" i="36"/>
  <c r="X162" i="39"/>
  <c r="AB162" i="39"/>
  <c r="V162" i="39"/>
  <c r="AD162" i="39"/>
  <c r="W162" i="39"/>
  <c r="U162" i="39"/>
  <c r="U197" i="39" s="1"/>
  <c r="U84" i="43" s="1"/>
  <c r="Y162" i="39"/>
  <c r="AC162" i="39"/>
  <c r="Z162" i="39"/>
  <c r="AA162" i="39"/>
  <c r="P242" i="36"/>
  <c r="P36" i="40"/>
  <c r="P13" i="36"/>
  <c r="P17" i="39"/>
  <c r="P18" i="39" s="1"/>
  <c r="P24" i="39" s="1"/>
  <c r="V67" i="40"/>
  <c r="V12" i="43"/>
  <c r="Q120" i="36"/>
  <c r="Q146" i="36" s="1"/>
  <c r="Q194" i="36" s="1"/>
  <c r="Q108" i="36"/>
  <c r="Q117" i="36"/>
  <c r="Q103" i="36"/>
  <c r="Q118" i="36"/>
  <c r="Q144" i="36" s="1"/>
  <c r="Q192" i="36" s="1"/>
  <c r="Q119" i="36"/>
  <c r="Q113" i="36"/>
  <c r="Q106" i="36"/>
  <c r="Q115" i="36"/>
  <c r="Q141" i="36" s="1"/>
  <c r="Q189" i="36" s="1"/>
  <c r="Q107" i="36"/>
  <c r="Q114" i="36"/>
  <c r="Q111" i="36"/>
  <c r="Q112" i="36"/>
  <c r="Q138" i="36" s="1"/>
  <c r="Q186" i="36" s="1"/>
  <c r="Q104" i="36"/>
  <c r="Q109" i="36"/>
  <c r="Q110" i="36"/>
  <c r="Q105" i="36"/>
  <c r="Q131" i="36" s="1"/>
  <c r="Q179" i="36" s="1"/>
  <c r="Q116" i="36"/>
  <c r="U142" i="43"/>
  <c r="U190" i="43" s="1"/>
  <c r="U143" i="43"/>
  <c r="U191" i="43" s="1"/>
  <c r="U137" i="43"/>
  <c r="U185" i="43" s="1"/>
  <c r="U138" i="43"/>
  <c r="U186" i="43" s="1"/>
  <c r="U139" i="43"/>
  <c r="U187" i="43" s="1"/>
  <c r="U145" i="43"/>
  <c r="U193" i="43" s="1"/>
  <c r="U132" i="43"/>
  <c r="U180" i="43" s="1"/>
  <c r="U131" i="43"/>
  <c r="U179" i="43" s="1"/>
  <c r="U129" i="43"/>
  <c r="U146" i="43"/>
  <c r="U194" i="43" s="1"/>
  <c r="U135" i="43"/>
  <c r="U183" i="43" s="1"/>
  <c r="U144" i="43"/>
  <c r="U192" i="43" s="1"/>
  <c r="U133" i="43"/>
  <c r="U181" i="43" s="1"/>
  <c r="U134" i="43"/>
  <c r="U182" i="43" s="1"/>
  <c r="U136" i="43"/>
  <c r="U184" i="43" s="1"/>
  <c r="U141" i="43"/>
  <c r="U189" i="43" s="1"/>
  <c r="U140" i="43"/>
  <c r="U188" i="43" s="1"/>
  <c r="U130" i="43"/>
  <c r="U178" i="43" s="1"/>
  <c r="U68" i="40"/>
  <c r="U113" i="39"/>
  <c r="U114" i="39" s="1"/>
  <c r="U120" i="39" s="1"/>
  <c r="U13" i="43"/>
  <c r="P241" i="36"/>
  <c r="P245" i="36"/>
  <c r="P236" i="36"/>
  <c r="P240" i="36"/>
  <c r="P247" i="36"/>
  <c r="Q14" i="37"/>
  <c r="Q34" i="40"/>
  <c r="P235" i="36"/>
  <c r="T69" i="40"/>
  <c r="T14" i="43"/>
  <c r="P177" i="36"/>
  <c r="P147" i="36"/>
  <c r="P246" i="36"/>
  <c r="P234" i="36"/>
  <c r="P232" i="36"/>
  <c r="P243" i="36"/>
  <c r="P233" i="36"/>
  <c r="T223" i="43"/>
  <c r="T242" i="43" s="1"/>
  <c r="O12" i="44"/>
  <c r="AW144" i="63"/>
  <c r="BA144" i="63" s="1"/>
  <c r="N238" i="63"/>
  <c r="AW141" i="63"/>
  <c r="N229" i="63"/>
  <c r="AW142" i="63"/>
  <c r="BA140" i="63" s="1"/>
  <c r="N228" i="63"/>
  <c r="N232" i="63"/>
  <c r="N233" i="63"/>
  <c r="N236" i="63"/>
  <c r="AW140" i="63"/>
  <c r="N237" i="63"/>
  <c r="AW139" i="63"/>
  <c r="BA141" i="63" s="1"/>
  <c r="N230" i="63"/>
  <c r="N231" i="63"/>
  <c r="AG90" i="30"/>
  <c r="AG92" i="30" s="1"/>
  <c r="AG94" i="30" s="1"/>
  <c r="P88" i="40"/>
  <c r="P89" i="40" s="1"/>
  <c r="P13" i="37" s="1"/>
  <c r="N242" i="44"/>
  <c r="O13" i="44"/>
  <c r="O103" i="40"/>
  <c r="AF113" i="30"/>
  <c r="AF115" i="30" s="1"/>
  <c r="AF117" i="30"/>
  <c r="V125" i="30" s="1"/>
  <c r="AF114" i="30"/>
  <c r="O169" i="44"/>
  <c r="O199" i="44"/>
  <c r="O223" i="44" s="1"/>
  <c r="N105" i="63" s="1"/>
  <c r="AB74" i="30"/>
  <c r="AB68" i="30"/>
  <c r="AB70" i="30" s="1"/>
  <c r="AB69" i="30"/>
  <c r="BD55" i="30"/>
  <c r="N234" i="63" l="1"/>
  <c r="N235" i="63"/>
  <c r="AW143" i="63"/>
  <c r="BA143" i="63" s="1"/>
  <c r="BA139" i="63"/>
  <c r="AW138" i="63"/>
  <c r="BA142" i="63" s="1"/>
  <c r="BC152" i="63"/>
  <c r="Q136" i="36"/>
  <c r="Q184" i="36" s="1"/>
  <c r="Q137" i="36"/>
  <c r="Q185" i="36" s="1"/>
  <c r="Q132" i="36"/>
  <c r="Q180" i="36" s="1"/>
  <c r="Q129" i="36"/>
  <c r="Q177" i="36" s="1"/>
  <c r="Q135" i="36"/>
  <c r="Q183" i="36" s="1"/>
  <c r="Q140" i="36"/>
  <c r="Q188" i="36" s="1"/>
  <c r="Q139" i="36"/>
  <c r="Q187" i="36" s="1"/>
  <c r="Q143" i="36"/>
  <c r="Q191" i="36" s="1"/>
  <c r="Q142" i="36"/>
  <c r="Q190" i="36" s="1"/>
  <c r="Q130" i="36"/>
  <c r="Q178" i="36" s="1"/>
  <c r="Q133" i="36"/>
  <c r="Q181" i="36" s="1"/>
  <c r="Q145" i="36"/>
  <c r="Q193" i="36" s="1"/>
  <c r="Q134" i="36"/>
  <c r="Q182" i="36" s="1"/>
  <c r="P231" i="36"/>
  <c r="S22" i="37"/>
  <c r="T244" i="43"/>
  <c r="U163" i="43"/>
  <c r="U211" i="43" s="1"/>
  <c r="U235" i="43" s="1"/>
  <c r="U154" i="43"/>
  <c r="U202" i="43" s="1"/>
  <c r="U226" i="43" s="1"/>
  <c r="U166" i="43"/>
  <c r="U214" i="43" s="1"/>
  <c r="U238" i="43" s="1"/>
  <c r="U159" i="43"/>
  <c r="U207" i="43" s="1"/>
  <c r="U231" i="43" s="1"/>
  <c r="U160" i="43"/>
  <c r="U208" i="43" s="1"/>
  <c r="U232" i="43" s="1"/>
  <c r="U168" i="43"/>
  <c r="U216" i="43" s="1"/>
  <c r="U240" i="43" s="1"/>
  <c r="U156" i="43"/>
  <c r="U204" i="43" s="1"/>
  <c r="U228" i="43" s="1"/>
  <c r="U167" i="43"/>
  <c r="U215" i="43" s="1"/>
  <c r="U239" i="43" s="1"/>
  <c r="T15" i="43"/>
  <c r="U152" i="43"/>
  <c r="U200" i="43" s="1"/>
  <c r="U224" i="43" s="1"/>
  <c r="U155" i="43"/>
  <c r="U203" i="43" s="1"/>
  <c r="U227" i="43" s="1"/>
  <c r="U164" i="43"/>
  <c r="U212" i="43" s="1"/>
  <c r="U236" i="43" s="1"/>
  <c r="U161" i="43"/>
  <c r="U209" i="43" s="1"/>
  <c r="U233" i="43" s="1"/>
  <c r="U151" i="43"/>
  <c r="U157" i="43"/>
  <c r="U205" i="43" s="1"/>
  <c r="U229" i="43" s="1"/>
  <c r="U158" i="43"/>
  <c r="U206" i="43" s="1"/>
  <c r="U230" i="43" s="1"/>
  <c r="U153" i="43"/>
  <c r="U201" i="43" s="1"/>
  <c r="U225" i="43" s="1"/>
  <c r="U162" i="43"/>
  <c r="U210" i="43" s="1"/>
  <c r="U234" i="43" s="1"/>
  <c r="U165" i="43"/>
  <c r="U213" i="43" s="1"/>
  <c r="U237" i="43" s="1"/>
  <c r="Q35" i="40"/>
  <c r="Q12" i="36"/>
  <c r="R224" i="36" s="1"/>
  <c r="R225" i="36" s="1"/>
  <c r="Y163" i="39"/>
  <c r="AC163" i="39"/>
  <c r="AE163" i="39"/>
  <c r="AB163" i="39"/>
  <c r="V163" i="39"/>
  <c r="V197" i="39" s="1"/>
  <c r="V84" i="43" s="1"/>
  <c r="Z163" i="39"/>
  <c r="AD163" i="39"/>
  <c r="W163" i="39"/>
  <c r="AA163" i="39"/>
  <c r="X163" i="39"/>
  <c r="Q62" i="39"/>
  <c r="Q101" i="39" s="1"/>
  <c r="Q84" i="36" s="1"/>
  <c r="U62" i="39"/>
  <c r="Y62" i="39"/>
  <c r="S62" i="39"/>
  <c r="W62" i="39"/>
  <c r="T62" i="39"/>
  <c r="X62" i="39"/>
  <c r="R62" i="39"/>
  <c r="V62" i="39"/>
  <c r="Z62" i="39"/>
  <c r="V112" i="43"/>
  <c r="V138" i="43" s="1"/>
  <c r="V186" i="43" s="1"/>
  <c r="V119" i="43"/>
  <c r="V145" i="43" s="1"/>
  <c r="V193" i="43" s="1"/>
  <c r="V109" i="43"/>
  <c r="V135" i="43" s="1"/>
  <c r="V183" i="43" s="1"/>
  <c r="V118" i="43"/>
  <c r="V144" i="43" s="1"/>
  <c r="V192" i="43" s="1"/>
  <c r="V106" i="43"/>
  <c r="V132" i="43" s="1"/>
  <c r="V180" i="43" s="1"/>
  <c r="V105" i="43"/>
  <c r="V131" i="43" s="1"/>
  <c r="V179" i="43" s="1"/>
  <c r="V107" i="43"/>
  <c r="V133" i="43" s="1"/>
  <c r="V181" i="43" s="1"/>
  <c r="V104" i="43"/>
  <c r="V130" i="43" s="1"/>
  <c r="V178" i="43" s="1"/>
  <c r="V120" i="43"/>
  <c r="V146" i="43" s="1"/>
  <c r="V194" i="43" s="1"/>
  <c r="V113" i="43"/>
  <c r="V139" i="43" s="1"/>
  <c r="V187" i="43" s="1"/>
  <c r="V110" i="43"/>
  <c r="V136" i="43" s="1"/>
  <c r="V184" i="43" s="1"/>
  <c r="V111" i="43"/>
  <c r="V137" i="43" s="1"/>
  <c r="V185" i="43" s="1"/>
  <c r="V117" i="43"/>
  <c r="V143" i="43" s="1"/>
  <c r="V191" i="43" s="1"/>
  <c r="V116" i="43"/>
  <c r="V142" i="43" s="1"/>
  <c r="V190" i="43" s="1"/>
  <c r="V103" i="43"/>
  <c r="V129" i="43" s="1"/>
  <c r="V114" i="43"/>
  <c r="V140" i="43" s="1"/>
  <c r="V188" i="43" s="1"/>
  <c r="V108" i="43"/>
  <c r="V134" i="43" s="1"/>
  <c r="V182" i="43" s="1"/>
  <c r="V115" i="43"/>
  <c r="V141" i="43" s="1"/>
  <c r="V189" i="43" s="1"/>
  <c r="R82" i="30"/>
  <c r="R22" i="40" s="1"/>
  <c r="R23" i="40" s="1"/>
  <c r="P37" i="40"/>
  <c r="P14" i="36"/>
  <c r="U147" i="43"/>
  <c r="U177" i="43"/>
  <c r="V68" i="40"/>
  <c r="V113" i="39"/>
  <c r="V114" i="39" s="1"/>
  <c r="V120" i="39" s="1"/>
  <c r="V13" i="43"/>
  <c r="U69" i="40"/>
  <c r="U14" i="43"/>
  <c r="M23" i="37"/>
  <c r="M23" i="63"/>
  <c r="N227" i="63"/>
  <c r="AG93" i="30"/>
  <c r="AH90" i="30" s="1"/>
  <c r="AH93" i="30" s="1"/>
  <c r="P101" i="40"/>
  <c r="P12" i="44" s="1"/>
  <c r="AG96" i="30"/>
  <c r="Q88" i="40"/>
  <c r="Q89" i="40" s="1"/>
  <c r="Q13" i="37" s="1"/>
  <c r="Q15" i="37" s="1"/>
  <c r="N244" i="44"/>
  <c r="M23" i="54"/>
  <c r="O242" i="44"/>
  <c r="P15" i="37"/>
  <c r="AG111" i="30"/>
  <c r="O104" i="40"/>
  <c r="O14" i="44"/>
  <c r="P129" i="44"/>
  <c r="P140" i="44"/>
  <c r="P188" i="44" s="1"/>
  <c r="P144" i="44"/>
  <c r="P192" i="44" s="1"/>
  <c r="P131" i="44"/>
  <c r="P179" i="44" s="1"/>
  <c r="P143" i="44"/>
  <c r="P191" i="44" s="1"/>
  <c r="P135" i="44"/>
  <c r="P183" i="44" s="1"/>
  <c r="P136" i="44"/>
  <c r="P184" i="44" s="1"/>
  <c r="P141" i="44"/>
  <c r="P189" i="44" s="1"/>
  <c r="P134" i="44"/>
  <c r="P182" i="44" s="1"/>
  <c r="P142" i="44"/>
  <c r="P190" i="44" s="1"/>
  <c r="P145" i="44"/>
  <c r="P193" i="44" s="1"/>
  <c r="P130" i="44"/>
  <c r="P178" i="44" s="1"/>
  <c r="P146" i="44"/>
  <c r="P194" i="44" s="1"/>
  <c r="P139" i="44"/>
  <c r="P187" i="44" s="1"/>
  <c r="P137" i="44"/>
  <c r="P185" i="44" s="1"/>
  <c r="P138" i="44"/>
  <c r="P186" i="44" s="1"/>
  <c r="P132" i="44"/>
  <c r="P180" i="44" s="1"/>
  <c r="P133" i="44"/>
  <c r="P181" i="44" s="1"/>
  <c r="AC66" i="30"/>
  <c r="AC68" i="30" s="1"/>
  <c r="AC70" i="30" s="1"/>
  <c r="BE55" i="30"/>
  <c r="P250" i="36" l="1"/>
  <c r="AW145" i="63"/>
  <c r="Q147" i="36"/>
  <c r="V177" i="43"/>
  <c r="V147" i="43"/>
  <c r="Q36" i="40"/>
  <c r="Q17" i="39"/>
  <c r="Q18" i="39" s="1"/>
  <c r="Q24" i="39" s="1"/>
  <c r="Q13" i="36"/>
  <c r="V153" i="43"/>
  <c r="V201" i="43" s="1"/>
  <c r="V225" i="43" s="1"/>
  <c r="V163" i="43"/>
  <c r="V211" i="43" s="1"/>
  <c r="V235" i="43" s="1"/>
  <c r="V165" i="43"/>
  <c r="V213" i="43" s="1"/>
  <c r="V237" i="43" s="1"/>
  <c r="V154" i="43"/>
  <c r="V202" i="43" s="1"/>
  <c r="V226" i="43" s="1"/>
  <c r="V151" i="43"/>
  <c r="V155" i="43"/>
  <c r="V203" i="43" s="1"/>
  <c r="V227" i="43" s="1"/>
  <c r="V159" i="43"/>
  <c r="V207" i="43" s="1"/>
  <c r="V231" i="43" s="1"/>
  <c r="V168" i="43"/>
  <c r="V216" i="43" s="1"/>
  <c r="V240" i="43" s="1"/>
  <c r="V157" i="43"/>
  <c r="V205" i="43" s="1"/>
  <c r="V229" i="43" s="1"/>
  <c r="U15" i="43"/>
  <c r="V164" i="43"/>
  <c r="V212" i="43" s="1"/>
  <c r="V236" i="43" s="1"/>
  <c r="V158" i="43"/>
  <c r="V206" i="43" s="1"/>
  <c r="V230" i="43" s="1"/>
  <c r="V152" i="43"/>
  <c r="V200" i="43" s="1"/>
  <c r="V224" i="43" s="1"/>
  <c r="V160" i="43"/>
  <c r="V208" i="43" s="1"/>
  <c r="V232" i="43" s="1"/>
  <c r="V162" i="43"/>
  <c r="V210" i="43" s="1"/>
  <c r="V234" i="43" s="1"/>
  <c r="V167" i="43"/>
  <c r="V215" i="43" s="1"/>
  <c r="V239" i="43" s="1"/>
  <c r="V156" i="43"/>
  <c r="V204" i="43" s="1"/>
  <c r="V228" i="43" s="1"/>
  <c r="V166" i="43"/>
  <c r="V214" i="43" s="1"/>
  <c r="V238" i="43" s="1"/>
  <c r="V161" i="43"/>
  <c r="V209" i="43" s="1"/>
  <c r="V233" i="43" s="1"/>
  <c r="V69" i="40"/>
  <c r="V14" i="43"/>
  <c r="R108" i="36"/>
  <c r="R109" i="36"/>
  <c r="R113" i="36"/>
  <c r="R103" i="36"/>
  <c r="R118" i="36"/>
  <c r="R114" i="36"/>
  <c r="R105" i="36"/>
  <c r="R107" i="36"/>
  <c r="R111" i="36"/>
  <c r="R120" i="36"/>
  <c r="R117" i="36"/>
  <c r="R116" i="36"/>
  <c r="R112" i="36"/>
  <c r="R104" i="36"/>
  <c r="R110" i="36"/>
  <c r="R115" i="36"/>
  <c r="R106" i="36"/>
  <c r="R119" i="36"/>
  <c r="W103" i="30"/>
  <c r="W54" i="40" s="1"/>
  <c r="W55" i="40" s="1"/>
  <c r="Z164" i="39"/>
  <c r="AD164" i="39"/>
  <c r="AB164" i="39"/>
  <c r="AF164" i="39"/>
  <c r="Y164" i="39"/>
  <c r="W164" i="39"/>
  <c r="W197" i="39" s="1"/>
  <c r="W84" i="43" s="1"/>
  <c r="AA164" i="39"/>
  <c r="AE164" i="39"/>
  <c r="X164" i="39"/>
  <c r="AC164" i="39"/>
  <c r="Q168" i="36"/>
  <c r="Q216" i="36" s="1"/>
  <c r="Q248" i="36" s="1"/>
  <c r="Q159" i="36"/>
  <c r="Q207" i="36" s="1"/>
  <c r="Q239" i="36" s="1"/>
  <c r="Q151" i="36"/>
  <c r="Q153" i="36"/>
  <c r="Q201" i="36" s="1"/>
  <c r="Q233" i="36" s="1"/>
  <c r="Q155" i="36"/>
  <c r="Q203" i="36" s="1"/>
  <c r="Q235" i="36" s="1"/>
  <c r="Q166" i="36"/>
  <c r="Q214" i="36" s="1"/>
  <c r="Q246" i="36" s="1"/>
  <c r="Q154" i="36"/>
  <c r="Q202" i="36" s="1"/>
  <c r="Q234" i="36" s="1"/>
  <c r="Q162" i="36"/>
  <c r="Q210" i="36" s="1"/>
  <c r="Q242" i="36" s="1"/>
  <c r="Q164" i="36"/>
  <c r="Q212" i="36" s="1"/>
  <c r="Q244" i="36" s="1"/>
  <c r="Q157" i="36"/>
  <c r="Q205" i="36" s="1"/>
  <c r="Q237" i="36" s="1"/>
  <c r="Q156" i="36"/>
  <c r="Q204" i="36" s="1"/>
  <c r="Q236" i="36" s="1"/>
  <c r="Q163" i="36"/>
  <c r="Q211" i="36" s="1"/>
  <c r="Q243" i="36" s="1"/>
  <c r="Q165" i="36"/>
  <c r="Q213" i="36" s="1"/>
  <c r="Q245" i="36" s="1"/>
  <c r="Q161" i="36"/>
  <c r="Q209" i="36" s="1"/>
  <c r="Q241" i="36" s="1"/>
  <c r="P15" i="36"/>
  <c r="Q158" i="36"/>
  <c r="Q206" i="36" s="1"/>
  <c r="Q238" i="36" s="1"/>
  <c r="Q160" i="36"/>
  <c r="Q208" i="36" s="1"/>
  <c r="Q240" i="36" s="1"/>
  <c r="Q167" i="36"/>
  <c r="Q215" i="36" s="1"/>
  <c r="Q247" i="36" s="1"/>
  <c r="Q152" i="36"/>
  <c r="Q200" i="36" s="1"/>
  <c r="Q232" i="36" s="1"/>
  <c r="R14" i="37"/>
  <c r="R34" i="40"/>
  <c r="W110" i="43"/>
  <c r="W136" i="43" s="1"/>
  <c r="W184" i="43" s="1"/>
  <c r="W106" i="43"/>
  <c r="W132" i="43" s="1"/>
  <c r="W180" i="43" s="1"/>
  <c r="W118" i="43"/>
  <c r="W144" i="43" s="1"/>
  <c r="W192" i="43" s="1"/>
  <c r="W112" i="43"/>
  <c r="W138" i="43" s="1"/>
  <c r="W186" i="43" s="1"/>
  <c r="W120" i="43"/>
  <c r="W146" i="43" s="1"/>
  <c r="W194" i="43" s="1"/>
  <c r="W111" i="43"/>
  <c r="W137" i="43" s="1"/>
  <c r="W185" i="43" s="1"/>
  <c r="W114" i="43"/>
  <c r="W140" i="43" s="1"/>
  <c r="W188" i="43" s="1"/>
  <c r="W113" i="43"/>
  <c r="W139" i="43" s="1"/>
  <c r="W187" i="43" s="1"/>
  <c r="W115" i="43"/>
  <c r="W141" i="43" s="1"/>
  <c r="W189" i="43" s="1"/>
  <c r="W104" i="43"/>
  <c r="W130" i="43" s="1"/>
  <c r="W178" i="43" s="1"/>
  <c r="W105" i="43"/>
  <c r="W131" i="43" s="1"/>
  <c r="W179" i="43" s="1"/>
  <c r="W103" i="43"/>
  <c r="W129" i="43" s="1"/>
  <c r="W107" i="43"/>
  <c r="W133" i="43" s="1"/>
  <c r="W181" i="43" s="1"/>
  <c r="W117" i="43"/>
  <c r="W143" i="43" s="1"/>
  <c r="W191" i="43" s="1"/>
  <c r="W119" i="43"/>
  <c r="W145" i="43" s="1"/>
  <c r="W193" i="43" s="1"/>
  <c r="W116" i="43"/>
  <c r="W142" i="43" s="1"/>
  <c r="W190" i="43" s="1"/>
  <c r="W108" i="43"/>
  <c r="W134" i="43" s="1"/>
  <c r="W182" i="43" s="1"/>
  <c r="W109" i="43"/>
  <c r="W135" i="43" s="1"/>
  <c r="W183" i="43" s="1"/>
  <c r="U199" i="43"/>
  <c r="U223" i="43" s="1"/>
  <c r="U242" i="43" s="1"/>
  <c r="U169" i="43"/>
  <c r="O24" i="37"/>
  <c r="P252" i="36"/>
  <c r="P102" i="40"/>
  <c r="P13" i="44" s="1"/>
  <c r="Q143" i="44" s="1"/>
  <c r="Q191" i="44" s="1"/>
  <c r="N23" i="37"/>
  <c r="N25" i="37" s="1"/>
  <c r="N23" i="63"/>
  <c r="N123" i="63"/>
  <c r="N239" i="63" s="1"/>
  <c r="Q101" i="40"/>
  <c r="Q12" i="44" s="1"/>
  <c r="AC74" i="30"/>
  <c r="AH92" i="30"/>
  <c r="AH94" i="30" s="1"/>
  <c r="AI90" i="30" s="1"/>
  <c r="AH96" i="30"/>
  <c r="X103" i="30" s="1"/>
  <c r="X54" i="40" s="1"/>
  <c r="O244" i="44"/>
  <c r="N23" i="54"/>
  <c r="AC69" i="30"/>
  <c r="AD66" i="30" s="1"/>
  <c r="P177" i="44"/>
  <c r="P157" i="44"/>
  <c r="P205" i="44" s="1"/>
  <c r="P229" i="44" s="1"/>
  <c r="O111" i="63" s="1"/>
  <c r="P165" i="44"/>
  <c r="P213" i="44" s="1"/>
  <c r="P237" i="44" s="1"/>
  <c r="O119" i="63" s="1"/>
  <c r="P160" i="44"/>
  <c r="P208" i="44" s="1"/>
  <c r="P232" i="44" s="1"/>
  <c r="O114" i="63" s="1"/>
  <c r="P156" i="44"/>
  <c r="P204" i="44" s="1"/>
  <c r="P228" i="44" s="1"/>
  <c r="O110" i="63" s="1"/>
  <c r="P161" i="44"/>
  <c r="P209" i="44" s="1"/>
  <c r="P233" i="44" s="1"/>
  <c r="O115" i="63" s="1"/>
  <c r="P167" i="44"/>
  <c r="P215" i="44" s="1"/>
  <c r="P239" i="44" s="1"/>
  <c r="O121" i="63" s="1"/>
  <c r="P151" i="44"/>
  <c r="P168" i="44"/>
  <c r="P216" i="44" s="1"/>
  <c r="P240" i="44" s="1"/>
  <c r="O122" i="63" s="1"/>
  <c r="P152" i="44"/>
  <c r="P200" i="44" s="1"/>
  <c r="P224" i="44" s="1"/>
  <c r="O106" i="63" s="1"/>
  <c r="P158" i="44"/>
  <c r="P206" i="44" s="1"/>
  <c r="P230" i="44" s="1"/>
  <c r="O112" i="63" s="1"/>
  <c r="P163" i="44"/>
  <c r="P211" i="44" s="1"/>
  <c r="P235" i="44" s="1"/>
  <c r="O117" i="63" s="1"/>
  <c r="P153" i="44"/>
  <c r="P201" i="44" s="1"/>
  <c r="P225" i="44" s="1"/>
  <c r="O107" i="63" s="1"/>
  <c r="O15" i="44"/>
  <c r="P166" i="44"/>
  <c r="P214" i="44" s="1"/>
  <c r="P238" i="44" s="1"/>
  <c r="O120" i="63" s="1"/>
  <c r="P154" i="44"/>
  <c r="P202" i="44" s="1"/>
  <c r="P226" i="44" s="1"/>
  <c r="O108" i="63" s="1"/>
  <c r="P162" i="44"/>
  <c r="P210" i="44" s="1"/>
  <c r="P234" i="44" s="1"/>
  <c r="O116" i="63" s="1"/>
  <c r="P155" i="44"/>
  <c r="P203" i="44" s="1"/>
  <c r="P227" i="44" s="1"/>
  <c r="O109" i="63" s="1"/>
  <c r="P159" i="44"/>
  <c r="P207" i="44" s="1"/>
  <c r="P231" i="44" s="1"/>
  <c r="O113" i="63" s="1"/>
  <c r="P164" i="44"/>
  <c r="P212" i="44" s="1"/>
  <c r="P236" i="44" s="1"/>
  <c r="O118" i="63" s="1"/>
  <c r="AG114" i="30"/>
  <c r="AG113" i="30"/>
  <c r="AG115" i="30" s="1"/>
  <c r="AG117" i="30"/>
  <c r="W125" i="30" s="1"/>
  <c r="BF55" i="30"/>
  <c r="R136" i="36" l="1"/>
  <c r="R184" i="36" s="1"/>
  <c r="R131" i="36"/>
  <c r="R179" i="36" s="1"/>
  <c r="R143" i="36"/>
  <c r="R191" i="36" s="1"/>
  <c r="R139" i="36"/>
  <c r="R187" i="36" s="1"/>
  <c r="R141" i="36"/>
  <c r="R189" i="36" s="1"/>
  <c r="R142" i="36"/>
  <c r="R190" i="36" s="1"/>
  <c r="R133" i="36"/>
  <c r="R181" i="36" s="1"/>
  <c r="R129" i="36"/>
  <c r="R177" i="36" s="1"/>
  <c r="R145" i="36"/>
  <c r="R193" i="36" s="1"/>
  <c r="R130" i="36"/>
  <c r="R178" i="36" s="1"/>
  <c r="R146" i="36"/>
  <c r="R194" i="36" s="1"/>
  <c r="R140" i="36"/>
  <c r="R188" i="36" s="1"/>
  <c r="R135" i="36"/>
  <c r="R183" i="36" s="1"/>
  <c r="R132" i="36"/>
  <c r="R180" i="36" s="1"/>
  <c r="R138" i="36"/>
  <c r="R186" i="36" s="1"/>
  <c r="R137" i="36"/>
  <c r="R185" i="36" s="1"/>
  <c r="R144" i="36"/>
  <c r="R192" i="36" s="1"/>
  <c r="R134" i="36"/>
  <c r="R182" i="36" s="1"/>
  <c r="BA148" i="63"/>
  <c r="BA138" i="63"/>
  <c r="N103" i="63"/>
  <c r="Q141" i="44"/>
  <c r="Q189" i="44" s="1"/>
  <c r="Q137" i="44"/>
  <c r="Q185" i="44" s="1"/>
  <c r="Q146" i="44"/>
  <c r="Q194" i="44" s="1"/>
  <c r="X55" i="40"/>
  <c r="X66" i="40" s="1"/>
  <c r="S82" i="30"/>
  <c r="S22" i="40" s="1"/>
  <c r="S23" i="40" s="1"/>
  <c r="Q140" i="44"/>
  <c r="Q188" i="44" s="1"/>
  <c r="Q130" i="44"/>
  <c r="Q178" i="44" s="1"/>
  <c r="Q136" i="44"/>
  <c r="Q184" i="44" s="1"/>
  <c r="Q145" i="44"/>
  <c r="Q193" i="44" s="1"/>
  <c r="Q138" i="44"/>
  <c r="Q186" i="44" s="1"/>
  <c r="Q139" i="44"/>
  <c r="Q187" i="44" s="1"/>
  <c r="Q142" i="44"/>
  <c r="Q190" i="44" s="1"/>
  <c r="Q129" i="44"/>
  <c r="Q177" i="44" s="1"/>
  <c r="Q135" i="44"/>
  <c r="Q183" i="44" s="1"/>
  <c r="Q132" i="44"/>
  <c r="Q180" i="44" s="1"/>
  <c r="Q131" i="44"/>
  <c r="Q179" i="44" s="1"/>
  <c r="U244" i="43"/>
  <c r="T22" i="37"/>
  <c r="W12" i="37"/>
  <c r="W66" i="40"/>
  <c r="Q14" i="36"/>
  <c r="Q37" i="40"/>
  <c r="X116" i="43"/>
  <c r="X119" i="43"/>
  <c r="X111" i="43"/>
  <c r="X109" i="43"/>
  <c r="X112" i="43"/>
  <c r="X104" i="43"/>
  <c r="X107" i="43"/>
  <c r="X110" i="43"/>
  <c r="X114" i="43"/>
  <c r="X117" i="43"/>
  <c r="X108" i="43"/>
  <c r="X115" i="43"/>
  <c r="X103" i="43"/>
  <c r="X105" i="43"/>
  <c r="X118" i="43"/>
  <c r="X120" i="43"/>
  <c r="X106" i="43"/>
  <c r="X113" i="43"/>
  <c r="W165" i="43"/>
  <c r="W213" i="43" s="1"/>
  <c r="W237" i="43" s="1"/>
  <c r="W155" i="43"/>
  <c r="W203" i="43" s="1"/>
  <c r="W227" i="43" s="1"/>
  <c r="W152" i="43"/>
  <c r="W200" i="43" s="1"/>
  <c r="W224" i="43" s="1"/>
  <c r="W166" i="43"/>
  <c r="W214" i="43" s="1"/>
  <c r="W238" i="43" s="1"/>
  <c r="W157" i="43"/>
  <c r="W205" i="43" s="1"/>
  <c r="W229" i="43" s="1"/>
  <c r="W162" i="43"/>
  <c r="W210" i="43" s="1"/>
  <c r="W234" i="43" s="1"/>
  <c r="W156" i="43"/>
  <c r="W204" i="43" s="1"/>
  <c r="W228" i="43" s="1"/>
  <c r="V15" i="43"/>
  <c r="W159" i="43"/>
  <c r="W207" i="43" s="1"/>
  <c r="W231" i="43" s="1"/>
  <c r="W151" i="43"/>
  <c r="W158" i="43"/>
  <c r="W206" i="43" s="1"/>
  <c r="W230" i="43" s="1"/>
  <c r="W168" i="43"/>
  <c r="W216" i="43" s="1"/>
  <c r="W240" i="43" s="1"/>
  <c r="W161" i="43"/>
  <c r="W209" i="43" s="1"/>
  <c r="W233" i="43" s="1"/>
  <c r="W164" i="43"/>
  <c r="W212" i="43" s="1"/>
  <c r="W236" i="43" s="1"/>
  <c r="W153" i="43"/>
  <c r="W201" i="43" s="1"/>
  <c r="W225" i="43" s="1"/>
  <c r="W167" i="43"/>
  <c r="W215" i="43" s="1"/>
  <c r="W239" i="43" s="1"/>
  <c r="W154" i="43"/>
  <c r="W202" i="43" s="1"/>
  <c r="W226" i="43" s="1"/>
  <c r="W160" i="43"/>
  <c r="W208" i="43" s="1"/>
  <c r="W232" i="43" s="1"/>
  <c r="W163" i="43"/>
  <c r="W211" i="43" s="1"/>
  <c r="W235" i="43" s="1"/>
  <c r="V199" i="43"/>
  <c r="V223" i="43" s="1"/>
  <c r="V242" i="43" s="1"/>
  <c r="V169" i="43"/>
  <c r="S63" i="39"/>
  <c r="W63" i="39"/>
  <c r="AA63" i="39"/>
  <c r="Y63" i="39"/>
  <c r="R63" i="39"/>
  <c r="R101" i="39" s="1"/>
  <c r="R84" i="36" s="1"/>
  <c r="Z63" i="39"/>
  <c r="T63" i="39"/>
  <c r="X63" i="39"/>
  <c r="U63" i="39"/>
  <c r="V63" i="39"/>
  <c r="Q199" i="36"/>
  <c r="Q231" i="36" s="1"/>
  <c r="Q169" i="36"/>
  <c r="W177" i="43"/>
  <c r="W147" i="43"/>
  <c r="R12" i="36"/>
  <c r="S224" i="36" s="1"/>
  <c r="S225" i="36" s="1"/>
  <c r="R35" i="40"/>
  <c r="R36" i="40" s="1"/>
  <c r="Q134" i="44"/>
  <c r="Q182" i="44" s="1"/>
  <c r="Q144" i="44"/>
  <c r="Q192" i="44" s="1"/>
  <c r="Q133" i="44"/>
  <c r="Q181" i="44" s="1"/>
  <c r="P103" i="40"/>
  <c r="P14" i="44" s="1"/>
  <c r="Q159" i="44" s="1"/>
  <c r="Q207" i="44" s="1"/>
  <c r="N124" i="63"/>
  <c r="N39" i="63"/>
  <c r="Q102" i="40"/>
  <c r="Q13" i="44" s="1"/>
  <c r="R137" i="44" s="1"/>
  <c r="R185" i="44" s="1"/>
  <c r="R88" i="40"/>
  <c r="R89" i="40" s="1"/>
  <c r="R101" i="40" s="1"/>
  <c r="AI92" i="30"/>
  <c r="AI94" i="30" s="1"/>
  <c r="AI93" i="30"/>
  <c r="AI96" i="30"/>
  <c r="Y103" i="30" s="1"/>
  <c r="Y54" i="40" s="1"/>
  <c r="AH111" i="30"/>
  <c r="P199" i="44"/>
  <c r="P223" i="44" s="1"/>
  <c r="O105" i="63" s="1"/>
  <c r="P169" i="44"/>
  <c r="AD68" i="30"/>
  <c r="AD70" i="30" s="1"/>
  <c r="AD69" i="30"/>
  <c r="AD74" i="30"/>
  <c r="BG55" i="30"/>
  <c r="Q250" i="36" l="1"/>
  <c r="P24" i="37" s="1"/>
  <c r="O232" i="63"/>
  <c r="O50" i="67" s="1"/>
  <c r="O234" i="63"/>
  <c r="O52" i="67" s="1"/>
  <c r="O228" i="63"/>
  <c r="O46" i="67" s="1"/>
  <c r="O231" i="63"/>
  <c r="O49" i="67" s="1"/>
  <c r="O230" i="63"/>
  <c r="O48" i="67" s="1"/>
  <c r="O237" i="63"/>
  <c r="O55" i="67" s="1"/>
  <c r="O229" i="63"/>
  <c r="O47" i="67" s="1"/>
  <c r="O238" i="63"/>
  <c r="O56" i="67" s="1"/>
  <c r="O233" i="63"/>
  <c r="O51" i="67" s="1"/>
  <c r="O235" i="63"/>
  <c r="O53" i="67" s="1"/>
  <c r="O236" i="63"/>
  <c r="O54" i="67" s="1"/>
  <c r="R147" i="36"/>
  <c r="Y55" i="40"/>
  <c r="Y12" i="37" s="1"/>
  <c r="Q231" i="44"/>
  <c r="P113" i="63" s="1"/>
  <c r="X12" i="37"/>
  <c r="V244" i="43"/>
  <c r="U22" i="37"/>
  <c r="R37" i="40"/>
  <c r="R14" i="36"/>
  <c r="T82" i="30"/>
  <c r="T22" i="40" s="1"/>
  <c r="T23" i="40" s="1"/>
  <c r="R17" i="39"/>
  <c r="R18" i="39" s="1"/>
  <c r="R24" i="39" s="1"/>
  <c r="R13" i="36"/>
  <c r="X67" i="40"/>
  <c r="X12" i="43"/>
  <c r="R165" i="36"/>
  <c r="R213" i="36" s="1"/>
  <c r="R245" i="36" s="1"/>
  <c r="R154" i="36"/>
  <c r="R202" i="36" s="1"/>
  <c r="R234" i="36" s="1"/>
  <c r="R155" i="36"/>
  <c r="R203" i="36" s="1"/>
  <c r="R235" i="36" s="1"/>
  <c r="R160" i="36"/>
  <c r="R208" i="36" s="1"/>
  <c r="R240" i="36" s="1"/>
  <c r="R151" i="36"/>
  <c r="R158" i="36"/>
  <c r="R206" i="36" s="1"/>
  <c r="R238" i="36" s="1"/>
  <c r="R163" i="36"/>
  <c r="R211" i="36" s="1"/>
  <c r="R243" i="36" s="1"/>
  <c r="R156" i="36"/>
  <c r="R204" i="36" s="1"/>
  <c r="R236" i="36" s="1"/>
  <c r="R153" i="36"/>
  <c r="R201" i="36" s="1"/>
  <c r="R233" i="36" s="1"/>
  <c r="R152" i="36"/>
  <c r="R200" i="36" s="1"/>
  <c r="R232" i="36" s="1"/>
  <c r="Q15" i="36"/>
  <c r="R157" i="36"/>
  <c r="R205" i="36" s="1"/>
  <c r="R237" i="36" s="1"/>
  <c r="R162" i="36"/>
  <c r="R210" i="36" s="1"/>
  <c r="R242" i="36" s="1"/>
  <c r="R167" i="36"/>
  <c r="R215" i="36" s="1"/>
  <c r="R247" i="36" s="1"/>
  <c r="R168" i="36"/>
  <c r="R216" i="36" s="1"/>
  <c r="R248" i="36" s="1"/>
  <c r="R166" i="36"/>
  <c r="R214" i="36" s="1"/>
  <c r="R246" i="36" s="1"/>
  <c r="R164" i="36"/>
  <c r="R212" i="36" s="1"/>
  <c r="R244" i="36" s="1"/>
  <c r="R159" i="36"/>
  <c r="R207" i="36" s="1"/>
  <c r="R239" i="36" s="1"/>
  <c r="R161" i="36"/>
  <c r="R209" i="36" s="1"/>
  <c r="R241" i="36" s="1"/>
  <c r="S14" i="37"/>
  <c r="S34" i="40"/>
  <c r="Q252" i="36"/>
  <c r="S103" i="36"/>
  <c r="S114" i="36"/>
  <c r="S113" i="36"/>
  <c r="S108" i="36"/>
  <c r="S109" i="36"/>
  <c r="S118" i="36"/>
  <c r="S119" i="36"/>
  <c r="S104" i="36"/>
  <c r="S116" i="36"/>
  <c r="S112" i="36"/>
  <c r="S106" i="36"/>
  <c r="S117" i="36"/>
  <c r="S120" i="36"/>
  <c r="S107" i="36"/>
  <c r="S115" i="36"/>
  <c r="S105" i="36"/>
  <c r="S110" i="36"/>
  <c r="S111" i="36"/>
  <c r="W199" i="43"/>
  <c r="W223" i="43" s="1"/>
  <c r="W242" i="43" s="1"/>
  <c r="W169" i="43"/>
  <c r="W67" i="40"/>
  <c r="W68" i="40" s="1"/>
  <c r="W12" i="43"/>
  <c r="Q152" i="44"/>
  <c r="Q200" i="44" s="1"/>
  <c r="Q224" i="44" s="1"/>
  <c r="P106" i="63" s="1"/>
  <c r="Q168" i="44"/>
  <c r="Q216" i="44" s="1"/>
  <c r="Q240" i="44" s="1"/>
  <c r="P122" i="63" s="1"/>
  <c r="Q163" i="44"/>
  <c r="Q211" i="44" s="1"/>
  <c r="Q235" i="44" s="1"/>
  <c r="P117" i="63" s="1"/>
  <c r="Q156" i="44"/>
  <c r="Q204" i="44" s="1"/>
  <c r="Q228" i="44" s="1"/>
  <c r="P110" i="63" s="1"/>
  <c r="Q158" i="44"/>
  <c r="Q206" i="44" s="1"/>
  <c r="Q230" i="44" s="1"/>
  <c r="P112" i="63" s="1"/>
  <c r="Q161" i="44"/>
  <c r="Q209" i="44" s="1"/>
  <c r="Q233" i="44" s="1"/>
  <c r="P115" i="63" s="1"/>
  <c r="Q151" i="44"/>
  <c r="Q199" i="44" s="1"/>
  <c r="Q223" i="44" s="1"/>
  <c r="P105" i="63" s="1"/>
  <c r="Q164" i="44"/>
  <c r="Q212" i="44" s="1"/>
  <c r="Q236" i="44" s="1"/>
  <c r="P118" i="63" s="1"/>
  <c r="Q166" i="44"/>
  <c r="Q214" i="44" s="1"/>
  <c r="Q238" i="44" s="1"/>
  <c r="P120" i="63" s="1"/>
  <c r="Q155" i="44"/>
  <c r="Q203" i="44" s="1"/>
  <c r="Q227" i="44" s="1"/>
  <c r="P109" i="63" s="1"/>
  <c r="Q162" i="44"/>
  <c r="Q210" i="44" s="1"/>
  <c r="Q234" i="44" s="1"/>
  <c r="P116" i="63" s="1"/>
  <c r="Q153" i="44"/>
  <c r="Q201" i="44" s="1"/>
  <c r="Q225" i="44" s="1"/>
  <c r="P107" i="63" s="1"/>
  <c r="Q157" i="44"/>
  <c r="Q205" i="44" s="1"/>
  <c r="Q229" i="44" s="1"/>
  <c r="P111" i="63" s="1"/>
  <c r="P104" i="40"/>
  <c r="Q167" i="44"/>
  <c r="Q215" i="44" s="1"/>
  <c r="Q239" i="44" s="1"/>
  <c r="P121" i="63" s="1"/>
  <c r="Q165" i="44"/>
  <c r="Q213" i="44" s="1"/>
  <c r="Q237" i="44" s="1"/>
  <c r="P119" i="63" s="1"/>
  <c r="Q154" i="44"/>
  <c r="Q202" i="44" s="1"/>
  <c r="Q226" i="44" s="1"/>
  <c r="P108" i="63" s="1"/>
  <c r="Q160" i="44"/>
  <c r="Q208" i="44" s="1"/>
  <c r="Q232" i="44" s="1"/>
  <c r="P114" i="63" s="1"/>
  <c r="P15" i="44"/>
  <c r="R13" i="37"/>
  <c r="R15" i="37" s="1"/>
  <c r="R129" i="44"/>
  <c r="R177" i="44" s="1"/>
  <c r="R135" i="44"/>
  <c r="R183" i="44" s="1"/>
  <c r="R145" i="44"/>
  <c r="R193" i="44" s="1"/>
  <c r="R139" i="44"/>
  <c r="R187" i="44" s="1"/>
  <c r="R131" i="44"/>
  <c r="R179" i="44" s="1"/>
  <c r="R138" i="44"/>
  <c r="R186" i="44" s="1"/>
  <c r="R142" i="44"/>
  <c r="R190" i="44" s="1"/>
  <c r="Q103" i="40"/>
  <c r="Q14" i="44" s="1"/>
  <c r="R156" i="44" s="1"/>
  <c r="R204" i="44" s="1"/>
  <c r="R143" i="44"/>
  <c r="R191" i="44" s="1"/>
  <c r="R133" i="44"/>
  <c r="R181" i="44" s="1"/>
  <c r="R141" i="44"/>
  <c r="R189" i="44" s="1"/>
  <c r="R130" i="44"/>
  <c r="R178" i="44" s="1"/>
  <c r="R136" i="44"/>
  <c r="R184" i="44" s="1"/>
  <c r="R146" i="44"/>
  <c r="R194" i="44" s="1"/>
  <c r="R144" i="44"/>
  <c r="R192" i="44" s="1"/>
  <c r="R132" i="44"/>
  <c r="R180" i="44" s="1"/>
  <c r="R140" i="44"/>
  <c r="R188" i="44" s="1"/>
  <c r="R134" i="44"/>
  <c r="R182" i="44" s="1"/>
  <c r="P242" i="44"/>
  <c r="AJ90" i="30"/>
  <c r="R12" i="44"/>
  <c r="R102" i="40"/>
  <c r="R13" i="44" s="1"/>
  <c r="AH113" i="30"/>
  <c r="AH115" i="30" s="1"/>
  <c r="AH114" i="30"/>
  <c r="AH117" i="30"/>
  <c r="X125" i="30" s="1"/>
  <c r="AE66" i="30"/>
  <c r="AE69" i="30" s="1"/>
  <c r="BH55" i="30"/>
  <c r="P230" i="63" l="1"/>
  <c r="P48" i="67" s="1"/>
  <c r="P229" i="63"/>
  <c r="P47" i="67" s="1"/>
  <c r="P232" i="63"/>
  <c r="P50" i="67" s="1"/>
  <c r="P238" i="63"/>
  <c r="P56" i="67" s="1"/>
  <c r="O227" i="63"/>
  <c r="P236" i="63"/>
  <c r="P54" i="67" s="1"/>
  <c r="P235" i="63"/>
  <c r="P53" i="67" s="1"/>
  <c r="P231" i="63"/>
  <c r="P49" i="67" s="1"/>
  <c r="P233" i="63"/>
  <c r="P51" i="67" s="1"/>
  <c r="P237" i="63"/>
  <c r="P55" i="67" s="1"/>
  <c r="P234" i="63"/>
  <c r="P52" i="67" s="1"/>
  <c r="P228" i="63"/>
  <c r="P46" i="67" s="1"/>
  <c r="Y66" i="40"/>
  <c r="Y67" i="40" s="1"/>
  <c r="V22" i="37"/>
  <c r="W244" i="43"/>
  <c r="W113" i="39"/>
  <c r="W114" i="39" s="1"/>
  <c r="W120" i="39" s="1"/>
  <c r="W13" i="43"/>
  <c r="T34" i="40"/>
  <c r="T14" i="37"/>
  <c r="W14" i="43"/>
  <c r="W69" i="40"/>
  <c r="S12" i="36"/>
  <c r="T224" i="36" s="1"/>
  <c r="T225" i="36" s="1"/>
  <c r="S35" i="40"/>
  <c r="R199" i="36"/>
  <c r="R231" i="36" s="1"/>
  <c r="R169" i="36"/>
  <c r="S130" i="36"/>
  <c r="S178" i="36" s="1"/>
  <c r="S136" i="36"/>
  <c r="S184" i="36" s="1"/>
  <c r="S131" i="36"/>
  <c r="S179" i="36" s="1"/>
  <c r="S134" i="36"/>
  <c r="S182" i="36" s="1"/>
  <c r="S141" i="36"/>
  <c r="S189" i="36" s="1"/>
  <c r="S132" i="36"/>
  <c r="S180" i="36" s="1"/>
  <c r="S133" i="36"/>
  <c r="S181" i="36" s="1"/>
  <c r="S138" i="36"/>
  <c r="S186" i="36" s="1"/>
  <c r="S145" i="36"/>
  <c r="S193" i="36" s="1"/>
  <c r="S146" i="36"/>
  <c r="S194" i="36" s="1"/>
  <c r="S140" i="36"/>
  <c r="S188" i="36" s="1"/>
  <c r="S137" i="36"/>
  <c r="S185" i="36" s="1"/>
  <c r="S135" i="36"/>
  <c r="S183" i="36" s="1"/>
  <c r="S142" i="36"/>
  <c r="S190" i="36" s="1"/>
  <c r="S139" i="36"/>
  <c r="S187" i="36" s="1"/>
  <c r="S129" i="36"/>
  <c r="S144" i="36"/>
  <c r="S192" i="36" s="1"/>
  <c r="S158" i="36"/>
  <c r="S206" i="36" s="1"/>
  <c r="S162" i="36"/>
  <c r="S210" i="36" s="1"/>
  <c r="S164" i="36"/>
  <c r="S212" i="36" s="1"/>
  <c r="S159" i="36"/>
  <c r="S207" i="36" s="1"/>
  <c r="S167" i="36"/>
  <c r="S215" i="36" s="1"/>
  <c r="S163" i="36"/>
  <c r="S211" i="36" s="1"/>
  <c r="S168" i="36"/>
  <c r="S216" i="36" s="1"/>
  <c r="S156" i="36"/>
  <c r="S204" i="36" s="1"/>
  <c r="S152" i="36"/>
  <c r="S200" i="36" s="1"/>
  <c r="S153" i="36"/>
  <c r="S201" i="36" s="1"/>
  <c r="S161" i="36"/>
  <c r="S209" i="36" s="1"/>
  <c r="S157" i="36"/>
  <c r="S205" i="36" s="1"/>
  <c r="S151" i="36"/>
  <c r="S155" i="36"/>
  <c r="S203" i="36" s="1"/>
  <c r="S165" i="36"/>
  <c r="S213" i="36" s="1"/>
  <c r="S154" i="36"/>
  <c r="S202" i="36" s="1"/>
  <c r="R15" i="36"/>
  <c r="S166" i="36"/>
  <c r="S214" i="36" s="1"/>
  <c r="S160" i="36"/>
  <c r="S208" i="36" s="1"/>
  <c r="S240" i="36" s="1"/>
  <c r="V64" i="39"/>
  <c r="Z64" i="39"/>
  <c r="X64" i="39"/>
  <c r="U64" i="39"/>
  <c r="Y64" i="39"/>
  <c r="S64" i="39"/>
  <c r="S101" i="39" s="1"/>
  <c r="S84" i="36" s="1"/>
  <c r="W64" i="39"/>
  <c r="AA64" i="39"/>
  <c r="T64" i="39"/>
  <c r="AB64" i="39"/>
  <c r="S143" i="36"/>
  <c r="S191" i="36" s="1"/>
  <c r="X68" i="40"/>
  <c r="X13" i="43"/>
  <c r="X113" i="39"/>
  <c r="X114" i="39" s="1"/>
  <c r="X120" i="39" s="1"/>
  <c r="Q169" i="44"/>
  <c r="R228" i="44"/>
  <c r="Q110" i="63" s="1"/>
  <c r="O23" i="54"/>
  <c r="O23" i="63"/>
  <c r="O123" i="63"/>
  <c r="R154" i="44"/>
  <c r="R202" i="44" s="1"/>
  <c r="R226" i="44" s="1"/>
  <c r="Q108" i="63" s="1"/>
  <c r="R159" i="44"/>
  <c r="R207" i="44" s="1"/>
  <c r="R231" i="44" s="1"/>
  <c r="Q113" i="63" s="1"/>
  <c r="Q104" i="40"/>
  <c r="Q15" i="44"/>
  <c r="R162" i="44"/>
  <c r="R210" i="44" s="1"/>
  <c r="R234" i="44" s="1"/>
  <c r="Q116" i="63" s="1"/>
  <c r="R158" i="44"/>
  <c r="R206" i="44" s="1"/>
  <c r="R230" i="44" s="1"/>
  <c r="Q112" i="63" s="1"/>
  <c r="R151" i="44"/>
  <c r="R199" i="44" s="1"/>
  <c r="R223" i="44" s="1"/>
  <c r="R153" i="44"/>
  <c r="R201" i="44" s="1"/>
  <c r="R225" i="44" s="1"/>
  <c r="Q107" i="63" s="1"/>
  <c r="R152" i="44"/>
  <c r="R200" i="44" s="1"/>
  <c r="R224" i="44" s="1"/>
  <c r="Q106" i="63" s="1"/>
  <c r="R165" i="44"/>
  <c r="R213" i="44" s="1"/>
  <c r="R237" i="44" s="1"/>
  <c r="Q119" i="63" s="1"/>
  <c r="R167" i="44"/>
  <c r="R215" i="44" s="1"/>
  <c r="R239" i="44" s="1"/>
  <c r="Q121" i="63" s="1"/>
  <c r="R160" i="44"/>
  <c r="R208" i="44" s="1"/>
  <c r="R232" i="44" s="1"/>
  <c r="Q114" i="63" s="1"/>
  <c r="R168" i="44"/>
  <c r="R216" i="44" s="1"/>
  <c r="R240" i="44" s="1"/>
  <c r="Q122" i="63" s="1"/>
  <c r="R164" i="44"/>
  <c r="R212" i="44" s="1"/>
  <c r="R236" i="44" s="1"/>
  <c r="Q118" i="63" s="1"/>
  <c r="R155" i="44"/>
  <c r="R203" i="44" s="1"/>
  <c r="R227" i="44" s="1"/>
  <c r="Q109" i="63" s="1"/>
  <c r="R166" i="44"/>
  <c r="R214" i="44" s="1"/>
  <c r="R238" i="44" s="1"/>
  <c r="Q120" i="63" s="1"/>
  <c r="R163" i="44"/>
  <c r="R211" i="44" s="1"/>
  <c r="R235" i="44" s="1"/>
  <c r="Q117" i="63" s="1"/>
  <c r="R157" i="44"/>
  <c r="R205" i="44" s="1"/>
  <c r="R229" i="44" s="1"/>
  <c r="Q111" i="63" s="1"/>
  <c r="R161" i="44"/>
  <c r="R209" i="44" s="1"/>
  <c r="R233" i="44" s="1"/>
  <c r="Q115" i="63" s="1"/>
  <c r="S88" i="40"/>
  <c r="S89" i="40" s="1"/>
  <c r="S13" i="37" s="1"/>
  <c r="O23" i="37"/>
  <c r="O25" i="37" s="1"/>
  <c r="P244" i="44"/>
  <c r="Q242" i="44"/>
  <c r="AJ92" i="30"/>
  <c r="AJ94" i="30" s="1"/>
  <c r="AJ93" i="30"/>
  <c r="AJ96" i="30"/>
  <c r="AI111" i="30"/>
  <c r="AI114" i="30" s="1"/>
  <c r="R103" i="40"/>
  <c r="S131" i="44"/>
  <c r="S179" i="44" s="1"/>
  <c r="S143" i="44"/>
  <c r="S191" i="44" s="1"/>
  <c r="S130" i="44"/>
  <c r="S178" i="44" s="1"/>
  <c r="S136" i="44"/>
  <c r="S184" i="44" s="1"/>
  <c r="S139" i="44"/>
  <c r="S187" i="44" s="1"/>
  <c r="S145" i="44"/>
  <c r="S193" i="44" s="1"/>
  <c r="S142" i="44"/>
  <c r="S190" i="44" s="1"/>
  <c r="S133" i="44"/>
  <c r="S181" i="44" s="1"/>
  <c r="S137" i="44"/>
  <c r="S185" i="44" s="1"/>
  <c r="S146" i="44"/>
  <c r="S194" i="44" s="1"/>
  <c r="S134" i="44"/>
  <c r="S182" i="44" s="1"/>
  <c r="S140" i="44"/>
  <c r="S188" i="44" s="1"/>
  <c r="S132" i="44"/>
  <c r="S180" i="44" s="1"/>
  <c r="S144" i="44"/>
  <c r="S192" i="44" s="1"/>
  <c r="S141" i="44"/>
  <c r="S189" i="44" s="1"/>
  <c r="S129" i="44"/>
  <c r="S138" i="44"/>
  <c r="S186" i="44" s="1"/>
  <c r="S135" i="44"/>
  <c r="S183" i="44" s="1"/>
  <c r="AE74" i="30"/>
  <c r="AE68" i="30"/>
  <c r="AE70" i="30" s="1"/>
  <c r="AF66" i="30" s="1"/>
  <c r="AF68" i="30" s="1"/>
  <c r="R250" i="36" l="1"/>
  <c r="Q24" i="37" s="1"/>
  <c r="Q105" i="63"/>
  <c r="O45" i="67"/>
  <c r="O239" i="63"/>
  <c r="P227" i="63"/>
  <c r="Y12" i="43"/>
  <c r="S242" i="36"/>
  <c r="S235" i="36"/>
  <c r="S233" i="36"/>
  <c r="S237" i="36"/>
  <c r="S236" i="36"/>
  <c r="S239" i="36"/>
  <c r="S238" i="36"/>
  <c r="S241" i="36"/>
  <c r="S234" i="36"/>
  <c r="S248" i="36"/>
  <c r="S244" i="36"/>
  <c r="S245" i="36"/>
  <c r="S147" i="36"/>
  <c r="S177" i="36"/>
  <c r="T35" i="40"/>
  <c r="T12" i="36"/>
  <c r="U224" i="36" s="1"/>
  <c r="U225" i="36" s="1"/>
  <c r="S246" i="36"/>
  <c r="S243" i="36"/>
  <c r="R252" i="36"/>
  <c r="Y68" i="40"/>
  <c r="Y113" i="39"/>
  <c r="Y114" i="39" s="1"/>
  <c r="Y120" i="39" s="1"/>
  <c r="Y13" i="43"/>
  <c r="U82" i="30"/>
  <c r="U22" i="40" s="1"/>
  <c r="U23" i="40" s="1"/>
  <c r="S17" i="39"/>
  <c r="S18" i="39" s="1"/>
  <c r="S24" i="39" s="1"/>
  <c r="S13" i="36"/>
  <c r="X133" i="43"/>
  <c r="X181" i="43" s="1"/>
  <c r="X142" i="43"/>
  <c r="X190" i="43" s="1"/>
  <c r="X139" i="43"/>
  <c r="X187" i="43" s="1"/>
  <c r="X135" i="43"/>
  <c r="X183" i="43" s="1"/>
  <c r="X132" i="43"/>
  <c r="X180" i="43" s="1"/>
  <c r="X144" i="43"/>
  <c r="X192" i="43" s="1"/>
  <c r="X143" i="43"/>
  <c r="X191" i="43" s="1"/>
  <c r="X146" i="43"/>
  <c r="X194" i="43" s="1"/>
  <c r="X141" i="43"/>
  <c r="X189" i="43" s="1"/>
  <c r="X130" i="43"/>
  <c r="X178" i="43" s="1"/>
  <c r="X129" i="43"/>
  <c r="X138" i="43"/>
  <c r="X186" i="43" s="1"/>
  <c r="X131" i="43"/>
  <c r="X179" i="43" s="1"/>
  <c r="X136" i="43"/>
  <c r="X184" i="43" s="1"/>
  <c r="X134" i="43"/>
  <c r="X182" i="43" s="1"/>
  <c r="X145" i="43"/>
  <c r="X193" i="43" s="1"/>
  <c r="X140" i="43"/>
  <c r="X188" i="43" s="1"/>
  <c r="X137" i="43"/>
  <c r="X185" i="43" s="1"/>
  <c r="Z103" i="30"/>
  <c r="Z54" i="40" s="1"/>
  <c r="Z55" i="40" s="1"/>
  <c r="X14" i="43"/>
  <c r="X69" i="40"/>
  <c r="X165" i="39"/>
  <c r="X197" i="39" s="1"/>
  <c r="X84" i="43" s="1"/>
  <c r="AB165" i="39"/>
  <c r="AF165" i="39"/>
  <c r="Y165" i="39"/>
  <c r="AC165" i="39"/>
  <c r="AG165" i="39"/>
  <c r="Z165" i="39"/>
  <c r="AD165" i="39"/>
  <c r="AA165" i="39"/>
  <c r="AE165" i="39"/>
  <c r="Z166" i="39"/>
  <c r="AD166" i="39"/>
  <c r="AG166" i="39"/>
  <c r="AB166" i="39"/>
  <c r="Y166" i="39"/>
  <c r="AC166" i="39"/>
  <c r="AA166" i="39"/>
  <c r="AE166" i="39"/>
  <c r="AF166" i="39"/>
  <c r="AH166" i="39"/>
  <c r="T105" i="36"/>
  <c r="T116" i="36"/>
  <c r="T103" i="36"/>
  <c r="T120" i="36"/>
  <c r="T108" i="36"/>
  <c r="T106" i="36"/>
  <c r="T110" i="36"/>
  <c r="T114" i="36"/>
  <c r="T119" i="36"/>
  <c r="T117" i="36"/>
  <c r="T104" i="36"/>
  <c r="T113" i="36"/>
  <c r="T118" i="36"/>
  <c r="T115" i="36"/>
  <c r="T111" i="36"/>
  <c r="T112" i="36"/>
  <c r="T109" i="36"/>
  <c r="T107" i="36"/>
  <c r="S199" i="36"/>
  <c r="S169" i="36"/>
  <c r="S232" i="36"/>
  <c r="S247" i="36"/>
  <c r="S36" i="40"/>
  <c r="X161" i="43"/>
  <c r="X209" i="43" s="1"/>
  <c r="X154" i="43"/>
  <c r="X202" i="43" s="1"/>
  <c r="X167" i="43"/>
  <c r="X215" i="43" s="1"/>
  <c r="X164" i="43"/>
  <c r="X212" i="43" s="1"/>
  <c r="X158" i="43"/>
  <c r="X206" i="43" s="1"/>
  <c r="W15" i="43"/>
  <c r="X162" i="43"/>
  <c r="X210" i="43" s="1"/>
  <c r="X166" i="43"/>
  <c r="X214" i="43" s="1"/>
  <c r="X151" i="43"/>
  <c r="X153" i="43"/>
  <c r="X201" i="43" s="1"/>
  <c r="X163" i="43"/>
  <c r="X211" i="43" s="1"/>
  <c r="X152" i="43"/>
  <c r="X200" i="43" s="1"/>
  <c r="X168" i="43"/>
  <c r="X216" i="43" s="1"/>
  <c r="X159" i="43"/>
  <c r="X207" i="43" s="1"/>
  <c r="X157" i="43"/>
  <c r="X205" i="43" s="1"/>
  <c r="X155" i="43"/>
  <c r="X203" i="43" s="1"/>
  <c r="X165" i="43"/>
  <c r="X213" i="43" s="1"/>
  <c r="X160" i="43"/>
  <c r="X208" i="43" s="1"/>
  <c r="X156" i="43"/>
  <c r="X204" i="43" s="1"/>
  <c r="O124" i="63"/>
  <c r="O39" i="63"/>
  <c r="P23" i="54"/>
  <c r="P23" i="63"/>
  <c r="P123" i="63"/>
  <c r="S101" i="40"/>
  <c r="S102" i="40" s="1"/>
  <c r="R169" i="44"/>
  <c r="R242" i="44"/>
  <c r="R244" i="44" s="1"/>
  <c r="O27" i="37"/>
  <c r="AK90" i="30"/>
  <c r="AK96" i="30" s="1"/>
  <c r="AA103" i="30" s="1"/>
  <c r="AA54" i="40" s="1"/>
  <c r="Q244" i="44"/>
  <c r="P23" i="37"/>
  <c r="P25" i="37" s="1"/>
  <c r="AF69" i="30"/>
  <c r="AI117" i="30"/>
  <c r="Y125" i="30" s="1"/>
  <c r="AI113" i="30"/>
  <c r="AI115" i="30" s="1"/>
  <c r="AJ111" i="30" s="1"/>
  <c r="AF74" i="30"/>
  <c r="S177" i="44"/>
  <c r="R14" i="44"/>
  <c r="R104" i="40"/>
  <c r="S15" i="37"/>
  <c r="AF70" i="30"/>
  <c r="S231" i="36" l="1"/>
  <c r="P45" i="67"/>
  <c r="P239" i="63"/>
  <c r="Q238" i="63"/>
  <c r="Q56" i="67" s="1"/>
  <c r="Q234" i="63"/>
  <c r="Q52" i="67" s="1"/>
  <c r="Q229" i="63"/>
  <c r="Q47" i="67" s="1"/>
  <c r="Q231" i="63"/>
  <c r="Q49" i="67" s="1"/>
  <c r="Q228" i="63"/>
  <c r="Q46" i="67" s="1"/>
  <c r="Q232" i="63"/>
  <c r="Q50" i="67" s="1"/>
  <c r="Q236" i="63"/>
  <c r="Q54" i="67" s="1"/>
  <c r="Q233" i="63"/>
  <c r="Q51" i="67" s="1"/>
  <c r="Q237" i="63"/>
  <c r="Q55" i="67" s="1"/>
  <c r="Q230" i="63"/>
  <c r="Q48" i="67" s="1"/>
  <c r="Q227" i="63"/>
  <c r="Q45" i="67" s="1"/>
  <c r="Q235" i="63"/>
  <c r="Q53" i="67" s="1"/>
  <c r="X228" i="43"/>
  <c r="X226" i="43"/>
  <c r="X231" i="43"/>
  <c r="X229" i="43"/>
  <c r="X239" i="43"/>
  <c r="X227" i="43"/>
  <c r="X235" i="43"/>
  <c r="X234" i="43"/>
  <c r="X230" i="43"/>
  <c r="X224" i="43"/>
  <c r="X238" i="43"/>
  <c r="X236" i="43"/>
  <c r="Y197" i="39"/>
  <c r="Y84" i="43" s="1"/>
  <c r="Z111" i="43" s="1"/>
  <c r="Z137" i="43" s="1"/>
  <c r="Z185" i="43" s="1"/>
  <c r="Z12" i="37"/>
  <c r="Z66" i="40"/>
  <c r="X232" i="43"/>
  <c r="Y110" i="43"/>
  <c r="Y136" i="43" s="1"/>
  <c r="Y184" i="43" s="1"/>
  <c r="Y114" i="43"/>
  <c r="Y140" i="43" s="1"/>
  <c r="Y188" i="43" s="1"/>
  <c r="Y111" i="43"/>
  <c r="Y137" i="43" s="1"/>
  <c r="Y185" i="43" s="1"/>
  <c r="Y119" i="43"/>
  <c r="Y145" i="43" s="1"/>
  <c r="Y193" i="43" s="1"/>
  <c r="Y117" i="43"/>
  <c r="Y143" i="43" s="1"/>
  <c r="Y191" i="43" s="1"/>
  <c r="Y103" i="43"/>
  <c r="Y129" i="43" s="1"/>
  <c r="Y106" i="43"/>
  <c r="Y132" i="43" s="1"/>
  <c r="Y180" i="43" s="1"/>
  <c r="Y108" i="43"/>
  <c r="Y134" i="43" s="1"/>
  <c r="Y182" i="43" s="1"/>
  <c r="Y105" i="43"/>
  <c r="Y131" i="43" s="1"/>
  <c r="Y179" i="43" s="1"/>
  <c r="Y118" i="43"/>
  <c r="Y144" i="43" s="1"/>
  <c r="Y192" i="43" s="1"/>
  <c r="Y104" i="43"/>
  <c r="Y130" i="43" s="1"/>
  <c r="Y178" i="43" s="1"/>
  <c r="Y112" i="43"/>
  <c r="Y138" i="43" s="1"/>
  <c r="Y186" i="43" s="1"/>
  <c r="Y113" i="43"/>
  <c r="Y139" i="43" s="1"/>
  <c r="Y187" i="43" s="1"/>
  <c r="Y109" i="43"/>
  <c r="Y135" i="43" s="1"/>
  <c r="Y183" i="43" s="1"/>
  <c r="Y115" i="43"/>
  <c r="Y141" i="43" s="1"/>
  <c r="Y189" i="43" s="1"/>
  <c r="Y120" i="43"/>
  <c r="Y146" i="43" s="1"/>
  <c r="Y194" i="43" s="1"/>
  <c r="Y116" i="43"/>
  <c r="Y142" i="43" s="1"/>
  <c r="Y190" i="43" s="1"/>
  <c r="Y107" i="43"/>
  <c r="Y133" i="43" s="1"/>
  <c r="Y181" i="43" s="1"/>
  <c r="AA55" i="40"/>
  <c r="X237" i="43"/>
  <c r="X240" i="43"/>
  <c r="X169" i="43"/>
  <c r="X199" i="43"/>
  <c r="X233" i="43"/>
  <c r="Z107" i="43"/>
  <c r="Z133" i="43" s="1"/>
  <c r="Z181" i="43" s="1"/>
  <c r="AA167" i="39"/>
  <c r="AE167" i="39"/>
  <c r="AI167" i="39"/>
  <c r="AC167" i="39"/>
  <c r="AH167" i="39"/>
  <c r="Z167" i="39"/>
  <c r="Z197" i="39" s="1"/>
  <c r="Z84" i="43" s="1"/>
  <c r="AD167" i="39"/>
  <c r="AB167" i="39"/>
  <c r="AF167" i="39"/>
  <c r="AG167" i="39"/>
  <c r="T129" i="36"/>
  <c r="T136" i="36"/>
  <c r="T184" i="36" s="1"/>
  <c r="T134" i="36"/>
  <c r="T182" i="36" s="1"/>
  <c r="T144" i="36"/>
  <c r="T192" i="36" s="1"/>
  <c r="T133" i="36"/>
  <c r="T181" i="36" s="1"/>
  <c r="T142" i="36"/>
  <c r="T190" i="36" s="1"/>
  <c r="T132" i="36"/>
  <c r="T180" i="36" s="1"/>
  <c r="T135" i="36"/>
  <c r="T183" i="36" s="1"/>
  <c r="T138" i="36"/>
  <c r="T186" i="36" s="1"/>
  <c r="T140" i="36"/>
  <c r="T188" i="36" s="1"/>
  <c r="T143" i="36"/>
  <c r="T191" i="36" s="1"/>
  <c r="T137" i="36"/>
  <c r="T185" i="36" s="1"/>
  <c r="T145" i="36"/>
  <c r="T193" i="36" s="1"/>
  <c r="T141" i="36"/>
  <c r="T189" i="36" s="1"/>
  <c r="T131" i="36"/>
  <c r="T179" i="36" s="1"/>
  <c r="T146" i="36"/>
  <c r="T194" i="36" s="1"/>
  <c r="T130" i="36"/>
  <c r="T178" i="36" s="1"/>
  <c r="T139" i="36"/>
  <c r="T187" i="36" s="1"/>
  <c r="X177" i="43"/>
  <c r="X147" i="43"/>
  <c r="T65" i="39"/>
  <c r="T101" i="39" s="1"/>
  <c r="T84" i="36" s="1"/>
  <c r="X65" i="39"/>
  <c r="AB65" i="39"/>
  <c r="Z65" i="39"/>
  <c r="AA65" i="39"/>
  <c r="U65" i="39"/>
  <c r="Y65" i="39"/>
  <c r="AC65" i="39"/>
  <c r="V65" i="39"/>
  <c r="W65" i="39"/>
  <c r="T36" i="40"/>
  <c r="T17" i="39"/>
  <c r="T18" i="39" s="1"/>
  <c r="T24" i="39" s="1"/>
  <c r="T13" i="36"/>
  <c r="V82" i="30"/>
  <c r="V22" i="40" s="1"/>
  <c r="V23" i="40" s="1"/>
  <c r="S14" i="36"/>
  <c r="S37" i="40"/>
  <c r="S250" i="36"/>
  <c r="Y164" i="43"/>
  <c r="Y212" i="43" s="1"/>
  <c r="Y166" i="43"/>
  <c r="Y214" i="43" s="1"/>
  <c r="X15" i="43"/>
  <c r="Y162" i="43"/>
  <c r="Y210" i="43" s="1"/>
  <c r="Y159" i="43"/>
  <c r="Y207" i="43" s="1"/>
  <c r="Y157" i="43"/>
  <c r="Y205" i="43" s="1"/>
  <c r="Y167" i="43"/>
  <c r="Y215" i="43" s="1"/>
  <c r="Y161" i="43"/>
  <c r="Y209" i="43" s="1"/>
  <c r="Y152" i="43"/>
  <c r="Y200" i="43" s="1"/>
  <c r="Y163" i="43"/>
  <c r="Y211" i="43" s="1"/>
  <c r="Y154" i="43"/>
  <c r="Y202" i="43" s="1"/>
  <c r="Y151" i="43"/>
  <c r="Y168" i="43"/>
  <c r="Y216" i="43" s="1"/>
  <c r="Y153" i="43"/>
  <c r="Y201" i="43" s="1"/>
  <c r="Y158" i="43"/>
  <c r="Y206" i="43" s="1"/>
  <c r="Y160" i="43"/>
  <c r="Y208" i="43" s="1"/>
  <c r="Y156" i="43"/>
  <c r="Y204" i="43" s="1"/>
  <c r="Y155" i="43"/>
  <c r="Y203" i="43" s="1"/>
  <c r="Y165" i="43"/>
  <c r="Y213" i="43" s="1"/>
  <c r="X225" i="43"/>
  <c r="U14" i="37"/>
  <c r="U34" i="40"/>
  <c r="Y14" i="43"/>
  <c r="Y69" i="40"/>
  <c r="P27" i="37"/>
  <c r="P39" i="63"/>
  <c r="P124" i="63"/>
  <c r="Q23" i="54"/>
  <c r="Q23" i="63"/>
  <c r="Q123" i="63"/>
  <c r="S12" i="44"/>
  <c r="Q23" i="37"/>
  <c r="Q25" i="37" s="1"/>
  <c r="AG66" i="30"/>
  <c r="AG69" i="30" s="1"/>
  <c r="T88" i="40"/>
  <c r="T89" i="40" s="1"/>
  <c r="T13" i="37" s="1"/>
  <c r="T15" i="37" s="1"/>
  <c r="AK92" i="30"/>
  <c r="AK94" i="30" s="1"/>
  <c r="AK93" i="30"/>
  <c r="S156" i="44"/>
  <c r="S204" i="44" s="1"/>
  <c r="S228" i="44" s="1"/>
  <c r="R110" i="63" s="1"/>
  <c r="S161" i="44"/>
  <c r="S209" i="44" s="1"/>
  <c r="S233" i="44" s="1"/>
  <c r="R115" i="63" s="1"/>
  <c r="S154" i="44"/>
  <c r="S202" i="44" s="1"/>
  <c r="S226" i="44" s="1"/>
  <c r="R108" i="63" s="1"/>
  <c r="S168" i="44"/>
  <c r="S216" i="44" s="1"/>
  <c r="S240" i="44" s="1"/>
  <c r="R122" i="63" s="1"/>
  <c r="R15" i="44"/>
  <c r="S166" i="44"/>
  <c r="S214" i="44" s="1"/>
  <c r="S238" i="44" s="1"/>
  <c r="R120" i="63" s="1"/>
  <c r="S158" i="44"/>
  <c r="S206" i="44" s="1"/>
  <c r="S230" i="44" s="1"/>
  <c r="R112" i="63" s="1"/>
  <c r="S162" i="44"/>
  <c r="S210" i="44" s="1"/>
  <c r="S234" i="44" s="1"/>
  <c r="R116" i="63" s="1"/>
  <c r="S165" i="44"/>
  <c r="S213" i="44" s="1"/>
  <c r="S237" i="44" s="1"/>
  <c r="R119" i="63" s="1"/>
  <c r="S159" i="44"/>
  <c r="S207" i="44" s="1"/>
  <c r="S231" i="44" s="1"/>
  <c r="R113" i="63" s="1"/>
  <c r="S163" i="44"/>
  <c r="S211" i="44" s="1"/>
  <c r="S235" i="44" s="1"/>
  <c r="R117" i="63" s="1"/>
  <c r="S155" i="44"/>
  <c r="S203" i="44" s="1"/>
  <c r="S227" i="44" s="1"/>
  <c r="R109" i="63" s="1"/>
  <c r="S167" i="44"/>
  <c r="S215" i="44" s="1"/>
  <c r="S239" i="44" s="1"/>
  <c r="R121" i="63" s="1"/>
  <c r="S151" i="44"/>
  <c r="S153" i="44"/>
  <c r="S201" i="44" s="1"/>
  <c r="S225" i="44" s="1"/>
  <c r="R107" i="63" s="1"/>
  <c r="S164" i="44"/>
  <c r="S212" i="44" s="1"/>
  <c r="S236" i="44" s="1"/>
  <c r="R118" i="63" s="1"/>
  <c r="S157" i="44"/>
  <c r="S205" i="44" s="1"/>
  <c r="S229" i="44" s="1"/>
  <c r="R111" i="63" s="1"/>
  <c r="S160" i="44"/>
  <c r="S208" i="44" s="1"/>
  <c r="S232" i="44" s="1"/>
  <c r="R114" i="63" s="1"/>
  <c r="S152" i="44"/>
  <c r="S200" i="44" s="1"/>
  <c r="S224" i="44" s="1"/>
  <c r="R106" i="63" s="1"/>
  <c r="S103" i="40"/>
  <c r="S13" i="44"/>
  <c r="AJ117" i="30"/>
  <c r="Z125" i="30" s="1"/>
  <c r="AJ113" i="30"/>
  <c r="AJ115" i="30" s="1"/>
  <c r="AJ114" i="30"/>
  <c r="Q239" i="63" l="1"/>
  <c r="Z105" i="43"/>
  <c r="Z131" i="43" s="1"/>
  <c r="Z179" i="43" s="1"/>
  <c r="Z115" i="43"/>
  <c r="Z141" i="43" s="1"/>
  <c r="Z189" i="43" s="1"/>
  <c r="Z103" i="43"/>
  <c r="Z129" i="43" s="1"/>
  <c r="Z177" i="43" s="1"/>
  <c r="Z116" i="43"/>
  <c r="Z142" i="43" s="1"/>
  <c r="Z190" i="43" s="1"/>
  <c r="Z114" i="43"/>
  <c r="Z140" i="43" s="1"/>
  <c r="Z188" i="43" s="1"/>
  <c r="Z119" i="43"/>
  <c r="Z145" i="43" s="1"/>
  <c r="Z193" i="43" s="1"/>
  <c r="Z104" i="43"/>
  <c r="Z130" i="43" s="1"/>
  <c r="Z178" i="43" s="1"/>
  <c r="Z117" i="43"/>
  <c r="Z143" i="43" s="1"/>
  <c r="Z191" i="43" s="1"/>
  <c r="Z110" i="43"/>
  <c r="Z136" i="43" s="1"/>
  <c r="Z184" i="43" s="1"/>
  <c r="Z118" i="43"/>
  <c r="Z144" i="43" s="1"/>
  <c r="Z192" i="43" s="1"/>
  <c r="Z112" i="43"/>
  <c r="Z138" i="43" s="1"/>
  <c r="Z186" i="43" s="1"/>
  <c r="Z120" i="43"/>
  <c r="Z146" i="43" s="1"/>
  <c r="Z194" i="43" s="1"/>
  <c r="Z108" i="43"/>
  <c r="Z134" i="43" s="1"/>
  <c r="Z182" i="43" s="1"/>
  <c r="Z109" i="43"/>
  <c r="Z135" i="43" s="1"/>
  <c r="Z183" i="43" s="1"/>
  <c r="Z113" i="43"/>
  <c r="Z139" i="43" s="1"/>
  <c r="Z187" i="43" s="1"/>
  <c r="Z106" i="43"/>
  <c r="Z132" i="43" s="1"/>
  <c r="Z180" i="43" s="1"/>
  <c r="Y240" i="43"/>
  <c r="Y232" i="43"/>
  <c r="Y228" i="43"/>
  <c r="Y236" i="43"/>
  <c r="Y233" i="43"/>
  <c r="Y225" i="43"/>
  <c r="U110" i="36"/>
  <c r="U136" i="36" s="1"/>
  <c r="U184" i="36" s="1"/>
  <c r="U105" i="36"/>
  <c r="U131" i="36" s="1"/>
  <c r="U179" i="36" s="1"/>
  <c r="U120" i="36"/>
  <c r="U146" i="36" s="1"/>
  <c r="U194" i="36" s="1"/>
  <c r="U117" i="36"/>
  <c r="U143" i="36" s="1"/>
  <c r="U191" i="36" s="1"/>
  <c r="U119" i="36"/>
  <c r="U145" i="36" s="1"/>
  <c r="U193" i="36" s="1"/>
  <c r="U104" i="36"/>
  <c r="U130" i="36" s="1"/>
  <c r="U178" i="36" s="1"/>
  <c r="U106" i="36"/>
  <c r="U132" i="36" s="1"/>
  <c r="U180" i="36" s="1"/>
  <c r="U113" i="36"/>
  <c r="U139" i="36" s="1"/>
  <c r="U187" i="36" s="1"/>
  <c r="U112" i="36"/>
  <c r="U138" i="36" s="1"/>
  <c r="U186" i="36" s="1"/>
  <c r="U114" i="36"/>
  <c r="U140" i="36" s="1"/>
  <c r="U188" i="36" s="1"/>
  <c r="U118" i="36"/>
  <c r="U144" i="36" s="1"/>
  <c r="U192" i="36" s="1"/>
  <c r="U108" i="36"/>
  <c r="U134" i="36" s="1"/>
  <c r="U182" i="36" s="1"/>
  <c r="U107" i="36"/>
  <c r="U133" i="36" s="1"/>
  <c r="U181" i="36" s="1"/>
  <c r="U111" i="36"/>
  <c r="U137" i="36" s="1"/>
  <c r="U185" i="36" s="1"/>
  <c r="U116" i="36"/>
  <c r="U142" i="36" s="1"/>
  <c r="U190" i="36" s="1"/>
  <c r="U109" i="36"/>
  <c r="U135" i="36" s="1"/>
  <c r="U183" i="36" s="1"/>
  <c r="U115" i="36"/>
  <c r="U141" i="36" s="1"/>
  <c r="U189" i="36" s="1"/>
  <c r="U103" i="36"/>
  <c r="U129" i="36" s="1"/>
  <c r="T147" i="36"/>
  <c r="T177" i="36"/>
  <c r="Y237" i="43"/>
  <c r="U35" i="40"/>
  <c r="U12" i="36"/>
  <c r="V224" i="36" s="1"/>
  <c r="V225" i="36" s="1"/>
  <c r="V34" i="40"/>
  <c r="V14" i="37"/>
  <c r="T14" i="36"/>
  <c r="T37" i="40"/>
  <c r="X223" i="43"/>
  <c r="X242" i="43" s="1"/>
  <c r="AA12" i="37"/>
  <c r="AA66" i="40"/>
  <c r="Y235" i="43"/>
  <c r="Y224" i="43"/>
  <c r="Y226" i="43"/>
  <c r="Y231" i="43"/>
  <c r="Z67" i="40"/>
  <c r="Z12" i="43"/>
  <c r="Z163" i="43"/>
  <c r="Z211" i="43" s="1"/>
  <c r="Z151" i="43"/>
  <c r="Z152" i="43"/>
  <c r="Z200" i="43" s="1"/>
  <c r="Z168" i="43"/>
  <c r="Z216" i="43" s="1"/>
  <c r="Z155" i="43"/>
  <c r="Z203" i="43" s="1"/>
  <c r="Z227" i="43" s="1"/>
  <c r="Z167" i="43"/>
  <c r="Z215" i="43" s="1"/>
  <c r="Z159" i="43"/>
  <c r="Z207" i="43" s="1"/>
  <c r="Z231" i="43" s="1"/>
  <c r="Z156" i="43"/>
  <c r="Z204" i="43" s="1"/>
  <c r="Z157" i="43"/>
  <c r="Z205" i="43" s="1"/>
  <c r="Y15" i="43"/>
  <c r="Z166" i="43"/>
  <c r="Z214" i="43" s="1"/>
  <c r="Z164" i="43"/>
  <c r="Z212" i="43" s="1"/>
  <c r="Z154" i="43"/>
  <c r="Z202" i="43" s="1"/>
  <c r="Z160" i="43"/>
  <c r="Z208" i="43" s="1"/>
  <c r="Z162" i="43"/>
  <c r="Z210" i="43" s="1"/>
  <c r="Z158" i="43"/>
  <c r="Z206" i="43" s="1"/>
  <c r="Z153" i="43"/>
  <c r="Z201" i="43" s="1"/>
  <c r="Z161" i="43"/>
  <c r="Z209" i="43" s="1"/>
  <c r="Z165" i="43"/>
  <c r="Z213" i="43" s="1"/>
  <c r="Y230" i="43"/>
  <c r="T155" i="36"/>
  <c r="T203" i="36" s="1"/>
  <c r="T235" i="36" s="1"/>
  <c r="T158" i="36"/>
  <c r="T206" i="36" s="1"/>
  <c r="T238" i="36" s="1"/>
  <c r="T152" i="36"/>
  <c r="T200" i="36" s="1"/>
  <c r="T232" i="36" s="1"/>
  <c r="T164" i="36"/>
  <c r="T212" i="36" s="1"/>
  <c r="T244" i="36" s="1"/>
  <c r="T166" i="36"/>
  <c r="T214" i="36" s="1"/>
  <c r="T246" i="36" s="1"/>
  <c r="T153" i="36"/>
  <c r="T201" i="36" s="1"/>
  <c r="T233" i="36" s="1"/>
  <c r="T162" i="36"/>
  <c r="T210" i="36" s="1"/>
  <c r="T242" i="36" s="1"/>
  <c r="T159" i="36"/>
  <c r="T207" i="36" s="1"/>
  <c r="T239" i="36" s="1"/>
  <c r="T163" i="36"/>
  <c r="T211" i="36" s="1"/>
  <c r="T243" i="36" s="1"/>
  <c r="T168" i="36"/>
  <c r="T216" i="36" s="1"/>
  <c r="T248" i="36" s="1"/>
  <c r="T167" i="36"/>
  <c r="T215" i="36" s="1"/>
  <c r="T247" i="36" s="1"/>
  <c r="T156" i="36"/>
  <c r="T204" i="36" s="1"/>
  <c r="T236" i="36" s="1"/>
  <c r="T151" i="36"/>
  <c r="T154" i="36"/>
  <c r="T202" i="36" s="1"/>
  <c r="T234" i="36" s="1"/>
  <c r="S15" i="36"/>
  <c r="T161" i="36"/>
  <c r="T209" i="36" s="1"/>
  <c r="T241" i="36" s="1"/>
  <c r="T157" i="36"/>
  <c r="T205" i="36" s="1"/>
  <c r="T237" i="36" s="1"/>
  <c r="T165" i="36"/>
  <c r="T213" i="36" s="1"/>
  <c r="T245" i="36" s="1"/>
  <c r="T160" i="36"/>
  <c r="T208" i="36" s="1"/>
  <c r="T240" i="36" s="1"/>
  <c r="X66" i="39"/>
  <c r="AB66" i="39"/>
  <c r="V66" i="39"/>
  <c r="W66" i="39"/>
  <c r="U66" i="39"/>
  <c r="U101" i="39" s="1"/>
  <c r="U84" i="36" s="1"/>
  <c r="Y66" i="39"/>
  <c r="AC66" i="39"/>
  <c r="Z66" i="39"/>
  <c r="AD66" i="39"/>
  <c r="AA66" i="39"/>
  <c r="AA104" i="43"/>
  <c r="AA116" i="43"/>
  <c r="AA110" i="43"/>
  <c r="AA120" i="43"/>
  <c r="AA111" i="43"/>
  <c r="AA118" i="43"/>
  <c r="AA107" i="43"/>
  <c r="AA105" i="43"/>
  <c r="AA103" i="43"/>
  <c r="AA108" i="43"/>
  <c r="AA114" i="43"/>
  <c r="AA113" i="43"/>
  <c r="AA106" i="43"/>
  <c r="AA115" i="43"/>
  <c r="AA119" i="43"/>
  <c r="AA112" i="43"/>
  <c r="AA117" i="43"/>
  <c r="AA109" i="43"/>
  <c r="Y239" i="43"/>
  <c r="Y199" i="43"/>
  <c r="Y169" i="43"/>
  <c r="R24" i="37"/>
  <c r="S252" i="36"/>
  <c r="Y227" i="43"/>
  <c r="Y229" i="43"/>
  <c r="Y238" i="43"/>
  <c r="Y177" i="43"/>
  <c r="Y147" i="43"/>
  <c r="Y234" i="43"/>
  <c r="Q124" i="63"/>
  <c r="Q39" i="63"/>
  <c r="AG68" i="30"/>
  <c r="AG70" i="30" s="1"/>
  <c r="AG74" i="30"/>
  <c r="Q27" i="37"/>
  <c r="T101" i="40"/>
  <c r="T102" i="40" s="1"/>
  <c r="T13" i="44" s="1"/>
  <c r="AL90" i="30"/>
  <c r="AL93" i="30" s="1"/>
  <c r="U88" i="40"/>
  <c r="U89" i="40" s="1"/>
  <c r="U101" i="40" s="1"/>
  <c r="AK111" i="30"/>
  <c r="S199" i="44"/>
  <c r="S223" i="44" s="1"/>
  <c r="R105" i="63" s="1"/>
  <c r="S169" i="44"/>
  <c r="S14" i="44"/>
  <c r="S104" i="40"/>
  <c r="T139" i="44"/>
  <c r="T187" i="44" s="1"/>
  <c r="T130" i="44"/>
  <c r="T178" i="44" s="1"/>
  <c r="T137" i="44"/>
  <c r="T185" i="44" s="1"/>
  <c r="T144" i="44"/>
  <c r="T192" i="44" s="1"/>
  <c r="T140" i="44"/>
  <c r="T188" i="44" s="1"/>
  <c r="T141" i="44"/>
  <c r="T189" i="44" s="1"/>
  <c r="T138" i="44"/>
  <c r="T186" i="44" s="1"/>
  <c r="T136" i="44"/>
  <c r="T184" i="44" s="1"/>
  <c r="T142" i="44"/>
  <c r="T190" i="44" s="1"/>
  <c r="T134" i="44"/>
  <c r="T182" i="44" s="1"/>
  <c r="T129" i="44"/>
  <c r="T133" i="44"/>
  <c r="T181" i="44" s="1"/>
  <c r="T145" i="44"/>
  <c r="T193" i="44" s="1"/>
  <c r="T131" i="44"/>
  <c r="T179" i="44" s="1"/>
  <c r="T146" i="44"/>
  <c r="T194" i="44" s="1"/>
  <c r="T135" i="44"/>
  <c r="T183" i="44" s="1"/>
  <c r="T143" i="44"/>
  <c r="T191" i="44" s="1"/>
  <c r="T132" i="44"/>
  <c r="T180" i="44" s="1"/>
  <c r="Z225" i="43" l="1"/>
  <c r="Z235" i="43"/>
  <c r="Z224" i="43"/>
  <c r="Z236" i="43"/>
  <c r="Z237" i="43"/>
  <c r="Z232" i="43"/>
  <c r="Z234" i="43"/>
  <c r="Z230" i="43"/>
  <c r="Z239" i="43"/>
  <c r="Z238" i="43"/>
  <c r="Z240" i="43"/>
  <c r="Z228" i="43"/>
  <c r="Z147" i="43"/>
  <c r="Z233" i="43"/>
  <c r="Z226" i="43"/>
  <c r="Z229" i="43"/>
  <c r="W82" i="30"/>
  <c r="W22" i="40" s="1"/>
  <c r="W23" i="40" s="1"/>
  <c r="T199" i="36"/>
  <c r="T231" i="36" s="1"/>
  <c r="T169" i="36"/>
  <c r="Z199" i="43"/>
  <c r="Z223" i="43" s="1"/>
  <c r="Z169" i="43"/>
  <c r="AA12" i="43"/>
  <c r="AA67" i="40"/>
  <c r="AA68" i="40" s="1"/>
  <c r="V105" i="36"/>
  <c r="V104" i="36"/>
  <c r="V109" i="36"/>
  <c r="V110" i="36"/>
  <c r="V103" i="36"/>
  <c r="V112" i="36"/>
  <c r="V113" i="36"/>
  <c r="V120" i="36"/>
  <c r="V111" i="36"/>
  <c r="V107" i="36"/>
  <c r="V106" i="36"/>
  <c r="V118" i="36"/>
  <c r="V117" i="36"/>
  <c r="V114" i="36"/>
  <c r="V108" i="36"/>
  <c r="V116" i="36"/>
  <c r="V115" i="36"/>
  <c r="V119" i="36"/>
  <c r="U177" i="36"/>
  <c r="U147" i="36"/>
  <c r="U158" i="36"/>
  <c r="U206" i="36" s="1"/>
  <c r="U238" i="36" s="1"/>
  <c r="U164" i="36"/>
  <c r="U212" i="36" s="1"/>
  <c r="U244" i="36" s="1"/>
  <c r="U152" i="36"/>
  <c r="U200" i="36" s="1"/>
  <c r="U232" i="36" s="1"/>
  <c r="U155" i="36"/>
  <c r="U203" i="36" s="1"/>
  <c r="U235" i="36" s="1"/>
  <c r="U162" i="36"/>
  <c r="U210" i="36" s="1"/>
  <c r="U242" i="36" s="1"/>
  <c r="T15" i="36"/>
  <c r="U168" i="36"/>
  <c r="U216" i="36" s="1"/>
  <c r="U248" i="36" s="1"/>
  <c r="U153" i="36"/>
  <c r="U201" i="36" s="1"/>
  <c r="U233" i="36" s="1"/>
  <c r="U163" i="36"/>
  <c r="U211" i="36" s="1"/>
  <c r="U243" i="36" s="1"/>
  <c r="U165" i="36"/>
  <c r="U213" i="36" s="1"/>
  <c r="U245" i="36" s="1"/>
  <c r="U156" i="36"/>
  <c r="U204" i="36" s="1"/>
  <c r="U236" i="36" s="1"/>
  <c r="U154" i="36"/>
  <c r="U202" i="36" s="1"/>
  <c r="U234" i="36" s="1"/>
  <c r="U159" i="36"/>
  <c r="U207" i="36" s="1"/>
  <c r="U239" i="36" s="1"/>
  <c r="U167" i="36"/>
  <c r="U215" i="36" s="1"/>
  <c r="U247" i="36" s="1"/>
  <c r="U166" i="36"/>
  <c r="U214" i="36" s="1"/>
  <c r="U246" i="36" s="1"/>
  <c r="U161" i="36"/>
  <c r="U209" i="36" s="1"/>
  <c r="U241" i="36" s="1"/>
  <c r="U157" i="36"/>
  <c r="U205" i="36" s="1"/>
  <c r="U237" i="36" s="1"/>
  <c r="U160" i="36"/>
  <c r="U208" i="36" s="1"/>
  <c r="U240" i="36" s="1"/>
  <c r="U151" i="36"/>
  <c r="Z68" i="40"/>
  <c r="Z13" i="43"/>
  <c r="AA130" i="43" s="1"/>
  <c r="AA178" i="43" s="1"/>
  <c r="Z113" i="39"/>
  <c r="Z114" i="39" s="1"/>
  <c r="Z120" i="39" s="1"/>
  <c r="V35" i="40"/>
  <c r="V36" i="40" s="1"/>
  <c r="V12" i="36"/>
  <c r="W224" i="36" s="1"/>
  <c r="W225" i="36" s="1"/>
  <c r="U36" i="40"/>
  <c r="U17" i="39"/>
  <c r="U18" i="39" s="1"/>
  <c r="U24" i="39" s="1"/>
  <c r="U13" i="36"/>
  <c r="Y223" i="43"/>
  <c r="Y242" i="43" s="1"/>
  <c r="W22" i="37"/>
  <c r="X244" i="43"/>
  <c r="AL92" i="30"/>
  <c r="AL94" i="30" s="1"/>
  <c r="AM90" i="30" s="1"/>
  <c r="T103" i="40"/>
  <c r="T14" i="44" s="1"/>
  <c r="T12" i="44"/>
  <c r="AL96" i="30"/>
  <c r="U13" i="37"/>
  <c r="U15" i="37" s="1"/>
  <c r="AK113" i="30"/>
  <c r="AK115" i="30" s="1"/>
  <c r="AK117" i="30"/>
  <c r="AA125" i="30" s="1"/>
  <c r="AK114" i="30"/>
  <c r="U131" i="44"/>
  <c r="U179" i="44" s="1"/>
  <c r="U130" i="44"/>
  <c r="U178" i="44" s="1"/>
  <c r="U132" i="44"/>
  <c r="U180" i="44" s="1"/>
  <c r="U142" i="44"/>
  <c r="U190" i="44" s="1"/>
  <c r="U136" i="44"/>
  <c r="U184" i="44" s="1"/>
  <c r="U138" i="44"/>
  <c r="U186" i="44" s="1"/>
  <c r="U143" i="44"/>
  <c r="U191" i="44" s="1"/>
  <c r="U133" i="44"/>
  <c r="U181" i="44" s="1"/>
  <c r="U134" i="44"/>
  <c r="U182" i="44" s="1"/>
  <c r="U139" i="44"/>
  <c r="U187" i="44" s="1"/>
  <c r="U145" i="44"/>
  <c r="U193" i="44" s="1"/>
  <c r="U146" i="44"/>
  <c r="U194" i="44" s="1"/>
  <c r="U137" i="44"/>
  <c r="U185" i="44" s="1"/>
  <c r="U141" i="44"/>
  <c r="U189" i="44" s="1"/>
  <c r="U144" i="44"/>
  <c r="U192" i="44" s="1"/>
  <c r="U129" i="44"/>
  <c r="U135" i="44"/>
  <c r="U183" i="44" s="1"/>
  <c r="U140" i="44"/>
  <c r="U188" i="44" s="1"/>
  <c r="U12" i="44"/>
  <c r="U102" i="40"/>
  <c r="T168" i="44"/>
  <c r="T216" i="44" s="1"/>
  <c r="T240" i="44" s="1"/>
  <c r="S122" i="63" s="1"/>
  <c r="T165" i="44"/>
  <c r="T213" i="44" s="1"/>
  <c r="T237" i="44" s="1"/>
  <c r="S119" i="63" s="1"/>
  <c r="T153" i="44"/>
  <c r="T201" i="44" s="1"/>
  <c r="T225" i="44" s="1"/>
  <c r="S107" i="63" s="1"/>
  <c r="T164" i="44"/>
  <c r="T212" i="44" s="1"/>
  <c r="T236" i="44" s="1"/>
  <c r="S118" i="63" s="1"/>
  <c r="T151" i="44"/>
  <c r="T157" i="44"/>
  <c r="T205" i="44" s="1"/>
  <c r="T229" i="44" s="1"/>
  <c r="S111" i="63" s="1"/>
  <c r="T158" i="44"/>
  <c r="T206" i="44" s="1"/>
  <c r="T230" i="44" s="1"/>
  <c r="S112" i="63" s="1"/>
  <c r="T163" i="44"/>
  <c r="T211" i="44" s="1"/>
  <c r="T235" i="44" s="1"/>
  <c r="S117" i="63" s="1"/>
  <c r="T156" i="44"/>
  <c r="T204" i="44" s="1"/>
  <c r="T228" i="44" s="1"/>
  <c r="S110" i="63" s="1"/>
  <c r="T161" i="44"/>
  <c r="T209" i="44" s="1"/>
  <c r="T233" i="44" s="1"/>
  <c r="S115" i="63" s="1"/>
  <c r="T154" i="44"/>
  <c r="T202" i="44" s="1"/>
  <c r="T226" i="44" s="1"/>
  <c r="S108" i="63" s="1"/>
  <c r="S15" i="44"/>
  <c r="T159" i="44"/>
  <c r="T207" i="44" s="1"/>
  <c r="T231" i="44" s="1"/>
  <c r="S113" i="63" s="1"/>
  <c r="T155" i="44"/>
  <c r="T203" i="44" s="1"/>
  <c r="T227" i="44" s="1"/>
  <c r="S109" i="63" s="1"/>
  <c r="T167" i="44"/>
  <c r="T215" i="44" s="1"/>
  <c r="T239" i="44" s="1"/>
  <c r="S121" i="63" s="1"/>
  <c r="T166" i="44"/>
  <c r="T214" i="44" s="1"/>
  <c r="T238" i="44" s="1"/>
  <c r="S120" i="63" s="1"/>
  <c r="T162" i="44"/>
  <c r="T210" i="44" s="1"/>
  <c r="T234" i="44" s="1"/>
  <c r="S116" i="63" s="1"/>
  <c r="T152" i="44"/>
  <c r="T200" i="44" s="1"/>
  <c r="T224" i="44" s="1"/>
  <c r="S106" i="63" s="1"/>
  <c r="T160" i="44"/>
  <c r="T208" i="44" s="1"/>
  <c r="T232" i="44" s="1"/>
  <c r="S114" i="63" s="1"/>
  <c r="S242" i="44"/>
  <c r="R23" i="63" s="1"/>
  <c r="T177" i="44"/>
  <c r="AH66" i="30"/>
  <c r="AH68" i="30" s="1"/>
  <c r="T250" i="36" l="1"/>
  <c r="S24" i="37" s="1"/>
  <c r="R229" i="63"/>
  <c r="R47" i="67" s="1"/>
  <c r="R227" i="63"/>
  <c r="R234" i="63"/>
  <c r="R52" i="67" s="1"/>
  <c r="R236" i="63"/>
  <c r="R54" i="67" s="1"/>
  <c r="R232" i="63"/>
  <c r="R50" i="67" s="1"/>
  <c r="R228" i="63"/>
  <c r="R46" i="67" s="1"/>
  <c r="R235" i="63"/>
  <c r="R53" i="67" s="1"/>
  <c r="R237" i="63"/>
  <c r="R55" i="67" s="1"/>
  <c r="R233" i="63"/>
  <c r="R51" i="67" s="1"/>
  <c r="R238" i="63"/>
  <c r="R56" i="67" s="1"/>
  <c r="R231" i="63"/>
  <c r="R49" i="67" s="1"/>
  <c r="R230" i="63"/>
  <c r="R48" i="67" s="1"/>
  <c r="Z242" i="43"/>
  <c r="Y22" i="37" s="1"/>
  <c r="AA144" i="43"/>
  <c r="AA192" i="43" s="1"/>
  <c r="AA142" i="43"/>
  <c r="AA190" i="43" s="1"/>
  <c r="AA137" i="43"/>
  <c r="AA185" i="43" s="1"/>
  <c r="AA129" i="43"/>
  <c r="AA177" i="43" s="1"/>
  <c r="AA132" i="43"/>
  <c r="AA180" i="43" s="1"/>
  <c r="AA140" i="43"/>
  <c r="AA188" i="43" s="1"/>
  <c r="AA143" i="43"/>
  <c r="AA191" i="43" s="1"/>
  <c r="AA141" i="43"/>
  <c r="AA189" i="43" s="1"/>
  <c r="AA145" i="43"/>
  <c r="AA193" i="43" s="1"/>
  <c r="AA146" i="43"/>
  <c r="AA194" i="43" s="1"/>
  <c r="AA135" i="43"/>
  <c r="AA183" i="43" s="1"/>
  <c r="V37" i="40"/>
  <c r="V14" i="36"/>
  <c r="W14" i="37"/>
  <c r="W34" i="40"/>
  <c r="U14" i="36"/>
  <c r="U37" i="40"/>
  <c r="AB103" i="30"/>
  <c r="AB54" i="40" s="1"/>
  <c r="AB55" i="40" s="1"/>
  <c r="AA134" i="43"/>
  <c r="AA182" i="43" s="1"/>
  <c r="AA131" i="43"/>
  <c r="AA179" i="43" s="1"/>
  <c r="AA168" i="39"/>
  <c r="AA197" i="39" s="1"/>
  <c r="AA84" i="43" s="1"/>
  <c r="AE168" i="39"/>
  <c r="AI168" i="39"/>
  <c r="AC168" i="39"/>
  <c r="AG168" i="39"/>
  <c r="AB168" i="39"/>
  <c r="AF168" i="39"/>
  <c r="AJ168" i="39"/>
  <c r="AH168" i="39"/>
  <c r="AD168" i="39"/>
  <c r="U169" i="36"/>
  <c r="U199" i="36"/>
  <c r="U231" i="36" s="1"/>
  <c r="AA136" i="43"/>
  <c r="AA184" i="43" s="1"/>
  <c r="AA69" i="40"/>
  <c r="AA14" i="43"/>
  <c r="AA139" i="43"/>
  <c r="AA187" i="43" s="1"/>
  <c r="W67" i="39"/>
  <c r="AA67" i="39"/>
  <c r="AE67" i="39"/>
  <c r="X67" i="39"/>
  <c r="AB67" i="39"/>
  <c r="Y67" i="39"/>
  <c r="AC67" i="39"/>
  <c r="V67" i="39"/>
  <c r="V101" i="39" s="1"/>
  <c r="V84" i="36" s="1"/>
  <c r="Z67" i="39"/>
  <c r="AD67" i="39"/>
  <c r="V17" i="39"/>
  <c r="V18" i="39" s="1"/>
  <c r="V24" i="39" s="1"/>
  <c r="V13" i="36"/>
  <c r="Z69" i="40"/>
  <c r="Z14" i="43"/>
  <c r="T252" i="36"/>
  <c r="X22" i="37"/>
  <c r="Y244" i="43"/>
  <c r="V131" i="36"/>
  <c r="V179" i="36" s="1"/>
  <c r="V141" i="36"/>
  <c r="V189" i="36" s="1"/>
  <c r="V145" i="36"/>
  <c r="V193" i="36" s="1"/>
  <c r="V143" i="36"/>
  <c r="V191" i="36" s="1"/>
  <c r="V134" i="36"/>
  <c r="V182" i="36" s="1"/>
  <c r="V144" i="36"/>
  <c r="V192" i="36" s="1"/>
  <c r="V130" i="36"/>
  <c r="V178" i="36" s="1"/>
  <c r="V138" i="36"/>
  <c r="V186" i="36" s="1"/>
  <c r="V140" i="36"/>
  <c r="V188" i="36" s="1"/>
  <c r="V132" i="36"/>
  <c r="V180" i="36" s="1"/>
  <c r="V136" i="36"/>
  <c r="V184" i="36" s="1"/>
  <c r="V139" i="36"/>
  <c r="V187" i="36" s="1"/>
  <c r="V133" i="36"/>
  <c r="V181" i="36" s="1"/>
  <c r="V129" i="36"/>
  <c r="V146" i="36"/>
  <c r="V194" i="36" s="1"/>
  <c r="V135" i="36"/>
  <c r="V183" i="36" s="1"/>
  <c r="V137" i="36"/>
  <c r="V185" i="36" s="1"/>
  <c r="V142" i="36"/>
  <c r="V190" i="36" s="1"/>
  <c r="AA133" i="43"/>
  <c r="AA181" i="43" s="1"/>
  <c r="AA113" i="39"/>
  <c r="AA114" i="39" s="1"/>
  <c r="AA120" i="39" s="1"/>
  <c r="AA13" i="43"/>
  <c r="AA138" i="43"/>
  <c r="AA186" i="43" s="1"/>
  <c r="T104" i="40"/>
  <c r="R123" i="63"/>
  <c r="F57" i="37"/>
  <c r="E73" i="37" s="1"/>
  <c r="F45" i="37"/>
  <c r="F54" i="37"/>
  <c r="F58" i="37"/>
  <c r="E72" i="37" s="1"/>
  <c r="F59" i="37"/>
  <c r="E71" i="37" s="1"/>
  <c r="F48" i="37"/>
  <c r="E76" i="37" s="1"/>
  <c r="F50" i="37"/>
  <c r="E82" i="37" s="1"/>
  <c r="F55" i="37"/>
  <c r="F52" i="37"/>
  <c r="E81" i="37" s="1"/>
  <c r="F49" i="37"/>
  <c r="F61" i="37"/>
  <c r="F56" i="37"/>
  <c r="F53" i="37"/>
  <c r="F60" i="37"/>
  <c r="E79" i="37" s="1"/>
  <c r="F47" i="37"/>
  <c r="F51" i="37"/>
  <c r="F46" i="37"/>
  <c r="V88" i="40"/>
  <c r="V89" i="40" s="1"/>
  <c r="V101" i="40" s="1"/>
  <c r="V12" i="44" s="1"/>
  <c r="AL111" i="30"/>
  <c r="AL117" i="30" s="1"/>
  <c r="AB125" i="30" s="1"/>
  <c r="AM93" i="30"/>
  <c r="AM92" i="30"/>
  <c r="AM94" i="30" s="1"/>
  <c r="AM96" i="30"/>
  <c r="AC103" i="30" s="1"/>
  <c r="AC54" i="40" s="1"/>
  <c r="R23" i="37"/>
  <c r="R25" i="37" s="1"/>
  <c r="R23" i="54"/>
  <c r="U166" i="44"/>
  <c r="U214" i="44" s="1"/>
  <c r="U238" i="44" s="1"/>
  <c r="T120" i="63" s="1"/>
  <c r="U156" i="44"/>
  <c r="U204" i="44" s="1"/>
  <c r="U228" i="44" s="1"/>
  <c r="T110" i="63" s="1"/>
  <c r="U161" i="44"/>
  <c r="U209" i="44" s="1"/>
  <c r="U233" i="44" s="1"/>
  <c r="T115" i="63" s="1"/>
  <c r="U167" i="44"/>
  <c r="U215" i="44" s="1"/>
  <c r="U239" i="44" s="1"/>
  <c r="T121" i="63" s="1"/>
  <c r="U165" i="44"/>
  <c r="U213" i="44" s="1"/>
  <c r="U237" i="44" s="1"/>
  <c r="T119" i="63" s="1"/>
  <c r="U151" i="44"/>
  <c r="U164" i="44"/>
  <c r="U212" i="44" s="1"/>
  <c r="U236" i="44" s="1"/>
  <c r="T118" i="63" s="1"/>
  <c r="U159" i="44"/>
  <c r="U207" i="44" s="1"/>
  <c r="U231" i="44" s="1"/>
  <c r="T113" i="63" s="1"/>
  <c r="T15" i="44"/>
  <c r="U158" i="44"/>
  <c r="U206" i="44" s="1"/>
  <c r="U230" i="44" s="1"/>
  <c r="T112" i="63" s="1"/>
  <c r="U157" i="44"/>
  <c r="U205" i="44" s="1"/>
  <c r="U229" i="44" s="1"/>
  <c r="T111" i="63" s="1"/>
  <c r="U163" i="44"/>
  <c r="U211" i="44" s="1"/>
  <c r="U235" i="44" s="1"/>
  <c r="T117" i="63" s="1"/>
  <c r="U153" i="44"/>
  <c r="U201" i="44" s="1"/>
  <c r="U225" i="44" s="1"/>
  <c r="T107" i="63" s="1"/>
  <c r="U152" i="44"/>
  <c r="U200" i="44" s="1"/>
  <c r="U224" i="44" s="1"/>
  <c r="T106" i="63" s="1"/>
  <c r="U160" i="44"/>
  <c r="U208" i="44" s="1"/>
  <c r="U232" i="44" s="1"/>
  <c r="T114" i="63" s="1"/>
  <c r="U155" i="44"/>
  <c r="U203" i="44" s="1"/>
  <c r="U227" i="44" s="1"/>
  <c r="T109" i="63" s="1"/>
  <c r="U154" i="44"/>
  <c r="U202" i="44" s="1"/>
  <c r="U226" i="44" s="1"/>
  <c r="T108" i="63" s="1"/>
  <c r="U162" i="44"/>
  <c r="U210" i="44" s="1"/>
  <c r="U234" i="44" s="1"/>
  <c r="T116" i="63" s="1"/>
  <c r="U168" i="44"/>
  <c r="U216" i="44" s="1"/>
  <c r="U240" i="44" s="1"/>
  <c r="T122" i="63" s="1"/>
  <c r="U177" i="44"/>
  <c r="T199" i="44"/>
  <c r="T223" i="44" s="1"/>
  <c r="S105" i="63" s="1"/>
  <c r="T169" i="44"/>
  <c r="S244" i="44"/>
  <c r="U103" i="40"/>
  <c r="U13" i="44"/>
  <c r="AH74" i="30"/>
  <c r="AH69" i="30"/>
  <c r="AH70" i="30"/>
  <c r="U250" i="36" l="1"/>
  <c r="U252" i="36" s="1"/>
  <c r="R45" i="67"/>
  <c r="R239" i="63"/>
  <c r="S233" i="63"/>
  <c r="S51" i="67" s="1"/>
  <c r="S228" i="63"/>
  <c r="S46" i="67" s="1"/>
  <c r="S232" i="63"/>
  <c r="S50" i="67" s="1"/>
  <c r="S234" i="63"/>
  <c r="S52" i="67" s="1"/>
  <c r="S235" i="63"/>
  <c r="S53" i="67" s="1"/>
  <c r="S238" i="63"/>
  <c r="S56" i="67" s="1"/>
  <c r="S231" i="63"/>
  <c r="S49" i="67" s="1"/>
  <c r="S229" i="63"/>
  <c r="S47" i="67" s="1"/>
  <c r="S230" i="63"/>
  <c r="S48" i="67" s="1"/>
  <c r="S237" i="63"/>
  <c r="S55" i="67" s="1"/>
  <c r="S236" i="63"/>
  <c r="S54" i="67" s="1"/>
  <c r="Z244" i="43"/>
  <c r="AC55" i="40"/>
  <c r="AC66" i="40" s="1"/>
  <c r="AA154" i="43"/>
  <c r="AA202" i="43" s="1"/>
  <c r="AA226" i="43" s="1"/>
  <c r="AA159" i="43"/>
  <c r="AA207" i="43" s="1"/>
  <c r="AA231" i="43" s="1"/>
  <c r="AA152" i="43"/>
  <c r="AA200" i="43" s="1"/>
  <c r="AA224" i="43" s="1"/>
  <c r="AA164" i="43"/>
  <c r="AA212" i="43" s="1"/>
  <c r="AA236" i="43" s="1"/>
  <c r="AA168" i="43"/>
  <c r="AA216" i="43" s="1"/>
  <c r="AA240" i="43" s="1"/>
  <c r="AA156" i="43"/>
  <c r="AA204" i="43" s="1"/>
  <c r="AA228" i="43" s="1"/>
  <c r="AA162" i="43"/>
  <c r="AA210" i="43" s="1"/>
  <c r="AA234" i="43" s="1"/>
  <c r="Z15" i="43"/>
  <c r="AA163" i="43"/>
  <c r="AA211" i="43" s="1"/>
  <c r="AA235" i="43" s="1"/>
  <c r="AA158" i="43"/>
  <c r="AA206" i="43" s="1"/>
  <c r="AA230" i="43" s="1"/>
  <c r="AA151" i="43"/>
  <c r="AA155" i="43"/>
  <c r="AA203" i="43" s="1"/>
  <c r="AA227" i="43" s="1"/>
  <c r="AA167" i="43"/>
  <c r="AA215" i="43" s="1"/>
  <c r="AA239" i="43" s="1"/>
  <c r="AA153" i="43"/>
  <c r="AA201" i="43" s="1"/>
  <c r="AA225" i="43" s="1"/>
  <c r="AA166" i="43"/>
  <c r="AA214" i="43" s="1"/>
  <c r="AA238" i="43" s="1"/>
  <c r="AA157" i="43"/>
  <c r="AA205" i="43" s="1"/>
  <c r="AA229" i="43" s="1"/>
  <c r="AA160" i="43"/>
  <c r="AA208" i="43" s="1"/>
  <c r="AA232" i="43" s="1"/>
  <c r="AA161" i="43"/>
  <c r="AA209" i="43" s="1"/>
  <c r="AA233" i="43" s="1"/>
  <c r="AA165" i="43"/>
  <c r="AA213" i="43" s="1"/>
  <c r="AA237" i="43" s="1"/>
  <c r="AB156" i="43"/>
  <c r="AB204" i="43" s="1"/>
  <c r="AB151" i="43"/>
  <c r="AB158" i="43"/>
  <c r="AB206" i="43" s="1"/>
  <c r="AB153" i="43"/>
  <c r="AB201" i="43" s="1"/>
  <c r="AB154" i="43"/>
  <c r="AB202" i="43" s="1"/>
  <c r="AB161" i="43"/>
  <c r="AB209" i="43" s="1"/>
  <c r="AB164" i="43"/>
  <c r="AB212" i="43" s="1"/>
  <c r="AB160" i="43"/>
  <c r="AB208" i="43" s="1"/>
  <c r="AB152" i="43"/>
  <c r="AB200" i="43" s="1"/>
  <c r="AA15" i="43"/>
  <c r="AB167" i="43"/>
  <c r="AB215" i="43" s="1"/>
  <c r="AB168" i="43"/>
  <c r="AB216" i="43" s="1"/>
  <c r="AB155" i="43"/>
  <c r="AB203" i="43" s="1"/>
  <c r="AB166" i="43"/>
  <c r="AB214" i="43" s="1"/>
  <c r="AB165" i="43"/>
  <c r="AB213" i="43" s="1"/>
  <c r="AB159" i="43"/>
  <c r="AB207" i="43" s="1"/>
  <c r="AB157" i="43"/>
  <c r="AB205" i="43" s="1"/>
  <c r="AB163" i="43"/>
  <c r="AB211" i="43" s="1"/>
  <c r="AB162" i="43"/>
  <c r="AB210" i="43" s="1"/>
  <c r="V160" i="36"/>
  <c r="V208" i="36" s="1"/>
  <c r="V240" i="36" s="1"/>
  <c r="V164" i="36"/>
  <c r="V212" i="36" s="1"/>
  <c r="V244" i="36" s="1"/>
  <c r="V165" i="36"/>
  <c r="V213" i="36" s="1"/>
  <c r="V245" i="36" s="1"/>
  <c r="V154" i="36"/>
  <c r="V202" i="36" s="1"/>
  <c r="V234" i="36" s="1"/>
  <c r="V168" i="36"/>
  <c r="V216" i="36" s="1"/>
  <c r="V167" i="36"/>
  <c r="V215" i="36" s="1"/>
  <c r="V247" i="36" s="1"/>
  <c r="V166" i="36"/>
  <c r="V214" i="36" s="1"/>
  <c r="V246" i="36" s="1"/>
  <c r="V162" i="36"/>
  <c r="V210" i="36" s="1"/>
  <c r="V242" i="36" s="1"/>
  <c r="U15" i="36"/>
  <c r="V163" i="36"/>
  <c r="V211" i="36" s="1"/>
  <c r="V243" i="36" s="1"/>
  <c r="V153" i="36"/>
  <c r="V201" i="36" s="1"/>
  <c r="V233" i="36" s="1"/>
  <c r="V156" i="36"/>
  <c r="V204" i="36" s="1"/>
  <c r="V236" i="36" s="1"/>
  <c r="V152" i="36"/>
  <c r="V200" i="36" s="1"/>
  <c r="V232" i="36" s="1"/>
  <c r="V157" i="36"/>
  <c r="V205" i="36" s="1"/>
  <c r="V237" i="36" s="1"/>
  <c r="V161" i="36"/>
  <c r="V209" i="36" s="1"/>
  <c r="V241" i="36" s="1"/>
  <c r="V159" i="36"/>
  <c r="V207" i="36" s="1"/>
  <c r="V239" i="36" s="1"/>
  <c r="V155" i="36"/>
  <c r="V203" i="36" s="1"/>
  <c r="V235" i="36" s="1"/>
  <c r="V158" i="36"/>
  <c r="V206" i="36" s="1"/>
  <c r="V238" i="36" s="1"/>
  <c r="V151" i="36"/>
  <c r="W35" i="40"/>
  <c r="W36" i="40" s="1"/>
  <c r="W12" i="36"/>
  <c r="X224" i="36" s="1"/>
  <c r="X225" i="36" s="1"/>
  <c r="AE169" i="39"/>
  <c r="AI169" i="39"/>
  <c r="AH169" i="39"/>
  <c r="AD169" i="39"/>
  <c r="AG169" i="39"/>
  <c r="AB169" i="39"/>
  <c r="AB197" i="39" s="1"/>
  <c r="AB84" i="43" s="1"/>
  <c r="AF169" i="39"/>
  <c r="AJ169" i="39"/>
  <c r="AC169" i="39"/>
  <c r="AK169" i="39"/>
  <c r="AB12" i="37"/>
  <c r="AB66" i="40"/>
  <c r="W168" i="36"/>
  <c r="W216" i="36" s="1"/>
  <c r="W163" i="36"/>
  <c r="W211" i="36" s="1"/>
  <c r="W162" i="36"/>
  <c r="W210" i="36" s="1"/>
  <c r="W159" i="36"/>
  <c r="W207" i="36" s="1"/>
  <c r="W153" i="36"/>
  <c r="W201" i="36" s="1"/>
  <c r="W167" i="36"/>
  <c r="W215" i="36" s="1"/>
  <c r="W161" i="36"/>
  <c r="W209" i="36" s="1"/>
  <c r="W164" i="36"/>
  <c r="W212" i="36" s="1"/>
  <c r="W158" i="36"/>
  <c r="W206" i="36" s="1"/>
  <c r="W160" i="36"/>
  <c r="W208" i="36" s="1"/>
  <c r="W156" i="36"/>
  <c r="W204" i="36" s="1"/>
  <c r="W166" i="36"/>
  <c r="W214" i="36" s="1"/>
  <c r="W165" i="36"/>
  <c r="W213" i="36" s="1"/>
  <c r="W154" i="36"/>
  <c r="W202" i="36" s="1"/>
  <c r="V15" i="36"/>
  <c r="W157" i="36"/>
  <c r="W205" i="36" s="1"/>
  <c r="W151" i="36"/>
  <c r="W152" i="36"/>
  <c r="W200" i="36" s="1"/>
  <c r="W155" i="36"/>
  <c r="W203" i="36" s="1"/>
  <c r="V248" i="36"/>
  <c r="W103" i="36"/>
  <c r="W129" i="36" s="1"/>
  <c r="W116" i="36"/>
  <c r="W142" i="36" s="1"/>
  <c r="W190" i="36" s="1"/>
  <c r="W120" i="36"/>
  <c r="W146" i="36" s="1"/>
  <c r="W194" i="36" s="1"/>
  <c r="W118" i="36"/>
  <c r="W144" i="36" s="1"/>
  <c r="W192" i="36" s="1"/>
  <c r="W109" i="36"/>
  <c r="W135" i="36" s="1"/>
  <c r="W183" i="36" s="1"/>
  <c r="W119" i="36"/>
  <c r="W145" i="36" s="1"/>
  <c r="W193" i="36" s="1"/>
  <c r="W104" i="36"/>
  <c r="W130" i="36" s="1"/>
  <c r="W178" i="36" s="1"/>
  <c r="W112" i="36"/>
  <c r="W138" i="36" s="1"/>
  <c r="W186" i="36" s="1"/>
  <c r="W106" i="36"/>
  <c r="W132" i="36" s="1"/>
  <c r="W180" i="36" s="1"/>
  <c r="W110" i="36"/>
  <c r="W136" i="36" s="1"/>
  <c r="W184" i="36" s="1"/>
  <c r="W113" i="36"/>
  <c r="W139" i="36" s="1"/>
  <c r="W187" i="36" s="1"/>
  <c r="W107" i="36"/>
  <c r="W133" i="36" s="1"/>
  <c r="W181" i="36" s="1"/>
  <c r="W114" i="36"/>
  <c r="W140" i="36" s="1"/>
  <c r="W188" i="36" s="1"/>
  <c r="W105" i="36"/>
  <c r="W131" i="36" s="1"/>
  <c r="W179" i="36" s="1"/>
  <c r="W117" i="36"/>
  <c r="W143" i="36" s="1"/>
  <c r="W191" i="36" s="1"/>
  <c r="W108" i="36"/>
  <c r="W134" i="36" s="1"/>
  <c r="W182" i="36" s="1"/>
  <c r="W115" i="36"/>
  <c r="W141" i="36" s="1"/>
  <c r="W189" i="36" s="1"/>
  <c r="W111" i="36"/>
  <c r="W137" i="36" s="1"/>
  <c r="W185" i="36" s="1"/>
  <c r="AB115" i="43"/>
  <c r="AB141" i="43" s="1"/>
  <c r="AB189" i="43" s="1"/>
  <c r="AB118" i="43"/>
  <c r="AB144" i="43" s="1"/>
  <c r="AB192" i="43" s="1"/>
  <c r="AB106" i="43"/>
  <c r="AB132" i="43" s="1"/>
  <c r="AB180" i="43" s="1"/>
  <c r="AB110" i="43"/>
  <c r="AB136" i="43" s="1"/>
  <c r="AB184" i="43" s="1"/>
  <c r="AB117" i="43"/>
  <c r="AB143" i="43" s="1"/>
  <c r="AB191" i="43" s="1"/>
  <c r="AB116" i="43"/>
  <c r="AB142" i="43" s="1"/>
  <c r="AB190" i="43" s="1"/>
  <c r="AB104" i="43"/>
  <c r="AB130" i="43" s="1"/>
  <c r="AB178" i="43" s="1"/>
  <c r="AB111" i="43"/>
  <c r="AB137" i="43" s="1"/>
  <c r="AB185" i="43" s="1"/>
  <c r="AB113" i="43"/>
  <c r="AB139" i="43" s="1"/>
  <c r="AB187" i="43" s="1"/>
  <c r="AB105" i="43"/>
  <c r="AB131" i="43" s="1"/>
  <c r="AB179" i="43" s="1"/>
  <c r="AB108" i="43"/>
  <c r="AB134" i="43" s="1"/>
  <c r="AB182" i="43" s="1"/>
  <c r="AB228" i="43" s="1"/>
  <c r="AB119" i="43"/>
  <c r="AB145" i="43" s="1"/>
  <c r="AB193" i="43" s="1"/>
  <c r="AB112" i="43"/>
  <c r="AB138" i="43" s="1"/>
  <c r="AB186" i="43" s="1"/>
  <c r="AB120" i="43"/>
  <c r="AB146" i="43" s="1"/>
  <c r="AB194" i="43" s="1"/>
  <c r="AB109" i="43"/>
  <c r="AB135" i="43" s="1"/>
  <c r="AB183" i="43" s="1"/>
  <c r="AB114" i="43"/>
  <c r="AB140" i="43" s="1"/>
  <c r="AB188" i="43" s="1"/>
  <c r="AB107" i="43"/>
  <c r="AB133" i="43" s="1"/>
  <c r="AB181" i="43" s="1"/>
  <c r="AB103" i="43"/>
  <c r="AB129" i="43" s="1"/>
  <c r="AA147" i="43"/>
  <c r="X82" i="30"/>
  <c r="X22" i="40" s="1"/>
  <c r="X23" i="40" s="1"/>
  <c r="V147" i="36"/>
  <c r="V177" i="36"/>
  <c r="Z68" i="39"/>
  <c r="AD68" i="39"/>
  <c r="AE68" i="39"/>
  <c r="X68" i="39"/>
  <c r="AF68" i="39"/>
  <c r="Y68" i="39"/>
  <c r="W68" i="39"/>
  <c r="W101" i="39" s="1"/>
  <c r="W84" i="36" s="1"/>
  <c r="AA68" i="39"/>
  <c r="AB68" i="39"/>
  <c r="AC68" i="39"/>
  <c r="V102" i="40"/>
  <c r="V103" i="40" s="1"/>
  <c r="V14" i="44" s="1"/>
  <c r="W161" i="44" s="1"/>
  <c r="W209" i="44" s="1"/>
  <c r="R39" i="63"/>
  <c r="R124" i="63"/>
  <c r="E77" i="37"/>
  <c r="F96" i="37"/>
  <c r="E74" i="37"/>
  <c r="E78" i="37"/>
  <c r="F97" i="37"/>
  <c r="E83" i="37"/>
  <c r="E80" i="37"/>
  <c r="F99" i="37"/>
  <c r="V13" i="37"/>
  <c r="V15" i="37" s="1"/>
  <c r="W88" i="40"/>
  <c r="W89" i="40" s="1"/>
  <c r="W13" i="37" s="1"/>
  <c r="W15" i="37" s="1"/>
  <c r="AL114" i="30"/>
  <c r="AL113" i="30"/>
  <c r="AL115" i="30" s="1"/>
  <c r="AN90" i="30"/>
  <c r="AN92" i="30" s="1"/>
  <c r="AN94" i="30" s="1"/>
  <c r="U199" i="44"/>
  <c r="U223" i="44" s="1"/>
  <c r="T105" i="63" s="1"/>
  <c r="U169" i="44"/>
  <c r="V139" i="44"/>
  <c r="V187" i="44" s="1"/>
  <c r="V133" i="44"/>
  <c r="V181" i="44" s="1"/>
  <c r="V144" i="44"/>
  <c r="V192" i="44" s="1"/>
  <c r="V132" i="44"/>
  <c r="V180" i="44" s="1"/>
  <c r="V137" i="44"/>
  <c r="V185" i="44" s="1"/>
  <c r="V140" i="44"/>
  <c r="V188" i="44" s="1"/>
  <c r="V143" i="44"/>
  <c r="V191" i="44" s="1"/>
  <c r="V138" i="44"/>
  <c r="V186" i="44" s="1"/>
  <c r="V130" i="44"/>
  <c r="V178" i="44" s="1"/>
  <c r="V129" i="44"/>
  <c r="V136" i="44"/>
  <c r="V184" i="44" s="1"/>
  <c r="V146" i="44"/>
  <c r="V194" i="44" s="1"/>
  <c r="V135" i="44"/>
  <c r="V183" i="44" s="1"/>
  <c r="V145" i="44"/>
  <c r="V193" i="44" s="1"/>
  <c r="V131" i="44"/>
  <c r="V179" i="44" s="1"/>
  <c r="V142" i="44"/>
  <c r="V190" i="44" s="1"/>
  <c r="V134" i="44"/>
  <c r="V182" i="44" s="1"/>
  <c r="V141" i="44"/>
  <c r="V189" i="44" s="1"/>
  <c r="U14" i="44"/>
  <c r="U104" i="40"/>
  <c r="R27" i="37"/>
  <c r="AI66" i="30"/>
  <c r="AI69" i="30" s="1"/>
  <c r="T24" i="37" l="1"/>
  <c r="T235" i="63"/>
  <c r="T53" i="67" s="1"/>
  <c r="T238" i="63"/>
  <c r="T56" i="67" s="1"/>
  <c r="T236" i="63"/>
  <c r="T54" i="67" s="1"/>
  <c r="T228" i="63"/>
  <c r="T46" i="67" s="1"/>
  <c r="T232" i="63"/>
  <c r="T50" i="67" s="1"/>
  <c r="T229" i="63"/>
  <c r="T47" i="67" s="1"/>
  <c r="T237" i="63"/>
  <c r="T55" i="67" s="1"/>
  <c r="T233" i="63"/>
  <c r="T51" i="67" s="1"/>
  <c r="T234" i="63"/>
  <c r="T52" i="67" s="1"/>
  <c r="T231" i="63"/>
  <c r="T49" i="67" s="1"/>
  <c r="T230" i="63"/>
  <c r="T48" i="67" s="1"/>
  <c r="AC12" i="37"/>
  <c r="AB227" i="43"/>
  <c r="AB229" i="43"/>
  <c r="AB224" i="43"/>
  <c r="AB226" i="43"/>
  <c r="AB238" i="43"/>
  <c r="AB233" i="43"/>
  <c r="AB235" i="43"/>
  <c r="AB236" i="43"/>
  <c r="W232" i="36"/>
  <c r="W234" i="36"/>
  <c r="W240" i="36"/>
  <c r="W243" i="36"/>
  <c r="W245" i="36"/>
  <c r="W248" i="36"/>
  <c r="W14" i="36"/>
  <c r="W37" i="40"/>
  <c r="W247" i="36"/>
  <c r="AC106" i="43"/>
  <c r="AC114" i="43"/>
  <c r="AC113" i="43"/>
  <c r="AC107" i="43"/>
  <c r="AC104" i="43"/>
  <c r="AC110" i="43"/>
  <c r="AC103" i="43"/>
  <c r="AC109" i="43"/>
  <c r="AC119" i="43"/>
  <c r="AC112" i="43"/>
  <c r="AC108" i="43"/>
  <c r="AC105" i="43"/>
  <c r="AC120" i="43"/>
  <c r="AC118" i="43"/>
  <c r="AC117" i="43"/>
  <c r="AC116" i="43"/>
  <c r="AC115" i="43"/>
  <c r="AC111" i="43"/>
  <c r="AA199" i="43"/>
  <c r="AA223" i="43" s="1"/>
  <c r="AA242" i="43" s="1"/>
  <c r="AA169" i="43"/>
  <c r="AB240" i="43"/>
  <c r="AB225" i="43"/>
  <c r="W177" i="36"/>
  <c r="W147" i="36"/>
  <c r="X112" i="36"/>
  <c r="X111" i="36"/>
  <c r="X110" i="36"/>
  <c r="X107" i="36"/>
  <c r="X113" i="36"/>
  <c r="X118" i="36"/>
  <c r="X119" i="36"/>
  <c r="X120" i="36"/>
  <c r="X109" i="36"/>
  <c r="X106" i="36"/>
  <c r="X105" i="36"/>
  <c r="X108" i="36"/>
  <c r="X104" i="36"/>
  <c r="X116" i="36"/>
  <c r="X114" i="36"/>
  <c r="X103" i="36"/>
  <c r="X117" i="36"/>
  <c r="X115" i="36"/>
  <c r="X34" i="40"/>
  <c r="X14" i="37"/>
  <c r="AB232" i="43"/>
  <c r="AB237" i="43"/>
  <c r="W237" i="36"/>
  <c r="W246" i="36"/>
  <c r="W244" i="36"/>
  <c r="W239" i="36"/>
  <c r="AB12" i="43"/>
  <c r="AB67" i="40"/>
  <c r="AB169" i="43"/>
  <c r="AB199" i="43"/>
  <c r="W17" i="39"/>
  <c r="W18" i="39" s="1"/>
  <c r="W24" i="39" s="1"/>
  <c r="W13" i="36"/>
  <c r="AB177" i="43"/>
  <c r="AB147" i="43"/>
  <c r="W169" i="36"/>
  <c r="W199" i="36"/>
  <c r="W238" i="36"/>
  <c r="W233" i="36"/>
  <c r="V169" i="36"/>
  <c r="V199" i="36"/>
  <c r="V231" i="36" s="1"/>
  <c r="AB234" i="43"/>
  <c r="AB239" i="43"/>
  <c r="AB231" i="43"/>
  <c r="AB230" i="43"/>
  <c r="W235" i="36"/>
  <c r="W236" i="36"/>
  <c r="W241" i="36"/>
  <c r="W242" i="36"/>
  <c r="AC12" i="43"/>
  <c r="AC67" i="40"/>
  <c r="AC68" i="40" s="1"/>
  <c r="W156" i="44"/>
  <c r="W204" i="44" s="1"/>
  <c r="V13" i="44"/>
  <c r="W142" i="44" s="1"/>
  <c r="W190" i="44" s="1"/>
  <c r="W151" i="44"/>
  <c r="W199" i="44" s="1"/>
  <c r="W152" i="44"/>
  <c r="W200" i="44" s="1"/>
  <c r="W165" i="44"/>
  <c r="W213" i="44" s="1"/>
  <c r="W155" i="44"/>
  <c r="W203" i="44" s="1"/>
  <c r="W163" i="44"/>
  <c r="W211" i="44" s="1"/>
  <c r="W168" i="44"/>
  <c r="W216" i="44" s="1"/>
  <c r="V15" i="44"/>
  <c r="W158" i="44"/>
  <c r="W206" i="44" s="1"/>
  <c r="W159" i="44"/>
  <c r="W207" i="44" s="1"/>
  <c r="V104" i="40"/>
  <c r="W153" i="44"/>
  <c r="W201" i="44" s="1"/>
  <c r="W164" i="44"/>
  <c r="W212" i="44" s="1"/>
  <c r="W154" i="44"/>
  <c r="W202" i="44" s="1"/>
  <c r="W167" i="44"/>
  <c r="W215" i="44" s="1"/>
  <c r="W166" i="44"/>
  <c r="W214" i="44" s="1"/>
  <c r="W160" i="44"/>
  <c r="W208" i="44" s="1"/>
  <c r="W162" i="44"/>
  <c r="W210" i="44" s="1"/>
  <c r="W157" i="44"/>
  <c r="W205" i="44" s="1"/>
  <c r="T242" i="44"/>
  <c r="S23" i="63" s="1"/>
  <c r="F44" i="37"/>
  <c r="AM111" i="30"/>
  <c r="AM113" i="30" s="1"/>
  <c r="AM115" i="30" s="1"/>
  <c r="W101" i="40"/>
  <c r="W102" i="40" s="1"/>
  <c r="W103" i="40" s="1"/>
  <c r="W104" i="40" s="1"/>
  <c r="AN93" i="30"/>
  <c r="AO90" i="30" s="1"/>
  <c r="AN96" i="30"/>
  <c r="AD103" i="30" s="1"/>
  <c r="AD54" i="40" s="1"/>
  <c r="AD55" i="40" s="1"/>
  <c r="T227" i="63"/>
  <c r="U15" i="44"/>
  <c r="V166" i="44"/>
  <c r="V214" i="44" s="1"/>
  <c r="V238" i="44" s="1"/>
  <c r="U120" i="63" s="1"/>
  <c r="V163" i="44"/>
  <c r="V211" i="44" s="1"/>
  <c r="V235" i="44" s="1"/>
  <c r="U117" i="63" s="1"/>
  <c r="V156" i="44"/>
  <c r="V204" i="44" s="1"/>
  <c r="V228" i="44" s="1"/>
  <c r="U110" i="63" s="1"/>
  <c r="V164" i="44"/>
  <c r="V212" i="44" s="1"/>
  <c r="V236" i="44" s="1"/>
  <c r="U118" i="63" s="1"/>
  <c r="V155" i="44"/>
  <c r="V203" i="44" s="1"/>
  <c r="V227" i="44" s="1"/>
  <c r="U109" i="63" s="1"/>
  <c r="V152" i="44"/>
  <c r="V200" i="44" s="1"/>
  <c r="V224" i="44" s="1"/>
  <c r="U106" i="63" s="1"/>
  <c r="V159" i="44"/>
  <c r="V207" i="44" s="1"/>
  <c r="V231" i="44" s="1"/>
  <c r="U113" i="63" s="1"/>
  <c r="V167" i="44"/>
  <c r="V215" i="44" s="1"/>
  <c r="V239" i="44" s="1"/>
  <c r="U121" i="63" s="1"/>
  <c r="V162" i="44"/>
  <c r="V210" i="44" s="1"/>
  <c r="V234" i="44" s="1"/>
  <c r="U116" i="63" s="1"/>
  <c r="V154" i="44"/>
  <c r="V202" i="44" s="1"/>
  <c r="V226" i="44" s="1"/>
  <c r="U108" i="63" s="1"/>
  <c r="V168" i="44"/>
  <c r="V216" i="44" s="1"/>
  <c r="V240" i="44" s="1"/>
  <c r="U122" i="63" s="1"/>
  <c r="V151" i="44"/>
  <c r="V161" i="44"/>
  <c r="V209" i="44" s="1"/>
  <c r="V233" i="44" s="1"/>
  <c r="U115" i="63" s="1"/>
  <c r="V165" i="44"/>
  <c r="V213" i="44" s="1"/>
  <c r="V237" i="44" s="1"/>
  <c r="U119" i="63" s="1"/>
  <c r="V160" i="44"/>
  <c r="V208" i="44" s="1"/>
  <c r="V232" i="44" s="1"/>
  <c r="U114" i="63" s="1"/>
  <c r="V153" i="44"/>
  <c r="V201" i="44" s="1"/>
  <c r="V225" i="44" s="1"/>
  <c r="U107" i="63" s="1"/>
  <c r="V157" i="44"/>
  <c r="V205" i="44" s="1"/>
  <c r="V229" i="44" s="1"/>
  <c r="U111" i="63" s="1"/>
  <c r="V158" i="44"/>
  <c r="V206" i="44" s="1"/>
  <c r="V230" i="44" s="1"/>
  <c r="U112" i="63" s="1"/>
  <c r="V177" i="44"/>
  <c r="AI74" i="30"/>
  <c r="AI68" i="30"/>
  <c r="AI70" i="30" s="1"/>
  <c r="V250" i="36" l="1"/>
  <c r="V252" i="36" s="1"/>
  <c r="S227" i="63"/>
  <c r="T45" i="67" s="1"/>
  <c r="W131" i="44"/>
  <c r="W179" i="44" s="1"/>
  <c r="W225" i="44" s="1"/>
  <c r="V107" i="63" s="1"/>
  <c r="W231" i="36"/>
  <c r="W136" i="44"/>
  <c r="W184" i="44" s="1"/>
  <c r="W230" i="44" s="1"/>
  <c r="V112" i="63" s="1"/>
  <c r="AB223" i="43"/>
  <c r="AB242" i="43" s="1"/>
  <c r="AD66" i="40"/>
  <c r="AD12" i="37"/>
  <c r="X135" i="36"/>
  <c r="X183" i="36" s="1"/>
  <c r="X132" i="36"/>
  <c r="X180" i="36" s="1"/>
  <c r="X142" i="36"/>
  <c r="X190" i="36" s="1"/>
  <c r="X146" i="36"/>
  <c r="X194" i="36" s="1"/>
  <c r="X138" i="36"/>
  <c r="X186" i="36" s="1"/>
  <c r="X145" i="36"/>
  <c r="X193" i="36" s="1"/>
  <c r="X134" i="36"/>
  <c r="X182" i="36" s="1"/>
  <c r="X130" i="36"/>
  <c r="X178" i="36" s="1"/>
  <c r="X131" i="36"/>
  <c r="X179" i="36" s="1"/>
  <c r="X136" i="36"/>
  <c r="X184" i="36" s="1"/>
  <c r="X137" i="36"/>
  <c r="X185" i="36" s="1"/>
  <c r="X133" i="36"/>
  <c r="X181" i="36" s="1"/>
  <c r="X141" i="36"/>
  <c r="X189" i="36" s="1"/>
  <c r="X140" i="36"/>
  <c r="X188" i="36" s="1"/>
  <c r="X139" i="36"/>
  <c r="X187" i="36" s="1"/>
  <c r="X129" i="36"/>
  <c r="X144" i="36"/>
  <c r="X192" i="36" s="1"/>
  <c r="X143" i="36"/>
  <c r="X191" i="36" s="1"/>
  <c r="AC69" i="40"/>
  <c r="AC14" i="43"/>
  <c r="Y69" i="39"/>
  <c r="AC69" i="39"/>
  <c r="AG69" i="39"/>
  <c r="AA69" i="39"/>
  <c r="AB69" i="39"/>
  <c r="AF69" i="39"/>
  <c r="Z69" i="39"/>
  <c r="AD69" i="39"/>
  <c r="AE69" i="39"/>
  <c r="X69" i="39"/>
  <c r="X101" i="39" s="1"/>
  <c r="X84" i="36" s="1"/>
  <c r="W140" i="44"/>
  <c r="W188" i="44" s="1"/>
  <c r="W234" i="44" s="1"/>
  <c r="V116" i="63" s="1"/>
  <c r="AC113" i="39"/>
  <c r="AC114" i="39" s="1"/>
  <c r="AC120" i="39" s="1"/>
  <c r="AC13" i="43"/>
  <c r="X35" i="40"/>
  <c r="X36" i="40" s="1"/>
  <c r="X12" i="36"/>
  <c r="Y224" i="36" s="1"/>
  <c r="Y225" i="36" s="1"/>
  <c r="Z22" i="37"/>
  <c r="AA244" i="43"/>
  <c r="W137" i="44"/>
  <c r="W185" i="44" s="1"/>
  <c r="W231" i="44" s="1"/>
  <c r="V113" i="63" s="1"/>
  <c r="W132" i="44"/>
  <c r="W180" i="44" s="1"/>
  <c r="W226" i="44" s="1"/>
  <c r="V108" i="63" s="1"/>
  <c r="AB68" i="40"/>
  <c r="AB113" i="39"/>
  <c r="AB114" i="39" s="1"/>
  <c r="AB120" i="39" s="1"/>
  <c r="AB13" i="43"/>
  <c r="AC145" i="43" s="1"/>
  <c r="AC193" i="43" s="1"/>
  <c r="Y82" i="30"/>
  <c r="Y22" i="40" s="1"/>
  <c r="Y23" i="40" s="1"/>
  <c r="X167" i="36"/>
  <c r="X215" i="36" s="1"/>
  <c r="X162" i="36"/>
  <c r="X210" i="36" s="1"/>
  <c r="X159" i="36"/>
  <c r="X207" i="36" s="1"/>
  <c r="X168" i="36"/>
  <c r="X216" i="36" s="1"/>
  <c r="X158" i="36"/>
  <c r="X206" i="36" s="1"/>
  <c r="X153" i="36"/>
  <c r="X201" i="36" s="1"/>
  <c r="X166" i="36"/>
  <c r="X214" i="36" s="1"/>
  <c r="X164" i="36"/>
  <c r="X212" i="36" s="1"/>
  <c r="X155" i="36"/>
  <c r="X203" i="36" s="1"/>
  <c r="X160" i="36"/>
  <c r="X208" i="36" s="1"/>
  <c r="X156" i="36"/>
  <c r="X204" i="36" s="1"/>
  <c r="X163" i="36"/>
  <c r="X211" i="36" s="1"/>
  <c r="X152" i="36"/>
  <c r="X200" i="36" s="1"/>
  <c r="W15" i="36"/>
  <c r="X165" i="36"/>
  <c r="X213" i="36" s="1"/>
  <c r="X157" i="36"/>
  <c r="X205" i="36" s="1"/>
  <c r="X151" i="36"/>
  <c r="X154" i="36"/>
  <c r="X202" i="36" s="1"/>
  <c r="X161" i="36"/>
  <c r="X209" i="36" s="1"/>
  <c r="W236" i="44"/>
  <c r="V118" i="63" s="1"/>
  <c r="W135" i="44"/>
  <c r="W183" i="44" s="1"/>
  <c r="W229" i="44" s="1"/>
  <c r="W134" i="44"/>
  <c r="W182" i="44" s="1"/>
  <c r="W228" i="44" s="1"/>
  <c r="W143" i="44"/>
  <c r="W191" i="44" s="1"/>
  <c r="W237" i="44" s="1"/>
  <c r="V119" i="63" s="1"/>
  <c r="W138" i="44"/>
  <c r="W186" i="44" s="1"/>
  <c r="W232" i="44" s="1"/>
  <c r="V114" i="63" s="1"/>
  <c r="W130" i="44"/>
  <c r="W178" i="44" s="1"/>
  <c r="W224" i="44" s="1"/>
  <c r="W145" i="44"/>
  <c r="W193" i="44" s="1"/>
  <c r="W239" i="44" s="1"/>
  <c r="V121" i="63" s="1"/>
  <c r="W129" i="44"/>
  <c r="W177" i="44" s="1"/>
  <c r="W223" i="44" s="1"/>
  <c r="W139" i="44"/>
  <c r="W187" i="44" s="1"/>
  <c r="W233" i="44" s="1"/>
  <c r="V115" i="63" s="1"/>
  <c r="W146" i="44"/>
  <c r="W194" i="44" s="1"/>
  <c r="W240" i="44" s="1"/>
  <c r="V122" i="63" s="1"/>
  <c r="W144" i="44"/>
  <c r="W192" i="44" s="1"/>
  <c r="W238" i="44" s="1"/>
  <c r="V120" i="63" s="1"/>
  <c r="W141" i="44"/>
  <c r="W189" i="44" s="1"/>
  <c r="W235" i="44" s="1"/>
  <c r="V117" i="63" s="1"/>
  <c r="W133" i="44"/>
  <c r="W181" i="44" s="1"/>
  <c r="W227" i="44" s="1"/>
  <c r="W169" i="44"/>
  <c r="S23" i="37"/>
  <c r="S25" i="37" s="1"/>
  <c r="S27" i="37" s="1"/>
  <c r="T244" i="44"/>
  <c r="S23" i="54"/>
  <c r="S123" i="63"/>
  <c r="T123" i="63"/>
  <c r="T239" i="63" s="1"/>
  <c r="F98" i="37"/>
  <c r="E75" i="37"/>
  <c r="E84" i="37" s="1"/>
  <c r="F62" i="37"/>
  <c r="U242" i="44"/>
  <c r="T23" i="37" s="1"/>
  <c r="T25" i="37" s="1"/>
  <c r="W13" i="44"/>
  <c r="X142" i="44" s="1"/>
  <c r="X190" i="44" s="1"/>
  <c r="W12" i="44"/>
  <c r="W14" i="44"/>
  <c r="X163" i="44" s="1"/>
  <c r="X211" i="44" s="1"/>
  <c r="AM117" i="30"/>
  <c r="AM114" i="30"/>
  <c r="AN111" i="30" s="1"/>
  <c r="AN114" i="30" s="1"/>
  <c r="X88" i="40"/>
  <c r="X89" i="40" s="1"/>
  <c r="X101" i="40" s="1"/>
  <c r="AO96" i="30"/>
  <c r="AE103" i="30" s="1"/>
  <c r="AE54" i="40" s="1"/>
  <c r="AE55" i="40" s="1"/>
  <c r="AO93" i="30"/>
  <c r="AO92" i="30"/>
  <c r="AO94" i="30" s="1"/>
  <c r="V199" i="44"/>
  <c r="V223" i="44" s="1"/>
  <c r="U105" i="63" s="1"/>
  <c r="V169" i="44"/>
  <c r="AJ66" i="30"/>
  <c r="AJ74" i="30" s="1"/>
  <c r="V230" i="63" l="1"/>
  <c r="U24" i="37"/>
  <c r="W250" i="36"/>
  <c r="V24" i="37" s="1"/>
  <c r="V105" i="63"/>
  <c r="V227" i="63" s="1"/>
  <c r="V111" i="63"/>
  <c r="V233" i="63" s="1"/>
  <c r="V109" i="63"/>
  <c r="V231" i="63" s="1"/>
  <c r="V236" i="63"/>
  <c r="V237" i="63"/>
  <c r="V238" i="63"/>
  <c r="V106" i="63"/>
  <c r="V228" i="63" s="1"/>
  <c r="V110" i="63"/>
  <c r="V232" i="63" s="1"/>
  <c r="V234" i="63"/>
  <c r="U234" i="63"/>
  <c r="U52" i="67" s="1"/>
  <c r="S45" i="67"/>
  <c r="S239" i="63"/>
  <c r="U228" i="63"/>
  <c r="U46" i="67" s="1"/>
  <c r="U238" i="63"/>
  <c r="U237" i="63"/>
  <c r="U55" i="67" s="1"/>
  <c r="U230" i="63"/>
  <c r="U232" i="63"/>
  <c r="U50" i="67" s="1"/>
  <c r="U236" i="63"/>
  <c r="U54" i="67" s="1"/>
  <c r="U229" i="63"/>
  <c r="U47" i="67" s="1"/>
  <c r="V235" i="63"/>
  <c r="U233" i="63"/>
  <c r="U231" i="63"/>
  <c r="U235" i="63"/>
  <c r="X234" i="36"/>
  <c r="X241" i="36"/>
  <c r="X236" i="36"/>
  <c r="X239" i="36"/>
  <c r="X242" i="36"/>
  <c r="X245" i="36"/>
  <c r="AC138" i="43"/>
  <c r="AC186" i="43" s="1"/>
  <c r="X232" i="36"/>
  <c r="X235" i="36"/>
  <c r="X248" i="36"/>
  <c r="AC144" i="43"/>
  <c r="AC192" i="43" s="1"/>
  <c r="X240" i="36"/>
  <c r="X233" i="36"/>
  <c r="X237" i="36"/>
  <c r="X243" i="36"/>
  <c r="X246" i="36"/>
  <c r="AC143" i="43"/>
  <c r="AC191" i="43" s="1"/>
  <c r="AC140" i="43"/>
  <c r="AC188" i="43" s="1"/>
  <c r="AC137" i="43"/>
  <c r="AC185" i="43" s="1"/>
  <c r="AC132" i="43"/>
  <c r="AC180" i="43" s="1"/>
  <c r="AC131" i="43"/>
  <c r="AC179" i="43" s="1"/>
  <c r="AC136" i="43"/>
  <c r="AC184" i="43" s="1"/>
  <c r="AC146" i="43"/>
  <c r="AC194" i="43" s="1"/>
  <c r="AC142" i="43"/>
  <c r="AC190" i="43" s="1"/>
  <c r="AC134" i="43"/>
  <c r="AC182" i="43" s="1"/>
  <c r="AC141" i="43"/>
  <c r="AC189" i="43" s="1"/>
  <c r="AB244" i="43"/>
  <c r="AA22" i="37"/>
  <c r="AD170" i="39"/>
  <c r="AG170" i="39"/>
  <c r="AL170" i="39"/>
  <c r="AF170" i="39"/>
  <c r="AH170" i="39"/>
  <c r="AE170" i="39"/>
  <c r="AI170" i="39"/>
  <c r="AJ170" i="39"/>
  <c r="AC170" i="39"/>
  <c r="AC197" i="39" s="1"/>
  <c r="AC84" i="43" s="1"/>
  <c r="AK170" i="39"/>
  <c r="X14" i="36"/>
  <c r="X37" i="40"/>
  <c r="AE66" i="40"/>
  <c r="AE12" i="37"/>
  <c r="AC125" i="30"/>
  <c r="Y14" i="37"/>
  <c r="Y34" i="40"/>
  <c r="AB14" i="43"/>
  <c r="AB69" i="40"/>
  <c r="AD12" i="43"/>
  <c r="AD67" i="40"/>
  <c r="AD68" i="40" s="1"/>
  <c r="X169" i="36"/>
  <c r="X199" i="36"/>
  <c r="X238" i="36"/>
  <c r="X247" i="36"/>
  <c r="AC139" i="43"/>
  <c r="AC187" i="43" s="1"/>
  <c r="X13" i="36"/>
  <c r="X17" i="39"/>
  <c r="X18" i="39" s="1"/>
  <c r="X24" i="39" s="1"/>
  <c r="AC133" i="43"/>
  <c r="AC181" i="43" s="1"/>
  <c r="Y115" i="36"/>
  <c r="Y108" i="36"/>
  <c r="Y113" i="36"/>
  <c r="Y103" i="36"/>
  <c r="Y105" i="36"/>
  <c r="Y114" i="36"/>
  <c r="Y106" i="36"/>
  <c r="Y116" i="36"/>
  <c r="Y107" i="36"/>
  <c r="Y110" i="36"/>
  <c r="Y117" i="36"/>
  <c r="Y111" i="36"/>
  <c r="Y119" i="36"/>
  <c r="Y118" i="36"/>
  <c r="Y120" i="36"/>
  <c r="Y104" i="36"/>
  <c r="Y109" i="36"/>
  <c r="Y112" i="36"/>
  <c r="AC130" i="43"/>
  <c r="AC178" i="43" s="1"/>
  <c r="AE171" i="39"/>
  <c r="AI171" i="39"/>
  <c r="AM171" i="39"/>
  <c r="AK171" i="39"/>
  <c r="AD171" i="39"/>
  <c r="AF171" i="39"/>
  <c r="AJ171" i="39"/>
  <c r="AH171" i="39"/>
  <c r="AG171" i="39"/>
  <c r="AL171" i="39"/>
  <c r="AD161" i="43"/>
  <c r="AD209" i="43" s="1"/>
  <c r="AD153" i="43"/>
  <c r="AD201" i="43" s="1"/>
  <c r="AD163" i="43"/>
  <c r="AD211" i="43" s="1"/>
  <c r="AD152" i="43"/>
  <c r="AD200" i="43" s="1"/>
  <c r="AC15" i="43"/>
  <c r="AD165" i="43"/>
  <c r="AD213" i="43" s="1"/>
  <c r="AD151" i="43"/>
  <c r="AD166" i="43"/>
  <c r="AD214" i="43" s="1"/>
  <c r="AD164" i="43"/>
  <c r="AD212" i="43" s="1"/>
  <c r="AD168" i="43"/>
  <c r="AD216" i="43" s="1"/>
  <c r="AD154" i="43"/>
  <c r="AD202" i="43" s="1"/>
  <c r="AD156" i="43"/>
  <c r="AD204" i="43" s="1"/>
  <c r="AD167" i="43"/>
  <c r="AD215" i="43" s="1"/>
  <c r="AD160" i="43"/>
  <c r="AD208" i="43" s="1"/>
  <c r="AD157" i="43"/>
  <c r="AD205" i="43" s="1"/>
  <c r="AD155" i="43"/>
  <c r="AD203" i="43" s="1"/>
  <c r="AD162" i="43"/>
  <c r="AD210" i="43" s="1"/>
  <c r="AD159" i="43"/>
  <c r="AD207" i="43" s="1"/>
  <c r="AD158" i="43"/>
  <c r="AD206" i="43" s="1"/>
  <c r="Z82" i="30"/>
  <c r="Z22" i="40" s="1"/>
  <c r="Z23" i="40" s="1"/>
  <c r="X244" i="36"/>
  <c r="AC129" i="43"/>
  <c r="AC135" i="43"/>
  <c r="AC183" i="43" s="1"/>
  <c r="X147" i="36"/>
  <c r="X177" i="36"/>
  <c r="W242" i="44"/>
  <c r="V23" i="63" s="1"/>
  <c r="X136" i="44"/>
  <c r="X184" i="44" s="1"/>
  <c r="X146" i="44"/>
  <c r="X194" i="44" s="1"/>
  <c r="X129" i="44"/>
  <c r="X177" i="44" s="1"/>
  <c r="S39" i="63"/>
  <c r="S124" i="63"/>
  <c r="F63" i="37"/>
  <c r="T23" i="54"/>
  <c r="T124" i="63"/>
  <c r="T39" i="63"/>
  <c r="U244" i="44"/>
  <c r="T23" i="63"/>
  <c r="E85" i="37"/>
  <c r="X140" i="44"/>
  <c r="X188" i="44" s="1"/>
  <c r="X144" i="44"/>
  <c r="X192" i="44" s="1"/>
  <c r="X133" i="44"/>
  <c r="X181" i="44" s="1"/>
  <c r="X131" i="44"/>
  <c r="X179" i="44" s="1"/>
  <c r="X141" i="44"/>
  <c r="X189" i="44" s="1"/>
  <c r="X235" i="44" s="1"/>
  <c r="X135" i="44"/>
  <c r="X183" i="44" s="1"/>
  <c r="X134" i="44"/>
  <c r="X182" i="44" s="1"/>
  <c r="X139" i="44"/>
  <c r="X187" i="44" s="1"/>
  <c r="X143" i="44"/>
  <c r="X191" i="44" s="1"/>
  <c r="X137" i="44"/>
  <c r="X185" i="44" s="1"/>
  <c r="X138" i="44"/>
  <c r="X186" i="44" s="1"/>
  <c r="X151" i="44"/>
  <c r="X199" i="44" s="1"/>
  <c r="X145" i="44"/>
  <c r="X193" i="44" s="1"/>
  <c r="X165" i="44"/>
  <c r="X213" i="44" s="1"/>
  <c r="X158" i="44"/>
  <c r="X206" i="44" s="1"/>
  <c r="X162" i="44"/>
  <c r="X210" i="44" s="1"/>
  <c r="X132" i="44"/>
  <c r="X180" i="44" s="1"/>
  <c r="X160" i="44"/>
  <c r="X208" i="44" s="1"/>
  <c r="W15" i="44"/>
  <c r="X130" i="44"/>
  <c r="X178" i="44" s="1"/>
  <c r="X153" i="44"/>
  <c r="X201" i="44" s="1"/>
  <c r="X155" i="44"/>
  <c r="X203" i="44" s="1"/>
  <c r="X156" i="44"/>
  <c r="X204" i="44" s="1"/>
  <c r="X161" i="44"/>
  <c r="X209" i="44" s="1"/>
  <c r="X168" i="44"/>
  <c r="X216" i="44" s="1"/>
  <c r="X167" i="44"/>
  <c r="X215" i="44" s="1"/>
  <c r="X166" i="44"/>
  <c r="X214" i="44" s="1"/>
  <c r="X154" i="44"/>
  <c r="X202" i="44" s="1"/>
  <c r="X152" i="44"/>
  <c r="X200" i="44" s="1"/>
  <c r="X164" i="44"/>
  <c r="X212" i="44" s="1"/>
  <c r="X236" i="44" s="1"/>
  <c r="X157" i="44"/>
  <c r="X205" i="44" s="1"/>
  <c r="X159" i="44"/>
  <c r="X207" i="44" s="1"/>
  <c r="X13" i="37"/>
  <c r="X15" i="37" s="1"/>
  <c r="AN113" i="30"/>
  <c r="AN115" i="30" s="1"/>
  <c r="AO111" i="30" s="1"/>
  <c r="AO117" i="30" s="1"/>
  <c r="AE125" i="30" s="1"/>
  <c r="AP90" i="30"/>
  <c r="T27" i="37"/>
  <c r="AN117" i="30"/>
  <c r="AD125" i="30" s="1"/>
  <c r="X102" i="40"/>
  <c r="X12" i="44"/>
  <c r="AJ69" i="30"/>
  <c r="AJ68" i="30"/>
  <c r="AJ70" i="30" s="1"/>
  <c r="W252" i="36" l="1"/>
  <c r="V48" i="67"/>
  <c r="AD197" i="39"/>
  <c r="AD84" i="43" s="1"/>
  <c r="AE107" i="43" s="1"/>
  <c r="V56" i="67"/>
  <c r="V51" i="67"/>
  <c r="V49" i="67"/>
  <c r="W118" i="63"/>
  <c r="W117" i="63"/>
  <c r="V52" i="67"/>
  <c r="V55" i="67"/>
  <c r="AE104" i="43"/>
  <c r="AE116" i="43"/>
  <c r="V50" i="67"/>
  <c r="V53" i="67"/>
  <c r="U51" i="67"/>
  <c r="V54" i="67"/>
  <c r="V46" i="67"/>
  <c r="U49" i="67"/>
  <c r="U53" i="67"/>
  <c r="U48" i="67"/>
  <c r="U56" i="67"/>
  <c r="V229" i="63"/>
  <c r="U227" i="63"/>
  <c r="V45" i="67" s="1"/>
  <c r="Y134" i="36"/>
  <c r="Y182" i="36" s="1"/>
  <c r="V23" i="54"/>
  <c r="V123" i="63"/>
  <c r="Y129" i="36"/>
  <c r="Y177" i="36" s="1"/>
  <c r="AE118" i="43"/>
  <c r="V23" i="37"/>
  <c r="V25" i="37" s="1"/>
  <c r="V39" i="63" s="1"/>
  <c r="AE112" i="43"/>
  <c r="Y139" i="36"/>
  <c r="Y187" i="36" s="1"/>
  <c r="X231" i="36"/>
  <c r="Y141" i="36"/>
  <c r="Y189" i="36" s="1"/>
  <c r="AD69" i="40"/>
  <c r="AD14" i="43"/>
  <c r="AE67" i="40"/>
  <c r="AE12" i="43"/>
  <c r="Y158" i="36"/>
  <c r="Y206" i="36" s="1"/>
  <c r="Y168" i="36"/>
  <c r="Y216" i="36" s="1"/>
  <c r="Y160" i="36"/>
  <c r="Y208" i="36" s="1"/>
  <c r="Y154" i="36"/>
  <c r="Y202" i="36" s="1"/>
  <c r="Y155" i="36"/>
  <c r="Y203" i="36" s="1"/>
  <c r="Y165" i="36"/>
  <c r="Y213" i="36" s="1"/>
  <c r="Y151" i="36"/>
  <c r="Y162" i="36"/>
  <c r="Y210" i="36" s="1"/>
  <c r="Y153" i="36"/>
  <c r="Y201" i="36" s="1"/>
  <c r="Y152" i="36"/>
  <c r="Y200" i="36" s="1"/>
  <c r="Y159" i="36"/>
  <c r="Y207" i="36" s="1"/>
  <c r="Y166" i="36"/>
  <c r="Y214" i="36" s="1"/>
  <c r="Y167" i="36"/>
  <c r="Y215" i="36" s="1"/>
  <c r="Y156" i="36"/>
  <c r="Y204" i="36" s="1"/>
  <c r="Y236" i="36" s="1"/>
  <c r="Y164" i="36"/>
  <c r="Y212" i="36" s="1"/>
  <c r="Y161" i="36"/>
  <c r="Y209" i="36" s="1"/>
  <c r="X15" i="36"/>
  <c r="Y163" i="36"/>
  <c r="Y211" i="36" s="1"/>
  <c r="Y157" i="36"/>
  <c r="Y205" i="36" s="1"/>
  <c r="AE105" i="43"/>
  <c r="AE119" i="43"/>
  <c r="AC147" i="43"/>
  <c r="AC177" i="43"/>
  <c r="Z14" i="37"/>
  <c r="Z34" i="40"/>
  <c r="AC159" i="43"/>
  <c r="AC207" i="43" s="1"/>
  <c r="AC231" i="43" s="1"/>
  <c r="AC156" i="43"/>
  <c r="AC204" i="43" s="1"/>
  <c r="AC228" i="43" s="1"/>
  <c r="AC155" i="43"/>
  <c r="AC203" i="43" s="1"/>
  <c r="AC227" i="43" s="1"/>
  <c r="AC168" i="43"/>
  <c r="AC216" i="43" s="1"/>
  <c r="AC240" i="43" s="1"/>
  <c r="AC154" i="43"/>
  <c r="AC202" i="43" s="1"/>
  <c r="AC226" i="43" s="1"/>
  <c r="AC163" i="43"/>
  <c r="AC211" i="43" s="1"/>
  <c r="AC235" i="43" s="1"/>
  <c r="AC164" i="43"/>
  <c r="AC212" i="43" s="1"/>
  <c r="AC236" i="43" s="1"/>
  <c r="AC160" i="43"/>
  <c r="AC208" i="43" s="1"/>
  <c r="AC232" i="43" s="1"/>
  <c r="AC162" i="43"/>
  <c r="AC210" i="43" s="1"/>
  <c r="AC234" i="43" s="1"/>
  <c r="AC165" i="43"/>
  <c r="AC213" i="43" s="1"/>
  <c r="AC237" i="43" s="1"/>
  <c r="AC153" i="43"/>
  <c r="AC201" i="43" s="1"/>
  <c r="AC225" i="43" s="1"/>
  <c r="AC158" i="43"/>
  <c r="AC206" i="43" s="1"/>
  <c r="AC230" i="43" s="1"/>
  <c r="AC167" i="43"/>
  <c r="AC215" i="43" s="1"/>
  <c r="AC239" i="43" s="1"/>
  <c r="AC166" i="43"/>
  <c r="AC214" i="43" s="1"/>
  <c r="AC238" i="43" s="1"/>
  <c r="AC161" i="43"/>
  <c r="AC209" i="43" s="1"/>
  <c r="AC233" i="43" s="1"/>
  <c r="AC157" i="43"/>
  <c r="AC205" i="43" s="1"/>
  <c r="AC229" i="43" s="1"/>
  <c r="AC151" i="43"/>
  <c r="AB15" i="43"/>
  <c r="AC152" i="43"/>
  <c r="AC200" i="43" s="1"/>
  <c r="AC224" i="43" s="1"/>
  <c r="AE111" i="43"/>
  <c r="AE115" i="43"/>
  <c r="AE106" i="43"/>
  <c r="Z70" i="39"/>
  <c r="AD70" i="39"/>
  <c r="AG70" i="39"/>
  <c r="AF70" i="39"/>
  <c r="Y70" i="39"/>
  <c r="Y101" i="39" s="1"/>
  <c r="Y84" i="36" s="1"/>
  <c r="AH70" i="39"/>
  <c r="AA70" i="39"/>
  <c r="AE70" i="39"/>
  <c r="AB70" i="39"/>
  <c r="AC70" i="39"/>
  <c r="Y35" i="40"/>
  <c r="Y12" i="36"/>
  <c r="Z224" i="36" s="1"/>
  <c r="Z225" i="36" s="1"/>
  <c r="AE114" i="43"/>
  <c r="AE120" i="43"/>
  <c r="AE108" i="43"/>
  <c r="AD169" i="43"/>
  <c r="AD199" i="43"/>
  <c r="Y140" i="36"/>
  <c r="Y188" i="36" s="1"/>
  <c r="Y142" i="36"/>
  <c r="Y190" i="36" s="1"/>
  <c r="Y137" i="36"/>
  <c r="Y185" i="36" s="1"/>
  <c r="Y135" i="36"/>
  <c r="Y183" i="36" s="1"/>
  <c r="Y145" i="36"/>
  <c r="Y193" i="36" s="1"/>
  <c r="Y136" i="36"/>
  <c r="Y184" i="36" s="1"/>
  <c r="Y138" i="36"/>
  <c r="Y186" i="36" s="1"/>
  <c r="Y144" i="36"/>
  <c r="Y192" i="36" s="1"/>
  <c r="Y146" i="36"/>
  <c r="Y194" i="36" s="1"/>
  <c r="Y143" i="36"/>
  <c r="Y191" i="36" s="1"/>
  <c r="Y132" i="36"/>
  <c r="Y180" i="36" s="1"/>
  <c r="Y130" i="36"/>
  <c r="Y178" i="36" s="1"/>
  <c r="Y131" i="36"/>
  <c r="Y179" i="36" s="1"/>
  <c r="Y133" i="36"/>
  <c r="Y181" i="36" s="1"/>
  <c r="AD13" i="43"/>
  <c r="AD113" i="39"/>
  <c r="AD114" i="39" s="1"/>
  <c r="AD120" i="39" s="1"/>
  <c r="AD112" i="43"/>
  <c r="AD138" i="43" s="1"/>
  <c r="AD186" i="43" s="1"/>
  <c r="AD232" i="43" s="1"/>
  <c r="AD111" i="43"/>
  <c r="AD137" i="43" s="1"/>
  <c r="AD185" i="43" s="1"/>
  <c r="AD231" i="43" s="1"/>
  <c r="AD103" i="43"/>
  <c r="AD129" i="43" s="1"/>
  <c r="AD116" i="43"/>
  <c r="AD142" i="43" s="1"/>
  <c r="AD190" i="43" s="1"/>
  <c r="AD236" i="43" s="1"/>
  <c r="AD105" i="43"/>
  <c r="AD131" i="43" s="1"/>
  <c r="AD179" i="43" s="1"/>
  <c r="AD225" i="43" s="1"/>
  <c r="AD114" i="43"/>
  <c r="AD140" i="43" s="1"/>
  <c r="AD188" i="43" s="1"/>
  <c r="AD234" i="43" s="1"/>
  <c r="AD118" i="43"/>
  <c r="AD144" i="43" s="1"/>
  <c r="AD192" i="43" s="1"/>
  <c r="AD238" i="43" s="1"/>
  <c r="AD120" i="43"/>
  <c r="AD146" i="43" s="1"/>
  <c r="AD194" i="43" s="1"/>
  <c r="AD240" i="43" s="1"/>
  <c r="AD104" i="43"/>
  <c r="AD130" i="43" s="1"/>
  <c r="AD178" i="43" s="1"/>
  <c r="AD224" i="43" s="1"/>
  <c r="AD110" i="43"/>
  <c r="AD136" i="43" s="1"/>
  <c r="AD184" i="43" s="1"/>
  <c r="AD230" i="43" s="1"/>
  <c r="AD117" i="43"/>
  <c r="AD143" i="43" s="1"/>
  <c r="AD191" i="43" s="1"/>
  <c r="AD237" i="43" s="1"/>
  <c r="AD108" i="43"/>
  <c r="AD134" i="43" s="1"/>
  <c r="AD182" i="43" s="1"/>
  <c r="AD228" i="43" s="1"/>
  <c r="AD113" i="43"/>
  <c r="AD139" i="43" s="1"/>
  <c r="AD187" i="43" s="1"/>
  <c r="AD233" i="43" s="1"/>
  <c r="AD106" i="43"/>
  <c r="AD132" i="43" s="1"/>
  <c r="AD180" i="43" s="1"/>
  <c r="AD226" i="43" s="1"/>
  <c r="AD119" i="43"/>
  <c r="AD145" i="43" s="1"/>
  <c r="AD193" i="43" s="1"/>
  <c r="AD239" i="43" s="1"/>
  <c r="AD115" i="43"/>
  <c r="AD141" i="43" s="1"/>
  <c r="AD189" i="43" s="1"/>
  <c r="AD235" i="43" s="1"/>
  <c r="AD109" i="43"/>
  <c r="AD135" i="43" s="1"/>
  <c r="AD183" i="43" s="1"/>
  <c r="AD229" i="43" s="1"/>
  <c r="AD107" i="43"/>
  <c r="AD133" i="43" s="1"/>
  <c r="AD181" i="43" s="1"/>
  <c r="AD227" i="43" s="1"/>
  <c r="X224" i="44"/>
  <c r="W106" i="63" s="1"/>
  <c r="X233" i="44"/>
  <c r="W115" i="63" s="1"/>
  <c r="X234" i="44"/>
  <c r="W116" i="63" s="1"/>
  <c r="X230" i="44"/>
  <c r="W112" i="63" s="1"/>
  <c r="X232" i="44"/>
  <c r="W114" i="63" s="1"/>
  <c r="X228" i="44"/>
  <c r="W110" i="63" s="1"/>
  <c r="X225" i="44"/>
  <c r="W107" i="63" s="1"/>
  <c r="X231" i="44"/>
  <c r="W113" i="63" s="1"/>
  <c r="X229" i="44"/>
  <c r="W111" i="63" s="1"/>
  <c r="X227" i="44"/>
  <c r="W109" i="63" s="1"/>
  <c r="X223" i="44"/>
  <c r="X226" i="44"/>
  <c r="W108" i="63" s="1"/>
  <c r="X239" i="44"/>
  <c r="W121" i="63" s="1"/>
  <c r="X237" i="44"/>
  <c r="W119" i="63" s="1"/>
  <c r="X238" i="44"/>
  <c r="W120" i="63" s="1"/>
  <c r="X240" i="44"/>
  <c r="W122" i="63" s="1"/>
  <c r="U123" i="63"/>
  <c r="V242" i="44"/>
  <c r="U23" i="63" s="1"/>
  <c r="X169" i="44"/>
  <c r="Y88" i="40"/>
  <c r="Y89" i="40" s="1"/>
  <c r="Y101" i="40" s="1"/>
  <c r="Y12" i="44" s="1"/>
  <c r="Z88" i="40"/>
  <c r="AP92" i="30"/>
  <c r="AP94" i="30" s="1"/>
  <c r="AP93" i="30"/>
  <c r="AP96" i="30"/>
  <c r="AF103" i="30" s="1"/>
  <c r="AF54" i="40" s="1"/>
  <c r="AF55" i="40" s="1"/>
  <c r="AO114" i="30"/>
  <c r="AO113" i="30"/>
  <c r="AO115" i="30" s="1"/>
  <c r="X103" i="40"/>
  <c r="X13" i="44"/>
  <c r="AK66" i="30"/>
  <c r="AK74" i="30" s="1"/>
  <c r="AA82" i="30" s="1"/>
  <c r="AA22" i="40" s="1"/>
  <c r="AA23" i="40" s="1"/>
  <c r="AE103" i="43" l="1"/>
  <c r="AE109" i="43"/>
  <c r="AE113" i="43"/>
  <c r="AE110" i="43"/>
  <c r="AE117" i="43"/>
  <c r="AE143" i="43" s="1"/>
  <c r="AE191" i="43" s="1"/>
  <c r="AE130" i="43"/>
  <c r="AE178" i="43" s="1"/>
  <c r="X250" i="36"/>
  <c r="W24" i="37" s="1"/>
  <c r="W105" i="63"/>
  <c r="V239" i="63"/>
  <c r="U45" i="67"/>
  <c r="U239" i="63"/>
  <c r="V47" i="67"/>
  <c r="Y241" i="36"/>
  <c r="V124" i="63"/>
  <c r="Y243" i="36"/>
  <c r="AE146" i="43"/>
  <c r="AE194" i="43" s="1"/>
  <c r="AE142" i="43"/>
  <c r="AE190" i="43" s="1"/>
  <c r="AE131" i="43"/>
  <c r="AE179" i="43" s="1"/>
  <c r="Y232" i="36"/>
  <c r="Y245" i="36"/>
  <c r="AE137" i="43"/>
  <c r="AE185" i="43" s="1"/>
  <c r="AE129" i="43"/>
  <c r="AE177" i="43" s="1"/>
  <c r="Y235" i="36"/>
  <c r="Y238" i="36"/>
  <c r="AE138" i="43"/>
  <c r="AE186" i="43" s="1"/>
  <c r="AE132" i="43"/>
  <c r="AE180" i="43" s="1"/>
  <c r="AE133" i="43"/>
  <c r="AE181" i="43" s="1"/>
  <c r="AE134" i="43"/>
  <c r="AE182" i="43" s="1"/>
  <c r="AA34" i="40"/>
  <c r="AA14" i="37"/>
  <c r="Y248" i="36"/>
  <c r="Y147" i="36"/>
  <c r="AD147" i="43"/>
  <c r="AD177" i="43"/>
  <c r="AD223" i="43" s="1"/>
  <c r="AD242" i="43" s="1"/>
  <c r="AE139" i="43"/>
  <c r="AE187" i="43" s="1"/>
  <c r="AE144" i="43"/>
  <c r="AE192" i="43" s="1"/>
  <c r="AE141" i="43"/>
  <c r="AE189" i="43" s="1"/>
  <c r="Y246" i="36"/>
  <c r="Y242" i="36"/>
  <c r="Y234" i="36"/>
  <c r="AE135" i="43"/>
  <c r="AE183" i="43" s="1"/>
  <c r="AE165" i="43"/>
  <c r="AE213" i="43" s="1"/>
  <c r="AE157" i="43"/>
  <c r="AE205" i="43" s="1"/>
  <c r="AE164" i="43"/>
  <c r="AE212" i="43" s="1"/>
  <c r="AE161" i="43"/>
  <c r="AE209" i="43" s="1"/>
  <c r="AE158" i="43"/>
  <c r="AE206" i="43" s="1"/>
  <c r="AE159" i="43"/>
  <c r="AE207" i="43" s="1"/>
  <c r="AE153" i="43"/>
  <c r="AE201" i="43" s="1"/>
  <c r="AE155" i="43"/>
  <c r="AE203" i="43" s="1"/>
  <c r="AE151" i="43"/>
  <c r="AE167" i="43"/>
  <c r="AE215" i="43" s="1"/>
  <c r="AE160" i="43"/>
  <c r="AE208" i="43" s="1"/>
  <c r="AE154" i="43"/>
  <c r="AE202" i="43" s="1"/>
  <c r="AE162" i="43"/>
  <c r="AE210" i="43" s="1"/>
  <c r="AE152" i="43"/>
  <c r="AE200" i="43" s="1"/>
  <c r="AD15" i="43"/>
  <c r="AE168" i="43"/>
  <c r="AE216" i="43" s="1"/>
  <c r="AE163" i="43"/>
  <c r="AE211" i="43" s="1"/>
  <c r="AE156" i="43"/>
  <c r="AE204" i="43" s="1"/>
  <c r="AE166" i="43"/>
  <c r="AE214" i="43" s="1"/>
  <c r="AG172" i="39"/>
  <c r="AL172" i="39"/>
  <c r="AF172" i="39"/>
  <c r="AK172" i="39"/>
  <c r="AE172" i="39"/>
  <c r="AE197" i="39" s="1"/>
  <c r="AE84" i="43" s="1"/>
  <c r="AF109" i="43" s="1"/>
  <c r="AI172" i="39"/>
  <c r="AM172" i="39"/>
  <c r="AJ172" i="39"/>
  <c r="AN172" i="39"/>
  <c r="AH172" i="39"/>
  <c r="Y13" i="36"/>
  <c r="Y17" i="39"/>
  <c r="Y18" i="39" s="1"/>
  <c r="Y24" i="39" s="1"/>
  <c r="Y247" i="36"/>
  <c r="Y233" i="36"/>
  <c r="AF66" i="40"/>
  <c r="AF12" i="37"/>
  <c r="AE140" i="43"/>
  <c r="AE188" i="43" s="1"/>
  <c r="Y36" i="40"/>
  <c r="Z111" i="36"/>
  <c r="Z137" i="36" s="1"/>
  <c r="Z185" i="36" s="1"/>
  <c r="Z112" i="36"/>
  <c r="Z104" i="36"/>
  <c r="Z106" i="36"/>
  <c r="Z107" i="36"/>
  <c r="Z133" i="36" s="1"/>
  <c r="Z181" i="36" s="1"/>
  <c r="Z115" i="36"/>
  <c r="Z108" i="36"/>
  <c r="Z103" i="36"/>
  <c r="Z109" i="36"/>
  <c r="Z135" i="36" s="1"/>
  <c r="Z183" i="36" s="1"/>
  <c r="Z113" i="36"/>
  <c r="Z118" i="36"/>
  <c r="Z116" i="36"/>
  <c r="Z117" i="36"/>
  <c r="Z143" i="36" s="1"/>
  <c r="Z191" i="36" s="1"/>
  <c r="Z105" i="36"/>
  <c r="Z120" i="36"/>
  <c r="Z114" i="36"/>
  <c r="Z110" i="36"/>
  <c r="Z136" i="36" s="1"/>
  <c r="Z184" i="36" s="1"/>
  <c r="Z119" i="36"/>
  <c r="AE136" i="43"/>
  <c r="AE184" i="43" s="1"/>
  <c r="AC169" i="43"/>
  <c r="AC199" i="43"/>
  <c r="AC223" i="43" s="1"/>
  <c r="AC242" i="43" s="1"/>
  <c r="Z12" i="36"/>
  <c r="AA224" i="36" s="1"/>
  <c r="AA225" i="36" s="1"/>
  <c r="Z35" i="40"/>
  <c r="Z36" i="40" s="1"/>
  <c r="AE145" i="43"/>
  <c r="AE193" i="43" s="1"/>
  <c r="Y237" i="36"/>
  <c r="Y244" i="36"/>
  <c r="Y239" i="36"/>
  <c r="Y169" i="36"/>
  <c r="Y199" i="36"/>
  <c r="Y231" i="36" s="1"/>
  <c r="Y240" i="36"/>
  <c r="AE68" i="40"/>
  <c r="AE113" i="39"/>
  <c r="AE114" i="39" s="1"/>
  <c r="AE120" i="39" s="1"/>
  <c r="AE13" i="43"/>
  <c r="U23" i="54"/>
  <c r="W244" i="44"/>
  <c r="V244" i="44"/>
  <c r="U23" i="37"/>
  <c r="U25" i="37" s="1"/>
  <c r="U27" i="37" s="1"/>
  <c r="X242" i="44"/>
  <c r="X244" i="44" s="1"/>
  <c r="Y13" i="37"/>
  <c r="Y15" i="37" s="1"/>
  <c r="Z89" i="40"/>
  <c r="Z13" i="37" s="1"/>
  <c r="Z15" i="37" s="1"/>
  <c r="Y102" i="40"/>
  <c r="Y13" i="44" s="1"/>
  <c r="Z134" i="44" s="1"/>
  <c r="Z182" i="44" s="1"/>
  <c r="AQ90" i="30"/>
  <c r="AP111" i="30"/>
  <c r="Y133" i="44"/>
  <c r="Y181" i="44" s="1"/>
  <c r="Y134" i="44"/>
  <c r="Y182" i="44" s="1"/>
  <c r="Y136" i="44"/>
  <c r="Y184" i="44" s="1"/>
  <c r="Y137" i="44"/>
  <c r="Y185" i="44" s="1"/>
  <c r="Y142" i="44"/>
  <c r="Y190" i="44" s="1"/>
  <c r="Y144" i="44"/>
  <c r="Y192" i="44" s="1"/>
  <c r="Y130" i="44"/>
  <c r="Y178" i="44" s="1"/>
  <c r="Y129" i="44"/>
  <c r="Y135" i="44"/>
  <c r="Y183" i="44" s="1"/>
  <c r="Y132" i="44"/>
  <c r="Y180" i="44" s="1"/>
  <c r="Y138" i="44"/>
  <c r="Y186" i="44" s="1"/>
  <c r="Y139" i="44"/>
  <c r="Y187" i="44" s="1"/>
  <c r="Y146" i="44"/>
  <c r="Y194" i="44" s="1"/>
  <c r="Y131" i="44"/>
  <c r="Y179" i="44" s="1"/>
  <c r="Y140" i="44"/>
  <c r="Y188" i="44" s="1"/>
  <c r="Y145" i="44"/>
  <c r="Y193" i="44" s="1"/>
  <c r="Y143" i="44"/>
  <c r="Y191" i="44" s="1"/>
  <c r="Y141" i="44"/>
  <c r="Y189" i="44" s="1"/>
  <c r="X14" i="44"/>
  <c r="X104" i="40"/>
  <c r="AK69" i="30"/>
  <c r="AK68" i="30"/>
  <c r="AK70" i="30" s="1"/>
  <c r="AE224" i="43" l="1"/>
  <c r="AE240" i="43"/>
  <c r="X252" i="36"/>
  <c r="W238" i="63"/>
  <c r="W56" i="67" s="1"/>
  <c r="W232" i="63"/>
  <c r="W50" i="67" s="1"/>
  <c r="W228" i="63"/>
  <c r="W46" i="67" s="1"/>
  <c r="W227" i="63"/>
  <c r="W233" i="63"/>
  <c r="W51" i="67" s="1"/>
  <c r="W229" i="63"/>
  <c r="W47" i="67" s="1"/>
  <c r="W235" i="63"/>
  <c r="W53" i="67" s="1"/>
  <c r="W231" i="63"/>
  <c r="W49" i="67" s="1"/>
  <c r="W236" i="63"/>
  <c r="W54" i="67" s="1"/>
  <c r="W237" i="63"/>
  <c r="W55" i="67" s="1"/>
  <c r="W230" i="63"/>
  <c r="W48" i="67" s="1"/>
  <c r="W234" i="63"/>
  <c r="W52" i="67" s="1"/>
  <c r="AF103" i="43"/>
  <c r="AF129" i="43" s="1"/>
  <c r="AF177" i="43" s="1"/>
  <c r="AF111" i="43"/>
  <c r="AF137" i="43" s="1"/>
  <c r="AF185" i="43" s="1"/>
  <c r="AF115" i="43"/>
  <c r="AF141" i="43" s="1"/>
  <c r="AF189" i="43" s="1"/>
  <c r="AF106" i="43"/>
  <c r="AF132" i="43" s="1"/>
  <c r="AF180" i="43" s="1"/>
  <c r="AF118" i="43"/>
  <c r="AF144" i="43" s="1"/>
  <c r="AF192" i="43" s="1"/>
  <c r="AF110" i="43"/>
  <c r="AF136" i="43" s="1"/>
  <c r="AF184" i="43" s="1"/>
  <c r="AF104" i="43"/>
  <c r="AF130" i="43" s="1"/>
  <c r="AF178" i="43" s="1"/>
  <c r="AF105" i="43"/>
  <c r="AF131" i="43" s="1"/>
  <c r="AF179" i="43" s="1"/>
  <c r="AF116" i="43"/>
  <c r="AF142" i="43" s="1"/>
  <c r="AF190" i="43" s="1"/>
  <c r="AF114" i="43"/>
  <c r="AF140" i="43" s="1"/>
  <c r="AF188" i="43" s="1"/>
  <c r="AF113" i="43"/>
  <c r="AF139" i="43" s="1"/>
  <c r="AF187" i="43" s="1"/>
  <c r="AE232" i="43"/>
  <c r="AE236" i="43"/>
  <c r="AF107" i="43"/>
  <c r="AF133" i="43" s="1"/>
  <c r="AF181" i="43" s="1"/>
  <c r="AF120" i="43"/>
  <c r="AF146" i="43" s="1"/>
  <c r="AF194" i="43" s="1"/>
  <c r="AF108" i="43"/>
  <c r="AF134" i="43" s="1"/>
  <c r="AF182" i="43" s="1"/>
  <c r="AF117" i="43"/>
  <c r="AF143" i="43" s="1"/>
  <c r="AF191" i="43" s="1"/>
  <c r="AF112" i="43"/>
  <c r="AF138" i="43" s="1"/>
  <c r="AF186" i="43" s="1"/>
  <c r="AF119" i="43"/>
  <c r="AF145" i="43" s="1"/>
  <c r="AF193" i="43" s="1"/>
  <c r="AE228" i="43"/>
  <c r="AE231" i="43"/>
  <c r="AE239" i="43"/>
  <c r="Z140" i="36"/>
  <c r="Z188" i="36" s="1"/>
  <c r="Z142" i="36"/>
  <c r="Z190" i="36" s="1"/>
  <c r="Z129" i="36"/>
  <c r="Z177" i="36" s="1"/>
  <c r="Z132" i="36"/>
  <c r="Z180" i="36" s="1"/>
  <c r="Z146" i="36"/>
  <c r="Z194" i="36" s="1"/>
  <c r="Z144" i="36"/>
  <c r="Z192" i="36" s="1"/>
  <c r="Z134" i="36"/>
  <c r="Z182" i="36" s="1"/>
  <c r="Z130" i="36"/>
  <c r="Z178" i="36" s="1"/>
  <c r="AE226" i="43"/>
  <c r="Z145" i="36"/>
  <c r="Z193" i="36" s="1"/>
  <c r="Z131" i="36"/>
  <c r="Z179" i="36" s="1"/>
  <c r="Z139" i="36"/>
  <c r="Z187" i="36" s="1"/>
  <c r="Z141" i="36"/>
  <c r="Z189" i="36" s="1"/>
  <c r="Z138" i="36"/>
  <c r="Z186" i="36" s="1"/>
  <c r="AE225" i="43"/>
  <c r="AE227" i="43"/>
  <c r="AE229" i="43"/>
  <c r="Y250" i="36"/>
  <c r="X24" i="37" s="1"/>
  <c r="AE233" i="43"/>
  <c r="Z14" i="36"/>
  <c r="Z37" i="40"/>
  <c r="AE199" i="43"/>
  <c r="AE223" i="43" s="1"/>
  <c r="AE169" i="43"/>
  <c r="AI173" i="39"/>
  <c r="AM173" i="39"/>
  <c r="AK173" i="39"/>
  <c r="AG173" i="39"/>
  <c r="AF173" i="39"/>
  <c r="AF197" i="39" s="1"/>
  <c r="AF84" i="43" s="1"/>
  <c r="AJ173" i="39"/>
  <c r="AN173" i="39"/>
  <c r="AH173" i="39"/>
  <c r="AO173" i="39"/>
  <c r="AL173" i="39"/>
  <c r="AE237" i="43"/>
  <c r="AE14" i="43"/>
  <c r="AE69" i="40"/>
  <c r="Y37" i="40"/>
  <c r="Y14" i="36"/>
  <c r="Z71" i="39"/>
  <c r="Z101" i="39" s="1"/>
  <c r="Z84" i="36" s="1"/>
  <c r="AD71" i="39"/>
  <c r="AG71" i="39"/>
  <c r="AC71" i="39"/>
  <c r="AH71" i="39"/>
  <c r="AA71" i="39"/>
  <c r="AE71" i="39"/>
  <c r="AI71" i="39"/>
  <c r="AB71" i="39"/>
  <c r="AF71" i="39"/>
  <c r="AE235" i="43"/>
  <c r="AE147" i="43"/>
  <c r="AC244" i="43"/>
  <c r="AB22" i="37"/>
  <c r="AF12" i="43"/>
  <c r="AF67" i="40"/>
  <c r="AF68" i="40" s="1"/>
  <c r="AC22" i="37"/>
  <c r="AD244" i="43"/>
  <c r="AA35" i="40"/>
  <c r="AA36" i="40" s="1"/>
  <c r="AA12" i="36"/>
  <c r="AB224" i="36" s="1"/>
  <c r="AB225" i="36" s="1"/>
  <c r="AF135" i="43"/>
  <c r="AF183" i="43" s="1"/>
  <c r="Z13" i="36"/>
  <c r="Z17" i="39"/>
  <c r="Z18" i="39" s="1"/>
  <c r="Z24" i="39" s="1"/>
  <c r="AE230" i="43"/>
  <c r="AE234" i="43"/>
  <c r="AE238" i="43"/>
  <c r="U39" i="63"/>
  <c r="V27" i="37"/>
  <c r="U124" i="63"/>
  <c r="W123" i="63"/>
  <c r="W23" i="54"/>
  <c r="W23" i="63"/>
  <c r="W23" i="37"/>
  <c r="W25" i="37" s="1"/>
  <c r="Z135" i="44"/>
  <c r="Z183" i="44" s="1"/>
  <c r="Z138" i="44"/>
  <c r="Z186" i="44" s="1"/>
  <c r="Z132" i="44"/>
  <c r="Z180" i="44" s="1"/>
  <c r="Z133" i="44"/>
  <c r="Z181" i="44" s="1"/>
  <c r="Z142" i="44"/>
  <c r="Z190" i="44" s="1"/>
  <c r="Z101" i="40"/>
  <c r="Z12" i="44" s="1"/>
  <c r="Z146" i="44"/>
  <c r="Z194" i="44" s="1"/>
  <c r="Z136" i="44"/>
  <c r="Z184" i="44" s="1"/>
  <c r="Z145" i="44"/>
  <c r="Z193" i="44" s="1"/>
  <c r="Z140" i="44"/>
  <c r="Z188" i="44" s="1"/>
  <c r="Z139" i="44"/>
  <c r="Z187" i="44" s="1"/>
  <c r="Z143" i="44"/>
  <c r="Z191" i="44" s="1"/>
  <c r="Z141" i="44"/>
  <c r="Z189" i="44" s="1"/>
  <c r="Z137" i="44"/>
  <c r="Z185" i="44" s="1"/>
  <c r="Z144" i="44"/>
  <c r="Z192" i="44" s="1"/>
  <c r="Z130" i="44"/>
  <c r="Z178" i="44" s="1"/>
  <c r="Z131" i="44"/>
  <c r="Z179" i="44" s="1"/>
  <c r="Y103" i="40"/>
  <c r="Y104" i="40" s="1"/>
  <c r="Z129" i="44"/>
  <c r="Z177" i="44" s="1"/>
  <c r="AQ93" i="30"/>
  <c r="AQ92" i="30"/>
  <c r="AQ94" i="30" s="1"/>
  <c r="AQ96" i="30"/>
  <c r="AG103" i="30" s="1"/>
  <c r="AG54" i="40" s="1"/>
  <c r="AG55" i="40" s="1"/>
  <c r="AP114" i="30"/>
  <c r="AP113" i="30"/>
  <c r="AP115" i="30" s="1"/>
  <c r="AP117" i="30"/>
  <c r="AF125" i="30" s="1"/>
  <c r="Y177" i="44"/>
  <c r="Y151" i="44"/>
  <c r="Y168" i="44"/>
  <c r="Y216" i="44" s="1"/>
  <c r="Y240" i="44" s="1"/>
  <c r="X122" i="63" s="1"/>
  <c r="Y167" i="44"/>
  <c r="Y215" i="44" s="1"/>
  <c r="Y239" i="44" s="1"/>
  <c r="X121" i="63" s="1"/>
  <c r="Y156" i="44"/>
  <c r="Y204" i="44" s="1"/>
  <c r="Y228" i="44" s="1"/>
  <c r="X110" i="63" s="1"/>
  <c r="Y162" i="44"/>
  <c r="Y210" i="44" s="1"/>
  <c r="Y234" i="44" s="1"/>
  <c r="X116" i="63" s="1"/>
  <c r="Y155" i="44"/>
  <c r="Y203" i="44" s="1"/>
  <c r="Y227" i="44" s="1"/>
  <c r="X109" i="63" s="1"/>
  <c r="Y161" i="44"/>
  <c r="Y209" i="44" s="1"/>
  <c r="Y233" i="44" s="1"/>
  <c r="X115" i="63" s="1"/>
  <c r="Y163" i="44"/>
  <c r="Y211" i="44" s="1"/>
  <c r="Y235" i="44" s="1"/>
  <c r="X117" i="63" s="1"/>
  <c r="Y153" i="44"/>
  <c r="Y201" i="44" s="1"/>
  <c r="Y225" i="44" s="1"/>
  <c r="X107" i="63" s="1"/>
  <c r="X15" i="44"/>
  <c r="Y166" i="44"/>
  <c r="Y214" i="44" s="1"/>
  <c r="Y238" i="44" s="1"/>
  <c r="X120" i="63" s="1"/>
  <c r="Y154" i="44"/>
  <c r="Y202" i="44" s="1"/>
  <c r="Y226" i="44" s="1"/>
  <c r="X108" i="63" s="1"/>
  <c r="Y164" i="44"/>
  <c r="Y212" i="44" s="1"/>
  <c r="Y236" i="44" s="1"/>
  <c r="X118" i="63" s="1"/>
  <c r="Y152" i="44"/>
  <c r="Y200" i="44" s="1"/>
  <c r="Y224" i="44" s="1"/>
  <c r="X106" i="63" s="1"/>
  <c r="Y159" i="44"/>
  <c r="Y207" i="44" s="1"/>
  <c r="Y231" i="44" s="1"/>
  <c r="X113" i="63" s="1"/>
  <c r="Y158" i="44"/>
  <c r="Y206" i="44" s="1"/>
  <c r="Y230" i="44" s="1"/>
  <c r="X112" i="63" s="1"/>
  <c r="Y157" i="44"/>
  <c r="Y205" i="44" s="1"/>
  <c r="Y229" i="44" s="1"/>
  <c r="X111" i="63" s="1"/>
  <c r="Y165" i="44"/>
  <c r="Y213" i="44" s="1"/>
  <c r="Y237" i="44" s="1"/>
  <c r="X119" i="63" s="1"/>
  <c r="Y160" i="44"/>
  <c r="Y208" i="44" s="1"/>
  <c r="Y232" i="44" s="1"/>
  <c r="X114" i="63" s="1"/>
  <c r="AL66" i="30"/>
  <c r="AL69" i="30" s="1"/>
  <c r="W45" i="67" l="1"/>
  <c r="W239" i="63"/>
  <c r="Y252" i="36"/>
  <c r="Z147" i="36"/>
  <c r="AF147" i="43"/>
  <c r="AF14" i="43"/>
  <c r="AF69" i="40"/>
  <c r="AA13" i="36"/>
  <c r="AA17" i="39"/>
  <c r="AA18" i="39" s="1"/>
  <c r="AA24" i="39" s="1"/>
  <c r="AF113" i="39"/>
  <c r="AF114" i="39" s="1"/>
  <c r="AF120" i="39" s="1"/>
  <c r="AF13" i="43"/>
  <c r="AF160" i="43"/>
  <c r="AF208" i="43" s="1"/>
  <c r="AF232" i="43" s="1"/>
  <c r="AF153" i="43"/>
  <c r="AF201" i="43" s="1"/>
  <c r="AF225" i="43" s="1"/>
  <c r="AF166" i="43"/>
  <c r="AF214" i="43" s="1"/>
  <c r="AF238" i="43" s="1"/>
  <c r="AF151" i="43"/>
  <c r="AF162" i="43"/>
  <c r="AF210" i="43" s="1"/>
  <c r="AF234" i="43" s="1"/>
  <c r="AF158" i="43"/>
  <c r="AF206" i="43" s="1"/>
  <c r="AF230" i="43" s="1"/>
  <c r="AF167" i="43"/>
  <c r="AF215" i="43" s="1"/>
  <c r="AF239" i="43" s="1"/>
  <c r="AF156" i="43"/>
  <c r="AF204" i="43" s="1"/>
  <c r="AF228" i="43" s="1"/>
  <c r="AF157" i="43"/>
  <c r="AF205" i="43" s="1"/>
  <c r="AF229" i="43" s="1"/>
  <c r="AF154" i="43"/>
  <c r="AF202" i="43" s="1"/>
  <c r="AF226" i="43" s="1"/>
  <c r="AF163" i="43"/>
  <c r="AF211" i="43" s="1"/>
  <c r="AF235" i="43" s="1"/>
  <c r="AF155" i="43"/>
  <c r="AF203" i="43" s="1"/>
  <c r="AF227" i="43" s="1"/>
  <c r="AE15" i="43"/>
  <c r="AF168" i="43"/>
  <c r="AF216" i="43" s="1"/>
  <c r="AF240" i="43" s="1"/>
  <c r="AF161" i="43"/>
  <c r="AF209" i="43" s="1"/>
  <c r="AF233" i="43" s="1"/>
  <c r="AF159" i="43"/>
  <c r="AF207" i="43" s="1"/>
  <c r="AF231" i="43" s="1"/>
  <c r="AF165" i="43"/>
  <c r="AF213" i="43" s="1"/>
  <c r="AF237" i="43" s="1"/>
  <c r="AF164" i="43"/>
  <c r="AF212" i="43" s="1"/>
  <c r="AF236" i="43" s="1"/>
  <c r="AF152" i="43"/>
  <c r="AF200" i="43" s="1"/>
  <c r="AF224" i="43" s="1"/>
  <c r="AB72" i="39"/>
  <c r="AI72" i="39"/>
  <c r="AA72" i="39"/>
  <c r="AA101" i="39" s="1"/>
  <c r="AA84" i="36" s="1"/>
  <c r="AD72" i="39"/>
  <c r="AJ72" i="39"/>
  <c r="AE72" i="39"/>
  <c r="AG72" i="39"/>
  <c r="AF72" i="39"/>
  <c r="AH72" i="39"/>
  <c r="AC72" i="39"/>
  <c r="Z162" i="36"/>
  <c r="Z210" i="36" s="1"/>
  <c r="Z242" i="36" s="1"/>
  <c r="Z168" i="36"/>
  <c r="Z216" i="36" s="1"/>
  <c r="Z248" i="36" s="1"/>
  <c r="Z152" i="36"/>
  <c r="Z200" i="36" s="1"/>
  <c r="Z232" i="36" s="1"/>
  <c r="Z166" i="36"/>
  <c r="Z214" i="36" s="1"/>
  <c r="Z246" i="36" s="1"/>
  <c r="Z151" i="36"/>
  <c r="Z167" i="36"/>
  <c r="Z215" i="36" s="1"/>
  <c r="Z247" i="36" s="1"/>
  <c r="Z154" i="36"/>
  <c r="Z202" i="36" s="1"/>
  <c r="Z234" i="36" s="1"/>
  <c r="Z156" i="36"/>
  <c r="Z204" i="36" s="1"/>
  <c r="Z236" i="36" s="1"/>
  <c r="Z157" i="36"/>
  <c r="Z205" i="36" s="1"/>
  <c r="Z237" i="36" s="1"/>
  <c r="Y15" i="36"/>
  <c r="Z153" i="36"/>
  <c r="Z201" i="36" s="1"/>
  <c r="Z233" i="36" s="1"/>
  <c r="Z164" i="36"/>
  <c r="Z212" i="36" s="1"/>
  <c r="Z244" i="36" s="1"/>
  <c r="Z165" i="36"/>
  <c r="Z213" i="36" s="1"/>
  <c r="Z245" i="36" s="1"/>
  <c r="Z160" i="36"/>
  <c r="Z208" i="36" s="1"/>
  <c r="Z240" i="36" s="1"/>
  <c r="Z163" i="36"/>
  <c r="Z211" i="36" s="1"/>
  <c r="Z243" i="36" s="1"/>
  <c r="Z155" i="36"/>
  <c r="Z203" i="36" s="1"/>
  <c r="Z235" i="36" s="1"/>
  <c r="Z159" i="36"/>
  <c r="Z207" i="36" s="1"/>
  <c r="Z239" i="36" s="1"/>
  <c r="Z161" i="36"/>
  <c r="Z209" i="36" s="1"/>
  <c r="Z241" i="36" s="1"/>
  <c r="Z158" i="36"/>
  <c r="Z206" i="36" s="1"/>
  <c r="Z238" i="36" s="1"/>
  <c r="AE242" i="43"/>
  <c r="AG12" i="37"/>
  <c r="AG66" i="40"/>
  <c r="AA14" i="36"/>
  <c r="AA37" i="40"/>
  <c r="AA112" i="36"/>
  <c r="AA138" i="36" s="1"/>
  <c r="AA186" i="36" s="1"/>
  <c r="AA104" i="36"/>
  <c r="AA130" i="36" s="1"/>
  <c r="AA178" i="36" s="1"/>
  <c r="AA118" i="36"/>
  <c r="AA144" i="36" s="1"/>
  <c r="AA192" i="36" s="1"/>
  <c r="AA107" i="36"/>
  <c r="AA133" i="36" s="1"/>
  <c r="AA181" i="36" s="1"/>
  <c r="AA113" i="36"/>
  <c r="AA139" i="36" s="1"/>
  <c r="AA187" i="36" s="1"/>
  <c r="AA114" i="36"/>
  <c r="AA140" i="36" s="1"/>
  <c r="AA188" i="36" s="1"/>
  <c r="AA110" i="36"/>
  <c r="AA136" i="36" s="1"/>
  <c r="AA184" i="36" s="1"/>
  <c r="AA111" i="36"/>
  <c r="AA137" i="36" s="1"/>
  <c r="AA185" i="36" s="1"/>
  <c r="AA103" i="36"/>
  <c r="AA129" i="36" s="1"/>
  <c r="AA106" i="36"/>
  <c r="AA132" i="36" s="1"/>
  <c r="AA180" i="36" s="1"/>
  <c r="AA108" i="36"/>
  <c r="AA134" i="36" s="1"/>
  <c r="AA182" i="36" s="1"/>
  <c r="AA120" i="36"/>
  <c r="AA146" i="36" s="1"/>
  <c r="AA194" i="36" s="1"/>
  <c r="AA105" i="36"/>
  <c r="AA131" i="36" s="1"/>
  <c r="AA179" i="36" s="1"/>
  <c r="AA117" i="36"/>
  <c r="AA143" i="36" s="1"/>
  <c r="AA191" i="36" s="1"/>
  <c r="AA119" i="36"/>
  <c r="AA145" i="36" s="1"/>
  <c r="AA193" i="36" s="1"/>
  <c r="AA115" i="36"/>
  <c r="AA141" i="36" s="1"/>
  <c r="AA189" i="36" s="1"/>
  <c r="AA109" i="36"/>
  <c r="AA135" i="36" s="1"/>
  <c r="AA183" i="36" s="1"/>
  <c r="AA116" i="36"/>
  <c r="AA142" i="36" s="1"/>
  <c r="AA190" i="36" s="1"/>
  <c r="AG120" i="43"/>
  <c r="AG114" i="43"/>
  <c r="AG109" i="43"/>
  <c r="AG104" i="43"/>
  <c r="AG111" i="43"/>
  <c r="AG112" i="43"/>
  <c r="AG107" i="43"/>
  <c r="AG105" i="43"/>
  <c r="AG106" i="43"/>
  <c r="AG118" i="43"/>
  <c r="AG113" i="43"/>
  <c r="AG116" i="43"/>
  <c r="AG115" i="43"/>
  <c r="AG110" i="43"/>
  <c r="AG119" i="43"/>
  <c r="AG117" i="43"/>
  <c r="AG103" i="43"/>
  <c r="AG108" i="43"/>
  <c r="AA164" i="36"/>
  <c r="AA212" i="36" s="1"/>
  <c r="AA162" i="36"/>
  <c r="AA210" i="36" s="1"/>
  <c r="AA155" i="36"/>
  <c r="AA203" i="36" s="1"/>
  <c r="AA167" i="36"/>
  <c r="AA215" i="36" s="1"/>
  <c r="AA161" i="36"/>
  <c r="AA209" i="36" s="1"/>
  <c r="Z15" i="36"/>
  <c r="AA163" i="36"/>
  <c r="AA211" i="36" s="1"/>
  <c r="AA165" i="36"/>
  <c r="AA213" i="36" s="1"/>
  <c r="AA152" i="36"/>
  <c r="AA200" i="36" s="1"/>
  <c r="AA156" i="36"/>
  <c r="AA204" i="36" s="1"/>
  <c r="AA157" i="36"/>
  <c r="AA205" i="36" s="1"/>
  <c r="AA151" i="36"/>
  <c r="AA168" i="36"/>
  <c r="AA216" i="36" s="1"/>
  <c r="AA159" i="36"/>
  <c r="AA207" i="36" s="1"/>
  <c r="AA158" i="36"/>
  <c r="AA206" i="36" s="1"/>
  <c r="AA154" i="36"/>
  <c r="AA202" i="36" s="1"/>
  <c r="AA166" i="36"/>
  <c r="AA214" i="36" s="1"/>
  <c r="AA160" i="36"/>
  <c r="AA208" i="36" s="1"/>
  <c r="AA153" i="36"/>
  <c r="AA201" i="36" s="1"/>
  <c r="Z102" i="40"/>
  <c r="Z103" i="40" s="1"/>
  <c r="Z104" i="40" s="1"/>
  <c r="W124" i="63"/>
  <c r="W27" i="37"/>
  <c r="W39" i="63"/>
  <c r="Y14" i="44"/>
  <c r="Z168" i="44" s="1"/>
  <c r="Z216" i="44" s="1"/>
  <c r="Z240" i="44" s="1"/>
  <c r="AA88" i="40"/>
  <c r="AA89" i="40" s="1"/>
  <c r="AA101" i="40" s="1"/>
  <c r="AR90" i="30"/>
  <c r="AR93" i="30" s="1"/>
  <c r="AQ111" i="30"/>
  <c r="Y199" i="44"/>
  <c r="Y223" i="44" s="1"/>
  <c r="X105" i="63" s="1"/>
  <c r="Y169" i="44"/>
  <c r="AL74" i="30"/>
  <c r="AB82" i="30" s="1"/>
  <c r="AB22" i="40" s="1"/>
  <c r="AB23" i="40" s="1"/>
  <c r="AL68" i="30"/>
  <c r="AL70" i="30" s="1"/>
  <c r="Y122" i="63" l="1"/>
  <c r="X236" i="63"/>
  <c r="X54" i="67" s="1"/>
  <c r="X238" i="63"/>
  <c r="X56" i="67" s="1"/>
  <c r="X234" i="63"/>
  <c r="X52" i="67" s="1"/>
  <c r="X228" i="63"/>
  <c r="X46" i="67" s="1"/>
  <c r="X233" i="63"/>
  <c r="X51" i="67" s="1"/>
  <c r="X232" i="63"/>
  <c r="X50" i="67" s="1"/>
  <c r="X237" i="63"/>
  <c r="X55" i="67" s="1"/>
  <c r="X229" i="63"/>
  <c r="X47" i="67" s="1"/>
  <c r="X231" i="63"/>
  <c r="X49" i="67" s="1"/>
  <c r="X230" i="63"/>
  <c r="X48" i="67" s="1"/>
  <c r="X235" i="63"/>
  <c r="X53" i="67" s="1"/>
  <c r="Z13" i="44"/>
  <c r="AA142" i="44" s="1"/>
  <c r="AA190" i="44" s="1"/>
  <c r="Z14" i="44"/>
  <c r="AA163" i="44" s="1"/>
  <c r="AA211" i="44" s="1"/>
  <c r="AA247" i="36"/>
  <c r="AA245" i="36"/>
  <c r="AA234" i="36"/>
  <c r="AA242" i="36"/>
  <c r="AA232" i="36"/>
  <c r="AA199" i="36"/>
  <c r="AA169" i="36"/>
  <c r="AA237" i="36"/>
  <c r="AA233" i="36"/>
  <c r="AA177" i="36"/>
  <c r="AA147" i="36"/>
  <c r="AA241" i="36"/>
  <c r="AA240" i="36"/>
  <c r="AF199" i="43"/>
  <c r="AF223" i="43" s="1"/>
  <c r="AF242" i="43" s="1"/>
  <c r="AF244" i="43" s="1"/>
  <c r="AF169" i="43"/>
  <c r="AG130" i="43"/>
  <c r="AG178" i="43" s="1"/>
  <c r="AG131" i="43"/>
  <c r="AG179" i="43" s="1"/>
  <c r="AG136" i="43"/>
  <c r="AG184" i="43" s="1"/>
  <c r="AG139" i="43"/>
  <c r="AG187" i="43" s="1"/>
  <c r="AG129" i="43"/>
  <c r="AG137" i="43"/>
  <c r="AG185" i="43" s="1"/>
  <c r="AG144" i="43"/>
  <c r="AG192" i="43" s="1"/>
  <c r="AG132" i="43"/>
  <c r="AG180" i="43" s="1"/>
  <c r="AG146" i="43"/>
  <c r="AG194" i="43" s="1"/>
  <c r="AG145" i="43"/>
  <c r="AG193" i="43" s="1"/>
  <c r="AG142" i="43"/>
  <c r="AG190" i="43" s="1"/>
  <c r="AG135" i="43"/>
  <c r="AG183" i="43" s="1"/>
  <c r="AG143" i="43"/>
  <c r="AG191" i="43" s="1"/>
  <c r="AG140" i="43"/>
  <c r="AG188" i="43" s="1"/>
  <c r="AG133" i="43"/>
  <c r="AG181" i="43" s="1"/>
  <c r="AG138" i="43"/>
  <c r="AG186" i="43" s="1"/>
  <c r="AG141" i="43"/>
  <c r="AG189" i="43" s="1"/>
  <c r="AG134" i="43"/>
  <c r="AG182" i="43" s="1"/>
  <c r="AA244" i="36"/>
  <c r="AB159" i="36"/>
  <c r="AB207" i="36" s="1"/>
  <c r="AB153" i="36"/>
  <c r="AB201" i="36" s="1"/>
  <c r="AB157" i="36"/>
  <c r="AB205" i="36" s="1"/>
  <c r="AB151" i="36"/>
  <c r="AA15" i="36"/>
  <c r="AB168" i="36"/>
  <c r="AB216" i="36" s="1"/>
  <c r="AB154" i="36"/>
  <c r="AB202" i="36" s="1"/>
  <c r="AB165" i="36"/>
  <c r="AB213" i="36" s="1"/>
  <c r="AB162" i="36"/>
  <c r="AB210" i="36" s="1"/>
  <c r="AB160" i="36"/>
  <c r="AB208" i="36" s="1"/>
  <c r="AB152" i="36"/>
  <c r="AB200" i="36" s="1"/>
  <c r="AB161" i="36"/>
  <c r="AB209" i="36" s="1"/>
  <c r="AB167" i="36"/>
  <c r="AB215" i="36" s="1"/>
  <c r="AB163" i="36"/>
  <c r="AB211" i="36" s="1"/>
  <c r="AB164" i="36"/>
  <c r="AB212" i="36" s="1"/>
  <c r="AB156" i="36"/>
  <c r="AB204" i="36" s="1"/>
  <c r="AB155" i="36"/>
  <c r="AB203" i="36" s="1"/>
  <c r="AB158" i="36"/>
  <c r="AB206" i="36" s="1"/>
  <c r="AB166" i="36"/>
  <c r="AB214" i="36" s="1"/>
  <c r="AD22" i="37"/>
  <c r="AE244" i="43"/>
  <c r="Z199" i="36"/>
  <c r="Z231" i="36" s="1"/>
  <c r="Z169" i="36"/>
  <c r="AB14" i="37"/>
  <c r="AB34" i="40"/>
  <c r="AA243" i="36"/>
  <c r="AA248" i="36"/>
  <c r="AA239" i="36"/>
  <c r="AA235" i="36"/>
  <c r="AG12" i="43"/>
  <c r="AG67" i="40"/>
  <c r="AB103" i="36"/>
  <c r="AB129" i="36" s="1"/>
  <c r="AB118" i="36"/>
  <c r="AB144" i="36" s="1"/>
  <c r="AB192" i="36" s="1"/>
  <c r="AB112" i="36"/>
  <c r="AB138" i="36" s="1"/>
  <c r="AB186" i="36" s="1"/>
  <c r="AB116" i="36"/>
  <c r="AB142" i="36" s="1"/>
  <c r="AB190" i="36" s="1"/>
  <c r="AB110" i="36"/>
  <c r="AB136" i="36" s="1"/>
  <c r="AB184" i="36" s="1"/>
  <c r="AB117" i="36"/>
  <c r="AB143" i="36" s="1"/>
  <c r="AB191" i="36" s="1"/>
  <c r="AB111" i="36"/>
  <c r="AB137" i="36" s="1"/>
  <c r="AB185" i="36" s="1"/>
  <c r="AB109" i="36"/>
  <c r="AB135" i="36" s="1"/>
  <c r="AB183" i="36" s="1"/>
  <c r="AB119" i="36"/>
  <c r="AB145" i="36" s="1"/>
  <c r="AB193" i="36" s="1"/>
  <c r="AB114" i="36"/>
  <c r="AB140" i="36" s="1"/>
  <c r="AB188" i="36" s="1"/>
  <c r="AB105" i="36"/>
  <c r="AB131" i="36" s="1"/>
  <c r="AB179" i="36" s="1"/>
  <c r="AB113" i="36"/>
  <c r="AB139" i="36" s="1"/>
  <c r="AB187" i="36" s="1"/>
  <c r="AB108" i="36"/>
  <c r="AB134" i="36" s="1"/>
  <c r="AB182" i="36" s="1"/>
  <c r="AB106" i="36"/>
  <c r="AB132" i="36" s="1"/>
  <c r="AB180" i="36" s="1"/>
  <c r="AB115" i="36"/>
  <c r="AB141" i="36" s="1"/>
  <c r="AB189" i="36" s="1"/>
  <c r="AB120" i="36"/>
  <c r="AB146" i="36" s="1"/>
  <c r="AB194" i="36" s="1"/>
  <c r="AB107" i="36"/>
  <c r="AB133" i="36" s="1"/>
  <c r="AB181" i="36" s="1"/>
  <c r="AB104" i="36"/>
  <c r="AB130" i="36" s="1"/>
  <c r="AB178" i="36" s="1"/>
  <c r="AG174" i="39"/>
  <c r="AG197" i="39" s="1"/>
  <c r="AG84" i="43" s="1"/>
  <c r="AK174" i="39"/>
  <c r="AO174" i="39"/>
  <c r="AI174" i="39"/>
  <c r="AM174" i="39"/>
  <c r="AJ174" i="39"/>
  <c r="AN174" i="39"/>
  <c r="AH174" i="39"/>
  <c r="AL174" i="39"/>
  <c r="AP174" i="39"/>
  <c r="AG156" i="43"/>
  <c r="AG204" i="43" s="1"/>
  <c r="AG154" i="43"/>
  <c r="AG202" i="43" s="1"/>
  <c r="AG151" i="43"/>
  <c r="AG163" i="43"/>
  <c r="AG211" i="43" s="1"/>
  <c r="AG162" i="43"/>
  <c r="AG210" i="43" s="1"/>
  <c r="AG158" i="43"/>
  <c r="AG206" i="43" s="1"/>
  <c r="AG152" i="43"/>
  <c r="AG200" i="43" s="1"/>
  <c r="AG224" i="43" s="1"/>
  <c r="AG157" i="43"/>
  <c r="AG205" i="43" s="1"/>
  <c r="AG168" i="43"/>
  <c r="AG216" i="43" s="1"/>
  <c r="AG166" i="43"/>
  <c r="AG214" i="43" s="1"/>
  <c r="AG161" i="43"/>
  <c r="AG209" i="43" s="1"/>
  <c r="AG159" i="43"/>
  <c r="AG207" i="43" s="1"/>
  <c r="AG231" i="43" s="1"/>
  <c r="AG155" i="43"/>
  <c r="AG203" i="43" s="1"/>
  <c r="AG153" i="43"/>
  <c r="AG201" i="43" s="1"/>
  <c r="AG165" i="43"/>
  <c r="AG213" i="43" s="1"/>
  <c r="AG237" i="43" s="1"/>
  <c r="AG164" i="43"/>
  <c r="AG212" i="43" s="1"/>
  <c r="AG160" i="43"/>
  <c r="AG208" i="43" s="1"/>
  <c r="AG167" i="43"/>
  <c r="AG215" i="43" s="1"/>
  <c r="AF15" i="43"/>
  <c r="AA236" i="36"/>
  <c r="AA238" i="36"/>
  <c r="AA246" i="36"/>
  <c r="AD73" i="39"/>
  <c r="AG73" i="39"/>
  <c r="AB73" i="39"/>
  <c r="AB101" i="39" s="1"/>
  <c r="AB84" i="36" s="1"/>
  <c r="AH73" i="39"/>
  <c r="AE73" i="39"/>
  <c r="AI73" i="39"/>
  <c r="AF73" i="39"/>
  <c r="AJ73" i="39"/>
  <c r="AC73" i="39"/>
  <c r="AK73" i="39"/>
  <c r="Z162" i="44"/>
  <c r="Z210" i="44" s="1"/>
  <c r="Z152" i="44"/>
  <c r="Z200" i="44" s="1"/>
  <c r="Y15" i="44"/>
  <c r="Z165" i="44"/>
  <c r="Z213" i="44" s="1"/>
  <c r="Z237" i="44" s="1"/>
  <c r="Y119" i="63" s="1"/>
  <c r="Z164" i="44"/>
  <c r="Z212" i="44" s="1"/>
  <c r="Z236" i="44" s="1"/>
  <c r="Y118" i="63" s="1"/>
  <c r="Z155" i="44"/>
  <c r="Z203" i="44" s="1"/>
  <c r="Z227" i="44" s="1"/>
  <c r="Y109" i="63" s="1"/>
  <c r="Z159" i="44"/>
  <c r="Z207" i="44" s="1"/>
  <c r="Z231" i="44" s="1"/>
  <c r="Y113" i="63" s="1"/>
  <c r="Z154" i="44"/>
  <c r="Z202" i="44" s="1"/>
  <c r="Z226" i="44" s="1"/>
  <c r="Y108" i="63" s="1"/>
  <c r="Z166" i="44"/>
  <c r="Z214" i="44" s="1"/>
  <c r="Z238" i="44" s="1"/>
  <c r="Y120" i="63" s="1"/>
  <c r="Z157" i="44"/>
  <c r="Z205" i="44" s="1"/>
  <c r="Z229" i="44" s="1"/>
  <c r="Y111" i="63" s="1"/>
  <c r="Z161" i="44"/>
  <c r="Z209" i="44" s="1"/>
  <c r="Z233" i="44" s="1"/>
  <c r="Y115" i="63" s="1"/>
  <c r="Z153" i="44"/>
  <c r="Z201" i="44" s="1"/>
  <c r="Z225" i="44" s="1"/>
  <c r="Y107" i="63" s="1"/>
  <c r="Z151" i="44"/>
  <c r="Z199" i="44" s="1"/>
  <c r="Z223" i="44" s="1"/>
  <c r="Z167" i="44"/>
  <c r="Z215" i="44" s="1"/>
  <c r="Z239" i="44" s="1"/>
  <c r="Y121" i="63" s="1"/>
  <c r="Z160" i="44"/>
  <c r="Z208" i="44" s="1"/>
  <c r="Z232" i="44" s="1"/>
  <c r="Y114" i="63" s="1"/>
  <c r="Z158" i="44"/>
  <c r="Z206" i="44" s="1"/>
  <c r="Z230" i="44" s="1"/>
  <c r="Y112" i="63" s="1"/>
  <c r="Z156" i="44"/>
  <c r="Z204" i="44" s="1"/>
  <c r="Z228" i="44" s="1"/>
  <c r="Y110" i="63" s="1"/>
  <c r="Z163" i="44"/>
  <c r="Z211" i="44" s="1"/>
  <c r="Z235" i="44" s="1"/>
  <c r="Y117" i="63" s="1"/>
  <c r="AA13" i="37"/>
  <c r="AA15" i="37" s="1"/>
  <c r="AR92" i="30"/>
  <c r="AR94" i="30" s="1"/>
  <c r="AS90" i="30" s="1"/>
  <c r="AS96" i="30" s="1"/>
  <c r="AI103" i="30" s="1"/>
  <c r="AI54" i="40" s="1"/>
  <c r="AR96" i="30"/>
  <c r="AH103" i="30" s="1"/>
  <c r="AH54" i="40" s="1"/>
  <c r="AH55" i="40" s="1"/>
  <c r="Y242" i="44"/>
  <c r="AA161" i="44"/>
  <c r="AA209" i="44" s="1"/>
  <c r="AA102" i="40"/>
  <c r="AA12" i="44"/>
  <c r="AQ114" i="30"/>
  <c r="AQ117" i="30"/>
  <c r="AG125" i="30" s="1"/>
  <c r="AQ113" i="30"/>
  <c r="AQ115" i="30" s="1"/>
  <c r="AM66" i="30"/>
  <c r="AM69" i="30" s="1"/>
  <c r="AA157" i="44" l="1"/>
  <c r="AA205" i="44" s="1"/>
  <c r="AA166" i="44"/>
  <c r="AA214" i="44" s="1"/>
  <c r="Z15" i="44"/>
  <c r="AA158" i="44"/>
  <c r="AA206" i="44" s="1"/>
  <c r="AA167" i="44"/>
  <c r="AA215" i="44" s="1"/>
  <c r="AA165" i="44"/>
  <c r="AA213" i="44" s="1"/>
  <c r="AA162" i="44"/>
  <c r="AA210" i="44" s="1"/>
  <c r="Z250" i="36"/>
  <c r="Y24" i="37" s="1"/>
  <c r="Y105" i="63"/>
  <c r="AA133" i="44"/>
  <c r="AA181" i="44" s="1"/>
  <c r="AA139" i="44"/>
  <c r="AA187" i="44" s="1"/>
  <c r="AA233" i="44" s="1"/>
  <c r="Z115" i="63" s="1"/>
  <c r="AA132" i="44"/>
  <c r="AA180" i="44" s="1"/>
  <c r="AA136" i="44"/>
  <c r="AA184" i="44" s="1"/>
  <c r="AA130" i="44"/>
  <c r="AA178" i="44" s="1"/>
  <c r="AA134" i="44"/>
  <c r="AA182" i="44" s="1"/>
  <c r="AA140" i="44"/>
  <c r="AA188" i="44" s="1"/>
  <c r="AA141" i="44"/>
  <c r="AA189" i="44" s="1"/>
  <c r="AA235" i="44" s="1"/>
  <c r="Z117" i="63" s="1"/>
  <c r="X227" i="63"/>
  <c r="AA145" i="44"/>
  <c r="AA193" i="44" s="1"/>
  <c r="AA239" i="44" s="1"/>
  <c r="Z121" i="63" s="1"/>
  <c r="AA143" i="44"/>
  <c r="AA191" i="44" s="1"/>
  <c r="AA237" i="44" s="1"/>
  <c r="AA129" i="44"/>
  <c r="AA177" i="44" s="1"/>
  <c r="AA144" i="44"/>
  <c r="AA192" i="44" s="1"/>
  <c r="AA238" i="44" s="1"/>
  <c r="Z120" i="63" s="1"/>
  <c r="AA138" i="44"/>
  <c r="AA186" i="44" s="1"/>
  <c r="AA131" i="44"/>
  <c r="AA179" i="44" s="1"/>
  <c r="AA146" i="44"/>
  <c r="AA194" i="44" s="1"/>
  <c r="AA137" i="44"/>
  <c r="AA185" i="44" s="1"/>
  <c r="AA135" i="44"/>
  <c r="AA183" i="44" s="1"/>
  <c r="AA229" i="44" s="1"/>
  <c r="Z111" i="63" s="1"/>
  <c r="AA160" i="44"/>
  <c r="AA208" i="44" s="1"/>
  <c r="AA152" i="44"/>
  <c r="AA200" i="44" s="1"/>
  <c r="AA156" i="44"/>
  <c r="AA204" i="44" s="1"/>
  <c r="AA154" i="44"/>
  <c r="AA202" i="44" s="1"/>
  <c r="AA159" i="44"/>
  <c r="AA207" i="44" s="1"/>
  <c r="AA155" i="44"/>
  <c r="AA203" i="44" s="1"/>
  <c r="AA153" i="44"/>
  <c r="AA201" i="44" s="1"/>
  <c r="AE22" i="37"/>
  <c r="AA164" i="44"/>
  <c r="AA212" i="44" s="1"/>
  <c r="AA236" i="44" s="1"/>
  <c r="Z118" i="63" s="1"/>
  <c r="AA151" i="44"/>
  <c r="AA199" i="44" s="1"/>
  <c r="AA223" i="44" s="1"/>
  <c r="AA168" i="44"/>
  <c r="AA216" i="44" s="1"/>
  <c r="AG234" i="43"/>
  <c r="AG233" i="43"/>
  <c r="AG226" i="43"/>
  <c r="AG227" i="43"/>
  <c r="AG228" i="43"/>
  <c r="AG239" i="43"/>
  <c r="AG225" i="43"/>
  <c r="AG236" i="43"/>
  <c r="AG238" i="43"/>
  <c r="AG230" i="43"/>
  <c r="AG232" i="43"/>
  <c r="AG229" i="43"/>
  <c r="AB177" i="36"/>
  <c r="AB147" i="36"/>
  <c r="AH66" i="40"/>
  <c r="AH12" i="37"/>
  <c r="AH114" i="43"/>
  <c r="AH106" i="43"/>
  <c r="AH105" i="43"/>
  <c r="AH117" i="43"/>
  <c r="AH103" i="43"/>
  <c r="AH115" i="43"/>
  <c r="AH104" i="43"/>
  <c r="AH110" i="43"/>
  <c r="AH120" i="43"/>
  <c r="AH109" i="43"/>
  <c r="AH118" i="43"/>
  <c r="AH111" i="43"/>
  <c r="AH113" i="43"/>
  <c r="AH108" i="43"/>
  <c r="AH116" i="43"/>
  <c r="AH107" i="43"/>
  <c r="AH112" i="43"/>
  <c r="AH119" i="43"/>
  <c r="AB248" i="36"/>
  <c r="AG177" i="43"/>
  <c r="AG147" i="43"/>
  <c r="AI55" i="40"/>
  <c r="AB12" i="36"/>
  <c r="AC224" i="36" s="1"/>
  <c r="AC225" i="36" s="1"/>
  <c r="AB35" i="40"/>
  <c r="AB235" i="36"/>
  <c r="AB247" i="36"/>
  <c r="AB242" i="36"/>
  <c r="AB239" i="36"/>
  <c r="AB238" i="36"/>
  <c r="AB240" i="36"/>
  <c r="AC113" i="36"/>
  <c r="AC112" i="36"/>
  <c r="AC104" i="36"/>
  <c r="AC111" i="36"/>
  <c r="AC120" i="36"/>
  <c r="AC115" i="36"/>
  <c r="AC107" i="36"/>
  <c r="AC118" i="36"/>
  <c r="AC109" i="36"/>
  <c r="AC119" i="36"/>
  <c r="AC114" i="36"/>
  <c r="AC117" i="36"/>
  <c r="AC106" i="36"/>
  <c r="AC105" i="36"/>
  <c r="AC108" i="36"/>
  <c r="AC116" i="36"/>
  <c r="AC103" i="36"/>
  <c r="AC110" i="36"/>
  <c r="AG240" i="43"/>
  <c r="AB236" i="36"/>
  <c r="AB241" i="36"/>
  <c r="AB245" i="36"/>
  <c r="AB169" i="36"/>
  <c r="AB199" i="36"/>
  <c r="AG169" i="43"/>
  <c r="AG199" i="43"/>
  <c r="AB243" i="36"/>
  <c r="AB233" i="36"/>
  <c r="AG235" i="43"/>
  <c r="AG68" i="40"/>
  <c r="AG113" i="39"/>
  <c r="AG114" i="39" s="1"/>
  <c r="AG120" i="39" s="1"/>
  <c r="AG13" i="43"/>
  <c r="AB246" i="36"/>
  <c r="AB244" i="36"/>
  <c r="AB232" i="36"/>
  <c r="AB234" i="36"/>
  <c r="AB237" i="36"/>
  <c r="AA231" i="36"/>
  <c r="Z224" i="44"/>
  <c r="Y106" i="63" s="1"/>
  <c r="Z234" i="44"/>
  <c r="Y116" i="63" s="1"/>
  <c r="X23" i="37"/>
  <c r="X25" i="37" s="1"/>
  <c r="X23" i="63"/>
  <c r="X123" i="63"/>
  <c r="Z169" i="44"/>
  <c r="Y244" i="44"/>
  <c r="AB88" i="40"/>
  <c r="AB89" i="40" s="1"/>
  <c r="AB13" i="37" s="1"/>
  <c r="AB15" i="37" s="1"/>
  <c r="AS92" i="30"/>
  <c r="AS94" i="30" s="1"/>
  <c r="AS93" i="30"/>
  <c r="X23" i="54"/>
  <c r="AR111" i="30"/>
  <c r="AR113" i="30" s="1"/>
  <c r="AR115" i="30" s="1"/>
  <c r="AA103" i="40"/>
  <c r="AA13" i="44"/>
  <c r="AM74" i="30"/>
  <c r="AC82" i="30" s="1"/>
  <c r="AC22" i="40" s="1"/>
  <c r="AC23" i="40" s="1"/>
  <c r="AM68" i="30"/>
  <c r="AM70" i="30" s="1"/>
  <c r="AN66" i="30" s="1"/>
  <c r="Z252" i="36" l="1"/>
  <c r="AA226" i="44"/>
  <c r="Z108" i="63" s="1"/>
  <c r="AA230" i="44"/>
  <c r="Z112" i="63" s="1"/>
  <c r="AA234" i="44"/>
  <c r="Z116" i="63" s="1"/>
  <c r="AA232" i="44"/>
  <c r="Z114" i="63" s="1"/>
  <c r="AA225" i="44"/>
  <c r="Z107" i="63" s="1"/>
  <c r="AA224" i="44"/>
  <c r="Z106" i="63" s="1"/>
  <c r="AA227" i="44"/>
  <c r="Z109" i="63" s="1"/>
  <c r="AA250" i="36"/>
  <c r="AA252" i="36" s="1"/>
  <c r="Z105" i="63"/>
  <c r="Z119" i="63"/>
  <c r="Z236" i="63" s="1"/>
  <c r="Z238" i="63"/>
  <c r="AA240" i="44"/>
  <c r="Z122" i="63" s="1"/>
  <c r="AA228" i="44"/>
  <c r="Z110" i="63" s="1"/>
  <c r="AA231" i="44"/>
  <c r="Z113" i="63" s="1"/>
  <c r="Y235" i="63"/>
  <c r="Y53" i="67" s="1"/>
  <c r="X45" i="67"/>
  <c r="X239" i="63"/>
  <c r="Y231" i="63"/>
  <c r="Y49" i="67" s="1"/>
  <c r="Y233" i="63"/>
  <c r="Y51" i="67" s="1"/>
  <c r="Y232" i="63"/>
  <c r="Y50" i="67" s="1"/>
  <c r="Y228" i="63"/>
  <c r="Y46" i="67" s="1"/>
  <c r="Y237" i="63"/>
  <c r="Y55" i="67" s="1"/>
  <c r="Y227" i="63"/>
  <c r="Y238" i="63"/>
  <c r="Y236" i="63"/>
  <c r="Y54" i="67" s="1"/>
  <c r="Y230" i="63"/>
  <c r="Y48" i="67" s="1"/>
  <c r="Y234" i="63"/>
  <c r="Y52" i="67" s="1"/>
  <c r="Y229" i="63"/>
  <c r="Y47" i="67" s="1"/>
  <c r="AA169" i="44"/>
  <c r="AB231" i="36"/>
  <c r="AG223" i="43"/>
  <c r="AG242" i="43" s="1"/>
  <c r="AH135" i="43"/>
  <c r="AH183" i="43" s="1"/>
  <c r="AH129" i="43"/>
  <c r="AH140" i="43"/>
  <c r="AH188" i="43" s="1"/>
  <c r="AH138" i="43"/>
  <c r="AH186" i="43" s="1"/>
  <c r="AH139" i="43"/>
  <c r="AH187" i="43" s="1"/>
  <c r="AH130" i="43"/>
  <c r="AH178" i="43" s="1"/>
  <c r="AH146" i="43"/>
  <c r="AH194" i="43" s="1"/>
  <c r="AH143" i="43"/>
  <c r="AH191" i="43" s="1"/>
  <c r="AH145" i="43"/>
  <c r="AH193" i="43" s="1"/>
  <c r="AH134" i="43"/>
  <c r="AH182" i="43" s="1"/>
  <c r="AH132" i="43"/>
  <c r="AH180" i="43" s="1"/>
  <c r="AH141" i="43"/>
  <c r="AH189" i="43" s="1"/>
  <c r="AH137" i="43"/>
  <c r="AH185" i="43" s="1"/>
  <c r="AH131" i="43"/>
  <c r="AH179" i="43" s="1"/>
  <c r="AH136" i="43"/>
  <c r="AH184" i="43" s="1"/>
  <c r="AH133" i="43"/>
  <c r="AH181" i="43" s="1"/>
  <c r="AH144" i="43"/>
  <c r="AH192" i="43" s="1"/>
  <c r="AH142" i="43"/>
  <c r="AH190" i="43" s="1"/>
  <c r="AK175" i="39"/>
  <c r="AO175" i="39"/>
  <c r="AH175" i="39"/>
  <c r="AH197" i="39" s="1"/>
  <c r="AH84" i="43" s="1"/>
  <c r="AL175" i="39"/>
  <c r="AQ175" i="39"/>
  <c r="AN175" i="39"/>
  <c r="AI175" i="39"/>
  <c r="AM175" i="39"/>
  <c r="AP175" i="39"/>
  <c r="AJ175" i="39"/>
  <c r="AI12" i="37"/>
  <c r="AI66" i="40"/>
  <c r="AC34" i="40"/>
  <c r="AC14" i="37"/>
  <c r="Z24" i="37"/>
  <c r="AG69" i="40"/>
  <c r="AG14" i="43"/>
  <c r="AB36" i="40"/>
  <c r="AB13" i="36"/>
  <c r="AB17" i="39"/>
  <c r="AB18" i="39" s="1"/>
  <c r="AB24" i="39" s="1"/>
  <c r="AH67" i="40"/>
  <c r="AH68" i="40" s="1"/>
  <c r="AH12" i="43"/>
  <c r="Z242" i="44"/>
  <c r="Y23" i="37" s="1"/>
  <c r="Y25" i="37" s="1"/>
  <c r="Y39" i="63" s="1"/>
  <c r="X124" i="63"/>
  <c r="X39" i="63"/>
  <c r="X27" i="37"/>
  <c r="Y123" i="63"/>
  <c r="AB101" i="40"/>
  <c r="AB102" i="40" s="1"/>
  <c r="AT90" i="30"/>
  <c r="AT96" i="30" s="1"/>
  <c r="AJ103" i="30" s="1"/>
  <c r="AJ54" i="40" s="1"/>
  <c r="AJ55" i="40" s="1"/>
  <c r="AR117" i="30"/>
  <c r="AH125" i="30" s="1"/>
  <c r="AR114" i="30"/>
  <c r="AS111" i="30" s="1"/>
  <c r="AB144" i="44"/>
  <c r="AB192" i="44" s="1"/>
  <c r="AB135" i="44"/>
  <c r="AB183" i="44" s="1"/>
  <c r="AB142" i="44"/>
  <c r="AB190" i="44" s="1"/>
  <c r="AB139" i="44"/>
  <c r="AB187" i="44" s="1"/>
  <c r="AB134" i="44"/>
  <c r="AB182" i="44" s="1"/>
  <c r="AB143" i="44"/>
  <c r="AB191" i="44" s="1"/>
  <c r="AB129" i="44"/>
  <c r="AB146" i="44"/>
  <c r="AB194" i="44" s="1"/>
  <c r="AB145" i="44"/>
  <c r="AB193" i="44" s="1"/>
  <c r="AB133" i="44"/>
  <c r="AB181" i="44" s="1"/>
  <c r="AB140" i="44"/>
  <c r="AB188" i="44" s="1"/>
  <c r="AB131" i="44"/>
  <c r="AB179" i="44" s="1"/>
  <c r="AB136" i="44"/>
  <c r="AB184" i="44" s="1"/>
  <c r="AB141" i="44"/>
  <c r="AB189" i="44" s="1"/>
  <c r="AB137" i="44"/>
  <c r="AB185" i="44" s="1"/>
  <c r="AB138" i="44"/>
  <c r="AB186" i="44" s="1"/>
  <c r="AB132" i="44"/>
  <c r="AB180" i="44" s="1"/>
  <c r="AB130" i="44"/>
  <c r="AB178" i="44" s="1"/>
  <c r="AA104" i="40"/>
  <c r="AA14" i="44"/>
  <c r="AN74" i="30"/>
  <c r="AD82" i="30" s="1"/>
  <c r="AD22" i="40" s="1"/>
  <c r="AD23" i="40" s="1"/>
  <c r="AN68" i="30"/>
  <c r="AN69" i="30"/>
  <c r="Z56" i="67" l="1"/>
  <c r="Z54" i="67"/>
  <c r="AB250" i="36"/>
  <c r="AB252" i="36" s="1"/>
  <c r="AA242" i="44"/>
  <c r="Z23" i="37" s="1"/>
  <c r="Z25" i="37" s="1"/>
  <c r="Z27" i="37" s="1"/>
  <c r="Z235" i="63"/>
  <c r="Z53" i="67" s="1"/>
  <c r="Y239" i="63"/>
  <c r="Y45" i="67"/>
  <c r="Z233" i="63"/>
  <c r="Z51" i="67" s="1"/>
  <c r="Z232" i="63"/>
  <c r="Z50" i="67" s="1"/>
  <c r="Z237" i="63"/>
  <c r="Z55" i="67" s="1"/>
  <c r="Z234" i="63"/>
  <c r="Z52" i="67" s="1"/>
  <c r="Z230" i="63"/>
  <c r="Z48" i="67" s="1"/>
  <c r="Z228" i="63"/>
  <c r="Z46" i="67" s="1"/>
  <c r="Y56" i="67"/>
  <c r="Z229" i="63"/>
  <c r="Z47" i="67" s="1"/>
  <c r="Z231" i="63"/>
  <c r="Z49" i="67" s="1"/>
  <c r="Z227" i="63"/>
  <c r="AJ12" i="37"/>
  <c r="AJ66" i="40"/>
  <c r="AB14" i="36"/>
  <c r="AB37" i="40"/>
  <c r="AI115" i="43"/>
  <c r="AI104" i="43"/>
  <c r="AI111" i="43"/>
  <c r="AI108" i="43"/>
  <c r="AI117" i="43"/>
  <c r="AI114" i="43"/>
  <c r="AI120" i="43"/>
  <c r="AI118" i="43"/>
  <c r="AI107" i="43"/>
  <c r="AI119" i="43"/>
  <c r="AI106" i="43"/>
  <c r="AI109" i="43"/>
  <c r="AI112" i="43"/>
  <c r="AI103" i="43"/>
  <c r="AI113" i="43"/>
  <c r="AI105" i="43"/>
  <c r="AI116" i="43"/>
  <c r="AI110" i="43"/>
  <c r="AH177" i="43"/>
  <c r="AH147" i="43"/>
  <c r="AH14" i="43"/>
  <c r="AH69" i="40"/>
  <c r="AI67" i="40"/>
  <c r="AI12" i="43"/>
  <c r="AD34" i="40"/>
  <c r="AD14" i="37"/>
  <c r="AH113" i="39"/>
  <c r="AH114" i="39" s="1"/>
  <c r="AH120" i="39" s="1"/>
  <c r="AH13" i="43"/>
  <c r="AH167" i="43"/>
  <c r="AH215" i="43" s="1"/>
  <c r="AH239" i="43" s="1"/>
  <c r="AH168" i="43"/>
  <c r="AH216" i="43" s="1"/>
  <c r="AH240" i="43" s="1"/>
  <c r="AH158" i="43"/>
  <c r="AH206" i="43" s="1"/>
  <c r="AH230" i="43" s="1"/>
  <c r="AH161" i="43"/>
  <c r="AH209" i="43" s="1"/>
  <c r="AH166" i="43"/>
  <c r="AH214" i="43" s="1"/>
  <c r="AH238" i="43" s="1"/>
  <c r="AG15" i="43"/>
  <c r="AH165" i="43"/>
  <c r="AH213" i="43" s="1"/>
  <c r="AH237" i="43" s="1"/>
  <c r="AH163" i="43"/>
  <c r="AH211" i="43" s="1"/>
  <c r="AH235" i="43" s="1"/>
  <c r="AH164" i="43"/>
  <c r="AH212" i="43" s="1"/>
  <c r="AH236" i="43" s="1"/>
  <c r="AH154" i="43"/>
  <c r="AH202" i="43" s="1"/>
  <c r="AH226" i="43" s="1"/>
  <c r="AH152" i="43"/>
  <c r="AH200" i="43" s="1"/>
  <c r="AH224" i="43" s="1"/>
  <c r="AH162" i="43"/>
  <c r="AH210" i="43" s="1"/>
  <c r="AH234" i="43" s="1"/>
  <c r="AH159" i="43"/>
  <c r="AH207" i="43" s="1"/>
  <c r="AH231" i="43" s="1"/>
  <c r="AH160" i="43"/>
  <c r="AH208" i="43" s="1"/>
  <c r="AH232" i="43" s="1"/>
  <c r="AH153" i="43"/>
  <c r="AH201" i="43" s="1"/>
  <c r="AH225" i="43" s="1"/>
  <c r="AH157" i="43"/>
  <c r="AH205" i="43" s="1"/>
  <c r="AH229" i="43" s="1"/>
  <c r="AH155" i="43"/>
  <c r="AH203" i="43" s="1"/>
  <c r="AH227" i="43" s="1"/>
  <c r="AH156" i="43"/>
  <c r="AH204" i="43" s="1"/>
  <c r="AH228" i="43" s="1"/>
  <c r="AH151" i="43"/>
  <c r="AH233" i="43"/>
  <c r="Z244" i="44"/>
  <c r="AC143" i="36"/>
  <c r="AC191" i="36" s="1"/>
  <c r="AC141" i="36"/>
  <c r="AC189" i="36" s="1"/>
  <c r="AC145" i="36"/>
  <c r="AC193" i="36" s="1"/>
  <c r="AC142" i="36"/>
  <c r="AC190" i="36" s="1"/>
  <c r="AC139" i="36"/>
  <c r="AC187" i="36" s="1"/>
  <c r="AC137" i="36"/>
  <c r="AC185" i="36" s="1"/>
  <c r="AC131" i="36"/>
  <c r="AC179" i="36" s="1"/>
  <c r="AC140" i="36"/>
  <c r="AC188" i="36" s="1"/>
  <c r="AC130" i="36"/>
  <c r="AC178" i="36" s="1"/>
  <c r="AC146" i="36"/>
  <c r="AC194" i="36" s="1"/>
  <c r="AC144" i="36"/>
  <c r="AC192" i="36" s="1"/>
  <c r="AC135" i="36"/>
  <c r="AC183" i="36" s="1"/>
  <c r="AC132" i="36"/>
  <c r="AC180" i="36" s="1"/>
  <c r="AC133" i="36"/>
  <c r="AC181" i="36" s="1"/>
  <c r="AC136" i="36"/>
  <c r="AC184" i="36" s="1"/>
  <c r="AC134" i="36"/>
  <c r="AC182" i="36" s="1"/>
  <c r="AC129" i="36"/>
  <c r="AC138" i="36"/>
  <c r="AC186" i="36" s="1"/>
  <c r="AC74" i="39"/>
  <c r="AC101" i="39" s="1"/>
  <c r="AC84" i="36" s="1"/>
  <c r="AH74" i="39"/>
  <c r="AK74" i="39"/>
  <c r="AE74" i="39"/>
  <c r="AF74" i="39"/>
  <c r="AD74" i="39"/>
  <c r="AG74" i="39"/>
  <c r="AL74" i="39"/>
  <c r="AI74" i="39"/>
  <c r="AJ74" i="39"/>
  <c r="AC35" i="40"/>
  <c r="AC36" i="40" s="1"/>
  <c r="AC12" i="36"/>
  <c r="AD224" i="36" s="1"/>
  <c r="AD225" i="36" s="1"/>
  <c r="AF22" i="37"/>
  <c r="AG244" i="43"/>
  <c r="Y23" i="63"/>
  <c r="Y27" i="37"/>
  <c r="Y23" i="54"/>
  <c r="Y124" i="63"/>
  <c r="AB12" i="44"/>
  <c r="Z123" i="63"/>
  <c r="AC88" i="40"/>
  <c r="AC89" i="40" s="1"/>
  <c r="AC101" i="40" s="1"/>
  <c r="AC102" i="40" s="1"/>
  <c r="AT93" i="30"/>
  <c r="AT92" i="30"/>
  <c r="AT94" i="30" s="1"/>
  <c r="AS114" i="30"/>
  <c r="AS113" i="30"/>
  <c r="AS115" i="30" s="1"/>
  <c r="AS117" i="30"/>
  <c r="AI125" i="30" s="1"/>
  <c r="AA15" i="44"/>
  <c r="AB163" i="44"/>
  <c r="AB211" i="44" s="1"/>
  <c r="AB235" i="44" s="1"/>
  <c r="AA117" i="63" s="1"/>
  <c r="AB161" i="44"/>
  <c r="AB209" i="44" s="1"/>
  <c r="AB233" i="44" s="1"/>
  <c r="AA115" i="63" s="1"/>
  <c r="AB166" i="44"/>
  <c r="AB214" i="44" s="1"/>
  <c r="AB238" i="44" s="1"/>
  <c r="AA120" i="63" s="1"/>
  <c r="AB167" i="44"/>
  <c r="AB215" i="44" s="1"/>
  <c r="AB239" i="44" s="1"/>
  <c r="AA121" i="63" s="1"/>
  <c r="AB156" i="44"/>
  <c r="AB204" i="44" s="1"/>
  <c r="AB228" i="44" s="1"/>
  <c r="AA110" i="63" s="1"/>
  <c r="AB162" i="44"/>
  <c r="AB210" i="44" s="1"/>
  <c r="AB234" i="44" s="1"/>
  <c r="AA116" i="63" s="1"/>
  <c r="AB159" i="44"/>
  <c r="AB207" i="44" s="1"/>
  <c r="AB231" i="44" s="1"/>
  <c r="AA113" i="63" s="1"/>
  <c r="AB164" i="44"/>
  <c r="AB212" i="44" s="1"/>
  <c r="AB236" i="44" s="1"/>
  <c r="AA118" i="63" s="1"/>
  <c r="AB152" i="44"/>
  <c r="AB200" i="44" s="1"/>
  <c r="AB224" i="44" s="1"/>
  <c r="AA106" i="63" s="1"/>
  <c r="AB155" i="44"/>
  <c r="AB203" i="44" s="1"/>
  <c r="AB227" i="44" s="1"/>
  <c r="AA109" i="63" s="1"/>
  <c r="AB153" i="44"/>
  <c r="AB201" i="44" s="1"/>
  <c r="AB225" i="44" s="1"/>
  <c r="AA107" i="63" s="1"/>
  <c r="AB160" i="44"/>
  <c r="AB208" i="44" s="1"/>
  <c r="AB232" i="44" s="1"/>
  <c r="AA114" i="63" s="1"/>
  <c r="AB151" i="44"/>
  <c r="AB165" i="44"/>
  <c r="AB213" i="44" s="1"/>
  <c r="AB237" i="44" s="1"/>
  <c r="AA119" i="63" s="1"/>
  <c r="AB154" i="44"/>
  <c r="AB202" i="44" s="1"/>
  <c r="AB226" i="44" s="1"/>
  <c r="AA108" i="63" s="1"/>
  <c r="AB158" i="44"/>
  <c r="AB206" i="44" s="1"/>
  <c r="AB230" i="44" s="1"/>
  <c r="AA112" i="63" s="1"/>
  <c r="AB168" i="44"/>
  <c r="AB216" i="44" s="1"/>
  <c r="AB240" i="44" s="1"/>
  <c r="AA122" i="63" s="1"/>
  <c r="AB157" i="44"/>
  <c r="AB205" i="44" s="1"/>
  <c r="AB229" i="44" s="1"/>
  <c r="AA111" i="63" s="1"/>
  <c r="AB103" i="40"/>
  <c r="AB13" i="44"/>
  <c r="AB177" i="44"/>
  <c r="AN70" i="30"/>
  <c r="AO66" i="30" s="1"/>
  <c r="AA24" i="37" l="1"/>
  <c r="Z23" i="54"/>
  <c r="Z23" i="63"/>
  <c r="AA244" i="44"/>
  <c r="Z45" i="67"/>
  <c r="Z239" i="63"/>
  <c r="AI142" i="43"/>
  <c r="AI190" i="43" s="1"/>
  <c r="AI138" i="43"/>
  <c r="AI186" i="43" s="1"/>
  <c r="AI133" i="43"/>
  <c r="AI181" i="43" s="1"/>
  <c r="AI143" i="43"/>
  <c r="AI191" i="43" s="1"/>
  <c r="AI141" i="43"/>
  <c r="AI189" i="43" s="1"/>
  <c r="AC14" i="36"/>
  <c r="AC37" i="40"/>
  <c r="AI155" i="43"/>
  <c r="AI203" i="43" s="1"/>
  <c r="AI154" i="43"/>
  <c r="AI202" i="43" s="1"/>
  <c r="AI167" i="43"/>
  <c r="AI215" i="43" s="1"/>
  <c r="AI157" i="43"/>
  <c r="AI205" i="43" s="1"/>
  <c r="AI161" i="43"/>
  <c r="AI209" i="43" s="1"/>
  <c r="AI151" i="43"/>
  <c r="AI158" i="43"/>
  <c r="AI206" i="43" s="1"/>
  <c r="AI165" i="43"/>
  <c r="AI213" i="43" s="1"/>
  <c r="AI163" i="43"/>
  <c r="AI211" i="43" s="1"/>
  <c r="AH15" i="43"/>
  <c r="AI152" i="43"/>
  <c r="AI200" i="43" s="1"/>
  <c r="AI160" i="43"/>
  <c r="AI208" i="43" s="1"/>
  <c r="AI159" i="43"/>
  <c r="AI207" i="43" s="1"/>
  <c r="AI156" i="43"/>
  <c r="AI204" i="43" s="1"/>
  <c r="AI162" i="43"/>
  <c r="AI210" i="43" s="1"/>
  <c r="AI164" i="43"/>
  <c r="AI212" i="43" s="1"/>
  <c r="AI153" i="43"/>
  <c r="AI201" i="43" s="1"/>
  <c r="AI166" i="43"/>
  <c r="AI214" i="43" s="1"/>
  <c r="AI168" i="43"/>
  <c r="AI216" i="43" s="1"/>
  <c r="AJ12" i="43"/>
  <c r="AJ67" i="40"/>
  <c r="AJ68" i="40" s="1"/>
  <c r="AD104" i="36"/>
  <c r="AD115" i="36"/>
  <c r="AD119" i="36"/>
  <c r="AD106" i="36"/>
  <c r="AD112" i="36"/>
  <c r="AD109" i="36"/>
  <c r="AD117" i="36"/>
  <c r="AD118" i="36"/>
  <c r="AD113" i="36"/>
  <c r="AD116" i="36"/>
  <c r="AD107" i="36"/>
  <c r="AD120" i="36"/>
  <c r="AD105" i="36"/>
  <c r="AD111" i="36"/>
  <c r="AD108" i="36"/>
  <c r="AD114" i="36"/>
  <c r="AD103" i="36"/>
  <c r="AD110" i="36"/>
  <c r="AD35" i="40"/>
  <c r="AD36" i="40" s="1"/>
  <c r="AD12" i="36"/>
  <c r="AE224" i="36" s="1"/>
  <c r="AE225" i="36" s="1"/>
  <c r="AI131" i="43"/>
  <c r="AI179" i="43" s="1"/>
  <c r="AI135" i="43"/>
  <c r="AI183" i="43" s="1"/>
  <c r="AI144" i="43"/>
  <c r="AI192" i="43" s="1"/>
  <c r="AI134" i="43"/>
  <c r="AI182" i="43" s="1"/>
  <c r="AC177" i="36"/>
  <c r="AC147" i="36"/>
  <c r="AI68" i="40"/>
  <c r="AI13" i="43"/>
  <c r="AI113" i="39"/>
  <c r="AI114" i="39" s="1"/>
  <c r="AI120" i="39" s="1"/>
  <c r="AI139" i="43"/>
  <c r="AI187" i="43" s="1"/>
  <c r="AI132" i="43"/>
  <c r="AI180" i="43" s="1"/>
  <c r="AI146" i="43"/>
  <c r="AI194" i="43" s="1"/>
  <c r="AI137" i="43"/>
  <c r="AI185" i="43" s="1"/>
  <c r="AC17" i="39"/>
  <c r="AC18" i="39" s="1"/>
  <c r="AC24" i="39" s="1"/>
  <c r="AC13" i="36"/>
  <c r="AH199" i="43"/>
  <c r="AH223" i="43" s="1"/>
  <c r="AH242" i="43" s="1"/>
  <c r="AH169" i="43"/>
  <c r="AI176" i="39"/>
  <c r="AI197" i="39" s="1"/>
  <c r="AI84" i="43" s="1"/>
  <c r="AM176" i="39"/>
  <c r="AQ176" i="39"/>
  <c r="AJ176" i="39"/>
  <c r="AN176" i="39"/>
  <c r="AR176" i="39"/>
  <c r="AP176" i="39"/>
  <c r="AK176" i="39"/>
  <c r="AO176" i="39"/>
  <c r="AL176" i="39"/>
  <c r="AI136" i="43"/>
  <c r="AI184" i="43" s="1"/>
  <c r="AI129" i="43"/>
  <c r="AI145" i="43"/>
  <c r="AI193" i="43" s="1"/>
  <c r="AI140" i="43"/>
  <c r="AI188" i="43" s="1"/>
  <c r="AI130" i="43"/>
  <c r="AI178" i="43" s="1"/>
  <c r="AC166" i="36"/>
  <c r="AC214" i="36" s="1"/>
  <c r="AC246" i="36" s="1"/>
  <c r="AC164" i="36"/>
  <c r="AC212" i="36" s="1"/>
  <c r="AC244" i="36" s="1"/>
  <c r="AC160" i="36"/>
  <c r="AC208" i="36" s="1"/>
  <c r="AC240" i="36" s="1"/>
  <c r="AC161" i="36"/>
  <c r="AC209" i="36" s="1"/>
  <c r="AC241" i="36" s="1"/>
  <c r="AC159" i="36"/>
  <c r="AC207" i="36" s="1"/>
  <c r="AC239" i="36" s="1"/>
  <c r="AC157" i="36"/>
  <c r="AC205" i="36" s="1"/>
  <c r="AC237" i="36" s="1"/>
  <c r="AC167" i="36"/>
  <c r="AC215" i="36" s="1"/>
  <c r="AC247" i="36" s="1"/>
  <c r="AC154" i="36"/>
  <c r="AC202" i="36" s="1"/>
  <c r="AC234" i="36" s="1"/>
  <c r="AC156" i="36"/>
  <c r="AC204" i="36" s="1"/>
  <c r="AC236" i="36" s="1"/>
  <c r="AC158" i="36"/>
  <c r="AC206" i="36" s="1"/>
  <c r="AC238" i="36" s="1"/>
  <c r="AC162" i="36"/>
  <c r="AC210" i="36" s="1"/>
  <c r="AC242" i="36" s="1"/>
  <c r="AC168" i="36"/>
  <c r="AC216" i="36" s="1"/>
  <c r="AC248" i="36" s="1"/>
  <c r="AC153" i="36"/>
  <c r="AC201" i="36" s="1"/>
  <c r="AC233" i="36" s="1"/>
  <c r="AB15" i="36"/>
  <c r="AC163" i="36"/>
  <c r="AC211" i="36" s="1"/>
  <c r="AC243" i="36" s="1"/>
  <c r="AC152" i="36"/>
  <c r="AC200" i="36" s="1"/>
  <c r="AC232" i="36" s="1"/>
  <c r="AC151" i="36"/>
  <c r="AC155" i="36"/>
  <c r="AC203" i="36" s="1"/>
  <c r="AC235" i="36" s="1"/>
  <c r="AC165" i="36"/>
  <c r="AC213" i="36" s="1"/>
  <c r="AC245" i="36" s="1"/>
  <c r="Z124" i="63"/>
  <c r="Z39" i="63"/>
  <c r="AC13" i="37"/>
  <c r="AC15" i="37" s="1"/>
  <c r="AC12" i="44"/>
  <c r="AU90" i="30"/>
  <c r="AU93" i="30" s="1"/>
  <c r="AD88" i="40"/>
  <c r="AD89" i="40" s="1"/>
  <c r="AD13" i="37" s="1"/>
  <c r="AD15" i="37" s="1"/>
  <c r="AT111" i="30"/>
  <c r="AT117" i="30" s="1"/>
  <c r="AJ125" i="30" s="1"/>
  <c r="AB14" i="44"/>
  <c r="AB104" i="40"/>
  <c r="AB199" i="44"/>
  <c r="AB223" i="44" s="1"/>
  <c r="AA105" i="63" s="1"/>
  <c r="AB169" i="44"/>
  <c r="AC103" i="40"/>
  <c r="AC13" i="44"/>
  <c r="AC141" i="44"/>
  <c r="AC189" i="44" s="1"/>
  <c r="AC129" i="44"/>
  <c r="AC131" i="44"/>
  <c r="AC179" i="44" s="1"/>
  <c r="AC146" i="44"/>
  <c r="AC194" i="44" s="1"/>
  <c r="AC142" i="44"/>
  <c r="AC190" i="44" s="1"/>
  <c r="AC132" i="44"/>
  <c r="AC180" i="44" s="1"/>
  <c r="AC135" i="44"/>
  <c r="AC183" i="44" s="1"/>
  <c r="AC143" i="44"/>
  <c r="AC191" i="44" s="1"/>
  <c r="AC139" i="44"/>
  <c r="AC187" i="44" s="1"/>
  <c r="AC136" i="44"/>
  <c r="AC184" i="44" s="1"/>
  <c r="AC144" i="44"/>
  <c r="AC192" i="44" s="1"/>
  <c r="AC134" i="44"/>
  <c r="AC182" i="44" s="1"/>
  <c r="AC137" i="44"/>
  <c r="AC185" i="44" s="1"/>
  <c r="AC145" i="44"/>
  <c r="AC193" i="44" s="1"/>
  <c r="AC140" i="44"/>
  <c r="AC188" i="44" s="1"/>
  <c r="AC138" i="44"/>
  <c r="AC186" i="44" s="1"/>
  <c r="AC130" i="44"/>
  <c r="AC178" i="44" s="1"/>
  <c r="AC133" i="44"/>
  <c r="AC181" i="44" s="1"/>
  <c r="AO74" i="30"/>
  <c r="AE82" i="30" s="1"/>
  <c r="AE22" i="40" s="1"/>
  <c r="AE23" i="40" s="1"/>
  <c r="AO68" i="30"/>
  <c r="AO69" i="30"/>
  <c r="AA234" i="63" l="1"/>
  <c r="AA52" i="67" s="1"/>
  <c r="AA238" i="63"/>
  <c r="AA56" i="67" s="1"/>
  <c r="AA237" i="63"/>
  <c r="AA55" i="67" s="1"/>
  <c r="AA228" i="63"/>
  <c r="AA46" i="67" s="1"/>
  <c r="AA233" i="63"/>
  <c r="AA51" i="67" s="1"/>
  <c r="AA229" i="63"/>
  <c r="AA47" i="67" s="1"/>
  <c r="AA231" i="63"/>
  <c r="AA49" i="67" s="1"/>
  <c r="AA232" i="63"/>
  <c r="AA50" i="67" s="1"/>
  <c r="AA236" i="63"/>
  <c r="AA54" i="67" s="1"/>
  <c r="AA230" i="63"/>
  <c r="AA48" i="67" s="1"/>
  <c r="AA235" i="63"/>
  <c r="AA53" i="67" s="1"/>
  <c r="AI236" i="43"/>
  <c r="AI232" i="43"/>
  <c r="AI237" i="43"/>
  <c r="AI229" i="43"/>
  <c r="AD136" i="36"/>
  <c r="AD184" i="36" s="1"/>
  <c r="AD137" i="36"/>
  <c r="AD185" i="36" s="1"/>
  <c r="AD142" i="36"/>
  <c r="AD190" i="36" s="1"/>
  <c r="AD135" i="36"/>
  <c r="AD183" i="36" s="1"/>
  <c r="AD141" i="36"/>
  <c r="AD189" i="36" s="1"/>
  <c r="AI235" i="43"/>
  <c r="AI227" i="43"/>
  <c r="AJ14" i="43"/>
  <c r="AJ69" i="40"/>
  <c r="AH244" i="43"/>
  <c r="AG22" i="37"/>
  <c r="AD37" i="40"/>
  <c r="AD14" i="36"/>
  <c r="AD129" i="36"/>
  <c r="AD131" i="36"/>
  <c r="AD179" i="36" s="1"/>
  <c r="AD139" i="36"/>
  <c r="AD187" i="36" s="1"/>
  <c r="AD138" i="36"/>
  <c r="AD186" i="36" s="1"/>
  <c r="AD130" i="36"/>
  <c r="AD178" i="36" s="1"/>
  <c r="AI240" i="43"/>
  <c r="AI234" i="43"/>
  <c r="AI224" i="43"/>
  <c r="AI230" i="43"/>
  <c r="AI239" i="43"/>
  <c r="AI14" i="43"/>
  <c r="AI69" i="40"/>
  <c r="AJ120" i="43"/>
  <c r="AJ146" i="43" s="1"/>
  <c r="AJ194" i="43" s="1"/>
  <c r="AJ107" i="43"/>
  <c r="AJ133" i="43" s="1"/>
  <c r="AJ181" i="43" s="1"/>
  <c r="AJ106" i="43"/>
  <c r="AJ132" i="43" s="1"/>
  <c r="AJ180" i="43" s="1"/>
  <c r="AJ117" i="43"/>
  <c r="AJ143" i="43" s="1"/>
  <c r="AJ191" i="43" s="1"/>
  <c r="AJ103" i="43"/>
  <c r="AJ129" i="43" s="1"/>
  <c r="AJ108" i="43"/>
  <c r="AJ134" i="43" s="1"/>
  <c r="AJ182" i="43" s="1"/>
  <c r="AJ118" i="43"/>
  <c r="AJ144" i="43" s="1"/>
  <c r="AJ192" i="43" s="1"/>
  <c r="AJ111" i="43"/>
  <c r="AJ137" i="43" s="1"/>
  <c r="AJ185" i="43" s="1"/>
  <c r="AJ112" i="43"/>
  <c r="AJ138" i="43" s="1"/>
  <c r="AJ186" i="43" s="1"/>
  <c r="AJ110" i="43"/>
  <c r="AJ136" i="43" s="1"/>
  <c r="AJ184" i="43" s="1"/>
  <c r="AJ109" i="43"/>
  <c r="AJ135" i="43" s="1"/>
  <c r="AJ183" i="43" s="1"/>
  <c r="AJ119" i="43"/>
  <c r="AJ145" i="43" s="1"/>
  <c r="AJ193" i="43" s="1"/>
  <c r="AJ104" i="43"/>
  <c r="AJ130" i="43" s="1"/>
  <c r="AJ178" i="43" s="1"/>
  <c r="AJ105" i="43"/>
  <c r="AJ131" i="43" s="1"/>
  <c r="AJ179" i="43" s="1"/>
  <c r="AJ114" i="43"/>
  <c r="AJ140" i="43" s="1"/>
  <c r="AJ188" i="43" s="1"/>
  <c r="AJ116" i="43"/>
  <c r="AJ142" i="43" s="1"/>
  <c r="AJ190" i="43" s="1"/>
  <c r="AJ115" i="43"/>
  <c r="AJ141" i="43" s="1"/>
  <c r="AJ189" i="43" s="1"/>
  <c r="AJ113" i="43"/>
  <c r="AJ139" i="43" s="1"/>
  <c r="AJ187" i="43" s="1"/>
  <c r="AK177" i="39"/>
  <c r="AO177" i="39"/>
  <c r="AS177" i="39"/>
  <c r="AJ177" i="39"/>
  <c r="AJ197" i="39" s="1"/>
  <c r="AJ84" i="43" s="1"/>
  <c r="AR177" i="39"/>
  <c r="AL177" i="39"/>
  <c r="AP177" i="39"/>
  <c r="AN177" i="39"/>
  <c r="AM177" i="39"/>
  <c r="AQ177" i="39"/>
  <c r="AD140" i="36"/>
  <c r="AD188" i="36" s="1"/>
  <c r="AD146" i="36"/>
  <c r="AD194" i="36" s="1"/>
  <c r="AD144" i="36"/>
  <c r="AD192" i="36" s="1"/>
  <c r="AD132" i="36"/>
  <c r="AD180" i="36" s="1"/>
  <c r="AI238" i="43"/>
  <c r="AI228" i="43"/>
  <c r="AI199" i="43"/>
  <c r="AI169" i="43"/>
  <c r="AI226" i="43"/>
  <c r="AE14" i="37"/>
  <c r="AE34" i="40"/>
  <c r="AC199" i="36"/>
  <c r="AC231" i="36" s="1"/>
  <c r="AC169" i="36"/>
  <c r="AI147" i="43"/>
  <c r="AI177" i="43"/>
  <c r="AF75" i="39"/>
  <c r="AJ75" i="39"/>
  <c r="AD75" i="39"/>
  <c r="AD101" i="39" s="1"/>
  <c r="AD84" i="36" s="1"/>
  <c r="AL75" i="39"/>
  <c r="AE75" i="39"/>
  <c r="AM75" i="39"/>
  <c r="AG75" i="39"/>
  <c r="AK75" i="39"/>
  <c r="AH75" i="39"/>
  <c r="AI75" i="39"/>
  <c r="AD13" i="36"/>
  <c r="AD17" i="39"/>
  <c r="AD18" i="39" s="1"/>
  <c r="AD24" i="39" s="1"/>
  <c r="AD134" i="36"/>
  <c r="AD182" i="36" s="1"/>
  <c r="AD133" i="36"/>
  <c r="AD181" i="36" s="1"/>
  <c r="AD143" i="36"/>
  <c r="AD191" i="36" s="1"/>
  <c r="AD145" i="36"/>
  <c r="AD193" i="36" s="1"/>
  <c r="AJ113" i="39"/>
  <c r="AJ114" i="39" s="1"/>
  <c r="AJ120" i="39" s="1"/>
  <c r="AJ13" i="43"/>
  <c r="AI225" i="43"/>
  <c r="AI231" i="43"/>
  <c r="AI233" i="43"/>
  <c r="AD155" i="36"/>
  <c r="AD203" i="36" s="1"/>
  <c r="AD158" i="36"/>
  <c r="AD206" i="36" s="1"/>
  <c r="AD161" i="36"/>
  <c r="AD209" i="36" s="1"/>
  <c r="AD167" i="36"/>
  <c r="AD215" i="36" s="1"/>
  <c r="AD162" i="36"/>
  <c r="AD210" i="36" s="1"/>
  <c r="AD166" i="36"/>
  <c r="AD214" i="36" s="1"/>
  <c r="AD165" i="36"/>
  <c r="AD213" i="36" s="1"/>
  <c r="AD164" i="36"/>
  <c r="AD212" i="36" s="1"/>
  <c r="AD163" i="36"/>
  <c r="AD211" i="36" s="1"/>
  <c r="AD152" i="36"/>
  <c r="AD200" i="36" s="1"/>
  <c r="AD168" i="36"/>
  <c r="AD216" i="36" s="1"/>
  <c r="AD159" i="36"/>
  <c r="AD207" i="36" s="1"/>
  <c r="AD156" i="36"/>
  <c r="AD204" i="36" s="1"/>
  <c r="AD160" i="36"/>
  <c r="AD208" i="36" s="1"/>
  <c r="AC15" i="36"/>
  <c r="AD154" i="36"/>
  <c r="AD202" i="36" s="1"/>
  <c r="AD151" i="36"/>
  <c r="AD153" i="36"/>
  <c r="AD201" i="36" s="1"/>
  <c r="AD157" i="36"/>
  <c r="AD205" i="36" s="1"/>
  <c r="AU96" i="30"/>
  <c r="AU92" i="30"/>
  <c r="AU94" i="30" s="1"/>
  <c r="AV90" i="30" s="1"/>
  <c r="AV93" i="30" s="1"/>
  <c r="AT113" i="30"/>
  <c r="AT115" i="30" s="1"/>
  <c r="AD101" i="40"/>
  <c r="AE88" i="40"/>
  <c r="AE89" i="40" s="1"/>
  <c r="AE13" i="37" s="1"/>
  <c r="AT114" i="30"/>
  <c r="AB242" i="44"/>
  <c r="AC14" i="44"/>
  <c r="AC104" i="40"/>
  <c r="AC177" i="44"/>
  <c r="AD142" i="44"/>
  <c r="AD190" i="44" s="1"/>
  <c r="AD144" i="44"/>
  <c r="AD192" i="44" s="1"/>
  <c r="AD143" i="44"/>
  <c r="AD191" i="44" s="1"/>
  <c r="AD133" i="44"/>
  <c r="AD181" i="44" s="1"/>
  <c r="AD145" i="44"/>
  <c r="AD193" i="44" s="1"/>
  <c r="AD136" i="44"/>
  <c r="AD184" i="44" s="1"/>
  <c r="AD138" i="44"/>
  <c r="AD186" i="44" s="1"/>
  <c r="AD137" i="44"/>
  <c r="AD185" i="44" s="1"/>
  <c r="AD132" i="44"/>
  <c r="AD180" i="44" s="1"/>
  <c r="AD130" i="44"/>
  <c r="AD178" i="44" s="1"/>
  <c r="AD140" i="44"/>
  <c r="AD188" i="44" s="1"/>
  <c r="AD129" i="44"/>
  <c r="AD134" i="44"/>
  <c r="AD182" i="44" s="1"/>
  <c r="AD139" i="44"/>
  <c r="AD187" i="44" s="1"/>
  <c r="AD135" i="44"/>
  <c r="AD183" i="44" s="1"/>
  <c r="AD146" i="44"/>
  <c r="AD194" i="44" s="1"/>
  <c r="AD131" i="44"/>
  <c r="AD179" i="44" s="1"/>
  <c r="AD141" i="44"/>
  <c r="AD189" i="44" s="1"/>
  <c r="AC162" i="44"/>
  <c r="AC210" i="44" s="1"/>
  <c r="AC234" i="44" s="1"/>
  <c r="AB116" i="63" s="1"/>
  <c r="AC152" i="44"/>
  <c r="AC200" i="44" s="1"/>
  <c r="AC224" i="44" s="1"/>
  <c r="AB106" i="63" s="1"/>
  <c r="AC156" i="44"/>
  <c r="AC204" i="44" s="1"/>
  <c r="AC228" i="44" s="1"/>
  <c r="AB110" i="63" s="1"/>
  <c r="AC161" i="44"/>
  <c r="AC209" i="44" s="1"/>
  <c r="AC233" i="44" s="1"/>
  <c r="AB115" i="63" s="1"/>
  <c r="AC160" i="44"/>
  <c r="AC208" i="44" s="1"/>
  <c r="AC232" i="44" s="1"/>
  <c r="AB114" i="63" s="1"/>
  <c r="AC165" i="44"/>
  <c r="AC213" i="44" s="1"/>
  <c r="AC237" i="44" s="1"/>
  <c r="AB119" i="63" s="1"/>
  <c r="AB15" i="44"/>
  <c r="AC167" i="44"/>
  <c r="AC215" i="44" s="1"/>
  <c r="AC239" i="44" s="1"/>
  <c r="AB121" i="63" s="1"/>
  <c r="AC151" i="44"/>
  <c r="AC168" i="44"/>
  <c r="AC216" i="44" s="1"/>
  <c r="AC240" i="44" s="1"/>
  <c r="AB122" i="63" s="1"/>
  <c r="AC153" i="44"/>
  <c r="AC201" i="44" s="1"/>
  <c r="AC225" i="44" s="1"/>
  <c r="AB107" i="63" s="1"/>
  <c r="AC159" i="44"/>
  <c r="AC207" i="44" s="1"/>
  <c r="AC231" i="44" s="1"/>
  <c r="AB113" i="63" s="1"/>
  <c r="AC154" i="44"/>
  <c r="AC202" i="44" s="1"/>
  <c r="AC226" i="44" s="1"/>
  <c r="AB108" i="63" s="1"/>
  <c r="AC155" i="44"/>
  <c r="AC203" i="44" s="1"/>
  <c r="AC227" i="44" s="1"/>
  <c r="AB109" i="63" s="1"/>
  <c r="AC166" i="44"/>
  <c r="AC214" i="44" s="1"/>
  <c r="AC238" i="44" s="1"/>
  <c r="AB120" i="63" s="1"/>
  <c r="AC157" i="44"/>
  <c r="AC205" i="44" s="1"/>
  <c r="AC229" i="44" s="1"/>
  <c r="AB111" i="63" s="1"/>
  <c r="AC163" i="44"/>
  <c r="AC211" i="44" s="1"/>
  <c r="AC235" i="44" s="1"/>
  <c r="AB117" i="63" s="1"/>
  <c r="AC164" i="44"/>
  <c r="AC212" i="44" s="1"/>
  <c r="AC236" i="44" s="1"/>
  <c r="AB118" i="63" s="1"/>
  <c r="AC158" i="44"/>
  <c r="AC206" i="44" s="1"/>
  <c r="AC230" i="44" s="1"/>
  <c r="AB112" i="63" s="1"/>
  <c r="AO70" i="30"/>
  <c r="AC250" i="36" l="1"/>
  <c r="AB24" i="37" s="1"/>
  <c r="AA227" i="63"/>
  <c r="AI223" i="43"/>
  <c r="AI242" i="43" s="1"/>
  <c r="AD244" i="36"/>
  <c r="AD237" i="36"/>
  <c r="AD243" i="36"/>
  <c r="AE15" i="37"/>
  <c r="AD239" i="36"/>
  <c r="AD238" i="36"/>
  <c r="AD248" i="36"/>
  <c r="AD235" i="36"/>
  <c r="AD240" i="36"/>
  <c r="AK106" i="43"/>
  <c r="AK132" i="43" s="1"/>
  <c r="AK180" i="43" s="1"/>
  <c r="AK112" i="43"/>
  <c r="AK138" i="43" s="1"/>
  <c r="AK186" i="43" s="1"/>
  <c r="AK109" i="43"/>
  <c r="AK135" i="43" s="1"/>
  <c r="AK183" i="43" s="1"/>
  <c r="AK110" i="43"/>
  <c r="AK136" i="43" s="1"/>
  <c r="AK184" i="43" s="1"/>
  <c r="AK117" i="43"/>
  <c r="AK143" i="43" s="1"/>
  <c r="AK191" i="43" s="1"/>
  <c r="AK114" i="43"/>
  <c r="AK140" i="43" s="1"/>
  <c r="AK188" i="43" s="1"/>
  <c r="AK107" i="43"/>
  <c r="AK133" i="43" s="1"/>
  <c r="AK181" i="43" s="1"/>
  <c r="AK103" i="43"/>
  <c r="AK129" i="43" s="1"/>
  <c r="AK104" i="43"/>
  <c r="AK130" i="43" s="1"/>
  <c r="AK178" i="43" s="1"/>
  <c r="AK113" i="43"/>
  <c r="AK139" i="43" s="1"/>
  <c r="AK187" i="43" s="1"/>
  <c r="AK105" i="43"/>
  <c r="AK131" i="43" s="1"/>
  <c r="AK179" i="43" s="1"/>
  <c r="AK120" i="43"/>
  <c r="AK146" i="43" s="1"/>
  <c r="AK194" i="43" s="1"/>
  <c r="AK119" i="43"/>
  <c r="AK145" i="43" s="1"/>
  <c r="AK193" i="43" s="1"/>
  <c r="AK108" i="43"/>
  <c r="AK134" i="43" s="1"/>
  <c r="AK182" i="43" s="1"/>
  <c r="AK116" i="43"/>
  <c r="AK142" i="43" s="1"/>
  <c r="AK190" i="43" s="1"/>
  <c r="AK118" i="43"/>
  <c r="AK144" i="43" s="1"/>
  <c r="AK192" i="43" s="1"/>
  <c r="AK111" i="43"/>
  <c r="AK137" i="43" s="1"/>
  <c r="AK185" i="43" s="1"/>
  <c r="AK115" i="43"/>
  <c r="AK141" i="43" s="1"/>
  <c r="AK189" i="43" s="1"/>
  <c r="AE152" i="36"/>
  <c r="AE200" i="36" s="1"/>
  <c r="AE165" i="36"/>
  <c r="AE213" i="36" s="1"/>
  <c r="AE164" i="36"/>
  <c r="AE212" i="36" s="1"/>
  <c r="AE159" i="36"/>
  <c r="AE207" i="36" s="1"/>
  <c r="AE162" i="36"/>
  <c r="AE210" i="36" s="1"/>
  <c r="AE153" i="36"/>
  <c r="AE201" i="36" s="1"/>
  <c r="AE157" i="36"/>
  <c r="AE205" i="36" s="1"/>
  <c r="AE155" i="36"/>
  <c r="AE203" i="36" s="1"/>
  <c r="AE161" i="36"/>
  <c r="AE209" i="36" s="1"/>
  <c r="AE167" i="36"/>
  <c r="AE215" i="36" s="1"/>
  <c r="AE151" i="36"/>
  <c r="AD15" i="36"/>
  <c r="AE160" i="36"/>
  <c r="AE208" i="36" s="1"/>
  <c r="AE166" i="36"/>
  <c r="AE214" i="36" s="1"/>
  <c r="AE163" i="36"/>
  <c r="AE211" i="36" s="1"/>
  <c r="AE154" i="36"/>
  <c r="AE202" i="36" s="1"/>
  <c r="AE156" i="36"/>
  <c r="AE204" i="36" s="1"/>
  <c r="AE168" i="36"/>
  <c r="AE216" i="36" s="1"/>
  <c r="AE158" i="36"/>
  <c r="AE206" i="36" s="1"/>
  <c r="AK178" i="39"/>
  <c r="AK197" i="39" s="1"/>
  <c r="AK84" i="43" s="1"/>
  <c r="AO178" i="39"/>
  <c r="AS178" i="39"/>
  <c r="AN178" i="39"/>
  <c r="AL178" i="39"/>
  <c r="AP178" i="39"/>
  <c r="AT178" i="39"/>
  <c r="AR178" i="39"/>
  <c r="AM178" i="39"/>
  <c r="AQ178" i="39"/>
  <c r="AD236" i="36"/>
  <c r="AD242" i="36"/>
  <c r="AJ155" i="43"/>
  <c r="AJ203" i="43" s="1"/>
  <c r="AJ227" i="43" s="1"/>
  <c r="AJ164" i="43"/>
  <c r="AJ212" i="43" s="1"/>
  <c r="AJ236" i="43" s="1"/>
  <c r="AJ157" i="43"/>
  <c r="AJ205" i="43" s="1"/>
  <c r="AJ229" i="43" s="1"/>
  <c r="AJ166" i="43"/>
  <c r="AJ214" i="43" s="1"/>
  <c r="AJ238" i="43" s="1"/>
  <c r="AJ153" i="43"/>
  <c r="AJ201" i="43" s="1"/>
  <c r="AJ225" i="43" s="1"/>
  <c r="AJ151" i="43"/>
  <c r="AJ156" i="43"/>
  <c r="AJ204" i="43" s="1"/>
  <c r="AJ228" i="43" s="1"/>
  <c r="AJ165" i="43"/>
  <c r="AJ213" i="43" s="1"/>
  <c r="AJ237" i="43" s="1"/>
  <c r="AJ167" i="43"/>
  <c r="AJ215" i="43" s="1"/>
  <c r="AJ239" i="43" s="1"/>
  <c r="AJ162" i="43"/>
  <c r="AJ210" i="43" s="1"/>
  <c r="AJ234" i="43" s="1"/>
  <c r="AJ154" i="43"/>
  <c r="AJ202" i="43" s="1"/>
  <c r="AJ226" i="43" s="1"/>
  <c r="AI15" i="43"/>
  <c r="AJ161" i="43"/>
  <c r="AJ209" i="43" s="1"/>
  <c r="AJ233" i="43" s="1"/>
  <c r="AJ160" i="43"/>
  <c r="AJ208" i="43" s="1"/>
  <c r="AJ232" i="43" s="1"/>
  <c r="AJ168" i="43"/>
  <c r="AJ216" i="43" s="1"/>
  <c r="AJ240" i="43" s="1"/>
  <c r="AJ159" i="43"/>
  <c r="AJ207" i="43" s="1"/>
  <c r="AJ231" i="43" s="1"/>
  <c r="AJ158" i="43"/>
  <c r="AJ206" i="43" s="1"/>
  <c r="AJ230" i="43" s="1"/>
  <c r="AJ152" i="43"/>
  <c r="AJ200" i="43" s="1"/>
  <c r="AJ224" i="43" s="1"/>
  <c r="AJ163" i="43"/>
  <c r="AJ211" i="43" s="1"/>
  <c r="AJ235" i="43" s="1"/>
  <c r="AD241" i="36"/>
  <c r="AJ177" i="43"/>
  <c r="AJ147" i="43"/>
  <c r="AK103" i="30"/>
  <c r="AK54" i="40" s="1"/>
  <c r="AK55" i="40" s="1"/>
  <c r="AD247" i="36"/>
  <c r="AG76" i="39"/>
  <c r="AK76" i="39"/>
  <c r="AF76" i="39"/>
  <c r="AJ76" i="39"/>
  <c r="AH76" i="39"/>
  <c r="AL76" i="39"/>
  <c r="AN76" i="39"/>
  <c r="AE76" i="39"/>
  <c r="AE101" i="39" s="1"/>
  <c r="AE84" i="36" s="1"/>
  <c r="AI76" i="39"/>
  <c r="AM76" i="39"/>
  <c r="AE115" i="36"/>
  <c r="AE141" i="36" s="1"/>
  <c r="AE189" i="36" s="1"/>
  <c r="AE104" i="36"/>
  <c r="AE130" i="36" s="1"/>
  <c r="AE178" i="36" s="1"/>
  <c r="AE111" i="36"/>
  <c r="AE137" i="36" s="1"/>
  <c r="AE185" i="36" s="1"/>
  <c r="AE119" i="36"/>
  <c r="AE145" i="36" s="1"/>
  <c r="AE193" i="36" s="1"/>
  <c r="AE109" i="36"/>
  <c r="AE135" i="36" s="1"/>
  <c r="AE183" i="36" s="1"/>
  <c r="AE114" i="36"/>
  <c r="AE140" i="36" s="1"/>
  <c r="AE188" i="36" s="1"/>
  <c r="AE116" i="36"/>
  <c r="AE142" i="36" s="1"/>
  <c r="AE190" i="36" s="1"/>
  <c r="AE120" i="36"/>
  <c r="AE146" i="36" s="1"/>
  <c r="AE194" i="36" s="1"/>
  <c r="AE118" i="36"/>
  <c r="AE144" i="36" s="1"/>
  <c r="AE192" i="36" s="1"/>
  <c r="AE106" i="36"/>
  <c r="AE132" i="36" s="1"/>
  <c r="AE180" i="36" s="1"/>
  <c r="AE112" i="36"/>
  <c r="AE138" i="36" s="1"/>
  <c r="AE186" i="36" s="1"/>
  <c r="AE105" i="36"/>
  <c r="AE131" i="36" s="1"/>
  <c r="AE179" i="36" s="1"/>
  <c r="AE110" i="36"/>
  <c r="AE136" i="36" s="1"/>
  <c r="AE184" i="36" s="1"/>
  <c r="AE107" i="36"/>
  <c r="AE133" i="36" s="1"/>
  <c r="AE181" i="36" s="1"/>
  <c r="AE103" i="36"/>
  <c r="AE129" i="36" s="1"/>
  <c r="AE108" i="36"/>
  <c r="AE134" i="36" s="1"/>
  <c r="AE182" i="36" s="1"/>
  <c r="AE117" i="36"/>
  <c r="AE143" i="36" s="1"/>
  <c r="AE191" i="36" s="1"/>
  <c r="AE113" i="36"/>
  <c r="AE139" i="36" s="1"/>
  <c r="AE187" i="36" s="1"/>
  <c r="AD234" i="36"/>
  <c r="AD233" i="36"/>
  <c r="AD169" i="36"/>
  <c r="AD199" i="36"/>
  <c r="AC252" i="36"/>
  <c r="AD245" i="36"/>
  <c r="AE35" i="40"/>
  <c r="AE12" i="36"/>
  <c r="AF224" i="36" s="1"/>
  <c r="AF225" i="36" s="1"/>
  <c r="AD246" i="36"/>
  <c r="AD232" i="36"/>
  <c r="AD177" i="36"/>
  <c r="AD147" i="36"/>
  <c r="AK161" i="43"/>
  <c r="AK209" i="43" s="1"/>
  <c r="AK167" i="43"/>
  <c r="AK215" i="43" s="1"/>
  <c r="AK163" i="43"/>
  <c r="AK211" i="43" s="1"/>
  <c r="AK158" i="43"/>
  <c r="AK206" i="43" s="1"/>
  <c r="AK156" i="43"/>
  <c r="AK204" i="43" s="1"/>
  <c r="AK159" i="43"/>
  <c r="AK207" i="43" s="1"/>
  <c r="AK152" i="43"/>
  <c r="AK200" i="43" s="1"/>
  <c r="AK160" i="43"/>
  <c r="AK208" i="43" s="1"/>
  <c r="AK166" i="43"/>
  <c r="AK214" i="43" s="1"/>
  <c r="AK157" i="43"/>
  <c r="AK205" i="43" s="1"/>
  <c r="AK151" i="43"/>
  <c r="AK165" i="43"/>
  <c r="AK213" i="43" s="1"/>
  <c r="AK154" i="43"/>
  <c r="AK202" i="43" s="1"/>
  <c r="AK155" i="43"/>
  <c r="AK203" i="43" s="1"/>
  <c r="AK164" i="43"/>
  <c r="AK212" i="43" s="1"/>
  <c r="AK168" i="43"/>
  <c r="AK216" i="43" s="1"/>
  <c r="AJ15" i="43"/>
  <c r="AK162" i="43"/>
  <c r="AK210" i="43" s="1"/>
  <c r="AK153" i="43"/>
  <c r="AK201" i="43" s="1"/>
  <c r="AA123" i="63"/>
  <c r="AA23" i="37"/>
  <c r="AA25" i="37" s="1"/>
  <c r="AA27" i="37" s="1"/>
  <c r="AA23" i="63"/>
  <c r="AU111" i="30"/>
  <c r="AU113" i="30" s="1"/>
  <c r="AU115" i="30" s="1"/>
  <c r="AE101" i="40"/>
  <c r="AE12" i="44" s="1"/>
  <c r="AV96" i="30"/>
  <c r="AD102" i="40"/>
  <c r="AD12" i="44"/>
  <c r="AV92" i="30"/>
  <c r="AV94" i="30" s="1"/>
  <c r="AW90" i="30" s="1"/>
  <c r="AB244" i="44"/>
  <c r="AA23" i="54"/>
  <c r="AD177" i="44"/>
  <c r="AD161" i="44"/>
  <c r="AD209" i="44" s="1"/>
  <c r="AD233" i="44" s="1"/>
  <c r="AD162" i="44"/>
  <c r="AD210" i="44" s="1"/>
  <c r="AD234" i="44" s="1"/>
  <c r="AD157" i="44"/>
  <c r="AD205" i="44" s="1"/>
  <c r="AD229" i="44" s="1"/>
  <c r="AD153" i="44"/>
  <c r="AD201" i="44" s="1"/>
  <c r="AD225" i="44" s="1"/>
  <c r="AD154" i="44"/>
  <c r="AD202" i="44" s="1"/>
  <c r="AD226" i="44" s="1"/>
  <c r="AD159" i="44"/>
  <c r="AD207" i="44" s="1"/>
  <c r="AD231" i="44" s="1"/>
  <c r="AD163" i="44"/>
  <c r="AD211" i="44" s="1"/>
  <c r="AD235" i="44" s="1"/>
  <c r="AD164" i="44"/>
  <c r="AD212" i="44" s="1"/>
  <c r="AD236" i="44" s="1"/>
  <c r="AD151" i="44"/>
  <c r="AD160" i="44"/>
  <c r="AD208" i="44" s="1"/>
  <c r="AD232" i="44" s="1"/>
  <c r="AD156" i="44"/>
  <c r="AD204" i="44" s="1"/>
  <c r="AD228" i="44" s="1"/>
  <c r="AD165" i="44"/>
  <c r="AD213" i="44" s="1"/>
  <c r="AD237" i="44" s="1"/>
  <c r="AC15" i="44"/>
  <c r="AD167" i="44"/>
  <c r="AD215" i="44" s="1"/>
  <c r="AD239" i="44" s="1"/>
  <c r="AD168" i="44"/>
  <c r="AD216" i="44" s="1"/>
  <c r="AD240" i="44" s="1"/>
  <c r="AD166" i="44"/>
  <c r="AD214" i="44" s="1"/>
  <c r="AD238" i="44" s="1"/>
  <c r="AD155" i="44"/>
  <c r="AD203" i="44" s="1"/>
  <c r="AD227" i="44" s="1"/>
  <c r="AD158" i="44"/>
  <c r="AD206" i="44" s="1"/>
  <c r="AD230" i="44" s="1"/>
  <c r="AD152" i="44"/>
  <c r="AD200" i="44" s="1"/>
  <c r="AD224" i="44" s="1"/>
  <c r="AC199" i="44"/>
  <c r="AC223" i="44" s="1"/>
  <c r="AB105" i="63" s="1"/>
  <c r="AC169" i="44"/>
  <c r="AP66" i="30"/>
  <c r="AP69" i="30" s="1"/>
  <c r="AC120" i="63" l="1"/>
  <c r="AC107" i="63"/>
  <c r="AC109" i="63"/>
  <c r="AC108" i="63"/>
  <c r="AC122" i="63"/>
  <c r="AC117" i="63"/>
  <c r="AC121" i="63"/>
  <c r="AC115" i="63"/>
  <c r="AC116" i="63"/>
  <c r="AC112" i="63"/>
  <c r="AC111" i="63"/>
  <c r="AC106" i="63"/>
  <c r="AC119" i="63"/>
  <c r="AC110" i="63"/>
  <c r="AC114" i="63"/>
  <c r="AC113" i="63"/>
  <c r="AC118" i="63"/>
  <c r="AB235" i="63"/>
  <c r="AB53" i="67" s="1"/>
  <c r="AA45" i="67"/>
  <c r="AA239" i="63"/>
  <c r="AB237" i="63"/>
  <c r="AB55" i="67" s="1"/>
  <c r="AB233" i="63"/>
  <c r="AB51" i="67" s="1"/>
  <c r="AB236" i="63"/>
  <c r="AB54" i="67" s="1"/>
  <c r="AB231" i="63"/>
  <c r="AB49" i="67" s="1"/>
  <c r="AB234" i="63"/>
  <c r="AB52" i="67" s="1"/>
  <c r="AB230" i="63"/>
  <c r="AB48" i="67" s="1"/>
  <c r="AB229" i="63"/>
  <c r="AB47" i="67" s="1"/>
  <c r="AB228" i="63"/>
  <c r="AB46" i="67" s="1"/>
  <c r="AB232" i="63"/>
  <c r="AB50" i="67" s="1"/>
  <c r="AB238" i="63"/>
  <c r="AB56" i="67" s="1"/>
  <c r="AK237" i="43"/>
  <c r="AK231" i="43"/>
  <c r="AK239" i="43"/>
  <c r="AK232" i="43"/>
  <c r="AK235" i="43"/>
  <c r="AK226" i="43"/>
  <c r="AK225" i="43"/>
  <c r="AK234" i="43"/>
  <c r="AK227" i="43"/>
  <c r="AK229" i="43"/>
  <c r="AK238" i="43"/>
  <c r="AK228" i="43"/>
  <c r="AK233" i="43"/>
  <c r="AE248" i="36"/>
  <c r="AE247" i="36"/>
  <c r="AE233" i="36"/>
  <c r="AE240" i="36"/>
  <c r="AL103" i="30"/>
  <c r="AL54" i="40" s="1"/>
  <c r="AL55" i="40" s="1"/>
  <c r="AK177" i="43"/>
  <c r="AK147" i="43"/>
  <c r="AK240" i="43"/>
  <c r="AK230" i="43"/>
  <c r="AK66" i="40"/>
  <c r="AK12" i="37"/>
  <c r="AE236" i="36"/>
  <c r="AE241" i="36"/>
  <c r="AE242" i="36"/>
  <c r="AE232" i="36"/>
  <c r="AF117" i="36"/>
  <c r="AF111" i="36"/>
  <c r="AF110" i="36"/>
  <c r="AF108" i="36"/>
  <c r="AF113" i="36"/>
  <c r="AF120" i="36"/>
  <c r="AF118" i="36"/>
  <c r="AF106" i="36"/>
  <c r="AF107" i="36"/>
  <c r="AF114" i="36"/>
  <c r="AF116" i="36"/>
  <c r="AF103" i="36"/>
  <c r="AF112" i="36"/>
  <c r="AF119" i="36"/>
  <c r="AF109" i="36"/>
  <c r="AF105" i="36"/>
  <c r="AF115" i="36"/>
  <c r="AF104" i="36"/>
  <c r="AJ199" i="43"/>
  <c r="AJ223" i="43" s="1"/>
  <c r="AJ242" i="43" s="1"/>
  <c r="AJ169" i="43"/>
  <c r="AK236" i="43"/>
  <c r="AK199" i="43"/>
  <c r="AK169" i="43"/>
  <c r="AK224" i="43"/>
  <c r="AE36" i="40"/>
  <c r="AE13" i="36"/>
  <c r="AE17" i="39"/>
  <c r="AE18" i="39" s="1"/>
  <c r="AE24" i="39" s="1"/>
  <c r="AL117" i="43"/>
  <c r="AL111" i="43"/>
  <c r="AL120" i="43"/>
  <c r="AL113" i="43"/>
  <c r="AL112" i="43"/>
  <c r="AL114" i="43"/>
  <c r="AL116" i="43"/>
  <c r="AL109" i="43"/>
  <c r="AL104" i="43"/>
  <c r="AL105" i="43"/>
  <c r="AL118" i="43"/>
  <c r="AL106" i="43"/>
  <c r="AL110" i="43"/>
  <c r="AL119" i="43"/>
  <c r="AL107" i="43"/>
  <c r="AL103" i="43"/>
  <c r="AL108" i="43"/>
  <c r="AL115" i="43"/>
  <c r="AE234" i="36"/>
  <c r="AE235" i="36"/>
  <c r="AE239" i="36"/>
  <c r="AE246" i="36"/>
  <c r="AE245" i="36"/>
  <c r="AE177" i="36"/>
  <c r="AE147" i="36"/>
  <c r="AD231" i="36"/>
  <c r="AH22" i="37"/>
  <c r="AI244" i="43"/>
  <c r="AE238" i="36"/>
  <c r="AE243" i="36"/>
  <c r="AE169" i="36"/>
  <c r="AE199" i="36"/>
  <c r="AE237" i="36"/>
  <c r="AE244" i="36"/>
  <c r="AU114" i="30"/>
  <c r="AV111" i="30" s="1"/>
  <c r="AV117" i="30" s="1"/>
  <c r="AL125" i="30" s="1"/>
  <c r="AU117" i="30"/>
  <c r="AK125" i="30" s="1"/>
  <c r="AA39" i="63"/>
  <c r="AA124" i="63"/>
  <c r="AE102" i="40"/>
  <c r="AE13" i="44" s="1"/>
  <c r="AF88" i="40"/>
  <c r="AF89" i="40" s="1"/>
  <c r="AF13" i="37" s="1"/>
  <c r="AD13" i="44"/>
  <c r="AD103" i="40"/>
  <c r="AW93" i="30"/>
  <c r="AW96" i="30"/>
  <c r="AW92" i="30"/>
  <c r="AW94" i="30" s="1"/>
  <c r="AC242" i="44"/>
  <c r="AD199" i="44"/>
  <c r="AD223" i="44" s="1"/>
  <c r="AD169" i="44"/>
  <c r="AP74" i="30"/>
  <c r="AF82" i="30" s="1"/>
  <c r="AF22" i="40" s="1"/>
  <c r="AF23" i="40" s="1"/>
  <c r="AP68" i="30"/>
  <c r="AP70" i="30" s="1"/>
  <c r="AD250" i="36" l="1"/>
  <c r="AC24" i="37" s="1"/>
  <c r="AC105" i="63"/>
  <c r="AC235" i="63"/>
  <c r="AC53" i="67" s="1"/>
  <c r="AC237" i="63"/>
  <c r="AC55" i="67" s="1"/>
  <c r="AC234" i="63"/>
  <c r="AC52" i="67" s="1"/>
  <c r="AC238" i="63"/>
  <c r="AC56" i="67" s="1"/>
  <c r="AC236" i="63"/>
  <c r="AC54" i="67" s="1"/>
  <c r="AC229" i="63"/>
  <c r="AC47" i="67" s="1"/>
  <c r="AB227" i="63"/>
  <c r="AC233" i="63"/>
  <c r="AC51" i="67" s="1"/>
  <c r="AC230" i="63"/>
  <c r="AC48" i="67" s="1"/>
  <c r="AC232" i="63"/>
  <c r="AC50" i="67" s="1"/>
  <c r="AC231" i="63"/>
  <c r="AC49" i="67" s="1"/>
  <c r="AC228" i="63"/>
  <c r="AC46" i="67" s="1"/>
  <c r="AE231" i="36"/>
  <c r="AK223" i="43"/>
  <c r="AK242" i="43" s="1"/>
  <c r="AV114" i="30"/>
  <c r="AL66" i="40"/>
  <c r="AL12" i="37"/>
  <c r="AK12" i="43"/>
  <c r="AK67" i="40"/>
  <c r="AM103" i="30"/>
  <c r="AM54" i="40" s="1"/>
  <c r="AM55" i="40" s="1"/>
  <c r="AE14" i="36"/>
  <c r="AE37" i="40"/>
  <c r="AF129" i="36"/>
  <c r="AF133" i="36"/>
  <c r="AF181" i="36" s="1"/>
  <c r="AF132" i="36"/>
  <c r="AF180" i="36" s="1"/>
  <c r="AF130" i="36"/>
  <c r="AF178" i="36" s="1"/>
  <c r="AF144" i="36"/>
  <c r="AF192" i="36" s="1"/>
  <c r="AF145" i="36"/>
  <c r="AF193" i="36" s="1"/>
  <c r="AF141" i="36"/>
  <c r="AF189" i="36" s="1"/>
  <c r="AF146" i="36"/>
  <c r="AF194" i="36" s="1"/>
  <c r="AF135" i="36"/>
  <c r="AF183" i="36" s="1"/>
  <c r="AF134" i="36"/>
  <c r="AF182" i="36" s="1"/>
  <c r="AF131" i="36"/>
  <c r="AF179" i="36" s="1"/>
  <c r="AF140" i="36"/>
  <c r="AF188" i="36" s="1"/>
  <c r="AF143" i="36"/>
  <c r="AF191" i="36" s="1"/>
  <c r="AF139" i="36"/>
  <c r="AF187" i="36" s="1"/>
  <c r="AF136" i="36"/>
  <c r="AF184" i="36" s="1"/>
  <c r="AF142" i="36"/>
  <c r="AF190" i="36" s="1"/>
  <c r="AF138" i="36"/>
  <c r="AF186" i="36" s="1"/>
  <c r="AF137" i="36"/>
  <c r="AF185" i="36" s="1"/>
  <c r="AV113" i="30"/>
  <c r="AV115" i="30" s="1"/>
  <c r="AF14" i="37"/>
  <c r="AF15" i="37" s="1"/>
  <c r="AF34" i="40"/>
  <c r="AH77" i="39"/>
  <c r="AK77" i="39"/>
  <c r="AO77" i="39"/>
  <c r="AF77" i="39"/>
  <c r="AF101" i="39" s="1"/>
  <c r="AF84" i="36" s="1"/>
  <c r="AG77" i="39"/>
  <c r="AL77" i="39"/>
  <c r="AJ77" i="39"/>
  <c r="AI77" i="39"/>
  <c r="AM77" i="39"/>
  <c r="AN77" i="39"/>
  <c r="AI22" i="37"/>
  <c r="AJ244" i="43"/>
  <c r="AE103" i="40"/>
  <c r="AE104" i="40" s="1"/>
  <c r="AB123" i="63"/>
  <c r="AB23" i="37"/>
  <c r="AB25" i="37" s="1"/>
  <c r="AB27" i="37" s="1"/>
  <c r="AB23" i="63"/>
  <c r="AF101" i="40"/>
  <c r="AF12" i="44" s="1"/>
  <c r="AD104" i="40"/>
  <c r="AD14" i="44"/>
  <c r="AG88" i="40"/>
  <c r="AG89" i="40" s="1"/>
  <c r="AG101" i="40" s="1"/>
  <c r="AE143" i="44"/>
  <c r="AE191" i="44" s="1"/>
  <c r="AE131" i="44"/>
  <c r="AE179" i="44" s="1"/>
  <c r="AE129" i="44"/>
  <c r="AE177" i="44" s="1"/>
  <c r="AE142" i="44"/>
  <c r="AE190" i="44" s="1"/>
  <c r="AE139" i="44"/>
  <c r="AE187" i="44" s="1"/>
  <c r="AE132" i="44"/>
  <c r="AE180" i="44" s="1"/>
  <c r="AE146" i="44"/>
  <c r="AE194" i="44" s="1"/>
  <c r="AE138" i="44"/>
  <c r="AE186" i="44" s="1"/>
  <c r="AE144" i="44"/>
  <c r="AE192" i="44" s="1"/>
  <c r="AE136" i="44"/>
  <c r="AE184" i="44" s="1"/>
  <c r="AE145" i="44"/>
  <c r="AE193" i="44" s="1"/>
  <c r="AE133" i="44"/>
  <c r="AE181" i="44" s="1"/>
  <c r="AE141" i="44"/>
  <c r="AE189" i="44" s="1"/>
  <c r="AE140" i="44"/>
  <c r="AE188" i="44" s="1"/>
  <c r="AE137" i="44"/>
  <c r="AE185" i="44" s="1"/>
  <c r="AE130" i="44"/>
  <c r="AE178" i="44" s="1"/>
  <c r="AE135" i="44"/>
  <c r="AE183" i="44" s="1"/>
  <c r="AE134" i="44"/>
  <c r="AE182" i="44" s="1"/>
  <c r="AX90" i="30"/>
  <c r="AX93" i="30" s="1"/>
  <c r="AF140" i="44"/>
  <c r="AF188" i="44" s="1"/>
  <c r="AF143" i="44"/>
  <c r="AF191" i="44" s="1"/>
  <c r="AF139" i="44"/>
  <c r="AF187" i="44" s="1"/>
  <c r="AF136" i="44"/>
  <c r="AF184" i="44" s="1"/>
  <c r="AF129" i="44"/>
  <c r="AF177" i="44" s="1"/>
  <c r="AF131" i="44"/>
  <c r="AF179" i="44" s="1"/>
  <c r="AF137" i="44"/>
  <c r="AF185" i="44" s="1"/>
  <c r="AF134" i="44"/>
  <c r="AF182" i="44" s="1"/>
  <c r="AF138" i="44"/>
  <c r="AF186" i="44" s="1"/>
  <c r="AF142" i="44"/>
  <c r="AF190" i="44" s="1"/>
  <c r="AF135" i="44"/>
  <c r="AF183" i="44" s="1"/>
  <c r="AF130" i="44"/>
  <c r="AF178" i="44" s="1"/>
  <c r="AF132" i="44"/>
  <c r="AF180" i="44" s="1"/>
  <c r="AF146" i="44"/>
  <c r="AF194" i="44" s="1"/>
  <c r="AF133" i="44"/>
  <c r="AF181" i="44" s="1"/>
  <c r="AF141" i="44"/>
  <c r="AF189" i="44" s="1"/>
  <c r="AF144" i="44"/>
  <c r="AF192" i="44" s="1"/>
  <c r="AF145" i="44"/>
  <c r="AF193" i="44" s="1"/>
  <c r="AC244" i="44"/>
  <c r="AB23" i="54"/>
  <c r="AQ66" i="30"/>
  <c r="AQ69" i="30" s="1"/>
  <c r="AW111" i="30" l="1"/>
  <c r="AW114" i="30" s="1"/>
  <c r="AD252" i="36"/>
  <c r="AE250" i="36"/>
  <c r="AE252" i="36" s="1"/>
  <c r="AB45" i="67"/>
  <c r="AB239" i="63"/>
  <c r="AC227" i="63"/>
  <c r="AJ22" i="37"/>
  <c r="AK244" i="43"/>
  <c r="AE14" i="44"/>
  <c r="AF152" i="44" s="1"/>
  <c r="AF200" i="44" s="1"/>
  <c r="AF224" i="44" s="1"/>
  <c r="AF177" i="36"/>
  <c r="AF147" i="36"/>
  <c r="AG110" i="36"/>
  <c r="AG103" i="36"/>
  <c r="AG106" i="36"/>
  <c r="AG104" i="36"/>
  <c r="AG120" i="36"/>
  <c r="AG107" i="36"/>
  <c r="AG109" i="36"/>
  <c r="AG115" i="36"/>
  <c r="AG111" i="36"/>
  <c r="AG105" i="36"/>
  <c r="AG116" i="36"/>
  <c r="AG108" i="36"/>
  <c r="AG119" i="36"/>
  <c r="AG117" i="36"/>
  <c r="AG114" i="36"/>
  <c r="AG112" i="36"/>
  <c r="AG113" i="36"/>
  <c r="AG118" i="36"/>
  <c r="AM66" i="40"/>
  <c r="AM12" i="37"/>
  <c r="AF12" i="36"/>
  <c r="AG224" i="36" s="1"/>
  <c r="AG225" i="36" s="1"/>
  <c r="AF35" i="40"/>
  <c r="AF156" i="36"/>
  <c r="AF204" i="36" s="1"/>
  <c r="AF236" i="36" s="1"/>
  <c r="AF157" i="36"/>
  <c r="AF205" i="36" s="1"/>
  <c r="AF237" i="36" s="1"/>
  <c r="AF166" i="36"/>
  <c r="AF214" i="36" s="1"/>
  <c r="AF246" i="36" s="1"/>
  <c r="AF167" i="36"/>
  <c r="AF215" i="36" s="1"/>
  <c r="AF247" i="36" s="1"/>
  <c r="AF164" i="36"/>
  <c r="AF212" i="36" s="1"/>
  <c r="AF244" i="36" s="1"/>
  <c r="AF152" i="36"/>
  <c r="AF200" i="36" s="1"/>
  <c r="AF232" i="36" s="1"/>
  <c r="AF162" i="36"/>
  <c r="AF210" i="36" s="1"/>
  <c r="AF242" i="36" s="1"/>
  <c r="AF165" i="36"/>
  <c r="AF213" i="36" s="1"/>
  <c r="AF245" i="36" s="1"/>
  <c r="AF161" i="36"/>
  <c r="AF209" i="36" s="1"/>
  <c r="AF241" i="36" s="1"/>
  <c r="AF155" i="36"/>
  <c r="AF203" i="36" s="1"/>
  <c r="AF235" i="36" s="1"/>
  <c r="AF163" i="36"/>
  <c r="AF211" i="36" s="1"/>
  <c r="AF243" i="36" s="1"/>
  <c r="AF158" i="36"/>
  <c r="AF206" i="36" s="1"/>
  <c r="AF238" i="36" s="1"/>
  <c r="AF160" i="36"/>
  <c r="AF208" i="36" s="1"/>
  <c r="AF240" i="36" s="1"/>
  <c r="AF151" i="36"/>
  <c r="AF168" i="36"/>
  <c r="AF216" i="36" s="1"/>
  <c r="AF248" i="36" s="1"/>
  <c r="AF154" i="36"/>
  <c r="AF202" i="36" s="1"/>
  <c r="AF234" i="36" s="1"/>
  <c r="AF159" i="36"/>
  <c r="AF207" i="36" s="1"/>
  <c r="AF239" i="36" s="1"/>
  <c r="AE15" i="36"/>
  <c r="AF153" i="36"/>
  <c r="AF201" i="36" s="1"/>
  <c r="AF233" i="36" s="1"/>
  <c r="AK113" i="39"/>
  <c r="AK114" i="39" s="1"/>
  <c r="AK120" i="39" s="1"/>
  <c r="AK13" i="43"/>
  <c r="AK68" i="40"/>
  <c r="AL12" i="43"/>
  <c r="AL67" i="40"/>
  <c r="AL68" i="40" s="1"/>
  <c r="AB124" i="63"/>
  <c r="AB39" i="63"/>
  <c r="AC123" i="63"/>
  <c r="AD242" i="44"/>
  <c r="AC23" i="63" s="1"/>
  <c r="AF102" i="40"/>
  <c r="AF103" i="40" s="1"/>
  <c r="AF14" i="44" s="1"/>
  <c r="AG165" i="44" s="1"/>
  <c r="AG213" i="44" s="1"/>
  <c r="AG13" i="37"/>
  <c r="AE159" i="44"/>
  <c r="AE207" i="44" s="1"/>
  <c r="AE231" i="44" s="1"/>
  <c r="AD113" i="63" s="1"/>
  <c r="AE163" i="44"/>
  <c r="AE211" i="44" s="1"/>
  <c r="AE235" i="44" s="1"/>
  <c r="AD117" i="63" s="1"/>
  <c r="AE157" i="44"/>
  <c r="AE205" i="44" s="1"/>
  <c r="AE229" i="44" s="1"/>
  <c r="AD111" i="63" s="1"/>
  <c r="AE158" i="44"/>
  <c r="AE206" i="44" s="1"/>
  <c r="AE230" i="44" s="1"/>
  <c r="AD112" i="63" s="1"/>
  <c r="AE152" i="44"/>
  <c r="AE200" i="44" s="1"/>
  <c r="AE224" i="44" s="1"/>
  <c r="AD106" i="63" s="1"/>
  <c r="AE165" i="44"/>
  <c r="AE213" i="44" s="1"/>
  <c r="AE237" i="44" s="1"/>
  <c r="AD119" i="63" s="1"/>
  <c r="AE162" i="44"/>
  <c r="AE210" i="44" s="1"/>
  <c r="AE234" i="44" s="1"/>
  <c r="AD116" i="63" s="1"/>
  <c r="AE161" i="44"/>
  <c r="AE209" i="44" s="1"/>
  <c r="AE233" i="44" s="1"/>
  <c r="AD115" i="63" s="1"/>
  <c r="AE155" i="44"/>
  <c r="AE203" i="44" s="1"/>
  <c r="AE227" i="44" s="1"/>
  <c r="AD109" i="63" s="1"/>
  <c r="AE164" i="44"/>
  <c r="AE212" i="44" s="1"/>
  <c r="AE236" i="44" s="1"/>
  <c r="AD118" i="63" s="1"/>
  <c r="AE151" i="44"/>
  <c r="AE167" i="44"/>
  <c r="AE215" i="44" s="1"/>
  <c r="AE239" i="44" s="1"/>
  <c r="AD121" i="63" s="1"/>
  <c r="AE160" i="44"/>
  <c r="AE208" i="44" s="1"/>
  <c r="AE232" i="44" s="1"/>
  <c r="AD114" i="63" s="1"/>
  <c r="AE156" i="44"/>
  <c r="AE204" i="44" s="1"/>
  <c r="AE228" i="44" s="1"/>
  <c r="AD110" i="63" s="1"/>
  <c r="AD15" i="44"/>
  <c r="AE168" i="44"/>
  <c r="AE216" i="44" s="1"/>
  <c r="AE240" i="44" s="1"/>
  <c r="AD122" i="63" s="1"/>
  <c r="AE153" i="44"/>
  <c r="AE201" i="44" s="1"/>
  <c r="AE225" i="44" s="1"/>
  <c r="AD107" i="63" s="1"/>
  <c r="AE166" i="44"/>
  <c r="AE214" i="44" s="1"/>
  <c r="AE238" i="44" s="1"/>
  <c r="AD120" i="63" s="1"/>
  <c r="AE154" i="44"/>
  <c r="AE202" i="44" s="1"/>
  <c r="AE226" i="44" s="1"/>
  <c r="AD108" i="63" s="1"/>
  <c r="AW117" i="30"/>
  <c r="AM125" i="30" s="1"/>
  <c r="AX92" i="30"/>
  <c r="AX94" i="30" s="1"/>
  <c r="AY90" i="30" s="1"/>
  <c r="AY93" i="30" s="1"/>
  <c r="AX96" i="30"/>
  <c r="AW113" i="30"/>
  <c r="AW115" i="30" s="1"/>
  <c r="AX111" i="30" s="1"/>
  <c r="AX113" i="30" s="1"/>
  <c r="AX115" i="30" s="1"/>
  <c r="AG12" i="44"/>
  <c r="AG102" i="40"/>
  <c r="AQ68" i="30"/>
  <c r="AQ70" i="30" s="1"/>
  <c r="AR66" i="30" s="1"/>
  <c r="AQ74" i="30"/>
  <c r="AG82" i="30" s="1"/>
  <c r="AG22" i="40" s="1"/>
  <c r="AG23" i="40" s="1"/>
  <c r="AD24" i="37" l="1"/>
  <c r="AF165" i="44"/>
  <c r="AF213" i="44" s="1"/>
  <c r="AF237" i="44" s="1"/>
  <c r="AE119" i="63" s="1"/>
  <c r="AE236" i="63" s="1"/>
  <c r="AE106" i="63"/>
  <c r="AF151" i="44"/>
  <c r="AF199" i="44" s="1"/>
  <c r="AC45" i="67"/>
  <c r="AC239" i="63"/>
  <c r="AF160" i="44"/>
  <c r="AF208" i="44" s="1"/>
  <c r="AF232" i="44" s="1"/>
  <c r="AE114" i="63" s="1"/>
  <c r="AF158" i="44"/>
  <c r="AF206" i="44" s="1"/>
  <c r="AF230" i="44" s="1"/>
  <c r="AE112" i="63" s="1"/>
  <c r="AF154" i="44"/>
  <c r="AF202" i="44" s="1"/>
  <c r="AF226" i="44" s="1"/>
  <c r="AE108" i="63" s="1"/>
  <c r="AF167" i="44"/>
  <c r="AF215" i="44" s="1"/>
  <c r="AF239" i="44" s="1"/>
  <c r="AF161" i="44"/>
  <c r="AF209" i="44" s="1"/>
  <c r="AF233" i="44" s="1"/>
  <c r="AE115" i="63" s="1"/>
  <c r="AF162" i="44"/>
  <c r="AF210" i="44" s="1"/>
  <c r="AF234" i="44" s="1"/>
  <c r="AE116" i="63" s="1"/>
  <c r="AF155" i="44"/>
  <c r="AF203" i="44" s="1"/>
  <c r="AF227" i="44" s="1"/>
  <c r="AE109" i="63" s="1"/>
  <c r="AF156" i="44"/>
  <c r="AF204" i="44" s="1"/>
  <c r="AF228" i="44" s="1"/>
  <c r="AF164" i="44"/>
  <c r="AF212" i="44" s="1"/>
  <c r="AF236" i="44" s="1"/>
  <c r="AE118" i="63" s="1"/>
  <c r="AF168" i="44"/>
  <c r="AF216" i="44" s="1"/>
  <c r="AF240" i="44" s="1"/>
  <c r="AE122" i="63" s="1"/>
  <c r="AE15" i="44"/>
  <c r="AF163" i="44"/>
  <c r="AF211" i="44" s="1"/>
  <c r="AF235" i="44" s="1"/>
  <c r="AE117" i="63" s="1"/>
  <c r="AF166" i="44"/>
  <c r="AF214" i="44" s="1"/>
  <c r="AF238" i="44" s="1"/>
  <c r="AF157" i="44"/>
  <c r="AF205" i="44" s="1"/>
  <c r="AF229" i="44" s="1"/>
  <c r="AE111" i="63" s="1"/>
  <c r="AF153" i="44"/>
  <c r="AF201" i="44" s="1"/>
  <c r="AF225" i="44" s="1"/>
  <c r="AF159" i="44"/>
  <c r="AF207" i="44" s="1"/>
  <c r="AF231" i="44" s="1"/>
  <c r="AE113" i="63" s="1"/>
  <c r="AF13" i="36"/>
  <c r="AF17" i="39"/>
  <c r="AF18" i="39" s="1"/>
  <c r="AF24" i="39" s="1"/>
  <c r="AM12" i="43"/>
  <c r="AM67" i="40"/>
  <c r="AL113" i="39"/>
  <c r="AL114" i="39" s="1"/>
  <c r="AL120" i="39" s="1"/>
  <c r="AL13" i="43"/>
  <c r="AO179" i="39"/>
  <c r="AS179" i="39"/>
  <c r="AN179" i="39"/>
  <c r="AL179" i="39"/>
  <c r="AL197" i="39" s="1"/>
  <c r="AL84" i="43" s="1"/>
  <c r="AQ179" i="39"/>
  <c r="AT179" i="39"/>
  <c r="AR179" i="39"/>
  <c r="AM179" i="39"/>
  <c r="AP179" i="39"/>
  <c r="AU179" i="39"/>
  <c r="AF169" i="36"/>
  <c r="AF199" i="36"/>
  <c r="AF231" i="36" s="1"/>
  <c r="AL14" i="43"/>
  <c r="AL69" i="40"/>
  <c r="AL135" i="43"/>
  <c r="AL183" i="43" s="1"/>
  <c r="AL143" i="43"/>
  <c r="AL191" i="43" s="1"/>
  <c r="AL144" i="43"/>
  <c r="AL192" i="43" s="1"/>
  <c r="AL132" i="43"/>
  <c r="AL180" i="43" s="1"/>
  <c r="AL133" i="43"/>
  <c r="AL181" i="43" s="1"/>
  <c r="AL145" i="43"/>
  <c r="AL193" i="43" s="1"/>
  <c r="AL142" i="43"/>
  <c r="AL190" i="43" s="1"/>
  <c r="AL129" i="43"/>
  <c r="AL136" i="43"/>
  <c r="AL184" i="43" s="1"/>
  <c r="AL146" i="43"/>
  <c r="AL194" i="43" s="1"/>
  <c r="AL139" i="43"/>
  <c r="AL187" i="43" s="1"/>
  <c r="AL130" i="43"/>
  <c r="AL178" i="43" s="1"/>
  <c r="AL141" i="43"/>
  <c r="AL189" i="43" s="1"/>
  <c r="AL131" i="43"/>
  <c r="AL179" i="43" s="1"/>
  <c r="AL140" i="43"/>
  <c r="AL188" i="43" s="1"/>
  <c r="AL138" i="43"/>
  <c r="AL186" i="43" s="1"/>
  <c r="AL137" i="43"/>
  <c r="AL185" i="43" s="1"/>
  <c r="AL134" i="43"/>
  <c r="AL182" i="43" s="1"/>
  <c r="AG14" i="37"/>
  <c r="AG15" i="37" s="1"/>
  <c r="AG34" i="40"/>
  <c r="AN103" i="30"/>
  <c r="AN54" i="40" s="1"/>
  <c r="AN55" i="40" s="1"/>
  <c r="AK14" i="43"/>
  <c r="AK69" i="40"/>
  <c r="AF36" i="40"/>
  <c r="AF14" i="36" s="1"/>
  <c r="AF104" i="40"/>
  <c r="AG151" i="44"/>
  <c r="AG199" i="44" s="1"/>
  <c r="AG166" i="44"/>
  <c r="AG214" i="44" s="1"/>
  <c r="AF15" i="44"/>
  <c r="AD244" i="44"/>
  <c r="AC23" i="54"/>
  <c r="AC23" i="37"/>
  <c r="AC25" i="37" s="1"/>
  <c r="AC27" i="37" s="1"/>
  <c r="AG152" i="44"/>
  <c r="AG200" i="44" s="1"/>
  <c r="AG154" i="44"/>
  <c r="AG202" i="44" s="1"/>
  <c r="AG164" i="44"/>
  <c r="AG212" i="44" s="1"/>
  <c r="AF13" i="44"/>
  <c r="AG140" i="44" s="1"/>
  <c r="AG188" i="44" s="1"/>
  <c r="AG163" i="44"/>
  <c r="AG211" i="44" s="1"/>
  <c r="AG158" i="44"/>
  <c r="AG206" i="44" s="1"/>
  <c r="AG153" i="44"/>
  <c r="AG201" i="44" s="1"/>
  <c r="AG161" i="44"/>
  <c r="AG209" i="44" s="1"/>
  <c r="AG157" i="44"/>
  <c r="AG205" i="44" s="1"/>
  <c r="AG156" i="44"/>
  <c r="AG204" i="44" s="1"/>
  <c r="AG160" i="44"/>
  <c r="AG208" i="44" s="1"/>
  <c r="AG168" i="44"/>
  <c r="AG216" i="44" s="1"/>
  <c r="AG159" i="44"/>
  <c r="AG207" i="44" s="1"/>
  <c r="AG155" i="44"/>
  <c r="AG203" i="44" s="1"/>
  <c r="AG167" i="44"/>
  <c r="AG215" i="44" s="1"/>
  <c r="AG162" i="44"/>
  <c r="AG210" i="44" s="1"/>
  <c r="AE199" i="44"/>
  <c r="AE169" i="44"/>
  <c r="AH88" i="40"/>
  <c r="AH89" i="40" s="1"/>
  <c r="AH13" i="37" s="1"/>
  <c r="AX114" i="30"/>
  <c r="AY111" i="30" s="1"/>
  <c r="AY114" i="30" s="1"/>
  <c r="AX117" i="30"/>
  <c r="AN125" i="30" s="1"/>
  <c r="AY96" i="30"/>
  <c r="AY92" i="30"/>
  <c r="AY94" i="30" s="1"/>
  <c r="AZ90" i="30" s="1"/>
  <c r="AG13" i="44"/>
  <c r="AG103" i="40"/>
  <c r="AR74" i="30"/>
  <c r="AH82" i="30" s="1"/>
  <c r="AH22" i="40" s="1"/>
  <c r="AH23" i="40" s="1"/>
  <c r="AR69" i="30"/>
  <c r="AR68" i="30"/>
  <c r="AE231" i="63" l="1"/>
  <c r="AE230" i="63"/>
  <c r="AE121" i="63"/>
  <c r="AE238" i="63" s="1"/>
  <c r="AF250" i="36"/>
  <c r="AF252" i="36" s="1"/>
  <c r="AE233" i="63"/>
  <c r="AE120" i="63"/>
  <c r="AE237" i="63" s="1"/>
  <c r="AE107" i="63"/>
  <c r="AE229" i="63" s="1"/>
  <c r="AE110" i="63"/>
  <c r="AE232" i="63" s="1"/>
  <c r="AD235" i="63"/>
  <c r="AD53" i="67" s="1"/>
  <c r="AD233" i="63"/>
  <c r="AD51" i="67" s="1"/>
  <c r="AD228" i="63"/>
  <c r="AD46" i="67" s="1"/>
  <c r="AD237" i="63"/>
  <c r="AD55" i="67" s="1"/>
  <c r="AD238" i="63"/>
  <c r="AD56" i="67" s="1"/>
  <c r="AD231" i="63"/>
  <c r="AD49" i="67" s="1"/>
  <c r="AD229" i="63"/>
  <c r="AD47" i="67" s="1"/>
  <c r="AE234" i="63"/>
  <c r="AD236" i="63"/>
  <c r="AD54" i="67" s="1"/>
  <c r="AE228" i="63"/>
  <c r="AD230" i="63"/>
  <c r="AD48" i="67" s="1"/>
  <c r="AD234" i="63"/>
  <c r="AD52" i="67" s="1"/>
  <c r="AD232" i="63"/>
  <c r="AE235" i="63"/>
  <c r="AF169" i="44"/>
  <c r="AN12" i="37"/>
  <c r="AN66" i="40"/>
  <c r="AM108" i="43"/>
  <c r="AM134" i="43" s="1"/>
  <c r="AM182" i="43" s="1"/>
  <c r="AM119" i="43"/>
  <c r="AM145" i="43" s="1"/>
  <c r="AM193" i="43" s="1"/>
  <c r="AM104" i="43"/>
  <c r="AM130" i="43" s="1"/>
  <c r="AM178" i="43" s="1"/>
  <c r="AM110" i="43"/>
  <c r="AM136" i="43" s="1"/>
  <c r="AM184" i="43" s="1"/>
  <c r="AM111" i="43"/>
  <c r="AM137" i="43" s="1"/>
  <c r="AM185" i="43" s="1"/>
  <c r="AM116" i="43"/>
  <c r="AM142" i="43" s="1"/>
  <c r="AM190" i="43" s="1"/>
  <c r="AM103" i="43"/>
  <c r="AM129" i="43" s="1"/>
  <c r="AM112" i="43"/>
  <c r="AM138" i="43" s="1"/>
  <c r="AM186" i="43" s="1"/>
  <c r="AM109" i="43"/>
  <c r="AM135" i="43" s="1"/>
  <c r="AM183" i="43" s="1"/>
  <c r="AM107" i="43"/>
  <c r="AM133" i="43" s="1"/>
  <c r="AM181" i="43" s="1"/>
  <c r="AM106" i="43"/>
  <c r="AM132" i="43" s="1"/>
  <c r="AM180" i="43" s="1"/>
  <c r="AM118" i="43"/>
  <c r="AM144" i="43" s="1"/>
  <c r="AM192" i="43" s="1"/>
  <c r="AM105" i="43"/>
  <c r="AM131" i="43" s="1"/>
  <c r="AM179" i="43" s="1"/>
  <c r="AM120" i="43"/>
  <c r="AM146" i="43" s="1"/>
  <c r="AM194" i="43" s="1"/>
  <c r="AM117" i="43"/>
  <c r="AM143" i="43" s="1"/>
  <c r="AM191" i="43" s="1"/>
  <c r="AM115" i="43"/>
  <c r="AM141" i="43" s="1"/>
  <c r="AM189" i="43" s="1"/>
  <c r="AM113" i="43"/>
  <c r="AM139" i="43" s="1"/>
  <c r="AM187" i="43" s="1"/>
  <c r="AM114" i="43"/>
  <c r="AM140" i="43" s="1"/>
  <c r="AM188" i="43" s="1"/>
  <c r="AM166" i="43"/>
  <c r="AM214" i="43" s="1"/>
  <c r="AM155" i="43"/>
  <c r="AM203" i="43" s="1"/>
  <c r="AM161" i="43"/>
  <c r="AM209" i="43" s="1"/>
  <c r="AM153" i="43"/>
  <c r="AM201" i="43" s="1"/>
  <c r="AL15" i="43"/>
  <c r="AM165" i="43"/>
  <c r="AM213" i="43" s="1"/>
  <c r="AM163" i="43"/>
  <c r="AM211" i="43" s="1"/>
  <c r="AM158" i="43"/>
  <c r="AM206" i="43" s="1"/>
  <c r="AM168" i="43"/>
  <c r="AM216" i="43" s="1"/>
  <c r="AM159" i="43"/>
  <c r="AM207" i="43" s="1"/>
  <c r="AM162" i="43"/>
  <c r="AM210" i="43" s="1"/>
  <c r="AM154" i="43"/>
  <c r="AM202" i="43" s="1"/>
  <c r="AM164" i="43"/>
  <c r="AM212" i="43" s="1"/>
  <c r="AM160" i="43"/>
  <c r="AM208" i="43" s="1"/>
  <c r="AM157" i="43"/>
  <c r="AM205" i="43" s="1"/>
  <c r="AM229" i="43" s="1"/>
  <c r="AM167" i="43"/>
  <c r="AM215" i="43" s="1"/>
  <c r="AM151" i="43"/>
  <c r="AM152" i="43"/>
  <c r="AM200" i="43" s="1"/>
  <c r="AM156" i="43"/>
  <c r="AM204" i="43" s="1"/>
  <c r="AM228" i="43" s="1"/>
  <c r="AG167" i="36"/>
  <c r="AG215" i="36" s="1"/>
  <c r="AG164" i="36"/>
  <c r="AG212" i="36" s="1"/>
  <c r="AG153" i="36"/>
  <c r="AG201" i="36" s="1"/>
  <c r="AG162" i="36"/>
  <c r="AG210" i="36" s="1"/>
  <c r="AG160" i="36"/>
  <c r="AG208" i="36" s="1"/>
  <c r="AG155" i="36"/>
  <c r="AG203" i="36" s="1"/>
  <c r="AG161" i="36"/>
  <c r="AG209" i="36" s="1"/>
  <c r="AG165" i="36"/>
  <c r="AG213" i="36" s="1"/>
  <c r="AG156" i="36"/>
  <c r="AG204" i="36" s="1"/>
  <c r="AG152" i="36"/>
  <c r="AG200" i="36" s="1"/>
  <c r="AG151" i="36"/>
  <c r="AG166" i="36"/>
  <c r="AG214" i="36" s="1"/>
  <c r="AG154" i="36"/>
  <c r="AG202" i="36" s="1"/>
  <c r="AG163" i="36"/>
  <c r="AG211" i="36" s="1"/>
  <c r="AF15" i="36"/>
  <c r="AG159" i="36"/>
  <c r="AG207" i="36" s="1"/>
  <c r="AG157" i="36"/>
  <c r="AG205" i="36" s="1"/>
  <c r="AG168" i="36"/>
  <c r="AG216" i="36" s="1"/>
  <c r="AG158" i="36"/>
  <c r="AG206" i="36" s="1"/>
  <c r="AM180" i="39"/>
  <c r="AM197" i="39" s="1"/>
  <c r="AM84" i="43" s="1"/>
  <c r="AR180" i="39"/>
  <c r="AV180" i="39"/>
  <c r="AT180" i="39"/>
  <c r="AN180" i="39"/>
  <c r="AU180" i="39"/>
  <c r="AO180" i="39"/>
  <c r="AS180" i="39"/>
  <c r="AP180" i="39"/>
  <c r="AQ180" i="39"/>
  <c r="AJ78" i="39"/>
  <c r="AN78" i="39"/>
  <c r="AP78" i="39"/>
  <c r="AM78" i="39"/>
  <c r="AG78" i="39"/>
  <c r="AG101" i="39" s="1"/>
  <c r="AG84" i="36" s="1"/>
  <c r="AK78" i="39"/>
  <c r="AO78" i="39"/>
  <c r="AH78" i="39"/>
  <c r="AL78" i="39"/>
  <c r="AI78" i="39"/>
  <c r="AO103" i="30"/>
  <c r="AO54" i="40" s="1"/>
  <c r="AO55" i="40" s="1"/>
  <c r="AL163" i="43"/>
  <c r="AL211" i="43" s="1"/>
  <c r="AL235" i="43" s="1"/>
  <c r="AL160" i="43"/>
  <c r="AL208" i="43" s="1"/>
  <c r="AL232" i="43" s="1"/>
  <c r="AL156" i="43"/>
  <c r="AL204" i="43" s="1"/>
  <c r="AL228" i="43" s="1"/>
  <c r="AL165" i="43"/>
  <c r="AL213" i="43" s="1"/>
  <c r="AL237" i="43" s="1"/>
  <c r="AL152" i="43"/>
  <c r="AL200" i="43" s="1"/>
  <c r="AL224" i="43" s="1"/>
  <c r="AL161" i="43"/>
  <c r="AL209" i="43" s="1"/>
  <c r="AL233" i="43" s="1"/>
  <c r="AL151" i="43"/>
  <c r="AL157" i="43"/>
  <c r="AL205" i="43" s="1"/>
  <c r="AL229" i="43" s="1"/>
  <c r="AL159" i="43"/>
  <c r="AL207" i="43" s="1"/>
  <c r="AL231" i="43" s="1"/>
  <c r="AL168" i="43"/>
  <c r="AL216" i="43" s="1"/>
  <c r="AL240" i="43" s="1"/>
  <c r="AL155" i="43"/>
  <c r="AL203" i="43" s="1"/>
  <c r="AL227" i="43" s="1"/>
  <c r="AK15" i="43"/>
  <c r="AL166" i="43"/>
  <c r="AL214" i="43" s="1"/>
  <c r="AL238" i="43" s="1"/>
  <c r="AL164" i="43"/>
  <c r="AL212" i="43" s="1"/>
  <c r="AL236" i="43" s="1"/>
  <c r="AL162" i="43"/>
  <c r="AL210" i="43" s="1"/>
  <c r="AL234" i="43" s="1"/>
  <c r="AL158" i="43"/>
  <c r="AL206" i="43" s="1"/>
  <c r="AL230" i="43" s="1"/>
  <c r="AL154" i="43"/>
  <c r="AL202" i="43" s="1"/>
  <c r="AL226" i="43" s="1"/>
  <c r="AL153" i="43"/>
  <c r="AL201" i="43" s="1"/>
  <c r="AL225" i="43" s="1"/>
  <c r="AL167" i="43"/>
  <c r="AL215" i="43" s="1"/>
  <c r="AL239" i="43" s="1"/>
  <c r="AM68" i="40"/>
  <c r="AM13" i="43"/>
  <c r="AM113" i="39"/>
  <c r="AM114" i="39" s="1"/>
  <c r="AM120" i="39" s="1"/>
  <c r="AH14" i="37"/>
  <c r="AH15" i="37" s="1"/>
  <c r="AH34" i="40"/>
  <c r="AG12" i="36"/>
  <c r="AH224" i="36" s="1"/>
  <c r="AH225" i="36" s="1"/>
  <c r="AG35" i="40"/>
  <c r="AL177" i="43"/>
  <c r="AL147" i="43"/>
  <c r="AG139" i="36"/>
  <c r="AG187" i="36" s="1"/>
  <c r="AG140" i="36"/>
  <c r="AG188" i="36" s="1"/>
  <c r="AG130" i="36"/>
  <c r="AG178" i="36" s="1"/>
  <c r="AG144" i="36"/>
  <c r="AG192" i="36" s="1"/>
  <c r="AG131" i="36"/>
  <c r="AG179" i="36" s="1"/>
  <c r="AG143" i="36"/>
  <c r="AG191" i="36" s="1"/>
  <c r="AG132" i="36"/>
  <c r="AG180" i="36" s="1"/>
  <c r="AG134" i="36"/>
  <c r="AG182" i="36" s="1"/>
  <c r="AG137" i="36"/>
  <c r="AG185" i="36" s="1"/>
  <c r="AG133" i="36"/>
  <c r="AG181" i="36" s="1"/>
  <c r="AG141" i="36"/>
  <c r="AG189" i="36" s="1"/>
  <c r="AG138" i="36"/>
  <c r="AG186" i="36" s="1"/>
  <c r="AG136" i="36"/>
  <c r="AG184" i="36" s="1"/>
  <c r="AG142" i="36"/>
  <c r="AG190" i="36" s="1"/>
  <c r="AG145" i="36"/>
  <c r="AG193" i="36" s="1"/>
  <c r="AG129" i="36"/>
  <c r="AG146" i="36"/>
  <c r="AG194" i="36" s="1"/>
  <c r="AG135" i="36"/>
  <c r="AG183" i="36" s="1"/>
  <c r="AG234" i="44"/>
  <c r="AE223" i="44"/>
  <c r="AF223" i="44"/>
  <c r="AG130" i="44"/>
  <c r="AG178" i="44" s="1"/>
  <c r="AG224" i="44" s="1"/>
  <c r="AG132" i="44"/>
  <c r="AG180" i="44" s="1"/>
  <c r="AG144" i="44"/>
  <c r="AG192" i="44" s="1"/>
  <c r="AG135" i="44"/>
  <c r="AG183" i="44" s="1"/>
  <c r="AG229" i="44" s="1"/>
  <c r="AC39" i="63"/>
  <c r="AC124" i="63"/>
  <c r="AG139" i="44"/>
  <c r="AG187" i="44" s="1"/>
  <c r="AG233" i="44" s="1"/>
  <c r="AG145" i="44"/>
  <c r="AG193" i="44" s="1"/>
  <c r="AG239" i="44" s="1"/>
  <c r="AG138" i="44"/>
  <c r="AG186" i="44" s="1"/>
  <c r="AG232" i="44" s="1"/>
  <c r="AG131" i="44"/>
  <c r="AG179" i="44" s="1"/>
  <c r="AG225" i="44" s="1"/>
  <c r="AG137" i="44"/>
  <c r="AG185" i="44" s="1"/>
  <c r="AG231" i="44" s="1"/>
  <c r="AG146" i="44"/>
  <c r="AG194" i="44" s="1"/>
  <c r="AG240" i="44" s="1"/>
  <c r="AG141" i="44"/>
  <c r="AG189" i="44" s="1"/>
  <c r="AG235" i="44" s="1"/>
  <c r="AG143" i="44"/>
  <c r="AG191" i="44" s="1"/>
  <c r="AG237" i="44" s="1"/>
  <c r="AG142" i="44"/>
  <c r="AG190" i="44" s="1"/>
  <c r="AG236" i="44" s="1"/>
  <c r="AG129" i="44"/>
  <c r="AG177" i="44" s="1"/>
  <c r="AG223" i="44" s="1"/>
  <c r="AG133" i="44"/>
  <c r="AG181" i="44" s="1"/>
  <c r="AG227" i="44" s="1"/>
  <c r="AG134" i="44"/>
  <c r="AG182" i="44" s="1"/>
  <c r="AG228" i="44" s="1"/>
  <c r="AG136" i="44"/>
  <c r="AG184" i="44" s="1"/>
  <c r="AG230" i="44" s="1"/>
  <c r="AG169" i="44"/>
  <c r="AH101" i="40"/>
  <c r="AH102" i="40" s="1"/>
  <c r="AH13" i="44" s="1"/>
  <c r="AI88" i="40"/>
  <c r="AI89" i="40" s="1"/>
  <c r="AI13" i="37" s="1"/>
  <c r="AY117" i="30"/>
  <c r="AO125" i="30" s="1"/>
  <c r="AY113" i="30"/>
  <c r="AY115" i="30" s="1"/>
  <c r="AZ111" i="30" s="1"/>
  <c r="AZ114" i="30" s="1"/>
  <c r="AZ96" i="30"/>
  <c r="AZ92" i="30"/>
  <c r="AZ94" i="30" s="1"/>
  <c r="AZ93" i="30"/>
  <c r="AG104" i="40"/>
  <c r="AG14" i="44"/>
  <c r="AH146" i="44"/>
  <c r="AH194" i="44" s="1"/>
  <c r="AH138" i="44"/>
  <c r="AH186" i="44" s="1"/>
  <c r="AH130" i="44"/>
  <c r="AH178" i="44" s="1"/>
  <c r="AH135" i="44"/>
  <c r="AH183" i="44" s="1"/>
  <c r="AH140" i="44"/>
  <c r="AH188" i="44" s="1"/>
  <c r="AH145" i="44"/>
  <c r="AH193" i="44" s="1"/>
  <c r="AH129" i="44"/>
  <c r="AH177" i="44" s="1"/>
  <c r="AH134" i="44"/>
  <c r="AH182" i="44" s="1"/>
  <c r="AH142" i="44"/>
  <c r="AH190" i="44" s="1"/>
  <c r="AH132" i="44"/>
  <c r="AH180" i="44" s="1"/>
  <c r="AH136" i="44"/>
  <c r="AH184" i="44" s="1"/>
  <c r="AH143" i="44"/>
  <c r="AH191" i="44" s="1"/>
  <c r="AH141" i="44"/>
  <c r="AH189" i="44" s="1"/>
  <c r="AH144" i="44"/>
  <c r="AH192" i="44" s="1"/>
  <c r="AH133" i="44"/>
  <c r="AH181" i="44" s="1"/>
  <c r="AH137" i="44"/>
  <c r="AH185" i="44" s="1"/>
  <c r="AH131" i="44"/>
  <c r="AH179" i="44" s="1"/>
  <c r="AH139" i="44"/>
  <c r="AH187" i="44" s="1"/>
  <c r="AR70" i="30"/>
  <c r="AS66" i="30" s="1"/>
  <c r="AE51" i="67" l="1"/>
  <c r="AE49" i="67"/>
  <c r="AE24" i="37"/>
  <c r="AE242" i="44"/>
  <c r="AE244" i="44" s="1"/>
  <c r="AD105" i="63"/>
  <c r="AD227" i="63" s="1"/>
  <c r="AF254" i="36"/>
  <c r="AE50" i="67"/>
  <c r="AE105" i="63"/>
  <c r="AE123" i="63" s="1"/>
  <c r="AE56" i="67"/>
  <c r="AE53" i="67"/>
  <c r="AE46" i="67"/>
  <c r="AE52" i="67"/>
  <c r="AE47" i="67"/>
  <c r="AE54" i="67"/>
  <c r="AE55" i="67"/>
  <c r="AE48" i="67"/>
  <c r="AD50" i="67"/>
  <c r="AG240" i="36"/>
  <c r="AF114" i="63" s="1"/>
  <c r="AG236" i="36"/>
  <c r="AF110" i="63" s="1"/>
  <c r="AM232" i="43"/>
  <c r="AM235" i="43"/>
  <c r="AM233" i="43"/>
  <c r="AM239" i="43"/>
  <c r="AM231" i="43"/>
  <c r="AM230" i="43"/>
  <c r="AM225" i="43"/>
  <c r="AM238" i="43"/>
  <c r="AG246" i="36"/>
  <c r="AG248" i="36"/>
  <c r="AF122" i="63" s="1"/>
  <c r="AG238" i="36"/>
  <c r="AF112" i="63" s="1"/>
  <c r="AG233" i="36"/>
  <c r="AF107" i="63" s="1"/>
  <c r="AG241" i="36"/>
  <c r="AF115" i="63" s="1"/>
  <c r="AG247" i="36"/>
  <c r="AF121" i="63" s="1"/>
  <c r="AG243" i="36"/>
  <c r="AF117" i="63" s="1"/>
  <c r="AG234" i="36"/>
  <c r="AG232" i="36"/>
  <c r="AF106" i="63" s="1"/>
  <c r="AM226" i="43"/>
  <c r="AG237" i="36"/>
  <c r="AF111" i="63" s="1"/>
  <c r="AG244" i="36"/>
  <c r="AF118" i="63" s="1"/>
  <c r="AG235" i="36"/>
  <c r="AF109" i="63" s="1"/>
  <c r="AM224" i="43"/>
  <c r="AM237" i="43"/>
  <c r="AN107" i="43"/>
  <c r="AN133" i="43" s="1"/>
  <c r="AN181" i="43" s="1"/>
  <c r="AN112" i="43"/>
  <c r="AN138" i="43" s="1"/>
  <c r="AN186" i="43" s="1"/>
  <c r="AN113" i="43"/>
  <c r="AN139" i="43" s="1"/>
  <c r="AN187" i="43" s="1"/>
  <c r="AN104" i="43"/>
  <c r="AN130" i="43" s="1"/>
  <c r="AN178" i="43" s="1"/>
  <c r="AN103" i="43"/>
  <c r="AN129" i="43" s="1"/>
  <c r="AN118" i="43"/>
  <c r="AN144" i="43" s="1"/>
  <c r="AN192" i="43" s="1"/>
  <c r="AN120" i="43"/>
  <c r="AN146" i="43" s="1"/>
  <c r="AN194" i="43" s="1"/>
  <c r="AN111" i="43"/>
  <c r="AN137" i="43" s="1"/>
  <c r="AN185" i="43" s="1"/>
  <c r="AN115" i="43"/>
  <c r="AN141" i="43" s="1"/>
  <c r="AN189" i="43" s="1"/>
  <c r="AN117" i="43"/>
  <c r="AN143" i="43" s="1"/>
  <c r="AN191" i="43" s="1"/>
  <c r="AN105" i="43"/>
  <c r="AN131" i="43" s="1"/>
  <c r="AN179" i="43" s="1"/>
  <c r="AN109" i="43"/>
  <c r="AN135" i="43" s="1"/>
  <c r="AN183" i="43" s="1"/>
  <c r="AN108" i="43"/>
  <c r="AN134" i="43" s="1"/>
  <c r="AN182" i="43" s="1"/>
  <c r="AN119" i="43"/>
  <c r="AN145" i="43" s="1"/>
  <c r="AN193" i="43" s="1"/>
  <c r="AN116" i="43"/>
  <c r="AN142" i="43" s="1"/>
  <c r="AN190" i="43" s="1"/>
  <c r="AN106" i="43"/>
  <c r="AN132" i="43" s="1"/>
  <c r="AN180" i="43" s="1"/>
  <c r="AN110" i="43"/>
  <c r="AN136" i="43" s="1"/>
  <c r="AN184" i="43" s="1"/>
  <c r="AN114" i="43"/>
  <c r="AN140" i="43" s="1"/>
  <c r="AN188" i="43" s="1"/>
  <c r="AH12" i="36"/>
  <c r="AI224" i="36" s="1"/>
  <c r="AI225" i="36" s="1"/>
  <c r="AH35" i="40"/>
  <c r="AH36" i="40" s="1"/>
  <c r="AH14" i="36" s="1"/>
  <c r="AM69" i="40"/>
  <c r="AM14" i="43"/>
  <c r="AH110" i="36"/>
  <c r="AH115" i="36"/>
  <c r="AH116" i="36"/>
  <c r="AH111" i="36"/>
  <c r="AH114" i="36"/>
  <c r="AH119" i="36"/>
  <c r="AH120" i="36"/>
  <c r="AH105" i="36"/>
  <c r="AH103" i="36"/>
  <c r="AH107" i="36"/>
  <c r="AH109" i="36"/>
  <c r="AH108" i="36"/>
  <c r="AH104" i="36"/>
  <c r="AH118" i="36"/>
  <c r="AH117" i="36"/>
  <c r="AH113" i="36"/>
  <c r="AH112" i="36"/>
  <c r="AH106" i="36"/>
  <c r="AG199" i="36"/>
  <c r="AG169" i="36"/>
  <c r="AM234" i="43"/>
  <c r="AG245" i="36"/>
  <c r="AF119" i="63" s="1"/>
  <c r="AG242" i="36"/>
  <c r="AF116" i="63" s="1"/>
  <c r="AG36" i="40"/>
  <c r="AG14" i="36" s="1"/>
  <c r="AG17" i="39"/>
  <c r="AG18" i="39" s="1"/>
  <c r="AG24" i="39" s="1"/>
  <c r="AG13" i="36"/>
  <c r="AO12" i="37"/>
  <c r="AO66" i="40"/>
  <c r="AM227" i="43"/>
  <c r="AN67" i="40"/>
  <c r="AN68" i="40" s="1"/>
  <c r="AN12" i="43"/>
  <c r="AG177" i="36"/>
  <c r="AG147" i="36"/>
  <c r="AP103" i="30"/>
  <c r="AP54" i="40" s="1"/>
  <c r="AP55" i="40" s="1"/>
  <c r="AP66" i="40" s="1"/>
  <c r="AG239" i="36"/>
  <c r="AF113" i="63" s="1"/>
  <c r="AP181" i="39"/>
  <c r="AT181" i="39"/>
  <c r="AO181" i="39"/>
  <c r="AQ181" i="39"/>
  <c r="AU181" i="39"/>
  <c r="AW181" i="39"/>
  <c r="AN181" i="39"/>
  <c r="AN197" i="39" s="1"/>
  <c r="AN84" i="43" s="1"/>
  <c r="AR181" i="39"/>
  <c r="AV181" i="39"/>
  <c r="AS181" i="39"/>
  <c r="AL199" i="43"/>
  <c r="AL223" i="43" s="1"/>
  <c r="AL242" i="43" s="1"/>
  <c r="AL169" i="43"/>
  <c r="AM199" i="43"/>
  <c r="AM169" i="43"/>
  <c r="AM236" i="43"/>
  <c r="AM240" i="43"/>
  <c r="AM177" i="43"/>
  <c r="AM147" i="43"/>
  <c r="AF242" i="44"/>
  <c r="AE23" i="54" s="1"/>
  <c r="AG226" i="44"/>
  <c r="AG238" i="44"/>
  <c r="AH12" i="44"/>
  <c r="AH103" i="40"/>
  <c r="AH104" i="40" s="1"/>
  <c r="AI101" i="40"/>
  <c r="AI12" i="44" s="1"/>
  <c r="AJ88" i="40"/>
  <c r="AJ89" i="40" s="1"/>
  <c r="AJ13" i="37" s="1"/>
  <c r="BA90" i="30"/>
  <c r="AI143" i="44"/>
  <c r="AI191" i="44" s="1"/>
  <c r="AI141" i="44"/>
  <c r="AI189" i="44" s="1"/>
  <c r="AI144" i="44"/>
  <c r="AI192" i="44" s="1"/>
  <c r="AI134" i="44"/>
  <c r="AI182" i="44" s="1"/>
  <c r="AI137" i="44"/>
  <c r="AI185" i="44" s="1"/>
  <c r="AI146" i="44"/>
  <c r="AI194" i="44" s="1"/>
  <c r="AI138" i="44"/>
  <c r="AI186" i="44" s="1"/>
  <c r="AI131" i="44"/>
  <c r="AI179" i="44" s="1"/>
  <c r="AI135" i="44"/>
  <c r="AI183" i="44" s="1"/>
  <c r="AI136" i="44"/>
  <c r="AI184" i="44" s="1"/>
  <c r="AI140" i="44"/>
  <c r="AI188" i="44" s="1"/>
  <c r="AI139" i="44"/>
  <c r="AI187" i="44" s="1"/>
  <c r="AI132" i="44"/>
  <c r="AI180" i="44" s="1"/>
  <c r="AI130" i="44"/>
  <c r="AI178" i="44" s="1"/>
  <c r="AI142" i="44"/>
  <c r="AI190" i="44" s="1"/>
  <c r="AI145" i="44"/>
  <c r="AI193" i="44" s="1"/>
  <c r="AI129" i="44"/>
  <c r="AI177" i="44" s="1"/>
  <c r="AI133" i="44"/>
  <c r="AI181" i="44" s="1"/>
  <c r="AZ113" i="30"/>
  <c r="AZ115" i="30" s="1"/>
  <c r="BA111" i="30" s="1"/>
  <c r="BA117" i="30" s="1"/>
  <c r="AQ125" i="30" s="1"/>
  <c r="AQ88" i="40" s="1"/>
  <c r="AH161" i="44"/>
  <c r="AH209" i="44" s="1"/>
  <c r="AH233" i="44" s="1"/>
  <c r="AH160" i="44"/>
  <c r="AH208" i="44" s="1"/>
  <c r="AH232" i="44" s="1"/>
  <c r="AH155" i="44"/>
  <c r="AH203" i="44" s="1"/>
  <c r="AH227" i="44" s="1"/>
  <c r="AH157" i="44"/>
  <c r="AH205" i="44" s="1"/>
  <c r="AH229" i="44" s="1"/>
  <c r="AH168" i="44"/>
  <c r="AH216" i="44" s="1"/>
  <c r="AH240" i="44" s="1"/>
  <c r="AH166" i="44"/>
  <c r="AH214" i="44" s="1"/>
  <c r="AH238" i="44" s="1"/>
  <c r="AH152" i="44"/>
  <c r="AH200" i="44" s="1"/>
  <c r="AH224" i="44" s="1"/>
  <c r="AG15" i="44"/>
  <c r="AH156" i="44"/>
  <c r="AH204" i="44" s="1"/>
  <c r="AH228" i="44" s="1"/>
  <c r="AH167" i="44"/>
  <c r="AH215" i="44" s="1"/>
  <c r="AH239" i="44" s="1"/>
  <c r="AH151" i="44"/>
  <c r="AH159" i="44"/>
  <c r="AH207" i="44" s="1"/>
  <c r="AH231" i="44" s="1"/>
  <c r="AH165" i="44"/>
  <c r="AH213" i="44" s="1"/>
  <c r="AH237" i="44" s="1"/>
  <c r="AH164" i="44"/>
  <c r="AH212" i="44" s="1"/>
  <c r="AH236" i="44" s="1"/>
  <c r="AH162" i="44"/>
  <c r="AH210" i="44" s="1"/>
  <c r="AH234" i="44" s="1"/>
  <c r="AH163" i="44"/>
  <c r="AH211" i="44" s="1"/>
  <c r="AH235" i="44" s="1"/>
  <c r="AH154" i="44"/>
  <c r="AH202" i="44" s="1"/>
  <c r="AH226" i="44" s="1"/>
  <c r="AH153" i="44"/>
  <c r="AH201" i="44" s="1"/>
  <c r="AH225" i="44" s="1"/>
  <c r="AH158" i="44"/>
  <c r="AH206" i="44" s="1"/>
  <c r="AH230" i="44" s="1"/>
  <c r="AZ117" i="30"/>
  <c r="AP125" i="30" s="1"/>
  <c r="AP88" i="40" s="1"/>
  <c r="AS68" i="30"/>
  <c r="AS69" i="30"/>
  <c r="AS74" i="30"/>
  <c r="AI82" i="30" s="1"/>
  <c r="AI22" i="40" s="1"/>
  <c r="AI23" i="40" s="1"/>
  <c r="AD23" i="63" l="1"/>
  <c r="AD23" i="54"/>
  <c r="AD23" i="37"/>
  <c r="AD25" i="37" s="1"/>
  <c r="AD27" i="37" s="1"/>
  <c r="AF120" i="63"/>
  <c r="AF108" i="63"/>
  <c r="AE227" i="63"/>
  <c r="AE239" i="63" s="1"/>
  <c r="AF233" i="63"/>
  <c r="AF51" i="67" s="1"/>
  <c r="AF234" i="63"/>
  <c r="AF52" i="67" s="1"/>
  <c r="AF235" i="63"/>
  <c r="AF53" i="67" s="1"/>
  <c r="AF238" i="63"/>
  <c r="AF56" i="67" s="1"/>
  <c r="AF236" i="63"/>
  <c r="AF54" i="67" s="1"/>
  <c r="AF231" i="63"/>
  <c r="AF49" i="67" s="1"/>
  <c r="AF228" i="63"/>
  <c r="AF46" i="67" s="1"/>
  <c r="AF229" i="63"/>
  <c r="AF47" i="67" s="1"/>
  <c r="AF232" i="63"/>
  <c r="AF50" i="67" s="1"/>
  <c r="AD123" i="63"/>
  <c r="AD239" i="63" s="1"/>
  <c r="AD45" i="67"/>
  <c r="AF244" i="44"/>
  <c r="AH139" i="36"/>
  <c r="AH187" i="36" s="1"/>
  <c r="AH134" i="36"/>
  <c r="AH182" i="36" s="1"/>
  <c r="AH131" i="36"/>
  <c r="AH179" i="36" s="1"/>
  <c r="AH137" i="36"/>
  <c r="AH185" i="36" s="1"/>
  <c r="AL244" i="43"/>
  <c r="AK22" i="37"/>
  <c r="AN69" i="40"/>
  <c r="AN14" i="43"/>
  <c r="AH163" i="36"/>
  <c r="AH211" i="36" s="1"/>
  <c r="AH164" i="36"/>
  <c r="AH212" i="36" s="1"/>
  <c r="AH155" i="36"/>
  <c r="AH203" i="36" s="1"/>
  <c r="AH151" i="36"/>
  <c r="AH157" i="36"/>
  <c r="AH205" i="36" s="1"/>
  <c r="AH160" i="36"/>
  <c r="AH208" i="36" s="1"/>
  <c r="AH168" i="36"/>
  <c r="AH216" i="36" s="1"/>
  <c r="AH162" i="36"/>
  <c r="AH210" i="36" s="1"/>
  <c r="AH158" i="36"/>
  <c r="AH206" i="36" s="1"/>
  <c r="AH167" i="36"/>
  <c r="AH215" i="36" s="1"/>
  <c r="AH161" i="36"/>
  <c r="AH209" i="36" s="1"/>
  <c r="AH156" i="36"/>
  <c r="AH204" i="36" s="1"/>
  <c r="AH153" i="36"/>
  <c r="AH201" i="36" s="1"/>
  <c r="AH154" i="36"/>
  <c r="AH202" i="36" s="1"/>
  <c r="AH152" i="36"/>
  <c r="AH200" i="36" s="1"/>
  <c r="AH159" i="36"/>
  <c r="AH207" i="36" s="1"/>
  <c r="AH166" i="36"/>
  <c r="AH214" i="36" s="1"/>
  <c r="AG15" i="36"/>
  <c r="AH165" i="36"/>
  <c r="AH213" i="36" s="1"/>
  <c r="AN159" i="43"/>
  <c r="AN207" i="43" s="1"/>
  <c r="AN231" i="43" s="1"/>
  <c r="AN152" i="43"/>
  <c r="AN200" i="43" s="1"/>
  <c r="AN166" i="43"/>
  <c r="AN214" i="43" s="1"/>
  <c r="AN238" i="43" s="1"/>
  <c r="AN157" i="43"/>
  <c r="AN205" i="43" s="1"/>
  <c r="AN229" i="43" s="1"/>
  <c r="AN156" i="43"/>
  <c r="AN204" i="43" s="1"/>
  <c r="AN228" i="43" s="1"/>
  <c r="AN164" i="43"/>
  <c r="AN212" i="43" s="1"/>
  <c r="AN236" i="43" s="1"/>
  <c r="AM15" i="43"/>
  <c r="AN151" i="43"/>
  <c r="AN168" i="43"/>
  <c r="AN216" i="43" s="1"/>
  <c r="AN240" i="43" s="1"/>
  <c r="AN155" i="43"/>
  <c r="AN203" i="43" s="1"/>
  <c r="AN227" i="43" s="1"/>
  <c r="AN167" i="43"/>
  <c r="AN215" i="43" s="1"/>
  <c r="AN239" i="43" s="1"/>
  <c r="AN161" i="43"/>
  <c r="AN209" i="43" s="1"/>
  <c r="AN233" i="43" s="1"/>
  <c r="AN160" i="43"/>
  <c r="AN208" i="43" s="1"/>
  <c r="AN232" i="43" s="1"/>
  <c r="AN165" i="43"/>
  <c r="AN213" i="43" s="1"/>
  <c r="AN237" i="43" s="1"/>
  <c r="AN162" i="43"/>
  <c r="AN210" i="43" s="1"/>
  <c r="AN234" i="43" s="1"/>
  <c r="AN163" i="43"/>
  <c r="AN211" i="43" s="1"/>
  <c r="AN235" i="43" s="1"/>
  <c r="AN154" i="43"/>
  <c r="AN202" i="43" s="1"/>
  <c r="AN226" i="43" s="1"/>
  <c r="AN153" i="43"/>
  <c r="AN201" i="43" s="1"/>
  <c r="AN225" i="43" s="1"/>
  <c r="AN158" i="43"/>
  <c r="AN206" i="43" s="1"/>
  <c r="AN230" i="43" s="1"/>
  <c r="AM223" i="43"/>
  <c r="AM242" i="43" s="1"/>
  <c r="AG231" i="36"/>
  <c r="AF105" i="63" s="1"/>
  <c r="AH143" i="36"/>
  <c r="AH191" i="36" s="1"/>
  <c r="AH135" i="36"/>
  <c r="AH183" i="36" s="1"/>
  <c r="AH146" i="36"/>
  <c r="AH194" i="36" s="1"/>
  <c r="AH142" i="36"/>
  <c r="AH190" i="36" s="1"/>
  <c r="AN113" i="39"/>
  <c r="AN114" i="39" s="1"/>
  <c r="AN120" i="39" s="1"/>
  <c r="AN13" i="43"/>
  <c r="AH132" i="36"/>
  <c r="AH180" i="36" s="1"/>
  <c r="AH144" i="36"/>
  <c r="AH192" i="36" s="1"/>
  <c r="AH133" i="36"/>
  <c r="AH181" i="36" s="1"/>
  <c r="AH145" i="36"/>
  <c r="AH193" i="36" s="1"/>
  <c r="AH141" i="36"/>
  <c r="AH189" i="36" s="1"/>
  <c r="AI166" i="36"/>
  <c r="AI214" i="36" s="1"/>
  <c r="AI157" i="36"/>
  <c r="AI205" i="36" s="1"/>
  <c r="AI154" i="36"/>
  <c r="AI202" i="36" s="1"/>
  <c r="AI155" i="36"/>
  <c r="AI203" i="36" s="1"/>
  <c r="AI152" i="36"/>
  <c r="AI200" i="36" s="1"/>
  <c r="AI153" i="36"/>
  <c r="AI201" i="36" s="1"/>
  <c r="AI161" i="36"/>
  <c r="AI209" i="36" s="1"/>
  <c r="AI163" i="36"/>
  <c r="AI211" i="36" s="1"/>
  <c r="AI165" i="36"/>
  <c r="AI213" i="36" s="1"/>
  <c r="AI156" i="36"/>
  <c r="AI204" i="36" s="1"/>
  <c r="AI160" i="36"/>
  <c r="AI208" i="36" s="1"/>
  <c r="AI164" i="36"/>
  <c r="AI212" i="36" s="1"/>
  <c r="AH15" i="36"/>
  <c r="AI162" i="36"/>
  <c r="AI210" i="36" s="1"/>
  <c r="AI168" i="36"/>
  <c r="AI216" i="36" s="1"/>
  <c r="AI167" i="36"/>
  <c r="AI215" i="36" s="1"/>
  <c r="AI158" i="36"/>
  <c r="AI206" i="36" s="1"/>
  <c r="AI159" i="36"/>
  <c r="AI207" i="36" s="1"/>
  <c r="AI151" i="36"/>
  <c r="AI14" i="37"/>
  <c r="AI15" i="37" s="1"/>
  <c r="AI34" i="40"/>
  <c r="AP67" i="40"/>
  <c r="AP68" i="40" s="1"/>
  <c r="AP12" i="43"/>
  <c r="AO12" i="43"/>
  <c r="AO67" i="40"/>
  <c r="AO68" i="40" s="1"/>
  <c r="AN224" i="43"/>
  <c r="AO116" i="43"/>
  <c r="AO142" i="43" s="1"/>
  <c r="AO190" i="43" s="1"/>
  <c r="AO103" i="43"/>
  <c r="AO120" i="43"/>
  <c r="AO110" i="43"/>
  <c r="AO115" i="43"/>
  <c r="AO141" i="43" s="1"/>
  <c r="AO189" i="43" s="1"/>
  <c r="AO109" i="43"/>
  <c r="AO117" i="43"/>
  <c r="AO105" i="43"/>
  <c r="AO106" i="43"/>
  <c r="AO132" i="43" s="1"/>
  <c r="AO180" i="43" s="1"/>
  <c r="AO114" i="43"/>
  <c r="AO108" i="43"/>
  <c r="AO112" i="43"/>
  <c r="AO104" i="43"/>
  <c r="AO130" i="43" s="1"/>
  <c r="AO178" i="43" s="1"/>
  <c r="AO107" i="43"/>
  <c r="AO119" i="43"/>
  <c r="AO113" i="43"/>
  <c r="AO111" i="43"/>
  <c r="AO137" i="43" s="1"/>
  <c r="AO185" i="43" s="1"/>
  <c r="AO118" i="43"/>
  <c r="AJ79" i="39"/>
  <c r="AN79" i="39"/>
  <c r="AQ79" i="39"/>
  <c r="AK79" i="39"/>
  <c r="AO79" i="39"/>
  <c r="AI79" i="39"/>
  <c r="AH79" i="39"/>
  <c r="AH101" i="39" s="1"/>
  <c r="AH84" i="36" s="1"/>
  <c r="AL79" i="39"/>
  <c r="AP79" i="39"/>
  <c r="AM79" i="39"/>
  <c r="AH138" i="36"/>
  <c r="AH186" i="36" s="1"/>
  <c r="AH130" i="36"/>
  <c r="AH178" i="36" s="1"/>
  <c r="AH129" i="36"/>
  <c r="AH140" i="36"/>
  <c r="AH188" i="36" s="1"/>
  <c r="AH136" i="36"/>
  <c r="AH184" i="36" s="1"/>
  <c r="AH17" i="39"/>
  <c r="AH18" i="39" s="1"/>
  <c r="AH24" i="39" s="1"/>
  <c r="AH13" i="36"/>
  <c r="AN177" i="43"/>
  <c r="AN147" i="43"/>
  <c r="AE23" i="37"/>
  <c r="AE25" i="37" s="1"/>
  <c r="AE39" i="63" s="1"/>
  <c r="AE23" i="63"/>
  <c r="AG242" i="44"/>
  <c r="AG244" i="44" s="1"/>
  <c r="AD124" i="63"/>
  <c r="AH14" i="44"/>
  <c r="AI160" i="44" s="1"/>
  <c r="AI208" i="44" s="1"/>
  <c r="AI232" i="44" s="1"/>
  <c r="AI102" i="40"/>
  <c r="AI103" i="40" s="1"/>
  <c r="AI14" i="44" s="1"/>
  <c r="AJ101" i="40"/>
  <c r="AJ12" i="44" s="1"/>
  <c r="AK88" i="40"/>
  <c r="AK89" i="40" s="1"/>
  <c r="AK13" i="37" s="1"/>
  <c r="AL88" i="40"/>
  <c r="BA93" i="30"/>
  <c r="BA92" i="30"/>
  <c r="BA94" i="30" s="1"/>
  <c r="BA96" i="30"/>
  <c r="AH199" i="44"/>
  <c r="AH169" i="44"/>
  <c r="BA113" i="30"/>
  <c r="BA115" i="30" s="1"/>
  <c r="BA114" i="30"/>
  <c r="AS70" i="30"/>
  <c r="AT66" i="30" s="1"/>
  <c r="AD39" i="63" l="1"/>
  <c r="AF230" i="63"/>
  <c r="AF48" i="67" s="1"/>
  <c r="AF237" i="63"/>
  <c r="AF55" i="67" s="1"/>
  <c r="AE45" i="67"/>
  <c r="AO138" i="43"/>
  <c r="AO186" i="43" s="1"/>
  <c r="AO145" i="43"/>
  <c r="AO193" i="43" s="1"/>
  <c r="AO134" i="43"/>
  <c r="AO182" i="43" s="1"/>
  <c r="AO143" i="43"/>
  <c r="AO191" i="43" s="1"/>
  <c r="AO146" i="43"/>
  <c r="AO194" i="43" s="1"/>
  <c r="AO139" i="43"/>
  <c r="AO187" i="43" s="1"/>
  <c r="AO131" i="43"/>
  <c r="AO179" i="43" s="1"/>
  <c r="AO144" i="43"/>
  <c r="AO192" i="43" s="1"/>
  <c r="AO133" i="43"/>
  <c r="AO181" i="43" s="1"/>
  <c r="AO140" i="43"/>
  <c r="AO188" i="43" s="1"/>
  <c r="AO135" i="43"/>
  <c r="AO183" i="43" s="1"/>
  <c r="AO129" i="43"/>
  <c r="AO177" i="43" s="1"/>
  <c r="AH238" i="36"/>
  <c r="AG112" i="63" s="1"/>
  <c r="AE124" i="63"/>
  <c r="AH243" i="36"/>
  <c r="AG117" i="63" s="1"/>
  <c r="AH237" i="36"/>
  <c r="AG111" i="63" s="1"/>
  <c r="AH240" i="36"/>
  <c r="AG114" i="63" s="1"/>
  <c r="AH246" i="36"/>
  <c r="AG120" i="63" s="1"/>
  <c r="AH241" i="36"/>
  <c r="AG115" i="63" s="1"/>
  <c r="AH239" i="36"/>
  <c r="AG113" i="63" s="1"/>
  <c r="AH233" i="36"/>
  <c r="AG107" i="63" s="1"/>
  <c r="AE27" i="37"/>
  <c r="AO136" i="43"/>
  <c r="AO184" i="43" s="1"/>
  <c r="AH235" i="36"/>
  <c r="AG109" i="63" s="1"/>
  <c r="AH245" i="36"/>
  <c r="AG119" i="63" s="1"/>
  <c r="AH234" i="36"/>
  <c r="AG108" i="63" s="1"/>
  <c r="AH244" i="36"/>
  <c r="AG118" i="63" s="1"/>
  <c r="AH232" i="36"/>
  <c r="AG106" i="63" s="1"/>
  <c r="AH247" i="36"/>
  <c r="AG121" i="63" s="1"/>
  <c r="AH248" i="36"/>
  <c r="AG122" i="63" s="1"/>
  <c r="AH236" i="36"/>
  <c r="AG110" i="63" s="1"/>
  <c r="AP69" i="40"/>
  <c r="AP14" i="43"/>
  <c r="AQ182" i="39"/>
  <c r="AU182" i="39"/>
  <c r="AP182" i="39"/>
  <c r="AR182" i="39"/>
  <c r="AV182" i="39"/>
  <c r="AX182" i="39"/>
  <c r="AO182" i="39"/>
  <c r="AO197" i="39" s="1"/>
  <c r="AO84" i="43" s="1"/>
  <c r="AS182" i="39"/>
  <c r="AW182" i="39"/>
  <c r="AT182" i="39"/>
  <c r="AO158" i="43"/>
  <c r="AO206" i="43" s="1"/>
  <c r="AO154" i="43"/>
  <c r="AO202" i="43" s="1"/>
  <c r="AO226" i="43" s="1"/>
  <c r="AO168" i="43"/>
  <c r="AO216" i="43" s="1"/>
  <c r="AO156" i="43"/>
  <c r="AO204" i="43" s="1"/>
  <c r="AO228" i="43" s="1"/>
  <c r="AN15" i="43"/>
  <c r="AO160" i="43"/>
  <c r="AO208" i="43" s="1"/>
  <c r="AO232" i="43" s="1"/>
  <c r="AO167" i="43"/>
  <c r="AO215" i="43" s="1"/>
  <c r="AO239" i="43" s="1"/>
  <c r="AO164" i="43"/>
  <c r="AO212" i="43" s="1"/>
  <c r="AO236" i="43" s="1"/>
  <c r="AO159" i="43"/>
  <c r="AO207" i="43" s="1"/>
  <c r="AO231" i="43" s="1"/>
  <c r="AO157" i="43"/>
  <c r="AO205" i="43" s="1"/>
  <c r="AO161" i="43"/>
  <c r="AO209" i="43" s="1"/>
  <c r="AO233" i="43" s="1"/>
  <c r="AO153" i="43"/>
  <c r="AO201" i="43" s="1"/>
  <c r="AO163" i="43"/>
  <c r="AO211" i="43" s="1"/>
  <c r="AO235" i="43" s="1"/>
  <c r="AO162" i="43"/>
  <c r="AO210" i="43" s="1"/>
  <c r="AO165" i="43"/>
  <c r="AO213" i="43" s="1"/>
  <c r="AO151" i="43"/>
  <c r="AO166" i="43"/>
  <c r="AO214" i="43" s="1"/>
  <c r="AO238" i="43" s="1"/>
  <c r="AO155" i="43"/>
  <c r="AO203" i="43" s="1"/>
  <c r="AO227" i="43" s="1"/>
  <c r="AO152" i="43"/>
  <c r="AO200" i="43" s="1"/>
  <c r="AO224" i="43" s="1"/>
  <c r="AI104" i="36"/>
  <c r="AI130" i="36" s="1"/>
  <c r="AI178" i="36" s="1"/>
  <c r="AI232" i="36" s="1"/>
  <c r="AI119" i="36"/>
  <c r="AI145" i="36" s="1"/>
  <c r="AI193" i="36" s="1"/>
  <c r="AI247" i="36" s="1"/>
  <c r="AI113" i="36"/>
  <c r="AI139" i="36" s="1"/>
  <c r="AI187" i="36" s="1"/>
  <c r="AI241" i="36" s="1"/>
  <c r="AI112" i="36"/>
  <c r="AI138" i="36" s="1"/>
  <c r="AI186" i="36" s="1"/>
  <c r="AI240" i="36" s="1"/>
  <c r="AH114" i="63" s="1"/>
  <c r="AI117" i="36"/>
  <c r="AI143" i="36" s="1"/>
  <c r="AI191" i="36" s="1"/>
  <c r="AI245" i="36" s="1"/>
  <c r="AI106" i="36"/>
  <c r="AI132" i="36" s="1"/>
  <c r="AI180" i="36" s="1"/>
  <c r="AI234" i="36" s="1"/>
  <c r="AI108" i="36"/>
  <c r="AI134" i="36" s="1"/>
  <c r="AI182" i="36" s="1"/>
  <c r="AI236" i="36" s="1"/>
  <c r="AI118" i="36"/>
  <c r="AI144" i="36" s="1"/>
  <c r="AI192" i="36" s="1"/>
  <c r="AI246" i="36" s="1"/>
  <c r="AI105" i="36"/>
  <c r="AI131" i="36" s="1"/>
  <c r="AI179" i="36" s="1"/>
  <c r="AI233" i="36" s="1"/>
  <c r="AI109" i="36"/>
  <c r="AI135" i="36" s="1"/>
  <c r="AI183" i="36" s="1"/>
  <c r="AI237" i="36" s="1"/>
  <c r="AI111" i="36"/>
  <c r="AI137" i="36" s="1"/>
  <c r="AI185" i="36" s="1"/>
  <c r="AI239" i="36" s="1"/>
  <c r="AI120" i="36"/>
  <c r="AI146" i="36" s="1"/>
  <c r="AI194" i="36" s="1"/>
  <c r="AI248" i="36" s="1"/>
  <c r="AI116" i="36"/>
  <c r="AI142" i="36" s="1"/>
  <c r="AI190" i="36" s="1"/>
  <c r="AI244" i="36" s="1"/>
  <c r="AI110" i="36"/>
  <c r="AI136" i="36" s="1"/>
  <c r="AI184" i="36" s="1"/>
  <c r="AI238" i="36" s="1"/>
  <c r="AI103" i="36"/>
  <c r="AI129" i="36" s="1"/>
  <c r="AI115" i="36"/>
  <c r="AI141" i="36" s="1"/>
  <c r="AI189" i="36" s="1"/>
  <c r="AI243" i="36" s="1"/>
  <c r="AI107" i="36"/>
  <c r="AI133" i="36" s="1"/>
  <c r="AI181" i="36" s="1"/>
  <c r="AI235" i="36" s="1"/>
  <c r="AI114" i="36"/>
  <c r="AI140" i="36" s="1"/>
  <c r="AI188" i="36" s="1"/>
  <c r="AI242" i="36" s="1"/>
  <c r="AG250" i="36"/>
  <c r="AF227" i="63"/>
  <c r="AQ103" i="30"/>
  <c r="AQ54" i="40" s="1"/>
  <c r="AQ55" i="40" s="1"/>
  <c r="AQ66" i="40" s="1"/>
  <c r="AN169" i="43"/>
  <c r="AN199" i="43"/>
  <c r="AN223" i="43" s="1"/>
  <c r="AN242" i="43" s="1"/>
  <c r="AH199" i="36"/>
  <c r="AH169" i="36"/>
  <c r="AH242" i="36"/>
  <c r="AG116" i="63" s="1"/>
  <c r="AO69" i="40"/>
  <c r="AO14" i="43"/>
  <c r="AK80" i="39"/>
  <c r="AO80" i="39"/>
  <c r="AJ80" i="39"/>
  <c r="AL80" i="39"/>
  <c r="AP80" i="39"/>
  <c r="AN80" i="39"/>
  <c r="AI80" i="39"/>
  <c r="AI101" i="39" s="1"/>
  <c r="AI84" i="36" s="1"/>
  <c r="AM80" i="39"/>
  <c r="AQ80" i="39"/>
  <c r="AR80" i="39"/>
  <c r="AI35" i="40"/>
  <c r="AI12" i="36"/>
  <c r="AJ224" i="36" s="1"/>
  <c r="AJ225" i="36" s="1"/>
  <c r="AH177" i="36"/>
  <c r="AH147" i="36"/>
  <c r="AO113" i="39"/>
  <c r="AO114" i="39" s="1"/>
  <c r="AO120" i="39" s="1"/>
  <c r="AO13" i="43"/>
  <c r="AP13" i="43"/>
  <c r="AP113" i="39"/>
  <c r="AP114" i="39" s="1"/>
  <c r="AP120" i="39" s="1"/>
  <c r="AI199" i="36"/>
  <c r="AI169" i="36"/>
  <c r="AL22" i="37"/>
  <c r="AM244" i="43"/>
  <c r="AF23" i="63"/>
  <c r="AF23" i="54"/>
  <c r="AF23" i="37"/>
  <c r="AI161" i="44"/>
  <c r="AI209" i="44" s="1"/>
  <c r="AI233" i="44" s="1"/>
  <c r="AH223" i="44"/>
  <c r="AI166" i="44"/>
  <c r="AI214" i="44" s="1"/>
  <c r="AI238" i="44" s="1"/>
  <c r="AI104" i="40"/>
  <c r="AI164" i="44"/>
  <c r="AI212" i="44" s="1"/>
  <c r="AI236" i="44" s="1"/>
  <c r="AI163" i="44"/>
  <c r="AI211" i="44" s="1"/>
  <c r="AI235" i="44" s="1"/>
  <c r="AI156" i="44"/>
  <c r="AI204" i="44" s="1"/>
  <c r="AI228" i="44" s="1"/>
  <c r="AI159" i="44"/>
  <c r="AI207" i="44" s="1"/>
  <c r="AI231" i="44" s="1"/>
  <c r="AI155" i="44"/>
  <c r="AI203" i="44" s="1"/>
  <c r="AI227" i="44" s="1"/>
  <c r="AH15" i="44"/>
  <c r="AI154" i="44"/>
  <c r="AI202" i="44" s="1"/>
  <c r="AI226" i="44" s="1"/>
  <c r="AI152" i="44"/>
  <c r="AI200" i="44" s="1"/>
  <c r="AI224" i="44" s="1"/>
  <c r="AI168" i="44"/>
  <c r="AI216" i="44" s="1"/>
  <c r="AI240" i="44" s="1"/>
  <c r="AI162" i="44"/>
  <c r="AI210" i="44" s="1"/>
  <c r="AI234" i="44" s="1"/>
  <c r="AI167" i="44"/>
  <c r="AI215" i="44" s="1"/>
  <c r="AI239" i="44" s="1"/>
  <c r="AI151" i="44"/>
  <c r="AI199" i="44" s="1"/>
  <c r="AI223" i="44" s="1"/>
  <c r="AI157" i="44"/>
  <c r="AI205" i="44" s="1"/>
  <c r="AI229" i="44" s="1"/>
  <c r="AI153" i="44"/>
  <c r="AI201" i="44" s="1"/>
  <c r="AI225" i="44" s="1"/>
  <c r="AI158" i="44"/>
  <c r="AI206" i="44" s="1"/>
  <c r="AI230" i="44" s="1"/>
  <c r="AI165" i="44"/>
  <c r="AI213" i="44" s="1"/>
  <c r="AI237" i="44" s="1"/>
  <c r="AI13" i="44"/>
  <c r="AL89" i="40"/>
  <c r="AL101" i="40" s="1"/>
  <c r="AJ102" i="40"/>
  <c r="AJ13" i="44" s="1"/>
  <c r="AK132" i="44" s="1"/>
  <c r="AK180" i="44" s="1"/>
  <c r="AK101" i="40"/>
  <c r="AK102" i="40" s="1"/>
  <c r="AK13" i="44" s="1"/>
  <c r="BB90" i="30"/>
  <c r="BB92" i="30" s="1"/>
  <c r="BB94" i="30" s="1"/>
  <c r="AJ165" i="44"/>
  <c r="AJ213" i="44" s="1"/>
  <c r="AJ168" i="44"/>
  <c r="AJ216" i="44" s="1"/>
  <c r="AJ167" i="44"/>
  <c r="AJ215" i="44" s="1"/>
  <c r="AJ155" i="44"/>
  <c r="AJ203" i="44" s="1"/>
  <c r="AJ159" i="44"/>
  <c r="AJ207" i="44" s="1"/>
  <c r="AI15" i="44"/>
  <c r="AJ166" i="44"/>
  <c r="AJ214" i="44" s="1"/>
  <c r="AJ162" i="44"/>
  <c r="AJ210" i="44" s="1"/>
  <c r="AJ163" i="44"/>
  <c r="AJ211" i="44" s="1"/>
  <c r="AJ154" i="44"/>
  <c r="AJ202" i="44" s="1"/>
  <c r="AJ156" i="44"/>
  <c r="AJ204" i="44" s="1"/>
  <c r="AJ158" i="44"/>
  <c r="AJ206" i="44" s="1"/>
  <c r="AJ152" i="44"/>
  <c r="AJ200" i="44" s="1"/>
  <c r="AJ164" i="44"/>
  <c r="AJ212" i="44" s="1"/>
  <c r="AJ160" i="44"/>
  <c r="AJ208" i="44" s="1"/>
  <c r="AJ151" i="44"/>
  <c r="AJ157" i="44"/>
  <c r="AJ205" i="44" s="1"/>
  <c r="AJ161" i="44"/>
  <c r="AJ209" i="44" s="1"/>
  <c r="AJ153" i="44"/>
  <c r="AJ201" i="44" s="1"/>
  <c r="BB111" i="30"/>
  <c r="AT74" i="30"/>
  <c r="AJ82" i="30" s="1"/>
  <c r="AJ22" i="40" s="1"/>
  <c r="AJ23" i="40" s="1"/>
  <c r="AT69" i="30"/>
  <c r="AT68" i="30"/>
  <c r="AH113" i="63" l="1"/>
  <c r="AH110" i="63"/>
  <c r="AH115" i="63"/>
  <c r="AH112" i="63"/>
  <c r="AH108" i="63"/>
  <c r="AH111" i="63"/>
  <c r="AH121" i="63"/>
  <c r="AH109" i="63"/>
  <c r="AH118" i="63"/>
  <c r="AH107" i="63"/>
  <c r="AH119" i="63"/>
  <c r="AH106" i="63"/>
  <c r="AH116" i="63"/>
  <c r="AH117" i="63"/>
  <c r="AH122" i="63"/>
  <c r="AH120" i="63"/>
  <c r="AG230" i="63"/>
  <c r="AG48" i="67" s="1"/>
  <c r="AG237" i="63"/>
  <c r="AG55" i="67" s="1"/>
  <c r="AG232" i="63"/>
  <c r="AG50" i="67" s="1"/>
  <c r="AG238" i="63"/>
  <c r="AG56" i="67" s="1"/>
  <c r="AG236" i="63"/>
  <c r="AG54" i="67" s="1"/>
  <c r="AG229" i="63"/>
  <c r="AG47" i="67" s="1"/>
  <c r="AG235" i="63"/>
  <c r="AG53" i="67" s="1"/>
  <c r="AG234" i="63"/>
  <c r="AG52" i="67" s="1"/>
  <c r="AG228" i="63"/>
  <c r="AG46" i="67" s="1"/>
  <c r="AG231" i="63"/>
  <c r="AG49" i="67" s="1"/>
  <c r="AG233" i="63"/>
  <c r="AG51" i="67" s="1"/>
  <c r="AF123" i="63"/>
  <c r="AF239" i="63" s="1"/>
  <c r="AF45" i="67"/>
  <c r="AO234" i="43"/>
  <c r="AO240" i="43"/>
  <c r="AO225" i="43"/>
  <c r="AO237" i="43"/>
  <c r="AO229" i="43"/>
  <c r="AO147" i="43"/>
  <c r="AO230" i="43"/>
  <c r="AH231" i="36"/>
  <c r="AI177" i="36"/>
  <c r="AI231" i="36" s="1"/>
  <c r="AI147" i="36"/>
  <c r="AO199" i="43"/>
  <c r="AO223" i="43" s="1"/>
  <c r="AO169" i="43"/>
  <c r="AJ14" i="37"/>
  <c r="AJ15" i="37" s="1"/>
  <c r="AJ34" i="40"/>
  <c r="AI13" i="36"/>
  <c r="AI17" i="39"/>
  <c r="AI18" i="39" s="1"/>
  <c r="AI24" i="39" s="1"/>
  <c r="AP160" i="43"/>
  <c r="AP208" i="43" s="1"/>
  <c r="AP167" i="43"/>
  <c r="AP215" i="43" s="1"/>
  <c r="AP151" i="43"/>
  <c r="AO15" i="43"/>
  <c r="AP159" i="43"/>
  <c r="AP207" i="43" s="1"/>
  <c r="AP168" i="43"/>
  <c r="AP216" i="43" s="1"/>
  <c r="AP155" i="43"/>
  <c r="AP203" i="43" s="1"/>
  <c r="AP162" i="43"/>
  <c r="AP210" i="43" s="1"/>
  <c r="AP163" i="43"/>
  <c r="AP211" i="43" s="1"/>
  <c r="AP157" i="43"/>
  <c r="AP205" i="43" s="1"/>
  <c r="AP152" i="43"/>
  <c r="AP200" i="43" s="1"/>
  <c r="AP166" i="43"/>
  <c r="AP214" i="43" s="1"/>
  <c r="AP153" i="43"/>
  <c r="AP201" i="43" s="1"/>
  <c r="AP156" i="43"/>
  <c r="AP204" i="43" s="1"/>
  <c r="AP154" i="43"/>
  <c r="AP202" i="43" s="1"/>
  <c r="AP164" i="43"/>
  <c r="AP212" i="43" s="1"/>
  <c r="AP165" i="43"/>
  <c r="AP213" i="43" s="1"/>
  <c r="AP158" i="43"/>
  <c r="AP206" i="43" s="1"/>
  <c r="AP161" i="43"/>
  <c r="AP209" i="43" s="1"/>
  <c r="AG252" i="36"/>
  <c r="AF24" i="37"/>
  <c r="AF25" i="37" s="1"/>
  <c r="AF39" i="63" s="1"/>
  <c r="AQ183" i="39"/>
  <c r="AT183" i="39"/>
  <c r="AX183" i="39"/>
  <c r="AP183" i="39"/>
  <c r="AP197" i="39" s="1"/>
  <c r="AP84" i="43" s="1"/>
  <c r="AU183" i="39"/>
  <c r="AY183" i="39"/>
  <c r="AS183" i="39"/>
  <c r="AR183" i="39"/>
  <c r="AV183" i="39"/>
  <c r="AW183" i="39"/>
  <c r="AM22" i="37"/>
  <c r="AN244" i="43"/>
  <c r="AJ104" i="36"/>
  <c r="AJ110" i="36"/>
  <c r="AJ105" i="36"/>
  <c r="AJ111" i="36"/>
  <c r="AJ120" i="36"/>
  <c r="AJ115" i="36"/>
  <c r="AJ106" i="36"/>
  <c r="AJ119" i="36"/>
  <c r="AJ107" i="36"/>
  <c r="AJ118" i="36"/>
  <c r="AJ116" i="36"/>
  <c r="AJ113" i="36"/>
  <c r="AJ117" i="36"/>
  <c r="AJ108" i="36"/>
  <c r="AJ103" i="36"/>
  <c r="AJ112" i="36"/>
  <c r="AJ114" i="36"/>
  <c r="AJ109" i="36"/>
  <c r="AQ12" i="43"/>
  <c r="AQ67" i="40"/>
  <c r="AQ68" i="40" s="1"/>
  <c r="AQ167" i="43"/>
  <c r="AQ215" i="43" s="1"/>
  <c r="AQ160" i="43"/>
  <c r="AQ208" i="43" s="1"/>
  <c r="AQ151" i="43"/>
  <c r="AQ155" i="43"/>
  <c r="AQ203" i="43" s="1"/>
  <c r="AQ165" i="43"/>
  <c r="AQ213" i="43" s="1"/>
  <c r="AQ153" i="43"/>
  <c r="AQ201" i="43" s="1"/>
  <c r="AP15" i="43"/>
  <c r="AQ163" i="43"/>
  <c r="AQ211" i="43" s="1"/>
  <c r="AQ162" i="43"/>
  <c r="AQ210" i="43" s="1"/>
  <c r="AQ157" i="43"/>
  <c r="AQ205" i="43" s="1"/>
  <c r="AQ156" i="43"/>
  <c r="AQ204" i="43" s="1"/>
  <c r="AQ154" i="43"/>
  <c r="AQ202" i="43" s="1"/>
  <c r="AQ166" i="43"/>
  <c r="AQ214" i="43" s="1"/>
  <c r="AQ161" i="43"/>
  <c r="AQ209" i="43" s="1"/>
  <c r="AQ168" i="43"/>
  <c r="AQ216" i="43" s="1"/>
  <c r="AQ152" i="43"/>
  <c r="AQ200" i="43" s="1"/>
  <c r="AQ159" i="43"/>
  <c r="AQ207" i="43" s="1"/>
  <c r="AQ164" i="43"/>
  <c r="AQ212" i="43" s="1"/>
  <c r="AQ158" i="43"/>
  <c r="AQ206" i="43" s="1"/>
  <c r="AQ184" i="39"/>
  <c r="AU184" i="39"/>
  <c r="AY184" i="39"/>
  <c r="AX184" i="39"/>
  <c r="AR184" i="39"/>
  <c r="AV184" i="39"/>
  <c r="AZ184" i="39"/>
  <c r="AT184" i="39"/>
  <c r="AS184" i="39"/>
  <c r="AW184" i="39"/>
  <c r="AI36" i="40"/>
  <c r="AI14" i="36" s="1"/>
  <c r="AP107" i="43"/>
  <c r="AP133" i="43" s="1"/>
  <c r="AP181" i="43" s="1"/>
  <c r="AP118" i="43"/>
  <c r="AP144" i="43" s="1"/>
  <c r="AP192" i="43" s="1"/>
  <c r="AP120" i="43"/>
  <c r="AP146" i="43" s="1"/>
  <c r="AP194" i="43" s="1"/>
  <c r="AP114" i="43"/>
  <c r="AP140" i="43" s="1"/>
  <c r="AP188" i="43" s="1"/>
  <c r="AP113" i="43"/>
  <c r="AP139" i="43" s="1"/>
  <c r="AP187" i="43" s="1"/>
  <c r="AP116" i="43"/>
  <c r="AP142" i="43" s="1"/>
  <c r="AP190" i="43" s="1"/>
  <c r="AP103" i="43"/>
  <c r="AP129" i="43" s="1"/>
  <c r="AP110" i="43"/>
  <c r="AP136" i="43" s="1"/>
  <c r="AP184" i="43" s="1"/>
  <c r="AP111" i="43"/>
  <c r="AP137" i="43" s="1"/>
  <c r="AP185" i="43" s="1"/>
  <c r="AP117" i="43"/>
  <c r="AP143" i="43" s="1"/>
  <c r="AP191" i="43" s="1"/>
  <c r="AP108" i="43"/>
  <c r="AP134" i="43" s="1"/>
  <c r="AP182" i="43" s="1"/>
  <c r="AP119" i="43"/>
  <c r="AP145" i="43" s="1"/>
  <c r="AP193" i="43" s="1"/>
  <c r="AP115" i="43"/>
  <c r="AP141" i="43" s="1"/>
  <c r="AP189" i="43" s="1"/>
  <c r="AP109" i="43"/>
  <c r="AP135" i="43" s="1"/>
  <c r="AP183" i="43" s="1"/>
  <c r="AP105" i="43"/>
  <c r="AP131" i="43" s="1"/>
  <c r="AP179" i="43" s="1"/>
  <c r="AP112" i="43"/>
  <c r="AP138" i="43" s="1"/>
  <c r="AP186" i="43" s="1"/>
  <c r="AP104" i="43"/>
  <c r="AP130" i="43" s="1"/>
  <c r="AP178" i="43" s="1"/>
  <c r="AP106" i="43"/>
  <c r="AP132" i="43" s="1"/>
  <c r="AP180" i="43" s="1"/>
  <c r="AH242" i="44"/>
  <c r="AG23" i="63" s="1"/>
  <c r="AK12" i="44"/>
  <c r="AK146" i="44"/>
  <c r="AK194" i="44" s="1"/>
  <c r="AK138" i="44"/>
  <c r="AK186" i="44" s="1"/>
  <c r="AK130" i="44"/>
  <c r="AK178" i="44" s="1"/>
  <c r="AK142" i="44"/>
  <c r="AK190" i="44" s="1"/>
  <c r="AK143" i="44"/>
  <c r="AK191" i="44" s="1"/>
  <c r="AK139" i="44"/>
  <c r="AK187" i="44" s="1"/>
  <c r="AK137" i="44"/>
  <c r="AK185" i="44" s="1"/>
  <c r="AK145" i="44"/>
  <c r="AK193" i="44" s="1"/>
  <c r="AK135" i="44"/>
  <c r="AK183" i="44" s="1"/>
  <c r="AK129" i="44"/>
  <c r="AK177" i="44" s="1"/>
  <c r="AK140" i="44"/>
  <c r="AK188" i="44" s="1"/>
  <c r="AK136" i="44"/>
  <c r="AK184" i="44" s="1"/>
  <c r="AK133" i="44"/>
  <c r="AK181" i="44" s="1"/>
  <c r="AK134" i="44"/>
  <c r="AK182" i="44" s="1"/>
  <c r="AK131" i="44"/>
  <c r="AK179" i="44" s="1"/>
  <c r="AK141" i="44"/>
  <c r="AK189" i="44" s="1"/>
  <c r="AK144" i="44"/>
  <c r="AK192" i="44" s="1"/>
  <c r="AI169" i="44"/>
  <c r="AI242" i="44"/>
  <c r="AL13" i="37"/>
  <c r="AJ138" i="44"/>
  <c r="AJ186" i="44" s="1"/>
  <c r="AJ232" i="44" s="1"/>
  <c r="AJ141" i="44"/>
  <c r="AJ189" i="44" s="1"/>
  <c r="AJ235" i="44" s="1"/>
  <c r="AJ139" i="44"/>
  <c r="AJ187" i="44" s="1"/>
  <c r="AJ233" i="44" s="1"/>
  <c r="AJ132" i="44"/>
  <c r="AJ180" i="44" s="1"/>
  <c r="AJ226" i="44" s="1"/>
  <c r="AJ130" i="44"/>
  <c r="AJ178" i="44" s="1"/>
  <c r="AJ224" i="44" s="1"/>
  <c r="AJ129" i="44"/>
  <c r="AJ177" i="44" s="1"/>
  <c r="AJ131" i="44"/>
  <c r="AJ179" i="44" s="1"/>
  <c r="AJ225" i="44" s="1"/>
  <c r="AJ142" i="44"/>
  <c r="AJ190" i="44" s="1"/>
  <c r="AJ236" i="44" s="1"/>
  <c r="AJ146" i="44"/>
  <c r="AJ194" i="44" s="1"/>
  <c r="AJ240" i="44" s="1"/>
  <c r="AJ134" i="44"/>
  <c r="AJ182" i="44" s="1"/>
  <c r="AJ228" i="44" s="1"/>
  <c r="AJ140" i="44"/>
  <c r="AJ188" i="44" s="1"/>
  <c r="AJ234" i="44" s="1"/>
  <c r="AJ145" i="44"/>
  <c r="AJ193" i="44" s="1"/>
  <c r="AJ239" i="44" s="1"/>
  <c r="AJ137" i="44"/>
  <c r="AJ185" i="44" s="1"/>
  <c r="AJ231" i="44" s="1"/>
  <c r="AJ144" i="44"/>
  <c r="AJ192" i="44" s="1"/>
  <c r="AJ238" i="44" s="1"/>
  <c r="AJ136" i="44"/>
  <c r="AJ184" i="44" s="1"/>
  <c r="AJ230" i="44" s="1"/>
  <c r="AJ143" i="44"/>
  <c r="AJ191" i="44" s="1"/>
  <c r="AJ237" i="44" s="1"/>
  <c r="AJ133" i="44"/>
  <c r="AJ181" i="44" s="1"/>
  <c r="AJ227" i="44" s="1"/>
  <c r="AJ135" i="44"/>
  <c r="AJ183" i="44" s="1"/>
  <c r="AJ229" i="44" s="1"/>
  <c r="AJ103" i="40"/>
  <c r="BB93" i="30"/>
  <c r="BC90" i="30" s="1"/>
  <c r="BC96" i="30" s="1"/>
  <c r="BB96" i="30"/>
  <c r="AK103" i="40"/>
  <c r="AK14" i="44" s="1"/>
  <c r="AL102" i="40"/>
  <c r="AL13" i="44" s="1"/>
  <c r="AL12" i="44"/>
  <c r="AJ199" i="44"/>
  <c r="AJ169" i="44"/>
  <c r="AL143" i="44"/>
  <c r="AL191" i="44" s="1"/>
  <c r="AL139" i="44"/>
  <c r="AL187" i="44" s="1"/>
  <c r="AL144" i="44"/>
  <c r="AL192" i="44" s="1"/>
  <c r="AL130" i="44"/>
  <c r="AL178" i="44" s="1"/>
  <c r="AL137" i="44"/>
  <c r="AL185" i="44" s="1"/>
  <c r="AL145" i="44"/>
  <c r="AL193" i="44" s="1"/>
  <c r="AL146" i="44"/>
  <c r="AL194" i="44" s="1"/>
  <c r="AL141" i="44"/>
  <c r="AL189" i="44" s="1"/>
  <c r="AL135" i="44"/>
  <c r="AL183" i="44" s="1"/>
  <c r="AL129" i="44"/>
  <c r="AL177" i="44" s="1"/>
  <c r="AL136" i="44"/>
  <c r="AL184" i="44" s="1"/>
  <c r="AL140" i="44"/>
  <c r="AL188" i="44" s="1"/>
  <c r="AL138" i="44"/>
  <c r="AL186" i="44" s="1"/>
  <c r="AL134" i="44"/>
  <c r="AL182" i="44" s="1"/>
  <c r="AL131" i="44"/>
  <c r="AL179" i="44" s="1"/>
  <c r="AL142" i="44"/>
  <c r="AL190" i="44" s="1"/>
  <c r="AL132" i="44"/>
  <c r="AL180" i="44" s="1"/>
  <c r="AL133" i="44"/>
  <c r="AL181" i="44" s="1"/>
  <c r="BB114" i="30"/>
  <c r="BB117" i="30"/>
  <c r="AR125" i="30" s="1"/>
  <c r="AR88" i="40" s="1"/>
  <c r="BB113" i="30"/>
  <c r="BB115" i="30" s="1"/>
  <c r="AT70" i="30"/>
  <c r="AQ197" i="39" l="1"/>
  <c r="AQ84" i="43" s="1"/>
  <c r="AH250" i="36"/>
  <c r="AG24" i="37" s="1"/>
  <c r="AG105" i="63"/>
  <c r="AG227" i="63" s="1"/>
  <c r="AI250" i="36"/>
  <c r="AH24" i="37" s="1"/>
  <c r="AH105" i="63"/>
  <c r="AH227" i="63" s="1"/>
  <c r="AH235" i="63"/>
  <c r="AH53" i="67" s="1"/>
  <c r="AH233" i="63"/>
  <c r="AH51" i="67" s="1"/>
  <c r="AH230" i="63"/>
  <c r="AH48" i="67" s="1"/>
  <c r="AH232" i="63"/>
  <c r="AH50" i="67" s="1"/>
  <c r="AH234" i="63"/>
  <c r="AH52" i="67" s="1"/>
  <c r="AH231" i="63"/>
  <c r="AH49" i="67" s="1"/>
  <c r="AH238" i="63"/>
  <c r="AH56" i="67" s="1"/>
  <c r="AH229" i="63"/>
  <c r="AH47" i="67" s="1"/>
  <c r="AH228" i="63"/>
  <c r="AH46" i="67" s="1"/>
  <c r="AH237" i="63"/>
  <c r="AH55" i="67" s="1"/>
  <c r="AH236" i="63"/>
  <c r="AH54" i="67" s="1"/>
  <c r="AP230" i="43"/>
  <c r="AO242" i="43"/>
  <c r="AN22" i="37" s="1"/>
  <c r="AF124" i="63"/>
  <c r="AP225" i="43"/>
  <c r="AP232" i="43"/>
  <c r="AP238" i="43"/>
  <c r="AP233" i="43"/>
  <c r="AP226" i="43"/>
  <c r="AP224" i="43"/>
  <c r="AP227" i="43"/>
  <c r="AS103" i="30"/>
  <c r="AS54" i="40" s="1"/>
  <c r="AQ107" i="43"/>
  <c r="AQ133" i="43" s="1"/>
  <c r="AQ181" i="43" s="1"/>
  <c r="AQ227" i="43" s="1"/>
  <c r="AQ106" i="43"/>
  <c r="AQ132" i="43" s="1"/>
  <c r="AQ180" i="43" s="1"/>
  <c r="AQ226" i="43" s="1"/>
  <c r="AQ105" i="43"/>
  <c r="AQ131" i="43" s="1"/>
  <c r="AQ179" i="43" s="1"/>
  <c r="AQ225" i="43" s="1"/>
  <c r="AQ104" i="43"/>
  <c r="AQ130" i="43" s="1"/>
  <c r="AQ178" i="43" s="1"/>
  <c r="AQ224" i="43" s="1"/>
  <c r="AQ112" i="43"/>
  <c r="AQ138" i="43" s="1"/>
  <c r="AQ186" i="43" s="1"/>
  <c r="AQ232" i="43" s="1"/>
  <c r="AQ117" i="43"/>
  <c r="AQ143" i="43" s="1"/>
  <c r="AQ191" i="43" s="1"/>
  <c r="AQ237" i="43" s="1"/>
  <c r="AQ111" i="43"/>
  <c r="AQ137" i="43" s="1"/>
  <c r="AQ185" i="43" s="1"/>
  <c r="AQ231" i="43" s="1"/>
  <c r="AQ110" i="43"/>
  <c r="AQ136" i="43" s="1"/>
  <c r="AQ184" i="43" s="1"/>
  <c r="AQ230" i="43" s="1"/>
  <c r="AQ109" i="43"/>
  <c r="AQ135" i="43" s="1"/>
  <c r="AQ183" i="43" s="1"/>
  <c r="AQ229" i="43" s="1"/>
  <c r="AQ120" i="43"/>
  <c r="AQ146" i="43" s="1"/>
  <c r="AQ194" i="43" s="1"/>
  <c r="AQ119" i="43"/>
  <c r="AQ145" i="43" s="1"/>
  <c r="AQ193" i="43" s="1"/>
  <c r="AQ239" i="43" s="1"/>
  <c r="AQ108" i="43"/>
  <c r="AQ134" i="43" s="1"/>
  <c r="AQ182" i="43" s="1"/>
  <c r="AQ228" i="43" s="1"/>
  <c r="AQ115" i="43"/>
  <c r="AQ141" i="43" s="1"/>
  <c r="AQ189" i="43" s="1"/>
  <c r="AQ235" i="43" s="1"/>
  <c r="AQ114" i="43"/>
  <c r="AQ140" i="43" s="1"/>
  <c r="AQ188" i="43" s="1"/>
  <c r="AQ234" i="43" s="1"/>
  <c r="AQ113" i="43"/>
  <c r="AQ139" i="43" s="1"/>
  <c r="AQ187" i="43" s="1"/>
  <c r="AQ233" i="43" s="1"/>
  <c r="AQ116" i="43"/>
  <c r="AQ142" i="43" s="1"/>
  <c r="AQ190" i="43" s="1"/>
  <c r="AQ236" i="43" s="1"/>
  <c r="AQ103" i="43"/>
  <c r="AQ129" i="43" s="1"/>
  <c r="AQ118" i="43"/>
  <c r="AQ144" i="43" s="1"/>
  <c r="AQ192" i="43" s="1"/>
  <c r="AQ238" i="43" s="1"/>
  <c r="AP177" i="43"/>
  <c r="AP147" i="43"/>
  <c r="AJ166" i="36"/>
  <c r="AJ214" i="36" s="1"/>
  <c r="AJ165" i="36"/>
  <c r="AJ213" i="36" s="1"/>
  <c r="AJ164" i="36"/>
  <c r="AJ212" i="36" s="1"/>
  <c r="AJ152" i="36"/>
  <c r="AJ200" i="36" s="1"/>
  <c r="AJ168" i="36"/>
  <c r="AJ216" i="36" s="1"/>
  <c r="AJ162" i="36"/>
  <c r="AJ210" i="36" s="1"/>
  <c r="AI15" i="36"/>
  <c r="AJ167" i="36"/>
  <c r="AJ215" i="36" s="1"/>
  <c r="AJ159" i="36"/>
  <c r="AJ207" i="36" s="1"/>
  <c r="AJ161" i="36"/>
  <c r="AJ209" i="36" s="1"/>
  <c r="AJ157" i="36"/>
  <c r="AJ205" i="36" s="1"/>
  <c r="AJ158" i="36"/>
  <c r="AJ206" i="36" s="1"/>
  <c r="AJ155" i="36"/>
  <c r="AJ203" i="36" s="1"/>
  <c r="AJ160" i="36"/>
  <c r="AJ208" i="36" s="1"/>
  <c r="AJ163" i="36"/>
  <c r="AJ211" i="36" s="1"/>
  <c r="AJ151" i="36"/>
  <c r="AJ156" i="36"/>
  <c r="AJ204" i="36" s="1"/>
  <c r="AJ154" i="36"/>
  <c r="AJ202" i="36" s="1"/>
  <c r="AJ153" i="36"/>
  <c r="AJ201" i="36" s="1"/>
  <c r="AR104" i="43"/>
  <c r="AR120" i="43"/>
  <c r="AR115" i="43"/>
  <c r="AR114" i="43"/>
  <c r="AR109" i="43"/>
  <c r="AR111" i="43"/>
  <c r="AR113" i="43"/>
  <c r="AR108" i="43"/>
  <c r="AR103" i="43"/>
  <c r="AR119" i="43"/>
  <c r="AR118" i="43"/>
  <c r="AR105" i="43"/>
  <c r="AR116" i="43"/>
  <c r="AR112" i="43"/>
  <c r="AR107" i="43"/>
  <c r="AR106" i="43"/>
  <c r="AR117" i="43"/>
  <c r="AR110" i="43"/>
  <c r="AQ14" i="43"/>
  <c r="AQ69" i="40"/>
  <c r="AP228" i="43"/>
  <c r="AP229" i="43"/>
  <c r="AP240" i="43"/>
  <c r="AP239" i="43"/>
  <c r="AP199" i="43"/>
  <c r="AP169" i="43"/>
  <c r="AQ240" i="43"/>
  <c r="AQ169" i="43"/>
  <c r="AQ199" i="43"/>
  <c r="AQ13" i="43"/>
  <c r="AQ113" i="39"/>
  <c r="AQ114" i="39" s="1"/>
  <c r="AQ120" i="39" s="1"/>
  <c r="AP237" i="43"/>
  <c r="AP235" i="43"/>
  <c r="AP231" i="43"/>
  <c r="AJ12" i="36"/>
  <c r="AK224" i="36" s="1"/>
  <c r="AK225" i="36" s="1"/>
  <c r="AJ35" i="40"/>
  <c r="AJ36" i="40" s="1"/>
  <c r="AJ14" i="36" s="1"/>
  <c r="AR103" i="30"/>
  <c r="AR54" i="40" s="1"/>
  <c r="AR55" i="40" s="1"/>
  <c r="AR66" i="40" s="1"/>
  <c r="AJ129" i="36"/>
  <c r="AJ133" i="36"/>
  <c r="AJ181" i="36" s="1"/>
  <c r="AJ141" i="36"/>
  <c r="AJ189" i="36" s="1"/>
  <c r="AJ132" i="36"/>
  <c r="AJ180" i="36" s="1"/>
  <c r="AJ145" i="36"/>
  <c r="AJ193" i="36" s="1"/>
  <c r="AJ142" i="36"/>
  <c r="AJ190" i="36" s="1"/>
  <c r="AJ140" i="36"/>
  <c r="AJ188" i="36" s="1"/>
  <c r="AJ146" i="36"/>
  <c r="AJ194" i="36" s="1"/>
  <c r="AJ131" i="36"/>
  <c r="AJ179" i="36" s="1"/>
  <c r="AJ136" i="36"/>
  <c r="AJ184" i="36" s="1"/>
  <c r="AJ130" i="36"/>
  <c r="AJ178" i="36" s="1"/>
  <c r="AJ139" i="36"/>
  <c r="AJ187" i="36" s="1"/>
  <c r="AJ143" i="36"/>
  <c r="AJ191" i="36" s="1"/>
  <c r="AJ134" i="36"/>
  <c r="AJ182" i="36" s="1"/>
  <c r="AJ144" i="36"/>
  <c r="AJ192" i="36" s="1"/>
  <c r="AJ135" i="36"/>
  <c r="AJ183" i="36" s="1"/>
  <c r="AJ137" i="36"/>
  <c r="AJ185" i="36" s="1"/>
  <c r="AJ138" i="36"/>
  <c r="AJ186" i="36" s="1"/>
  <c r="AP236" i="43"/>
  <c r="AP234" i="43"/>
  <c r="AJ81" i="39"/>
  <c r="AJ101" i="39" s="1"/>
  <c r="AJ84" i="36" s="1"/>
  <c r="AN81" i="39"/>
  <c r="AR81" i="39"/>
  <c r="AM81" i="39"/>
  <c r="AK81" i="39"/>
  <c r="AO81" i="39"/>
  <c r="AS81" i="39"/>
  <c r="AQ81" i="39"/>
  <c r="AL81" i="39"/>
  <c r="AP81" i="39"/>
  <c r="AF27" i="37"/>
  <c r="AG23" i="37"/>
  <c r="AH244" i="44"/>
  <c r="AG23" i="54"/>
  <c r="AJ223" i="44"/>
  <c r="AH23" i="54"/>
  <c r="AH23" i="63"/>
  <c r="AH23" i="37"/>
  <c r="AI244" i="44"/>
  <c r="AJ104" i="40"/>
  <c r="AJ14" i="44"/>
  <c r="AM88" i="40"/>
  <c r="AM89" i="40" s="1"/>
  <c r="AM13" i="37" s="1"/>
  <c r="AK104" i="40"/>
  <c r="BC93" i="30"/>
  <c r="BC92" i="30"/>
  <c r="BC94" i="30" s="1"/>
  <c r="AL103" i="40"/>
  <c r="AL104" i="40" s="1"/>
  <c r="AK15" i="44"/>
  <c r="AL165" i="44"/>
  <c r="AL213" i="44" s="1"/>
  <c r="AL237" i="44" s="1"/>
  <c r="AL164" i="44"/>
  <c r="AL212" i="44" s="1"/>
  <c r="AL236" i="44" s="1"/>
  <c r="AL167" i="44"/>
  <c r="AL215" i="44" s="1"/>
  <c r="AL239" i="44" s="1"/>
  <c r="AL153" i="44"/>
  <c r="AL201" i="44" s="1"/>
  <c r="AL225" i="44" s="1"/>
  <c r="AL159" i="44"/>
  <c r="AL207" i="44" s="1"/>
  <c r="AL231" i="44" s="1"/>
  <c r="AL162" i="44"/>
  <c r="AL210" i="44" s="1"/>
  <c r="AL234" i="44" s="1"/>
  <c r="AL152" i="44"/>
  <c r="AL200" i="44" s="1"/>
  <c r="AL224" i="44" s="1"/>
  <c r="AL158" i="44"/>
  <c r="AL206" i="44" s="1"/>
  <c r="AL230" i="44" s="1"/>
  <c r="AL161" i="44"/>
  <c r="AL209" i="44" s="1"/>
  <c r="AL233" i="44" s="1"/>
  <c r="AL163" i="44"/>
  <c r="AL211" i="44" s="1"/>
  <c r="AL235" i="44" s="1"/>
  <c r="AL157" i="44"/>
  <c r="AL205" i="44" s="1"/>
  <c r="AL229" i="44" s="1"/>
  <c r="AL151" i="44"/>
  <c r="AL199" i="44" s="1"/>
  <c r="AL223" i="44" s="1"/>
  <c r="AL168" i="44"/>
  <c r="AL216" i="44" s="1"/>
  <c r="AL240" i="44" s="1"/>
  <c r="AL166" i="44"/>
  <c r="AL214" i="44" s="1"/>
  <c r="AL238" i="44" s="1"/>
  <c r="AL154" i="44"/>
  <c r="AL202" i="44" s="1"/>
  <c r="AL226" i="44" s="1"/>
  <c r="AL155" i="44"/>
  <c r="AL203" i="44" s="1"/>
  <c r="AL227" i="44" s="1"/>
  <c r="AL160" i="44"/>
  <c r="AL208" i="44" s="1"/>
  <c r="AL232" i="44" s="1"/>
  <c r="AL156" i="44"/>
  <c r="AL204" i="44" s="1"/>
  <c r="AL228" i="44" s="1"/>
  <c r="AM139" i="44"/>
  <c r="AM187" i="44" s="1"/>
  <c r="AM143" i="44"/>
  <c r="AM191" i="44" s="1"/>
  <c r="AM141" i="44"/>
  <c r="AM189" i="44" s="1"/>
  <c r="AM144" i="44"/>
  <c r="AM192" i="44" s="1"/>
  <c r="AM133" i="44"/>
  <c r="AM181" i="44" s="1"/>
  <c r="AM137" i="44"/>
  <c r="AM185" i="44" s="1"/>
  <c r="AM146" i="44"/>
  <c r="AM194" i="44" s="1"/>
  <c r="AM131" i="44"/>
  <c r="AM179" i="44" s="1"/>
  <c r="AM132" i="44"/>
  <c r="AM180" i="44" s="1"/>
  <c r="AM140" i="44"/>
  <c r="AM188" i="44" s="1"/>
  <c r="AM129" i="44"/>
  <c r="AM177" i="44" s="1"/>
  <c r="AM142" i="44"/>
  <c r="AM190" i="44" s="1"/>
  <c r="AM138" i="44"/>
  <c r="AM186" i="44" s="1"/>
  <c r="AM134" i="44"/>
  <c r="AM182" i="44" s="1"/>
  <c r="AM130" i="44"/>
  <c r="AM178" i="44" s="1"/>
  <c r="AM136" i="44"/>
  <c r="AM184" i="44" s="1"/>
  <c r="AM145" i="44"/>
  <c r="AM193" i="44" s="1"/>
  <c r="AM135" i="44"/>
  <c r="AM183" i="44" s="1"/>
  <c r="BC111" i="30"/>
  <c r="AU66" i="30"/>
  <c r="AU74" i="30" s="1"/>
  <c r="AH252" i="36" l="1"/>
  <c r="AI252" i="36"/>
  <c r="AG123" i="63"/>
  <c r="AG239" i="63" s="1"/>
  <c r="AG45" i="67"/>
  <c r="AH123" i="63"/>
  <c r="AH239" i="63" s="1"/>
  <c r="AH45" i="67"/>
  <c r="AG25" i="37"/>
  <c r="AG39" i="63" s="1"/>
  <c r="AO244" i="43"/>
  <c r="AJ238" i="36"/>
  <c r="AI112" i="63" s="1"/>
  <c r="AJ232" i="36"/>
  <c r="AI106" i="63" s="1"/>
  <c r="AJ237" i="36"/>
  <c r="AI111" i="63" s="1"/>
  <c r="AJ245" i="36"/>
  <c r="AI119" i="63" s="1"/>
  <c r="AH25" i="37"/>
  <c r="AJ243" i="36"/>
  <c r="AI117" i="63" s="1"/>
  <c r="AJ244" i="36"/>
  <c r="AI118" i="63" s="1"/>
  <c r="AP223" i="43"/>
  <c r="AP242" i="43" s="1"/>
  <c r="AJ233" i="36"/>
  <c r="AI107" i="63" s="1"/>
  <c r="AJ247" i="36"/>
  <c r="AI121" i="63" s="1"/>
  <c r="AJ239" i="36"/>
  <c r="AI113" i="63" s="1"/>
  <c r="AJ248" i="36"/>
  <c r="AI122" i="63" s="1"/>
  <c r="AJ177" i="36"/>
  <c r="AJ147" i="36"/>
  <c r="AR146" i="43"/>
  <c r="AR194" i="43" s="1"/>
  <c r="AR140" i="43"/>
  <c r="AR188" i="43" s="1"/>
  <c r="AR132" i="43"/>
  <c r="AR180" i="43" s="1"/>
  <c r="AR131" i="43"/>
  <c r="AR179" i="43" s="1"/>
  <c r="AR141" i="43"/>
  <c r="AR189" i="43" s="1"/>
  <c r="AR129" i="43"/>
  <c r="AR145" i="43"/>
  <c r="AR193" i="43" s="1"/>
  <c r="AR138" i="43"/>
  <c r="AR186" i="43" s="1"/>
  <c r="AR144" i="43"/>
  <c r="AR192" i="43" s="1"/>
  <c r="AR130" i="43"/>
  <c r="AR178" i="43" s="1"/>
  <c r="AR137" i="43"/>
  <c r="AR185" i="43" s="1"/>
  <c r="AR143" i="43"/>
  <c r="AR191" i="43" s="1"/>
  <c r="AR142" i="43"/>
  <c r="AR190" i="43" s="1"/>
  <c r="AR139" i="43"/>
  <c r="AR187" i="43" s="1"/>
  <c r="AR133" i="43"/>
  <c r="AR181" i="43" s="1"/>
  <c r="AR135" i="43"/>
  <c r="AR183" i="43" s="1"/>
  <c r="AR136" i="43"/>
  <c r="AR184" i="43" s="1"/>
  <c r="AR134" i="43"/>
  <c r="AR182" i="43" s="1"/>
  <c r="AR164" i="43"/>
  <c r="AR212" i="43" s="1"/>
  <c r="AR161" i="43"/>
  <c r="AR209" i="43" s="1"/>
  <c r="AR153" i="43"/>
  <c r="AR201" i="43" s="1"/>
  <c r="AR155" i="43"/>
  <c r="AR203" i="43" s="1"/>
  <c r="AR162" i="43"/>
  <c r="AR210" i="43" s="1"/>
  <c r="AR158" i="43"/>
  <c r="AR206" i="43" s="1"/>
  <c r="AQ15" i="43"/>
  <c r="AR160" i="43"/>
  <c r="AR208" i="43" s="1"/>
  <c r="AR168" i="43"/>
  <c r="AR216" i="43" s="1"/>
  <c r="AR157" i="43"/>
  <c r="AR205" i="43" s="1"/>
  <c r="AR229" i="43" s="1"/>
  <c r="AR151" i="43"/>
  <c r="AR152" i="43"/>
  <c r="AR200" i="43" s="1"/>
  <c r="AR224" i="43" s="1"/>
  <c r="AR165" i="43"/>
  <c r="AR213" i="43" s="1"/>
  <c r="AR163" i="43"/>
  <c r="AR211" i="43" s="1"/>
  <c r="AR166" i="43"/>
  <c r="AR214" i="43" s="1"/>
  <c r="AR156" i="43"/>
  <c r="AR204" i="43" s="1"/>
  <c r="AR159" i="43"/>
  <c r="AR207" i="43" s="1"/>
  <c r="AR231" i="43" s="1"/>
  <c r="AR167" i="43"/>
  <c r="AR215" i="43" s="1"/>
  <c r="AR154" i="43"/>
  <c r="AR202" i="43" s="1"/>
  <c r="AJ241" i="36"/>
  <c r="AI115" i="63" s="1"/>
  <c r="AJ234" i="36"/>
  <c r="AI108" i="63" s="1"/>
  <c r="AJ15" i="36"/>
  <c r="AK153" i="36"/>
  <c r="AK201" i="36" s="1"/>
  <c r="AK158" i="36"/>
  <c r="AK206" i="36" s="1"/>
  <c r="AK161" i="36"/>
  <c r="AK209" i="36" s="1"/>
  <c r="AK159" i="36"/>
  <c r="AK207" i="36" s="1"/>
  <c r="AK167" i="36"/>
  <c r="AK215" i="36" s="1"/>
  <c r="AK160" i="36"/>
  <c r="AK208" i="36" s="1"/>
  <c r="AK166" i="36"/>
  <c r="AK214" i="36" s="1"/>
  <c r="AK156" i="36"/>
  <c r="AK204" i="36" s="1"/>
  <c r="AK163" i="36"/>
  <c r="AK211" i="36" s="1"/>
  <c r="AK152" i="36"/>
  <c r="AK200" i="36" s="1"/>
  <c r="AK168" i="36"/>
  <c r="AK216" i="36" s="1"/>
  <c r="AK164" i="36"/>
  <c r="AK212" i="36" s="1"/>
  <c r="AK151" i="36"/>
  <c r="AK155" i="36"/>
  <c r="AK203" i="36" s="1"/>
  <c r="AK154" i="36"/>
  <c r="AK202" i="36" s="1"/>
  <c r="AK162" i="36"/>
  <c r="AK210" i="36" s="1"/>
  <c r="AK165" i="36"/>
  <c r="AK213" i="36" s="1"/>
  <c r="AK157" i="36"/>
  <c r="AK205" i="36" s="1"/>
  <c r="AJ246" i="36"/>
  <c r="AI120" i="63" s="1"/>
  <c r="AJ242" i="36"/>
  <c r="AI116" i="63" s="1"/>
  <c r="AJ13" i="36"/>
  <c r="AJ17" i="39"/>
  <c r="AJ18" i="39" s="1"/>
  <c r="AJ24" i="39" s="1"/>
  <c r="AJ199" i="36"/>
  <c r="AJ231" i="36" s="1"/>
  <c r="AJ169" i="36"/>
  <c r="AS55" i="40"/>
  <c r="AS66" i="40" s="1"/>
  <c r="AK82" i="30"/>
  <c r="AK22" i="40" s="1"/>
  <c r="AK23" i="40" s="1"/>
  <c r="AQ177" i="43"/>
  <c r="AQ223" i="43" s="1"/>
  <c r="AQ242" i="43" s="1"/>
  <c r="AQ147" i="43"/>
  <c r="AK118" i="36"/>
  <c r="AK114" i="36"/>
  <c r="AK103" i="36"/>
  <c r="AK109" i="36"/>
  <c r="AK105" i="36"/>
  <c r="AK107" i="36"/>
  <c r="AK110" i="36"/>
  <c r="AK119" i="36"/>
  <c r="AK111" i="36"/>
  <c r="AK120" i="36"/>
  <c r="AK108" i="36"/>
  <c r="AK116" i="36"/>
  <c r="AK115" i="36"/>
  <c r="AK112" i="36"/>
  <c r="AK117" i="36"/>
  <c r="AK113" i="36"/>
  <c r="AK106" i="36"/>
  <c r="AK104" i="36"/>
  <c r="AJ240" i="36"/>
  <c r="AI114" i="63" s="1"/>
  <c r="AJ236" i="36"/>
  <c r="AI110" i="63" s="1"/>
  <c r="AJ235" i="36"/>
  <c r="AI109" i="63" s="1"/>
  <c r="AR12" i="43"/>
  <c r="AR67" i="40"/>
  <c r="AR68" i="40" s="1"/>
  <c r="AS185" i="39"/>
  <c r="AW185" i="39"/>
  <c r="BA185" i="39"/>
  <c r="AR185" i="39"/>
  <c r="AR197" i="39" s="1"/>
  <c r="AR84" i="43" s="1"/>
  <c r="AT185" i="39"/>
  <c r="AX185" i="39"/>
  <c r="AV185" i="39"/>
  <c r="AU185" i="39"/>
  <c r="AY185" i="39"/>
  <c r="AZ185" i="39"/>
  <c r="AG27" i="37"/>
  <c r="AJ242" i="44"/>
  <c r="AJ244" i="44" s="1"/>
  <c r="AM101" i="40"/>
  <c r="AM12" i="44" s="1"/>
  <c r="AK168" i="44"/>
  <c r="AK216" i="44" s="1"/>
  <c r="AK240" i="44" s="1"/>
  <c r="AJ15" i="44"/>
  <c r="AK165" i="44"/>
  <c r="AK213" i="44" s="1"/>
  <c r="AK237" i="44" s="1"/>
  <c r="AK160" i="44"/>
  <c r="AK208" i="44" s="1"/>
  <c r="AK232" i="44" s="1"/>
  <c r="AK161" i="44"/>
  <c r="AK209" i="44" s="1"/>
  <c r="AK233" i="44" s="1"/>
  <c r="AK163" i="44"/>
  <c r="AK211" i="44" s="1"/>
  <c r="AK235" i="44" s="1"/>
  <c r="AK156" i="44"/>
  <c r="AK204" i="44" s="1"/>
  <c r="AK228" i="44" s="1"/>
  <c r="AK167" i="44"/>
  <c r="AK215" i="44" s="1"/>
  <c r="AK239" i="44" s="1"/>
  <c r="AK154" i="44"/>
  <c r="AK202" i="44" s="1"/>
  <c r="AK226" i="44" s="1"/>
  <c r="AK166" i="44"/>
  <c r="AK214" i="44" s="1"/>
  <c r="AK238" i="44" s="1"/>
  <c r="AK152" i="44"/>
  <c r="AK200" i="44" s="1"/>
  <c r="AK224" i="44" s="1"/>
  <c r="AK158" i="44"/>
  <c r="AK206" i="44" s="1"/>
  <c r="AK230" i="44" s="1"/>
  <c r="AK157" i="44"/>
  <c r="AK205" i="44" s="1"/>
  <c r="AK229" i="44" s="1"/>
  <c r="AK164" i="44"/>
  <c r="AK212" i="44" s="1"/>
  <c r="AK236" i="44" s="1"/>
  <c r="AK159" i="44"/>
  <c r="AK207" i="44" s="1"/>
  <c r="AK231" i="44" s="1"/>
  <c r="AK153" i="44"/>
  <c r="AK201" i="44" s="1"/>
  <c r="AK225" i="44" s="1"/>
  <c r="AK155" i="44"/>
  <c r="AK203" i="44" s="1"/>
  <c r="AK227" i="44" s="1"/>
  <c r="AK151" i="44"/>
  <c r="AK162" i="44"/>
  <c r="AK210" i="44" s="1"/>
  <c r="AK234" i="44" s="1"/>
  <c r="BD90" i="30"/>
  <c r="BD96" i="30" s="1"/>
  <c r="AL14" i="44"/>
  <c r="AM166" i="44" s="1"/>
  <c r="AM214" i="44" s="1"/>
  <c r="AM238" i="44" s="1"/>
  <c r="AL242" i="44"/>
  <c r="AK23" i="63" s="1"/>
  <c r="AL169" i="44"/>
  <c r="BC117" i="30"/>
  <c r="AS125" i="30" s="1"/>
  <c r="AS88" i="40" s="1"/>
  <c r="BC114" i="30"/>
  <c r="BC113" i="30"/>
  <c r="BC115" i="30" s="1"/>
  <c r="AU69" i="30"/>
  <c r="AU68" i="30"/>
  <c r="AU70" i="30" s="1"/>
  <c r="AI105" i="63" l="1"/>
  <c r="AI227" i="63" s="1"/>
  <c r="AI45" i="67" s="1"/>
  <c r="AG124" i="63"/>
  <c r="AH124" i="63"/>
  <c r="AI234" i="63"/>
  <c r="AI52" i="67" s="1"/>
  <c r="AI229" i="63"/>
  <c r="AI47" i="67" s="1"/>
  <c r="AI235" i="63"/>
  <c r="AI53" i="67" s="1"/>
  <c r="AI230" i="63"/>
  <c r="AI48" i="67" s="1"/>
  <c r="AI236" i="63"/>
  <c r="AI54" i="67" s="1"/>
  <c r="AI232" i="63"/>
  <c r="AI50" i="67" s="1"/>
  <c r="AI238" i="63"/>
  <c r="AI56" i="67" s="1"/>
  <c r="AI228" i="63"/>
  <c r="AI237" i="63"/>
  <c r="AI55" i="67" s="1"/>
  <c r="AI231" i="63"/>
  <c r="AI49" i="67" s="1"/>
  <c r="AI233" i="63"/>
  <c r="AI51" i="67" s="1"/>
  <c r="AH27" i="37"/>
  <c r="AR228" i="43"/>
  <c r="AH39" i="63"/>
  <c r="AR237" i="43"/>
  <c r="AR225" i="43"/>
  <c r="AR232" i="43"/>
  <c r="AR227" i="43"/>
  <c r="AR226" i="43"/>
  <c r="AR239" i="43"/>
  <c r="AI23" i="63"/>
  <c r="AQ244" i="43"/>
  <c r="AR69" i="40"/>
  <c r="AR14" i="43"/>
  <c r="AP244" i="43"/>
  <c r="AO22" i="37"/>
  <c r="AK199" i="36"/>
  <c r="AK169" i="36"/>
  <c r="AR199" i="43"/>
  <c r="AR169" i="43"/>
  <c r="AR238" i="43"/>
  <c r="AS67" i="40"/>
  <c r="AS68" i="40" s="1"/>
  <c r="AS12" i="43"/>
  <c r="AS109" i="43"/>
  <c r="AS108" i="43"/>
  <c r="AS103" i="43"/>
  <c r="AS119" i="43"/>
  <c r="AS106" i="43"/>
  <c r="AS113" i="43"/>
  <c r="AS112" i="43"/>
  <c r="AS107" i="43"/>
  <c r="AS114" i="43"/>
  <c r="AS105" i="43"/>
  <c r="AS120" i="43"/>
  <c r="AS110" i="43"/>
  <c r="AS117" i="43"/>
  <c r="AS116" i="43"/>
  <c r="AS111" i="43"/>
  <c r="AS118" i="43"/>
  <c r="AS104" i="43"/>
  <c r="AS115" i="43"/>
  <c r="AK34" i="40"/>
  <c r="AK14" i="37"/>
  <c r="AK15" i="37" s="1"/>
  <c r="AJ250" i="36"/>
  <c r="AR235" i="43"/>
  <c r="AR230" i="43"/>
  <c r="AR233" i="43"/>
  <c r="AK137" i="36"/>
  <c r="AK185" i="36" s="1"/>
  <c r="AK239" i="36" s="1"/>
  <c r="AJ113" i="63" s="1"/>
  <c r="AK130" i="36"/>
  <c r="AK178" i="36" s="1"/>
  <c r="AK232" i="36" s="1"/>
  <c r="AJ106" i="63" s="1"/>
  <c r="AK134" i="36"/>
  <c r="AK182" i="36" s="1"/>
  <c r="AK236" i="36" s="1"/>
  <c r="AJ110" i="63" s="1"/>
  <c r="AK131" i="36"/>
  <c r="AK179" i="36" s="1"/>
  <c r="AK233" i="36" s="1"/>
  <c r="AJ107" i="63" s="1"/>
  <c r="AK141" i="36"/>
  <c r="AK189" i="36" s="1"/>
  <c r="AK243" i="36" s="1"/>
  <c r="AJ117" i="63" s="1"/>
  <c r="AK139" i="36"/>
  <c r="AK187" i="36" s="1"/>
  <c r="AK241" i="36" s="1"/>
  <c r="AJ115" i="63" s="1"/>
  <c r="AK142" i="36"/>
  <c r="AK190" i="36" s="1"/>
  <c r="AK244" i="36" s="1"/>
  <c r="AJ118" i="63" s="1"/>
  <c r="AK145" i="36"/>
  <c r="AK193" i="36" s="1"/>
  <c r="AK247" i="36" s="1"/>
  <c r="AJ121" i="63" s="1"/>
  <c r="AK135" i="36"/>
  <c r="AK183" i="36" s="1"/>
  <c r="AK237" i="36" s="1"/>
  <c r="AJ111" i="63" s="1"/>
  <c r="AK140" i="36"/>
  <c r="AK188" i="36" s="1"/>
  <c r="AK242" i="36" s="1"/>
  <c r="AJ116" i="63" s="1"/>
  <c r="AK129" i="36"/>
  <c r="AK146" i="36"/>
  <c r="AK194" i="36" s="1"/>
  <c r="AK248" i="36" s="1"/>
  <c r="AJ122" i="63" s="1"/>
  <c r="AK133" i="36"/>
  <c r="AK181" i="36" s="1"/>
  <c r="AK235" i="36" s="1"/>
  <c r="AJ109" i="63" s="1"/>
  <c r="AK143" i="36"/>
  <c r="AK191" i="36" s="1"/>
  <c r="AK245" i="36" s="1"/>
  <c r="AJ119" i="63" s="1"/>
  <c r="AK136" i="36"/>
  <c r="AK184" i="36" s="1"/>
  <c r="AK238" i="36" s="1"/>
  <c r="AJ112" i="63" s="1"/>
  <c r="AK132" i="36"/>
  <c r="AK180" i="36" s="1"/>
  <c r="AK234" i="36" s="1"/>
  <c r="AJ108" i="63" s="1"/>
  <c r="AK144" i="36"/>
  <c r="AK192" i="36" s="1"/>
  <c r="AK246" i="36" s="1"/>
  <c r="AJ120" i="63" s="1"/>
  <c r="AK138" i="36"/>
  <c r="AK186" i="36" s="1"/>
  <c r="AK240" i="36" s="1"/>
  <c r="AJ114" i="63" s="1"/>
  <c r="AR177" i="43"/>
  <c r="AR147" i="43"/>
  <c r="AT103" i="30"/>
  <c r="AT54" i="40" s="1"/>
  <c r="AT55" i="40" s="1"/>
  <c r="AT66" i="40" s="1"/>
  <c r="AR113" i="39"/>
  <c r="AR114" i="39" s="1"/>
  <c r="AR120" i="39" s="1"/>
  <c r="AR13" i="43"/>
  <c r="AN82" i="39"/>
  <c r="AR82" i="39"/>
  <c r="AK82" i="39"/>
  <c r="AK101" i="39" s="1"/>
  <c r="AK84" i="36" s="1"/>
  <c r="AO82" i="39"/>
  <c r="AT82" i="39"/>
  <c r="AQ82" i="39"/>
  <c r="AL82" i="39"/>
  <c r="AP82" i="39"/>
  <c r="AS82" i="39"/>
  <c r="AM82" i="39"/>
  <c r="AR240" i="43"/>
  <c r="AR234" i="43"/>
  <c r="AR236" i="43"/>
  <c r="AI23" i="37"/>
  <c r="AI23" i="54"/>
  <c r="AM102" i="40"/>
  <c r="AM13" i="44" s="1"/>
  <c r="AN144" i="44" s="1"/>
  <c r="AN192" i="44" s="1"/>
  <c r="AK169" i="44"/>
  <c r="AK199" i="44"/>
  <c r="AN88" i="40"/>
  <c r="AN89" i="40" s="1"/>
  <c r="AN101" i="40" s="1"/>
  <c r="AM162" i="44"/>
  <c r="AM210" i="44" s="1"/>
  <c r="AM234" i="44" s="1"/>
  <c r="AM152" i="44"/>
  <c r="AM200" i="44" s="1"/>
  <c r="AM224" i="44" s="1"/>
  <c r="AL15" i="44"/>
  <c r="BD92" i="30"/>
  <c r="BD94" i="30" s="1"/>
  <c r="BD93" i="30"/>
  <c r="AM158" i="44"/>
  <c r="AM206" i="44" s="1"/>
  <c r="AM230" i="44" s="1"/>
  <c r="AM154" i="44"/>
  <c r="AM202" i="44" s="1"/>
  <c r="AM226" i="44" s="1"/>
  <c r="AM156" i="44"/>
  <c r="AM204" i="44" s="1"/>
  <c r="AM228" i="44" s="1"/>
  <c r="AM167" i="44"/>
  <c r="AM215" i="44" s="1"/>
  <c r="AM239" i="44" s="1"/>
  <c r="AM157" i="44"/>
  <c r="AM205" i="44" s="1"/>
  <c r="AM229" i="44" s="1"/>
  <c r="AM168" i="44"/>
  <c r="AM216" i="44" s="1"/>
  <c r="AM240" i="44" s="1"/>
  <c r="AM151" i="44"/>
  <c r="AM199" i="44" s="1"/>
  <c r="AM223" i="44" s="1"/>
  <c r="AM155" i="44"/>
  <c r="AM203" i="44" s="1"/>
  <c r="AM227" i="44" s="1"/>
  <c r="AM163" i="44"/>
  <c r="AM211" i="44" s="1"/>
  <c r="AM235" i="44" s="1"/>
  <c r="AM164" i="44"/>
  <c r="AM212" i="44" s="1"/>
  <c r="AM236" i="44" s="1"/>
  <c r="AM161" i="44"/>
  <c r="AM209" i="44" s="1"/>
  <c r="AM233" i="44" s="1"/>
  <c r="AM153" i="44"/>
  <c r="AM201" i="44" s="1"/>
  <c r="AM225" i="44" s="1"/>
  <c r="AM159" i="44"/>
  <c r="AM207" i="44" s="1"/>
  <c r="AM231" i="44" s="1"/>
  <c r="AM165" i="44"/>
  <c r="AM213" i="44" s="1"/>
  <c r="AM237" i="44" s="1"/>
  <c r="AM160" i="44"/>
  <c r="AM208" i="44" s="1"/>
  <c r="AM232" i="44" s="1"/>
  <c r="AK23" i="37"/>
  <c r="AK23" i="54"/>
  <c r="BD111" i="30"/>
  <c r="BD114" i="30" s="1"/>
  <c r="AV66" i="30"/>
  <c r="AV68" i="30" s="1"/>
  <c r="AI123" i="63" l="1"/>
  <c r="AI239" i="63" s="1"/>
  <c r="AJ235" i="63"/>
  <c r="AJ53" i="67" s="1"/>
  <c r="AI46" i="67"/>
  <c r="AJ234" i="63"/>
  <c r="AJ52" i="67" s="1"/>
  <c r="AJ236" i="63"/>
  <c r="AJ54" i="67" s="1"/>
  <c r="AJ228" i="63"/>
  <c r="AJ46" i="67" s="1"/>
  <c r="AJ232" i="63"/>
  <c r="AJ50" i="67" s="1"/>
  <c r="AJ237" i="63"/>
  <c r="AJ55" i="67" s="1"/>
  <c r="AJ231" i="63"/>
  <c r="AJ49" i="67" s="1"/>
  <c r="AJ233" i="63"/>
  <c r="AJ51" i="67" s="1"/>
  <c r="AJ230" i="63"/>
  <c r="AJ48" i="67" s="1"/>
  <c r="AJ238" i="63"/>
  <c r="AJ56" i="67" s="1"/>
  <c r="AJ229" i="63"/>
  <c r="AJ47" i="67" s="1"/>
  <c r="AS137" i="43"/>
  <c r="AS185" i="43" s="1"/>
  <c r="AS146" i="43"/>
  <c r="AS194" i="43" s="1"/>
  <c r="AS138" i="43"/>
  <c r="AS186" i="43" s="1"/>
  <c r="AS129" i="43"/>
  <c r="AS177" i="43" s="1"/>
  <c r="AT12" i="43"/>
  <c r="AT67" i="40"/>
  <c r="AS141" i="43"/>
  <c r="AS189" i="43" s="1"/>
  <c r="AS142" i="43"/>
  <c r="AS190" i="43" s="1"/>
  <c r="AS131" i="43"/>
  <c r="AS179" i="43" s="1"/>
  <c r="AS139" i="43"/>
  <c r="AS187" i="43" s="1"/>
  <c r="AS134" i="43"/>
  <c r="AS182" i="43" s="1"/>
  <c r="AR223" i="43"/>
  <c r="AR242" i="43" s="1"/>
  <c r="AR244" i="43" s="1"/>
  <c r="AS186" i="39"/>
  <c r="AS197" i="39" s="1"/>
  <c r="AS84" i="43" s="1"/>
  <c r="AW186" i="39"/>
  <c r="BA186" i="39"/>
  <c r="AT186" i="39"/>
  <c r="AX186" i="39"/>
  <c r="AZ186" i="39"/>
  <c r="AU186" i="39"/>
  <c r="AY186" i="39"/>
  <c r="AV186" i="39"/>
  <c r="AJ252" i="36"/>
  <c r="AI24" i="37"/>
  <c r="AI25" i="37" s="1"/>
  <c r="AS130" i="43"/>
  <c r="AS178" i="43" s="1"/>
  <c r="AS143" i="43"/>
  <c r="AS191" i="43" s="1"/>
  <c r="AS140" i="43"/>
  <c r="AS188" i="43" s="1"/>
  <c r="AS132" i="43"/>
  <c r="AS180" i="43" s="1"/>
  <c r="AS135" i="43"/>
  <c r="AS183" i="43" s="1"/>
  <c r="AS13" i="43"/>
  <c r="AS113" i="39"/>
  <c r="AS114" i="39" s="1"/>
  <c r="AS120" i="39" s="1"/>
  <c r="AS160" i="43"/>
  <c r="AS208" i="43" s="1"/>
  <c r="AS168" i="43"/>
  <c r="AS216" i="43" s="1"/>
  <c r="AS154" i="43"/>
  <c r="AS202" i="43" s="1"/>
  <c r="AS155" i="43"/>
  <c r="AS203" i="43" s="1"/>
  <c r="AS164" i="43"/>
  <c r="AS212" i="43" s="1"/>
  <c r="AS156" i="43"/>
  <c r="AS204" i="43" s="1"/>
  <c r="AR15" i="43"/>
  <c r="AS163" i="43"/>
  <c r="AS211" i="43" s="1"/>
  <c r="AS166" i="43"/>
  <c r="AS214" i="43" s="1"/>
  <c r="AS151" i="43"/>
  <c r="AS152" i="43"/>
  <c r="AS200" i="43" s="1"/>
  <c r="AS157" i="43"/>
  <c r="AS205" i="43" s="1"/>
  <c r="AS158" i="43"/>
  <c r="AS206" i="43" s="1"/>
  <c r="AS167" i="43"/>
  <c r="AS215" i="43" s="1"/>
  <c r="AS162" i="43"/>
  <c r="AS210" i="43" s="1"/>
  <c r="AS165" i="43"/>
  <c r="AS213" i="43" s="1"/>
  <c r="AS153" i="43"/>
  <c r="AS201" i="43" s="1"/>
  <c r="AS159" i="43"/>
  <c r="AS207" i="43" s="1"/>
  <c r="AS161" i="43"/>
  <c r="AS209" i="43" s="1"/>
  <c r="AL107" i="36"/>
  <c r="AL106" i="36"/>
  <c r="AL114" i="36"/>
  <c r="AL120" i="36"/>
  <c r="AL115" i="36"/>
  <c r="AL110" i="36"/>
  <c r="AL113" i="36"/>
  <c r="AL108" i="36"/>
  <c r="AL112" i="36"/>
  <c r="AL103" i="36"/>
  <c r="AL105" i="36"/>
  <c r="AL118" i="36"/>
  <c r="AL117" i="36"/>
  <c r="AL109" i="36"/>
  <c r="AL111" i="36"/>
  <c r="AL116" i="36"/>
  <c r="AL119" i="36"/>
  <c r="AL104" i="36"/>
  <c r="AK177" i="36"/>
  <c r="AK231" i="36" s="1"/>
  <c r="AK147" i="36"/>
  <c r="AK35" i="40"/>
  <c r="AK36" i="40" s="1"/>
  <c r="AK14" i="36" s="1"/>
  <c r="AK12" i="36"/>
  <c r="AL224" i="36" s="1"/>
  <c r="AL225" i="36" s="1"/>
  <c r="AS69" i="40"/>
  <c r="AS14" i="43"/>
  <c r="AS144" i="43"/>
  <c r="AS192" i="43" s="1"/>
  <c r="AS136" i="43"/>
  <c r="AS184" i="43" s="1"/>
  <c r="AS133" i="43"/>
  <c r="AS181" i="43" s="1"/>
  <c r="AS145" i="43"/>
  <c r="AS193" i="43" s="1"/>
  <c r="AN140" i="44"/>
  <c r="AN188" i="44" s="1"/>
  <c r="AN143" i="44"/>
  <c r="AN191" i="44" s="1"/>
  <c r="AN129" i="44"/>
  <c r="AN177" i="44" s="1"/>
  <c r="AN139" i="44"/>
  <c r="AN187" i="44" s="1"/>
  <c r="AN141" i="44"/>
  <c r="AN189" i="44" s="1"/>
  <c r="AN135" i="44"/>
  <c r="AN183" i="44" s="1"/>
  <c r="AN137" i="44"/>
  <c r="AN185" i="44" s="1"/>
  <c r="AN145" i="44"/>
  <c r="AN193" i="44" s="1"/>
  <c r="AN134" i="44"/>
  <c r="AN182" i="44" s="1"/>
  <c r="AN131" i="44"/>
  <c r="AN179" i="44" s="1"/>
  <c r="AN132" i="44"/>
  <c r="AN180" i="44" s="1"/>
  <c r="AK223" i="44"/>
  <c r="AK242" i="44" s="1"/>
  <c r="AJ23" i="37" s="1"/>
  <c r="AN133" i="44"/>
  <c r="AN181" i="44" s="1"/>
  <c r="AN146" i="44"/>
  <c r="AN194" i="44" s="1"/>
  <c r="AN138" i="44"/>
  <c r="AN186" i="44" s="1"/>
  <c r="AN136" i="44"/>
  <c r="AN184" i="44" s="1"/>
  <c r="AN142" i="44"/>
  <c r="AN190" i="44" s="1"/>
  <c r="AN130" i="44"/>
  <c r="AN178" i="44" s="1"/>
  <c r="AM103" i="40"/>
  <c r="AM14" i="44" s="1"/>
  <c r="AN13" i="37"/>
  <c r="BE90" i="30"/>
  <c r="BE93" i="30" s="1"/>
  <c r="AM169" i="44"/>
  <c r="AM242" i="44"/>
  <c r="AN12" i="44"/>
  <c r="AN102" i="40"/>
  <c r="AN13" i="44" s="1"/>
  <c r="BD113" i="30"/>
  <c r="BD115" i="30" s="1"/>
  <c r="BE111" i="30" s="1"/>
  <c r="BD117" i="30"/>
  <c r="AT125" i="30" s="1"/>
  <c r="AT88" i="40" s="1"/>
  <c r="AV74" i="30"/>
  <c r="AV69" i="30"/>
  <c r="AV70" i="30"/>
  <c r="AK250" i="36" l="1"/>
  <c r="AK252" i="36" s="1"/>
  <c r="AJ105" i="63"/>
  <c r="AJ227" i="63" s="1"/>
  <c r="AS232" i="43"/>
  <c r="AS231" i="43"/>
  <c r="AI124" i="63"/>
  <c r="AS236" i="43"/>
  <c r="AS229" i="43"/>
  <c r="AS224" i="43"/>
  <c r="AS240" i="43"/>
  <c r="AS235" i="43"/>
  <c r="AS233" i="43"/>
  <c r="AS234" i="43"/>
  <c r="AS226" i="43"/>
  <c r="AS228" i="43"/>
  <c r="AI39" i="63"/>
  <c r="AI27" i="37"/>
  <c r="AT110" i="43"/>
  <c r="AT136" i="43" s="1"/>
  <c r="AT184" i="43" s="1"/>
  <c r="AT109" i="43"/>
  <c r="AT135" i="43" s="1"/>
  <c r="AT183" i="43" s="1"/>
  <c r="AT108" i="43"/>
  <c r="AT134" i="43" s="1"/>
  <c r="AT182" i="43" s="1"/>
  <c r="AT111" i="43"/>
  <c r="AT137" i="43" s="1"/>
  <c r="AT185" i="43" s="1"/>
  <c r="AT119" i="43"/>
  <c r="AT145" i="43" s="1"/>
  <c r="AT193" i="43" s="1"/>
  <c r="AT106" i="43"/>
  <c r="AT132" i="43" s="1"/>
  <c r="AT180" i="43" s="1"/>
  <c r="AT104" i="43"/>
  <c r="AT130" i="43" s="1"/>
  <c r="AT178" i="43" s="1"/>
  <c r="AT103" i="43"/>
  <c r="AT129" i="43" s="1"/>
  <c r="AT114" i="43"/>
  <c r="AT140" i="43" s="1"/>
  <c r="AT188" i="43" s="1"/>
  <c r="AT113" i="43"/>
  <c r="AT139" i="43" s="1"/>
  <c r="AT187" i="43" s="1"/>
  <c r="AT112" i="43"/>
  <c r="AT138" i="43" s="1"/>
  <c r="AT186" i="43" s="1"/>
  <c r="AT107" i="43"/>
  <c r="AT133" i="43" s="1"/>
  <c r="AT181" i="43" s="1"/>
  <c r="AT118" i="43"/>
  <c r="AT144" i="43" s="1"/>
  <c r="AT192" i="43" s="1"/>
  <c r="AT117" i="43"/>
  <c r="AT143" i="43" s="1"/>
  <c r="AT191" i="43" s="1"/>
  <c r="AT116" i="43"/>
  <c r="AT142" i="43" s="1"/>
  <c r="AT190" i="43" s="1"/>
  <c r="AT115" i="43"/>
  <c r="AT141" i="43" s="1"/>
  <c r="AT189" i="43" s="1"/>
  <c r="AT105" i="43"/>
  <c r="AT131" i="43" s="1"/>
  <c r="AT179" i="43" s="1"/>
  <c r="AT120" i="43"/>
  <c r="AT146" i="43" s="1"/>
  <c r="AT194" i="43" s="1"/>
  <c r="AL161" i="36"/>
  <c r="AL209" i="36" s="1"/>
  <c r="AL166" i="36"/>
  <c r="AL214" i="36" s="1"/>
  <c r="AL151" i="36"/>
  <c r="AL164" i="36"/>
  <c r="AL212" i="36" s="1"/>
  <c r="AL154" i="36"/>
  <c r="AL202" i="36" s="1"/>
  <c r="AL163" i="36"/>
  <c r="AL211" i="36" s="1"/>
  <c r="AL162" i="36"/>
  <c r="AL210" i="36" s="1"/>
  <c r="AL156" i="36"/>
  <c r="AL204" i="36" s="1"/>
  <c r="AL152" i="36"/>
  <c r="AL200" i="36" s="1"/>
  <c r="AL157" i="36"/>
  <c r="AL205" i="36" s="1"/>
  <c r="AL168" i="36"/>
  <c r="AL216" i="36" s="1"/>
  <c r="AL165" i="36"/>
  <c r="AL213" i="36" s="1"/>
  <c r="AL167" i="36"/>
  <c r="AL215" i="36" s="1"/>
  <c r="AL153" i="36"/>
  <c r="AL201" i="36" s="1"/>
  <c r="AL158" i="36"/>
  <c r="AL206" i="36" s="1"/>
  <c r="AL160" i="36"/>
  <c r="AL208" i="36" s="1"/>
  <c r="AK15" i="36"/>
  <c r="AL159" i="36"/>
  <c r="AL207" i="36" s="1"/>
  <c r="AL155" i="36"/>
  <c r="AL203" i="36" s="1"/>
  <c r="AJ24" i="37"/>
  <c r="AJ25" i="37" s="1"/>
  <c r="AS239" i="43"/>
  <c r="AS199" i="43"/>
  <c r="AS223" i="43" s="1"/>
  <c r="AS169" i="43"/>
  <c r="AS225" i="43"/>
  <c r="AS230" i="43"/>
  <c r="AS238" i="43"/>
  <c r="AS147" i="43"/>
  <c r="AL82" i="30"/>
  <c r="AL22" i="40" s="1"/>
  <c r="AL23" i="40" s="1"/>
  <c r="AT164" i="43"/>
  <c r="AT212" i="43" s="1"/>
  <c r="AT166" i="43"/>
  <c r="AT214" i="43" s="1"/>
  <c r="AT151" i="43"/>
  <c r="AT154" i="43"/>
  <c r="AT202" i="43" s="1"/>
  <c r="AT158" i="43"/>
  <c r="AT206" i="43" s="1"/>
  <c r="AT167" i="43"/>
  <c r="AT215" i="43" s="1"/>
  <c r="AT152" i="43"/>
  <c r="AT200" i="43" s="1"/>
  <c r="AT161" i="43"/>
  <c r="AT209" i="43" s="1"/>
  <c r="AT168" i="43"/>
  <c r="AT216" i="43" s="1"/>
  <c r="AT163" i="43"/>
  <c r="AT211" i="43" s="1"/>
  <c r="AT156" i="43"/>
  <c r="AT204" i="43" s="1"/>
  <c r="AT159" i="43"/>
  <c r="AT207" i="43" s="1"/>
  <c r="AT160" i="43"/>
  <c r="AT208" i="43" s="1"/>
  <c r="AT165" i="43"/>
  <c r="AT213" i="43" s="1"/>
  <c r="AT153" i="43"/>
  <c r="AT201" i="43" s="1"/>
  <c r="AT157" i="43"/>
  <c r="AT205" i="43" s="1"/>
  <c r="AS15" i="43"/>
  <c r="AT162" i="43"/>
  <c r="AT210" i="43" s="1"/>
  <c r="AT155" i="43"/>
  <c r="AT203" i="43" s="1"/>
  <c r="AK17" i="39"/>
  <c r="AK18" i="39" s="1"/>
  <c r="AK24" i="39" s="1"/>
  <c r="AK13" i="36"/>
  <c r="AL131" i="36" s="1"/>
  <c r="AL179" i="36" s="1"/>
  <c r="AS237" i="43"/>
  <c r="AS227" i="43"/>
  <c r="AU187" i="39"/>
  <c r="AY187" i="39"/>
  <c r="AT187" i="39"/>
  <c r="AT197" i="39" s="1"/>
  <c r="AT84" i="43" s="1"/>
  <c r="AV187" i="39"/>
  <c r="AZ187" i="39"/>
  <c r="AX187" i="39"/>
  <c r="AW187" i="39"/>
  <c r="BA187" i="39"/>
  <c r="AT68" i="40"/>
  <c r="AT13" i="43"/>
  <c r="AT113" i="39"/>
  <c r="AT114" i="39" s="1"/>
  <c r="AT120" i="39" s="1"/>
  <c r="AM104" i="40"/>
  <c r="AJ23" i="54"/>
  <c r="AK244" i="44"/>
  <c r="AL244" i="44"/>
  <c r="AJ23" i="63"/>
  <c r="AL23" i="54"/>
  <c r="AL23" i="63"/>
  <c r="AL23" i="37"/>
  <c r="BE96" i="30"/>
  <c r="BE92" i="30"/>
  <c r="BE94" i="30" s="1"/>
  <c r="BF90" i="30" s="1"/>
  <c r="AO88" i="40"/>
  <c r="AO89" i="40" s="1"/>
  <c r="AM244" i="44"/>
  <c r="AO140" i="44"/>
  <c r="AO188" i="44" s="1"/>
  <c r="AO145" i="44"/>
  <c r="AO193" i="44" s="1"/>
  <c r="AO131" i="44"/>
  <c r="AO179" i="44" s="1"/>
  <c r="AO130" i="44"/>
  <c r="AO178" i="44" s="1"/>
  <c r="AO146" i="44"/>
  <c r="AO194" i="44" s="1"/>
  <c r="AO132" i="44"/>
  <c r="AO180" i="44" s="1"/>
  <c r="AO135" i="44"/>
  <c r="AO183" i="44" s="1"/>
  <c r="AO143" i="44"/>
  <c r="AO191" i="44" s="1"/>
  <c r="AO141" i="44"/>
  <c r="AO189" i="44" s="1"/>
  <c r="AO144" i="44"/>
  <c r="AO192" i="44" s="1"/>
  <c r="AO133" i="44"/>
  <c r="AO181" i="44" s="1"/>
  <c r="AO137" i="44"/>
  <c r="AO185" i="44" s="1"/>
  <c r="AO142" i="44"/>
  <c r="AO190" i="44" s="1"/>
  <c r="AO138" i="44"/>
  <c r="AO186" i="44" s="1"/>
  <c r="AO129" i="44"/>
  <c r="AO177" i="44" s="1"/>
  <c r="AO136" i="44"/>
  <c r="AO184" i="44" s="1"/>
  <c r="AO134" i="44"/>
  <c r="AO182" i="44" s="1"/>
  <c r="AO139" i="44"/>
  <c r="AO187" i="44" s="1"/>
  <c r="AN162" i="44"/>
  <c r="AN210" i="44" s="1"/>
  <c r="AN234" i="44" s="1"/>
  <c r="AN160" i="44"/>
  <c r="AN208" i="44" s="1"/>
  <c r="AN232" i="44" s="1"/>
  <c r="AN154" i="44"/>
  <c r="AN202" i="44" s="1"/>
  <c r="AN226" i="44" s="1"/>
  <c r="AN157" i="44"/>
  <c r="AN205" i="44" s="1"/>
  <c r="AN229" i="44" s="1"/>
  <c r="AN158" i="44"/>
  <c r="AN206" i="44" s="1"/>
  <c r="AN230" i="44" s="1"/>
  <c r="AN164" i="44"/>
  <c r="AN212" i="44" s="1"/>
  <c r="AN236" i="44" s="1"/>
  <c r="AN167" i="44"/>
  <c r="AN215" i="44" s="1"/>
  <c r="AN239" i="44" s="1"/>
  <c r="AN152" i="44"/>
  <c r="AN200" i="44" s="1"/>
  <c r="AN224" i="44" s="1"/>
  <c r="AN168" i="44"/>
  <c r="AN216" i="44" s="1"/>
  <c r="AN240" i="44" s="1"/>
  <c r="AN163" i="44"/>
  <c r="AN211" i="44" s="1"/>
  <c r="AN235" i="44" s="1"/>
  <c r="AN153" i="44"/>
  <c r="AN201" i="44" s="1"/>
  <c r="AN225" i="44" s="1"/>
  <c r="AN151" i="44"/>
  <c r="AN199" i="44" s="1"/>
  <c r="AN223" i="44" s="1"/>
  <c r="AM15" i="44"/>
  <c r="AN161" i="44"/>
  <c r="AN209" i="44" s="1"/>
  <c r="AN233" i="44" s="1"/>
  <c r="AN166" i="44"/>
  <c r="AN214" i="44" s="1"/>
  <c r="AN238" i="44" s="1"/>
  <c r="AN156" i="44"/>
  <c r="AN204" i="44" s="1"/>
  <c r="AN228" i="44" s="1"/>
  <c r="AN155" i="44"/>
  <c r="AN203" i="44" s="1"/>
  <c r="AN227" i="44" s="1"/>
  <c r="AN165" i="44"/>
  <c r="AN213" i="44" s="1"/>
  <c r="AN237" i="44" s="1"/>
  <c r="AN159" i="44"/>
  <c r="AN207" i="44" s="1"/>
  <c r="AN231" i="44" s="1"/>
  <c r="AN103" i="40"/>
  <c r="BE113" i="30"/>
  <c r="BE115" i="30" s="1"/>
  <c r="BE117" i="30"/>
  <c r="BE114" i="30"/>
  <c r="AW66" i="30"/>
  <c r="AW69" i="30" s="1"/>
  <c r="AJ123" i="63" l="1"/>
  <c r="AJ239" i="63" s="1"/>
  <c r="AJ45" i="67"/>
  <c r="AL233" i="36"/>
  <c r="AK107" i="63" s="1"/>
  <c r="AT230" i="43"/>
  <c r="AT229" i="43"/>
  <c r="AT233" i="43"/>
  <c r="AT228" i="43"/>
  <c r="AT224" i="43"/>
  <c r="AT237" i="43"/>
  <c r="AT232" i="43"/>
  <c r="AT240" i="43"/>
  <c r="AT236" i="43"/>
  <c r="AJ39" i="63"/>
  <c r="AJ27" i="37"/>
  <c r="AL133" i="36"/>
  <c r="AL181" i="36" s="1"/>
  <c r="AL235" i="36" s="1"/>
  <c r="AK109" i="63" s="1"/>
  <c r="AL143" i="36"/>
  <c r="AL191" i="36" s="1"/>
  <c r="AL245" i="36" s="1"/>
  <c r="AK119" i="63" s="1"/>
  <c r="AT227" i="43"/>
  <c r="AT225" i="43"/>
  <c r="AL145" i="36"/>
  <c r="AL193" i="36" s="1"/>
  <c r="AL247" i="36" s="1"/>
  <c r="AK121" i="63" s="1"/>
  <c r="AT234" i="43"/>
  <c r="AT239" i="43"/>
  <c r="AT238" i="43"/>
  <c r="AL132" i="36"/>
  <c r="AL180" i="36" s="1"/>
  <c r="AL234" i="36" s="1"/>
  <c r="AK108" i="63" s="1"/>
  <c r="AL130" i="36"/>
  <c r="AL178" i="36" s="1"/>
  <c r="AL232" i="36" s="1"/>
  <c r="AK106" i="63" s="1"/>
  <c r="AL137" i="36"/>
  <c r="AL185" i="36" s="1"/>
  <c r="AL239" i="36" s="1"/>
  <c r="AK113" i="63" s="1"/>
  <c r="AL134" i="36"/>
  <c r="AL182" i="36" s="1"/>
  <c r="AL236" i="36" s="1"/>
  <c r="AK110" i="63" s="1"/>
  <c r="AL141" i="36"/>
  <c r="AL189" i="36" s="1"/>
  <c r="AL243" i="36" s="1"/>
  <c r="AK117" i="63" s="1"/>
  <c r="AV188" i="39"/>
  <c r="BA188" i="39"/>
  <c r="AX188" i="39"/>
  <c r="AU188" i="39"/>
  <c r="AU197" i="39" s="1"/>
  <c r="AU84" i="43" s="1"/>
  <c r="AW188" i="39"/>
  <c r="AY188" i="39"/>
  <c r="AZ188" i="39"/>
  <c r="AT235" i="43"/>
  <c r="AL136" i="36"/>
  <c r="AL184" i="36" s="1"/>
  <c r="AL238" i="36" s="1"/>
  <c r="AK112" i="63" s="1"/>
  <c r="AL146" i="36"/>
  <c r="AL194" i="36" s="1"/>
  <c r="AL248" i="36" s="1"/>
  <c r="AK122" i="63" s="1"/>
  <c r="AL140" i="36"/>
  <c r="AL188" i="36" s="1"/>
  <c r="AL242" i="36" s="1"/>
  <c r="AK116" i="63" s="1"/>
  <c r="AL142" i="36"/>
  <c r="AL190" i="36" s="1"/>
  <c r="AL244" i="36" s="1"/>
  <c r="AK118" i="63" s="1"/>
  <c r="AT199" i="43"/>
  <c r="AT169" i="43"/>
  <c r="AU103" i="30"/>
  <c r="AU54" i="40" s="1"/>
  <c r="AU55" i="40" s="1"/>
  <c r="AT69" i="40"/>
  <c r="AT14" i="43"/>
  <c r="AL144" i="36"/>
  <c r="AL192" i="36" s="1"/>
  <c r="AL246" i="36" s="1"/>
  <c r="AK120" i="63" s="1"/>
  <c r="AL129" i="36"/>
  <c r="AL139" i="36"/>
  <c r="AL187" i="36" s="1"/>
  <c r="AL241" i="36" s="1"/>
  <c r="AK115" i="63" s="1"/>
  <c r="AT226" i="43"/>
  <c r="AU111" i="43"/>
  <c r="AU137" i="43" s="1"/>
  <c r="AU185" i="43" s="1"/>
  <c r="AU110" i="43"/>
  <c r="AU136" i="43" s="1"/>
  <c r="AU184" i="43" s="1"/>
  <c r="AU109" i="43"/>
  <c r="AU135" i="43" s="1"/>
  <c r="AU183" i="43" s="1"/>
  <c r="AU104" i="43"/>
  <c r="AU130" i="43" s="1"/>
  <c r="AU178" i="43" s="1"/>
  <c r="AU103" i="43"/>
  <c r="AU129" i="43" s="1"/>
  <c r="AU118" i="43"/>
  <c r="AU144" i="43" s="1"/>
  <c r="AU192" i="43" s="1"/>
  <c r="AU112" i="43"/>
  <c r="AU138" i="43" s="1"/>
  <c r="AU186" i="43" s="1"/>
  <c r="AU107" i="43"/>
  <c r="AU133" i="43" s="1"/>
  <c r="AU181" i="43" s="1"/>
  <c r="AU106" i="43"/>
  <c r="AU132" i="43" s="1"/>
  <c r="AU180" i="43" s="1"/>
  <c r="AU105" i="43"/>
  <c r="AU131" i="43" s="1"/>
  <c r="AU179" i="43" s="1"/>
  <c r="AU108" i="43"/>
  <c r="AU134" i="43" s="1"/>
  <c r="AU182" i="43" s="1"/>
  <c r="AU115" i="43"/>
  <c r="AU141" i="43" s="1"/>
  <c r="AU189" i="43" s="1"/>
  <c r="AU114" i="43"/>
  <c r="AU140" i="43" s="1"/>
  <c r="AU188" i="43" s="1"/>
  <c r="AU113" i="43"/>
  <c r="AU139" i="43" s="1"/>
  <c r="AU187" i="43" s="1"/>
  <c r="AU120" i="43"/>
  <c r="AU146" i="43" s="1"/>
  <c r="AU194" i="43" s="1"/>
  <c r="AU119" i="43"/>
  <c r="AU145" i="43" s="1"/>
  <c r="AU193" i="43" s="1"/>
  <c r="AU117" i="43"/>
  <c r="AU143" i="43" s="1"/>
  <c r="AU191" i="43" s="1"/>
  <c r="AU116" i="43"/>
  <c r="AU142" i="43" s="1"/>
  <c r="AU190" i="43" s="1"/>
  <c r="AL14" i="37"/>
  <c r="AL15" i="37" s="1"/>
  <c r="AL34" i="40"/>
  <c r="AT177" i="43"/>
  <c r="AT147" i="43"/>
  <c r="AU125" i="30"/>
  <c r="AU88" i="40" s="1"/>
  <c r="AL138" i="36"/>
  <c r="AL186" i="36" s="1"/>
  <c r="AL240" i="36" s="1"/>
  <c r="AK114" i="63" s="1"/>
  <c r="AM83" i="39"/>
  <c r="AQ83" i="39"/>
  <c r="AU83" i="39"/>
  <c r="AP83" i="39"/>
  <c r="AN83" i="39"/>
  <c r="AR83" i="39"/>
  <c r="AT83" i="39"/>
  <c r="AO83" i="39"/>
  <c r="AS83" i="39"/>
  <c r="AL83" i="39"/>
  <c r="AL101" i="39" s="1"/>
  <c r="AL84" i="36" s="1"/>
  <c r="AT231" i="43"/>
  <c r="AL135" i="36"/>
  <c r="AL183" i="36" s="1"/>
  <c r="AL237" i="36" s="1"/>
  <c r="AK111" i="63" s="1"/>
  <c r="AS242" i="43"/>
  <c r="AS244" i="43" s="1"/>
  <c r="AL169" i="36"/>
  <c r="AL199" i="36"/>
  <c r="AO13" i="37"/>
  <c r="AP89" i="40"/>
  <c r="AO101" i="40"/>
  <c r="AO12" i="44" s="1"/>
  <c r="BF93" i="30"/>
  <c r="BF92" i="30"/>
  <c r="BF94" i="30" s="1"/>
  <c r="BF96" i="30"/>
  <c r="AN14" i="44"/>
  <c r="AN104" i="40"/>
  <c r="AN242" i="44"/>
  <c r="AM23" i="63" s="1"/>
  <c r="AN169" i="44"/>
  <c r="BF111" i="30"/>
  <c r="BF114" i="30" s="1"/>
  <c r="AW68" i="30"/>
  <c r="AW70" i="30" s="1"/>
  <c r="AX66" i="30" s="1"/>
  <c r="AW74" i="30"/>
  <c r="AJ124" i="63" l="1"/>
  <c r="AK230" i="63"/>
  <c r="AK48" i="67" s="1"/>
  <c r="AK231" i="63"/>
  <c r="AK49" i="67" s="1"/>
  <c r="AK232" i="63"/>
  <c r="AK50" i="67" s="1"/>
  <c r="AK229" i="63"/>
  <c r="AK47" i="67" s="1"/>
  <c r="AK238" i="63"/>
  <c r="AK56" i="67" s="1"/>
  <c r="AK237" i="63"/>
  <c r="AK55" i="67" s="1"/>
  <c r="AK233" i="63"/>
  <c r="AK51" i="67" s="1"/>
  <c r="AK235" i="63"/>
  <c r="AK53" i="67" s="1"/>
  <c r="AK234" i="63"/>
  <c r="AK52" i="67" s="1"/>
  <c r="AK228" i="63"/>
  <c r="AK46" i="67" s="1"/>
  <c r="AK236" i="63"/>
  <c r="AK54" i="67" s="1"/>
  <c r="AU147" i="43"/>
  <c r="AU177" i="43"/>
  <c r="AV116" i="43"/>
  <c r="AV111" i="43"/>
  <c r="AV110" i="43"/>
  <c r="AV117" i="43"/>
  <c r="AV104" i="43"/>
  <c r="AV120" i="43"/>
  <c r="AV115" i="43"/>
  <c r="AV114" i="43"/>
  <c r="AV113" i="43"/>
  <c r="AV112" i="43"/>
  <c r="AV106" i="43"/>
  <c r="AV105" i="43"/>
  <c r="AV108" i="43"/>
  <c r="AV103" i="43"/>
  <c r="AV119" i="43"/>
  <c r="AV118" i="43"/>
  <c r="AV109" i="43"/>
  <c r="AV107" i="43"/>
  <c r="AY103" i="30"/>
  <c r="AY54" i="40" s="1"/>
  <c r="AV103" i="30"/>
  <c r="AV54" i="40" s="1"/>
  <c r="AL147" i="36"/>
  <c r="AL177" i="36"/>
  <c r="AL231" i="36" s="1"/>
  <c r="AK105" i="63" s="1"/>
  <c r="AT223" i="43"/>
  <c r="AT242" i="43" s="1"/>
  <c r="AT244" i="43" s="1"/>
  <c r="AM116" i="36"/>
  <c r="AM113" i="36"/>
  <c r="AM107" i="36"/>
  <c r="AM118" i="36"/>
  <c r="AM119" i="36"/>
  <c r="AM104" i="36"/>
  <c r="AM111" i="36"/>
  <c r="AM109" i="36"/>
  <c r="AM114" i="36"/>
  <c r="AM115" i="36"/>
  <c r="AM110" i="36"/>
  <c r="AM117" i="36"/>
  <c r="AM105" i="36"/>
  <c r="AM112" i="36"/>
  <c r="AM108" i="36"/>
  <c r="AM103" i="36"/>
  <c r="AM106" i="36"/>
  <c r="AM120" i="36"/>
  <c r="AM82" i="30"/>
  <c r="AM22" i="40" s="1"/>
  <c r="AM23" i="40" s="1"/>
  <c r="AU66" i="40"/>
  <c r="AV55" i="40"/>
  <c r="AV66" i="40" s="1"/>
  <c r="AU168" i="43"/>
  <c r="AU216" i="43" s="1"/>
  <c r="AU240" i="43" s="1"/>
  <c r="AU167" i="43"/>
  <c r="AU215" i="43" s="1"/>
  <c r="AU239" i="43" s="1"/>
  <c r="AU160" i="43"/>
  <c r="AU208" i="43" s="1"/>
  <c r="AU232" i="43" s="1"/>
  <c r="AU157" i="43"/>
  <c r="AU205" i="43" s="1"/>
  <c r="AU229" i="43" s="1"/>
  <c r="AU159" i="43"/>
  <c r="AU207" i="43" s="1"/>
  <c r="AU231" i="43" s="1"/>
  <c r="AT15" i="43"/>
  <c r="AU165" i="43"/>
  <c r="AU213" i="43" s="1"/>
  <c r="AU237" i="43" s="1"/>
  <c r="AU154" i="43"/>
  <c r="AU202" i="43" s="1"/>
  <c r="AU226" i="43" s="1"/>
  <c r="AU162" i="43"/>
  <c r="AU210" i="43" s="1"/>
  <c r="AU234" i="43" s="1"/>
  <c r="AU163" i="43"/>
  <c r="AU211" i="43" s="1"/>
  <c r="AU235" i="43" s="1"/>
  <c r="AU155" i="43"/>
  <c r="AU203" i="43" s="1"/>
  <c r="AU227" i="43" s="1"/>
  <c r="AU152" i="43"/>
  <c r="AU200" i="43" s="1"/>
  <c r="AU224" i="43" s="1"/>
  <c r="AU158" i="43"/>
  <c r="AU206" i="43" s="1"/>
  <c r="AU230" i="43" s="1"/>
  <c r="AU166" i="43"/>
  <c r="AU214" i="43" s="1"/>
  <c r="AU238" i="43" s="1"/>
  <c r="AU156" i="43"/>
  <c r="AU204" i="43" s="1"/>
  <c r="AU228" i="43" s="1"/>
  <c r="AU151" i="43"/>
  <c r="AU164" i="43"/>
  <c r="AU212" i="43" s="1"/>
  <c r="AU236" i="43" s="1"/>
  <c r="AU161" i="43"/>
  <c r="AU209" i="43" s="1"/>
  <c r="AU233" i="43" s="1"/>
  <c r="AU153" i="43"/>
  <c r="AU201" i="43" s="1"/>
  <c r="AU225" i="43" s="1"/>
  <c r="AL12" i="36"/>
  <c r="AM224" i="36" s="1"/>
  <c r="AM225" i="36" s="1"/>
  <c r="AL35" i="40"/>
  <c r="AP101" i="40"/>
  <c r="AQ89" i="40"/>
  <c r="AO102" i="40"/>
  <c r="AO13" i="44" s="1"/>
  <c r="AP135" i="44" s="1"/>
  <c r="AP183" i="44" s="1"/>
  <c r="BG90" i="30"/>
  <c r="BG96" i="30" s="1"/>
  <c r="AO162" i="44"/>
  <c r="AO210" i="44" s="1"/>
  <c r="AO234" i="44" s="1"/>
  <c r="AO163" i="44"/>
  <c r="AO211" i="44" s="1"/>
  <c r="AO235" i="44" s="1"/>
  <c r="AO152" i="44"/>
  <c r="AO200" i="44" s="1"/>
  <c r="AO224" i="44" s="1"/>
  <c r="AO151" i="44"/>
  <c r="AO199" i="44" s="1"/>
  <c r="AO223" i="44" s="1"/>
  <c r="AO158" i="44"/>
  <c r="AO206" i="44" s="1"/>
  <c r="AO230" i="44" s="1"/>
  <c r="AO164" i="44"/>
  <c r="AO212" i="44" s="1"/>
  <c r="AO236" i="44" s="1"/>
  <c r="AO160" i="44"/>
  <c r="AO208" i="44" s="1"/>
  <c r="AO232" i="44" s="1"/>
  <c r="AO153" i="44"/>
  <c r="AO201" i="44" s="1"/>
  <c r="AO225" i="44" s="1"/>
  <c r="AO154" i="44"/>
  <c r="AO202" i="44" s="1"/>
  <c r="AO226" i="44" s="1"/>
  <c r="AN15" i="44"/>
  <c r="AO161" i="44"/>
  <c r="AO209" i="44" s="1"/>
  <c r="AO233" i="44" s="1"/>
  <c r="AO166" i="44"/>
  <c r="AO214" i="44" s="1"/>
  <c r="AO238" i="44" s="1"/>
  <c r="AO156" i="44"/>
  <c r="AO204" i="44" s="1"/>
  <c r="AO228" i="44" s="1"/>
  <c r="AO155" i="44"/>
  <c r="AO203" i="44" s="1"/>
  <c r="AO227" i="44" s="1"/>
  <c r="AO165" i="44"/>
  <c r="AO213" i="44" s="1"/>
  <c r="AO237" i="44" s="1"/>
  <c r="AO168" i="44"/>
  <c r="AO216" i="44" s="1"/>
  <c r="AO240" i="44" s="1"/>
  <c r="AO167" i="44"/>
  <c r="AO215" i="44" s="1"/>
  <c r="AO239" i="44" s="1"/>
  <c r="AO157" i="44"/>
  <c r="AO205" i="44" s="1"/>
  <c r="AO229" i="44" s="1"/>
  <c r="AO159" i="44"/>
  <c r="AO207" i="44" s="1"/>
  <c r="AO231" i="44" s="1"/>
  <c r="AM23" i="37"/>
  <c r="AN244" i="44"/>
  <c r="AM23" i="54"/>
  <c r="BF113" i="30"/>
  <c r="BF115" i="30" s="1"/>
  <c r="BG111" i="30" s="1"/>
  <c r="BF117" i="30"/>
  <c r="AX74" i="30"/>
  <c r="AX68" i="30"/>
  <c r="AX69" i="30"/>
  <c r="AU199" i="43" l="1"/>
  <c r="AU223" i="43" s="1"/>
  <c r="AU242" i="43" s="1"/>
  <c r="AU244" i="43" s="1"/>
  <c r="AU169" i="43"/>
  <c r="AV67" i="40"/>
  <c r="AV12" i="43"/>
  <c r="AK227" i="63"/>
  <c r="AL250" i="36"/>
  <c r="AN82" i="30"/>
  <c r="AN22" i="40" s="1"/>
  <c r="AN23" i="40" s="1"/>
  <c r="AY125" i="30"/>
  <c r="AY88" i="40" s="1"/>
  <c r="AV125" i="30"/>
  <c r="AV88" i="40" s="1"/>
  <c r="AZ103" i="30"/>
  <c r="AZ54" i="40" s="1"/>
  <c r="AW103" i="30"/>
  <c r="AW54" i="40" s="1"/>
  <c r="AW55" i="40" s="1"/>
  <c r="AW66" i="40" s="1"/>
  <c r="AL36" i="40"/>
  <c r="AL14" i="36" s="1"/>
  <c r="AL17" i="39"/>
  <c r="AL18" i="39" s="1"/>
  <c r="AL24" i="39" s="1"/>
  <c r="AL13" i="36"/>
  <c r="AU12" i="43"/>
  <c r="AU67" i="40"/>
  <c r="AM34" i="40"/>
  <c r="AM14" i="37"/>
  <c r="AM15" i="37" s="1"/>
  <c r="AQ101" i="40"/>
  <c r="AR89" i="40"/>
  <c r="AP12" i="44"/>
  <c r="AP102" i="40"/>
  <c r="AP13" i="44" s="1"/>
  <c r="AP140" i="44"/>
  <c r="AP188" i="44" s="1"/>
  <c r="AP130" i="44"/>
  <c r="AP178" i="44" s="1"/>
  <c r="AP143" i="44"/>
  <c r="AP191" i="44" s="1"/>
  <c r="AP129" i="44"/>
  <c r="AP177" i="44" s="1"/>
  <c r="AP145" i="44"/>
  <c r="AP193" i="44" s="1"/>
  <c r="AP136" i="44"/>
  <c r="AP184" i="44" s="1"/>
  <c r="AP133" i="44"/>
  <c r="AP181" i="44" s="1"/>
  <c r="AP137" i="44"/>
  <c r="AP185" i="44" s="1"/>
  <c r="AP132" i="44"/>
  <c r="AP180" i="44" s="1"/>
  <c r="AP141" i="44"/>
  <c r="AP189" i="44" s="1"/>
  <c r="AP131" i="44"/>
  <c r="AP179" i="44" s="1"/>
  <c r="AP144" i="44"/>
  <c r="AP192" i="44" s="1"/>
  <c r="AP142" i="44"/>
  <c r="AP190" i="44" s="1"/>
  <c r="AP146" i="44"/>
  <c r="AP194" i="44" s="1"/>
  <c r="AP134" i="44"/>
  <c r="AP182" i="44" s="1"/>
  <c r="AP138" i="44"/>
  <c r="AP186" i="44" s="1"/>
  <c r="AP139" i="44"/>
  <c r="AP187" i="44" s="1"/>
  <c r="AO103" i="40"/>
  <c r="AO104" i="40" s="1"/>
  <c r="BG93" i="30"/>
  <c r="BG92" i="30"/>
  <c r="BG94" i="30" s="1"/>
  <c r="AO242" i="44"/>
  <c r="AN23" i="63" s="1"/>
  <c r="AO169" i="44"/>
  <c r="BG117" i="30"/>
  <c r="BG114" i="30"/>
  <c r="BG113" i="30"/>
  <c r="BG115" i="30" s="1"/>
  <c r="AX70" i="30"/>
  <c r="AY66" i="30" s="1"/>
  <c r="AK123" i="63" l="1"/>
  <c r="AK239" i="63" s="1"/>
  <c r="AK45" i="67"/>
  <c r="AM35" i="40"/>
  <c r="AM36" i="40" s="1"/>
  <c r="AM14" i="36" s="1"/>
  <c r="AM12" i="36"/>
  <c r="AN224" i="36" s="1"/>
  <c r="AN225" i="36" s="1"/>
  <c r="AZ125" i="30"/>
  <c r="AZ88" i="40" s="1"/>
  <c r="AW125" i="30"/>
  <c r="AW88" i="40" s="1"/>
  <c r="AU68" i="40"/>
  <c r="AU113" i="39"/>
  <c r="AU114" i="39" s="1"/>
  <c r="AU120" i="39" s="1"/>
  <c r="AU13" i="43"/>
  <c r="AM168" i="36"/>
  <c r="AM216" i="36" s="1"/>
  <c r="AM153" i="36"/>
  <c r="AM201" i="36" s="1"/>
  <c r="AM158" i="36"/>
  <c r="AM206" i="36" s="1"/>
  <c r="AM155" i="36"/>
  <c r="AM203" i="36" s="1"/>
  <c r="AM164" i="36"/>
  <c r="AM212" i="36" s="1"/>
  <c r="AM159" i="36"/>
  <c r="AM207" i="36" s="1"/>
  <c r="AL15" i="36"/>
  <c r="AM165" i="36"/>
  <c r="AM213" i="36" s="1"/>
  <c r="AM161" i="36"/>
  <c r="AM209" i="36" s="1"/>
  <c r="AM160" i="36"/>
  <c r="AM208" i="36" s="1"/>
  <c r="AM166" i="36"/>
  <c r="AM214" i="36" s="1"/>
  <c r="AM151" i="36"/>
  <c r="AM156" i="36"/>
  <c r="AM204" i="36" s="1"/>
  <c r="AM167" i="36"/>
  <c r="AM215" i="36" s="1"/>
  <c r="AM163" i="36"/>
  <c r="AM211" i="36" s="1"/>
  <c r="AM162" i="36"/>
  <c r="AM210" i="36" s="1"/>
  <c r="AM157" i="36"/>
  <c r="AM205" i="36" s="1"/>
  <c r="AM154" i="36"/>
  <c r="AM202" i="36" s="1"/>
  <c r="AM152" i="36"/>
  <c r="AM200" i="36" s="1"/>
  <c r="AV68" i="40"/>
  <c r="AV13" i="43"/>
  <c r="AV113" i="39"/>
  <c r="AV114" i="39" s="1"/>
  <c r="AV120" i="39" s="1"/>
  <c r="AO84" i="39"/>
  <c r="AS84" i="39"/>
  <c r="AU84" i="39"/>
  <c r="AV84" i="39"/>
  <c r="AP84" i="39"/>
  <c r="AT84" i="39"/>
  <c r="AQ84" i="39"/>
  <c r="AR84" i="39"/>
  <c r="AM84" i="39"/>
  <c r="AM101" i="39" s="1"/>
  <c r="AM84" i="36" s="1"/>
  <c r="AN84" i="39"/>
  <c r="AW67" i="40"/>
  <c r="AW68" i="40" s="1"/>
  <c r="AW12" i="43"/>
  <c r="AN34" i="40"/>
  <c r="AN14" i="37"/>
  <c r="AN15" i="37" s="1"/>
  <c r="AK24" i="37"/>
  <c r="AK25" i="37" s="1"/>
  <c r="AL252" i="36"/>
  <c r="AM137" i="36"/>
  <c r="AM185" i="36" s="1"/>
  <c r="AM133" i="36"/>
  <c r="AM181" i="36" s="1"/>
  <c r="AM146" i="36"/>
  <c r="AM194" i="36" s="1"/>
  <c r="AM141" i="36"/>
  <c r="AM189" i="36" s="1"/>
  <c r="AM134" i="36"/>
  <c r="AM182" i="36" s="1"/>
  <c r="AM139" i="36"/>
  <c r="AM187" i="36" s="1"/>
  <c r="AM136" i="36"/>
  <c r="AM184" i="36" s="1"/>
  <c r="AM145" i="36"/>
  <c r="AM193" i="36" s="1"/>
  <c r="AM140" i="36"/>
  <c r="AM188" i="36" s="1"/>
  <c r="AM130" i="36"/>
  <c r="AM178" i="36" s="1"/>
  <c r="AM135" i="36"/>
  <c r="AM183" i="36" s="1"/>
  <c r="AM237" i="36" s="1"/>
  <c r="AL111" i="63" s="1"/>
  <c r="AM143" i="36"/>
  <c r="AM191" i="36" s="1"/>
  <c r="AM131" i="36"/>
  <c r="AM179" i="36" s="1"/>
  <c r="AM138" i="36"/>
  <c r="AM186" i="36" s="1"/>
  <c r="AM142" i="36"/>
  <c r="AM190" i="36" s="1"/>
  <c r="AM244" i="36" s="1"/>
  <c r="AL118" i="63" s="1"/>
  <c r="AM144" i="36"/>
  <c r="AM192" i="36" s="1"/>
  <c r="AM129" i="36"/>
  <c r="AM132" i="36"/>
  <c r="AM180" i="36" s="1"/>
  <c r="AK124" i="63"/>
  <c r="AP103" i="40"/>
  <c r="AP104" i="40" s="1"/>
  <c r="AQ143" i="44"/>
  <c r="AQ191" i="44" s="1"/>
  <c r="AQ140" i="44"/>
  <c r="AQ188" i="44" s="1"/>
  <c r="AQ142" i="44"/>
  <c r="AQ190" i="44" s="1"/>
  <c r="AQ146" i="44"/>
  <c r="AQ194" i="44" s="1"/>
  <c r="AQ139" i="44"/>
  <c r="AQ187" i="44" s="1"/>
  <c r="AQ138" i="44"/>
  <c r="AQ186" i="44" s="1"/>
  <c r="AQ141" i="44"/>
  <c r="AQ189" i="44" s="1"/>
  <c r="AQ145" i="44"/>
  <c r="AQ193" i="44" s="1"/>
  <c r="AQ144" i="44"/>
  <c r="AQ192" i="44" s="1"/>
  <c r="AQ129" i="44"/>
  <c r="AQ177" i="44" s="1"/>
  <c r="AQ131" i="44"/>
  <c r="AQ179" i="44" s="1"/>
  <c r="AQ134" i="44"/>
  <c r="AQ182" i="44" s="1"/>
  <c r="AQ133" i="44"/>
  <c r="AQ181" i="44" s="1"/>
  <c r="AQ132" i="44"/>
  <c r="AQ180" i="44" s="1"/>
  <c r="AQ130" i="44"/>
  <c r="AQ178" i="44" s="1"/>
  <c r="AQ135" i="44"/>
  <c r="AQ183" i="44" s="1"/>
  <c r="AQ137" i="44"/>
  <c r="AQ185" i="44" s="1"/>
  <c r="AQ136" i="44"/>
  <c r="AQ184" i="44" s="1"/>
  <c r="AR101" i="40"/>
  <c r="AS89" i="40"/>
  <c r="AQ102" i="40"/>
  <c r="AQ13" i="44" s="1"/>
  <c r="AQ12" i="44"/>
  <c r="AO14" i="44"/>
  <c r="AP154" i="44" s="1"/>
  <c r="AP202" i="44" s="1"/>
  <c r="AP226" i="44" s="1"/>
  <c r="BH90" i="30"/>
  <c r="AO244" i="44"/>
  <c r="AN23" i="37"/>
  <c r="AN23" i="54"/>
  <c r="BH111" i="30"/>
  <c r="AY74" i="30"/>
  <c r="AY69" i="30"/>
  <c r="AY68" i="30"/>
  <c r="AL233" i="63" l="1"/>
  <c r="AL51" i="67" s="1"/>
  <c r="AM248" i="36"/>
  <c r="AL122" i="63" s="1"/>
  <c r="AM246" i="36"/>
  <c r="AL120" i="63" s="1"/>
  <c r="AM233" i="36"/>
  <c r="AL107" i="63" s="1"/>
  <c r="AM240" i="36"/>
  <c r="AL114" i="63" s="1"/>
  <c r="AM243" i="36"/>
  <c r="AL117" i="63" s="1"/>
  <c r="AM234" i="36"/>
  <c r="AL108" i="63" s="1"/>
  <c r="AM247" i="36"/>
  <c r="AL121" i="63" s="1"/>
  <c r="AM242" i="36"/>
  <c r="AL116" i="63" s="1"/>
  <c r="AM241" i="36"/>
  <c r="AL115" i="63" s="1"/>
  <c r="AM236" i="36"/>
  <c r="AL110" i="63" s="1"/>
  <c r="AM239" i="36"/>
  <c r="AL113" i="63" s="1"/>
  <c r="AM238" i="36"/>
  <c r="AL112" i="63" s="1"/>
  <c r="AM232" i="36"/>
  <c r="AL106" i="63" s="1"/>
  <c r="AN35" i="40"/>
  <c r="AN36" i="40" s="1"/>
  <c r="AN14" i="36" s="1"/>
  <c r="AN12" i="36"/>
  <c r="AO224" i="36" s="1"/>
  <c r="AO225" i="36" s="1"/>
  <c r="AM199" i="36"/>
  <c r="AM169" i="36"/>
  <c r="AV140" i="43"/>
  <c r="AV188" i="43" s="1"/>
  <c r="AV144" i="43"/>
  <c r="AV192" i="43" s="1"/>
  <c r="AV143" i="43"/>
  <c r="AV191" i="43" s="1"/>
  <c r="AV132" i="43"/>
  <c r="AV180" i="43" s="1"/>
  <c r="AV137" i="43"/>
  <c r="AV185" i="43" s="1"/>
  <c r="AV141" i="43"/>
  <c r="AV189" i="43" s="1"/>
  <c r="AV145" i="43"/>
  <c r="AV193" i="43" s="1"/>
  <c r="AV135" i="43"/>
  <c r="AV183" i="43" s="1"/>
  <c r="AV130" i="43"/>
  <c r="AV178" i="43" s="1"/>
  <c r="AV136" i="43"/>
  <c r="AV184" i="43" s="1"/>
  <c r="AV139" i="43"/>
  <c r="AV187" i="43" s="1"/>
  <c r="AV138" i="43"/>
  <c r="AV186" i="43" s="1"/>
  <c r="AV134" i="43"/>
  <c r="AV182" i="43" s="1"/>
  <c r="AV146" i="43"/>
  <c r="AV194" i="43" s="1"/>
  <c r="AV142" i="43"/>
  <c r="AV190" i="43" s="1"/>
  <c r="AV129" i="43"/>
  <c r="AV133" i="43"/>
  <c r="AV181" i="43" s="1"/>
  <c r="AV131" i="43"/>
  <c r="AV179" i="43" s="1"/>
  <c r="AM245" i="36"/>
  <c r="AL119" i="63" s="1"/>
  <c r="AW14" i="43"/>
  <c r="AW69" i="40"/>
  <c r="AN120" i="36"/>
  <c r="AN104" i="36"/>
  <c r="AN115" i="36"/>
  <c r="AN105" i="36"/>
  <c r="AN117" i="36"/>
  <c r="AN106" i="36"/>
  <c r="AN118" i="36"/>
  <c r="AN107" i="36"/>
  <c r="AN111" i="36"/>
  <c r="AN112" i="36"/>
  <c r="AN110" i="36"/>
  <c r="AN113" i="36"/>
  <c r="AN116" i="36"/>
  <c r="AN119" i="36"/>
  <c r="AN108" i="36"/>
  <c r="AN109" i="36"/>
  <c r="AN114" i="36"/>
  <c r="AN103" i="36"/>
  <c r="AX189" i="39"/>
  <c r="AW189" i="39"/>
  <c r="AY189" i="39"/>
  <c r="BA189" i="39"/>
  <c r="AV189" i="39"/>
  <c r="AV197" i="39" s="1"/>
  <c r="AV84" i="43" s="1"/>
  <c r="AZ189" i="39"/>
  <c r="AN163" i="36"/>
  <c r="AN211" i="36" s="1"/>
  <c r="AN157" i="36"/>
  <c r="AN205" i="36" s="1"/>
  <c r="AN162" i="36"/>
  <c r="AN210" i="36" s="1"/>
  <c r="AN156" i="36"/>
  <c r="AN204" i="36" s="1"/>
  <c r="AN160" i="36"/>
  <c r="AN208" i="36" s="1"/>
  <c r="AN159" i="36"/>
  <c r="AN207" i="36" s="1"/>
  <c r="AN161" i="36"/>
  <c r="AN209" i="36" s="1"/>
  <c r="AN154" i="36"/>
  <c r="AN202" i="36" s="1"/>
  <c r="AN158" i="36"/>
  <c r="AN206" i="36" s="1"/>
  <c r="AN166" i="36"/>
  <c r="AN214" i="36" s="1"/>
  <c r="AM15" i="36"/>
  <c r="AN152" i="36"/>
  <c r="AN200" i="36" s="1"/>
  <c r="AN168" i="36"/>
  <c r="AN216" i="36" s="1"/>
  <c r="AN151" i="36"/>
  <c r="AN153" i="36"/>
  <c r="AN201" i="36" s="1"/>
  <c r="AN155" i="36"/>
  <c r="AN203" i="36" s="1"/>
  <c r="AN165" i="36"/>
  <c r="AN213" i="36" s="1"/>
  <c r="AN164" i="36"/>
  <c r="AN212" i="36" s="1"/>
  <c r="AN167" i="36"/>
  <c r="AN215" i="36" s="1"/>
  <c r="AM177" i="36"/>
  <c r="AM147" i="36"/>
  <c r="AV69" i="40"/>
  <c r="AV14" i="43"/>
  <c r="AO82" i="30"/>
  <c r="AO22" i="40" s="1"/>
  <c r="AO23" i="40" s="1"/>
  <c r="AK27" i="37"/>
  <c r="AK39" i="63"/>
  <c r="AY190" i="39"/>
  <c r="AZ190" i="39"/>
  <c r="AW190" i="39"/>
  <c r="BA190" i="39"/>
  <c r="AX190" i="39"/>
  <c r="AU69" i="40"/>
  <c r="AU14" i="43"/>
  <c r="AM235" i="36"/>
  <c r="AL109" i="63" s="1"/>
  <c r="AW13" i="43"/>
  <c r="AW113" i="39"/>
  <c r="AW114" i="39" s="1"/>
  <c r="AW120" i="39" s="1"/>
  <c r="AM13" i="36"/>
  <c r="AM17" i="39"/>
  <c r="AM18" i="39" s="1"/>
  <c r="AM24" i="39" s="1"/>
  <c r="AQ103" i="40"/>
  <c r="AQ104" i="40" s="1"/>
  <c r="AP14" i="44"/>
  <c r="AQ161" i="44" s="1"/>
  <c r="AQ209" i="44" s="1"/>
  <c r="AQ233" i="44" s="1"/>
  <c r="AS101" i="40"/>
  <c r="AT89" i="40"/>
  <c r="AR143" i="44"/>
  <c r="AR191" i="44" s="1"/>
  <c r="AR140" i="44"/>
  <c r="AR188" i="44" s="1"/>
  <c r="AR142" i="44"/>
  <c r="AR190" i="44" s="1"/>
  <c r="AR146" i="44"/>
  <c r="AR194" i="44" s="1"/>
  <c r="AR138" i="44"/>
  <c r="AR186" i="44" s="1"/>
  <c r="AR139" i="44"/>
  <c r="AR187" i="44" s="1"/>
  <c r="AR141" i="44"/>
  <c r="AR189" i="44" s="1"/>
  <c r="AR145" i="44"/>
  <c r="AR193" i="44" s="1"/>
  <c r="AR144" i="44"/>
  <c r="AR192" i="44" s="1"/>
  <c r="AR129" i="44"/>
  <c r="AR177" i="44" s="1"/>
  <c r="AR131" i="44"/>
  <c r="AR179" i="44" s="1"/>
  <c r="AR133" i="44"/>
  <c r="AR181" i="44" s="1"/>
  <c r="AR132" i="44"/>
  <c r="AR180" i="44" s="1"/>
  <c r="AR130" i="44"/>
  <c r="AR178" i="44" s="1"/>
  <c r="AR134" i="44"/>
  <c r="AR182" i="44" s="1"/>
  <c r="AR135" i="44"/>
  <c r="AR183" i="44" s="1"/>
  <c r="AR137" i="44"/>
  <c r="AR185" i="44" s="1"/>
  <c r="AR136" i="44"/>
  <c r="AR184" i="44" s="1"/>
  <c r="AR12" i="44"/>
  <c r="AR102" i="40"/>
  <c r="AR13" i="44" s="1"/>
  <c r="AP156" i="44"/>
  <c r="AP204" i="44" s="1"/>
  <c r="AP228" i="44" s="1"/>
  <c r="AP161" i="44"/>
  <c r="AP209" i="44" s="1"/>
  <c r="AP233" i="44" s="1"/>
  <c r="AP153" i="44"/>
  <c r="AP201" i="44" s="1"/>
  <c r="AP225" i="44" s="1"/>
  <c r="AP155" i="44"/>
  <c r="AP203" i="44" s="1"/>
  <c r="AP227" i="44" s="1"/>
  <c r="AO15" i="44"/>
  <c r="AP166" i="44"/>
  <c r="AP214" i="44" s="1"/>
  <c r="AP238" i="44" s="1"/>
  <c r="AP159" i="44"/>
  <c r="AP207" i="44" s="1"/>
  <c r="AP231" i="44" s="1"/>
  <c r="AP160" i="44"/>
  <c r="AP208" i="44" s="1"/>
  <c r="AP232" i="44" s="1"/>
  <c r="AP163" i="44"/>
  <c r="AP211" i="44" s="1"/>
  <c r="AP235" i="44" s="1"/>
  <c r="AP158" i="44"/>
  <c r="AP206" i="44" s="1"/>
  <c r="AP230" i="44" s="1"/>
  <c r="AP165" i="44"/>
  <c r="AP213" i="44" s="1"/>
  <c r="AP237" i="44" s="1"/>
  <c r="AP164" i="44"/>
  <c r="AP212" i="44" s="1"/>
  <c r="AP168" i="44"/>
  <c r="AP216" i="44" s="1"/>
  <c r="AP240" i="44" s="1"/>
  <c r="AP162" i="44"/>
  <c r="AP210" i="44" s="1"/>
  <c r="AP234" i="44" s="1"/>
  <c r="AP151" i="44"/>
  <c r="AP167" i="44"/>
  <c r="AP215" i="44" s="1"/>
  <c r="AP239" i="44" s="1"/>
  <c r="AP157" i="44"/>
  <c r="AP205" i="44" s="1"/>
  <c r="AP229" i="44" s="1"/>
  <c r="AP152" i="44"/>
  <c r="AP200" i="44" s="1"/>
  <c r="AP224" i="44" s="1"/>
  <c r="BH93" i="30"/>
  <c r="BH96" i="30"/>
  <c r="BH92" i="30"/>
  <c r="BH94" i="30" s="1"/>
  <c r="BH117" i="30"/>
  <c r="BH113" i="30"/>
  <c r="BH115" i="30" s="1"/>
  <c r="BH114" i="30"/>
  <c r="AY70" i="30"/>
  <c r="AZ66" i="30" s="1"/>
  <c r="AL234" i="63" l="1"/>
  <c r="AL52" i="67" s="1"/>
  <c r="AL232" i="63"/>
  <c r="AL50" i="67" s="1"/>
  <c r="AL228" i="63"/>
  <c r="AL46" i="67" s="1"/>
  <c r="AL230" i="63"/>
  <c r="AL48" i="67" s="1"/>
  <c r="AL231" i="63"/>
  <c r="AL49" i="67" s="1"/>
  <c r="AL235" i="63"/>
  <c r="AL53" i="67" s="1"/>
  <c r="AL237" i="63"/>
  <c r="AL55" i="67" s="1"/>
  <c r="AL236" i="63"/>
  <c r="AL54" i="67" s="1"/>
  <c r="AL238" i="63"/>
  <c r="AL56" i="67" s="1"/>
  <c r="AL229" i="63"/>
  <c r="AL47" i="67" s="1"/>
  <c r="AQ168" i="44"/>
  <c r="AQ216" i="44" s="1"/>
  <c r="AQ240" i="44" s="1"/>
  <c r="AQ156" i="44"/>
  <c r="AQ204" i="44" s="1"/>
  <c r="AQ228" i="44" s="1"/>
  <c r="AP15" i="44"/>
  <c r="AW197" i="39"/>
  <c r="AW84" i="43" s="1"/>
  <c r="AX117" i="43" s="1"/>
  <c r="AX143" i="43" s="1"/>
  <c r="AX191" i="43" s="1"/>
  <c r="BA103" i="30"/>
  <c r="BA54" i="40" s="1"/>
  <c r="AX103" i="30"/>
  <c r="AX54" i="40" s="1"/>
  <c r="AX55" i="40" s="1"/>
  <c r="BA191" i="39"/>
  <c r="AZ191" i="39"/>
  <c r="AY191" i="39"/>
  <c r="AX191" i="39"/>
  <c r="AX197" i="39" s="1"/>
  <c r="AX84" i="43" s="1"/>
  <c r="AO34" i="40"/>
  <c r="AO14" i="37"/>
  <c r="AO15" i="37" s="1"/>
  <c r="AO151" i="36"/>
  <c r="AO168" i="36"/>
  <c r="AO216" i="36" s="1"/>
  <c r="AO158" i="36"/>
  <c r="AO206" i="36" s="1"/>
  <c r="AO167" i="36"/>
  <c r="AO215" i="36" s="1"/>
  <c r="AO160" i="36"/>
  <c r="AO208" i="36" s="1"/>
  <c r="AO165" i="36"/>
  <c r="AO213" i="36" s="1"/>
  <c r="AO159" i="36"/>
  <c r="AO207" i="36" s="1"/>
  <c r="AO161" i="36"/>
  <c r="AO209" i="36" s="1"/>
  <c r="AO157" i="36"/>
  <c r="AO205" i="36" s="1"/>
  <c r="AO162" i="36"/>
  <c r="AO210" i="36" s="1"/>
  <c r="AN15" i="36"/>
  <c r="AO166" i="36"/>
  <c r="AO214" i="36" s="1"/>
  <c r="AO152" i="36"/>
  <c r="AO200" i="36" s="1"/>
  <c r="AO163" i="36"/>
  <c r="AO211" i="36" s="1"/>
  <c r="AO164" i="36"/>
  <c r="AO212" i="36" s="1"/>
  <c r="AO154" i="36"/>
  <c r="AO202" i="36" s="1"/>
  <c r="AO156" i="36"/>
  <c r="AO204" i="36" s="1"/>
  <c r="AO155" i="36"/>
  <c r="AO203" i="36" s="1"/>
  <c r="AO153" i="36"/>
  <c r="AO201" i="36" s="1"/>
  <c r="AX118" i="43"/>
  <c r="AX144" i="43" s="1"/>
  <c r="AX192" i="43" s="1"/>
  <c r="AN169" i="36"/>
  <c r="AN199" i="36"/>
  <c r="BA125" i="30"/>
  <c r="BA88" i="40" s="1"/>
  <c r="AX125" i="30"/>
  <c r="AX88" i="40" s="1"/>
  <c r="AM231" i="36"/>
  <c r="AL105" i="63" s="1"/>
  <c r="AN145" i="36"/>
  <c r="AN193" i="36" s="1"/>
  <c r="AN247" i="36" s="1"/>
  <c r="AM121" i="63" s="1"/>
  <c r="AN131" i="36"/>
  <c r="AN179" i="36" s="1"/>
  <c r="AN233" i="36" s="1"/>
  <c r="AM107" i="63" s="1"/>
  <c r="AN132" i="36"/>
  <c r="AN180" i="36" s="1"/>
  <c r="AN234" i="36" s="1"/>
  <c r="AM108" i="63" s="1"/>
  <c r="AN135" i="36"/>
  <c r="AN183" i="36" s="1"/>
  <c r="AN237" i="36" s="1"/>
  <c r="AM111" i="63" s="1"/>
  <c r="AN143" i="36"/>
  <c r="AN191" i="36" s="1"/>
  <c r="AN245" i="36" s="1"/>
  <c r="AM119" i="63" s="1"/>
  <c r="AN136" i="36"/>
  <c r="AN184" i="36" s="1"/>
  <c r="AN238" i="36" s="1"/>
  <c r="AM112" i="63" s="1"/>
  <c r="AN138" i="36"/>
  <c r="AN186" i="36" s="1"/>
  <c r="AN240" i="36" s="1"/>
  <c r="AM114" i="63" s="1"/>
  <c r="AN142" i="36"/>
  <c r="AN190" i="36" s="1"/>
  <c r="AN244" i="36" s="1"/>
  <c r="AM118" i="63" s="1"/>
  <c r="AN137" i="36"/>
  <c r="AN185" i="36" s="1"/>
  <c r="AN239" i="36" s="1"/>
  <c r="AM113" i="63" s="1"/>
  <c r="AN141" i="36"/>
  <c r="AN189" i="36" s="1"/>
  <c r="AN243" i="36" s="1"/>
  <c r="AM117" i="63" s="1"/>
  <c r="AN129" i="36"/>
  <c r="AN133" i="36"/>
  <c r="AN181" i="36" s="1"/>
  <c r="AN235" i="36" s="1"/>
  <c r="AM109" i="63" s="1"/>
  <c r="AN144" i="36"/>
  <c r="AN192" i="36" s="1"/>
  <c r="AN246" i="36" s="1"/>
  <c r="AM120" i="63" s="1"/>
  <c r="AN139" i="36"/>
  <c r="AN187" i="36" s="1"/>
  <c r="AN241" i="36" s="1"/>
  <c r="AM115" i="63" s="1"/>
  <c r="AN130" i="36"/>
  <c r="AN178" i="36" s="1"/>
  <c r="AN232" i="36" s="1"/>
  <c r="AM106" i="63" s="1"/>
  <c r="AN134" i="36"/>
  <c r="AN182" i="36" s="1"/>
  <c r="AN236" i="36" s="1"/>
  <c r="AM110" i="63" s="1"/>
  <c r="AN146" i="36"/>
  <c r="AN194" i="36" s="1"/>
  <c r="AN248" i="36" s="1"/>
  <c r="AM122" i="63" s="1"/>
  <c r="AN140" i="36"/>
  <c r="AN188" i="36" s="1"/>
  <c r="AN242" i="36" s="1"/>
  <c r="AM116" i="63" s="1"/>
  <c r="AU15" i="43"/>
  <c r="AV164" i="43"/>
  <c r="AV212" i="43" s="1"/>
  <c r="AV236" i="43" s="1"/>
  <c r="AV161" i="43"/>
  <c r="AV209" i="43" s="1"/>
  <c r="AV233" i="43" s="1"/>
  <c r="AV152" i="43"/>
  <c r="AV200" i="43" s="1"/>
  <c r="AV224" i="43" s="1"/>
  <c r="AV156" i="43"/>
  <c r="AV204" i="43" s="1"/>
  <c r="AV228" i="43" s="1"/>
  <c r="AV166" i="43"/>
  <c r="AV214" i="43" s="1"/>
  <c r="AV238" i="43" s="1"/>
  <c r="AV160" i="43"/>
  <c r="AV208" i="43" s="1"/>
  <c r="AV232" i="43" s="1"/>
  <c r="AV168" i="43"/>
  <c r="AV216" i="43" s="1"/>
  <c r="AV240" i="43" s="1"/>
  <c r="AV157" i="43"/>
  <c r="AV205" i="43" s="1"/>
  <c r="AV229" i="43" s="1"/>
  <c r="AV159" i="43"/>
  <c r="AV207" i="43" s="1"/>
  <c r="AV231" i="43" s="1"/>
  <c r="AV162" i="43"/>
  <c r="AV210" i="43" s="1"/>
  <c r="AV234" i="43" s="1"/>
  <c r="AV153" i="43"/>
  <c r="AV201" i="43" s="1"/>
  <c r="AV225" i="43" s="1"/>
  <c r="AV165" i="43"/>
  <c r="AV213" i="43" s="1"/>
  <c r="AV237" i="43" s="1"/>
  <c r="AV163" i="43"/>
  <c r="AV211" i="43" s="1"/>
  <c r="AV235" i="43" s="1"/>
  <c r="AV154" i="43"/>
  <c r="AV202" i="43" s="1"/>
  <c r="AV226" i="43" s="1"/>
  <c r="AV151" i="43"/>
  <c r="AV158" i="43"/>
  <c r="AV206" i="43" s="1"/>
  <c r="AV230" i="43" s="1"/>
  <c r="AV167" i="43"/>
  <c r="AV215" i="43" s="1"/>
  <c r="AV239" i="43" s="1"/>
  <c r="AV155" i="43"/>
  <c r="AV203" i="43" s="1"/>
  <c r="AV227" i="43" s="1"/>
  <c r="AQ85" i="39"/>
  <c r="AU85" i="39"/>
  <c r="AN85" i="39"/>
  <c r="AN101" i="39" s="1"/>
  <c r="AN84" i="36" s="1"/>
  <c r="AR85" i="39"/>
  <c r="AV85" i="39"/>
  <c r="AS85" i="39"/>
  <c r="AO85" i="39"/>
  <c r="AT85" i="39"/>
  <c r="AW85" i="39"/>
  <c r="AP85" i="39"/>
  <c r="AV15" i="43"/>
  <c r="AW164" i="43"/>
  <c r="AW212" i="43" s="1"/>
  <c r="AW161" i="43"/>
  <c r="AW209" i="43" s="1"/>
  <c r="AW151" i="43"/>
  <c r="AW153" i="43"/>
  <c r="AW201" i="43" s="1"/>
  <c r="AW157" i="43"/>
  <c r="AW205" i="43" s="1"/>
  <c r="AW165" i="43"/>
  <c r="AW213" i="43" s="1"/>
  <c r="AW160" i="43"/>
  <c r="AW208" i="43" s="1"/>
  <c r="AW168" i="43"/>
  <c r="AW216" i="43" s="1"/>
  <c r="AW156" i="43"/>
  <c r="AW204" i="43" s="1"/>
  <c r="AW159" i="43"/>
  <c r="AW207" i="43" s="1"/>
  <c r="AW162" i="43"/>
  <c r="AW210" i="43" s="1"/>
  <c r="AW166" i="43"/>
  <c r="AW214" i="43" s="1"/>
  <c r="AW163" i="43"/>
  <c r="AW211" i="43" s="1"/>
  <c r="AW152" i="43"/>
  <c r="AW200" i="43" s="1"/>
  <c r="AW154" i="43"/>
  <c r="AW202" i="43" s="1"/>
  <c r="AW158" i="43"/>
  <c r="AW206" i="43" s="1"/>
  <c r="AW167" i="43"/>
  <c r="AW215" i="43" s="1"/>
  <c r="AW155" i="43"/>
  <c r="AW203" i="43" s="1"/>
  <c r="AW117" i="43"/>
  <c r="AW143" i="43" s="1"/>
  <c r="AW191" i="43" s="1"/>
  <c r="AW116" i="43"/>
  <c r="AW142" i="43" s="1"/>
  <c r="AW190" i="43" s="1"/>
  <c r="AW111" i="43"/>
  <c r="AW137" i="43" s="1"/>
  <c r="AW185" i="43" s="1"/>
  <c r="AW114" i="43"/>
  <c r="AW140" i="43" s="1"/>
  <c r="AW188" i="43" s="1"/>
  <c r="AW113" i="43"/>
  <c r="AW139" i="43" s="1"/>
  <c r="AW187" i="43" s="1"/>
  <c r="AW118" i="43"/>
  <c r="AW144" i="43" s="1"/>
  <c r="AW192" i="43" s="1"/>
  <c r="AW238" i="43" s="1"/>
  <c r="AW105" i="43"/>
  <c r="AW131" i="43" s="1"/>
  <c r="AW179" i="43" s="1"/>
  <c r="AW104" i="43"/>
  <c r="AW130" i="43" s="1"/>
  <c r="AW178" i="43" s="1"/>
  <c r="AW120" i="43"/>
  <c r="AW146" i="43" s="1"/>
  <c r="AW194" i="43" s="1"/>
  <c r="AW115" i="43"/>
  <c r="AW141" i="43" s="1"/>
  <c r="AW189" i="43" s="1"/>
  <c r="AW106" i="43"/>
  <c r="AW132" i="43" s="1"/>
  <c r="AW180" i="43" s="1"/>
  <c r="AW107" i="43"/>
  <c r="AW133" i="43" s="1"/>
  <c r="AW181" i="43" s="1"/>
  <c r="AW109" i="43"/>
  <c r="AW135" i="43" s="1"/>
  <c r="AW183" i="43" s="1"/>
  <c r="AW108" i="43"/>
  <c r="AW134" i="43" s="1"/>
  <c r="AW182" i="43" s="1"/>
  <c r="AW103" i="43"/>
  <c r="AW129" i="43" s="1"/>
  <c r="AW119" i="43"/>
  <c r="AW145" i="43" s="1"/>
  <c r="AW193" i="43" s="1"/>
  <c r="AW110" i="43"/>
  <c r="AW136" i="43" s="1"/>
  <c r="AW184" i="43" s="1"/>
  <c r="AW112" i="43"/>
  <c r="AW138" i="43" s="1"/>
  <c r="AW186" i="43" s="1"/>
  <c r="AX163" i="43"/>
  <c r="AX211" i="43" s="1"/>
  <c r="AX164" i="43"/>
  <c r="AX212" i="43" s="1"/>
  <c r="AX157" i="43"/>
  <c r="AX205" i="43" s="1"/>
  <c r="AX151" i="43"/>
  <c r="AX158" i="43"/>
  <c r="AX206" i="43" s="1"/>
  <c r="AX167" i="43"/>
  <c r="AX215" i="43" s="1"/>
  <c r="AX161" i="43"/>
  <c r="AX209" i="43" s="1"/>
  <c r="AX159" i="43"/>
  <c r="AX207" i="43" s="1"/>
  <c r="AX166" i="43"/>
  <c r="AX214" i="43" s="1"/>
  <c r="AX160" i="43"/>
  <c r="AX208" i="43" s="1"/>
  <c r="AX152" i="43"/>
  <c r="AX200" i="43" s="1"/>
  <c r="AX153" i="43"/>
  <c r="AX201" i="43" s="1"/>
  <c r="AX156" i="43"/>
  <c r="AX204" i="43" s="1"/>
  <c r="AW15" i="43"/>
  <c r="AX165" i="43"/>
  <c r="AX213" i="43" s="1"/>
  <c r="AX162" i="43"/>
  <c r="AX210" i="43" s="1"/>
  <c r="AX155" i="43"/>
  <c r="AX203" i="43" s="1"/>
  <c r="AX154" i="43"/>
  <c r="AX202" i="43" s="1"/>
  <c r="AX168" i="43"/>
  <c r="AX216" i="43" s="1"/>
  <c r="AV177" i="43"/>
  <c r="AV147" i="43"/>
  <c r="AN13" i="36"/>
  <c r="AN17" i="39"/>
  <c r="AN18" i="39" s="1"/>
  <c r="AN24" i="39" s="1"/>
  <c r="AQ155" i="44"/>
  <c r="AQ203" i="44" s="1"/>
  <c r="AQ227" i="44" s="1"/>
  <c r="AQ158" i="44"/>
  <c r="AQ206" i="44" s="1"/>
  <c r="AQ230" i="44" s="1"/>
  <c r="AQ154" i="44"/>
  <c r="AQ202" i="44" s="1"/>
  <c r="AQ226" i="44" s="1"/>
  <c r="AQ166" i="44"/>
  <c r="AQ214" i="44" s="1"/>
  <c r="AQ238" i="44" s="1"/>
  <c r="AQ162" i="44"/>
  <c r="AQ210" i="44" s="1"/>
  <c r="AQ234" i="44" s="1"/>
  <c r="AQ159" i="44"/>
  <c r="AQ207" i="44" s="1"/>
  <c r="AQ231" i="44" s="1"/>
  <c r="AQ152" i="44"/>
  <c r="AQ200" i="44" s="1"/>
  <c r="AQ224" i="44" s="1"/>
  <c r="AQ163" i="44"/>
  <c r="AQ211" i="44" s="1"/>
  <c r="AQ235" i="44" s="1"/>
  <c r="AQ165" i="44"/>
  <c r="AQ213" i="44" s="1"/>
  <c r="AQ237" i="44" s="1"/>
  <c r="AQ151" i="44"/>
  <c r="AQ199" i="44" s="1"/>
  <c r="AQ223" i="44" s="1"/>
  <c r="AQ167" i="44"/>
  <c r="AQ215" i="44" s="1"/>
  <c r="AQ239" i="44" s="1"/>
  <c r="AQ164" i="44"/>
  <c r="AQ212" i="44" s="1"/>
  <c r="AQ236" i="44" s="1"/>
  <c r="AQ153" i="44"/>
  <c r="AQ201" i="44" s="1"/>
  <c r="AQ225" i="44" s="1"/>
  <c r="AQ157" i="44"/>
  <c r="AQ205" i="44" s="1"/>
  <c r="AQ229" i="44" s="1"/>
  <c r="AQ160" i="44"/>
  <c r="AQ208" i="44" s="1"/>
  <c r="AQ232" i="44" s="1"/>
  <c r="AQ14" i="44"/>
  <c r="AQ15" i="44" s="1"/>
  <c r="AT101" i="40"/>
  <c r="AU89" i="40"/>
  <c r="AP236" i="44"/>
  <c r="AS143" i="44"/>
  <c r="AS191" i="44" s="1"/>
  <c r="AS140" i="44"/>
  <c r="AS188" i="44" s="1"/>
  <c r="AS142" i="44"/>
  <c r="AS190" i="44" s="1"/>
  <c r="AS146" i="44"/>
  <c r="AS194" i="44" s="1"/>
  <c r="AS139" i="44"/>
  <c r="AS187" i="44" s="1"/>
  <c r="AS138" i="44"/>
  <c r="AS186" i="44" s="1"/>
  <c r="AS141" i="44"/>
  <c r="AS189" i="44" s="1"/>
  <c r="AS145" i="44"/>
  <c r="AS193" i="44" s="1"/>
  <c r="AS144" i="44"/>
  <c r="AS192" i="44" s="1"/>
  <c r="AS132" i="44"/>
  <c r="AS180" i="44" s="1"/>
  <c r="AS130" i="44"/>
  <c r="AS178" i="44" s="1"/>
  <c r="AS135" i="44"/>
  <c r="AS183" i="44" s="1"/>
  <c r="AS134" i="44"/>
  <c r="AS182" i="44" s="1"/>
  <c r="AS133" i="44"/>
  <c r="AS181" i="44" s="1"/>
  <c r="AS129" i="44"/>
  <c r="AS177" i="44" s="1"/>
  <c r="AS131" i="44"/>
  <c r="AS179" i="44" s="1"/>
  <c r="AS137" i="44"/>
  <c r="AS185" i="44" s="1"/>
  <c r="AS136" i="44"/>
  <c r="AS184" i="44" s="1"/>
  <c r="AS12" i="44"/>
  <c r="AS102" i="40"/>
  <c r="AR103" i="40"/>
  <c r="AP199" i="44"/>
  <c r="AP169" i="44"/>
  <c r="AZ74" i="30"/>
  <c r="AZ68" i="30"/>
  <c r="AZ69" i="30"/>
  <c r="AM231" i="63" l="1"/>
  <c r="AM49" i="67" s="1"/>
  <c r="AM235" i="63"/>
  <c r="AM53" i="67" s="1"/>
  <c r="AM230" i="63"/>
  <c r="AM48" i="67" s="1"/>
  <c r="AM232" i="63"/>
  <c r="AM50" i="67" s="1"/>
  <c r="AM233" i="63"/>
  <c r="AM51" i="67" s="1"/>
  <c r="AM234" i="63"/>
  <c r="AM52" i="67" s="1"/>
  <c r="AM229" i="63"/>
  <c r="AM47" i="67" s="1"/>
  <c r="AM228" i="63"/>
  <c r="AM46" i="67" s="1"/>
  <c r="AM237" i="63"/>
  <c r="AM55" i="67" s="1"/>
  <c r="AM236" i="63"/>
  <c r="AM54" i="67" s="1"/>
  <c r="AM238" i="63"/>
  <c r="AM56" i="67" s="1"/>
  <c r="AX107" i="43"/>
  <c r="AX133" i="43" s="1"/>
  <c r="AX181" i="43" s="1"/>
  <c r="AX227" i="43" s="1"/>
  <c r="AW232" i="43"/>
  <c r="AW227" i="43"/>
  <c r="AW224" i="43"/>
  <c r="AX238" i="43"/>
  <c r="AX110" i="43"/>
  <c r="AX136" i="43" s="1"/>
  <c r="AX184" i="43" s="1"/>
  <c r="AX230" i="43" s="1"/>
  <c r="AX104" i="43"/>
  <c r="AX130" i="43" s="1"/>
  <c r="AX178" i="43" s="1"/>
  <c r="AX224" i="43" s="1"/>
  <c r="AX112" i="43"/>
  <c r="AX138" i="43" s="1"/>
  <c r="AX186" i="43" s="1"/>
  <c r="AX232" i="43" s="1"/>
  <c r="AW228" i="43"/>
  <c r="AX105" i="43"/>
  <c r="AX131" i="43" s="1"/>
  <c r="AX179" i="43" s="1"/>
  <c r="AX225" i="43" s="1"/>
  <c r="AX108" i="43"/>
  <c r="AX134" i="43" s="1"/>
  <c r="AX182" i="43" s="1"/>
  <c r="AX228" i="43" s="1"/>
  <c r="AX119" i="43"/>
  <c r="AX145" i="43" s="1"/>
  <c r="AX193" i="43" s="1"/>
  <c r="AX239" i="43" s="1"/>
  <c r="AX106" i="43"/>
  <c r="AX132" i="43" s="1"/>
  <c r="AX180" i="43" s="1"/>
  <c r="AX226" i="43" s="1"/>
  <c r="AX116" i="43"/>
  <c r="AX142" i="43" s="1"/>
  <c r="AX190" i="43" s="1"/>
  <c r="AX236" i="43" s="1"/>
  <c r="AW235" i="43"/>
  <c r="AW236" i="43"/>
  <c r="AX115" i="43"/>
  <c r="AX141" i="43" s="1"/>
  <c r="AX189" i="43" s="1"/>
  <c r="AX235" i="43" s="1"/>
  <c r="AX113" i="43"/>
  <c r="AX139" i="43" s="1"/>
  <c r="AX187" i="43" s="1"/>
  <c r="AX233" i="43" s="1"/>
  <c r="AX111" i="43"/>
  <c r="AX137" i="43" s="1"/>
  <c r="AX185" i="43" s="1"/>
  <c r="AX231" i="43" s="1"/>
  <c r="AX237" i="43"/>
  <c r="AW229" i="43"/>
  <c r="AW239" i="43"/>
  <c r="AW234" i="43"/>
  <c r="AX114" i="43"/>
  <c r="AX140" i="43" s="1"/>
  <c r="AX188" i="43" s="1"/>
  <c r="AX234" i="43" s="1"/>
  <c r="AX109" i="43"/>
  <c r="AX135" i="43" s="1"/>
  <c r="AX183" i="43" s="1"/>
  <c r="AX229" i="43" s="1"/>
  <c r="AX120" i="43"/>
  <c r="AX146" i="43" s="1"/>
  <c r="AX194" i="43" s="1"/>
  <c r="AX240" i="43" s="1"/>
  <c r="AX103" i="43"/>
  <c r="AX129" i="43" s="1"/>
  <c r="AX177" i="43" s="1"/>
  <c r="AW233" i="43"/>
  <c r="AW237" i="43"/>
  <c r="AW226" i="43"/>
  <c r="AW231" i="43"/>
  <c r="AO104" i="36"/>
  <c r="AO130" i="36" s="1"/>
  <c r="AO178" i="36" s="1"/>
  <c r="AO232" i="36" s="1"/>
  <c r="AN106" i="63" s="1"/>
  <c r="AO119" i="36"/>
  <c r="AO145" i="36" s="1"/>
  <c r="AO193" i="36" s="1"/>
  <c r="AO247" i="36" s="1"/>
  <c r="AN121" i="63" s="1"/>
  <c r="AO111" i="36"/>
  <c r="AO137" i="36" s="1"/>
  <c r="AO185" i="36" s="1"/>
  <c r="AO239" i="36" s="1"/>
  <c r="AN113" i="63" s="1"/>
  <c r="AO109" i="36"/>
  <c r="AO135" i="36" s="1"/>
  <c r="AO183" i="36" s="1"/>
  <c r="AO237" i="36" s="1"/>
  <c r="AN111" i="63" s="1"/>
  <c r="AO114" i="36"/>
  <c r="AO140" i="36" s="1"/>
  <c r="AO188" i="36" s="1"/>
  <c r="AO242" i="36" s="1"/>
  <c r="AN116" i="63" s="1"/>
  <c r="AO116" i="36"/>
  <c r="AO142" i="36" s="1"/>
  <c r="AO190" i="36" s="1"/>
  <c r="AO244" i="36" s="1"/>
  <c r="AN118" i="63" s="1"/>
  <c r="AO106" i="36"/>
  <c r="AO132" i="36" s="1"/>
  <c r="AO180" i="36" s="1"/>
  <c r="AO234" i="36" s="1"/>
  <c r="AN108" i="63" s="1"/>
  <c r="AO120" i="36"/>
  <c r="AO146" i="36" s="1"/>
  <c r="AO194" i="36" s="1"/>
  <c r="AO248" i="36" s="1"/>
  <c r="AN122" i="63" s="1"/>
  <c r="AO107" i="36"/>
  <c r="AO133" i="36" s="1"/>
  <c r="AO181" i="36" s="1"/>
  <c r="AO235" i="36" s="1"/>
  <c r="AN109" i="63" s="1"/>
  <c r="AO113" i="36"/>
  <c r="AO139" i="36" s="1"/>
  <c r="AO187" i="36" s="1"/>
  <c r="AO241" i="36" s="1"/>
  <c r="AN115" i="63" s="1"/>
  <c r="AO108" i="36"/>
  <c r="AO134" i="36" s="1"/>
  <c r="AO182" i="36" s="1"/>
  <c r="AO236" i="36" s="1"/>
  <c r="AN110" i="63" s="1"/>
  <c r="AO110" i="36"/>
  <c r="AO136" i="36" s="1"/>
  <c r="AO184" i="36" s="1"/>
  <c r="AO238" i="36" s="1"/>
  <c r="AN112" i="63" s="1"/>
  <c r="AO117" i="36"/>
  <c r="AO143" i="36" s="1"/>
  <c r="AO191" i="36" s="1"/>
  <c r="AO245" i="36" s="1"/>
  <c r="AN119" i="63" s="1"/>
  <c r="AO115" i="36"/>
  <c r="AO141" i="36" s="1"/>
  <c r="AO189" i="36" s="1"/>
  <c r="AO243" i="36" s="1"/>
  <c r="AN117" i="63" s="1"/>
  <c r="AO112" i="36"/>
  <c r="AO138" i="36" s="1"/>
  <c r="AO186" i="36" s="1"/>
  <c r="AO240" i="36" s="1"/>
  <c r="AN114" i="63" s="1"/>
  <c r="AO105" i="36"/>
  <c r="AO131" i="36" s="1"/>
  <c r="AO179" i="36" s="1"/>
  <c r="AO233" i="36" s="1"/>
  <c r="AN107" i="63" s="1"/>
  <c r="AO118" i="36"/>
  <c r="AO144" i="36" s="1"/>
  <c r="AO192" i="36" s="1"/>
  <c r="AO246" i="36" s="1"/>
  <c r="AN120" i="63" s="1"/>
  <c r="AO103" i="36"/>
  <c r="AO129" i="36" s="1"/>
  <c r="AW230" i="43"/>
  <c r="AW240" i="43"/>
  <c r="AW169" i="43"/>
  <c r="AW199" i="43"/>
  <c r="AO169" i="36"/>
  <c r="AO199" i="36"/>
  <c r="AY115" i="43"/>
  <c r="AY114" i="43"/>
  <c r="AY113" i="43"/>
  <c r="AY104" i="43"/>
  <c r="AY109" i="43"/>
  <c r="AY103" i="43"/>
  <c r="AY119" i="43"/>
  <c r="AY118" i="43"/>
  <c r="AY117" i="43"/>
  <c r="AY120" i="43"/>
  <c r="AY110" i="43"/>
  <c r="AY107" i="43"/>
  <c r="AY106" i="43"/>
  <c r="AY105" i="43"/>
  <c r="AY112" i="43"/>
  <c r="AY116" i="43"/>
  <c r="AY111" i="43"/>
  <c r="AY108" i="43"/>
  <c r="AV199" i="43"/>
  <c r="AV223" i="43" s="1"/>
  <c r="AV242" i="43" s="1"/>
  <c r="AV244" i="43" s="1"/>
  <c r="AV169" i="43"/>
  <c r="AO35" i="40"/>
  <c r="AO36" i="40" s="1"/>
  <c r="AO14" i="36" s="1"/>
  <c r="AO12" i="36"/>
  <c r="AP224" i="36" s="1"/>
  <c r="AP225" i="36" s="1"/>
  <c r="AP82" i="30"/>
  <c r="AP22" i="40" s="1"/>
  <c r="AP23" i="40" s="1"/>
  <c r="AP34" i="40" s="1"/>
  <c r="AR86" i="39"/>
  <c r="AV86" i="39"/>
  <c r="AQ86" i="39"/>
  <c r="AO86" i="39"/>
  <c r="AO101" i="39" s="1"/>
  <c r="AO84" i="36" s="1"/>
  <c r="AT86" i="39"/>
  <c r="AW86" i="39"/>
  <c r="AP86" i="39"/>
  <c r="AS86" i="39"/>
  <c r="AX86" i="39"/>
  <c r="AU86" i="39"/>
  <c r="AX66" i="40"/>
  <c r="AY55" i="40"/>
  <c r="AX199" i="43"/>
  <c r="AX169" i="43"/>
  <c r="AW147" i="43"/>
  <c r="AW177" i="43"/>
  <c r="AW225" i="43"/>
  <c r="AN177" i="36"/>
  <c r="AN231" i="36" s="1"/>
  <c r="AM105" i="63" s="1"/>
  <c r="AN147" i="36"/>
  <c r="AL227" i="63"/>
  <c r="AM250" i="36"/>
  <c r="AQ242" i="44"/>
  <c r="AQ169" i="44"/>
  <c r="AR155" i="44"/>
  <c r="AR203" i="44" s="1"/>
  <c r="AR227" i="44" s="1"/>
  <c r="AR152" i="44"/>
  <c r="AR200" i="44" s="1"/>
  <c r="AR224" i="44" s="1"/>
  <c r="AR160" i="44"/>
  <c r="AR208" i="44" s="1"/>
  <c r="AR232" i="44" s="1"/>
  <c r="AR161" i="44"/>
  <c r="AR209" i="44" s="1"/>
  <c r="AR233" i="44" s="1"/>
  <c r="AR158" i="44"/>
  <c r="AR206" i="44" s="1"/>
  <c r="AR230" i="44" s="1"/>
  <c r="AR153" i="44"/>
  <c r="AR201" i="44" s="1"/>
  <c r="AR225" i="44" s="1"/>
  <c r="AR157" i="44"/>
  <c r="AR205" i="44" s="1"/>
  <c r="AR229" i="44" s="1"/>
  <c r="AR163" i="44"/>
  <c r="AR211" i="44" s="1"/>
  <c r="AR235" i="44" s="1"/>
  <c r="AR162" i="44"/>
  <c r="AR210" i="44" s="1"/>
  <c r="AR234" i="44" s="1"/>
  <c r="AR159" i="44"/>
  <c r="AR207" i="44" s="1"/>
  <c r="AR231" i="44" s="1"/>
  <c r="AR151" i="44"/>
  <c r="AR199" i="44" s="1"/>
  <c r="AR223" i="44" s="1"/>
  <c r="AR167" i="44"/>
  <c r="AR215" i="44" s="1"/>
  <c r="AR239" i="44" s="1"/>
  <c r="AR168" i="44"/>
  <c r="AR216" i="44" s="1"/>
  <c r="AR240" i="44" s="1"/>
  <c r="AR165" i="44"/>
  <c r="AR213" i="44" s="1"/>
  <c r="AR237" i="44" s="1"/>
  <c r="AR156" i="44"/>
  <c r="AR204" i="44" s="1"/>
  <c r="AR228" i="44" s="1"/>
  <c r="AR154" i="44"/>
  <c r="AR202" i="44" s="1"/>
  <c r="AR226" i="44" s="1"/>
  <c r="AR166" i="44"/>
  <c r="AR214" i="44" s="1"/>
  <c r="AR238" i="44" s="1"/>
  <c r="AR164" i="44"/>
  <c r="AR212" i="44" s="1"/>
  <c r="AR236" i="44" s="1"/>
  <c r="AU101" i="40"/>
  <c r="AV89" i="40"/>
  <c r="AT12" i="44"/>
  <c r="AT102" i="40"/>
  <c r="AT13" i="44" s="1"/>
  <c r="AP223" i="44"/>
  <c r="AP242" i="44" s="1"/>
  <c r="AR104" i="40"/>
  <c r="AR14" i="44"/>
  <c r="AS103" i="40"/>
  <c r="AS13" i="44"/>
  <c r="AZ70" i="30"/>
  <c r="BA66" i="30" s="1"/>
  <c r="AN235" i="63" l="1"/>
  <c r="AN53" i="67" s="1"/>
  <c r="AN232" i="63"/>
  <c r="AN50" i="67" s="1"/>
  <c r="AN238" i="63"/>
  <c r="AN56" i="67" s="1"/>
  <c r="AN230" i="63"/>
  <c r="AN48" i="67" s="1"/>
  <c r="AN237" i="63"/>
  <c r="AN55" i="67" s="1"/>
  <c r="AN236" i="63"/>
  <c r="AN54" i="67" s="1"/>
  <c r="AN231" i="63"/>
  <c r="AN49" i="67" s="1"/>
  <c r="AN228" i="63"/>
  <c r="AN46" i="67" s="1"/>
  <c r="AN229" i="63"/>
  <c r="AN47" i="67" s="1"/>
  <c r="AN234" i="63"/>
  <c r="AN52" i="67" s="1"/>
  <c r="AN233" i="63"/>
  <c r="AN51" i="67" s="1"/>
  <c r="AL123" i="63"/>
  <c r="AL239" i="63" s="1"/>
  <c r="AL45" i="67"/>
  <c r="AX147" i="43"/>
  <c r="AX223" i="43"/>
  <c r="AX242" i="43" s="1"/>
  <c r="AP165" i="36"/>
  <c r="AP213" i="36" s="1"/>
  <c r="AP166" i="36"/>
  <c r="AP214" i="36" s="1"/>
  <c r="AP167" i="36"/>
  <c r="AP215" i="36" s="1"/>
  <c r="AP158" i="36"/>
  <c r="AP206" i="36" s="1"/>
  <c r="AP155" i="36"/>
  <c r="AP203" i="36" s="1"/>
  <c r="AP154" i="36"/>
  <c r="AP202" i="36" s="1"/>
  <c r="AP160" i="36"/>
  <c r="AP208" i="36" s="1"/>
  <c r="AP163" i="36"/>
  <c r="AP211" i="36" s="1"/>
  <c r="AP152" i="36"/>
  <c r="AP200" i="36" s="1"/>
  <c r="AP168" i="36"/>
  <c r="AP216" i="36" s="1"/>
  <c r="AP162" i="36"/>
  <c r="AP210" i="36" s="1"/>
  <c r="AP157" i="36"/>
  <c r="AP205" i="36" s="1"/>
  <c r="AP159" i="36"/>
  <c r="AP207" i="36" s="1"/>
  <c r="AP156" i="36"/>
  <c r="AP204" i="36" s="1"/>
  <c r="AP161" i="36"/>
  <c r="AP209" i="36" s="1"/>
  <c r="AP151" i="36"/>
  <c r="AO15" i="36"/>
  <c r="AP153" i="36"/>
  <c r="AP201" i="36" s="1"/>
  <c r="AP164" i="36"/>
  <c r="AP212" i="36" s="1"/>
  <c r="AM252" i="36"/>
  <c r="AL24" i="37"/>
  <c r="AL25" i="37" s="1"/>
  <c r="AX67" i="40"/>
  <c r="AX68" i="40" s="1"/>
  <c r="AX12" i="43"/>
  <c r="AO177" i="36"/>
  <c r="AO231" i="36" s="1"/>
  <c r="AN105" i="63" s="1"/>
  <c r="AO147" i="36"/>
  <c r="AW223" i="43"/>
  <c r="AW242" i="43" s="1"/>
  <c r="AW244" i="43" s="1"/>
  <c r="AM227" i="63"/>
  <c r="AN250" i="36"/>
  <c r="AY66" i="40"/>
  <c r="AZ55" i="40"/>
  <c r="AP108" i="36"/>
  <c r="AP111" i="36"/>
  <c r="AP115" i="36"/>
  <c r="AP103" i="36"/>
  <c r="AP112" i="36"/>
  <c r="AP119" i="36"/>
  <c r="AP118" i="36"/>
  <c r="AP120" i="36"/>
  <c r="AP116" i="36"/>
  <c r="AP114" i="36"/>
  <c r="AP104" i="36"/>
  <c r="AP113" i="36"/>
  <c r="AP107" i="36"/>
  <c r="AP109" i="36"/>
  <c r="AP106" i="36"/>
  <c r="AP117" i="36"/>
  <c r="AP105" i="36"/>
  <c r="AP110" i="36"/>
  <c r="AP12" i="36"/>
  <c r="AQ224" i="36" s="1"/>
  <c r="AQ225" i="36" s="1"/>
  <c r="AP35" i="40"/>
  <c r="AO17" i="39"/>
  <c r="AO18" i="39" s="1"/>
  <c r="AO24" i="39" s="1"/>
  <c r="AO13" i="36"/>
  <c r="AR169" i="44"/>
  <c r="AR242" i="44"/>
  <c r="AR244" i="44" s="1"/>
  <c r="AO23" i="37"/>
  <c r="AP244" i="44"/>
  <c r="AO23" i="54"/>
  <c r="AQ244" i="44"/>
  <c r="AO23" i="63"/>
  <c r="AR15" i="44"/>
  <c r="AS165" i="44"/>
  <c r="AS213" i="44" s="1"/>
  <c r="AS237" i="44" s="1"/>
  <c r="AS162" i="44"/>
  <c r="AS210" i="44" s="1"/>
  <c r="AS234" i="44" s="1"/>
  <c r="AS161" i="44"/>
  <c r="AS209" i="44" s="1"/>
  <c r="AS233" i="44" s="1"/>
  <c r="AS164" i="44"/>
  <c r="AS212" i="44" s="1"/>
  <c r="AS236" i="44" s="1"/>
  <c r="AS168" i="44"/>
  <c r="AS216" i="44" s="1"/>
  <c r="AS240" i="44" s="1"/>
  <c r="AS163" i="44"/>
  <c r="AS211" i="44" s="1"/>
  <c r="AS235" i="44" s="1"/>
  <c r="AS160" i="44"/>
  <c r="AS208" i="44" s="1"/>
  <c r="AS232" i="44" s="1"/>
  <c r="AS166" i="44"/>
  <c r="AS214" i="44" s="1"/>
  <c r="AS238" i="44" s="1"/>
  <c r="AS167" i="44"/>
  <c r="AS215" i="44" s="1"/>
  <c r="AS239" i="44" s="1"/>
  <c r="AS154" i="44"/>
  <c r="AS202" i="44" s="1"/>
  <c r="AS226" i="44" s="1"/>
  <c r="AS157" i="44"/>
  <c r="AS205" i="44" s="1"/>
  <c r="AS229" i="44" s="1"/>
  <c r="AS156" i="44"/>
  <c r="AS204" i="44" s="1"/>
  <c r="AS228" i="44" s="1"/>
  <c r="AS152" i="44"/>
  <c r="AS200" i="44" s="1"/>
  <c r="AS224" i="44" s="1"/>
  <c r="AS151" i="44"/>
  <c r="AS155" i="44"/>
  <c r="AS203" i="44" s="1"/>
  <c r="AS227" i="44" s="1"/>
  <c r="AS153" i="44"/>
  <c r="AS201" i="44" s="1"/>
  <c r="AS225" i="44" s="1"/>
  <c r="AS159" i="44"/>
  <c r="AS207" i="44" s="1"/>
  <c r="AS231" i="44" s="1"/>
  <c r="AS158" i="44"/>
  <c r="AS206" i="44" s="1"/>
  <c r="AS230" i="44" s="1"/>
  <c r="AT103" i="40"/>
  <c r="AS104" i="40"/>
  <c r="AS14" i="44"/>
  <c r="AU12" i="44"/>
  <c r="AU102" i="40"/>
  <c r="AU13" i="44" s="1"/>
  <c r="AU143" i="44"/>
  <c r="AU191" i="44" s="1"/>
  <c r="AU140" i="44"/>
  <c r="AU188" i="44" s="1"/>
  <c r="AU142" i="44"/>
  <c r="AU190" i="44" s="1"/>
  <c r="AU146" i="44"/>
  <c r="AU194" i="44" s="1"/>
  <c r="AU139" i="44"/>
  <c r="AU187" i="44" s="1"/>
  <c r="AU141" i="44"/>
  <c r="AU189" i="44" s="1"/>
  <c r="AU138" i="44"/>
  <c r="AU186" i="44" s="1"/>
  <c r="AU145" i="44"/>
  <c r="AU193" i="44" s="1"/>
  <c r="AU144" i="44"/>
  <c r="AU192" i="44" s="1"/>
  <c r="AU135" i="44"/>
  <c r="AU183" i="44" s="1"/>
  <c r="AU129" i="44"/>
  <c r="AU177" i="44" s="1"/>
  <c r="AU131" i="44"/>
  <c r="AU179" i="44" s="1"/>
  <c r="AU133" i="44"/>
  <c r="AU181" i="44" s="1"/>
  <c r="AU132" i="44"/>
  <c r="AU180" i="44" s="1"/>
  <c r="AU130" i="44"/>
  <c r="AU178" i="44" s="1"/>
  <c r="AU134" i="44"/>
  <c r="AU182" i="44" s="1"/>
  <c r="AU137" i="44"/>
  <c r="AU185" i="44" s="1"/>
  <c r="AU136" i="44"/>
  <c r="AU184" i="44" s="1"/>
  <c r="AT143" i="44"/>
  <c r="AT191" i="44" s="1"/>
  <c r="AT140" i="44"/>
  <c r="AT188" i="44" s="1"/>
  <c r="AT142" i="44"/>
  <c r="AT190" i="44" s="1"/>
  <c r="AT146" i="44"/>
  <c r="AT194" i="44" s="1"/>
  <c r="AT139" i="44"/>
  <c r="AT187" i="44" s="1"/>
  <c r="AT141" i="44"/>
  <c r="AT189" i="44" s="1"/>
  <c r="AT138" i="44"/>
  <c r="AT186" i="44" s="1"/>
  <c r="AT145" i="44"/>
  <c r="AT193" i="44" s="1"/>
  <c r="AT144" i="44"/>
  <c r="AT192" i="44" s="1"/>
  <c r="AT135" i="44"/>
  <c r="AT183" i="44" s="1"/>
  <c r="AT129" i="44"/>
  <c r="AT177" i="44" s="1"/>
  <c r="AT131" i="44"/>
  <c r="AT179" i="44" s="1"/>
  <c r="AT133" i="44"/>
  <c r="AT181" i="44" s="1"/>
  <c r="AT132" i="44"/>
  <c r="AT180" i="44" s="1"/>
  <c r="AT130" i="44"/>
  <c r="AT178" i="44" s="1"/>
  <c r="AT134" i="44"/>
  <c r="AT182" i="44" s="1"/>
  <c r="AT137" i="44"/>
  <c r="AT185" i="44" s="1"/>
  <c r="AT136" i="44"/>
  <c r="AT184" i="44" s="1"/>
  <c r="AW89" i="40"/>
  <c r="AV101" i="40"/>
  <c r="BA74" i="30"/>
  <c r="BA68" i="30"/>
  <c r="BA69" i="30"/>
  <c r="AM123" i="63" l="1"/>
  <c r="AM239" i="63" s="1"/>
  <c r="AM45" i="67"/>
  <c r="AL124" i="63"/>
  <c r="AX14" i="43"/>
  <c r="AX69" i="40"/>
  <c r="AP199" i="36"/>
  <c r="AP169" i="36"/>
  <c r="AP129" i="36"/>
  <c r="AP142" i="36"/>
  <c r="AP190" i="36" s="1"/>
  <c r="AP244" i="36" s="1"/>
  <c r="AO118" i="63" s="1"/>
  <c r="AP134" i="36"/>
  <c r="AP182" i="36" s="1"/>
  <c r="AP236" i="36" s="1"/>
  <c r="AO110" i="63" s="1"/>
  <c r="AP141" i="36"/>
  <c r="AP189" i="36" s="1"/>
  <c r="AP243" i="36" s="1"/>
  <c r="AO117" i="63" s="1"/>
  <c r="AP138" i="36"/>
  <c r="AP186" i="36" s="1"/>
  <c r="AP240" i="36" s="1"/>
  <c r="AO114" i="63" s="1"/>
  <c r="AP136" i="36"/>
  <c r="AP184" i="36" s="1"/>
  <c r="AP238" i="36" s="1"/>
  <c r="AO112" i="63" s="1"/>
  <c r="AP133" i="36"/>
  <c r="AP181" i="36" s="1"/>
  <c r="AP235" i="36" s="1"/>
  <c r="AO109" i="63" s="1"/>
  <c r="AP144" i="36"/>
  <c r="AP192" i="36" s="1"/>
  <c r="AP246" i="36" s="1"/>
  <c r="AO120" i="63" s="1"/>
  <c r="AP137" i="36"/>
  <c r="AP185" i="36" s="1"/>
  <c r="AP239" i="36" s="1"/>
  <c r="AO113" i="63" s="1"/>
  <c r="AP146" i="36"/>
  <c r="AP194" i="36" s="1"/>
  <c r="AP248" i="36" s="1"/>
  <c r="AO122" i="63" s="1"/>
  <c r="AP132" i="36"/>
  <c r="AP180" i="36" s="1"/>
  <c r="AP234" i="36" s="1"/>
  <c r="AO108" i="63" s="1"/>
  <c r="AP135" i="36"/>
  <c r="AP183" i="36" s="1"/>
  <c r="AP237" i="36" s="1"/>
  <c r="AO111" i="63" s="1"/>
  <c r="AP139" i="36"/>
  <c r="AP187" i="36" s="1"/>
  <c r="AP241" i="36" s="1"/>
  <c r="AO115" i="63" s="1"/>
  <c r="AP143" i="36"/>
  <c r="AP191" i="36" s="1"/>
  <c r="AP245" i="36" s="1"/>
  <c r="AO119" i="63" s="1"/>
  <c r="AP131" i="36"/>
  <c r="AP179" i="36" s="1"/>
  <c r="AP233" i="36" s="1"/>
  <c r="AO107" i="63" s="1"/>
  <c r="AP140" i="36"/>
  <c r="AP188" i="36" s="1"/>
  <c r="AP242" i="36" s="1"/>
  <c r="AO116" i="63" s="1"/>
  <c r="AP145" i="36"/>
  <c r="AP193" i="36" s="1"/>
  <c r="AP247" i="36" s="1"/>
  <c r="AO121" i="63" s="1"/>
  <c r="AP130" i="36"/>
  <c r="AP178" i="36" s="1"/>
  <c r="AP232" i="36" s="1"/>
  <c r="AO106" i="63" s="1"/>
  <c r="AN252" i="36"/>
  <c r="AM24" i="37"/>
  <c r="AM25" i="37" s="1"/>
  <c r="AX244" i="43"/>
  <c r="AQ82" i="30"/>
  <c r="AQ22" i="40" s="1"/>
  <c r="AQ23" i="40" s="1"/>
  <c r="AQ34" i="40" s="1"/>
  <c r="AY67" i="40"/>
  <c r="AY68" i="40" s="1"/>
  <c r="AY12" i="43"/>
  <c r="AS87" i="39"/>
  <c r="AW87" i="39"/>
  <c r="AP87" i="39"/>
  <c r="AP101" i="39" s="1"/>
  <c r="AP84" i="36" s="1"/>
  <c r="AT87" i="39"/>
  <c r="AX87" i="39"/>
  <c r="AV87" i="39"/>
  <c r="AQ87" i="39"/>
  <c r="AU87" i="39"/>
  <c r="AY87" i="39"/>
  <c r="AR87" i="39"/>
  <c r="AX13" i="43"/>
  <c r="AX113" i="39"/>
  <c r="AX114" i="39" s="1"/>
  <c r="AX120" i="39" s="1"/>
  <c r="AP36" i="40"/>
  <c r="AP14" i="36" s="1"/>
  <c r="AP13" i="36"/>
  <c r="AP17" i="39"/>
  <c r="AP18" i="39" s="1"/>
  <c r="AP24" i="39" s="1"/>
  <c r="AZ66" i="40"/>
  <c r="BA55" i="40"/>
  <c r="BA66" i="40" s="1"/>
  <c r="AN227" i="63"/>
  <c r="AO250" i="36"/>
  <c r="AL27" i="37"/>
  <c r="AL39" i="63"/>
  <c r="AU103" i="40"/>
  <c r="AU14" i="44" s="1"/>
  <c r="AV143" i="44"/>
  <c r="AV191" i="44" s="1"/>
  <c r="AV140" i="44"/>
  <c r="AV188" i="44" s="1"/>
  <c r="AV142" i="44"/>
  <c r="AV190" i="44" s="1"/>
  <c r="AV146" i="44"/>
  <c r="AV194" i="44" s="1"/>
  <c r="AV141" i="44"/>
  <c r="AV189" i="44" s="1"/>
  <c r="AV139" i="44"/>
  <c r="AV187" i="44" s="1"/>
  <c r="AV138" i="44"/>
  <c r="AV186" i="44" s="1"/>
  <c r="AV145" i="44"/>
  <c r="AV193" i="44" s="1"/>
  <c r="AV144" i="44"/>
  <c r="AV192" i="44" s="1"/>
  <c r="AV129" i="44"/>
  <c r="AV177" i="44" s="1"/>
  <c r="AV131" i="44"/>
  <c r="AV179" i="44" s="1"/>
  <c r="AV133" i="44"/>
  <c r="AV181" i="44" s="1"/>
  <c r="AV132" i="44"/>
  <c r="AV180" i="44" s="1"/>
  <c r="AV130" i="44"/>
  <c r="AV178" i="44" s="1"/>
  <c r="AV135" i="44"/>
  <c r="AV183" i="44" s="1"/>
  <c r="AV134" i="44"/>
  <c r="AV182" i="44" s="1"/>
  <c r="AV137" i="44"/>
  <c r="AV185" i="44" s="1"/>
  <c r="AV136" i="44"/>
  <c r="AV184" i="44" s="1"/>
  <c r="AS15" i="44"/>
  <c r="AT165" i="44"/>
  <c r="AT213" i="44" s="1"/>
  <c r="AT237" i="44" s="1"/>
  <c r="AT162" i="44"/>
  <c r="AT210" i="44" s="1"/>
  <c r="AT234" i="44" s="1"/>
  <c r="AT161" i="44"/>
  <c r="AT209" i="44" s="1"/>
  <c r="AT233" i="44" s="1"/>
  <c r="AT164" i="44"/>
  <c r="AT212" i="44" s="1"/>
  <c r="AT236" i="44" s="1"/>
  <c r="AT168" i="44"/>
  <c r="AT216" i="44" s="1"/>
  <c r="AT240" i="44" s="1"/>
  <c r="AT163" i="44"/>
  <c r="AT211" i="44" s="1"/>
  <c r="AT235" i="44" s="1"/>
  <c r="AT160" i="44"/>
  <c r="AT208" i="44" s="1"/>
  <c r="AT232" i="44" s="1"/>
  <c r="AT166" i="44"/>
  <c r="AT214" i="44" s="1"/>
  <c r="AT238" i="44" s="1"/>
  <c r="AT167" i="44"/>
  <c r="AT215" i="44" s="1"/>
  <c r="AT239" i="44" s="1"/>
  <c r="AT151" i="44"/>
  <c r="AT153" i="44"/>
  <c r="AT201" i="44" s="1"/>
  <c r="AT225" i="44" s="1"/>
  <c r="AT155" i="44"/>
  <c r="AT203" i="44" s="1"/>
  <c r="AT227" i="44" s="1"/>
  <c r="AT156" i="44"/>
  <c r="AT204" i="44" s="1"/>
  <c r="AT228" i="44" s="1"/>
  <c r="AT157" i="44"/>
  <c r="AT205" i="44" s="1"/>
  <c r="AT229" i="44" s="1"/>
  <c r="AT152" i="44"/>
  <c r="AT200" i="44" s="1"/>
  <c r="AT224" i="44" s="1"/>
  <c r="AT154" i="44"/>
  <c r="AT202" i="44" s="1"/>
  <c r="AT226" i="44" s="1"/>
  <c r="AT159" i="44"/>
  <c r="AT207" i="44" s="1"/>
  <c r="AT231" i="44" s="1"/>
  <c r="AT158" i="44"/>
  <c r="AT206" i="44" s="1"/>
  <c r="AT230" i="44" s="1"/>
  <c r="AT104" i="40"/>
  <c r="AT14" i="44"/>
  <c r="AV12" i="44"/>
  <c r="AV102" i="40"/>
  <c r="AW101" i="40"/>
  <c r="AX89" i="40"/>
  <c r="AS199" i="44"/>
  <c r="AS223" i="44" s="1"/>
  <c r="AS242" i="44" s="1"/>
  <c r="AS244" i="44" s="1"/>
  <c r="AS169" i="44"/>
  <c r="BA70" i="30"/>
  <c r="BB66" i="30" s="1"/>
  <c r="AO238" i="63" l="1"/>
  <c r="AO233" i="63"/>
  <c r="AO51" i="67" s="1"/>
  <c r="AO237" i="63"/>
  <c r="AO228" i="63"/>
  <c r="AO46" i="67" s="1"/>
  <c r="AO235" i="63"/>
  <c r="AO53" i="67" s="1"/>
  <c r="AO229" i="63"/>
  <c r="AO47" i="67" s="1"/>
  <c r="AO230" i="63"/>
  <c r="AO231" i="63"/>
  <c r="AO232" i="63"/>
  <c r="AO236" i="63"/>
  <c r="AO234" i="63"/>
  <c r="AN123" i="63"/>
  <c r="AN239" i="63" s="1"/>
  <c r="AN45" i="67"/>
  <c r="AM124" i="63"/>
  <c r="AU104" i="40"/>
  <c r="AZ12" i="43"/>
  <c r="AZ67" i="40"/>
  <c r="AO252" i="36"/>
  <c r="AN24" i="37"/>
  <c r="AN25" i="37" s="1"/>
  <c r="AS88" i="39"/>
  <c r="AW88" i="39"/>
  <c r="AR88" i="39"/>
  <c r="AT88" i="39"/>
  <c r="AX88" i="39"/>
  <c r="AZ88" i="39"/>
  <c r="AQ88" i="39"/>
  <c r="AQ101" i="39" s="1"/>
  <c r="AQ84" i="36" s="1"/>
  <c r="AU88" i="39"/>
  <c r="AY88" i="39"/>
  <c r="AV88" i="39"/>
  <c r="AY140" i="43"/>
  <c r="AY188" i="43" s="1"/>
  <c r="AY145" i="43"/>
  <c r="AY193" i="43" s="1"/>
  <c r="AY132" i="43"/>
  <c r="AY180" i="43" s="1"/>
  <c r="AY135" i="43"/>
  <c r="AY183" i="43" s="1"/>
  <c r="AY144" i="43"/>
  <c r="AY192" i="43" s="1"/>
  <c r="AY138" i="43"/>
  <c r="AY186" i="43" s="1"/>
  <c r="AY141" i="43"/>
  <c r="AY189" i="43" s="1"/>
  <c r="AY142" i="43"/>
  <c r="AY190" i="43" s="1"/>
  <c r="AY131" i="43"/>
  <c r="AY179" i="43" s="1"/>
  <c r="AY137" i="43"/>
  <c r="AY185" i="43" s="1"/>
  <c r="AY134" i="43"/>
  <c r="AY182" i="43" s="1"/>
  <c r="AY129" i="43"/>
  <c r="AY143" i="43"/>
  <c r="AY191" i="43" s="1"/>
  <c r="AY146" i="43"/>
  <c r="AY194" i="43" s="1"/>
  <c r="AY133" i="43"/>
  <c r="AY181" i="43" s="1"/>
  <c r="AY130" i="43"/>
  <c r="AY178" i="43" s="1"/>
  <c r="AY136" i="43"/>
  <c r="AY184" i="43" s="1"/>
  <c r="AY139" i="43"/>
  <c r="AY187" i="43" s="1"/>
  <c r="AY14" i="43"/>
  <c r="AY69" i="40"/>
  <c r="AQ104" i="36"/>
  <c r="AQ130" i="36" s="1"/>
  <c r="AQ178" i="36" s="1"/>
  <c r="AQ108" i="36"/>
  <c r="AQ134" i="36" s="1"/>
  <c r="AQ182" i="36" s="1"/>
  <c r="AQ112" i="36"/>
  <c r="AQ138" i="36" s="1"/>
  <c r="AQ186" i="36" s="1"/>
  <c r="AQ116" i="36"/>
  <c r="AQ142" i="36" s="1"/>
  <c r="AQ190" i="36" s="1"/>
  <c r="AQ120" i="36"/>
  <c r="AQ146" i="36" s="1"/>
  <c r="AQ194" i="36" s="1"/>
  <c r="AQ119" i="36"/>
  <c r="AQ145" i="36" s="1"/>
  <c r="AQ193" i="36" s="1"/>
  <c r="AQ105" i="36"/>
  <c r="AQ131" i="36" s="1"/>
  <c r="AQ179" i="36" s="1"/>
  <c r="AQ109" i="36"/>
  <c r="AQ135" i="36" s="1"/>
  <c r="AQ183" i="36" s="1"/>
  <c r="AQ113" i="36"/>
  <c r="AQ139" i="36" s="1"/>
  <c r="AQ187" i="36" s="1"/>
  <c r="AQ117" i="36"/>
  <c r="AQ143" i="36" s="1"/>
  <c r="AQ191" i="36" s="1"/>
  <c r="AQ103" i="36"/>
  <c r="AQ129" i="36" s="1"/>
  <c r="AQ107" i="36"/>
  <c r="AQ133" i="36" s="1"/>
  <c r="AQ181" i="36" s="1"/>
  <c r="AQ111" i="36"/>
  <c r="AQ137" i="36" s="1"/>
  <c r="AQ185" i="36" s="1"/>
  <c r="AQ115" i="36"/>
  <c r="AQ141" i="36" s="1"/>
  <c r="AQ189" i="36" s="1"/>
  <c r="AQ106" i="36"/>
  <c r="AQ132" i="36" s="1"/>
  <c r="AQ180" i="36" s="1"/>
  <c r="AQ110" i="36"/>
  <c r="AQ136" i="36" s="1"/>
  <c r="AQ184" i="36" s="1"/>
  <c r="AQ114" i="36"/>
  <c r="AQ140" i="36" s="1"/>
  <c r="AQ188" i="36" s="1"/>
  <c r="AQ118" i="36"/>
  <c r="AQ144" i="36" s="1"/>
  <c r="AQ192" i="36" s="1"/>
  <c r="AP147" i="36"/>
  <c r="AP177" i="36"/>
  <c r="AP231" i="36" s="1"/>
  <c r="AO105" i="63" s="1"/>
  <c r="BA192" i="39"/>
  <c r="AZ192" i="39"/>
  <c r="AY192" i="39"/>
  <c r="AY197" i="39" s="1"/>
  <c r="AY84" i="43" s="1"/>
  <c r="AQ12" i="36"/>
  <c r="AR224" i="36" s="1"/>
  <c r="AR225" i="36" s="1"/>
  <c r="AQ35" i="40"/>
  <c r="AQ36" i="40" s="1"/>
  <c r="AQ14" i="36" s="1"/>
  <c r="BA12" i="43"/>
  <c r="BA67" i="40"/>
  <c r="AP15" i="36"/>
  <c r="AQ168" i="36"/>
  <c r="AQ216" i="36" s="1"/>
  <c r="AQ166" i="36"/>
  <c r="AQ214" i="36" s="1"/>
  <c r="AQ159" i="36"/>
  <c r="AQ207" i="36" s="1"/>
  <c r="AQ155" i="36"/>
  <c r="AQ203" i="36" s="1"/>
  <c r="AQ162" i="36"/>
  <c r="AQ210" i="36" s="1"/>
  <c r="AQ161" i="36"/>
  <c r="AQ209" i="36" s="1"/>
  <c r="AQ164" i="36"/>
  <c r="AQ212" i="36" s="1"/>
  <c r="AQ157" i="36"/>
  <c r="AQ205" i="36" s="1"/>
  <c r="AQ151" i="36"/>
  <c r="AQ163" i="36"/>
  <c r="AQ211" i="36" s="1"/>
  <c r="AQ156" i="36"/>
  <c r="AQ204" i="36" s="1"/>
  <c r="AQ160" i="36"/>
  <c r="AQ208" i="36" s="1"/>
  <c r="AQ167" i="36"/>
  <c r="AQ215" i="36" s="1"/>
  <c r="AQ153" i="36"/>
  <c r="AQ201" i="36" s="1"/>
  <c r="AQ152" i="36"/>
  <c r="AQ200" i="36" s="1"/>
  <c r="AQ158" i="36"/>
  <c r="AQ206" i="36" s="1"/>
  <c r="AQ165" i="36"/>
  <c r="AQ213" i="36" s="1"/>
  <c r="AQ154" i="36"/>
  <c r="AQ202" i="36" s="1"/>
  <c r="AY13" i="43"/>
  <c r="AY113" i="39"/>
  <c r="AY114" i="39" s="1"/>
  <c r="AY120" i="39" s="1"/>
  <c r="AM27" i="37"/>
  <c r="AM39" i="63"/>
  <c r="AX15" i="43"/>
  <c r="AY162" i="43"/>
  <c r="AY210" i="43" s="1"/>
  <c r="AY167" i="43"/>
  <c r="AY215" i="43" s="1"/>
  <c r="AY155" i="43"/>
  <c r="AY203" i="43" s="1"/>
  <c r="AY152" i="43"/>
  <c r="AY200" i="43" s="1"/>
  <c r="AY153" i="43"/>
  <c r="AY201" i="43" s="1"/>
  <c r="AY161" i="43"/>
  <c r="AY209" i="43" s="1"/>
  <c r="AY168" i="43"/>
  <c r="AY216" i="43" s="1"/>
  <c r="AY163" i="43"/>
  <c r="AY211" i="43" s="1"/>
  <c r="AY156" i="43"/>
  <c r="AY204" i="43" s="1"/>
  <c r="AY159" i="43"/>
  <c r="AY207" i="43" s="1"/>
  <c r="AY160" i="43"/>
  <c r="AY208" i="43" s="1"/>
  <c r="AY232" i="43" s="1"/>
  <c r="AY157" i="43"/>
  <c r="AY205" i="43" s="1"/>
  <c r="AY164" i="43"/>
  <c r="AY212" i="43" s="1"/>
  <c r="AY166" i="43"/>
  <c r="AY214" i="43" s="1"/>
  <c r="AY151" i="43"/>
  <c r="AY154" i="43"/>
  <c r="AY202" i="43" s="1"/>
  <c r="AY158" i="43"/>
  <c r="AY206" i="43" s="1"/>
  <c r="AY165" i="43"/>
  <c r="AY213" i="43" s="1"/>
  <c r="AW12" i="44"/>
  <c r="AW102" i="40"/>
  <c r="AU15" i="44"/>
  <c r="AV165" i="44"/>
  <c r="AV213" i="44" s="1"/>
  <c r="AV162" i="44"/>
  <c r="AV210" i="44" s="1"/>
  <c r="AV234" i="44" s="1"/>
  <c r="AV161" i="44"/>
  <c r="AV209" i="44" s="1"/>
  <c r="AV233" i="44" s="1"/>
  <c r="AV164" i="44"/>
  <c r="AV212" i="44" s="1"/>
  <c r="AV236" i="44" s="1"/>
  <c r="AV168" i="44"/>
  <c r="AV216" i="44" s="1"/>
  <c r="AV240" i="44" s="1"/>
  <c r="AV160" i="44"/>
  <c r="AV208" i="44" s="1"/>
  <c r="AV232" i="44" s="1"/>
  <c r="AV163" i="44"/>
  <c r="AV211" i="44" s="1"/>
  <c r="AV235" i="44" s="1"/>
  <c r="AV166" i="44"/>
  <c r="AV214" i="44" s="1"/>
  <c r="AV238" i="44" s="1"/>
  <c r="AV167" i="44"/>
  <c r="AV215" i="44" s="1"/>
  <c r="AV239" i="44" s="1"/>
  <c r="AV156" i="44"/>
  <c r="AV204" i="44" s="1"/>
  <c r="AV228" i="44" s="1"/>
  <c r="AV157" i="44"/>
  <c r="AV205" i="44" s="1"/>
  <c r="AV229" i="44" s="1"/>
  <c r="AV152" i="44"/>
  <c r="AV200" i="44" s="1"/>
  <c r="AV224" i="44" s="1"/>
  <c r="AV154" i="44"/>
  <c r="AV202" i="44" s="1"/>
  <c r="AV226" i="44" s="1"/>
  <c r="AV151" i="44"/>
  <c r="AV153" i="44"/>
  <c r="AV201" i="44" s="1"/>
  <c r="AV225" i="44" s="1"/>
  <c r="AV155" i="44"/>
  <c r="AV203" i="44" s="1"/>
  <c r="AV227" i="44" s="1"/>
  <c r="AV159" i="44"/>
  <c r="AV207" i="44" s="1"/>
  <c r="AV231" i="44" s="1"/>
  <c r="AV158" i="44"/>
  <c r="AV206" i="44" s="1"/>
  <c r="AV230" i="44" s="1"/>
  <c r="AT169" i="44"/>
  <c r="AT199" i="44"/>
  <c r="AT223" i="44" s="1"/>
  <c r="AT242" i="44" s="1"/>
  <c r="AT244" i="44" s="1"/>
  <c r="AV237" i="44"/>
  <c r="AV103" i="40"/>
  <c r="AV13" i="44"/>
  <c r="AX101" i="40"/>
  <c r="AY89" i="40"/>
  <c r="AT15" i="44"/>
  <c r="AU165" i="44"/>
  <c r="AU213" i="44" s="1"/>
  <c r="AU237" i="44" s="1"/>
  <c r="AU162" i="44"/>
  <c r="AU210" i="44" s="1"/>
  <c r="AU234" i="44" s="1"/>
  <c r="AU161" i="44"/>
  <c r="AU209" i="44" s="1"/>
  <c r="AU233" i="44" s="1"/>
  <c r="AU164" i="44"/>
  <c r="AU212" i="44" s="1"/>
  <c r="AU236" i="44" s="1"/>
  <c r="AU168" i="44"/>
  <c r="AU216" i="44" s="1"/>
  <c r="AU240" i="44" s="1"/>
  <c r="AU163" i="44"/>
  <c r="AU211" i="44" s="1"/>
  <c r="AU235" i="44" s="1"/>
  <c r="AU160" i="44"/>
  <c r="AU208" i="44" s="1"/>
  <c r="AU232" i="44" s="1"/>
  <c r="AU166" i="44"/>
  <c r="AU214" i="44" s="1"/>
  <c r="AU238" i="44" s="1"/>
  <c r="AU167" i="44"/>
  <c r="AU215" i="44" s="1"/>
  <c r="AU239" i="44" s="1"/>
  <c r="AU151" i="44"/>
  <c r="AU153" i="44"/>
  <c r="AU201" i="44" s="1"/>
  <c r="AU225" i="44" s="1"/>
  <c r="AU155" i="44"/>
  <c r="AU203" i="44" s="1"/>
  <c r="AU227" i="44" s="1"/>
  <c r="AU156" i="44"/>
  <c r="AU204" i="44" s="1"/>
  <c r="AU228" i="44" s="1"/>
  <c r="AU157" i="44"/>
  <c r="AU205" i="44" s="1"/>
  <c r="AU229" i="44" s="1"/>
  <c r="AU152" i="44"/>
  <c r="AU200" i="44" s="1"/>
  <c r="AU224" i="44" s="1"/>
  <c r="AU154" i="44"/>
  <c r="AU202" i="44" s="1"/>
  <c r="AU226" i="44" s="1"/>
  <c r="AU159" i="44"/>
  <c r="AU207" i="44" s="1"/>
  <c r="AU231" i="44" s="1"/>
  <c r="AU158" i="44"/>
  <c r="AU206" i="44" s="1"/>
  <c r="AU230" i="44" s="1"/>
  <c r="BB74" i="30"/>
  <c r="BB69" i="30"/>
  <c r="BB68" i="30"/>
  <c r="AO49" i="67" l="1"/>
  <c r="AO52" i="67"/>
  <c r="AO48" i="67"/>
  <c r="AO55" i="67"/>
  <c r="AO54" i="67"/>
  <c r="AO50" i="67"/>
  <c r="AO56" i="67"/>
  <c r="AY235" i="43"/>
  <c r="AY226" i="43"/>
  <c r="AY240" i="43"/>
  <c r="AY228" i="43"/>
  <c r="AY227" i="43"/>
  <c r="AY229" i="43"/>
  <c r="AQ238" i="36"/>
  <c r="AP112" i="63" s="1"/>
  <c r="AY237" i="43"/>
  <c r="AY238" i="43"/>
  <c r="AQ246" i="36"/>
  <c r="AP120" i="63" s="1"/>
  <c r="AQ247" i="36"/>
  <c r="AP121" i="63" s="1"/>
  <c r="AQ236" i="36"/>
  <c r="AP110" i="63" s="1"/>
  <c r="AY236" i="43"/>
  <c r="AY230" i="43"/>
  <c r="AY225" i="43"/>
  <c r="AY234" i="43"/>
  <c r="AQ242" i="36"/>
  <c r="AP116" i="63" s="1"/>
  <c r="AQ245" i="36"/>
  <c r="AP119" i="63" s="1"/>
  <c r="AY224" i="43"/>
  <c r="AQ235" i="36"/>
  <c r="AP109" i="63" s="1"/>
  <c r="AQ237" i="36"/>
  <c r="AP111" i="63" s="1"/>
  <c r="AQ244" i="36"/>
  <c r="AP118" i="63" s="1"/>
  <c r="AQ234" i="36"/>
  <c r="AP108" i="63" s="1"/>
  <c r="AQ233" i="36"/>
  <c r="AP107" i="63" s="1"/>
  <c r="AQ240" i="36"/>
  <c r="AP114" i="63" s="1"/>
  <c r="AQ177" i="36"/>
  <c r="AQ147" i="36"/>
  <c r="AY169" i="43"/>
  <c r="AY199" i="43"/>
  <c r="AQ243" i="36"/>
  <c r="AP117" i="63" s="1"/>
  <c r="AY231" i="43"/>
  <c r="AY233" i="43"/>
  <c r="AY239" i="43"/>
  <c r="AQ169" i="36"/>
  <c r="AQ199" i="36"/>
  <c r="AR168" i="36"/>
  <c r="AR216" i="36" s="1"/>
  <c r="AR165" i="36"/>
  <c r="AR213" i="36" s="1"/>
  <c r="AR156" i="36"/>
  <c r="AR204" i="36" s="1"/>
  <c r="AR155" i="36"/>
  <c r="AR203" i="36" s="1"/>
  <c r="AR157" i="36"/>
  <c r="AR205" i="36" s="1"/>
  <c r="AQ15" i="36"/>
  <c r="AR162" i="36"/>
  <c r="AR210" i="36" s="1"/>
  <c r="AR166" i="36"/>
  <c r="AR214" i="36" s="1"/>
  <c r="AR154" i="36"/>
  <c r="AR202" i="36" s="1"/>
  <c r="AR151" i="36"/>
  <c r="AR161" i="36"/>
  <c r="AR209" i="36" s="1"/>
  <c r="AR152" i="36"/>
  <c r="AR200" i="36" s="1"/>
  <c r="AR167" i="36"/>
  <c r="AR215" i="36" s="1"/>
  <c r="AR160" i="36"/>
  <c r="AR208" i="36" s="1"/>
  <c r="AR164" i="36"/>
  <c r="AR212" i="36" s="1"/>
  <c r="AR159" i="36"/>
  <c r="AR207" i="36" s="1"/>
  <c r="AR163" i="36"/>
  <c r="AR211" i="36" s="1"/>
  <c r="AR153" i="36"/>
  <c r="AR201" i="36" s="1"/>
  <c r="AR158" i="36"/>
  <c r="AR206" i="36" s="1"/>
  <c r="AQ239" i="36"/>
  <c r="AP113" i="63" s="1"/>
  <c r="AQ248" i="36"/>
  <c r="AP122" i="63" s="1"/>
  <c r="AQ232" i="36"/>
  <c r="AP106" i="63" s="1"/>
  <c r="AN124" i="63"/>
  <c r="AR106" i="36"/>
  <c r="AR110" i="36"/>
  <c r="AR114" i="36"/>
  <c r="AR118" i="36"/>
  <c r="AR105" i="36"/>
  <c r="AR117" i="36"/>
  <c r="AR103" i="36"/>
  <c r="AR107" i="36"/>
  <c r="AR111" i="36"/>
  <c r="AR115" i="36"/>
  <c r="AR119" i="36"/>
  <c r="AR116" i="36"/>
  <c r="AR113" i="36"/>
  <c r="AR104" i="36"/>
  <c r="AR108" i="36"/>
  <c r="AR112" i="36"/>
  <c r="AR120" i="36"/>
  <c r="AR109" i="36"/>
  <c r="AQ241" i="36"/>
  <c r="AP115" i="63" s="1"/>
  <c r="BA193" i="39"/>
  <c r="AZ193" i="39"/>
  <c r="AZ197" i="39" s="1"/>
  <c r="AZ84" i="43" s="1"/>
  <c r="AQ17" i="39"/>
  <c r="AQ18" i="39" s="1"/>
  <c r="AQ24" i="39" s="1"/>
  <c r="AQ13" i="36"/>
  <c r="AY147" i="43"/>
  <c r="AY177" i="43"/>
  <c r="AZ68" i="40"/>
  <c r="AZ13" i="43"/>
  <c r="AZ113" i="39"/>
  <c r="AZ114" i="39" s="1"/>
  <c r="AZ120" i="39" s="1"/>
  <c r="BA194" i="39" s="1"/>
  <c r="AZ116" i="43"/>
  <c r="AZ142" i="43" s="1"/>
  <c r="AZ190" i="43" s="1"/>
  <c r="AZ111" i="43"/>
  <c r="AZ137" i="43" s="1"/>
  <c r="AZ185" i="43" s="1"/>
  <c r="AZ110" i="43"/>
  <c r="AZ136" i="43" s="1"/>
  <c r="AZ184" i="43" s="1"/>
  <c r="AZ105" i="43"/>
  <c r="AZ131" i="43" s="1"/>
  <c r="AZ179" i="43" s="1"/>
  <c r="AZ104" i="43"/>
  <c r="AZ130" i="43" s="1"/>
  <c r="AZ178" i="43" s="1"/>
  <c r="AZ120" i="43"/>
  <c r="AZ146" i="43" s="1"/>
  <c r="AZ194" i="43" s="1"/>
  <c r="AZ115" i="43"/>
  <c r="AZ141" i="43" s="1"/>
  <c r="AZ189" i="43" s="1"/>
  <c r="AZ114" i="43"/>
  <c r="AZ140" i="43" s="1"/>
  <c r="AZ188" i="43" s="1"/>
  <c r="AZ117" i="43"/>
  <c r="AZ143" i="43" s="1"/>
  <c r="AZ191" i="43" s="1"/>
  <c r="AZ107" i="43"/>
  <c r="AZ133" i="43" s="1"/>
  <c r="AZ181" i="43" s="1"/>
  <c r="AZ109" i="43"/>
  <c r="AZ135" i="43" s="1"/>
  <c r="AZ183" i="43" s="1"/>
  <c r="AZ108" i="43"/>
  <c r="AZ134" i="43" s="1"/>
  <c r="AZ182" i="43" s="1"/>
  <c r="AZ103" i="43"/>
  <c r="AZ129" i="43" s="1"/>
  <c r="AZ119" i="43"/>
  <c r="AZ145" i="43" s="1"/>
  <c r="AZ193" i="43" s="1"/>
  <c r="AZ118" i="43"/>
  <c r="AZ144" i="43" s="1"/>
  <c r="AZ192" i="43" s="1"/>
  <c r="AZ113" i="43"/>
  <c r="AZ139" i="43" s="1"/>
  <c r="AZ187" i="43" s="1"/>
  <c r="AZ112" i="43"/>
  <c r="AZ138" i="43" s="1"/>
  <c r="AZ186" i="43" s="1"/>
  <c r="AZ106" i="43"/>
  <c r="AZ132" i="43" s="1"/>
  <c r="AZ180" i="43" s="1"/>
  <c r="AN39" i="63"/>
  <c r="AN27" i="37"/>
  <c r="AR82" i="30"/>
  <c r="AR22" i="40" s="1"/>
  <c r="AR23" i="40" s="1"/>
  <c r="AR34" i="40" s="1"/>
  <c r="BA68" i="40"/>
  <c r="BA113" i="39"/>
  <c r="BA114" i="39" s="1"/>
  <c r="BA120" i="39" s="1"/>
  <c r="BA13" i="43"/>
  <c r="AP250" i="36"/>
  <c r="AO227" i="63"/>
  <c r="AZ161" i="43"/>
  <c r="AZ209" i="43" s="1"/>
  <c r="AZ166" i="43"/>
  <c r="AZ214" i="43" s="1"/>
  <c r="AZ162" i="43"/>
  <c r="AZ210" i="43" s="1"/>
  <c r="AZ154" i="43"/>
  <c r="AZ202" i="43" s="1"/>
  <c r="AZ159" i="43"/>
  <c r="AZ207" i="43" s="1"/>
  <c r="AZ156" i="43"/>
  <c r="AZ204" i="43" s="1"/>
  <c r="AZ168" i="43"/>
  <c r="AZ216" i="43" s="1"/>
  <c r="AZ165" i="43"/>
  <c r="AZ213" i="43" s="1"/>
  <c r="AZ151" i="43"/>
  <c r="AZ155" i="43"/>
  <c r="AZ203" i="43" s="1"/>
  <c r="AZ158" i="43"/>
  <c r="AZ206" i="43" s="1"/>
  <c r="AZ164" i="43"/>
  <c r="AZ212" i="43" s="1"/>
  <c r="AZ167" i="43"/>
  <c r="AZ215" i="43" s="1"/>
  <c r="AZ153" i="43"/>
  <c r="AZ201" i="43" s="1"/>
  <c r="AY15" i="43"/>
  <c r="AZ163" i="43"/>
  <c r="AZ211" i="43" s="1"/>
  <c r="AZ157" i="43"/>
  <c r="AZ205" i="43" s="1"/>
  <c r="AZ152" i="43"/>
  <c r="AZ200" i="43" s="1"/>
  <c r="AZ160" i="43"/>
  <c r="AZ208" i="43" s="1"/>
  <c r="AV199" i="44"/>
  <c r="AV223" i="44" s="1"/>
  <c r="AV242" i="44" s="1"/>
  <c r="AV169" i="44"/>
  <c r="AY101" i="40"/>
  <c r="AZ89" i="40"/>
  <c r="AU169" i="44"/>
  <c r="AU199" i="44"/>
  <c r="AU223" i="44" s="1"/>
  <c r="AU242" i="44" s="1"/>
  <c r="AU244" i="44" s="1"/>
  <c r="AW103" i="40"/>
  <c r="AW13" i="44"/>
  <c r="AV104" i="40"/>
  <c r="AV14" i="44"/>
  <c r="AX12" i="44"/>
  <c r="AX102" i="40"/>
  <c r="AW143" i="44"/>
  <c r="AW191" i="44" s="1"/>
  <c r="AW140" i="44"/>
  <c r="AW188" i="44" s="1"/>
  <c r="AW142" i="44"/>
  <c r="AW190" i="44" s="1"/>
  <c r="AW146" i="44"/>
  <c r="AW194" i="44" s="1"/>
  <c r="AW141" i="44"/>
  <c r="AW189" i="44" s="1"/>
  <c r="AW138" i="44"/>
  <c r="AW186" i="44" s="1"/>
  <c r="AW139" i="44"/>
  <c r="AW187" i="44" s="1"/>
  <c r="AW145" i="44"/>
  <c r="AW193" i="44" s="1"/>
  <c r="AW144" i="44"/>
  <c r="AW192" i="44" s="1"/>
  <c r="AW129" i="44"/>
  <c r="AW177" i="44" s="1"/>
  <c r="AW131" i="44"/>
  <c r="AW179" i="44" s="1"/>
  <c r="AW133" i="44"/>
  <c r="AW181" i="44" s="1"/>
  <c r="AW132" i="44"/>
  <c r="AW180" i="44" s="1"/>
  <c r="AW130" i="44"/>
  <c r="AW178" i="44" s="1"/>
  <c r="AW135" i="44"/>
  <c r="AW183" i="44" s="1"/>
  <c r="AW134" i="44"/>
  <c r="AW182" i="44" s="1"/>
  <c r="AW137" i="44"/>
  <c r="AW185" i="44" s="1"/>
  <c r="AW136" i="44"/>
  <c r="AW184" i="44" s="1"/>
  <c r="BB70" i="30"/>
  <c r="BC66" i="30" s="1"/>
  <c r="AZ225" i="43" l="1"/>
  <c r="AP235" i="63"/>
  <c r="AP53" i="67" s="1"/>
  <c r="AP229" i="63"/>
  <c r="AP47" i="67" s="1"/>
  <c r="AP231" i="63"/>
  <c r="AP49" i="67" s="1"/>
  <c r="AP232" i="63"/>
  <c r="AP50" i="67" s="1"/>
  <c r="AP228" i="63"/>
  <c r="AP46" i="67" s="1"/>
  <c r="AP233" i="63"/>
  <c r="AP51" i="67" s="1"/>
  <c r="AP230" i="63"/>
  <c r="AP48" i="67" s="1"/>
  <c r="AP238" i="63"/>
  <c r="AP56" i="67" s="1"/>
  <c r="AP234" i="63"/>
  <c r="AP52" i="67" s="1"/>
  <c r="AP236" i="63"/>
  <c r="AP54" i="67" s="1"/>
  <c r="AP237" i="63"/>
  <c r="AP55" i="67" s="1"/>
  <c r="AO123" i="63"/>
  <c r="AO239" i="63" s="1"/>
  <c r="AO45" i="67"/>
  <c r="AZ228" i="43"/>
  <c r="AZ226" i="43"/>
  <c r="AZ232" i="43"/>
  <c r="AZ240" i="43"/>
  <c r="AZ227" i="43"/>
  <c r="AZ231" i="43"/>
  <c r="AZ234" i="43"/>
  <c r="AZ239" i="43"/>
  <c r="AZ233" i="43"/>
  <c r="AY223" i="43"/>
  <c r="AY242" i="43" s="1"/>
  <c r="AY244" i="43" s="1"/>
  <c r="AZ224" i="43"/>
  <c r="AZ236" i="43"/>
  <c r="AZ237" i="43"/>
  <c r="AZ235" i="43"/>
  <c r="BA197" i="39"/>
  <c r="BA84" i="43" s="1"/>
  <c r="BB105" i="43" s="1"/>
  <c r="BB131" i="43" s="1"/>
  <c r="BB179" i="43" s="1"/>
  <c r="AR140" i="36"/>
  <c r="AR188" i="36" s="1"/>
  <c r="AR242" i="36" s="1"/>
  <c r="AQ116" i="63" s="1"/>
  <c r="AR131" i="36"/>
  <c r="AR179" i="36" s="1"/>
  <c r="AR233" i="36" s="1"/>
  <c r="AQ107" i="63" s="1"/>
  <c r="AQ229" i="63" s="1"/>
  <c r="AQ47" i="67" s="1"/>
  <c r="AR145" i="36"/>
  <c r="AR193" i="36" s="1"/>
  <c r="AR247" i="36" s="1"/>
  <c r="AQ121" i="63" s="1"/>
  <c r="AQ238" i="63" s="1"/>
  <c r="AR199" i="36"/>
  <c r="AR169" i="36"/>
  <c r="AZ230" i="43"/>
  <c r="AO24" i="37"/>
  <c r="AO25" i="37" s="1"/>
  <c r="AP252" i="36"/>
  <c r="AR12" i="36"/>
  <c r="AS224" i="36" s="1"/>
  <c r="AS225" i="36" s="1"/>
  <c r="AR35" i="40"/>
  <c r="AR36" i="40" s="1"/>
  <c r="AR14" i="36" s="1"/>
  <c r="AZ14" i="43"/>
  <c r="AZ69" i="40"/>
  <c r="AS89" i="39"/>
  <c r="AW89" i="39"/>
  <c r="BA89" i="39"/>
  <c r="AV89" i="39"/>
  <c r="AT89" i="39"/>
  <c r="AX89" i="39"/>
  <c r="AU89" i="39"/>
  <c r="AR89" i="39"/>
  <c r="AR101" i="39" s="1"/>
  <c r="AR84" i="36" s="1"/>
  <c r="AY89" i="39"/>
  <c r="AZ89" i="39"/>
  <c r="AR135" i="36"/>
  <c r="AR183" i="36" s="1"/>
  <c r="AR237" i="36" s="1"/>
  <c r="AQ111" i="63" s="1"/>
  <c r="AQ233" i="63" s="1"/>
  <c r="AR130" i="36"/>
  <c r="AR178" i="36" s="1"/>
  <c r="AR232" i="36" s="1"/>
  <c r="AQ106" i="63" s="1"/>
  <c r="AQ228" i="63" s="1"/>
  <c r="AR141" i="36"/>
  <c r="AR189" i="36" s="1"/>
  <c r="AR243" i="36" s="1"/>
  <c r="AQ117" i="63" s="1"/>
  <c r="AR143" i="36"/>
  <c r="AR191" i="36" s="1"/>
  <c r="AR245" i="36" s="1"/>
  <c r="AQ119" i="63" s="1"/>
  <c r="AQ236" i="63" s="1"/>
  <c r="AQ54" i="67" s="1"/>
  <c r="AR136" i="36"/>
  <c r="AR184" i="36" s="1"/>
  <c r="AR238" i="36" s="1"/>
  <c r="AQ112" i="63" s="1"/>
  <c r="BA69" i="40"/>
  <c r="BA14" i="43"/>
  <c r="AR134" i="36"/>
  <c r="AR182" i="36" s="1"/>
  <c r="AR236" i="36" s="1"/>
  <c r="AQ110" i="63" s="1"/>
  <c r="AQ232" i="63" s="1"/>
  <c r="AR129" i="36"/>
  <c r="AZ238" i="43"/>
  <c r="AZ177" i="43"/>
  <c r="AZ147" i="43"/>
  <c r="BA109" i="43"/>
  <c r="BA135" i="43" s="1"/>
  <c r="BA183" i="43" s="1"/>
  <c r="BA108" i="43"/>
  <c r="BA134" i="43" s="1"/>
  <c r="BA182" i="43" s="1"/>
  <c r="BA103" i="43"/>
  <c r="BA129" i="43" s="1"/>
  <c r="BA119" i="43"/>
  <c r="BA145" i="43" s="1"/>
  <c r="BA193" i="43" s="1"/>
  <c r="BA114" i="43"/>
  <c r="BA140" i="43" s="1"/>
  <c r="BA188" i="43" s="1"/>
  <c r="BA104" i="43"/>
  <c r="BA130" i="43" s="1"/>
  <c r="BA178" i="43" s="1"/>
  <c r="BA118" i="43"/>
  <c r="BA144" i="43" s="1"/>
  <c r="BA192" i="43" s="1"/>
  <c r="BA113" i="43"/>
  <c r="BA139" i="43" s="1"/>
  <c r="BA187" i="43" s="1"/>
  <c r="BA112" i="43"/>
  <c r="BA138" i="43" s="1"/>
  <c r="BA186" i="43" s="1"/>
  <c r="BA107" i="43"/>
  <c r="BA133" i="43" s="1"/>
  <c r="BA181" i="43" s="1"/>
  <c r="BA106" i="43"/>
  <c r="BA132" i="43" s="1"/>
  <c r="BA180" i="43" s="1"/>
  <c r="BA116" i="43"/>
  <c r="BA142" i="43" s="1"/>
  <c r="BA190" i="43" s="1"/>
  <c r="BA110" i="43"/>
  <c r="BA136" i="43" s="1"/>
  <c r="BA184" i="43" s="1"/>
  <c r="BA105" i="43"/>
  <c r="BA131" i="43" s="1"/>
  <c r="BA179" i="43" s="1"/>
  <c r="BA115" i="43"/>
  <c r="BA141" i="43" s="1"/>
  <c r="BA189" i="43" s="1"/>
  <c r="BA117" i="43"/>
  <c r="BA143" i="43" s="1"/>
  <c r="BA191" i="43" s="1"/>
  <c r="BA111" i="43"/>
  <c r="BA137" i="43" s="1"/>
  <c r="BA185" i="43" s="1"/>
  <c r="BA120" i="43"/>
  <c r="BA146" i="43" s="1"/>
  <c r="BA194" i="43" s="1"/>
  <c r="AR146" i="36"/>
  <c r="AR194" i="36" s="1"/>
  <c r="AR248" i="36" s="1"/>
  <c r="AQ122" i="63" s="1"/>
  <c r="AR139" i="36"/>
  <c r="AR187" i="36" s="1"/>
  <c r="AR241" i="36" s="1"/>
  <c r="AQ115" i="63" s="1"/>
  <c r="AR137" i="36"/>
  <c r="AR185" i="36" s="1"/>
  <c r="AR239" i="36" s="1"/>
  <c r="AQ113" i="63" s="1"/>
  <c r="AR132" i="36"/>
  <c r="AR180" i="36" s="1"/>
  <c r="AR234" i="36" s="1"/>
  <c r="AQ108" i="63" s="1"/>
  <c r="AQ230" i="63" s="1"/>
  <c r="AZ229" i="43"/>
  <c r="AZ199" i="43"/>
  <c r="AZ169" i="43"/>
  <c r="BB111" i="43"/>
  <c r="BB137" i="43" s="1"/>
  <c r="BB185" i="43" s="1"/>
  <c r="AR138" i="36"/>
  <c r="AR186" i="36" s="1"/>
  <c r="AR240" i="36" s="1"/>
  <c r="AQ114" i="63" s="1"/>
  <c r="AR142" i="36"/>
  <c r="AR190" i="36" s="1"/>
  <c r="AR244" i="36" s="1"/>
  <c r="AQ118" i="63" s="1"/>
  <c r="AR133" i="36"/>
  <c r="AR181" i="36" s="1"/>
  <c r="AR235" i="36" s="1"/>
  <c r="AQ109" i="63" s="1"/>
  <c r="AQ231" i="63" s="1"/>
  <c r="AR144" i="36"/>
  <c r="AR192" i="36" s="1"/>
  <c r="AR246" i="36" s="1"/>
  <c r="AQ120" i="63" s="1"/>
  <c r="AQ237" i="63" s="1"/>
  <c r="AQ231" i="36"/>
  <c r="AX103" i="40"/>
  <c r="AX13" i="44"/>
  <c r="AX143" i="44"/>
  <c r="AX191" i="44" s="1"/>
  <c r="AX140" i="44"/>
  <c r="AX188" i="44" s="1"/>
  <c r="AX142" i="44"/>
  <c r="AX190" i="44" s="1"/>
  <c r="AX146" i="44"/>
  <c r="AX194" i="44" s="1"/>
  <c r="AX141" i="44"/>
  <c r="AX189" i="44" s="1"/>
  <c r="AX139" i="44"/>
  <c r="AX187" i="44" s="1"/>
  <c r="AX138" i="44"/>
  <c r="AX186" i="44" s="1"/>
  <c r="AX145" i="44"/>
  <c r="AX193" i="44" s="1"/>
  <c r="AX144" i="44"/>
  <c r="AX192" i="44" s="1"/>
  <c r="AX133" i="44"/>
  <c r="AX181" i="44" s="1"/>
  <c r="AX132" i="44"/>
  <c r="AX180" i="44" s="1"/>
  <c r="AX130" i="44"/>
  <c r="AX178" i="44" s="1"/>
  <c r="AX134" i="44"/>
  <c r="AX182" i="44" s="1"/>
  <c r="AX135" i="44"/>
  <c r="AX183" i="44" s="1"/>
  <c r="AX129" i="44"/>
  <c r="AX177" i="44" s="1"/>
  <c r="AX131" i="44"/>
  <c r="AX179" i="44" s="1"/>
  <c r="AX137" i="44"/>
  <c r="AX185" i="44" s="1"/>
  <c r="AX136" i="44"/>
  <c r="AX184" i="44" s="1"/>
  <c r="AZ101" i="40"/>
  <c r="BA89" i="40"/>
  <c r="BA101" i="40" s="1"/>
  <c r="AW104" i="40"/>
  <c r="AW14" i="44"/>
  <c r="AY12" i="44"/>
  <c r="AY102" i="40"/>
  <c r="AV15" i="44"/>
  <c r="AW165" i="44"/>
  <c r="AW213" i="44" s="1"/>
  <c r="AW237" i="44" s="1"/>
  <c r="AW164" i="44"/>
  <c r="AW212" i="44" s="1"/>
  <c r="AW236" i="44" s="1"/>
  <c r="AW168" i="44"/>
  <c r="AW216" i="44" s="1"/>
  <c r="AW240" i="44" s="1"/>
  <c r="AW162" i="44"/>
  <c r="AW210" i="44" s="1"/>
  <c r="AW234" i="44" s="1"/>
  <c r="AW161" i="44"/>
  <c r="AW209" i="44" s="1"/>
  <c r="AW233" i="44" s="1"/>
  <c r="AW163" i="44"/>
  <c r="AW211" i="44" s="1"/>
  <c r="AW235" i="44" s="1"/>
  <c r="AW160" i="44"/>
  <c r="AW208" i="44" s="1"/>
  <c r="AW232" i="44" s="1"/>
  <c r="AW166" i="44"/>
  <c r="AW214" i="44" s="1"/>
  <c r="AW238" i="44" s="1"/>
  <c r="AW167" i="44"/>
  <c r="AW215" i="44" s="1"/>
  <c r="AW239" i="44" s="1"/>
  <c r="AW156" i="44"/>
  <c r="AW204" i="44" s="1"/>
  <c r="AW228" i="44" s="1"/>
  <c r="AW154" i="44"/>
  <c r="AW202" i="44" s="1"/>
  <c r="AW226" i="44" s="1"/>
  <c r="AW157" i="44"/>
  <c r="AW205" i="44" s="1"/>
  <c r="AW229" i="44" s="1"/>
  <c r="AW151" i="44"/>
  <c r="AW155" i="44"/>
  <c r="AW203" i="44" s="1"/>
  <c r="AW227" i="44" s="1"/>
  <c r="AW152" i="44"/>
  <c r="AW200" i="44" s="1"/>
  <c r="AW224" i="44" s="1"/>
  <c r="AW153" i="44"/>
  <c r="AW201" i="44" s="1"/>
  <c r="AW225" i="44" s="1"/>
  <c r="AW159" i="44"/>
  <c r="AW207" i="44" s="1"/>
  <c r="AW231" i="44" s="1"/>
  <c r="AW158" i="44"/>
  <c r="AW206" i="44" s="1"/>
  <c r="AW230" i="44" s="1"/>
  <c r="AV244" i="44"/>
  <c r="BC74" i="30"/>
  <c r="BC69" i="30"/>
  <c r="BC68" i="30"/>
  <c r="AQ46" i="67" l="1"/>
  <c r="AQ49" i="67"/>
  <c r="AQ48" i="67"/>
  <c r="AQ50" i="67"/>
  <c r="AQ56" i="67"/>
  <c r="BB108" i="43"/>
  <c r="BB134" i="43" s="1"/>
  <c r="BB182" i="43" s="1"/>
  <c r="AQ55" i="67"/>
  <c r="AQ250" i="36"/>
  <c r="AQ252" i="36" s="1"/>
  <c r="AP105" i="63"/>
  <c r="AQ235" i="63"/>
  <c r="AQ53" i="67" s="1"/>
  <c r="AQ234" i="63"/>
  <c r="AQ52" i="67" s="1"/>
  <c r="AQ51" i="67"/>
  <c r="BB117" i="43"/>
  <c r="BB143" i="43" s="1"/>
  <c r="BB191" i="43" s="1"/>
  <c r="BB114" i="43"/>
  <c r="BB140" i="43" s="1"/>
  <c r="BB188" i="43" s="1"/>
  <c r="BB110" i="43"/>
  <c r="BB136" i="43" s="1"/>
  <c r="BB184" i="43" s="1"/>
  <c r="BB109" i="43"/>
  <c r="BB135" i="43" s="1"/>
  <c r="BB183" i="43" s="1"/>
  <c r="BB119" i="43"/>
  <c r="BB145" i="43" s="1"/>
  <c r="BB193" i="43" s="1"/>
  <c r="BB118" i="43"/>
  <c r="BB144" i="43" s="1"/>
  <c r="BB192" i="43" s="1"/>
  <c r="BB103" i="43"/>
  <c r="BB129" i="43" s="1"/>
  <c r="BB177" i="43" s="1"/>
  <c r="BB104" i="43"/>
  <c r="BB130" i="43" s="1"/>
  <c r="BB178" i="43" s="1"/>
  <c r="BB113" i="43"/>
  <c r="BB139" i="43" s="1"/>
  <c r="BB187" i="43" s="1"/>
  <c r="BB120" i="43"/>
  <c r="BB146" i="43" s="1"/>
  <c r="BB194" i="43" s="1"/>
  <c r="BB112" i="43"/>
  <c r="BB138" i="43" s="1"/>
  <c r="BB186" i="43" s="1"/>
  <c r="BB106" i="43"/>
  <c r="BB132" i="43" s="1"/>
  <c r="BB180" i="43" s="1"/>
  <c r="BB116" i="43"/>
  <c r="BB142" i="43" s="1"/>
  <c r="BB190" i="43" s="1"/>
  <c r="BB107" i="43"/>
  <c r="BB133" i="43" s="1"/>
  <c r="BB181" i="43" s="1"/>
  <c r="BB115" i="43"/>
  <c r="BB141" i="43" s="1"/>
  <c r="BB189" i="43" s="1"/>
  <c r="AZ223" i="43"/>
  <c r="AZ242" i="43" s="1"/>
  <c r="AZ244" i="43" s="1"/>
  <c r="AO124" i="63"/>
  <c r="AZ15" i="43"/>
  <c r="BA167" i="43"/>
  <c r="BA215" i="43" s="1"/>
  <c r="BA239" i="43" s="1"/>
  <c r="BA162" i="43"/>
  <c r="BA210" i="43" s="1"/>
  <c r="BA234" i="43" s="1"/>
  <c r="BA152" i="43"/>
  <c r="BA200" i="43" s="1"/>
  <c r="BA224" i="43" s="1"/>
  <c r="BA156" i="43"/>
  <c r="BA204" i="43" s="1"/>
  <c r="BA228" i="43" s="1"/>
  <c r="BA165" i="43"/>
  <c r="BA213" i="43" s="1"/>
  <c r="BA237" i="43" s="1"/>
  <c r="BA163" i="43"/>
  <c r="BA211" i="43" s="1"/>
  <c r="BA235" i="43" s="1"/>
  <c r="BA155" i="43"/>
  <c r="BA203" i="43" s="1"/>
  <c r="BA227" i="43" s="1"/>
  <c r="BA166" i="43"/>
  <c r="BA214" i="43" s="1"/>
  <c r="BA238" i="43" s="1"/>
  <c r="BA164" i="43"/>
  <c r="BA212" i="43" s="1"/>
  <c r="BA236" i="43" s="1"/>
  <c r="BA161" i="43"/>
  <c r="BA209" i="43" s="1"/>
  <c r="BA233" i="43" s="1"/>
  <c r="BA157" i="43"/>
  <c r="BA205" i="43" s="1"/>
  <c r="BA229" i="43" s="1"/>
  <c r="BA159" i="43"/>
  <c r="BA207" i="43" s="1"/>
  <c r="BA231" i="43" s="1"/>
  <c r="BA168" i="43"/>
  <c r="BA216" i="43" s="1"/>
  <c r="BA240" i="43" s="1"/>
  <c r="BA160" i="43"/>
  <c r="BA208" i="43" s="1"/>
  <c r="BA232" i="43" s="1"/>
  <c r="BA154" i="43"/>
  <c r="BA202" i="43" s="1"/>
  <c r="BA226" i="43" s="1"/>
  <c r="BA151" i="43"/>
  <c r="BA158" i="43"/>
  <c r="BA206" i="43" s="1"/>
  <c r="BA230" i="43" s="1"/>
  <c r="BA153" i="43"/>
  <c r="BA201" i="43" s="1"/>
  <c r="BA225" i="43" s="1"/>
  <c r="BB163" i="43"/>
  <c r="BB211" i="43" s="1"/>
  <c r="BB166" i="43"/>
  <c r="BB214" i="43" s="1"/>
  <c r="BB238" i="43" s="1"/>
  <c r="BB157" i="43"/>
  <c r="BB205" i="43" s="1"/>
  <c r="BB153" i="43"/>
  <c r="BB201" i="43" s="1"/>
  <c r="BB225" i="43" s="1"/>
  <c r="BB158" i="43"/>
  <c r="BB206" i="43" s="1"/>
  <c r="BB162" i="43"/>
  <c r="BB210" i="43" s="1"/>
  <c r="BB234" i="43" s="1"/>
  <c r="BB168" i="43"/>
  <c r="BB216" i="43" s="1"/>
  <c r="BB164" i="43"/>
  <c r="BB212" i="43" s="1"/>
  <c r="BB156" i="43"/>
  <c r="BB204" i="43" s="1"/>
  <c r="BB152" i="43"/>
  <c r="BB200" i="43" s="1"/>
  <c r="BB161" i="43"/>
  <c r="BB209" i="43" s="1"/>
  <c r="BB154" i="43"/>
  <c r="BB202" i="43" s="1"/>
  <c r="BA15" i="43"/>
  <c r="BB160" i="43"/>
  <c r="BB208" i="43" s="1"/>
  <c r="BB165" i="43"/>
  <c r="BB213" i="43" s="1"/>
  <c r="BB151" i="43"/>
  <c r="BB155" i="43"/>
  <c r="BB203" i="43" s="1"/>
  <c r="BB167" i="43"/>
  <c r="BB215" i="43" s="1"/>
  <c r="BB159" i="43"/>
  <c r="BB207" i="43" s="1"/>
  <c r="BB231" i="43" s="1"/>
  <c r="AS162" i="36"/>
  <c r="AS210" i="36" s="1"/>
  <c r="AS165" i="36"/>
  <c r="AS213" i="36" s="1"/>
  <c r="AS156" i="36"/>
  <c r="AS204" i="36" s="1"/>
  <c r="AS159" i="36"/>
  <c r="AS207" i="36" s="1"/>
  <c r="AS153" i="36"/>
  <c r="AS201" i="36" s="1"/>
  <c r="AS151" i="36"/>
  <c r="AR15" i="36"/>
  <c r="AS160" i="36"/>
  <c r="AS208" i="36" s="1"/>
  <c r="AS166" i="36"/>
  <c r="AS214" i="36" s="1"/>
  <c r="AS157" i="36"/>
  <c r="AS205" i="36" s="1"/>
  <c r="AS154" i="36"/>
  <c r="AS202" i="36" s="1"/>
  <c r="AS168" i="36"/>
  <c r="AS216" i="36" s="1"/>
  <c r="AS158" i="36"/>
  <c r="AS206" i="36" s="1"/>
  <c r="AS163" i="36"/>
  <c r="AS211" i="36" s="1"/>
  <c r="AS161" i="36"/>
  <c r="AS209" i="36" s="1"/>
  <c r="AS164" i="36"/>
  <c r="AS212" i="36" s="1"/>
  <c r="AS155" i="36"/>
  <c r="AS203" i="36" s="1"/>
  <c r="AS152" i="36"/>
  <c r="AS200" i="36" s="1"/>
  <c r="AS167" i="36"/>
  <c r="AS215" i="36" s="1"/>
  <c r="AO39" i="63"/>
  <c r="AO27" i="37"/>
  <c r="AS82" i="30"/>
  <c r="AS22" i="40" s="1"/>
  <c r="AS23" i="40" s="1"/>
  <c r="AS34" i="40" s="1"/>
  <c r="BA177" i="43"/>
  <c r="BA147" i="43"/>
  <c r="AR17" i="39"/>
  <c r="AR18" i="39" s="1"/>
  <c r="AR24" i="39" s="1"/>
  <c r="AR13" i="36"/>
  <c r="AR147" i="36"/>
  <c r="AR177" i="36"/>
  <c r="AR231" i="36" s="1"/>
  <c r="AS104" i="36"/>
  <c r="AS108" i="36"/>
  <c r="AS112" i="36"/>
  <c r="AS116" i="36"/>
  <c r="AS120" i="36"/>
  <c r="AS107" i="36"/>
  <c r="AS119" i="36"/>
  <c r="AS105" i="36"/>
  <c r="AS109" i="36"/>
  <c r="AS113" i="36"/>
  <c r="AS117" i="36"/>
  <c r="AS111" i="36"/>
  <c r="AS106" i="36"/>
  <c r="AS110" i="36"/>
  <c r="AS114" i="36"/>
  <c r="AS118" i="36"/>
  <c r="AS103" i="36"/>
  <c r="AS115" i="36"/>
  <c r="AY103" i="40"/>
  <c r="AY13" i="44"/>
  <c r="AW199" i="44"/>
  <c r="AW223" i="44" s="1"/>
  <c r="AW242" i="44" s="1"/>
  <c r="AW244" i="44" s="1"/>
  <c r="AW169" i="44"/>
  <c r="AW15" i="44"/>
  <c r="AX165" i="44"/>
  <c r="AX213" i="44" s="1"/>
  <c r="AX237" i="44" s="1"/>
  <c r="AX162" i="44"/>
  <c r="AX210" i="44" s="1"/>
  <c r="AX234" i="44" s="1"/>
  <c r="AX161" i="44"/>
  <c r="AX209" i="44" s="1"/>
  <c r="AX233" i="44" s="1"/>
  <c r="AX164" i="44"/>
  <c r="AX212" i="44" s="1"/>
  <c r="AX236" i="44" s="1"/>
  <c r="AX168" i="44"/>
  <c r="AX216" i="44" s="1"/>
  <c r="AX240" i="44" s="1"/>
  <c r="AX163" i="44"/>
  <c r="AX211" i="44" s="1"/>
  <c r="AX235" i="44" s="1"/>
  <c r="AX160" i="44"/>
  <c r="AX208" i="44" s="1"/>
  <c r="AX232" i="44" s="1"/>
  <c r="AX166" i="44"/>
  <c r="AX214" i="44" s="1"/>
  <c r="AX238" i="44" s="1"/>
  <c r="AX167" i="44"/>
  <c r="AX215" i="44" s="1"/>
  <c r="AX239" i="44" s="1"/>
  <c r="AX154" i="44"/>
  <c r="AX202" i="44" s="1"/>
  <c r="AX226" i="44" s="1"/>
  <c r="AX151" i="44"/>
  <c r="AX153" i="44"/>
  <c r="AX201" i="44" s="1"/>
  <c r="AX225" i="44" s="1"/>
  <c r="AX155" i="44"/>
  <c r="AX203" i="44" s="1"/>
  <c r="AX227" i="44" s="1"/>
  <c r="AX156" i="44"/>
  <c r="AX204" i="44" s="1"/>
  <c r="AX228" i="44" s="1"/>
  <c r="AX157" i="44"/>
  <c r="AX205" i="44" s="1"/>
  <c r="AX229" i="44" s="1"/>
  <c r="AX152" i="44"/>
  <c r="AX200" i="44" s="1"/>
  <c r="AX224" i="44" s="1"/>
  <c r="AX159" i="44"/>
  <c r="AX207" i="44" s="1"/>
  <c r="AX231" i="44" s="1"/>
  <c r="AX158" i="44"/>
  <c r="AX206" i="44" s="1"/>
  <c r="AX230" i="44" s="1"/>
  <c r="BA12" i="44"/>
  <c r="BA102" i="40"/>
  <c r="BA13" i="44" s="1"/>
  <c r="AY143" i="44"/>
  <c r="AY191" i="44" s="1"/>
  <c r="AY140" i="44"/>
  <c r="AY188" i="44" s="1"/>
  <c r="AY142" i="44"/>
  <c r="AY190" i="44" s="1"/>
  <c r="AY146" i="44"/>
  <c r="AY194" i="44" s="1"/>
  <c r="AY139" i="44"/>
  <c r="AY187" i="44" s="1"/>
  <c r="AY138" i="44"/>
  <c r="AY186" i="44" s="1"/>
  <c r="AY141" i="44"/>
  <c r="AY189" i="44" s="1"/>
  <c r="AY145" i="44"/>
  <c r="AY193" i="44" s="1"/>
  <c r="AY144" i="44"/>
  <c r="AY192" i="44" s="1"/>
  <c r="AY133" i="44"/>
  <c r="AY181" i="44" s="1"/>
  <c r="AY132" i="44"/>
  <c r="AY180" i="44" s="1"/>
  <c r="AY130" i="44"/>
  <c r="AY178" i="44" s="1"/>
  <c r="AY134" i="44"/>
  <c r="AY182" i="44" s="1"/>
  <c r="AY135" i="44"/>
  <c r="AY183" i="44" s="1"/>
  <c r="AY129" i="44"/>
  <c r="AY177" i="44" s="1"/>
  <c r="AY131" i="44"/>
  <c r="AY179" i="44" s="1"/>
  <c r="AY137" i="44"/>
  <c r="AY185" i="44" s="1"/>
  <c r="AY136" i="44"/>
  <c r="AY184" i="44" s="1"/>
  <c r="AZ12" i="44"/>
  <c r="AZ102" i="40"/>
  <c r="AZ13" i="44" s="1"/>
  <c r="AX104" i="40"/>
  <c r="AX14" i="44"/>
  <c r="BC70" i="30"/>
  <c r="BD66" i="30" s="1"/>
  <c r="BB237" i="43" l="1"/>
  <c r="BB228" i="43"/>
  <c r="AP227" i="63"/>
  <c r="AP123" i="63"/>
  <c r="AP124" i="63" s="1"/>
  <c r="AR250" i="36"/>
  <c r="AR252" i="36" s="1"/>
  <c r="AQ105" i="63"/>
  <c r="BB229" i="43"/>
  <c r="BB232" i="43"/>
  <c r="BB230" i="43"/>
  <c r="BB227" i="43"/>
  <c r="BB240" i="43"/>
  <c r="BB236" i="43"/>
  <c r="BB233" i="43"/>
  <c r="BB239" i="43"/>
  <c r="BB224" i="43"/>
  <c r="BB235" i="43"/>
  <c r="BB147" i="43"/>
  <c r="BB226" i="43"/>
  <c r="AS12" i="36"/>
  <c r="AT224" i="36" s="1"/>
  <c r="AT225" i="36" s="1"/>
  <c r="AS35" i="40"/>
  <c r="BB199" i="43"/>
  <c r="BB223" i="43" s="1"/>
  <c r="BB169" i="43"/>
  <c r="AS169" i="36"/>
  <c r="AS199" i="36"/>
  <c r="AS140" i="36"/>
  <c r="AS188" i="36" s="1"/>
  <c r="AS242" i="36" s="1"/>
  <c r="AR116" i="63" s="1"/>
  <c r="AS144" i="36"/>
  <c r="AS192" i="36" s="1"/>
  <c r="AS246" i="36" s="1"/>
  <c r="AR120" i="63" s="1"/>
  <c r="AR237" i="63" s="1"/>
  <c r="AR55" i="67" s="1"/>
  <c r="AS129" i="36"/>
  <c r="AS135" i="36"/>
  <c r="AS183" i="36" s="1"/>
  <c r="AS237" i="36" s="1"/>
  <c r="AR111" i="63" s="1"/>
  <c r="AR233" i="63" s="1"/>
  <c r="AR51" i="67" s="1"/>
  <c r="AS143" i="36"/>
  <c r="AS191" i="36" s="1"/>
  <c r="AS245" i="36" s="1"/>
  <c r="AR119" i="63" s="1"/>
  <c r="AR236" i="63" s="1"/>
  <c r="AR54" i="67" s="1"/>
  <c r="AS139" i="36"/>
  <c r="AS187" i="36" s="1"/>
  <c r="AS241" i="36" s="1"/>
  <c r="AR115" i="63" s="1"/>
  <c r="AS141" i="36"/>
  <c r="AS189" i="36" s="1"/>
  <c r="AS243" i="36" s="1"/>
  <c r="AR117" i="63" s="1"/>
  <c r="AS142" i="36"/>
  <c r="AS190" i="36" s="1"/>
  <c r="AS244" i="36" s="1"/>
  <c r="AR118" i="63" s="1"/>
  <c r="AS137" i="36"/>
  <c r="AS185" i="36" s="1"/>
  <c r="AS239" i="36" s="1"/>
  <c r="AR113" i="63" s="1"/>
  <c r="AS132" i="36"/>
  <c r="AS180" i="36" s="1"/>
  <c r="AS234" i="36" s="1"/>
  <c r="AR108" i="63" s="1"/>
  <c r="AR230" i="63" s="1"/>
  <c r="AR48" i="67" s="1"/>
  <c r="AS146" i="36"/>
  <c r="AS194" i="36" s="1"/>
  <c r="AS248" i="36" s="1"/>
  <c r="AR122" i="63" s="1"/>
  <c r="AS145" i="36"/>
  <c r="AS193" i="36" s="1"/>
  <c r="AS247" i="36" s="1"/>
  <c r="AR121" i="63" s="1"/>
  <c r="AR238" i="63" s="1"/>
  <c r="AR56" i="67" s="1"/>
  <c r="AS134" i="36"/>
  <c r="AS182" i="36" s="1"/>
  <c r="AS236" i="36" s="1"/>
  <c r="AR110" i="63" s="1"/>
  <c r="AR232" i="63" s="1"/>
  <c r="AR50" i="67" s="1"/>
  <c r="AS130" i="36"/>
  <c r="AS178" i="36" s="1"/>
  <c r="AS232" i="36" s="1"/>
  <c r="AR106" i="63" s="1"/>
  <c r="AR228" i="63" s="1"/>
  <c r="AR46" i="67" s="1"/>
  <c r="AS136" i="36"/>
  <c r="AS184" i="36" s="1"/>
  <c r="AS238" i="36" s="1"/>
  <c r="AR112" i="63" s="1"/>
  <c r="AS138" i="36"/>
  <c r="AS186" i="36" s="1"/>
  <c r="AS240" i="36" s="1"/>
  <c r="AR114" i="63" s="1"/>
  <c r="AS133" i="36"/>
  <c r="AS181" i="36" s="1"/>
  <c r="AS235" i="36" s="1"/>
  <c r="AR109" i="63" s="1"/>
  <c r="AR231" i="63" s="1"/>
  <c r="AR49" i="67" s="1"/>
  <c r="AS131" i="36"/>
  <c r="AS179" i="36" s="1"/>
  <c r="AS233" i="36" s="1"/>
  <c r="AR107" i="63" s="1"/>
  <c r="AR229" i="63" s="1"/>
  <c r="AR47" i="67" s="1"/>
  <c r="AT90" i="39"/>
  <c r="AX90" i="39"/>
  <c r="AW90" i="39"/>
  <c r="AU90" i="39"/>
  <c r="AY90" i="39"/>
  <c r="BA90" i="39"/>
  <c r="AV90" i="39"/>
  <c r="AZ90" i="39"/>
  <c r="AS90" i="39"/>
  <c r="AS101" i="39" s="1"/>
  <c r="AS84" i="36" s="1"/>
  <c r="BA169" i="43"/>
  <c r="BA199" i="43"/>
  <c r="BA223" i="43" s="1"/>
  <c r="BA242" i="43" s="1"/>
  <c r="BA244" i="43" s="1"/>
  <c r="BA103" i="40"/>
  <c r="BA104" i="40" s="1"/>
  <c r="AZ103" i="40"/>
  <c r="BB143" i="44"/>
  <c r="BB191" i="44" s="1"/>
  <c r="BB140" i="44"/>
  <c r="BB188" i="44" s="1"/>
  <c r="BB142" i="44"/>
  <c r="BB190" i="44" s="1"/>
  <c r="BB146" i="44"/>
  <c r="BB194" i="44" s="1"/>
  <c r="BB139" i="44"/>
  <c r="BB187" i="44" s="1"/>
  <c r="BB141" i="44"/>
  <c r="BB189" i="44" s="1"/>
  <c r="BB138" i="44"/>
  <c r="BB186" i="44" s="1"/>
  <c r="BB145" i="44"/>
  <c r="BB193" i="44" s="1"/>
  <c r="BB144" i="44"/>
  <c r="BB192" i="44" s="1"/>
  <c r="BB129" i="44"/>
  <c r="BB177" i="44" s="1"/>
  <c r="BB131" i="44"/>
  <c r="BB179" i="44" s="1"/>
  <c r="BB133" i="44"/>
  <c r="BB181" i="44" s="1"/>
  <c r="BB132" i="44"/>
  <c r="BB180" i="44" s="1"/>
  <c r="BB130" i="44"/>
  <c r="BB178" i="44" s="1"/>
  <c r="BB134" i="44"/>
  <c r="BB182" i="44" s="1"/>
  <c r="BB135" i="44"/>
  <c r="BB183" i="44" s="1"/>
  <c r="BB137" i="44"/>
  <c r="BB185" i="44" s="1"/>
  <c r="BB136" i="44"/>
  <c r="BB184" i="44" s="1"/>
  <c r="AX169" i="44"/>
  <c r="AX199" i="44"/>
  <c r="AX223" i="44" s="1"/>
  <c r="AX242" i="44" s="1"/>
  <c r="AX244" i="44" s="1"/>
  <c r="AZ143" i="44"/>
  <c r="AZ191" i="44" s="1"/>
  <c r="AZ140" i="44"/>
  <c r="AZ188" i="44" s="1"/>
  <c r="AZ142" i="44"/>
  <c r="AZ190" i="44" s="1"/>
  <c r="AZ146" i="44"/>
  <c r="AZ194" i="44" s="1"/>
  <c r="AZ139" i="44"/>
  <c r="AZ187" i="44" s="1"/>
  <c r="AZ141" i="44"/>
  <c r="AZ189" i="44" s="1"/>
  <c r="AZ138" i="44"/>
  <c r="AZ186" i="44" s="1"/>
  <c r="AZ145" i="44"/>
  <c r="AZ193" i="44" s="1"/>
  <c r="AZ144" i="44"/>
  <c r="AZ192" i="44" s="1"/>
  <c r="AZ135" i="44"/>
  <c r="AZ183" i="44" s="1"/>
  <c r="AZ129" i="44"/>
  <c r="AZ177" i="44" s="1"/>
  <c r="AZ131" i="44"/>
  <c r="AZ179" i="44" s="1"/>
  <c r="AZ133" i="44"/>
  <c r="AZ181" i="44" s="1"/>
  <c r="AZ132" i="44"/>
  <c r="AZ180" i="44" s="1"/>
  <c r="AZ130" i="44"/>
  <c r="AZ178" i="44" s="1"/>
  <c r="AZ134" i="44"/>
  <c r="AZ182" i="44" s="1"/>
  <c r="AZ137" i="44"/>
  <c r="AZ185" i="44" s="1"/>
  <c r="AZ136" i="44"/>
  <c r="AZ184" i="44" s="1"/>
  <c r="BA143" i="44"/>
  <c r="BA191" i="44" s="1"/>
  <c r="BA142" i="44"/>
  <c r="BA190" i="44" s="1"/>
  <c r="BA146" i="44"/>
  <c r="BA194" i="44" s="1"/>
  <c r="BA140" i="44"/>
  <c r="BA188" i="44" s="1"/>
  <c r="BA141" i="44"/>
  <c r="BA189" i="44" s="1"/>
  <c r="BA139" i="44"/>
  <c r="BA187" i="44" s="1"/>
  <c r="BA138" i="44"/>
  <c r="BA186" i="44" s="1"/>
  <c r="BA145" i="44"/>
  <c r="BA193" i="44" s="1"/>
  <c r="BA144" i="44"/>
  <c r="BA192" i="44" s="1"/>
  <c r="BA134" i="44"/>
  <c r="BA182" i="44" s="1"/>
  <c r="BA129" i="44"/>
  <c r="BA177" i="44" s="1"/>
  <c r="BA131" i="44"/>
  <c r="BA179" i="44" s="1"/>
  <c r="BA133" i="44"/>
  <c r="BA181" i="44" s="1"/>
  <c r="BA132" i="44"/>
  <c r="BA180" i="44" s="1"/>
  <c r="BA130" i="44"/>
  <c r="BA178" i="44" s="1"/>
  <c r="BA135" i="44"/>
  <c r="BA183" i="44" s="1"/>
  <c r="BA137" i="44"/>
  <c r="BA185" i="44" s="1"/>
  <c r="BA136" i="44"/>
  <c r="BA184" i="44" s="1"/>
  <c r="AX15" i="44"/>
  <c r="AY165" i="44"/>
  <c r="AY213" i="44" s="1"/>
  <c r="AY237" i="44" s="1"/>
  <c r="AY162" i="44"/>
  <c r="AY210" i="44" s="1"/>
  <c r="AY234" i="44" s="1"/>
  <c r="AY161" i="44"/>
  <c r="AY209" i="44" s="1"/>
  <c r="AY233" i="44" s="1"/>
  <c r="AY164" i="44"/>
  <c r="AY212" i="44" s="1"/>
  <c r="AY236" i="44" s="1"/>
  <c r="AY168" i="44"/>
  <c r="AY216" i="44" s="1"/>
  <c r="AY240" i="44" s="1"/>
  <c r="AY163" i="44"/>
  <c r="AY211" i="44" s="1"/>
  <c r="AY235" i="44" s="1"/>
  <c r="AY160" i="44"/>
  <c r="AY208" i="44" s="1"/>
  <c r="AY232" i="44" s="1"/>
  <c r="AY166" i="44"/>
  <c r="AY214" i="44" s="1"/>
  <c r="AY238" i="44" s="1"/>
  <c r="AY167" i="44"/>
  <c r="AY215" i="44" s="1"/>
  <c r="AY239" i="44" s="1"/>
  <c r="AY154" i="44"/>
  <c r="AY202" i="44" s="1"/>
  <c r="AY226" i="44" s="1"/>
  <c r="AY151" i="44"/>
  <c r="AY153" i="44"/>
  <c r="AY201" i="44" s="1"/>
  <c r="AY225" i="44" s="1"/>
  <c r="AY155" i="44"/>
  <c r="AY203" i="44" s="1"/>
  <c r="AY227" i="44" s="1"/>
  <c r="AY157" i="44"/>
  <c r="AY205" i="44" s="1"/>
  <c r="AY229" i="44" s="1"/>
  <c r="AY152" i="44"/>
  <c r="AY200" i="44" s="1"/>
  <c r="AY224" i="44" s="1"/>
  <c r="AY156" i="44"/>
  <c r="AY204" i="44" s="1"/>
  <c r="AY228" i="44" s="1"/>
  <c r="AY159" i="44"/>
  <c r="AY207" i="44" s="1"/>
  <c r="AY231" i="44" s="1"/>
  <c r="AY158" i="44"/>
  <c r="AY206" i="44" s="1"/>
  <c r="AY230" i="44" s="1"/>
  <c r="AY104" i="40"/>
  <c r="AY14" i="44"/>
  <c r="BD74" i="30"/>
  <c r="BD68" i="30"/>
  <c r="BD69" i="30"/>
  <c r="AR235" i="63" l="1"/>
  <c r="AR53" i="67" s="1"/>
  <c r="AR234" i="63"/>
  <c r="AR52" i="67" s="1"/>
  <c r="AQ123" i="63"/>
  <c r="AQ124" i="63" s="1"/>
  <c r="AQ227" i="63"/>
  <c r="AP239" i="63"/>
  <c r="AP45" i="67"/>
  <c r="BB242" i="43"/>
  <c r="BB244" i="43" s="1"/>
  <c r="BA14" i="44"/>
  <c r="BB165" i="44" s="1"/>
  <c r="BB213" i="44" s="1"/>
  <c r="BB237" i="44" s="1"/>
  <c r="AT82" i="30"/>
  <c r="AT22" i="40" s="1"/>
  <c r="AT23" i="40" s="1"/>
  <c r="AT34" i="40" s="1"/>
  <c r="AT103" i="36"/>
  <c r="AT107" i="36"/>
  <c r="AT111" i="36"/>
  <c r="AT115" i="36"/>
  <c r="AT119" i="36"/>
  <c r="AT113" i="36"/>
  <c r="AT110" i="36"/>
  <c r="AT104" i="36"/>
  <c r="AT108" i="36"/>
  <c r="AT112" i="36"/>
  <c r="AT116" i="36"/>
  <c r="AT120" i="36"/>
  <c r="AT105" i="36"/>
  <c r="AT117" i="36"/>
  <c r="AT106" i="36"/>
  <c r="AT118" i="36"/>
  <c r="AT109" i="36"/>
  <c r="AT114" i="36"/>
  <c r="AS147" i="36"/>
  <c r="AS177" i="36"/>
  <c r="AS231" i="36" s="1"/>
  <c r="AS36" i="40"/>
  <c r="AS14" i="36" s="1"/>
  <c r="AS13" i="36"/>
  <c r="AS17" i="39"/>
  <c r="AS18" i="39" s="1"/>
  <c r="AS24" i="39" s="1"/>
  <c r="AY15" i="44"/>
  <c r="AZ165" i="44"/>
  <c r="AZ213" i="44" s="1"/>
  <c r="AZ237" i="44" s="1"/>
  <c r="AZ162" i="44"/>
  <c r="AZ210" i="44" s="1"/>
  <c r="AZ234" i="44" s="1"/>
  <c r="AZ161" i="44"/>
  <c r="AZ209" i="44" s="1"/>
  <c r="AZ233" i="44" s="1"/>
  <c r="AZ164" i="44"/>
  <c r="AZ212" i="44" s="1"/>
  <c r="AZ236" i="44" s="1"/>
  <c r="AZ168" i="44"/>
  <c r="AZ216" i="44" s="1"/>
  <c r="AZ240" i="44" s="1"/>
  <c r="AZ163" i="44"/>
  <c r="AZ211" i="44" s="1"/>
  <c r="AZ235" i="44" s="1"/>
  <c r="AZ160" i="44"/>
  <c r="AZ208" i="44" s="1"/>
  <c r="AZ232" i="44" s="1"/>
  <c r="AZ166" i="44"/>
  <c r="AZ214" i="44" s="1"/>
  <c r="AZ238" i="44" s="1"/>
  <c r="AZ167" i="44"/>
  <c r="AZ215" i="44" s="1"/>
  <c r="AZ239" i="44" s="1"/>
  <c r="AZ151" i="44"/>
  <c r="AZ153" i="44"/>
  <c r="AZ201" i="44" s="1"/>
  <c r="AZ225" i="44" s="1"/>
  <c r="AZ155" i="44"/>
  <c r="AZ203" i="44" s="1"/>
  <c r="AZ227" i="44" s="1"/>
  <c r="AZ156" i="44"/>
  <c r="AZ204" i="44" s="1"/>
  <c r="AZ228" i="44" s="1"/>
  <c r="AZ157" i="44"/>
  <c r="AZ205" i="44" s="1"/>
  <c r="AZ229" i="44" s="1"/>
  <c r="AZ152" i="44"/>
  <c r="AZ200" i="44" s="1"/>
  <c r="AZ224" i="44" s="1"/>
  <c r="AZ154" i="44"/>
  <c r="AZ202" i="44" s="1"/>
  <c r="AZ226" i="44" s="1"/>
  <c r="AZ159" i="44"/>
  <c r="AZ207" i="44" s="1"/>
  <c r="AZ231" i="44" s="1"/>
  <c r="AZ158" i="44"/>
  <c r="AZ206" i="44" s="1"/>
  <c r="AZ230" i="44" s="1"/>
  <c r="BA15" i="44"/>
  <c r="AZ104" i="40"/>
  <c r="AZ14" i="44"/>
  <c r="AY169" i="44"/>
  <c r="AY199" i="44"/>
  <c r="AY223" i="44" s="1"/>
  <c r="AY242" i="44" s="1"/>
  <c r="BD70" i="30"/>
  <c r="BE66" i="30" s="1"/>
  <c r="BB156" i="44" l="1"/>
  <c r="BB204" i="44" s="1"/>
  <c r="BB228" i="44" s="1"/>
  <c r="BB152" i="44"/>
  <c r="BB200" i="44" s="1"/>
  <c r="BB224" i="44" s="1"/>
  <c r="BB166" i="44"/>
  <c r="BB214" i="44" s="1"/>
  <c r="BB238" i="44" s="1"/>
  <c r="BB161" i="44"/>
  <c r="BB209" i="44" s="1"/>
  <c r="BB233" i="44" s="1"/>
  <c r="BB155" i="44"/>
  <c r="BB203" i="44" s="1"/>
  <c r="BB227" i="44" s="1"/>
  <c r="BB160" i="44"/>
  <c r="BB208" i="44" s="1"/>
  <c r="BB232" i="44" s="1"/>
  <c r="BB154" i="44"/>
  <c r="BB202" i="44" s="1"/>
  <c r="BB226" i="44" s="1"/>
  <c r="BB164" i="44"/>
  <c r="BB212" i="44" s="1"/>
  <c r="BB236" i="44" s="1"/>
  <c r="AQ45" i="67"/>
  <c r="AQ239" i="63"/>
  <c r="AS250" i="36"/>
  <c r="AS252" i="36" s="1"/>
  <c r="AR105" i="63"/>
  <c r="BB158" i="44"/>
  <c r="BB206" i="44" s="1"/>
  <c r="BB230" i="44" s="1"/>
  <c r="BB153" i="44"/>
  <c r="BB201" i="44" s="1"/>
  <c r="BB225" i="44" s="1"/>
  <c r="BB157" i="44"/>
  <c r="BB205" i="44" s="1"/>
  <c r="BB229" i="44" s="1"/>
  <c r="BB163" i="44"/>
  <c r="BB211" i="44" s="1"/>
  <c r="BB235" i="44" s="1"/>
  <c r="BB162" i="44"/>
  <c r="BB210" i="44" s="1"/>
  <c r="BB234" i="44" s="1"/>
  <c r="BB159" i="44"/>
  <c r="BB207" i="44" s="1"/>
  <c r="BB231" i="44" s="1"/>
  <c r="BB151" i="44"/>
  <c r="BB199" i="44" s="1"/>
  <c r="BB223" i="44" s="1"/>
  <c r="BB167" i="44"/>
  <c r="BB215" i="44" s="1"/>
  <c r="BB239" i="44" s="1"/>
  <c r="BB168" i="44"/>
  <c r="BB216" i="44" s="1"/>
  <c r="BB240" i="44" s="1"/>
  <c r="AT168" i="36"/>
  <c r="AT216" i="36" s="1"/>
  <c r="AT165" i="36"/>
  <c r="AT213" i="36" s="1"/>
  <c r="AT155" i="36"/>
  <c r="AT203" i="36" s="1"/>
  <c r="AT152" i="36"/>
  <c r="AT200" i="36" s="1"/>
  <c r="AT156" i="36"/>
  <c r="AT204" i="36" s="1"/>
  <c r="AT161" i="36"/>
  <c r="AT209" i="36" s="1"/>
  <c r="AT162" i="36"/>
  <c r="AT210" i="36" s="1"/>
  <c r="AT164" i="36"/>
  <c r="AT212" i="36" s="1"/>
  <c r="AT151" i="36"/>
  <c r="AT157" i="36"/>
  <c r="AT205" i="36" s="1"/>
  <c r="AT160" i="36"/>
  <c r="AT208" i="36" s="1"/>
  <c r="AT159" i="36"/>
  <c r="AT207" i="36" s="1"/>
  <c r="AS15" i="36"/>
  <c r="AT163" i="36"/>
  <c r="AT211" i="36" s="1"/>
  <c r="AT166" i="36"/>
  <c r="AT214" i="36" s="1"/>
  <c r="AT154" i="36"/>
  <c r="AT202" i="36" s="1"/>
  <c r="AT167" i="36"/>
  <c r="AT215" i="36" s="1"/>
  <c r="AT158" i="36"/>
  <c r="AT206" i="36" s="1"/>
  <c r="AT153" i="36"/>
  <c r="AT201" i="36" s="1"/>
  <c r="AT12" i="36"/>
  <c r="AU224" i="36" s="1"/>
  <c r="AU225" i="36" s="1"/>
  <c r="AT35" i="40"/>
  <c r="AU91" i="39"/>
  <c r="AX91" i="39"/>
  <c r="AT91" i="39"/>
  <c r="AT101" i="39" s="1"/>
  <c r="AT84" i="36" s="1"/>
  <c r="AY91" i="39"/>
  <c r="AW91" i="39"/>
  <c r="AV91" i="39"/>
  <c r="AZ91" i="39"/>
  <c r="BA91" i="39"/>
  <c r="AT140" i="36"/>
  <c r="AT188" i="36" s="1"/>
  <c r="AT145" i="36"/>
  <c r="AT193" i="36" s="1"/>
  <c r="AT129" i="36"/>
  <c r="AT135" i="36"/>
  <c r="AT183" i="36" s="1"/>
  <c r="AT141" i="36"/>
  <c r="AT189" i="36" s="1"/>
  <c r="AT144" i="36"/>
  <c r="AT192" i="36" s="1"/>
  <c r="AT137" i="36"/>
  <c r="AT185" i="36" s="1"/>
  <c r="AT132" i="36"/>
  <c r="AT180" i="36" s="1"/>
  <c r="AT143" i="36"/>
  <c r="AT191" i="36" s="1"/>
  <c r="AT130" i="36"/>
  <c r="AT178" i="36" s="1"/>
  <c r="AT146" i="36"/>
  <c r="AT194" i="36" s="1"/>
  <c r="AT139" i="36"/>
  <c r="AT187" i="36" s="1"/>
  <c r="AT142" i="36"/>
  <c r="AT190" i="36" s="1"/>
  <c r="AT131" i="36"/>
  <c r="AT179" i="36" s="1"/>
  <c r="AT133" i="36"/>
  <c r="AT181" i="36" s="1"/>
  <c r="AT138" i="36"/>
  <c r="AT186" i="36" s="1"/>
  <c r="AT134" i="36"/>
  <c r="AT182" i="36" s="1"/>
  <c r="AT136" i="36"/>
  <c r="AT184" i="36" s="1"/>
  <c r="AY244" i="44"/>
  <c r="AZ199" i="44"/>
  <c r="AZ223" i="44" s="1"/>
  <c r="AZ242" i="44" s="1"/>
  <c r="AZ244" i="44" s="1"/>
  <c r="AZ169" i="44"/>
  <c r="AZ15" i="44"/>
  <c r="BA165" i="44"/>
  <c r="BA213" i="44" s="1"/>
  <c r="BA237" i="44" s="1"/>
  <c r="BA161" i="44"/>
  <c r="BA209" i="44" s="1"/>
  <c r="BA233" i="44" s="1"/>
  <c r="BA164" i="44"/>
  <c r="BA212" i="44" s="1"/>
  <c r="BA236" i="44" s="1"/>
  <c r="BA168" i="44"/>
  <c r="BA216" i="44" s="1"/>
  <c r="BA240" i="44" s="1"/>
  <c r="BA162" i="44"/>
  <c r="BA210" i="44" s="1"/>
  <c r="BA234" i="44" s="1"/>
  <c r="BA163" i="44"/>
  <c r="BA211" i="44" s="1"/>
  <c r="BA235" i="44" s="1"/>
  <c r="BA160" i="44"/>
  <c r="BA208" i="44" s="1"/>
  <c r="BA232" i="44" s="1"/>
  <c r="BA166" i="44"/>
  <c r="BA214" i="44" s="1"/>
  <c r="BA238" i="44" s="1"/>
  <c r="BA167" i="44"/>
  <c r="BA215" i="44" s="1"/>
  <c r="BA239" i="44" s="1"/>
  <c r="BA152" i="44"/>
  <c r="BA200" i="44" s="1"/>
  <c r="BA224" i="44" s="1"/>
  <c r="BA153" i="44"/>
  <c r="BA201" i="44" s="1"/>
  <c r="BA225" i="44" s="1"/>
  <c r="BA154" i="44"/>
  <c r="BA202" i="44" s="1"/>
  <c r="BA226" i="44" s="1"/>
  <c r="BA157" i="44"/>
  <c r="BA205" i="44" s="1"/>
  <c r="BA229" i="44" s="1"/>
  <c r="BA151" i="44"/>
  <c r="BA155" i="44"/>
  <c r="BA203" i="44" s="1"/>
  <c r="BA227" i="44" s="1"/>
  <c r="BA156" i="44"/>
  <c r="BA204" i="44" s="1"/>
  <c r="BA228" i="44" s="1"/>
  <c r="BA159" i="44"/>
  <c r="BA207" i="44" s="1"/>
  <c r="BA231" i="44" s="1"/>
  <c r="BA158" i="44"/>
  <c r="BA206" i="44" s="1"/>
  <c r="BA230" i="44" s="1"/>
  <c r="BE74" i="30"/>
  <c r="BE68" i="30"/>
  <c r="BE69" i="30"/>
  <c r="AR123" i="63" l="1"/>
  <c r="AR124" i="63" s="1"/>
  <c r="AR227" i="63"/>
  <c r="BB242" i="44"/>
  <c r="BB169" i="44"/>
  <c r="AT233" i="36"/>
  <c r="AS107" i="63" s="1"/>
  <c r="AS229" i="63" s="1"/>
  <c r="AS47" i="67" s="1"/>
  <c r="AT246" i="36"/>
  <c r="AS120" i="63" s="1"/>
  <c r="AS237" i="63" s="1"/>
  <c r="AS55" i="67" s="1"/>
  <c r="AT238" i="36"/>
  <c r="AS112" i="63" s="1"/>
  <c r="AT247" i="36"/>
  <c r="AS121" i="63" s="1"/>
  <c r="AS238" i="63" s="1"/>
  <c r="AS56" i="67" s="1"/>
  <c r="AT236" i="36"/>
  <c r="AS110" i="63" s="1"/>
  <c r="AS232" i="63" s="1"/>
  <c r="AS50" i="67" s="1"/>
  <c r="AT235" i="36"/>
  <c r="AS109" i="63" s="1"/>
  <c r="AS231" i="63" s="1"/>
  <c r="AS49" i="67" s="1"/>
  <c r="AT248" i="36"/>
  <c r="AS122" i="63" s="1"/>
  <c r="AT243" i="36"/>
  <c r="AS117" i="63" s="1"/>
  <c r="AT245" i="36"/>
  <c r="AS119" i="63" s="1"/>
  <c r="AS236" i="63" s="1"/>
  <c r="AS54" i="67" s="1"/>
  <c r="AT241" i="36"/>
  <c r="AS115" i="63" s="1"/>
  <c r="AT239" i="36"/>
  <c r="AS113" i="63" s="1"/>
  <c r="AT237" i="36"/>
  <c r="AS111" i="63" s="1"/>
  <c r="AS233" i="63" s="1"/>
  <c r="AS51" i="67" s="1"/>
  <c r="AT242" i="36"/>
  <c r="AS116" i="63" s="1"/>
  <c r="AT240" i="36"/>
  <c r="AS114" i="63" s="1"/>
  <c r="AU104" i="36"/>
  <c r="AU108" i="36"/>
  <c r="AU112" i="36"/>
  <c r="AU116" i="36"/>
  <c r="AU120" i="36"/>
  <c r="AU111" i="36"/>
  <c r="AU105" i="36"/>
  <c r="AU109" i="36"/>
  <c r="AU113" i="36"/>
  <c r="AU117" i="36"/>
  <c r="AU115" i="36"/>
  <c r="AU106" i="36"/>
  <c r="AU110" i="36"/>
  <c r="AU114" i="36"/>
  <c r="AU118" i="36"/>
  <c r="AU103" i="36"/>
  <c r="AU107" i="36"/>
  <c r="AU119" i="36"/>
  <c r="AT232" i="36"/>
  <c r="AS106" i="63" s="1"/>
  <c r="AS228" i="63" s="1"/>
  <c r="AS46" i="67" s="1"/>
  <c r="AT177" i="36"/>
  <c r="AT147" i="36"/>
  <c r="AT244" i="36"/>
  <c r="AS118" i="63" s="1"/>
  <c r="AU82" i="30"/>
  <c r="AU22" i="40" s="1"/>
  <c r="AU23" i="40" s="1"/>
  <c r="AU34" i="40" s="1"/>
  <c r="AT234" i="36"/>
  <c r="AS108" i="63" s="1"/>
  <c r="AS230" i="63" s="1"/>
  <c r="AS48" i="67" s="1"/>
  <c r="AT36" i="40"/>
  <c r="AT14" i="36" s="1"/>
  <c r="AT13" i="36"/>
  <c r="AT17" i="39"/>
  <c r="AT18" i="39" s="1"/>
  <c r="AT24" i="39" s="1"/>
  <c r="AT199" i="36"/>
  <c r="AT169" i="36"/>
  <c r="BA199" i="44"/>
  <c r="BA223" i="44" s="1"/>
  <c r="BA242" i="44" s="1"/>
  <c r="BA244" i="44" s="1"/>
  <c r="BA169" i="44"/>
  <c r="BE70" i="30"/>
  <c r="BF66" i="30" s="1"/>
  <c r="AS235" i="63" l="1"/>
  <c r="AS53" i="67" s="1"/>
  <c r="AR239" i="63"/>
  <c r="AR45" i="67"/>
  <c r="AS234" i="63"/>
  <c r="AS52" i="67" s="1"/>
  <c r="AT231" i="36"/>
  <c r="AU138" i="36"/>
  <c r="AU186" i="36" s="1"/>
  <c r="AU145" i="36"/>
  <c r="AU193" i="36" s="1"/>
  <c r="AU129" i="36"/>
  <c r="AU130" i="36"/>
  <c r="AU178" i="36" s="1"/>
  <c r="AU146" i="36"/>
  <c r="AU194" i="36" s="1"/>
  <c r="AU131" i="36"/>
  <c r="AU179" i="36" s="1"/>
  <c r="AU141" i="36"/>
  <c r="AU189" i="36" s="1"/>
  <c r="AU144" i="36"/>
  <c r="AU192" i="36" s="1"/>
  <c r="AU137" i="36"/>
  <c r="AU185" i="36" s="1"/>
  <c r="AU132" i="36"/>
  <c r="AU180" i="36" s="1"/>
  <c r="AU143" i="36"/>
  <c r="AU191" i="36" s="1"/>
  <c r="AU136" i="36"/>
  <c r="AU184" i="36" s="1"/>
  <c r="AU139" i="36"/>
  <c r="AU187" i="36" s="1"/>
  <c r="AU140" i="36"/>
  <c r="AU188" i="36" s="1"/>
  <c r="AU142" i="36"/>
  <c r="AU190" i="36" s="1"/>
  <c r="AU135" i="36"/>
  <c r="AU183" i="36" s="1"/>
  <c r="AU133" i="36"/>
  <c r="AU181" i="36" s="1"/>
  <c r="AU134" i="36"/>
  <c r="AU182" i="36" s="1"/>
  <c r="AU12" i="36"/>
  <c r="AV224" i="36" s="1"/>
  <c r="AV225" i="36" s="1"/>
  <c r="AU35" i="40"/>
  <c r="AT15" i="36"/>
  <c r="AU160" i="36"/>
  <c r="AU208" i="36" s="1"/>
  <c r="AU165" i="36"/>
  <c r="AU213" i="36" s="1"/>
  <c r="AU155" i="36"/>
  <c r="AU203" i="36" s="1"/>
  <c r="AU157" i="36"/>
  <c r="AU205" i="36" s="1"/>
  <c r="AU162" i="36"/>
  <c r="AU210" i="36" s="1"/>
  <c r="AU163" i="36"/>
  <c r="AU211" i="36" s="1"/>
  <c r="AU164" i="36"/>
  <c r="AU212" i="36" s="1"/>
  <c r="AU151" i="36"/>
  <c r="AU154" i="36"/>
  <c r="AU202" i="36" s="1"/>
  <c r="AU168" i="36"/>
  <c r="AU216" i="36" s="1"/>
  <c r="AU156" i="36"/>
  <c r="AU204" i="36" s="1"/>
  <c r="AU161" i="36"/>
  <c r="AU209" i="36" s="1"/>
  <c r="AU167" i="36"/>
  <c r="AU215" i="36" s="1"/>
  <c r="AU153" i="36"/>
  <c r="AU201" i="36" s="1"/>
  <c r="AU159" i="36"/>
  <c r="AU207" i="36" s="1"/>
  <c r="AU158" i="36"/>
  <c r="AU206" i="36" s="1"/>
  <c r="AU166" i="36"/>
  <c r="AU214" i="36" s="1"/>
  <c r="AU152" i="36"/>
  <c r="AU200" i="36" s="1"/>
  <c r="AU92" i="39"/>
  <c r="AU101" i="39" s="1"/>
  <c r="AU84" i="36" s="1"/>
  <c r="AZ92" i="39"/>
  <c r="AW92" i="39"/>
  <c r="BA92" i="39"/>
  <c r="AY92" i="39"/>
  <c r="AX92" i="39"/>
  <c r="AV92" i="39"/>
  <c r="BB244" i="44"/>
  <c r="BF74" i="30"/>
  <c r="BF69" i="30"/>
  <c r="BF68" i="30"/>
  <c r="AT250" i="36" l="1"/>
  <c r="AT252" i="36" s="1"/>
  <c r="AS105" i="63"/>
  <c r="AU237" i="36"/>
  <c r="AU238" i="36"/>
  <c r="AU246" i="36"/>
  <c r="AU13" i="36"/>
  <c r="AU17" i="39"/>
  <c r="AU18" i="39" s="1"/>
  <c r="AU24" i="39" s="1"/>
  <c r="AY82" i="30"/>
  <c r="AY22" i="40" s="1"/>
  <c r="AV82" i="30"/>
  <c r="AV22" i="40" s="1"/>
  <c r="AV23" i="40" s="1"/>
  <c r="AV34" i="40" s="1"/>
  <c r="AU244" i="36"/>
  <c r="AU245" i="36"/>
  <c r="AU243" i="36"/>
  <c r="AU147" i="36"/>
  <c r="AU177" i="36"/>
  <c r="AU232" i="36"/>
  <c r="AU199" i="36"/>
  <c r="AU169" i="36"/>
  <c r="AU236" i="36"/>
  <c r="AU242" i="36"/>
  <c r="AU234" i="36"/>
  <c r="AU233" i="36"/>
  <c r="AU247" i="36"/>
  <c r="AV103" i="36"/>
  <c r="AV107" i="36"/>
  <c r="AV111" i="36"/>
  <c r="AV115" i="36"/>
  <c r="AV119" i="36"/>
  <c r="AV110" i="36"/>
  <c r="AV104" i="36"/>
  <c r="AV108" i="36"/>
  <c r="AV112" i="36"/>
  <c r="AV116" i="36"/>
  <c r="AV120" i="36"/>
  <c r="AV106" i="36"/>
  <c r="AV118" i="36"/>
  <c r="AV105" i="36"/>
  <c r="AV109" i="36"/>
  <c r="AV113" i="36"/>
  <c r="AV117" i="36"/>
  <c r="AV114" i="36"/>
  <c r="AU36" i="40"/>
  <c r="AU14" i="36" s="1"/>
  <c r="AU235" i="36"/>
  <c r="AU241" i="36"/>
  <c r="AU239" i="36"/>
  <c r="AU248" i="36"/>
  <c r="AU240" i="36"/>
  <c r="BF70" i="30"/>
  <c r="BG66" i="30" s="1"/>
  <c r="AS123" i="63" l="1"/>
  <c r="AS124" i="63" s="1"/>
  <c r="AS227" i="63"/>
  <c r="AW93" i="39"/>
  <c r="AZ93" i="39"/>
  <c r="AV93" i="39"/>
  <c r="AV101" i="39" s="1"/>
  <c r="AV84" i="36" s="1"/>
  <c r="BA93" i="39"/>
  <c r="AX93" i="39"/>
  <c r="AY93" i="39"/>
  <c r="AV163" i="36"/>
  <c r="AV211" i="36" s="1"/>
  <c r="AV165" i="36"/>
  <c r="AV213" i="36" s="1"/>
  <c r="AV153" i="36"/>
  <c r="AV201" i="36" s="1"/>
  <c r="AV157" i="36"/>
  <c r="AV205" i="36" s="1"/>
  <c r="AU15" i="36"/>
  <c r="AV168" i="36"/>
  <c r="AV216" i="36" s="1"/>
  <c r="AV166" i="36"/>
  <c r="AV214" i="36" s="1"/>
  <c r="AV159" i="36"/>
  <c r="AV207" i="36" s="1"/>
  <c r="AV155" i="36"/>
  <c r="AV203" i="36" s="1"/>
  <c r="AV160" i="36"/>
  <c r="AV208" i="36" s="1"/>
  <c r="AV156" i="36"/>
  <c r="AV204" i="36" s="1"/>
  <c r="AV158" i="36"/>
  <c r="AV206" i="36" s="1"/>
  <c r="AV161" i="36"/>
  <c r="AV209" i="36" s="1"/>
  <c r="AV162" i="36"/>
  <c r="AV210" i="36" s="1"/>
  <c r="AV164" i="36"/>
  <c r="AV212" i="36" s="1"/>
  <c r="AV154" i="36"/>
  <c r="AV202" i="36" s="1"/>
  <c r="AV151" i="36"/>
  <c r="AV167" i="36"/>
  <c r="AV215" i="36" s="1"/>
  <c r="AV152" i="36"/>
  <c r="AV200" i="36" s="1"/>
  <c r="AV35" i="40"/>
  <c r="AV36" i="40" s="1"/>
  <c r="AV14" i="36" s="1"/>
  <c r="AV12" i="36"/>
  <c r="AW224" i="36" s="1"/>
  <c r="AW225" i="36" s="1"/>
  <c r="AU231" i="36"/>
  <c r="AU250" i="36" s="1"/>
  <c r="AU252" i="36" s="1"/>
  <c r="AV141" i="36"/>
  <c r="AV189" i="36" s="1"/>
  <c r="AV144" i="36"/>
  <c r="AV192" i="36" s="1"/>
  <c r="AV130" i="36"/>
  <c r="AV178" i="36" s="1"/>
  <c r="AV129" i="36"/>
  <c r="AV131" i="36"/>
  <c r="AV179" i="36" s="1"/>
  <c r="AV146" i="36"/>
  <c r="AV194" i="36" s="1"/>
  <c r="AV139" i="36"/>
  <c r="AV187" i="36" s="1"/>
  <c r="AV142" i="36"/>
  <c r="AV190" i="36" s="1"/>
  <c r="AV135" i="36"/>
  <c r="AV183" i="36" s="1"/>
  <c r="AV137" i="36"/>
  <c r="AV185" i="36" s="1"/>
  <c r="AV140" i="36"/>
  <c r="AV188" i="36" s="1"/>
  <c r="AV145" i="36"/>
  <c r="AV193" i="36" s="1"/>
  <c r="AV138" i="36"/>
  <c r="AV186" i="36" s="1"/>
  <c r="AV143" i="36"/>
  <c r="AV191" i="36" s="1"/>
  <c r="AV134" i="36"/>
  <c r="AV182" i="36" s="1"/>
  <c r="AV132" i="36"/>
  <c r="AV180" i="36" s="1"/>
  <c r="AV136" i="36"/>
  <c r="AV184" i="36" s="1"/>
  <c r="AV133" i="36"/>
  <c r="AV181" i="36" s="1"/>
  <c r="BG74" i="30"/>
  <c r="BG68" i="30"/>
  <c r="BG69" i="30"/>
  <c r="AS45" i="67" l="1"/>
  <c r="AS239" i="63"/>
  <c r="AV233" i="36"/>
  <c r="AV239" i="36"/>
  <c r="AV238" i="36"/>
  <c r="AV237" i="36"/>
  <c r="AV234" i="36"/>
  <c r="AV244" i="36"/>
  <c r="AV236" i="36"/>
  <c r="AV235" i="36"/>
  <c r="AV246" i="36"/>
  <c r="AV232" i="36"/>
  <c r="AV242" i="36"/>
  <c r="AV245" i="36"/>
  <c r="AV240" i="36"/>
  <c r="AV248" i="36"/>
  <c r="AV247" i="36"/>
  <c r="AW105" i="36"/>
  <c r="AW109" i="36"/>
  <c r="AW113" i="36"/>
  <c r="AW117" i="36"/>
  <c r="AW106" i="36"/>
  <c r="AW114" i="36"/>
  <c r="AW118" i="36"/>
  <c r="AW107" i="36"/>
  <c r="AW119" i="36"/>
  <c r="AW108" i="36"/>
  <c r="AW120" i="36"/>
  <c r="AW110" i="36"/>
  <c r="AW103" i="36"/>
  <c r="AW115" i="36"/>
  <c r="AW116" i="36"/>
  <c r="AW111" i="36"/>
  <c r="AW104" i="36"/>
  <c r="AW112" i="36"/>
  <c r="AZ82" i="30"/>
  <c r="AZ22" i="40" s="1"/>
  <c r="AW82" i="30"/>
  <c r="AW22" i="40" s="1"/>
  <c r="AW23" i="40" s="1"/>
  <c r="AW34" i="40" s="1"/>
  <c r="AV243" i="36"/>
  <c r="AV17" i="39"/>
  <c r="AV18" i="39" s="1"/>
  <c r="AV24" i="39" s="1"/>
  <c r="AV13" i="36"/>
  <c r="AV147" i="36"/>
  <c r="AV177" i="36"/>
  <c r="AV169" i="36"/>
  <c r="AV199" i="36"/>
  <c r="AV241" i="36"/>
  <c r="AW161" i="36"/>
  <c r="AW209" i="36" s="1"/>
  <c r="AW167" i="36"/>
  <c r="AW215" i="36" s="1"/>
  <c r="AW153" i="36"/>
  <c r="AW201" i="36" s="1"/>
  <c r="AW157" i="36"/>
  <c r="AW205" i="36" s="1"/>
  <c r="AW158" i="36"/>
  <c r="AW206" i="36" s="1"/>
  <c r="AW163" i="36"/>
  <c r="AW211" i="36" s="1"/>
  <c r="AW165" i="36"/>
  <c r="AW213" i="36" s="1"/>
  <c r="AW156" i="36"/>
  <c r="AW204" i="36" s="1"/>
  <c r="AW155" i="36"/>
  <c r="AW203" i="36" s="1"/>
  <c r="AW160" i="36"/>
  <c r="AW208" i="36" s="1"/>
  <c r="AW164" i="36"/>
  <c r="AW212" i="36" s="1"/>
  <c r="AW159" i="36"/>
  <c r="AW207" i="36" s="1"/>
  <c r="AV15" i="36"/>
  <c r="AW168" i="36"/>
  <c r="AW216" i="36" s="1"/>
  <c r="AW166" i="36"/>
  <c r="AW214" i="36" s="1"/>
  <c r="AW154" i="36"/>
  <c r="AW202" i="36" s="1"/>
  <c r="AW151" i="36"/>
  <c r="AW162" i="36"/>
  <c r="AW210" i="36" s="1"/>
  <c r="AW152" i="36"/>
  <c r="AW200" i="36" s="1"/>
  <c r="BG70" i="30"/>
  <c r="BH66" i="30" s="1"/>
  <c r="BH63" i="30" s="1"/>
  <c r="AW35" i="40" l="1"/>
  <c r="AW12" i="36"/>
  <c r="AX224" i="36" s="1"/>
  <c r="AX225" i="36" s="1"/>
  <c r="AW138" i="36"/>
  <c r="AW186" i="36" s="1"/>
  <c r="AW240" i="36" s="1"/>
  <c r="AW140" i="36"/>
  <c r="AW188" i="36" s="1"/>
  <c r="AW242" i="36" s="1"/>
  <c r="AW142" i="36"/>
  <c r="AW190" i="36" s="1"/>
  <c r="AW244" i="36" s="1"/>
  <c r="AW133" i="36"/>
  <c r="AW181" i="36" s="1"/>
  <c r="AW235" i="36" s="1"/>
  <c r="AW130" i="36"/>
  <c r="AW178" i="36" s="1"/>
  <c r="AW232" i="36" s="1"/>
  <c r="AW139" i="36"/>
  <c r="AW187" i="36" s="1"/>
  <c r="AW241" i="36" s="1"/>
  <c r="AW143" i="36"/>
  <c r="AW191" i="36" s="1"/>
  <c r="AW245" i="36" s="1"/>
  <c r="AW134" i="36"/>
  <c r="AW182" i="36" s="1"/>
  <c r="AW236" i="36" s="1"/>
  <c r="AW129" i="36"/>
  <c r="AW136" i="36"/>
  <c r="AW184" i="36" s="1"/>
  <c r="AW238" i="36" s="1"/>
  <c r="AW146" i="36"/>
  <c r="AW194" i="36" s="1"/>
  <c r="AW248" i="36" s="1"/>
  <c r="AW132" i="36"/>
  <c r="AW180" i="36" s="1"/>
  <c r="AW234" i="36" s="1"/>
  <c r="AW141" i="36"/>
  <c r="AW189" i="36" s="1"/>
  <c r="AW243" i="36" s="1"/>
  <c r="AW145" i="36"/>
  <c r="AW193" i="36" s="1"/>
  <c r="AW247" i="36" s="1"/>
  <c r="AW135" i="36"/>
  <c r="AW183" i="36" s="1"/>
  <c r="AW237" i="36" s="1"/>
  <c r="AW137" i="36"/>
  <c r="AW185" i="36" s="1"/>
  <c r="AW239" i="36" s="1"/>
  <c r="AW144" i="36"/>
  <c r="AW192" i="36" s="1"/>
  <c r="AW246" i="36" s="1"/>
  <c r="AW131" i="36"/>
  <c r="AW179" i="36" s="1"/>
  <c r="AW233" i="36" s="1"/>
  <c r="AZ94" i="39"/>
  <c r="AW94" i="39"/>
  <c r="AW101" i="39" s="1"/>
  <c r="AW84" i="36" s="1"/>
  <c r="BA94" i="39"/>
  <c r="AX94" i="39"/>
  <c r="AY94" i="39"/>
  <c r="AW169" i="36"/>
  <c r="AW199" i="36"/>
  <c r="AV231" i="36"/>
  <c r="AV250" i="36" s="1"/>
  <c r="AV252" i="36" s="1"/>
  <c r="BH74" i="30"/>
  <c r="BH68" i="30"/>
  <c r="BH69" i="30"/>
  <c r="BA82" i="30" l="1"/>
  <c r="BA22" i="40" s="1"/>
  <c r="AX82" i="30"/>
  <c r="AX22" i="40" s="1"/>
  <c r="AX23" i="40" s="1"/>
  <c r="AX106" i="36"/>
  <c r="AX110" i="36"/>
  <c r="AX114" i="36"/>
  <c r="AX118" i="36"/>
  <c r="AX109" i="36"/>
  <c r="AX117" i="36"/>
  <c r="AX103" i="36"/>
  <c r="AX107" i="36"/>
  <c r="AX111" i="36"/>
  <c r="AX115" i="36"/>
  <c r="AX119" i="36"/>
  <c r="AX105" i="36"/>
  <c r="AX113" i="36"/>
  <c r="AX104" i="36"/>
  <c r="AX108" i="36"/>
  <c r="AX112" i="36"/>
  <c r="AX116" i="36"/>
  <c r="AX120" i="36"/>
  <c r="AW147" i="36"/>
  <c r="AW177" i="36"/>
  <c r="AW231" i="36" s="1"/>
  <c r="AW250" i="36" s="1"/>
  <c r="AW252" i="36" s="1"/>
  <c r="AW36" i="40"/>
  <c r="AW14" i="36" s="1"/>
  <c r="AW13" i="36"/>
  <c r="AW17" i="39"/>
  <c r="AW18" i="39" s="1"/>
  <c r="AW24" i="39" s="1"/>
  <c r="BH70" i="30"/>
  <c r="C35" i="40"/>
  <c r="AX168" i="36" l="1"/>
  <c r="AX216" i="36" s="1"/>
  <c r="AX167" i="36"/>
  <c r="AX215" i="36" s="1"/>
  <c r="AX153" i="36"/>
  <c r="AX201" i="36" s="1"/>
  <c r="AX151" i="36"/>
  <c r="AX158" i="36"/>
  <c r="AX206" i="36" s="1"/>
  <c r="AX160" i="36"/>
  <c r="AX208" i="36" s="1"/>
  <c r="AX155" i="36"/>
  <c r="AX203" i="36" s="1"/>
  <c r="AX162" i="36"/>
  <c r="AX210" i="36" s="1"/>
  <c r="AX165" i="36"/>
  <c r="AX213" i="36" s="1"/>
  <c r="AX156" i="36"/>
  <c r="AX204" i="36" s="1"/>
  <c r="AX159" i="36"/>
  <c r="AX207" i="36" s="1"/>
  <c r="AX163" i="36"/>
  <c r="AX211" i="36" s="1"/>
  <c r="AX164" i="36"/>
  <c r="AX212" i="36" s="1"/>
  <c r="AX152" i="36"/>
  <c r="AX200" i="36" s="1"/>
  <c r="AW15" i="36"/>
  <c r="AX161" i="36"/>
  <c r="AX209" i="36" s="1"/>
  <c r="AX166" i="36"/>
  <c r="AX214" i="36" s="1"/>
  <c r="AX157" i="36"/>
  <c r="AX205" i="36" s="1"/>
  <c r="AX154" i="36"/>
  <c r="AX202" i="36" s="1"/>
  <c r="AX34" i="40"/>
  <c r="AY23" i="40"/>
  <c r="AX139" i="36"/>
  <c r="AX187" i="36" s="1"/>
  <c r="AX141" i="36"/>
  <c r="AX189" i="36" s="1"/>
  <c r="AX142" i="36"/>
  <c r="AX190" i="36" s="1"/>
  <c r="AX137" i="36"/>
  <c r="AX185" i="36" s="1"/>
  <c r="AX131" i="36"/>
  <c r="AX179" i="36" s="1"/>
  <c r="AX129" i="36"/>
  <c r="AX146" i="36"/>
  <c r="AX194" i="36" s="1"/>
  <c r="AX143" i="36"/>
  <c r="AX191" i="36" s="1"/>
  <c r="AX134" i="36"/>
  <c r="AX182" i="36" s="1"/>
  <c r="AX236" i="36" s="1"/>
  <c r="AX130" i="36"/>
  <c r="AX178" i="36" s="1"/>
  <c r="AX136" i="36"/>
  <c r="AX184" i="36" s="1"/>
  <c r="AX138" i="36"/>
  <c r="AX186" i="36" s="1"/>
  <c r="AX145" i="36"/>
  <c r="AX193" i="36" s="1"/>
  <c r="AX247" i="36" s="1"/>
  <c r="AX135" i="36"/>
  <c r="AX183" i="36" s="1"/>
  <c r="AX140" i="36"/>
  <c r="AX188" i="36" s="1"/>
  <c r="AX132" i="36"/>
  <c r="AX180" i="36" s="1"/>
  <c r="AX133" i="36"/>
  <c r="AX181" i="36" s="1"/>
  <c r="AX144" i="36"/>
  <c r="AX192" i="36" s="1"/>
  <c r="AZ95" i="39"/>
  <c r="AX95" i="39"/>
  <c r="AX101" i="39" s="1"/>
  <c r="AX84" i="36" s="1"/>
  <c r="BA95" i="39"/>
  <c r="AY95" i="39"/>
  <c r="C17" i="39"/>
  <c r="C18" i="39" s="1"/>
  <c r="C24" i="39" s="1"/>
  <c r="C13" i="36"/>
  <c r="D145" i="36" s="1"/>
  <c r="D193" i="36" s="1"/>
  <c r="C36" i="40"/>
  <c r="AX245" i="36" l="1"/>
  <c r="AX242" i="36"/>
  <c r="AX240" i="36"/>
  <c r="AX234" i="36"/>
  <c r="AX235" i="36"/>
  <c r="AX233" i="36"/>
  <c r="AX239" i="36"/>
  <c r="AX238" i="36"/>
  <c r="AX248" i="36"/>
  <c r="AX246" i="36"/>
  <c r="AX237" i="36"/>
  <c r="AX232" i="36"/>
  <c r="AX244" i="36"/>
  <c r="AX12" i="36"/>
  <c r="AY224" i="36" s="1"/>
  <c r="AY225" i="36" s="1"/>
  <c r="AX35" i="40"/>
  <c r="AX199" i="36"/>
  <c r="AX169" i="36"/>
  <c r="AX177" i="36"/>
  <c r="AX147" i="36"/>
  <c r="AX243" i="36"/>
  <c r="AX241" i="36"/>
  <c r="AY106" i="36"/>
  <c r="AY110" i="36"/>
  <c r="AY114" i="36"/>
  <c r="AY118" i="36"/>
  <c r="AY112" i="36"/>
  <c r="AY113" i="36"/>
  <c r="AY103" i="36"/>
  <c r="AY107" i="36"/>
  <c r="AY111" i="36"/>
  <c r="AY115" i="36"/>
  <c r="AY119" i="36"/>
  <c r="AY104" i="36"/>
  <c r="AY116" i="36"/>
  <c r="AY117" i="36"/>
  <c r="AY108" i="36"/>
  <c r="AY120" i="36"/>
  <c r="AY105" i="36"/>
  <c r="AY109" i="36"/>
  <c r="AY34" i="40"/>
  <c r="AZ23" i="40"/>
  <c r="D49" i="39"/>
  <c r="E49" i="39"/>
  <c r="F49" i="39"/>
  <c r="G49" i="39"/>
  <c r="G101" i="39" s="1"/>
  <c r="H49" i="39"/>
  <c r="I49" i="39"/>
  <c r="J49" i="39"/>
  <c r="K49" i="39"/>
  <c r="L49" i="39"/>
  <c r="L101" i="39" s="1"/>
  <c r="M49" i="39"/>
  <c r="M101" i="39" s="1"/>
  <c r="D84" i="43"/>
  <c r="E84" i="43"/>
  <c r="F84" i="43"/>
  <c r="G84" i="43"/>
  <c r="H84" i="43"/>
  <c r="I84" i="43"/>
  <c r="J84" i="43"/>
  <c r="K84" i="43"/>
  <c r="L84" i="43"/>
  <c r="M84" i="43"/>
  <c r="D143" i="36"/>
  <c r="D191" i="36" s="1"/>
  <c r="D140" i="36"/>
  <c r="D188" i="36" s="1"/>
  <c r="D129" i="36"/>
  <c r="D177" i="36" s="1"/>
  <c r="D133" i="36"/>
  <c r="D181" i="36" s="1"/>
  <c r="D142" i="36"/>
  <c r="D190" i="36" s="1"/>
  <c r="D131" i="36"/>
  <c r="D179" i="36" s="1"/>
  <c r="D134" i="36"/>
  <c r="D182" i="36" s="1"/>
  <c r="D137" i="36"/>
  <c r="D185" i="36" s="1"/>
  <c r="D144" i="36"/>
  <c r="D192" i="36" s="1"/>
  <c r="D130" i="36"/>
  <c r="D178" i="36" s="1"/>
  <c r="D141" i="36"/>
  <c r="D189" i="36" s="1"/>
  <c r="D146" i="36"/>
  <c r="D194" i="36" s="1"/>
  <c r="C37" i="40"/>
  <c r="C14" i="36"/>
  <c r="D154" i="36" s="1"/>
  <c r="D202" i="36" s="1"/>
  <c r="D136" i="36"/>
  <c r="D184" i="36" s="1"/>
  <c r="D139" i="36"/>
  <c r="D187" i="36" s="1"/>
  <c r="D135" i="36"/>
  <c r="D183" i="36" s="1"/>
  <c r="D138" i="36"/>
  <c r="D186" i="36" s="1"/>
  <c r="D132" i="36"/>
  <c r="D180" i="36" s="1"/>
  <c r="AZ34" i="40" l="1"/>
  <c r="BA23" i="40"/>
  <c r="BA34" i="40" s="1"/>
  <c r="AY12" i="36"/>
  <c r="AZ224" i="36" s="1"/>
  <c r="AZ225" i="36" s="1"/>
  <c r="AY35" i="40"/>
  <c r="AY36" i="40" s="1"/>
  <c r="AY14" i="36" s="1"/>
  <c r="AX36" i="40"/>
  <c r="AX14" i="36" s="1"/>
  <c r="AX13" i="36"/>
  <c r="AY145" i="36" s="1"/>
  <c r="AY193" i="36" s="1"/>
  <c r="AX17" i="39"/>
  <c r="AX18" i="39" s="1"/>
  <c r="AX24" i="39" s="1"/>
  <c r="AX231" i="36"/>
  <c r="AX250" i="36" s="1"/>
  <c r="AX252" i="36" s="1"/>
  <c r="D234" i="36"/>
  <c r="C108" i="63" s="1"/>
  <c r="K101" i="39"/>
  <c r="K84" i="36" s="1"/>
  <c r="I101" i="39"/>
  <c r="I84" i="36" s="1"/>
  <c r="E101" i="39"/>
  <c r="H101" i="39"/>
  <c r="H84" i="36" s="1"/>
  <c r="D101" i="39"/>
  <c r="D84" i="36" s="1"/>
  <c r="J101" i="39"/>
  <c r="J84" i="36" s="1"/>
  <c r="F101" i="39"/>
  <c r="F84" i="36" s="1"/>
  <c r="L106" i="43"/>
  <c r="L132" i="43" s="1"/>
  <c r="L180" i="43" s="1"/>
  <c r="L226" i="43" s="1"/>
  <c r="L113" i="43"/>
  <c r="L139" i="43" s="1"/>
  <c r="L187" i="43" s="1"/>
  <c r="L233" i="43" s="1"/>
  <c r="L120" i="43"/>
  <c r="L146" i="43" s="1"/>
  <c r="L194" i="43" s="1"/>
  <c r="L240" i="43" s="1"/>
  <c r="L104" i="43"/>
  <c r="L130" i="43" s="1"/>
  <c r="L178" i="43" s="1"/>
  <c r="L224" i="43" s="1"/>
  <c r="L109" i="43"/>
  <c r="L135" i="43" s="1"/>
  <c r="L183" i="43" s="1"/>
  <c r="L229" i="43" s="1"/>
  <c r="L111" i="43"/>
  <c r="L137" i="43" s="1"/>
  <c r="L185" i="43" s="1"/>
  <c r="L231" i="43" s="1"/>
  <c r="L103" i="43"/>
  <c r="L129" i="43" s="1"/>
  <c r="L116" i="43"/>
  <c r="L142" i="43" s="1"/>
  <c r="L190" i="43" s="1"/>
  <c r="L236" i="43" s="1"/>
  <c r="L118" i="43"/>
  <c r="L144" i="43" s="1"/>
  <c r="L192" i="43" s="1"/>
  <c r="L238" i="43" s="1"/>
  <c r="L114" i="43"/>
  <c r="L140" i="43" s="1"/>
  <c r="L188" i="43" s="1"/>
  <c r="L234" i="43" s="1"/>
  <c r="L108" i="43"/>
  <c r="L134" i="43" s="1"/>
  <c r="L182" i="43" s="1"/>
  <c r="L228" i="43" s="1"/>
  <c r="L115" i="43"/>
  <c r="L141" i="43" s="1"/>
  <c r="L189" i="43" s="1"/>
  <c r="L235" i="43" s="1"/>
  <c r="L117" i="43"/>
  <c r="L143" i="43" s="1"/>
  <c r="L191" i="43" s="1"/>
  <c r="L237" i="43" s="1"/>
  <c r="L105" i="43"/>
  <c r="L131" i="43" s="1"/>
  <c r="L179" i="43" s="1"/>
  <c r="L225" i="43" s="1"/>
  <c r="L107" i="43"/>
  <c r="L133" i="43" s="1"/>
  <c r="L181" i="43" s="1"/>
  <c r="L227" i="43" s="1"/>
  <c r="L119" i="43"/>
  <c r="L145" i="43" s="1"/>
  <c r="L193" i="43" s="1"/>
  <c r="L239" i="43" s="1"/>
  <c r="L112" i="43"/>
  <c r="L138" i="43" s="1"/>
  <c r="L186" i="43" s="1"/>
  <c r="L232" i="43" s="1"/>
  <c r="L110" i="43"/>
  <c r="L136" i="43" s="1"/>
  <c r="L184" i="43" s="1"/>
  <c r="L230" i="43" s="1"/>
  <c r="H103" i="43"/>
  <c r="H129" i="43" s="1"/>
  <c r="H119" i="43"/>
  <c r="H145" i="43" s="1"/>
  <c r="H193" i="43" s="1"/>
  <c r="H239" i="43" s="1"/>
  <c r="H117" i="43"/>
  <c r="H143" i="43" s="1"/>
  <c r="H191" i="43" s="1"/>
  <c r="H237" i="43" s="1"/>
  <c r="H110" i="43"/>
  <c r="H136" i="43" s="1"/>
  <c r="H184" i="43" s="1"/>
  <c r="H230" i="43" s="1"/>
  <c r="H116" i="43"/>
  <c r="H142" i="43" s="1"/>
  <c r="H190" i="43" s="1"/>
  <c r="H236" i="43" s="1"/>
  <c r="H113" i="43"/>
  <c r="H139" i="43" s="1"/>
  <c r="H187" i="43" s="1"/>
  <c r="H233" i="43" s="1"/>
  <c r="H118" i="43"/>
  <c r="H144" i="43" s="1"/>
  <c r="H192" i="43" s="1"/>
  <c r="H238" i="43" s="1"/>
  <c r="H105" i="43"/>
  <c r="H131" i="43" s="1"/>
  <c r="H179" i="43" s="1"/>
  <c r="H225" i="43" s="1"/>
  <c r="H112" i="43"/>
  <c r="H138" i="43" s="1"/>
  <c r="H186" i="43" s="1"/>
  <c r="H232" i="43" s="1"/>
  <c r="H115" i="43"/>
  <c r="H141" i="43" s="1"/>
  <c r="H189" i="43" s="1"/>
  <c r="H235" i="43" s="1"/>
  <c r="H111" i="43"/>
  <c r="H137" i="43" s="1"/>
  <c r="H185" i="43" s="1"/>
  <c r="H231" i="43" s="1"/>
  <c r="H120" i="43"/>
  <c r="H146" i="43" s="1"/>
  <c r="H194" i="43" s="1"/>
  <c r="H240" i="43" s="1"/>
  <c r="H104" i="43"/>
  <c r="H130" i="43" s="1"/>
  <c r="H178" i="43" s="1"/>
  <c r="H224" i="43" s="1"/>
  <c r="H106" i="43"/>
  <c r="H132" i="43" s="1"/>
  <c r="H180" i="43" s="1"/>
  <c r="H226" i="43" s="1"/>
  <c r="H107" i="43"/>
  <c r="H133" i="43" s="1"/>
  <c r="H181" i="43" s="1"/>
  <c r="H227" i="43" s="1"/>
  <c r="H108" i="43"/>
  <c r="H134" i="43" s="1"/>
  <c r="H182" i="43" s="1"/>
  <c r="H228" i="43" s="1"/>
  <c r="H109" i="43"/>
  <c r="H135" i="43" s="1"/>
  <c r="H183" i="43" s="1"/>
  <c r="H229" i="43" s="1"/>
  <c r="H114" i="43"/>
  <c r="H140" i="43" s="1"/>
  <c r="H188" i="43" s="1"/>
  <c r="H234" i="43" s="1"/>
  <c r="K105" i="43"/>
  <c r="K131" i="43" s="1"/>
  <c r="K179" i="43" s="1"/>
  <c r="K225" i="43" s="1"/>
  <c r="K117" i="43"/>
  <c r="K143" i="43" s="1"/>
  <c r="K191" i="43" s="1"/>
  <c r="K237" i="43" s="1"/>
  <c r="K109" i="43"/>
  <c r="K135" i="43" s="1"/>
  <c r="K183" i="43" s="1"/>
  <c r="K229" i="43" s="1"/>
  <c r="K118" i="43"/>
  <c r="K144" i="43" s="1"/>
  <c r="K114" i="43"/>
  <c r="K140" i="43" s="1"/>
  <c r="K188" i="43" s="1"/>
  <c r="K234" i="43" s="1"/>
  <c r="K103" i="43"/>
  <c r="K129" i="43" s="1"/>
  <c r="K110" i="43"/>
  <c r="K136" i="43" s="1"/>
  <c r="K184" i="43" s="1"/>
  <c r="K230" i="43" s="1"/>
  <c r="K119" i="43"/>
  <c r="K145" i="43" s="1"/>
  <c r="K108" i="43"/>
  <c r="K134" i="43" s="1"/>
  <c r="K182" i="43" s="1"/>
  <c r="K228" i="43" s="1"/>
  <c r="K113" i="43"/>
  <c r="K139" i="43" s="1"/>
  <c r="K187" i="43" s="1"/>
  <c r="K233" i="43" s="1"/>
  <c r="K104" i="43"/>
  <c r="K130" i="43" s="1"/>
  <c r="K178" i="43" s="1"/>
  <c r="K224" i="43" s="1"/>
  <c r="K107" i="43"/>
  <c r="K133" i="43" s="1"/>
  <c r="K181" i="43" s="1"/>
  <c r="K227" i="43" s="1"/>
  <c r="K120" i="43"/>
  <c r="K146" i="43" s="1"/>
  <c r="K194" i="43" s="1"/>
  <c r="K240" i="43" s="1"/>
  <c r="K112" i="43"/>
  <c r="K138" i="43" s="1"/>
  <c r="K186" i="43" s="1"/>
  <c r="K232" i="43" s="1"/>
  <c r="K116" i="43"/>
  <c r="K142" i="43" s="1"/>
  <c r="K190" i="43" s="1"/>
  <c r="K236" i="43" s="1"/>
  <c r="K111" i="43"/>
  <c r="K137" i="43" s="1"/>
  <c r="K185" i="43" s="1"/>
  <c r="K231" i="43" s="1"/>
  <c r="K106" i="43"/>
  <c r="K132" i="43" s="1"/>
  <c r="K180" i="43" s="1"/>
  <c r="K226" i="43" s="1"/>
  <c r="K115" i="43"/>
  <c r="K141" i="43" s="1"/>
  <c r="K189" i="43" s="1"/>
  <c r="K235" i="43" s="1"/>
  <c r="G120" i="43"/>
  <c r="G146" i="43" s="1"/>
  <c r="G194" i="43" s="1"/>
  <c r="G240" i="43" s="1"/>
  <c r="G104" i="43"/>
  <c r="G130" i="43" s="1"/>
  <c r="G178" i="43" s="1"/>
  <c r="G224" i="43" s="1"/>
  <c r="G118" i="43"/>
  <c r="G144" i="43" s="1"/>
  <c r="G192" i="43" s="1"/>
  <c r="G238" i="43" s="1"/>
  <c r="G109" i="43"/>
  <c r="G135" i="43" s="1"/>
  <c r="G183" i="43" s="1"/>
  <c r="G229" i="43" s="1"/>
  <c r="G114" i="43"/>
  <c r="G140" i="43" s="1"/>
  <c r="G188" i="43" s="1"/>
  <c r="G234" i="43" s="1"/>
  <c r="G106" i="43"/>
  <c r="G132" i="43" s="1"/>
  <c r="G180" i="43" s="1"/>
  <c r="G226" i="43" s="1"/>
  <c r="G105" i="43"/>
  <c r="G131" i="43" s="1"/>
  <c r="G179" i="43" s="1"/>
  <c r="G225" i="43" s="1"/>
  <c r="G108" i="43"/>
  <c r="G134" i="43" s="1"/>
  <c r="G182" i="43" s="1"/>
  <c r="G228" i="43" s="1"/>
  <c r="G107" i="43"/>
  <c r="G133" i="43" s="1"/>
  <c r="G181" i="43" s="1"/>
  <c r="G227" i="43" s="1"/>
  <c r="G113" i="43"/>
  <c r="G139" i="43" s="1"/>
  <c r="G187" i="43" s="1"/>
  <c r="G233" i="43" s="1"/>
  <c r="G115" i="43"/>
  <c r="G141" i="43" s="1"/>
  <c r="G189" i="43" s="1"/>
  <c r="G235" i="43" s="1"/>
  <c r="G103" i="43"/>
  <c r="G129" i="43" s="1"/>
  <c r="G119" i="43"/>
  <c r="G145" i="43" s="1"/>
  <c r="G193" i="43" s="1"/>
  <c r="G239" i="43" s="1"/>
  <c r="G116" i="43"/>
  <c r="G142" i="43" s="1"/>
  <c r="G190" i="43" s="1"/>
  <c r="G236" i="43" s="1"/>
  <c r="G110" i="43"/>
  <c r="G136" i="43" s="1"/>
  <c r="G184" i="43" s="1"/>
  <c r="G230" i="43" s="1"/>
  <c r="G111" i="43"/>
  <c r="G137" i="43" s="1"/>
  <c r="G185" i="43" s="1"/>
  <c r="G231" i="43" s="1"/>
  <c r="G117" i="43"/>
  <c r="G143" i="43" s="1"/>
  <c r="G191" i="43" s="1"/>
  <c r="G237" i="43" s="1"/>
  <c r="G112" i="43"/>
  <c r="G138" i="43" s="1"/>
  <c r="G186" i="43" s="1"/>
  <c r="G232" i="43" s="1"/>
  <c r="N105" i="43"/>
  <c r="N131" i="43" s="1"/>
  <c r="N179" i="43" s="1"/>
  <c r="N225" i="43" s="1"/>
  <c r="N103" i="43"/>
  <c r="N129" i="43" s="1"/>
  <c r="N120" i="43"/>
  <c r="N146" i="43" s="1"/>
  <c r="N194" i="43" s="1"/>
  <c r="N240" i="43" s="1"/>
  <c r="N119" i="43"/>
  <c r="N145" i="43" s="1"/>
  <c r="N193" i="43" s="1"/>
  <c r="N239" i="43" s="1"/>
  <c r="N108" i="43"/>
  <c r="N134" i="43" s="1"/>
  <c r="N182" i="43" s="1"/>
  <c r="N228" i="43" s="1"/>
  <c r="N117" i="43"/>
  <c r="N143" i="43" s="1"/>
  <c r="N191" i="43" s="1"/>
  <c r="N237" i="43" s="1"/>
  <c r="N113" i="43"/>
  <c r="N139" i="43" s="1"/>
  <c r="N187" i="43" s="1"/>
  <c r="N233" i="43" s="1"/>
  <c r="N114" i="43"/>
  <c r="N140" i="43" s="1"/>
  <c r="N188" i="43" s="1"/>
  <c r="N234" i="43" s="1"/>
  <c r="N107" i="43"/>
  <c r="N133" i="43" s="1"/>
  <c r="N181" i="43" s="1"/>
  <c r="N227" i="43" s="1"/>
  <c r="N112" i="43"/>
  <c r="N138" i="43" s="1"/>
  <c r="N186" i="43" s="1"/>
  <c r="N232" i="43" s="1"/>
  <c r="N110" i="43"/>
  <c r="N136" i="43" s="1"/>
  <c r="N184" i="43" s="1"/>
  <c r="N230" i="43" s="1"/>
  <c r="N116" i="43"/>
  <c r="N142" i="43" s="1"/>
  <c r="N190" i="43" s="1"/>
  <c r="N236" i="43" s="1"/>
  <c r="N111" i="43"/>
  <c r="N137" i="43" s="1"/>
  <c r="N185" i="43" s="1"/>
  <c r="N231" i="43" s="1"/>
  <c r="N118" i="43"/>
  <c r="N144" i="43" s="1"/>
  <c r="N192" i="43" s="1"/>
  <c r="N238" i="43" s="1"/>
  <c r="N109" i="43"/>
  <c r="N135" i="43" s="1"/>
  <c r="N183" i="43" s="1"/>
  <c r="N229" i="43" s="1"/>
  <c r="N115" i="43"/>
  <c r="N141" i="43" s="1"/>
  <c r="N189" i="43" s="1"/>
  <c r="N235" i="43" s="1"/>
  <c r="N104" i="43"/>
  <c r="N130" i="43" s="1"/>
  <c r="N178" i="43" s="1"/>
  <c r="N224" i="43" s="1"/>
  <c r="N106" i="43"/>
  <c r="N132" i="43" s="1"/>
  <c r="N180" i="43" s="1"/>
  <c r="N226" i="43" s="1"/>
  <c r="J116" i="43"/>
  <c r="J142" i="43" s="1"/>
  <c r="J190" i="43" s="1"/>
  <c r="J236" i="43" s="1"/>
  <c r="J107" i="43"/>
  <c r="J133" i="43" s="1"/>
  <c r="J181" i="43" s="1"/>
  <c r="J227" i="43" s="1"/>
  <c r="J109" i="43"/>
  <c r="J135" i="43" s="1"/>
  <c r="J183" i="43" s="1"/>
  <c r="J229" i="43" s="1"/>
  <c r="J117" i="43"/>
  <c r="J143" i="43" s="1"/>
  <c r="J191" i="43" s="1"/>
  <c r="J237" i="43" s="1"/>
  <c r="J112" i="43"/>
  <c r="J138" i="43" s="1"/>
  <c r="J186" i="43" s="1"/>
  <c r="J232" i="43" s="1"/>
  <c r="J114" i="43"/>
  <c r="J140" i="43" s="1"/>
  <c r="J188" i="43" s="1"/>
  <c r="J234" i="43" s="1"/>
  <c r="J104" i="43"/>
  <c r="J130" i="43" s="1"/>
  <c r="J178" i="43" s="1"/>
  <c r="J224" i="43" s="1"/>
  <c r="J115" i="43"/>
  <c r="J141" i="43" s="1"/>
  <c r="J189" i="43" s="1"/>
  <c r="J235" i="43" s="1"/>
  <c r="J110" i="43"/>
  <c r="J136" i="43" s="1"/>
  <c r="J184" i="43" s="1"/>
  <c r="J230" i="43" s="1"/>
  <c r="J103" i="43"/>
  <c r="J129" i="43" s="1"/>
  <c r="J105" i="43"/>
  <c r="J131" i="43" s="1"/>
  <c r="J179" i="43" s="1"/>
  <c r="J225" i="43" s="1"/>
  <c r="J118" i="43"/>
  <c r="J144" i="43" s="1"/>
  <c r="J192" i="43" s="1"/>
  <c r="J238" i="43" s="1"/>
  <c r="J119" i="43"/>
  <c r="J145" i="43" s="1"/>
  <c r="J193" i="43" s="1"/>
  <c r="J239" i="43" s="1"/>
  <c r="J106" i="43"/>
  <c r="J132" i="43" s="1"/>
  <c r="J180" i="43" s="1"/>
  <c r="J226" i="43" s="1"/>
  <c r="J120" i="43"/>
  <c r="J146" i="43" s="1"/>
  <c r="J194" i="43" s="1"/>
  <c r="J240" i="43" s="1"/>
  <c r="J111" i="43"/>
  <c r="J137" i="43" s="1"/>
  <c r="J185" i="43" s="1"/>
  <c r="J231" i="43" s="1"/>
  <c r="J108" i="43"/>
  <c r="J134" i="43" s="1"/>
  <c r="J182" i="43" s="1"/>
  <c r="J228" i="43" s="1"/>
  <c r="J113" i="43"/>
  <c r="J139" i="43" s="1"/>
  <c r="J187" i="43" s="1"/>
  <c r="J233" i="43" s="1"/>
  <c r="F113" i="43"/>
  <c r="F139" i="43" s="1"/>
  <c r="F187" i="43" s="1"/>
  <c r="F233" i="43" s="1"/>
  <c r="F120" i="43"/>
  <c r="F146" i="43" s="1"/>
  <c r="F194" i="43" s="1"/>
  <c r="F240" i="43" s="1"/>
  <c r="F119" i="43"/>
  <c r="F145" i="43" s="1"/>
  <c r="F193" i="43" s="1"/>
  <c r="F239" i="43" s="1"/>
  <c r="F111" i="43"/>
  <c r="F137" i="43" s="1"/>
  <c r="F185" i="43" s="1"/>
  <c r="F231" i="43" s="1"/>
  <c r="F103" i="43"/>
  <c r="F129" i="43" s="1"/>
  <c r="F114" i="43"/>
  <c r="F140" i="43" s="1"/>
  <c r="F188" i="43" s="1"/>
  <c r="F234" i="43" s="1"/>
  <c r="F108" i="43"/>
  <c r="F134" i="43" s="1"/>
  <c r="F182" i="43" s="1"/>
  <c r="F228" i="43" s="1"/>
  <c r="F104" i="43"/>
  <c r="F130" i="43" s="1"/>
  <c r="F178" i="43" s="1"/>
  <c r="F224" i="43" s="1"/>
  <c r="F105" i="43"/>
  <c r="F131" i="43" s="1"/>
  <c r="F179" i="43" s="1"/>
  <c r="F225" i="43" s="1"/>
  <c r="F110" i="43"/>
  <c r="F136" i="43" s="1"/>
  <c r="F184" i="43" s="1"/>
  <c r="F230" i="43" s="1"/>
  <c r="F109" i="43"/>
  <c r="F135" i="43" s="1"/>
  <c r="F183" i="43" s="1"/>
  <c r="F229" i="43" s="1"/>
  <c r="F107" i="43"/>
  <c r="F133" i="43" s="1"/>
  <c r="F181" i="43" s="1"/>
  <c r="F227" i="43" s="1"/>
  <c r="F116" i="43"/>
  <c r="F142" i="43" s="1"/>
  <c r="F190" i="43" s="1"/>
  <c r="F236" i="43" s="1"/>
  <c r="F118" i="43"/>
  <c r="F144" i="43" s="1"/>
  <c r="F192" i="43" s="1"/>
  <c r="F238" i="43" s="1"/>
  <c r="F115" i="43"/>
  <c r="F141" i="43" s="1"/>
  <c r="F189" i="43" s="1"/>
  <c r="F235" i="43" s="1"/>
  <c r="F112" i="43"/>
  <c r="F138" i="43" s="1"/>
  <c r="F186" i="43" s="1"/>
  <c r="F232" i="43" s="1"/>
  <c r="F106" i="43"/>
  <c r="F132" i="43" s="1"/>
  <c r="F180" i="43" s="1"/>
  <c r="F226" i="43" s="1"/>
  <c r="F117" i="43"/>
  <c r="F143" i="43" s="1"/>
  <c r="F191" i="43" s="1"/>
  <c r="F237" i="43" s="1"/>
  <c r="M108" i="43"/>
  <c r="M134" i="43" s="1"/>
  <c r="M182" i="43" s="1"/>
  <c r="M228" i="43" s="1"/>
  <c r="M109" i="43"/>
  <c r="M135" i="43" s="1"/>
  <c r="M183" i="43" s="1"/>
  <c r="M229" i="43" s="1"/>
  <c r="M106" i="43"/>
  <c r="M132" i="43" s="1"/>
  <c r="M180" i="43" s="1"/>
  <c r="M226" i="43" s="1"/>
  <c r="M105" i="43"/>
  <c r="M131" i="43" s="1"/>
  <c r="M179" i="43" s="1"/>
  <c r="M225" i="43" s="1"/>
  <c r="M119" i="43"/>
  <c r="M145" i="43" s="1"/>
  <c r="M193" i="43" s="1"/>
  <c r="M239" i="43" s="1"/>
  <c r="M120" i="43"/>
  <c r="M146" i="43" s="1"/>
  <c r="M194" i="43" s="1"/>
  <c r="M240" i="43" s="1"/>
  <c r="M110" i="43"/>
  <c r="M136" i="43" s="1"/>
  <c r="M184" i="43" s="1"/>
  <c r="M230" i="43" s="1"/>
  <c r="M114" i="43"/>
  <c r="M140" i="43" s="1"/>
  <c r="M188" i="43" s="1"/>
  <c r="M234" i="43" s="1"/>
  <c r="M116" i="43"/>
  <c r="M142" i="43" s="1"/>
  <c r="M190" i="43" s="1"/>
  <c r="M236" i="43" s="1"/>
  <c r="M104" i="43"/>
  <c r="M130" i="43" s="1"/>
  <c r="M178" i="43" s="1"/>
  <c r="M224" i="43" s="1"/>
  <c r="M112" i="43"/>
  <c r="M138" i="43" s="1"/>
  <c r="M186" i="43" s="1"/>
  <c r="M232" i="43" s="1"/>
  <c r="M113" i="43"/>
  <c r="M139" i="43" s="1"/>
  <c r="M187" i="43" s="1"/>
  <c r="M233" i="43" s="1"/>
  <c r="M118" i="43"/>
  <c r="M144" i="43" s="1"/>
  <c r="M192" i="43" s="1"/>
  <c r="M238" i="43" s="1"/>
  <c r="M115" i="43"/>
  <c r="M141" i="43" s="1"/>
  <c r="M189" i="43" s="1"/>
  <c r="M235" i="43" s="1"/>
  <c r="M117" i="43"/>
  <c r="M143" i="43" s="1"/>
  <c r="M191" i="43" s="1"/>
  <c r="M237" i="43" s="1"/>
  <c r="M111" i="43"/>
  <c r="M137" i="43" s="1"/>
  <c r="M185" i="43" s="1"/>
  <c r="M231" i="43" s="1"/>
  <c r="M107" i="43"/>
  <c r="M133" i="43" s="1"/>
  <c r="M181" i="43" s="1"/>
  <c r="M227" i="43" s="1"/>
  <c r="M103" i="43"/>
  <c r="M129" i="43" s="1"/>
  <c r="I120" i="43"/>
  <c r="I146" i="43" s="1"/>
  <c r="I194" i="43" s="1"/>
  <c r="I240" i="43" s="1"/>
  <c r="I116" i="43"/>
  <c r="I142" i="43" s="1"/>
  <c r="I190" i="43" s="1"/>
  <c r="I236" i="43" s="1"/>
  <c r="I114" i="43"/>
  <c r="I140" i="43" s="1"/>
  <c r="I188" i="43" s="1"/>
  <c r="I234" i="43" s="1"/>
  <c r="I110" i="43"/>
  <c r="I136" i="43" s="1"/>
  <c r="I184" i="43" s="1"/>
  <c r="I230" i="43" s="1"/>
  <c r="I104" i="43"/>
  <c r="I130" i="43" s="1"/>
  <c r="I178" i="43" s="1"/>
  <c r="I224" i="43" s="1"/>
  <c r="I108" i="43"/>
  <c r="I134" i="43" s="1"/>
  <c r="I182" i="43" s="1"/>
  <c r="I228" i="43" s="1"/>
  <c r="I105" i="43"/>
  <c r="I131" i="43" s="1"/>
  <c r="I179" i="43" s="1"/>
  <c r="I225" i="43" s="1"/>
  <c r="I109" i="43"/>
  <c r="I135" i="43" s="1"/>
  <c r="I183" i="43" s="1"/>
  <c r="I229" i="43" s="1"/>
  <c r="I106" i="43"/>
  <c r="I132" i="43" s="1"/>
  <c r="I180" i="43" s="1"/>
  <c r="I226" i="43" s="1"/>
  <c r="I119" i="43"/>
  <c r="I145" i="43" s="1"/>
  <c r="I193" i="43" s="1"/>
  <c r="I239" i="43" s="1"/>
  <c r="I112" i="43"/>
  <c r="I138" i="43" s="1"/>
  <c r="I186" i="43" s="1"/>
  <c r="I232" i="43" s="1"/>
  <c r="I117" i="43"/>
  <c r="I143" i="43" s="1"/>
  <c r="I191" i="43" s="1"/>
  <c r="I237" i="43" s="1"/>
  <c r="I118" i="43"/>
  <c r="I144" i="43" s="1"/>
  <c r="I192" i="43" s="1"/>
  <c r="I238" i="43" s="1"/>
  <c r="I111" i="43"/>
  <c r="I137" i="43" s="1"/>
  <c r="I185" i="43" s="1"/>
  <c r="I231" i="43" s="1"/>
  <c r="I107" i="43"/>
  <c r="I133" i="43" s="1"/>
  <c r="I181" i="43" s="1"/>
  <c r="I227" i="43" s="1"/>
  <c r="I113" i="43"/>
  <c r="I139" i="43" s="1"/>
  <c r="I187" i="43" s="1"/>
  <c r="I233" i="43" s="1"/>
  <c r="I103" i="43"/>
  <c r="I129" i="43" s="1"/>
  <c r="I115" i="43"/>
  <c r="I141" i="43" s="1"/>
  <c r="I189" i="43" s="1"/>
  <c r="I235" i="43" s="1"/>
  <c r="E109" i="43"/>
  <c r="E135" i="43" s="1"/>
  <c r="E183" i="43" s="1"/>
  <c r="E229" i="43" s="1"/>
  <c r="E106" i="43"/>
  <c r="E132" i="43" s="1"/>
  <c r="E180" i="43" s="1"/>
  <c r="E226" i="43" s="1"/>
  <c r="E105" i="43"/>
  <c r="E131" i="43" s="1"/>
  <c r="E179" i="43" s="1"/>
  <c r="E225" i="43" s="1"/>
  <c r="E118" i="43"/>
  <c r="E144" i="43" s="1"/>
  <c r="E192" i="43" s="1"/>
  <c r="E238" i="43" s="1"/>
  <c r="E116" i="43"/>
  <c r="E142" i="43" s="1"/>
  <c r="E190" i="43" s="1"/>
  <c r="E236" i="43" s="1"/>
  <c r="E114" i="43"/>
  <c r="E140" i="43" s="1"/>
  <c r="E188" i="43" s="1"/>
  <c r="E234" i="43" s="1"/>
  <c r="E112" i="43"/>
  <c r="E138" i="43" s="1"/>
  <c r="E186" i="43" s="1"/>
  <c r="E232" i="43" s="1"/>
  <c r="E110" i="43"/>
  <c r="E136" i="43" s="1"/>
  <c r="E184" i="43" s="1"/>
  <c r="E230" i="43" s="1"/>
  <c r="E104" i="43"/>
  <c r="E130" i="43" s="1"/>
  <c r="E178" i="43" s="1"/>
  <c r="E224" i="43" s="1"/>
  <c r="E120" i="43"/>
  <c r="E146" i="43" s="1"/>
  <c r="E194" i="43" s="1"/>
  <c r="E240" i="43" s="1"/>
  <c r="E119" i="43"/>
  <c r="E145" i="43" s="1"/>
  <c r="E193" i="43" s="1"/>
  <c r="E239" i="43" s="1"/>
  <c r="E108" i="43"/>
  <c r="E134" i="43" s="1"/>
  <c r="E182" i="43" s="1"/>
  <c r="E228" i="43" s="1"/>
  <c r="E117" i="43"/>
  <c r="E143" i="43" s="1"/>
  <c r="E191" i="43" s="1"/>
  <c r="E237" i="43" s="1"/>
  <c r="E107" i="43"/>
  <c r="E133" i="43" s="1"/>
  <c r="E181" i="43" s="1"/>
  <c r="E227" i="43" s="1"/>
  <c r="E103" i="43"/>
  <c r="E129" i="43" s="1"/>
  <c r="E113" i="43"/>
  <c r="E139" i="43" s="1"/>
  <c r="E187" i="43" s="1"/>
  <c r="E233" i="43" s="1"/>
  <c r="E115" i="43"/>
  <c r="E141" i="43" s="1"/>
  <c r="E189" i="43" s="1"/>
  <c r="E235" i="43" s="1"/>
  <c r="E111" i="43"/>
  <c r="E137" i="43" s="1"/>
  <c r="E185" i="43" s="1"/>
  <c r="E231" i="43" s="1"/>
  <c r="D158" i="36"/>
  <c r="D206" i="36" s="1"/>
  <c r="D238" i="36" s="1"/>
  <c r="C112" i="63" s="1"/>
  <c r="D157" i="36"/>
  <c r="D205" i="36" s="1"/>
  <c r="D237" i="36" s="1"/>
  <c r="C111" i="63" s="1"/>
  <c r="D155" i="36"/>
  <c r="D203" i="36" s="1"/>
  <c r="D235" i="36" s="1"/>
  <c r="C109" i="63" s="1"/>
  <c r="D160" i="36"/>
  <c r="D208" i="36" s="1"/>
  <c r="D240" i="36" s="1"/>
  <c r="C114" i="63" s="1"/>
  <c r="D159" i="36"/>
  <c r="D207" i="36" s="1"/>
  <c r="D239" i="36" s="1"/>
  <c r="C113" i="63" s="1"/>
  <c r="D163" i="36"/>
  <c r="D211" i="36" s="1"/>
  <c r="D243" i="36" s="1"/>
  <c r="C117" i="63" s="1"/>
  <c r="D168" i="36"/>
  <c r="D216" i="36" s="1"/>
  <c r="D248" i="36" s="1"/>
  <c r="C122" i="63" s="1"/>
  <c r="D151" i="36"/>
  <c r="D199" i="36" s="1"/>
  <c r="D231" i="36" s="1"/>
  <c r="C105" i="63" s="1"/>
  <c r="D147" i="36"/>
  <c r="C15" i="36"/>
  <c r="D156" i="36"/>
  <c r="D204" i="36" s="1"/>
  <c r="D236" i="36" s="1"/>
  <c r="C110" i="63" s="1"/>
  <c r="D164" i="36"/>
  <c r="D212" i="36" s="1"/>
  <c r="D244" i="36" s="1"/>
  <c r="C118" i="63" s="1"/>
  <c r="D165" i="36"/>
  <c r="D213" i="36" s="1"/>
  <c r="D245" i="36" s="1"/>
  <c r="C119" i="63" s="1"/>
  <c r="D167" i="36"/>
  <c r="D215" i="36" s="1"/>
  <c r="D247" i="36" s="1"/>
  <c r="C121" i="63" s="1"/>
  <c r="D162" i="36"/>
  <c r="D210" i="36" s="1"/>
  <c r="D242" i="36" s="1"/>
  <c r="C116" i="63" s="1"/>
  <c r="D161" i="36"/>
  <c r="D209" i="36" s="1"/>
  <c r="D241" i="36" s="1"/>
  <c r="C115" i="63" s="1"/>
  <c r="D153" i="36"/>
  <c r="D201" i="36" s="1"/>
  <c r="D233" i="36" s="1"/>
  <c r="C107" i="63" s="1"/>
  <c r="D166" i="36"/>
  <c r="D214" i="36" s="1"/>
  <c r="D246" i="36" s="1"/>
  <c r="C120" i="63" s="1"/>
  <c r="D152" i="36"/>
  <c r="D200" i="36" s="1"/>
  <c r="D232" i="36" s="1"/>
  <c r="C106" i="63" s="1"/>
  <c r="E84" i="36"/>
  <c r="G84" i="36"/>
  <c r="M84" i="36"/>
  <c r="L84" i="36"/>
  <c r="AY138" i="36" l="1"/>
  <c r="AY186" i="36" s="1"/>
  <c r="AY146" i="36"/>
  <c r="AY194" i="36" s="1"/>
  <c r="AY134" i="36"/>
  <c r="AY182" i="36" s="1"/>
  <c r="AY144" i="36"/>
  <c r="AY192" i="36" s="1"/>
  <c r="AY137" i="36"/>
  <c r="AY185" i="36" s="1"/>
  <c r="AY142" i="36"/>
  <c r="AY190" i="36" s="1"/>
  <c r="AY139" i="36"/>
  <c r="AY187" i="36" s="1"/>
  <c r="AY141" i="36"/>
  <c r="AY189" i="36" s="1"/>
  <c r="AY140" i="36"/>
  <c r="AY188" i="36" s="1"/>
  <c r="AZ168" i="36"/>
  <c r="AZ216" i="36" s="1"/>
  <c r="AZ163" i="36"/>
  <c r="AZ211" i="36" s="1"/>
  <c r="AZ164" i="36"/>
  <c r="AZ212" i="36" s="1"/>
  <c r="AZ151" i="36"/>
  <c r="AZ157" i="36"/>
  <c r="AZ205" i="36" s="1"/>
  <c r="AZ165" i="36"/>
  <c r="AZ213" i="36" s="1"/>
  <c r="AZ162" i="36"/>
  <c r="AZ210" i="36" s="1"/>
  <c r="AZ167" i="36"/>
  <c r="AZ215" i="36" s="1"/>
  <c r="AZ156" i="36"/>
  <c r="AZ204" i="36" s="1"/>
  <c r="AZ159" i="36"/>
  <c r="AZ207" i="36" s="1"/>
  <c r="AZ158" i="36"/>
  <c r="AZ206" i="36" s="1"/>
  <c r="AZ153" i="36"/>
  <c r="AZ201" i="36" s="1"/>
  <c r="AZ155" i="36"/>
  <c r="AZ203" i="36" s="1"/>
  <c r="AZ161" i="36"/>
  <c r="AZ209" i="36" s="1"/>
  <c r="AZ166" i="36"/>
  <c r="AZ214" i="36" s="1"/>
  <c r="AZ154" i="36"/>
  <c r="AZ202" i="36" s="1"/>
  <c r="AY15" i="36"/>
  <c r="AZ160" i="36"/>
  <c r="AZ208" i="36" s="1"/>
  <c r="AZ152" i="36"/>
  <c r="AZ200" i="36" s="1"/>
  <c r="AY133" i="36"/>
  <c r="AY181" i="36" s="1"/>
  <c r="BA96" i="39"/>
  <c r="AY96" i="39"/>
  <c r="AY101" i="39" s="1"/>
  <c r="AY84" i="36" s="1"/>
  <c r="AZ96" i="39"/>
  <c r="AY132" i="36"/>
  <c r="AY180" i="36" s="1"/>
  <c r="AY131" i="36"/>
  <c r="AY179" i="36" s="1"/>
  <c r="AY163" i="36"/>
  <c r="AY211" i="36" s="1"/>
  <c r="AY162" i="36"/>
  <c r="AY210" i="36" s="1"/>
  <c r="AY164" i="36"/>
  <c r="AY212" i="36" s="1"/>
  <c r="AY155" i="36"/>
  <c r="AY203" i="36" s="1"/>
  <c r="AY157" i="36"/>
  <c r="AY205" i="36" s="1"/>
  <c r="AX15" i="36"/>
  <c r="AY166" i="36"/>
  <c r="AY214" i="36" s="1"/>
  <c r="AY168" i="36"/>
  <c r="AY216" i="36" s="1"/>
  <c r="AY248" i="36" s="1"/>
  <c r="AY167" i="36"/>
  <c r="AY215" i="36" s="1"/>
  <c r="AY247" i="36" s="1"/>
  <c r="AY156" i="36"/>
  <c r="AY204" i="36" s="1"/>
  <c r="AY151" i="36"/>
  <c r="AY158" i="36"/>
  <c r="AY206" i="36" s="1"/>
  <c r="AY161" i="36"/>
  <c r="AY209" i="36" s="1"/>
  <c r="AY154" i="36"/>
  <c r="AY202" i="36" s="1"/>
  <c r="AY160" i="36"/>
  <c r="AY208" i="36" s="1"/>
  <c r="AY165" i="36"/>
  <c r="AY213" i="36" s="1"/>
  <c r="AY153" i="36"/>
  <c r="AY201" i="36" s="1"/>
  <c r="AY159" i="36"/>
  <c r="AY207" i="36" s="1"/>
  <c r="AY152" i="36"/>
  <c r="AY200" i="36" s="1"/>
  <c r="AY143" i="36"/>
  <c r="AY191" i="36" s="1"/>
  <c r="AY245" i="36" s="1"/>
  <c r="AY129" i="36"/>
  <c r="AY13" i="36"/>
  <c r="AY17" i="39"/>
  <c r="AY18" i="39" s="1"/>
  <c r="AY24" i="39" s="1"/>
  <c r="BA35" i="40"/>
  <c r="BA36" i="40" s="1"/>
  <c r="BA14" i="36" s="1"/>
  <c r="BA12" i="36"/>
  <c r="BB224" i="36" s="1"/>
  <c r="BB225" i="36" s="1"/>
  <c r="AY130" i="36"/>
  <c r="AY178" i="36" s="1"/>
  <c r="AY136" i="36"/>
  <c r="AY184" i="36" s="1"/>
  <c r="AY135" i="36"/>
  <c r="AY183" i="36" s="1"/>
  <c r="AZ12" i="36"/>
  <c r="BA224" i="36" s="1"/>
  <c r="BA225" i="36" s="1"/>
  <c r="AZ35" i="40"/>
  <c r="AZ36" i="40" s="1"/>
  <c r="AZ14" i="36" s="1"/>
  <c r="D297" i="47"/>
  <c r="I297" i="47" s="1"/>
  <c r="C228" i="63"/>
  <c r="C231" i="63"/>
  <c r="C237" i="63"/>
  <c r="C238" i="63"/>
  <c r="C229" i="63"/>
  <c r="C236" i="63"/>
  <c r="C232" i="63"/>
  <c r="C233" i="63"/>
  <c r="C227" i="63"/>
  <c r="C230" i="63"/>
  <c r="E57" i="37"/>
  <c r="D73" i="37" s="1"/>
  <c r="E45" i="37"/>
  <c r="E50" i="37"/>
  <c r="D82" i="37" s="1"/>
  <c r="E56" i="37"/>
  <c r="E53" i="37"/>
  <c r="E54" i="37"/>
  <c r="E58" i="37"/>
  <c r="D72" i="37" s="1"/>
  <c r="E51" i="37"/>
  <c r="D80" i="37" s="1"/>
  <c r="E47" i="37"/>
  <c r="E61" i="37"/>
  <c r="E49" i="37"/>
  <c r="E55" i="37"/>
  <c r="E46" i="37"/>
  <c r="E52" i="37"/>
  <c r="D81" i="37" s="1"/>
  <c r="E48" i="37"/>
  <c r="D76" i="37" s="1"/>
  <c r="K192" i="43"/>
  <c r="K238" i="43" s="1"/>
  <c r="K193" i="43"/>
  <c r="K239" i="43" s="1"/>
  <c r="M177" i="43"/>
  <c r="M223" i="43" s="1"/>
  <c r="M147" i="43"/>
  <c r="J177" i="43"/>
  <c r="J223" i="43" s="1"/>
  <c r="J147" i="43"/>
  <c r="H177" i="43"/>
  <c r="H223" i="43" s="1"/>
  <c r="H147" i="43"/>
  <c r="L177" i="43"/>
  <c r="L223" i="43" s="1"/>
  <c r="L147" i="43"/>
  <c r="N177" i="43"/>
  <c r="N223" i="43" s="1"/>
  <c r="N147" i="43"/>
  <c r="G177" i="43"/>
  <c r="G223" i="43" s="1"/>
  <c r="G147" i="43"/>
  <c r="K177" i="43"/>
  <c r="K223" i="43" s="1"/>
  <c r="K147" i="43"/>
  <c r="E177" i="43"/>
  <c r="E223" i="43" s="1"/>
  <c r="E147" i="43"/>
  <c r="I177" i="43"/>
  <c r="I223" i="43" s="1"/>
  <c r="I147" i="43"/>
  <c r="F177" i="43"/>
  <c r="F223" i="43" s="1"/>
  <c r="F147" i="43"/>
  <c r="D169" i="36"/>
  <c r="L107" i="36"/>
  <c r="L133" i="36" s="1"/>
  <c r="L181" i="36" s="1"/>
  <c r="L235" i="36" s="1"/>
  <c r="K109" i="63" s="1"/>
  <c r="L105" i="36"/>
  <c r="L131" i="36" s="1"/>
  <c r="L179" i="36" s="1"/>
  <c r="L233" i="36" s="1"/>
  <c r="K107" i="63" s="1"/>
  <c r="L119" i="36"/>
  <c r="L145" i="36" s="1"/>
  <c r="L193" i="36" s="1"/>
  <c r="L247" i="36" s="1"/>
  <c r="K121" i="63" s="1"/>
  <c r="L108" i="36"/>
  <c r="L134" i="36" s="1"/>
  <c r="L182" i="36" s="1"/>
  <c r="L236" i="36" s="1"/>
  <c r="K110" i="63" s="1"/>
  <c r="L118" i="36"/>
  <c r="L144" i="36" s="1"/>
  <c r="L192" i="36" s="1"/>
  <c r="L246" i="36" s="1"/>
  <c r="K120" i="63" s="1"/>
  <c r="L115" i="36"/>
  <c r="L141" i="36" s="1"/>
  <c r="L189" i="36" s="1"/>
  <c r="L243" i="36" s="1"/>
  <c r="K117" i="63" s="1"/>
  <c r="L113" i="36"/>
  <c r="L139" i="36" s="1"/>
  <c r="L187" i="36" s="1"/>
  <c r="L241" i="36" s="1"/>
  <c r="K115" i="63" s="1"/>
  <c r="L117" i="36"/>
  <c r="L143" i="36" s="1"/>
  <c r="L191" i="36" s="1"/>
  <c r="L245" i="36" s="1"/>
  <c r="K119" i="63" s="1"/>
  <c r="L114" i="36"/>
  <c r="L140" i="36" s="1"/>
  <c r="L188" i="36" s="1"/>
  <c r="L242" i="36" s="1"/>
  <c r="K116" i="63" s="1"/>
  <c r="L106" i="36"/>
  <c r="L132" i="36" s="1"/>
  <c r="L180" i="36" s="1"/>
  <c r="L234" i="36" s="1"/>
  <c r="K108" i="63" s="1"/>
  <c r="L112" i="36"/>
  <c r="L138" i="36" s="1"/>
  <c r="L186" i="36" s="1"/>
  <c r="L240" i="36" s="1"/>
  <c r="K114" i="63" s="1"/>
  <c r="L116" i="36"/>
  <c r="L142" i="36" s="1"/>
  <c r="L190" i="36" s="1"/>
  <c r="L244" i="36" s="1"/>
  <c r="K118" i="63" s="1"/>
  <c r="L120" i="36"/>
  <c r="L146" i="36" s="1"/>
  <c r="L194" i="36" s="1"/>
  <c r="L248" i="36" s="1"/>
  <c r="K122" i="63" s="1"/>
  <c r="L104" i="36"/>
  <c r="L130" i="36" s="1"/>
  <c r="L178" i="36" s="1"/>
  <c r="L232" i="36" s="1"/>
  <c r="K106" i="63" s="1"/>
  <c r="L109" i="36"/>
  <c r="L135" i="36" s="1"/>
  <c r="L183" i="36" s="1"/>
  <c r="L237" i="36" s="1"/>
  <c r="K111" i="63" s="1"/>
  <c r="L110" i="36"/>
  <c r="L136" i="36" s="1"/>
  <c r="L184" i="36" s="1"/>
  <c r="L238" i="36" s="1"/>
  <c r="K112" i="63" s="1"/>
  <c r="L111" i="36"/>
  <c r="L137" i="36" s="1"/>
  <c r="L185" i="36" s="1"/>
  <c r="L239" i="36" s="1"/>
  <c r="K113" i="63" s="1"/>
  <c r="L103" i="36"/>
  <c r="L129" i="36" s="1"/>
  <c r="N106" i="36"/>
  <c r="N132" i="36" s="1"/>
  <c r="N180" i="36" s="1"/>
  <c r="N234" i="36" s="1"/>
  <c r="M108" i="63" s="1"/>
  <c r="N114" i="36"/>
  <c r="N140" i="36" s="1"/>
  <c r="N188" i="36" s="1"/>
  <c r="N242" i="36" s="1"/>
  <c r="M116" i="63" s="1"/>
  <c r="N113" i="36"/>
  <c r="N139" i="36" s="1"/>
  <c r="N187" i="36" s="1"/>
  <c r="N241" i="36" s="1"/>
  <c r="M115" i="63" s="1"/>
  <c r="N108" i="36"/>
  <c r="N134" i="36" s="1"/>
  <c r="N182" i="36" s="1"/>
  <c r="N236" i="36" s="1"/>
  <c r="M110" i="63" s="1"/>
  <c r="N111" i="36"/>
  <c r="N137" i="36" s="1"/>
  <c r="N185" i="36" s="1"/>
  <c r="N239" i="36" s="1"/>
  <c r="M113" i="63" s="1"/>
  <c r="N115" i="36"/>
  <c r="N141" i="36" s="1"/>
  <c r="N189" i="36" s="1"/>
  <c r="N243" i="36" s="1"/>
  <c r="M117" i="63" s="1"/>
  <c r="N110" i="36"/>
  <c r="N136" i="36" s="1"/>
  <c r="N184" i="36" s="1"/>
  <c r="N238" i="36" s="1"/>
  <c r="M112" i="63" s="1"/>
  <c r="N118" i="36"/>
  <c r="N144" i="36" s="1"/>
  <c r="N192" i="36" s="1"/>
  <c r="N246" i="36" s="1"/>
  <c r="M120" i="63" s="1"/>
  <c r="N119" i="36"/>
  <c r="N145" i="36" s="1"/>
  <c r="N193" i="36" s="1"/>
  <c r="N247" i="36" s="1"/>
  <c r="M121" i="63" s="1"/>
  <c r="N104" i="36"/>
  <c r="N130" i="36" s="1"/>
  <c r="N178" i="36" s="1"/>
  <c r="N232" i="36" s="1"/>
  <c r="M106" i="63" s="1"/>
  <c r="N120" i="36"/>
  <c r="N146" i="36" s="1"/>
  <c r="N194" i="36" s="1"/>
  <c r="N248" i="36" s="1"/>
  <c r="M122" i="63" s="1"/>
  <c r="N109" i="36"/>
  <c r="N135" i="36" s="1"/>
  <c r="N183" i="36" s="1"/>
  <c r="N237" i="36" s="1"/>
  <c r="M111" i="63" s="1"/>
  <c r="N105" i="36"/>
  <c r="N131" i="36" s="1"/>
  <c r="N179" i="36" s="1"/>
  <c r="N233" i="36" s="1"/>
  <c r="M107" i="63" s="1"/>
  <c r="N116" i="36"/>
  <c r="N142" i="36" s="1"/>
  <c r="N190" i="36" s="1"/>
  <c r="N244" i="36" s="1"/>
  <c r="M118" i="63" s="1"/>
  <c r="N117" i="36"/>
  <c r="N143" i="36" s="1"/>
  <c r="N191" i="36" s="1"/>
  <c r="N245" i="36" s="1"/>
  <c r="M119" i="63" s="1"/>
  <c r="N107" i="36"/>
  <c r="N133" i="36" s="1"/>
  <c r="N181" i="36" s="1"/>
  <c r="N235" i="36" s="1"/>
  <c r="M109" i="63" s="1"/>
  <c r="N103" i="36"/>
  <c r="N129" i="36" s="1"/>
  <c r="N112" i="36"/>
  <c r="N138" i="36" s="1"/>
  <c r="N186" i="36" s="1"/>
  <c r="N240" i="36" s="1"/>
  <c r="M114" i="63" s="1"/>
  <c r="J109" i="36"/>
  <c r="J135" i="36" s="1"/>
  <c r="J183" i="36" s="1"/>
  <c r="J237" i="36" s="1"/>
  <c r="I111" i="63" s="1"/>
  <c r="J115" i="36"/>
  <c r="J141" i="36" s="1"/>
  <c r="J189" i="36" s="1"/>
  <c r="J243" i="36" s="1"/>
  <c r="I117" i="63" s="1"/>
  <c r="J113" i="36"/>
  <c r="J139" i="36" s="1"/>
  <c r="J187" i="36" s="1"/>
  <c r="J241" i="36" s="1"/>
  <c r="I115" i="63" s="1"/>
  <c r="J114" i="36"/>
  <c r="J140" i="36" s="1"/>
  <c r="J188" i="36" s="1"/>
  <c r="J242" i="36" s="1"/>
  <c r="I116" i="63" s="1"/>
  <c r="J111" i="36"/>
  <c r="J137" i="36" s="1"/>
  <c r="J185" i="36" s="1"/>
  <c r="J239" i="36" s="1"/>
  <c r="I113" i="63" s="1"/>
  <c r="J110" i="36"/>
  <c r="J136" i="36" s="1"/>
  <c r="J184" i="36" s="1"/>
  <c r="J238" i="36" s="1"/>
  <c r="I112" i="63" s="1"/>
  <c r="J104" i="36"/>
  <c r="J130" i="36" s="1"/>
  <c r="J178" i="36" s="1"/>
  <c r="J232" i="36" s="1"/>
  <c r="I106" i="63" s="1"/>
  <c r="J108" i="36"/>
  <c r="J134" i="36" s="1"/>
  <c r="J182" i="36" s="1"/>
  <c r="J236" i="36" s="1"/>
  <c r="I110" i="63" s="1"/>
  <c r="J120" i="36"/>
  <c r="J146" i="36" s="1"/>
  <c r="J194" i="36" s="1"/>
  <c r="J248" i="36" s="1"/>
  <c r="I122" i="63" s="1"/>
  <c r="J103" i="36"/>
  <c r="J129" i="36" s="1"/>
  <c r="J118" i="36"/>
  <c r="J144" i="36" s="1"/>
  <c r="J192" i="36" s="1"/>
  <c r="J246" i="36" s="1"/>
  <c r="I120" i="63" s="1"/>
  <c r="J116" i="36"/>
  <c r="J142" i="36" s="1"/>
  <c r="J190" i="36" s="1"/>
  <c r="J244" i="36" s="1"/>
  <c r="I118" i="63" s="1"/>
  <c r="J107" i="36"/>
  <c r="J133" i="36" s="1"/>
  <c r="J181" i="36" s="1"/>
  <c r="J235" i="36" s="1"/>
  <c r="I109" i="63" s="1"/>
  <c r="J105" i="36"/>
  <c r="J131" i="36" s="1"/>
  <c r="J179" i="36" s="1"/>
  <c r="J233" i="36" s="1"/>
  <c r="I107" i="63" s="1"/>
  <c r="J119" i="36"/>
  <c r="J145" i="36" s="1"/>
  <c r="J193" i="36" s="1"/>
  <c r="J247" i="36" s="1"/>
  <c r="I121" i="63" s="1"/>
  <c r="J112" i="36"/>
  <c r="J138" i="36" s="1"/>
  <c r="J186" i="36" s="1"/>
  <c r="J240" i="36" s="1"/>
  <c r="I114" i="63" s="1"/>
  <c r="J106" i="36"/>
  <c r="J132" i="36" s="1"/>
  <c r="J180" i="36" s="1"/>
  <c r="J234" i="36" s="1"/>
  <c r="I108" i="63" s="1"/>
  <c r="J117" i="36"/>
  <c r="J143" i="36" s="1"/>
  <c r="J191" i="36" s="1"/>
  <c r="J245" i="36" s="1"/>
  <c r="I119" i="63" s="1"/>
  <c r="F110" i="36"/>
  <c r="F136" i="36" s="1"/>
  <c r="F184" i="36" s="1"/>
  <c r="F238" i="36" s="1"/>
  <c r="E112" i="63" s="1"/>
  <c r="F107" i="36"/>
  <c r="F133" i="36" s="1"/>
  <c r="F181" i="36" s="1"/>
  <c r="F235" i="36" s="1"/>
  <c r="E109" i="63" s="1"/>
  <c r="F115" i="36"/>
  <c r="F141" i="36" s="1"/>
  <c r="F189" i="36" s="1"/>
  <c r="F243" i="36" s="1"/>
  <c r="E117" i="63" s="1"/>
  <c r="F104" i="36"/>
  <c r="F130" i="36" s="1"/>
  <c r="F178" i="36" s="1"/>
  <c r="F232" i="36" s="1"/>
  <c r="E106" i="63" s="1"/>
  <c r="F117" i="36"/>
  <c r="F143" i="36" s="1"/>
  <c r="F191" i="36" s="1"/>
  <c r="F245" i="36" s="1"/>
  <c r="E119" i="63" s="1"/>
  <c r="F103" i="36"/>
  <c r="F129" i="36" s="1"/>
  <c r="F106" i="36"/>
  <c r="F132" i="36" s="1"/>
  <c r="F180" i="36" s="1"/>
  <c r="F234" i="36" s="1"/>
  <c r="E108" i="63" s="1"/>
  <c r="F109" i="36"/>
  <c r="F135" i="36" s="1"/>
  <c r="F183" i="36" s="1"/>
  <c r="F237" i="36" s="1"/>
  <c r="E111" i="63" s="1"/>
  <c r="F116" i="36"/>
  <c r="F142" i="36" s="1"/>
  <c r="F190" i="36" s="1"/>
  <c r="F244" i="36" s="1"/>
  <c r="E118" i="63" s="1"/>
  <c r="F112" i="36"/>
  <c r="F138" i="36" s="1"/>
  <c r="F186" i="36" s="1"/>
  <c r="F240" i="36" s="1"/>
  <c r="E114" i="63" s="1"/>
  <c r="F111" i="36"/>
  <c r="F137" i="36" s="1"/>
  <c r="F185" i="36" s="1"/>
  <c r="F239" i="36" s="1"/>
  <c r="E113" i="63" s="1"/>
  <c r="F113" i="36"/>
  <c r="F139" i="36" s="1"/>
  <c r="F187" i="36" s="1"/>
  <c r="F241" i="36" s="1"/>
  <c r="E115" i="63" s="1"/>
  <c r="F105" i="36"/>
  <c r="F131" i="36" s="1"/>
  <c r="F179" i="36" s="1"/>
  <c r="F233" i="36" s="1"/>
  <c r="E107" i="63" s="1"/>
  <c r="F114" i="36"/>
  <c r="F140" i="36" s="1"/>
  <c r="F188" i="36" s="1"/>
  <c r="F242" i="36" s="1"/>
  <c r="E116" i="63" s="1"/>
  <c r="F120" i="36"/>
  <c r="F146" i="36" s="1"/>
  <c r="F194" i="36" s="1"/>
  <c r="F248" i="36" s="1"/>
  <c r="E122" i="63" s="1"/>
  <c r="F108" i="36"/>
  <c r="F134" i="36" s="1"/>
  <c r="F182" i="36" s="1"/>
  <c r="F236" i="36" s="1"/>
  <c r="E110" i="63" s="1"/>
  <c r="F118" i="36"/>
  <c r="F144" i="36" s="1"/>
  <c r="F192" i="36" s="1"/>
  <c r="F246" i="36" s="1"/>
  <c r="E120" i="63" s="1"/>
  <c r="F119" i="36"/>
  <c r="F145" i="36" s="1"/>
  <c r="F193" i="36" s="1"/>
  <c r="F247" i="36" s="1"/>
  <c r="E121" i="63" s="1"/>
  <c r="D250" i="36"/>
  <c r="C24" i="37" s="1"/>
  <c r="I107" i="36"/>
  <c r="I133" i="36" s="1"/>
  <c r="I181" i="36" s="1"/>
  <c r="I235" i="36" s="1"/>
  <c r="H109" i="63" s="1"/>
  <c r="I115" i="36"/>
  <c r="I141" i="36" s="1"/>
  <c r="I189" i="36" s="1"/>
  <c r="I243" i="36" s="1"/>
  <c r="H117" i="63" s="1"/>
  <c r="I119" i="36"/>
  <c r="I145" i="36" s="1"/>
  <c r="I193" i="36" s="1"/>
  <c r="I247" i="36" s="1"/>
  <c r="H121" i="63" s="1"/>
  <c r="I116" i="36"/>
  <c r="I142" i="36" s="1"/>
  <c r="I190" i="36" s="1"/>
  <c r="I244" i="36" s="1"/>
  <c r="H118" i="63" s="1"/>
  <c r="I111" i="36"/>
  <c r="I137" i="36" s="1"/>
  <c r="I185" i="36" s="1"/>
  <c r="I239" i="36" s="1"/>
  <c r="H113" i="63" s="1"/>
  <c r="I112" i="36"/>
  <c r="I138" i="36" s="1"/>
  <c r="I186" i="36" s="1"/>
  <c r="I240" i="36" s="1"/>
  <c r="H114" i="63" s="1"/>
  <c r="I120" i="36"/>
  <c r="I146" i="36" s="1"/>
  <c r="I194" i="36" s="1"/>
  <c r="I248" i="36" s="1"/>
  <c r="H122" i="63" s="1"/>
  <c r="I117" i="36"/>
  <c r="I143" i="36" s="1"/>
  <c r="I191" i="36" s="1"/>
  <c r="I245" i="36" s="1"/>
  <c r="H119" i="63" s="1"/>
  <c r="I113" i="36"/>
  <c r="I139" i="36" s="1"/>
  <c r="I187" i="36" s="1"/>
  <c r="I241" i="36" s="1"/>
  <c r="H115" i="63" s="1"/>
  <c r="I118" i="36"/>
  <c r="I144" i="36" s="1"/>
  <c r="I192" i="36" s="1"/>
  <c r="I246" i="36" s="1"/>
  <c r="H120" i="63" s="1"/>
  <c r="I109" i="36"/>
  <c r="I135" i="36" s="1"/>
  <c r="I183" i="36" s="1"/>
  <c r="I237" i="36" s="1"/>
  <c r="H111" i="63" s="1"/>
  <c r="I106" i="36"/>
  <c r="I132" i="36" s="1"/>
  <c r="I180" i="36" s="1"/>
  <c r="I234" i="36" s="1"/>
  <c r="H108" i="63" s="1"/>
  <c r="I110" i="36"/>
  <c r="I136" i="36" s="1"/>
  <c r="I184" i="36" s="1"/>
  <c r="I238" i="36" s="1"/>
  <c r="H112" i="63" s="1"/>
  <c r="I104" i="36"/>
  <c r="I130" i="36" s="1"/>
  <c r="I178" i="36" s="1"/>
  <c r="I232" i="36" s="1"/>
  <c r="H106" i="63" s="1"/>
  <c r="I114" i="36"/>
  <c r="I140" i="36" s="1"/>
  <c r="I188" i="36" s="1"/>
  <c r="I242" i="36" s="1"/>
  <c r="H116" i="63" s="1"/>
  <c r="I108" i="36"/>
  <c r="I134" i="36" s="1"/>
  <c r="I182" i="36" s="1"/>
  <c r="I236" i="36" s="1"/>
  <c r="H110" i="63" s="1"/>
  <c r="I105" i="36"/>
  <c r="I131" i="36" s="1"/>
  <c r="I179" i="36" s="1"/>
  <c r="I233" i="36" s="1"/>
  <c r="H107" i="63" s="1"/>
  <c r="I103" i="36"/>
  <c r="I129" i="36" s="1"/>
  <c r="H103" i="36"/>
  <c r="H129" i="36" s="1"/>
  <c r="H114" i="36"/>
  <c r="H140" i="36" s="1"/>
  <c r="H188" i="36" s="1"/>
  <c r="H242" i="36" s="1"/>
  <c r="G116" i="63" s="1"/>
  <c r="H115" i="36"/>
  <c r="H141" i="36" s="1"/>
  <c r="H189" i="36" s="1"/>
  <c r="H243" i="36" s="1"/>
  <c r="G117" i="63" s="1"/>
  <c r="H110" i="36"/>
  <c r="H136" i="36" s="1"/>
  <c r="H184" i="36" s="1"/>
  <c r="H238" i="36" s="1"/>
  <c r="G112" i="63" s="1"/>
  <c r="H107" i="36"/>
  <c r="H133" i="36" s="1"/>
  <c r="H181" i="36" s="1"/>
  <c r="H235" i="36" s="1"/>
  <c r="G109" i="63" s="1"/>
  <c r="H111" i="36"/>
  <c r="H137" i="36" s="1"/>
  <c r="H185" i="36" s="1"/>
  <c r="H239" i="36" s="1"/>
  <c r="G113" i="63" s="1"/>
  <c r="H106" i="36"/>
  <c r="H132" i="36" s="1"/>
  <c r="H180" i="36" s="1"/>
  <c r="H234" i="36" s="1"/>
  <c r="G108" i="63" s="1"/>
  <c r="H118" i="36"/>
  <c r="H144" i="36" s="1"/>
  <c r="H192" i="36" s="1"/>
  <c r="H246" i="36" s="1"/>
  <c r="G120" i="63" s="1"/>
  <c r="H104" i="36"/>
  <c r="H130" i="36" s="1"/>
  <c r="H178" i="36" s="1"/>
  <c r="H232" i="36" s="1"/>
  <c r="G106" i="63" s="1"/>
  <c r="H109" i="36"/>
  <c r="H135" i="36" s="1"/>
  <c r="H183" i="36" s="1"/>
  <c r="H237" i="36" s="1"/>
  <c r="G111" i="63" s="1"/>
  <c r="H120" i="36"/>
  <c r="H146" i="36" s="1"/>
  <c r="H194" i="36" s="1"/>
  <c r="H248" i="36" s="1"/>
  <c r="G122" i="63" s="1"/>
  <c r="H108" i="36"/>
  <c r="H134" i="36" s="1"/>
  <c r="H182" i="36" s="1"/>
  <c r="H236" i="36" s="1"/>
  <c r="G110" i="63" s="1"/>
  <c r="H116" i="36"/>
  <c r="H142" i="36" s="1"/>
  <c r="H190" i="36" s="1"/>
  <c r="H244" i="36" s="1"/>
  <c r="G118" i="63" s="1"/>
  <c r="H119" i="36"/>
  <c r="H145" i="36" s="1"/>
  <c r="H193" i="36" s="1"/>
  <c r="H247" i="36" s="1"/>
  <c r="G121" i="63" s="1"/>
  <c r="H112" i="36"/>
  <c r="H138" i="36" s="1"/>
  <c r="H186" i="36" s="1"/>
  <c r="H240" i="36" s="1"/>
  <c r="G114" i="63" s="1"/>
  <c r="H117" i="36"/>
  <c r="H143" i="36" s="1"/>
  <c r="H191" i="36" s="1"/>
  <c r="H245" i="36" s="1"/>
  <c r="G119" i="63" s="1"/>
  <c r="H113" i="36"/>
  <c r="H139" i="36" s="1"/>
  <c r="H187" i="36" s="1"/>
  <c r="H241" i="36" s="1"/>
  <c r="G115" i="63" s="1"/>
  <c r="H105" i="36"/>
  <c r="H131" i="36" s="1"/>
  <c r="H179" i="36" s="1"/>
  <c r="H233" i="36" s="1"/>
  <c r="G107" i="63" s="1"/>
  <c r="G115" i="36"/>
  <c r="G141" i="36" s="1"/>
  <c r="G189" i="36" s="1"/>
  <c r="G243" i="36" s="1"/>
  <c r="F117" i="63" s="1"/>
  <c r="G120" i="36"/>
  <c r="G146" i="36" s="1"/>
  <c r="G194" i="36" s="1"/>
  <c r="G248" i="36" s="1"/>
  <c r="F122" i="63" s="1"/>
  <c r="G117" i="36"/>
  <c r="G143" i="36" s="1"/>
  <c r="G191" i="36" s="1"/>
  <c r="G245" i="36" s="1"/>
  <c r="F119" i="63" s="1"/>
  <c r="G110" i="36"/>
  <c r="G136" i="36" s="1"/>
  <c r="G184" i="36" s="1"/>
  <c r="G238" i="36" s="1"/>
  <c r="F112" i="63" s="1"/>
  <c r="G109" i="36"/>
  <c r="G135" i="36" s="1"/>
  <c r="G183" i="36" s="1"/>
  <c r="G237" i="36" s="1"/>
  <c r="F111" i="63" s="1"/>
  <c r="G112" i="36"/>
  <c r="G138" i="36" s="1"/>
  <c r="G186" i="36" s="1"/>
  <c r="G240" i="36" s="1"/>
  <c r="F114" i="63" s="1"/>
  <c r="G104" i="36"/>
  <c r="G130" i="36" s="1"/>
  <c r="G178" i="36" s="1"/>
  <c r="G232" i="36" s="1"/>
  <c r="F106" i="63" s="1"/>
  <c r="G107" i="36"/>
  <c r="G133" i="36" s="1"/>
  <c r="G181" i="36" s="1"/>
  <c r="G235" i="36" s="1"/>
  <c r="F109" i="63" s="1"/>
  <c r="G108" i="36"/>
  <c r="G134" i="36" s="1"/>
  <c r="G182" i="36" s="1"/>
  <c r="G236" i="36" s="1"/>
  <c r="F110" i="63" s="1"/>
  <c r="G106" i="36"/>
  <c r="G132" i="36" s="1"/>
  <c r="G180" i="36" s="1"/>
  <c r="G234" i="36" s="1"/>
  <c r="F108" i="63" s="1"/>
  <c r="G105" i="36"/>
  <c r="G131" i="36" s="1"/>
  <c r="G179" i="36" s="1"/>
  <c r="G233" i="36" s="1"/>
  <c r="F107" i="63" s="1"/>
  <c r="G113" i="36"/>
  <c r="G139" i="36" s="1"/>
  <c r="G187" i="36" s="1"/>
  <c r="G241" i="36" s="1"/>
  <c r="F115" i="63" s="1"/>
  <c r="G111" i="36"/>
  <c r="G137" i="36" s="1"/>
  <c r="G185" i="36" s="1"/>
  <c r="G239" i="36" s="1"/>
  <c r="F113" i="63" s="1"/>
  <c r="G103" i="36"/>
  <c r="G129" i="36" s="1"/>
  <c r="G116" i="36"/>
  <c r="G142" i="36" s="1"/>
  <c r="G190" i="36" s="1"/>
  <c r="G244" i="36" s="1"/>
  <c r="F118" i="63" s="1"/>
  <c r="G119" i="36"/>
  <c r="G145" i="36" s="1"/>
  <c r="G193" i="36" s="1"/>
  <c r="G247" i="36" s="1"/>
  <c r="F121" i="63" s="1"/>
  <c r="G118" i="36"/>
  <c r="G144" i="36" s="1"/>
  <c r="G192" i="36" s="1"/>
  <c r="G246" i="36" s="1"/>
  <c r="F120" i="63" s="1"/>
  <c r="G114" i="36"/>
  <c r="G140" i="36" s="1"/>
  <c r="G188" i="36" s="1"/>
  <c r="G242" i="36" s="1"/>
  <c r="F116" i="63" s="1"/>
  <c r="M111" i="36"/>
  <c r="M137" i="36" s="1"/>
  <c r="M185" i="36" s="1"/>
  <c r="M239" i="36" s="1"/>
  <c r="L113" i="63" s="1"/>
  <c r="M115" i="36"/>
  <c r="M141" i="36" s="1"/>
  <c r="M189" i="36" s="1"/>
  <c r="M243" i="36" s="1"/>
  <c r="L117" i="63" s="1"/>
  <c r="M103" i="36"/>
  <c r="M129" i="36" s="1"/>
  <c r="M113" i="36"/>
  <c r="M139" i="36" s="1"/>
  <c r="M187" i="36" s="1"/>
  <c r="M241" i="36" s="1"/>
  <c r="L115" i="63" s="1"/>
  <c r="M108" i="36"/>
  <c r="M134" i="36" s="1"/>
  <c r="M182" i="36" s="1"/>
  <c r="M236" i="36" s="1"/>
  <c r="L110" i="63" s="1"/>
  <c r="M118" i="36"/>
  <c r="M144" i="36" s="1"/>
  <c r="M192" i="36" s="1"/>
  <c r="M246" i="36" s="1"/>
  <c r="L120" i="63" s="1"/>
  <c r="M107" i="36"/>
  <c r="M133" i="36" s="1"/>
  <c r="M181" i="36" s="1"/>
  <c r="M235" i="36" s="1"/>
  <c r="L109" i="63" s="1"/>
  <c r="M112" i="36"/>
  <c r="M138" i="36" s="1"/>
  <c r="M186" i="36" s="1"/>
  <c r="M240" i="36" s="1"/>
  <c r="L114" i="63" s="1"/>
  <c r="M120" i="36"/>
  <c r="M146" i="36" s="1"/>
  <c r="M194" i="36" s="1"/>
  <c r="M248" i="36" s="1"/>
  <c r="L122" i="63" s="1"/>
  <c r="M109" i="36"/>
  <c r="M135" i="36" s="1"/>
  <c r="M183" i="36" s="1"/>
  <c r="M237" i="36" s="1"/>
  <c r="L111" i="63" s="1"/>
  <c r="M119" i="36"/>
  <c r="M145" i="36" s="1"/>
  <c r="M193" i="36" s="1"/>
  <c r="M247" i="36" s="1"/>
  <c r="L121" i="63" s="1"/>
  <c r="M110" i="36"/>
  <c r="M136" i="36" s="1"/>
  <c r="M184" i="36" s="1"/>
  <c r="M238" i="36" s="1"/>
  <c r="L112" i="63" s="1"/>
  <c r="M104" i="36"/>
  <c r="M130" i="36" s="1"/>
  <c r="M178" i="36" s="1"/>
  <c r="M232" i="36" s="1"/>
  <c r="L106" i="63" s="1"/>
  <c r="M114" i="36"/>
  <c r="M140" i="36" s="1"/>
  <c r="M188" i="36" s="1"/>
  <c r="M242" i="36" s="1"/>
  <c r="L116" i="63" s="1"/>
  <c r="M105" i="36"/>
  <c r="M131" i="36" s="1"/>
  <c r="M179" i="36" s="1"/>
  <c r="M233" i="36" s="1"/>
  <c r="L107" i="63" s="1"/>
  <c r="M106" i="36"/>
  <c r="M132" i="36" s="1"/>
  <c r="M180" i="36" s="1"/>
  <c r="M234" i="36" s="1"/>
  <c r="L108" i="63" s="1"/>
  <c r="M116" i="36"/>
  <c r="M142" i="36" s="1"/>
  <c r="M190" i="36" s="1"/>
  <c r="M244" i="36" s="1"/>
  <c r="L118" i="63" s="1"/>
  <c r="M117" i="36"/>
  <c r="M143" i="36" s="1"/>
  <c r="M191" i="36" s="1"/>
  <c r="M245" i="36" s="1"/>
  <c r="L119" i="63" s="1"/>
  <c r="E119" i="36"/>
  <c r="E145" i="36" s="1"/>
  <c r="E193" i="36" s="1"/>
  <c r="E247" i="36" s="1"/>
  <c r="D121" i="63" s="1"/>
  <c r="E109" i="36"/>
  <c r="E135" i="36" s="1"/>
  <c r="E183" i="36" s="1"/>
  <c r="E237" i="36" s="1"/>
  <c r="D111" i="63" s="1"/>
  <c r="E116" i="36"/>
  <c r="E142" i="36" s="1"/>
  <c r="E190" i="36" s="1"/>
  <c r="E244" i="36" s="1"/>
  <c r="D118" i="63" s="1"/>
  <c r="E115" i="36"/>
  <c r="E141" i="36" s="1"/>
  <c r="E189" i="36" s="1"/>
  <c r="E243" i="36" s="1"/>
  <c r="D117" i="63" s="1"/>
  <c r="E110" i="36"/>
  <c r="E136" i="36" s="1"/>
  <c r="E184" i="36" s="1"/>
  <c r="E238" i="36" s="1"/>
  <c r="D112" i="63" s="1"/>
  <c r="E103" i="36"/>
  <c r="E129" i="36" s="1"/>
  <c r="E111" i="36"/>
  <c r="E137" i="36" s="1"/>
  <c r="E185" i="36" s="1"/>
  <c r="E239" i="36" s="1"/>
  <c r="D113" i="63" s="1"/>
  <c r="E104" i="36"/>
  <c r="E130" i="36" s="1"/>
  <c r="E178" i="36" s="1"/>
  <c r="E232" i="36" s="1"/>
  <c r="D106" i="63" s="1"/>
  <c r="E106" i="36"/>
  <c r="E132" i="36" s="1"/>
  <c r="E180" i="36" s="1"/>
  <c r="E234" i="36" s="1"/>
  <c r="D108" i="63" s="1"/>
  <c r="E117" i="36"/>
  <c r="E143" i="36" s="1"/>
  <c r="E191" i="36" s="1"/>
  <c r="E245" i="36" s="1"/>
  <c r="D119" i="63" s="1"/>
  <c r="E108" i="36"/>
  <c r="E134" i="36" s="1"/>
  <c r="E182" i="36" s="1"/>
  <c r="E236" i="36" s="1"/>
  <c r="D110" i="63" s="1"/>
  <c r="E112" i="36"/>
  <c r="E138" i="36" s="1"/>
  <c r="E186" i="36" s="1"/>
  <c r="E240" i="36" s="1"/>
  <c r="D114" i="63" s="1"/>
  <c r="E105" i="36"/>
  <c r="E131" i="36" s="1"/>
  <c r="E179" i="36" s="1"/>
  <c r="E233" i="36" s="1"/>
  <c r="D107" i="63" s="1"/>
  <c r="E113" i="36"/>
  <c r="E139" i="36" s="1"/>
  <c r="E187" i="36" s="1"/>
  <c r="E241" i="36" s="1"/>
  <c r="D115" i="63" s="1"/>
  <c r="E118" i="36"/>
  <c r="E144" i="36" s="1"/>
  <c r="E192" i="36" s="1"/>
  <c r="E246" i="36" s="1"/>
  <c r="D120" i="63" s="1"/>
  <c r="E107" i="36"/>
  <c r="E133" i="36" s="1"/>
  <c r="E181" i="36" s="1"/>
  <c r="E235" i="36" s="1"/>
  <c r="D109" i="63" s="1"/>
  <c r="E114" i="36"/>
  <c r="E140" i="36" s="1"/>
  <c r="E188" i="36" s="1"/>
  <c r="E242" i="36" s="1"/>
  <c r="D116" i="63" s="1"/>
  <c r="E120" i="36"/>
  <c r="E146" i="36" s="1"/>
  <c r="E194" i="36" s="1"/>
  <c r="E248" i="36" s="1"/>
  <c r="D122" i="63" s="1"/>
  <c r="K107" i="36"/>
  <c r="K133" i="36" s="1"/>
  <c r="K181" i="36" s="1"/>
  <c r="K235" i="36" s="1"/>
  <c r="J109" i="63" s="1"/>
  <c r="K118" i="36"/>
  <c r="K144" i="36" s="1"/>
  <c r="K114" i="36"/>
  <c r="K140" i="36" s="1"/>
  <c r="K188" i="36" s="1"/>
  <c r="K242" i="36" s="1"/>
  <c r="J116" i="63" s="1"/>
  <c r="K104" i="36"/>
  <c r="K130" i="36" s="1"/>
  <c r="K178" i="36" s="1"/>
  <c r="K232" i="36" s="1"/>
  <c r="J106" i="63" s="1"/>
  <c r="K112" i="36"/>
  <c r="K138" i="36" s="1"/>
  <c r="K186" i="36" s="1"/>
  <c r="K240" i="36" s="1"/>
  <c r="J114" i="63" s="1"/>
  <c r="K116" i="36"/>
  <c r="K142" i="36" s="1"/>
  <c r="K190" i="36" s="1"/>
  <c r="K244" i="36" s="1"/>
  <c r="J118" i="63" s="1"/>
  <c r="K108" i="36"/>
  <c r="K134" i="36" s="1"/>
  <c r="K182" i="36" s="1"/>
  <c r="K236" i="36" s="1"/>
  <c r="J110" i="63" s="1"/>
  <c r="K106" i="36"/>
  <c r="K132" i="36" s="1"/>
  <c r="K180" i="36" s="1"/>
  <c r="K234" i="36" s="1"/>
  <c r="J108" i="63" s="1"/>
  <c r="K113" i="36"/>
  <c r="K139" i="36" s="1"/>
  <c r="K187" i="36" s="1"/>
  <c r="K241" i="36" s="1"/>
  <c r="J115" i="63" s="1"/>
  <c r="K109" i="36"/>
  <c r="K135" i="36" s="1"/>
  <c r="K183" i="36" s="1"/>
  <c r="K237" i="36" s="1"/>
  <c r="J111" i="63" s="1"/>
  <c r="K111" i="36"/>
  <c r="K137" i="36" s="1"/>
  <c r="K185" i="36" s="1"/>
  <c r="K239" i="36" s="1"/>
  <c r="J113" i="63" s="1"/>
  <c r="K120" i="36"/>
  <c r="K146" i="36" s="1"/>
  <c r="K194" i="36" s="1"/>
  <c r="K248" i="36" s="1"/>
  <c r="J122" i="63" s="1"/>
  <c r="K115" i="36"/>
  <c r="K141" i="36" s="1"/>
  <c r="K189" i="36" s="1"/>
  <c r="K243" i="36" s="1"/>
  <c r="J117" i="63" s="1"/>
  <c r="K105" i="36"/>
  <c r="K131" i="36" s="1"/>
  <c r="K179" i="36" s="1"/>
  <c r="K233" i="36" s="1"/>
  <c r="J107" i="63" s="1"/>
  <c r="K119" i="36"/>
  <c r="K145" i="36" s="1"/>
  <c r="K110" i="36"/>
  <c r="K136" i="36" s="1"/>
  <c r="K184" i="36" s="1"/>
  <c r="K238" i="36" s="1"/>
  <c r="J112" i="63" s="1"/>
  <c r="K117" i="36"/>
  <c r="K143" i="36" s="1"/>
  <c r="K191" i="36" s="1"/>
  <c r="K245" i="36" s="1"/>
  <c r="J119" i="63" s="1"/>
  <c r="K103" i="36"/>
  <c r="K129" i="36" s="1"/>
  <c r="C234" i="63" l="1"/>
  <c r="C235" i="63"/>
  <c r="AY240" i="36"/>
  <c r="AY236" i="36"/>
  <c r="AY244" i="36"/>
  <c r="AY241" i="36"/>
  <c r="AY239" i="36"/>
  <c r="AY237" i="36"/>
  <c r="AY238" i="36"/>
  <c r="AY232" i="36"/>
  <c r="AY246" i="36"/>
  <c r="BA163" i="36"/>
  <c r="BA211" i="36" s="1"/>
  <c r="BA165" i="36"/>
  <c r="BA213" i="36" s="1"/>
  <c r="BA153" i="36"/>
  <c r="BA201" i="36" s="1"/>
  <c r="BA157" i="36"/>
  <c r="BA205" i="36" s="1"/>
  <c r="BA160" i="36"/>
  <c r="BA208" i="36" s="1"/>
  <c r="BA152" i="36"/>
  <c r="BA200" i="36" s="1"/>
  <c r="BA158" i="36"/>
  <c r="BA206" i="36" s="1"/>
  <c r="AZ15" i="36"/>
  <c r="BA168" i="36"/>
  <c r="BA216" i="36" s="1"/>
  <c r="BA166" i="36"/>
  <c r="BA214" i="36" s="1"/>
  <c r="BA159" i="36"/>
  <c r="BA207" i="36" s="1"/>
  <c r="BA155" i="36"/>
  <c r="BA203" i="36" s="1"/>
  <c r="BA167" i="36"/>
  <c r="BA215" i="36" s="1"/>
  <c r="BA161" i="36"/>
  <c r="BA209" i="36" s="1"/>
  <c r="BA162" i="36"/>
  <c r="BA210" i="36" s="1"/>
  <c r="BA164" i="36"/>
  <c r="BA212" i="36" s="1"/>
  <c r="BA154" i="36"/>
  <c r="BA202" i="36" s="1"/>
  <c r="BA151" i="36"/>
  <c r="BA156" i="36"/>
  <c r="BA204" i="36" s="1"/>
  <c r="AY177" i="36"/>
  <c r="AY147" i="36"/>
  <c r="AY235" i="36"/>
  <c r="AZ169" i="36"/>
  <c r="AZ199" i="36"/>
  <c r="AY242" i="36"/>
  <c r="BA15" i="36"/>
  <c r="BB163" i="36"/>
  <c r="BB211" i="36" s="1"/>
  <c r="BB167" i="36"/>
  <c r="BB215" i="36" s="1"/>
  <c r="BB153" i="36"/>
  <c r="BB201" i="36" s="1"/>
  <c r="BB157" i="36"/>
  <c r="BB205" i="36" s="1"/>
  <c r="BB158" i="36"/>
  <c r="BB206" i="36" s="1"/>
  <c r="BB161" i="36"/>
  <c r="BB209" i="36" s="1"/>
  <c r="BB159" i="36"/>
  <c r="BB207" i="36" s="1"/>
  <c r="BB168" i="36"/>
  <c r="BB216" i="36" s="1"/>
  <c r="BB165" i="36"/>
  <c r="BB213" i="36" s="1"/>
  <c r="BB156" i="36"/>
  <c r="BB204" i="36" s="1"/>
  <c r="BB155" i="36"/>
  <c r="BB203" i="36" s="1"/>
  <c r="BB164" i="36"/>
  <c r="BB212" i="36" s="1"/>
  <c r="BB162" i="36"/>
  <c r="BB210" i="36" s="1"/>
  <c r="BB166" i="36"/>
  <c r="BB214" i="36" s="1"/>
  <c r="BB154" i="36"/>
  <c r="BB202" i="36" s="1"/>
  <c r="BB151" i="36"/>
  <c r="BB160" i="36"/>
  <c r="BB208" i="36" s="1"/>
  <c r="BB152" i="36"/>
  <c r="BB200" i="36" s="1"/>
  <c r="AZ17" i="39"/>
  <c r="AZ18" i="39" s="1"/>
  <c r="AZ24" i="39" s="1"/>
  <c r="BA98" i="39" s="1"/>
  <c r="AZ13" i="36"/>
  <c r="BA17" i="39"/>
  <c r="BA18" i="39" s="1"/>
  <c r="BA24" i="39" s="1"/>
  <c r="BA13" i="36"/>
  <c r="AY233" i="36"/>
  <c r="AY243" i="36"/>
  <c r="AZ97" i="39"/>
  <c r="AZ101" i="39" s="1"/>
  <c r="AZ84" i="36" s="1"/>
  <c r="BA97" i="39"/>
  <c r="AY199" i="36"/>
  <c r="AY169" i="36"/>
  <c r="AY234" i="36"/>
  <c r="AZ105" i="36"/>
  <c r="AZ131" i="36" s="1"/>
  <c r="AZ179" i="36" s="1"/>
  <c r="AZ233" i="36" s="1"/>
  <c r="AZ109" i="36"/>
  <c r="AZ135" i="36" s="1"/>
  <c r="AZ183" i="36" s="1"/>
  <c r="AZ237" i="36" s="1"/>
  <c r="AZ113" i="36"/>
  <c r="AZ139" i="36" s="1"/>
  <c r="AZ187" i="36" s="1"/>
  <c r="AZ241" i="36" s="1"/>
  <c r="AZ117" i="36"/>
  <c r="AZ143" i="36" s="1"/>
  <c r="AZ191" i="36" s="1"/>
  <c r="AZ245" i="36" s="1"/>
  <c r="AZ106" i="36"/>
  <c r="AZ132" i="36" s="1"/>
  <c r="AZ180" i="36" s="1"/>
  <c r="AZ234" i="36" s="1"/>
  <c r="AZ110" i="36"/>
  <c r="AZ136" i="36" s="1"/>
  <c r="AZ184" i="36" s="1"/>
  <c r="AZ238" i="36" s="1"/>
  <c r="AZ114" i="36"/>
  <c r="AZ140" i="36" s="1"/>
  <c r="AZ188" i="36" s="1"/>
  <c r="AZ242" i="36" s="1"/>
  <c r="AZ118" i="36"/>
  <c r="AZ144" i="36" s="1"/>
  <c r="AZ192" i="36" s="1"/>
  <c r="AZ246" i="36" s="1"/>
  <c r="AZ119" i="36"/>
  <c r="AZ145" i="36" s="1"/>
  <c r="AZ193" i="36" s="1"/>
  <c r="AZ247" i="36" s="1"/>
  <c r="AZ104" i="36"/>
  <c r="AZ130" i="36" s="1"/>
  <c r="AZ178" i="36" s="1"/>
  <c r="AZ232" i="36" s="1"/>
  <c r="AZ108" i="36"/>
  <c r="AZ134" i="36" s="1"/>
  <c r="AZ182" i="36" s="1"/>
  <c r="AZ236" i="36" s="1"/>
  <c r="AZ112" i="36"/>
  <c r="AZ138" i="36" s="1"/>
  <c r="AZ186" i="36" s="1"/>
  <c r="AZ240" i="36" s="1"/>
  <c r="AZ120" i="36"/>
  <c r="AZ146" i="36" s="1"/>
  <c r="AZ194" i="36" s="1"/>
  <c r="AZ248" i="36" s="1"/>
  <c r="AZ103" i="36"/>
  <c r="AZ129" i="36" s="1"/>
  <c r="AZ107" i="36"/>
  <c r="AZ133" i="36" s="1"/>
  <c r="AZ181" i="36" s="1"/>
  <c r="AZ235" i="36" s="1"/>
  <c r="AZ111" i="36"/>
  <c r="AZ137" i="36" s="1"/>
  <c r="AZ185" i="36" s="1"/>
  <c r="AZ239" i="36" s="1"/>
  <c r="AZ115" i="36"/>
  <c r="AZ141" i="36" s="1"/>
  <c r="AZ189" i="36" s="1"/>
  <c r="AZ243" i="36" s="1"/>
  <c r="AZ116" i="36"/>
  <c r="AZ142" i="36" s="1"/>
  <c r="AZ190" i="36" s="1"/>
  <c r="AZ244" i="36" s="1"/>
  <c r="C297" i="47"/>
  <c r="H297" i="47" s="1"/>
  <c r="H301" i="47" s="1"/>
  <c r="H313" i="47" s="1"/>
  <c r="F229" i="63"/>
  <c r="H233" i="63"/>
  <c r="E238" i="63"/>
  <c r="C123" i="63"/>
  <c r="L230" i="63"/>
  <c r="G236" i="63"/>
  <c r="G237" i="63"/>
  <c r="H228" i="63"/>
  <c r="M229" i="63"/>
  <c r="M238" i="63"/>
  <c r="M230" i="63"/>
  <c r="K233" i="63"/>
  <c r="K238" i="63"/>
  <c r="L228" i="63"/>
  <c r="L232" i="63"/>
  <c r="F228" i="63"/>
  <c r="G231" i="63"/>
  <c r="E231" i="63"/>
  <c r="I232" i="63"/>
  <c r="K236" i="63"/>
  <c r="F230" i="63"/>
  <c r="G232" i="63"/>
  <c r="E229" i="63"/>
  <c r="I238" i="63"/>
  <c r="L229" i="63"/>
  <c r="L231" i="63"/>
  <c r="F232" i="63"/>
  <c r="F233" i="63"/>
  <c r="H229" i="63"/>
  <c r="H231" i="63"/>
  <c r="E228" i="63"/>
  <c r="I236" i="63"/>
  <c r="M231" i="63"/>
  <c r="M233" i="63"/>
  <c r="M237" i="63"/>
  <c r="M232" i="63"/>
  <c r="K228" i="63"/>
  <c r="K230" i="63"/>
  <c r="K229" i="63"/>
  <c r="J231" i="63"/>
  <c r="H238" i="63"/>
  <c r="M228" i="63"/>
  <c r="K232" i="63"/>
  <c r="L237" i="63"/>
  <c r="F238" i="63"/>
  <c r="G229" i="63"/>
  <c r="G238" i="63"/>
  <c r="G233" i="63"/>
  <c r="H230" i="63"/>
  <c r="I230" i="63"/>
  <c r="I233" i="63"/>
  <c r="M236" i="63"/>
  <c r="M234" i="63"/>
  <c r="K237" i="63"/>
  <c r="D74" i="37"/>
  <c r="D78" i="37"/>
  <c r="E97" i="37"/>
  <c r="D83" i="37"/>
  <c r="E96" i="37"/>
  <c r="D77" i="37"/>
  <c r="F242" i="43"/>
  <c r="E242" i="43"/>
  <c r="E99" i="37"/>
  <c r="J228" i="63"/>
  <c r="N242" i="43"/>
  <c r="H242" i="43"/>
  <c r="G22" i="37" s="1"/>
  <c r="J229" i="63"/>
  <c r="G61" i="45" s="1"/>
  <c r="G242" i="43"/>
  <c r="L242" i="43"/>
  <c r="K22" i="37" s="1"/>
  <c r="M242" i="43"/>
  <c r="E59" i="37"/>
  <c r="D71" i="37" s="1"/>
  <c r="J236" i="63"/>
  <c r="I242" i="43"/>
  <c r="H22" i="37" s="1"/>
  <c r="D48" i="37"/>
  <c r="K193" i="36"/>
  <c r="K247" i="36" s="1"/>
  <c r="J121" i="63" s="1"/>
  <c r="K192" i="36"/>
  <c r="K246" i="36" s="1"/>
  <c r="J120" i="63" s="1"/>
  <c r="J242" i="43"/>
  <c r="I22" i="37" s="1"/>
  <c r="E44" i="37"/>
  <c r="I177" i="36"/>
  <c r="I231" i="36" s="1"/>
  <c r="H105" i="63" s="1"/>
  <c r="I147" i="36"/>
  <c r="F147" i="36"/>
  <c r="F177" i="36"/>
  <c r="F231" i="36" s="1"/>
  <c r="E105" i="63" s="1"/>
  <c r="E177" i="36"/>
  <c r="E231" i="36" s="1"/>
  <c r="D105" i="63" s="1"/>
  <c r="E147" i="36"/>
  <c r="G177" i="36"/>
  <c r="G231" i="36" s="1"/>
  <c r="F105" i="63" s="1"/>
  <c r="G147" i="36"/>
  <c r="M177" i="36"/>
  <c r="M231" i="36" s="1"/>
  <c r="L105" i="63" s="1"/>
  <c r="M147" i="36"/>
  <c r="N177" i="36"/>
  <c r="N231" i="36" s="1"/>
  <c r="M105" i="63" s="1"/>
  <c r="N147" i="36"/>
  <c r="K147" i="36"/>
  <c r="K177" i="36"/>
  <c r="K231" i="36" s="1"/>
  <c r="J105" i="63" s="1"/>
  <c r="D255" i="36"/>
  <c r="D257" i="36" s="1"/>
  <c r="J177" i="36"/>
  <c r="J231" i="36" s="1"/>
  <c r="I105" i="63" s="1"/>
  <c r="J147" i="36"/>
  <c r="L177" i="36"/>
  <c r="L231" i="36" s="1"/>
  <c r="K105" i="63" s="1"/>
  <c r="L147" i="36"/>
  <c r="H177" i="36"/>
  <c r="H231" i="36" s="1"/>
  <c r="G105" i="63" s="1"/>
  <c r="H147" i="36"/>
  <c r="G60" i="45" l="1"/>
  <c r="E60" i="45" s="1"/>
  <c r="C26" i="67" s="1"/>
  <c r="C63" i="67" s="1"/>
  <c r="F234" i="63"/>
  <c r="E61" i="45"/>
  <c r="C27" i="67" s="1"/>
  <c r="C64" i="67" s="1"/>
  <c r="J235" i="63"/>
  <c r="H235" i="63"/>
  <c r="H234" i="63"/>
  <c r="F235" i="63"/>
  <c r="C239" i="63"/>
  <c r="J232" i="63"/>
  <c r="J230" i="63"/>
  <c r="E230" i="63"/>
  <c r="L236" i="63"/>
  <c r="L54" i="67" s="1"/>
  <c r="D231" i="63"/>
  <c r="D49" i="67" s="1"/>
  <c r="G230" i="63"/>
  <c r="H48" i="67" s="1"/>
  <c r="D234" i="63"/>
  <c r="D52" i="67" s="1"/>
  <c r="F231" i="63"/>
  <c r="F49" i="67" s="1"/>
  <c r="I235" i="63"/>
  <c r="D230" i="63"/>
  <c r="D48" i="67" s="1"/>
  <c r="G234" i="63"/>
  <c r="K235" i="63"/>
  <c r="I237" i="63"/>
  <c r="J233" i="63"/>
  <c r="J234" i="63"/>
  <c r="H232" i="63"/>
  <c r="I50" i="67" s="1"/>
  <c r="L233" i="63"/>
  <c r="L51" i="67" s="1"/>
  <c r="D228" i="63"/>
  <c r="E46" i="67" s="1"/>
  <c r="K234" i="63"/>
  <c r="E235" i="63"/>
  <c r="G235" i="63"/>
  <c r="D229" i="63"/>
  <c r="D47" i="67" s="1"/>
  <c r="L234" i="63"/>
  <c r="D237" i="63"/>
  <c r="D55" i="67" s="1"/>
  <c r="E234" i="63"/>
  <c r="M235" i="63"/>
  <c r="H236" i="63"/>
  <c r="I54" i="67" s="1"/>
  <c r="G228" i="63"/>
  <c r="G46" i="67" s="1"/>
  <c r="I229" i="63"/>
  <c r="J47" i="67" s="1"/>
  <c r="K231" i="63"/>
  <c r="K49" i="67" s="1"/>
  <c r="I231" i="63"/>
  <c r="J49" i="67" s="1"/>
  <c r="F236" i="63"/>
  <c r="G54" i="67" s="1"/>
  <c r="E232" i="63"/>
  <c r="F50" i="67" s="1"/>
  <c r="L238" i="63"/>
  <c r="L56" i="67" s="1"/>
  <c r="E236" i="63"/>
  <c r="H237" i="63"/>
  <c r="H55" i="67" s="1"/>
  <c r="D236" i="63"/>
  <c r="D54" i="67" s="1"/>
  <c r="D235" i="63"/>
  <c r="D53" i="67" s="1"/>
  <c r="I234" i="63"/>
  <c r="E233" i="63"/>
  <c r="F51" i="67" s="1"/>
  <c r="F237" i="63"/>
  <c r="G55" i="67" s="1"/>
  <c r="D238" i="63"/>
  <c r="E56" i="67" s="1"/>
  <c r="E237" i="63"/>
  <c r="D233" i="63"/>
  <c r="D51" i="67" s="1"/>
  <c r="L235" i="63"/>
  <c r="D232" i="63"/>
  <c r="D50" i="67" s="1"/>
  <c r="I228" i="63"/>
  <c r="I46" i="67" s="1"/>
  <c r="I56" i="67"/>
  <c r="L46" i="67"/>
  <c r="F47" i="67"/>
  <c r="L55" i="67"/>
  <c r="K46" i="67"/>
  <c r="K54" i="67"/>
  <c r="G56" i="67"/>
  <c r="G51" i="67"/>
  <c r="M49" i="67"/>
  <c r="N49" i="67"/>
  <c r="N56" i="67"/>
  <c r="H51" i="67"/>
  <c r="I51" i="67"/>
  <c r="I48" i="67"/>
  <c r="K47" i="67"/>
  <c r="M50" i="67"/>
  <c r="N50" i="67"/>
  <c r="H49" i="67"/>
  <c r="H47" i="67"/>
  <c r="L47" i="67"/>
  <c r="G50" i="67"/>
  <c r="F46" i="67"/>
  <c r="M47" i="67"/>
  <c r="N47" i="67"/>
  <c r="N51" i="67"/>
  <c r="L48" i="67"/>
  <c r="N54" i="67"/>
  <c r="J54" i="67"/>
  <c r="G47" i="67"/>
  <c r="F56" i="67"/>
  <c r="M46" i="67"/>
  <c r="N46" i="67"/>
  <c r="H56" i="67"/>
  <c r="M55" i="67"/>
  <c r="N55" i="67"/>
  <c r="L50" i="67"/>
  <c r="M48" i="67"/>
  <c r="N48" i="67"/>
  <c r="C124" i="63"/>
  <c r="AY231" i="36"/>
  <c r="AY250" i="36" s="1"/>
  <c r="AY252" i="36" s="1"/>
  <c r="BA101" i="39"/>
  <c r="BA84" i="36" s="1"/>
  <c r="BB111" i="36" s="1"/>
  <c r="BB137" i="36" s="1"/>
  <c r="BB185" i="36" s="1"/>
  <c r="BB239" i="36" s="1"/>
  <c r="AZ147" i="36"/>
  <c r="AZ177" i="36"/>
  <c r="AZ231" i="36" s="1"/>
  <c r="AZ250" i="36" s="1"/>
  <c r="BB199" i="36"/>
  <c r="BB169" i="36"/>
  <c r="BA169" i="36"/>
  <c r="BA199" i="36"/>
  <c r="BA103" i="36"/>
  <c r="BA129" i="36" s="1"/>
  <c r="BA107" i="36"/>
  <c r="BA133" i="36" s="1"/>
  <c r="BA181" i="36" s="1"/>
  <c r="BA235" i="36" s="1"/>
  <c r="BA111" i="36"/>
  <c r="BA137" i="36" s="1"/>
  <c r="BA185" i="36" s="1"/>
  <c r="BA239" i="36" s="1"/>
  <c r="BA115" i="36"/>
  <c r="BA141" i="36" s="1"/>
  <c r="BA189" i="36" s="1"/>
  <c r="BA243" i="36" s="1"/>
  <c r="BA119" i="36"/>
  <c r="BA145" i="36" s="1"/>
  <c r="BA193" i="36" s="1"/>
  <c r="BA247" i="36" s="1"/>
  <c r="BA120" i="36"/>
  <c r="BA146" i="36" s="1"/>
  <c r="BA194" i="36" s="1"/>
  <c r="BA248" i="36" s="1"/>
  <c r="BA106" i="36"/>
  <c r="BA132" i="36" s="1"/>
  <c r="BA180" i="36" s="1"/>
  <c r="BA234" i="36" s="1"/>
  <c r="BA104" i="36"/>
  <c r="BA130" i="36" s="1"/>
  <c r="BA178" i="36" s="1"/>
  <c r="BA232" i="36" s="1"/>
  <c r="BA108" i="36"/>
  <c r="BA134" i="36" s="1"/>
  <c r="BA182" i="36" s="1"/>
  <c r="BA236" i="36" s="1"/>
  <c r="BA112" i="36"/>
  <c r="BA138" i="36" s="1"/>
  <c r="BA186" i="36" s="1"/>
  <c r="BA240" i="36" s="1"/>
  <c r="BA116" i="36"/>
  <c r="BA142" i="36" s="1"/>
  <c r="BA190" i="36" s="1"/>
  <c r="BA244" i="36" s="1"/>
  <c r="BA114" i="36"/>
  <c r="BA140" i="36" s="1"/>
  <c r="BA188" i="36" s="1"/>
  <c r="BA242" i="36" s="1"/>
  <c r="BA105" i="36"/>
  <c r="BA131" i="36" s="1"/>
  <c r="BA179" i="36" s="1"/>
  <c r="BA233" i="36" s="1"/>
  <c r="BA109" i="36"/>
  <c r="BA135" i="36" s="1"/>
  <c r="BA183" i="36" s="1"/>
  <c r="BA237" i="36" s="1"/>
  <c r="BA113" i="36"/>
  <c r="BA139" i="36" s="1"/>
  <c r="BA187" i="36" s="1"/>
  <c r="BA241" i="36" s="1"/>
  <c r="BA117" i="36"/>
  <c r="BA143" i="36" s="1"/>
  <c r="BA191" i="36" s="1"/>
  <c r="BA245" i="36" s="1"/>
  <c r="BA110" i="36"/>
  <c r="BA136" i="36" s="1"/>
  <c r="BA184" i="36" s="1"/>
  <c r="BA238" i="36" s="1"/>
  <c r="BA118" i="36"/>
  <c r="BA144" i="36" s="1"/>
  <c r="BA192" i="36" s="1"/>
  <c r="BA246" i="36" s="1"/>
  <c r="J227" i="63"/>
  <c r="I227" i="63"/>
  <c r="D57" i="37"/>
  <c r="C73" i="37" s="1"/>
  <c r="F73" i="37" s="1"/>
  <c r="D56" i="37"/>
  <c r="D50" i="37"/>
  <c r="C82" i="37" s="1"/>
  <c r="F82" i="37" s="1"/>
  <c r="D61" i="37"/>
  <c r="D58" i="37"/>
  <c r="C72" i="37" s="1"/>
  <c r="F72" i="37" s="1"/>
  <c r="D46" i="37"/>
  <c r="D51" i="37"/>
  <c r="D55" i="37"/>
  <c r="D54" i="37"/>
  <c r="D47" i="37"/>
  <c r="C77" i="37" s="1"/>
  <c r="F77" i="37" s="1"/>
  <c r="D53" i="37"/>
  <c r="D52" i="37"/>
  <c r="C81" i="37" s="1"/>
  <c r="F81" i="37" s="1"/>
  <c r="D49" i="37"/>
  <c r="C78" i="37" s="1"/>
  <c r="F78" i="37" s="1"/>
  <c r="D45" i="37"/>
  <c r="K242" i="43"/>
  <c r="J22" i="37" s="1"/>
  <c r="T29" i="37" s="1"/>
  <c r="D22" i="37"/>
  <c r="E244" i="43"/>
  <c r="M22" i="37"/>
  <c r="N244" i="43"/>
  <c r="O244" i="43"/>
  <c r="L22" i="37"/>
  <c r="M244" i="43"/>
  <c r="C80" i="37"/>
  <c r="F80" i="37" s="1"/>
  <c r="E22" i="37"/>
  <c r="F244" i="43"/>
  <c r="F22" i="37"/>
  <c r="G244" i="43"/>
  <c r="H244" i="43"/>
  <c r="E60" i="37"/>
  <c r="D79" i="37" s="1"/>
  <c r="L227" i="63"/>
  <c r="H227" i="63"/>
  <c r="I244" i="43"/>
  <c r="G227" i="63"/>
  <c r="K227" i="63"/>
  <c r="M227" i="63"/>
  <c r="F227" i="63"/>
  <c r="C301" i="47"/>
  <c r="C313" i="47" s="1"/>
  <c r="C76" i="37"/>
  <c r="F76" i="37" s="1"/>
  <c r="J244" i="43"/>
  <c r="D75" i="37"/>
  <c r="J250" i="36"/>
  <c r="I24" i="37" s="1"/>
  <c r="D44" i="37"/>
  <c r="C25" i="37"/>
  <c r="G52" i="67" l="1"/>
  <c r="G62" i="45"/>
  <c r="E62" i="45" s="1"/>
  <c r="C28" i="67" s="1"/>
  <c r="C65" i="67" s="1"/>
  <c r="G65" i="45"/>
  <c r="G63" i="45"/>
  <c r="E63" i="45" s="1"/>
  <c r="C29" i="67" s="1"/>
  <c r="C66" i="67" s="1"/>
  <c r="G66" i="45"/>
  <c r="E66" i="45" s="1"/>
  <c r="C32" i="67" s="1"/>
  <c r="C69" i="67" s="1"/>
  <c r="K53" i="67"/>
  <c r="G67" i="45"/>
  <c r="E67" i="45" s="1"/>
  <c r="C33" i="67" s="1"/>
  <c r="C70" i="67" s="1"/>
  <c r="BB113" i="36"/>
  <c r="BB139" i="36" s="1"/>
  <c r="BB187" i="36" s="1"/>
  <c r="BB241" i="36" s="1"/>
  <c r="E49" i="67"/>
  <c r="H46" i="67"/>
  <c r="G64" i="45"/>
  <c r="E64" i="45" s="1"/>
  <c r="C30" i="67" s="1"/>
  <c r="C67" i="67" s="1"/>
  <c r="G68" i="45"/>
  <c r="E68" i="45" s="1"/>
  <c r="C34" i="67" s="1"/>
  <c r="C71" i="67" s="1"/>
  <c r="BB106" i="36"/>
  <c r="BB132" i="36" s="1"/>
  <c r="BB180" i="36" s="1"/>
  <c r="BB234" i="36" s="1"/>
  <c r="BB108" i="36"/>
  <c r="BB134" i="36" s="1"/>
  <c r="BB182" i="36" s="1"/>
  <c r="BB236" i="36" s="1"/>
  <c r="BB115" i="36"/>
  <c r="BB141" i="36" s="1"/>
  <c r="BB189" i="36" s="1"/>
  <c r="BB243" i="36" s="1"/>
  <c r="E55" i="67"/>
  <c r="E47" i="67"/>
  <c r="K50" i="67"/>
  <c r="M51" i="67"/>
  <c r="K51" i="67"/>
  <c r="K48" i="67"/>
  <c r="I52" i="67"/>
  <c r="E65" i="45"/>
  <c r="C31" i="67" s="1"/>
  <c r="C68" i="67" s="1"/>
  <c r="F53" i="67"/>
  <c r="L49" i="67"/>
  <c r="E48" i="67"/>
  <c r="J51" i="67"/>
  <c r="J48" i="67"/>
  <c r="J50" i="67"/>
  <c r="L52" i="67"/>
  <c r="J52" i="67"/>
  <c r="J46" i="67"/>
  <c r="F55" i="67"/>
  <c r="E52" i="67"/>
  <c r="M56" i="67"/>
  <c r="F54" i="67"/>
  <c r="G53" i="67"/>
  <c r="F48" i="67"/>
  <c r="E54" i="67"/>
  <c r="I55" i="67"/>
  <c r="M54" i="67"/>
  <c r="D56" i="67"/>
  <c r="E51" i="67"/>
  <c r="E50" i="67"/>
  <c r="I49" i="67"/>
  <c r="I47" i="67"/>
  <c r="D64" i="67" s="1"/>
  <c r="H54" i="67"/>
  <c r="D46" i="67"/>
  <c r="D63" i="67" s="1"/>
  <c r="G48" i="67"/>
  <c r="J237" i="63"/>
  <c r="G69" i="45" s="1"/>
  <c r="G49" i="67"/>
  <c r="H50" i="67"/>
  <c r="E227" i="63"/>
  <c r="G59" i="45" s="1"/>
  <c r="E59" i="45" s="1"/>
  <c r="C25" i="67" s="1"/>
  <c r="C62" i="67" s="1"/>
  <c r="D227" i="63"/>
  <c r="D45" i="67" s="1"/>
  <c r="G45" i="67"/>
  <c r="L53" i="67"/>
  <c r="K52" i="67"/>
  <c r="K45" i="67"/>
  <c r="H123" i="63"/>
  <c r="H239" i="63" s="1"/>
  <c r="H45" i="67"/>
  <c r="J45" i="67"/>
  <c r="M52" i="67"/>
  <c r="N52" i="67"/>
  <c r="H53" i="67"/>
  <c r="I53" i="67"/>
  <c r="F52" i="67"/>
  <c r="M53" i="67"/>
  <c r="N53" i="67"/>
  <c r="H52" i="67"/>
  <c r="L45" i="67"/>
  <c r="M45" i="67"/>
  <c r="N45" i="67"/>
  <c r="E53" i="67"/>
  <c r="J53" i="67"/>
  <c r="BB114" i="36"/>
  <c r="BB140" i="36" s="1"/>
  <c r="BB188" i="36" s="1"/>
  <c r="BB242" i="36" s="1"/>
  <c r="BB105" i="36"/>
  <c r="BB131" i="36" s="1"/>
  <c r="BB179" i="36" s="1"/>
  <c r="BB233" i="36" s="1"/>
  <c r="BB116" i="36"/>
  <c r="BB142" i="36" s="1"/>
  <c r="BB190" i="36" s="1"/>
  <c r="BB244" i="36" s="1"/>
  <c r="BB110" i="36"/>
  <c r="BB136" i="36" s="1"/>
  <c r="BB184" i="36" s="1"/>
  <c r="BB238" i="36" s="1"/>
  <c r="BB107" i="36"/>
  <c r="BB133" i="36" s="1"/>
  <c r="BB181" i="36" s="1"/>
  <c r="BB235" i="36" s="1"/>
  <c r="BB117" i="36"/>
  <c r="BB143" i="36" s="1"/>
  <c r="BB191" i="36" s="1"/>
  <c r="BB245" i="36" s="1"/>
  <c r="BB118" i="36"/>
  <c r="BB144" i="36" s="1"/>
  <c r="BB192" i="36" s="1"/>
  <c r="BB246" i="36" s="1"/>
  <c r="BB112" i="36"/>
  <c r="BB138" i="36" s="1"/>
  <c r="BB186" i="36" s="1"/>
  <c r="BB240" i="36" s="1"/>
  <c r="BB119" i="36"/>
  <c r="BB145" i="36" s="1"/>
  <c r="BB193" i="36" s="1"/>
  <c r="BB247" i="36" s="1"/>
  <c r="BB103" i="36"/>
  <c r="BB129" i="36" s="1"/>
  <c r="BB177" i="36" s="1"/>
  <c r="BB231" i="36" s="1"/>
  <c r="BB109" i="36"/>
  <c r="BB135" i="36" s="1"/>
  <c r="BB183" i="36" s="1"/>
  <c r="BB237" i="36" s="1"/>
  <c r="BB120" i="36"/>
  <c r="BB146" i="36" s="1"/>
  <c r="BB194" i="36" s="1"/>
  <c r="BB248" i="36" s="1"/>
  <c r="BB104" i="36"/>
  <c r="BB130" i="36" s="1"/>
  <c r="BB178" i="36" s="1"/>
  <c r="BB232" i="36" s="1"/>
  <c r="AZ252" i="36"/>
  <c r="BA177" i="36"/>
  <c r="BA231" i="36" s="1"/>
  <c r="BA250" i="36" s="1"/>
  <c r="BA252" i="36" s="1"/>
  <c r="BA147" i="36"/>
  <c r="C83" i="37"/>
  <c r="F83" i="37" s="1"/>
  <c r="D97" i="37"/>
  <c r="G97" i="37" s="1"/>
  <c r="J238" i="63"/>
  <c r="G70" i="45" s="1"/>
  <c r="K123" i="63"/>
  <c r="K239" i="63" s="1"/>
  <c r="I123" i="63"/>
  <c r="I124" i="63" s="1"/>
  <c r="C39" i="63"/>
  <c r="F123" i="63"/>
  <c r="F239" i="63" s="1"/>
  <c r="E123" i="63"/>
  <c r="D123" i="63"/>
  <c r="M123" i="63"/>
  <c r="M239" i="63" s="1"/>
  <c r="G123" i="63"/>
  <c r="G239" i="63" s="1"/>
  <c r="L123" i="63"/>
  <c r="L239" i="63" s="1"/>
  <c r="C74" i="37"/>
  <c r="F74" i="37" s="1"/>
  <c r="D96" i="37"/>
  <c r="G96" i="37" s="1"/>
  <c r="D99" i="37"/>
  <c r="G99" i="37" s="1"/>
  <c r="G250" i="36"/>
  <c r="F24" i="37" s="1"/>
  <c r="F25" i="37" s="1"/>
  <c r="C110" i="37"/>
  <c r="N250" i="36"/>
  <c r="O252" i="36" s="1"/>
  <c r="H250" i="36"/>
  <c r="G24" i="37" s="1"/>
  <c r="G25" i="37" s="1"/>
  <c r="M250" i="36"/>
  <c r="L24" i="37" s="1"/>
  <c r="L25" i="37" s="1"/>
  <c r="E250" i="36"/>
  <c r="D24" i="37" s="1"/>
  <c r="D25" i="37" s="1"/>
  <c r="F250" i="36"/>
  <c r="E24" i="37" s="1"/>
  <c r="E25" i="37" s="1"/>
  <c r="L250" i="36"/>
  <c r="K24" i="37" s="1"/>
  <c r="K25" i="37" s="1"/>
  <c r="I250" i="36"/>
  <c r="H24" i="37" s="1"/>
  <c r="H25" i="37" s="1"/>
  <c r="D59" i="37"/>
  <c r="L244" i="43"/>
  <c r="E98" i="37"/>
  <c r="K250" i="36"/>
  <c r="J24" i="37" s="1"/>
  <c r="T31" i="37" s="1"/>
  <c r="T32" i="37" s="1"/>
  <c r="K244" i="43"/>
  <c r="D84" i="37"/>
  <c r="D60" i="37"/>
  <c r="C79" i="37" s="1"/>
  <c r="F79" i="37" s="1"/>
  <c r="E62" i="37"/>
  <c r="H314" i="47"/>
  <c r="I324" i="47" s="1"/>
  <c r="H337" i="47" s="1"/>
  <c r="E63" i="37"/>
  <c r="D324" i="47"/>
  <c r="C337" i="47" s="1"/>
  <c r="D322" i="47"/>
  <c r="C335" i="47" s="1"/>
  <c r="D323" i="47"/>
  <c r="C336" i="47" s="1"/>
  <c r="C75" i="37"/>
  <c r="I25" i="37"/>
  <c r="D66" i="67" l="1"/>
  <c r="E66" i="67" s="1"/>
  <c r="D71" i="67"/>
  <c r="E71" i="67" s="1"/>
  <c r="D67" i="67"/>
  <c r="D69" i="67"/>
  <c r="E63" i="67"/>
  <c r="D68" i="67"/>
  <c r="D70" i="67"/>
  <c r="D65" i="67"/>
  <c r="E64" i="67"/>
  <c r="E70" i="45"/>
  <c r="C36" i="67" s="1"/>
  <c r="C73" i="67" s="1"/>
  <c r="E69" i="45"/>
  <c r="C35" i="67" s="1"/>
  <c r="C72" i="67" s="1"/>
  <c r="J55" i="67"/>
  <c r="F45" i="67"/>
  <c r="E239" i="63"/>
  <c r="I239" i="63"/>
  <c r="D239" i="63"/>
  <c r="K55" i="67"/>
  <c r="E45" i="67"/>
  <c r="J123" i="63"/>
  <c r="J239" i="63" s="1"/>
  <c r="I45" i="67"/>
  <c r="BB250" i="36"/>
  <c r="BB252" i="36" s="1"/>
  <c r="BB147" i="36"/>
  <c r="C71" i="37"/>
  <c r="F71" i="37" s="1"/>
  <c r="E252" i="36"/>
  <c r="N252" i="36"/>
  <c r="F252" i="36"/>
  <c r="G252" i="36"/>
  <c r="I252" i="36"/>
  <c r="J252" i="36"/>
  <c r="M24" i="37"/>
  <c r="M25" i="37" s="1"/>
  <c r="L124" i="63"/>
  <c r="F39" i="63"/>
  <c r="I39" i="63"/>
  <c r="H39" i="63"/>
  <c r="E124" i="63"/>
  <c r="K124" i="63"/>
  <c r="H124" i="63"/>
  <c r="G39" i="63"/>
  <c r="L39" i="63"/>
  <c r="E39" i="63"/>
  <c r="G124" i="63"/>
  <c r="K39" i="63"/>
  <c r="D39" i="63"/>
  <c r="H252" i="36"/>
  <c r="D124" i="63"/>
  <c r="F124" i="63"/>
  <c r="J124" i="63"/>
  <c r="M252" i="36"/>
  <c r="K252" i="36"/>
  <c r="L252" i="36"/>
  <c r="H27" i="37"/>
  <c r="L27" i="37"/>
  <c r="G27" i="37"/>
  <c r="F27" i="37"/>
  <c r="D98" i="37"/>
  <c r="G98" i="37" s="1"/>
  <c r="E27" i="37"/>
  <c r="D62" i="37"/>
  <c r="D85" i="37"/>
  <c r="D27" i="37"/>
  <c r="I322" i="47"/>
  <c r="H335" i="47" s="1"/>
  <c r="I323" i="47"/>
  <c r="H336" i="47" s="1"/>
  <c r="J25" i="37"/>
  <c r="I27" i="37"/>
  <c r="C342" i="47"/>
  <c r="C344" i="47" s="1"/>
  <c r="F75" i="37"/>
  <c r="D63" i="37"/>
  <c r="D62" i="67" l="1"/>
  <c r="E62" i="67" s="1"/>
  <c r="F64" i="67"/>
  <c r="E65" i="67"/>
  <c r="F71" i="67"/>
  <c r="E69" i="67"/>
  <c r="D72" i="67"/>
  <c r="F66" i="67"/>
  <c r="E70" i="67"/>
  <c r="E68" i="67"/>
  <c r="F63" i="67"/>
  <c r="E67" i="67"/>
  <c r="J56" i="67"/>
  <c r="K56" i="67"/>
  <c r="D73" i="67" s="1"/>
  <c r="C84" i="37"/>
  <c r="C85" i="37" s="1"/>
  <c r="N27" i="37"/>
  <c r="M39" i="63"/>
  <c r="M124" i="63"/>
  <c r="M27" i="37"/>
  <c r="J39" i="63"/>
  <c r="H98" i="37"/>
  <c r="H99" i="37"/>
  <c r="H96" i="37"/>
  <c r="H97" i="37"/>
  <c r="H342" i="47"/>
  <c r="H344" i="47" s="1"/>
  <c r="C32" i="37"/>
  <c r="K27" i="37"/>
  <c r="J27" i="37"/>
  <c r="F84" i="37"/>
  <c r="G75" i="37" s="1"/>
  <c r="C109" i="37"/>
  <c r="F68" i="67" l="1"/>
  <c r="G71" i="67"/>
  <c r="F65" i="67"/>
  <c r="F67" i="67"/>
  <c r="G66" i="67"/>
  <c r="E72" i="67"/>
  <c r="F69" i="67"/>
  <c r="F62" i="67"/>
  <c r="G63" i="67"/>
  <c r="F70" i="67"/>
  <c r="E73" i="67"/>
  <c r="G64" i="67"/>
  <c r="E32" i="37"/>
  <c r="F64" i="37"/>
  <c r="F85" i="37"/>
  <c r="G100" i="37"/>
  <c r="G84" i="37"/>
  <c r="C111" i="37"/>
  <c r="D109" i="37" s="1"/>
  <c r="G79" i="37"/>
  <c r="G83" i="37"/>
  <c r="G73" i="37"/>
  <c r="G81" i="37"/>
  <c r="G76" i="37"/>
  <c r="G82" i="37"/>
  <c r="G72" i="37"/>
  <c r="G77" i="37"/>
  <c r="G80" i="37"/>
  <c r="G78" i="37"/>
  <c r="G71" i="37"/>
  <c r="G74" i="37"/>
  <c r="F72" i="67" l="1"/>
  <c r="H64" i="67"/>
  <c r="G62" i="67"/>
  <c r="G67" i="67"/>
  <c r="H71" i="67"/>
  <c r="G69" i="67"/>
  <c r="G68" i="67"/>
  <c r="G70" i="67"/>
  <c r="F73" i="67"/>
  <c r="H63" i="67"/>
  <c r="H66" i="67"/>
  <c r="G65" i="67"/>
  <c r="I80" i="37"/>
  <c r="I76" i="37"/>
  <c r="I77" i="37"/>
  <c r="I71" i="37"/>
  <c r="I73" i="37"/>
  <c r="I79" i="37"/>
  <c r="I74" i="37"/>
  <c r="I81" i="37"/>
  <c r="I72" i="37"/>
  <c r="I78" i="37"/>
  <c r="I82" i="37"/>
  <c r="I83" i="37"/>
  <c r="I75" i="37"/>
  <c r="C112" i="37"/>
  <c r="D111" i="37"/>
  <c r="D110" i="37"/>
  <c r="H65" i="67" l="1"/>
  <c r="I63" i="67"/>
  <c r="H70" i="67"/>
  <c r="H69" i="67"/>
  <c r="H67" i="67"/>
  <c r="I64" i="67"/>
  <c r="I66" i="67"/>
  <c r="G73" i="67"/>
  <c r="H68" i="67"/>
  <c r="I71" i="67"/>
  <c r="H62" i="67"/>
  <c r="G72" i="67"/>
  <c r="M71" i="37"/>
  <c r="M72" i="37"/>
  <c r="M73" i="37"/>
  <c r="M74" i="37"/>
  <c r="M78" i="37"/>
  <c r="M82" i="37"/>
  <c r="L74" i="37"/>
  <c r="L78" i="37"/>
  <c r="L82" i="37"/>
  <c r="K73" i="37"/>
  <c r="K77" i="37"/>
  <c r="K81" i="37"/>
  <c r="M75" i="37"/>
  <c r="M79" i="37"/>
  <c r="M83" i="37"/>
  <c r="L75" i="37"/>
  <c r="L79" i="37"/>
  <c r="L83" i="37"/>
  <c r="K74" i="37"/>
  <c r="K78" i="37"/>
  <c r="K82" i="37"/>
  <c r="M76" i="37"/>
  <c r="M80" i="37"/>
  <c r="L72" i="37"/>
  <c r="L76" i="37"/>
  <c r="L80" i="37"/>
  <c r="L71" i="37"/>
  <c r="K75" i="37"/>
  <c r="K79" i="37"/>
  <c r="K83" i="37"/>
  <c r="M77" i="37"/>
  <c r="M81" i="37"/>
  <c r="L73" i="37"/>
  <c r="L77" i="37"/>
  <c r="L81" i="37"/>
  <c r="K72" i="37"/>
  <c r="K76" i="37"/>
  <c r="K80" i="37"/>
  <c r="K71" i="37"/>
  <c r="C6" i="49"/>
  <c r="C38" i="49" s="1"/>
  <c r="C6" i="54"/>
  <c r="C32" i="54" s="1"/>
  <c r="C5" i="53"/>
  <c r="D108" i="53" s="1"/>
  <c r="C8" i="50"/>
  <c r="C6" i="47"/>
  <c r="C6" i="51"/>
  <c r="C78" i="47" l="1"/>
  <c r="C63" i="47"/>
  <c r="E63" i="47"/>
  <c r="D63" i="47"/>
  <c r="D78" i="47"/>
  <c r="F63" i="47"/>
  <c r="E78" i="47"/>
  <c r="G63" i="47"/>
  <c r="F78" i="47"/>
  <c r="H63" i="47"/>
  <c r="G78" i="47"/>
  <c r="I63" i="47"/>
  <c r="H78" i="47"/>
  <c r="I78" i="47"/>
  <c r="Q78" i="47"/>
  <c r="U78" i="47"/>
  <c r="Y78" i="47"/>
  <c r="AC78" i="47"/>
  <c r="AG78" i="47"/>
  <c r="AK78" i="47"/>
  <c r="AO78" i="47"/>
  <c r="AS78" i="47"/>
  <c r="AW78" i="47"/>
  <c r="BA78" i="47"/>
  <c r="R78" i="47"/>
  <c r="V78" i="47"/>
  <c r="Z78" i="47"/>
  <c r="AD78" i="47"/>
  <c r="AH78" i="47"/>
  <c r="AL78" i="47"/>
  <c r="AP78" i="47"/>
  <c r="AT78" i="47"/>
  <c r="AX78" i="47"/>
  <c r="AY78" i="47"/>
  <c r="O78" i="47"/>
  <c r="S78" i="47"/>
  <c r="W78" i="47"/>
  <c r="AA78" i="47"/>
  <c r="AE78" i="47"/>
  <c r="AI78" i="47"/>
  <c r="AM78" i="47"/>
  <c r="AQ78" i="47"/>
  <c r="AU78" i="47"/>
  <c r="P78" i="47"/>
  <c r="T78" i="47"/>
  <c r="X78" i="47"/>
  <c r="AB78" i="47"/>
  <c r="AF78" i="47"/>
  <c r="AJ78" i="47"/>
  <c r="AN78" i="47"/>
  <c r="AR78" i="47"/>
  <c r="AV78" i="47"/>
  <c r="AZ78" i="47"/>
  <c r="T63" i="47"/>
  <c r="X63" i="47"/>
  <c r="AB63" i="47"/>
  <c r="AF63" i="47"/>
  <c r="AJ63" i="47"/>
  <c r="AN63" i="47"/>
  <c r="AR63" i="47"/>
  <c r="AV63" i="47"/>
  <c r="AZ63" i="47"/>
  <c r="AS63" i="47"/>
  <c r="BA63" i="47"/>
  <c r="AX63" i="47"/>
  <c r="Q63" i="47"/>
  <c r="U63" i="47"/>
  <c r="Y63" i="47"/>
  <c r="AC63" i="47"/>
  <c r="AG63" i="47"/>
  <c r="AK63" i="47"/>
  <c r="AO63" i="47"/>
  <c r="AW63" i="47"/>
  <c r="AW433" i="47" s="1"/>
  <c r="AW25" i="47" s="1"/>
  <c r="R63" i="47"/>
  <c r="V63" i="47"/>
  <c r="Z63" i="47"/>
  <c r="AD63" i="47"/>
  <c r="AH63" i="47"/>
  <c r="AL63" i="47"/>
  <c r="AP63" i="47"/>
  <c r="AT63" i="47"/>
  <c r="S63" i="47"/>
  <c r="W63" i="47"/>
  <c r="AA63" i="47"/>
  <c r="AE63" i="47"/>
  <c r="AI63" i="47"/>
  <c r="AM63" i="47"/>
  <c r="AQ63" i="47"/>
  <c r="AU63" i="47"/>
  <c r="AY63" i="47"/>
  <c r="C59" i="47"/>
  <c r="N63" i="47" s="1"/>
  <c r="C74" i="47"/>
  <c r="J64" i="67"/>
  <c r="H72" i="67"/>
  <c r="H73" i="67"/>
  <c r="I69" i="67"/>
  <c r="J63" i="67"/>
  <c r="J71" i="67"/>
  <c r="I62" i="67"/>
  <c r="I68" i="67"/>
  <c r="J66" i="67"/>
  <c r="I67" i="67"/>
  <c r="I70" i="67"/>
  <c r="I65" i="67"/>
  <c r="L84" i="37"/>
  <c r="L86" i="37" s="1"/>
  <c r="AP356" i="47"/>
  <c r="AP357" i="47" s="1"/>
  <c r="AP21" i="47" s="1"/>
  <c r="AT356" i="47"/>
  <c r="AT357" i="47" s="1"/>
  <c r="AT21" i="47" s="1"/>
  <c r="AX356" i="47"/>
  <c r="AX357" i="47" s="1"/>
  <c r="AX21" i="47" s="1"/>
  <c r="AS356" i="47"/>
  <c r="AS357" i="47" s="1"/>
  <c r="AS21" i="47" s="1"/>
  <c r="AZ356" i="47"/>
  <c r="AZ357" i="47" s="1"/>
  <c r="AZ21" i="47" s="1"/>
  <c r="AQ356" i="47"/>
  <c r="AQ357" i="47" s="1"/>
  <c r="AQ21" i="47" s="1"/>
  <c r="AU356" i="47"/>
  <c r="AU357" i="47" s="1"/>
  <c r="AU21" i="47" s="1"/>
  <c r="AY356" i="47"/>
  <c r="AY357" i="47" s="1"/>
  <c r="AY21" i="47" s="1"/>
  <c r="AR356" i="47"/>
  <c r="AR357" i="47" s="1"/>
  <c r="AR21" i="47" s="1"/>
  <c r="AV356" i="47"/>
  <c r="AV357" i="47" s="1"/>
  <c r="AV21" i="47" s="1"/>
  <c r="BA356" i="47"/>
  <c r="BA357" i="47" s="1"/>
  <c r="AW356" i="47"/>
  <c r="AW357" i="47" s="1"/>
  <c r="AW21" i="47" s="1"/>
  <c r="AO356" i="47"/>
  <c r="AO357" i="47" s="1"/>
  <c r="AO21" i="47" s="1"/>
  <c r="C449" i="47"/>
  <c r="C105" i="49"/>
  <c r="C106" i="49" s="1"/>
  <c r="C63" i="50"/>
  <c r="D63" i="50" s="1"/>
  <c r="D72" i="50" s="1"/>
  <c r="C103" i="50"/>
  <c r="D103" i="50" s="1"/>
  <c r="D112" i="50" s="1"/>
  <c r="C127" i="50"/>
  <c r="D127" i="50" s="1"/>
  <c r="E127" i="50" s="1"/>
  <c r="F127" i="50" s="1"/>
  <c r="G127" i="50" s="1"/>
  <c r="H127" i="50" s="1"/>
  <c r="I127" i="50" s="1"/>
  <c r="J127" i="50" s="1"/>
  <c r="K127" i="50" s="1"/>
  <c r="L127" i="50" s="1"/>
  <c r="M127" i="50" s="1"/>
  <c r="N127" i="50" s="1"/>
  <c r="O127" i="50" s="1"/>
  <c r="P127" i="50" s="1"/>
  <c r="Q127" i="50" s="1"/>
  <c r="R127" i="50" s="1"/>
  <c r="S127" i="50" s="1"/>
  <c r="T127" i="50" s="1"/>
  <c r="U127" i="50" s="1"/>
  <c r="V127" i="50" s="1"/>
  <c r="W127" i="50" s="1"/>
  <c r="X127" i="50" s="1"/>
  <c r="Y127" i="50" s="1"/>
  <c r="Z127" i="50" s="1"/>
  <c r="AA127" i="50" s="1"/>
  <c r="AB127" i="50" s="1"/>
  <c r="AC127" i="50" s="1"/>
  <c r="AD127" i="50" s="1"/>
  <c r="AE127" i="50" s="1"/>
  <c r="AF127" i="50" s="1"/>
  <c r="AG127" i="50" s="1"/>
  <c r="AH127" i="50" s="1"/>
  <c r="AI127" i="50" s="1"/>
  <c r="AJ127" i="50" s="1"/>
  <c r="AK127" i="50" s="1"/>
  <c r="AL127" i="50" s="1"/>
  <c r="AM127" i="50" s="1"/>
  <c r="AN127" i="50" s="1"/>
  <c r="AO127" i="50" s="1"/>
  <c r="AP127" i="50" s="1"/>
  <c r="AQ127" i="50" s="1"/>
  <c r="AR127" i="50" s="1"/>
  <c r="AS127" i="50" s="1"/>
  <c r="AT127" i="50" s="1"/>
  <c r="AU127" i="50" s="1"/>
  <c r="AV127" i="50" s="1"/>
  <c r="AW127" i="50" s="1"/>
  <c r="AX127" i="50" s="1"/>
  <c r="AY127" i="50" s="1"/>
  <c r="AZ127" i="50" s="1"/>
  <c r="BA127" i="50" s="1"/>
  <c r="BB127" i="50" s="1"/>
  <c r="BC127" i="50" s="1"/>
  <c r="BD127" i="50" s="1"/>
  <c r="BE127" i="50" s="1"/>
  <c r="BF127" i="50" s="1"/>
  <c r="BG127" i="50" s="1"/>
  <c r="BH127" i="50" s="1"/>
  <c r="BI127" i="50" s="1"/>
  <c r="AH356" i="47"/>
  <c r="D114" i="53"/>
  <c r="C51" i="50"/>
  <c r="C64" i="50" s="1"/>
  <c r="D116" i="53"/>
  <c r="D112" i="53"/>
  <c r="D120" i="53"/>
  <c r="C43" i="54"/>
  <c r="D117" i="53"/>
  <c r="D107" i="53"/>
  <c r="D111" i="53"/>
  <c r="D106" i="53"/>
  <c r="D115" i="53"/>
  <c r="D122" i="53"/>
  <c r="D110" i="53"/>
  <c r="D123" i="53"/>
  <c r="D109" i="53"/>
  <c r="W356" i="47"/>
  <c r="M356" i="47"/>
  <c r="AA356" i="47"/>
  <c r="AC356" i="47"/>
  <c r="N356" i="47"/>
  <c r="U356" i="47"/>
  <c r="AB356" i="47"/>
  <c r="S356" i="47"/>
  <c r="Y356" i="47"/>
  <c r="P356" i="47"/>
  <c r="Z356" i="47"/>
  <c r="O356" i="47"/>
  <c r="T356" i="47"/>
  <c r="Q356" i="47"/>
  <c r="AD356" i="47"/>
  <c r="R356" i="47"/>
  <c r="AE356" i="47"/>
  <c r="V356" i="47"/>
  <c r="X356" i="47"/>
  <c r="H356" i="47"/>
  <c r="L356" i="47"/>
  <c r="F356" i="47"/>
  <c r="K356" i="47"/>
  <c r="G356" i="47"/>
  <c r="E356" i="47"/>
  <c r="I356" i="47"/>
  <c r="D356" i="47"/>
  <c r="J356" i="47"/>
  <c r="AL356" i="47"/>
  <c r="AN356" i="47"/>
  <c r="AG356" i="47"/>
  <c r="AI356" i="47"/>
  <c r="AF356" i="47"/>
  <c r="AK356" i="47"/>
  <c r="AJ356" i="47"/>
  <c r="C356" i="47"/>
  <c r="AM356" i="47"/>
  <c r="C12" i="52"/>
  <c r="C40" i="49"/>
  <c r="C19" i="51"/>
  <c r="C20" i="51" s="1"/>
  <c r="C27" i="51" s="1"/>
  <c r="C39" i="49"/>
  <c r="C13" i="52" s="1"/>
  <c r="C91" i="50"/>
  <c r="D118" i="53"/>
  <c r="D119" i="53"/>
  <c r="D113" i="53"/>
  <c r="D121" i="53"/>
  <c r="D228" i="52"/>
  <c r="C70" i="49"/>
  <c r="I392" i="47" l="1"/>
  <c r="I22" i="47" s="1"/>
  <c r="I433" i="47"/>
  <c r="I25" i="47" s="1"/>
  <c r="I350" i="47"/>
  <c r="I20" i="47" s="1"/>
  <c r="H392" i="47"/>
  <c r="H22" i="47" s="1"/>
  <c r="H433" i="47"/>
  <c r="H350" i="47"/>
  <c r="H20" i="47" s="1"/>
  <c r="G392" i="47"/>
  <c r="G22" i="47" s="1"/>
  <c r="G433" i="47"/>
  <c r="G350" i="47"/>
  <c r="G20" i="47" s="1"/>
  <c r="F392" i="47"/>
  <c r="F22" i="47" s="1"/>
  <c r="F433" i="47"/>
  <c r="F25" i="47" s="1"/>
  <c r="F350" i="47"/>
  <c r="F20" i="47" s="1"/>
  <c r="D392" i="47"/>
  <c r="D22" i="47" s="1"/>
  <c r="D433" i="47"/>
  <c r="D25" i="47" s="1"/>
  <c r="D350" i="47"/>
  <c r="D20" i="47" s="1"/>
  <c r="C392" i="47"/>
  <c r="C22" i="47" s="1"/>
  <c r="C433" i="47"/>
  <c r="C25" i="47" s="1"/>
  <c r="C350" i="47"/>
  <c r="C20" i="47" s="1"/>
  <c r="E392" i="47"/>
  <c r="E22" i="47" s="1"/>
  <c r="E433" i="47"/>
  <c r="E25" i="47" s="1"/>
  <c r="E350" i="47"/>
  <c r="E20" i="47" s="1"/>
  <c r="AI433" i="47"/>
  <c r="AI25" i="47" s="1"/>
  <c r="AI392" i="47"/>
  <c r="S433" i="47"/>
  <c r="S25" i="47" s="1"/>
  <c r="S392" i="47"/>
  <c r="S22" i="47" s="1"/>
  <c r="AH433" i="47"/>
  <c r="AH25" i="47" s="1"/>
  <c r="AH392" i="47"/>
  <c r="R433" i="47"/>
  <c r="R25" i="47" s="1"/>
  <c r="R392" i="47"/>
  <c r="AG433" i="47"/>
  <c r="AG392" i="47"/>
  <c r="Q433" i="47"/>
  <c r="Q25" i="47" s="1"/>
  <c r="Q392" i="47"/>
  <c r="AJ433" i="47"/>
  <c r="AJ392" i="47"/>
  <c r="AJ22" i="47" s="1"/>
  <c r="T433" i="47"/>
  <c r="T25" i="47" s="1"/>
  <c r="T392" i="47"/>
  <c r="T22" i="47" s="1"/>
  <c r="AE433" i="47"/>
  <c r="AE392" i="47"/>
  <c r="AE22" i="47" s="1"/>
  <c r="AD433" i="47"/>
  <c r="AD25" i="47" s="1"/>
  <c r="AD392" i="47"/>
  <c r="AD22" i="47" s="1"/>
  <c r="AC433" i="47"/>
  <c r="AC25" i="47" s="1"/>
  <c r="AC392" i="47"/>
  <c r="AF433" i="47"/>
  <c r="AF25" i="47" s="1"/>
  <c r="AF392" i="47"/>
  <c r="AF22" i="47" s="1"/>
  <c r="AA433" i="47"/>
  <c r="AA25" i="47" s="1"/>
  <c r="AA392" i="47"/>
  <c r="Z433" i="47"/>
  <c r="Z25" i="47" s="1"/>
  <c r="Z392" i="47"/>
  <c r="Z22" i="47" s="1"/>
  <c r="AO433" i="47"/>
  <c r="AO25" i="47" s="1"/>
  <c r="AO392" i="47"/>
  <c r="AO22" i="47" s="1"/>
  <c r="Y433" i="47"/>
  <c r="Y25" i="47" s="1"/>
  <c r="Y392" i="47"/>
  <c r="Y22" i="47" s="1"/>
  <c r="AB433" i="47"/>
  <c r="AB25" i="47" s="1"/>
  <c r="AB392" i="47"/>
  <c r="N433" i="47"/>
  <c r="N25" i="47" s="1"/>
  <c r="N392" i="47"/>
  <c r="N22" i="47" s="1"/>
  <c r="AM433" i="47"/>
  <c r="AM25" i="47" s="1"/>
  <c r="AM392" i="47"/>
  <c r="AM22" i="47" s="1"/>
  <c r="W433" i="47"/>
  <c r="W25" i="47" s="1"/>
  <c r="W392" i="47"/>
  <c r="W22" i="47" s="1"/>
  <c r="AL433" i="47"/>
  <c r="AL392" i="47"/>
  <c r="V433" i="47"/>
  <c r="V25" i="47" s="1"/>
  <c r="V392" i="47"/>
  <c r="AK433" i="47"/>
  <c r="AK25" i="47" s="1"/>
  <c r="AK392" i="47"/>
  <c r="AK22" i="47" s="1"/>
  <c r="U433" i="47"/>
  <c r="U25" i="47" s="1"/>
  <c r="U392" i="47"/>
  <c r="U22" i="47" s="1"/>
  <c r="AN433" i="47"/>
  <c r="AN25" i="47" s="1"/>
  <c r="AN392" i="47"/>
  <c r="AN22" i="47" s="1"/>
  <c r="X433" i="47"/>
  <c r="X25" i="47" s="1"/>
  <c r="X392" i="47"/>
  <c r="X22" i="47" s="1"/>
  <c r="J78" i="47"/>
  <c r="K78" i="47" s="1"/>
  <c r="L78" i="47" s="1"/>
  <c r="M78" i="47" s="1"/>
  <c r="N78" i="47" s="1"/>
  <c r="J63" i="47"/>
  <c r="J392" i="47" s="1"/>
  <c r="AY350" i="47"/>
  <c r="AY20" i="47" s="1"/>
  <c r="AY433" i="47"/>
  <c r="AY25" i="47" s="1"/>
  <c r="AT350" i="47"/>
  <c r="AT20" i="47" s="1"/>
  <c r="AT433" i="47"/>
  <c r="AT25" i="47" s="1"/>
  <c r="AW350" i="47"/>
  <c r="AW20" i="47" s="1"/>
  <c r="AQ350" i="47"/>
  <c r="AQ20" i="47" s="1"/>
  <c r="AQ433" i="47"/>
  <c r="AQ25" i="47" s="1"/>
  <c r="AP350" i="47"/>
  <c r="AP20" i="47" s="1"/>
  <c r="AP433" i="47"/>
  <c r="AP25" i="47" s="1"/>
  <c r="BA350" i="47"/>
  <c r="BA433" i="47"/>
  <c r="AR350" i="47"/>
  <c r="AR20" i="47" s="1"/>
  <c r="AR433" i="47"/>
  <c r="AR25" i="47" s="1"/>
  <c r="AZ350" i="47"/>
  <c r="AZ20" i="47" s="1"/>
  <c r="AZ433" i="47"/>
  <c r="AZ25" i="47" s="1"/>
  <c r="AU350" i="47"/>
  <c r="AU20" i="47" s="1"/>
  <c r="AU433" i="47"/>
  <c r="AX350" i="47"/>
  <c r="AX20" i="47" s="1"/>
  <c r="AX433" i="47"/>
  <c r="AX25" i="47" s="1"/>
  <c r="AV350" i="47"/>
  <c r="AV20" i="47" s="1"/>
  <c r="AV433" i="47"/>
  <c r="AV25" i="47" s="1"/>
  <c r="AS350" i="47"/>
  <c r="AS20" i="47" s="1"/>
  <c r="AS433" i="47"/>
  <c r="AS25" i="47" s="1"/>
  <c r="M63" i="47"/>
  <c r="L63" i="47"/>
  <c r="K63" i="47"/>
  <c r="P63" i="47"/>
  <c r="P392" i="47" s="1"/>
  <c r="O63" i="47"/>
  <c r="O392" i="47" s="1"/>
  <c r="AE350" i="47"/>
  <c r="AE20" i="47" s="1"/>
  <c r="AL350" i="47"/>
  <c r="AL22" i="47"/>
  <c r="V350" i="47"/>
  <c r="V20" i="47" s="1"/>
  <c r="V22" i="47"/>
  <c r="AG350" i="47"/>
  <c r="AG20" i="47" s="1"/>
  <c r="AG22" i="47"/>
  <c r="Q350" i="47"/>
  <c r="Q20" i="47" s="1"/>
  <c r="Q22" i="47"/>
  <c r="AB350" i="47"/>
  <c r="AB20" i="47" s="1"/>
  <c r="AB22" i="47"/>
  <c r="AA350" i="47"/>
  <c r="AA20" i="47" s="1"/>
  <c r="AA22" i="47"/>
  <c r="AH350" i="47"/>
  <c r="AH22" i="47"/>
  <c r="R350" i="47"/>
  <c r="R20" i="47" s="1"/>
  <c r="R22" i="47"/>
  <c r="AC350" i="47"/>
  <c r="AC20" i="47" s="1"/>
  <c r="AC22" i="47"/>
  <c r="L350" i="47"/>
  <c r="L20" i="47" s="1"/>
  <c r="AN350" i="47"/>
  <c r="AN20" i="47" s="1"/>
  <c r="X350" i="47"/>
  <c r="X20" i="47" s="1"/>
  <c r="AM350" i="47"/>
  <c r="AM20" i="47" s="1"/>
  <c r="W350" i="47"/>
  <c r="AD350" i="47"/>
  <c r="AD20" i="47" s="1"/>
  <c r="N350" i="47"/>
  <c r="N20" i="47" s="1"/>
  <c r="AO350" i="47"/>
  <c r="Y350" i="47"/>
  <c r="Y20" i="47" s="1"/>
  <c r="AJ350" i="47"/>
  <c r="T350" i="47"/>
  <c r="AI350" i="47"/>
  <c r="AI20" i="47" s="1"/>
  <c r="AI22" i="47"/>
  <c r="S350" i="47"/>
  <c r="S20" i="47" s="1"/>
  <c r="Z350" i="47"/>
  <c r="Z20" i="47" s="1"/>
  <c r="AK350" i="47"/>
  <c r="AK20" i="47" s="1"/>
  <c r="U350" i="47"/>
  <c r="U20" i="47" s="1"/>
  <c r="AF350" i="47"/>
  <c r="BA415" i="47"/>
  <c r="AW415" i="47"/>
  <c r="AW24" i="47" s="1"/>
  <c r="AS415" i="47"/>
  <c r="AS24" i="47" s="1"/>
  <c r="AO415" i="47"/>
  <c r="AO24" i="47" s="1"/>
  <c r="AK415" i="47"/>
  <c r="AK24" i="47" s="1"/>
  <c r="AK109" i="64" s="1"/>
  <c r="AG415" i="47"/>
  <c r="AG24" i="47" s="1"/>
  <c r="AG109" i="64" s="1"/>
  <c r="AC415" i="47"/>
  <c r="AC24" i="47" s="1"/>
  <c r="AC109" i="64" s="1"/>
  <c r="Y415" i="47"/>
  <c r="Y24" i="47" s="1"/>
  <c r="U415" i="47"/>
  <c r="U24" i="47" s="1"/>
  <c r="U109" i="64" s="1"/>
  <c r="Q415" i="47"/>
  <c r="Q24" i="47" s="1"/>
  <c r="Q109" i="64" s="1"/>
  <c r="AZ415" i="47"/>
  <c r="AZ24" i="47" s="1"/>
  <c r="AV415" i="47"/>
  <c r="AV24" i="47" s="1"/>
  <c r="AR415" i="47"/>
  <c r="AR24" i="47" s="1"/>
  <c r="AN415" i="47"/>
  <c r="AN24" i="47" s="1"/>
  <c r="AJ415" i="47"/>
  <c r="AJ24" i="47" s="1"/>
  <c r="AJ109" i="64" s="1"/>
  <c r="AF415" i="47"/>
  <c r="AF24" i="47" s="1"/>
  <c r="AB415" i="47"/>
  <c r="AB24" i="47" s="1"/>
  <c r="AB109" i="64" s="1"/>
  <c r="X415" i="47"/>
  <c r="X24" i="47" s="1"/>
  <c r="T415" i="47"/>
  <c r="T24" i="47" s="1"/>
  <c r="T109" i="64" s="1"/>
  <c r="AY415" i="47"/>
  <c r="AY24" i="47" s="1"/>
  <c r="AU415" i="47"/>
  <c r="AU24" i="47" s="1"/>
  <c r="AQ415" i="47"/>
  <c r="AQ24" i="47" s="1"/>
  <c r="AM415" i="47"/>
  <c r="AM24" i="47" s="1"/>
  <c r="AM109" i="64" s="1"/>
  <c r="AI415" i="47"/>
  <c r="AI24" i="47" s="1"/>
  <c r="AE415" i="47"/>
  <c r="AE24" i="47" s="1"/>
  <c r="AE109" i="64" s="1"/>
  <c r="AA415" i="47"/>
  <c r="AA24" i="47" s="1"/>
  <c r="AA109" i="64" s="1"/>
  <c r="W415" i="47"/>
  <c r="W24" i="47" s="1"/>
  <c r="W109" i="64" s="1"/>
  <c r="S415" i="47"/>
  <c r="S24" i="47" s="1"/>
  <c r="S109" i="64" s="1"/>
  <c r="AX415" i="47"/>
  <c r="AX24" i="47" s="1"/>
  <c r="AT415" i="47"/>
  <c r="AT24" i="47" s="1"/>
  <c r="AP415" i="47"/>
  <c r="AP24" i="47" s="1"/>
  <c r="AL415" i="47"/>
  <c r="AL24" i="47" s="1"/>
  <c r="AL109" i="64" s="1"/>
  <c r="AH415" i="47"/>
  <c r="AH24" i="47" s="1"/>
  <c r="AH109" i="64" s="1"/>
  <c r="AD415" i="47"/>
  <c r="AD24" i="47" s="1"/>
  <c r="AD109" i="64" s="1"/>
  <c r="Z415" i="47"/>
  <c r="Z24" i="47" s="1"/>
  <c r="Z109" i="64" s="1"/>
  <c r="V415" i="47"/>
  <c r="V24" i="47" s="1"/>
  <c r="V109" i="64" s="1"/>
  <c r="R415" i="47"/>
  <c r="R24" i="47" s="1"/>
  <c r="R109" i="64" s="1"/>
  <c r="J65" i="67"/>
  <c r="J67" i="67"/>
  <c r="J68" i="67"/>
  <c r="K71" i="67"/>
  <c r="J69" i="67"/>
  <c r="I72" i="67"/>
  <c r="J70" i="67"/>
  <c r="K66" i="67"/>
  <c r="K63" i="67"/>
  <c r="K64" i="67"/>
  <c r="J62" i="67"/>
  <c r="I73" i="67"/>
  <c r="AO106" i="64"/>
  <c r="D141" i="52"/>
  <c r="D189" i="52" s="1"/>
  <c r="D143" i="52"/>
  <c r="D191" i="52" s="1"/>
  <c r="D142" i="52"/>
  <c r="D190" i="52" s="1"/>
  <c r="D140" i="52"/>
  <c r="D188" i="52" s="1"/>
  <c r="D148" i="52"/>
  <c r="D196" i="52" s="1"/>
  <c r="D145" i="52"/>
  <c r="D193" i="52" s="1"/>
  <c r="D146" i="52"/>
  <c r="D194" i="52" s="1"/>
  <c r="D147" i="52"/>
  <c r="D195" i="52" s="1"/>
  <c r="D144" i="52"/>
  <c r="D192" i="52" s="1"/>
  <c r="D131" i="52"/>
  <c r="D179" i="52" s="1"/>
  <c r="D134" i="52"/>
  <c r="D182" i="52" s="1"/>
  <c r="D136" i="52"/>
  <c r="D184" i="52" s="1"/>
  <c r="D132" i="52"/>
  <c r="D180" i="52" s="1"/>
  <c r="D135" i="52"/>
  <c r="D183" i="52" s="1"/>
  <c r="D133" i="52"/>
  <c r="D181" i="52" s="1"/>
  <c r="D137" i="52"/>
  <c r="D185" i="52" s="1"/>
  <c r="D139" i="52"/>
  <c r="D187" i="52" s="1"/>
  <c r="D138" i="52"/>
  <c r="D186" i="52" s="1"/>
  <c r="D170" i="52"/>
  <c r="D218" i="52" s="1"/>
  <c r="D164" i="52"/>
  <c r="D212" i="52" s="1"/>
  <c r="D162" i="52"/>
  <c r="D210" i="52" s="1"/>
  <c r="D165" i="52"/>
  <c r="D213" i="52" s="1"/>
  <c r="D163" i="52"/>
  <c r="D211" i="52" s="1"/>
  <c r="D167" i="52"/>
  <c r="D215" i="52" s="1"/>
  <c r="D168" i="52"/>
  <c r="D216" i="52" s="1"/>
  <c r="D169" i="52"/>
  <c r="D217" i="52" s="1"/>
  <c r="D166" i="52"/>
  <c r="D214" i="52" s="1"/>
  <c r="D158" i="52"/>
  <c r="D206" i="52" s="1"/>
  <c r="D159" i="52"/>
  <c r="D207" i="52" s="1"/>
  <c r="D157" i="52"/>
  <c r="D205" i="52" s="1"/>
  <c r="D156" i="52"/>
  <c r="D204" i="52" s="1"/>
  <c r="D153" i="52"/>
  <c r="D201" i="52" s="1"/>
  <c r="D154" i="52"/>
  <c r="D202" i="52" s="1"/>
  <c r="D155" i="52"/>
  <c r="D203" i="52" s="1"/>
  <c r="D160" i="52"/>
  <c r="D208" i="52" s="1"/>
  <c r="D161" i="52"/>
  <c r="D209" i="52" s="1"/>
  <c r="AO17" i="47"/>
  <c r="AP17" i="47"/>
  <c r="AQ17" i="47"/>
  <c r="AR17" i="47"/>
  <c r="AS17" i="47"/>
  <c r="AT17" i="47"/>
  <c r="AU17" i="47"/>
  <c r="AV17" i="47"/>
  <c r="AW17" i="47"/>
  <c r="AX17" i="47"/>
  <c r="AY17" i="47"/>
  <c r="AZ17" i="47"/>
  <c r="AM357" i="47"/>
  <c r="AM21" i="47" s="1"/>
  <c r="E357" i="47"/>
  <c r="E21" i="47" s="1"/>
  <c r="E106" i="64" s="1"/>
  <c r="Q357" i="47"/>
  <c r="Q21" i="47" s="1"/>
  <c r="P357" i="47"/>
  <c r="P21" i="47" s="1"/>
  <c r="U357" i="47"/>
  <c r="U21" i="47" s="1"/>
  <c r="M357" i="47"/>
  <c r="M21" i="47" s="1"/>
  <c r="AG357" i="47"/>
  <c r="AG21" i="47" s="1"/>
  <c r="J357" i="47"/>
  <c r="J21" i="47" s="1"/>
  <c r="G357" i="47"/>
  <c r="G21" i="47" s="1"/>
  <c r="G106" i="64" s="1"/>
  <c r="AE357" i="47"/>
  <c r="AE21" i="47" s="1"/>
  <c r="Y357" i="47"/>
  <c r="Y21" i="47" s="1"/>
  <c r="AJ357" i="47"/>
  <c r="AJ21" i="47" s="1"/>
  <c r="AI357" i="47"/>
  <c r="AI21" i="47" s="1"/>
  <c r="AN357" i="47"/>
  <c r="AN21" i="47" s="1"/>
  <c r="D357" i="47"/>
  <c r="D21" i="47" s="1"/>
  <c r="D106" i="64" s="1"/>
  <c r="L357" i="47"/>
  <c r="L21" i="47" s="1"/>
  <c r="H357" i="47"/>
  <c r="H21" i="47" s="1"/>
  <c r="H106" i="64" s="1"/>
  <c r="R357" i="47"/>
  <c r="R21" i="47" s="1"/>
  <c r="O357" i="47"/>
  <c r="O21" i="47" s="1"/>
  <c r="S357" i="47"/>
  <c r="S21" i="47" s="1"/>
  <c r="AC357" i="47"/>
  <c r="AC21" i="47" s="1"/>
  <c r="AK357" i="47"/>
  <c r="AK21" i="47" s="1"/>
  <c r="V357" i="47"/>
  <c r="V21" i="47" s="1"/>
  <c r="C357" i="47"/>
  <c r="C21" i="47" s="1"/>
  <c r="C106" i="64" s="1"/>
  <c r="AF357" i="47"/>
  <c r="AF21" i="47" s="1"/>
  <c r="F357" i="47"/>
  <c r="F21" i="47" s="1"/>
  <c r="F106" i="64" s="1"/>
  <c r="T357" i="47"/>
  <c r="T21" i="47" s="1"/>
  <c r="N357" i="47"/>
  <c r="N21" i="47" s="1"/>
  <c r="W357" i="47"/>
  <c r="W21" i="47" s="1"/>
  <c r="AL357" i="47"/>
  <c r="AL21" i="47" s="1"/>
  <c r="I357" i="47"/>
  <c r="I21" i="47" s="1"/>
  <c r="I106" i="64" s="1"/>
  <c r="K357" i="47"/>
  <c r="K21" i="47" s="1"/>
  <c r="X357" i="47"/>
  <c r="X21" i="47" s="1"/>
  <c r="AD357" i="47"/>
  <c r="AD21" i="47" s="1"/>
  <c r="Z357" i="47"/>
  <c r="Z21" i="47" s="1"/>
  <c r="AB357" i="47"/>
  <c r="AB21" i="47" s="1"/>
  <c r="AA357" i="47"/>
  <c r="AA21" i="47" s="1"/>
  <c r="AH357" i="47"/>
  <c r="AH21" i="47" s="1"/>
  <c r="D52" i="51"/>
  <c r="D104" i="51" s="1"/>
  <c r="D86" i="52" s="1"/>
  <c r="E52" i="51"/>
  <c r="F52" i="51"/>
  <c r="G52" i="51"/>
  <c r="H52" i="51"/>
  <c r="I52" i="51"/>
  <c r="J52" i="51"/>
  <c r="K52" i="51"/>
  <c r="L52" i="51"/>
  <c r="M52" i="51"/>
  <c r="C17" i="47"/>
  <c r="C102" i="64" s="1"/>
  <c r="Q17" i="47"/>
  <c r="R17" i="47"/>
  <c r="S17" i="47"/>
  <c r="T17" i="47"/>
  <c r="U17" i="47"/>
  <c r="V17" i="47"/>
  <c r="W17" i="47"/>
  <c r="Y17" i="47"/>
  <c r="Z17" i="47"/>
  <c r="AA17" i="47"/>
  <c r="AB17" i="47"/>
  <c r="AC17" i="47"/>
  <c r="AD17" i="47"/>
  <c r="AE17" i="47"/>
  <c r="AF17" i="47"/>
  <c r="AG17" i="47"/>
  <c r="AH17" i="47"/>
  <c r="AI17" i="47"/>
  <c r="AJ17" i="47"/>
  <c r="AK17" i="47"/>
  <c r="AL17" i="47"/>
  <c r="AM17" i="47"/>
  <c r="AN17" i="47"/>
  <c r="F55" i="54"/>
  <c r="C107" i="49"/>
  <c r="D449" i="47"/>
  <c r="C451" i="47"/>
  <c r="C92" i="50"/>
  <c r="C95" i="50" s="1"/>
  <c r="F58" i="54"/>
  <c r="F60" i="54"/>
  <c r="E74" i="54" s="1"/>
  <c r="F63" i="54"/>
  <c r="F59" i="54"/>
  <c r="E75" i="54" s="1"/>
  <c r="F53" i="54"/>
  <c r="E82" i="54" s="1"/>
  <c r="F56" i="54"/>
  <c r="F49" i="54"/>
  <c r="E79" i="54" s="1"/>
  <c r="F57" i="54"/>
  <c r="F48" i="54"/>
  <c r="F54" i="54"/>
  <c r="E83" i="54" s="1"/>
  <c r="D51" i="50"/>
  <c r="C52" i="50"/>
  <c r="C70" i="54"/>
  <c r="F47" i="54"/>
  <c r="F61" i="54"/>
  <c r="E73" i="54" s="1"/>
  <c r="F51" i="54"/>
  <c r="E80" i="54" s="1"/>
  <c r="F46" i="54"/>
  <c r="E77" i="54" s="1"/>
  <c r="C104" i="50"/>
  <c r="C107" i="50" s="1"/>
  <c r="C128" i="50"/>
  <c r="C131" i="50" s="1"/>
  <c r="F50" i="54"/>
  <c r="E78" i="54" s="1"/>
  <c r="F52" i="54"/>
  <c r="E84" i="54" s="1"/>
  <c r="F62" i="54"/>
  <c r="E81" i="54" s="1"/>
  <c r="E103" i="50"/>
  <c r="E112" i="50" s="1"/>
  <c r="E63" i="50"/>
  <c r="E72" i="50" s="1"/>
  <c r="C14" i="52"/>
  <c r="D91" i="50"/>
  <c r="E91" i="50" s="1"/>
  <c r="F91" i="50" s="1"/>
  <c r="G91" i="50" s="1"/>
  <c r="H91" i="50" s="1"/>
  <c r="I91" i="50" s="1"/>
  <c r="J91" i="50" s="1"/>
  <c r="K91" i="50" s="1"/>
  <c r="L91" i="50" s="1"/>
  <c r="M91" i="50" s="1"/>
  <c r="N91" i="50" s="1"/>
  <c r="O91" i="50" s="1"/>
  <c r="P91" i="50" s="1"/>
  <c r="Q91" i="50" s="1"/>
  <c r="R91" i="50" s="1"/>
  <c r="S91" i="50" s="1"/>
  <c r="T91" i="50" s="1"/>
  <c r="U91" i="50" s="1"/>
  <c r="V91" i="50" s="1"/>
  <c r="W91" i="50" s="1"/>
  <c r="X91" i="50" s="1"/>
  <c r="Y91" i="50" s="1"/>
  <c r="Z91" i="50" s="1"/>
  <c r="AA91" i="50" s="1"/>
  <c r="AB91" i="50" s="1"/>
  <c r="AC91" i="50" s="1"/>
  <c r="AD91" i="50" s="1"/>
  <c r="AE91" i="50" s="1"/>
  <c r="AF91" i="50" s="1"/>
  <c r="AG91" i="50" s="1"/>
  <c r="AH91" i="50" s="1"/>
  <c r="AI91" i="50" s="1"/>
  <c r="AJ91" i="50" s="1"/>
  <c r="AK91" i="50" s="1"/>
  <c r="AL91" i="50" s="1"/>
  <c r="AM91" i="50" s="1"/>
  <c r="AN91" i="50" s="1"/>
  <c r="AO91" i="50" s="1"/>
  <c r="AP91" i="50" s="1"/>
  <c r="AQ91" i="50" s="1"/>
  <c r="AR91" i="50" s="1"/>
  <c r="AS91" i="50" s="1"/>
  <c r="AT91" i="50" s="1"/>
  <c r="AU91" i="50" s="1"/>
  <c r="AV91" i="50" s="1"/>
  <c r="AW91" i="50" s="1"/>
  <c r="AX91" i="50" s="1"/>
  <c r="AY91" i="50" s="1"/>
  <c r="AZ91" i="50" s="1"/>
  <c r="BA91" i="50" s="1"/>
  <c r="BB91" i="50" s="1"/>
  <c r="BC91" i="50" s="1"/>
  <c r="BD91" i="50" s="1"/>
  <c r="BE91" i="50" s="1"/>
  <c r="BF91" i="50" s="1"/>
  <c r="BG91" i="50" s="1"/>
  <c r="BH91" i="50" s="1"/>
  <c r="BI91" i="50" s="1"/>
  <c r="C67" i="50"/>
  <c r="C66" i="50"/>
  <c r="C68" i="50" s="1"/>
  <c r="C71" i="49"/>
  <c r="C14" i="53" s="1"/>
  <c r="C116" i="51"/>
  <c r="C117" i="51" s="1"/>
  <c r="C124" i="51" s="1"/>
  <c r="C72" i="49"/>
  <c r="C13" i="53"/>
  <c r="C28" i="51"/>
  <c r="E51" i="50" l="1"/>
  <c r="F51" i="50" s="1"/>
  <c r="P350" i="47"/>
  <c r="P20" i="47" s="1"/>
  <c r="K433" i="47"/>
  <c r="K25" i="47" s="1"/>
  <c r="K392" i="47"/>
  <c r="L433" i="47"/>
  <c r="L25" i="47" s="1"/>
  <c r="L392" i="47"/>
  <c r="L22" i="47" s="1"/>
  <c r="M433" i="47"/>
  <c r="M25" i="47" s="1"/>
  <c r="M392" i="47"/>
  <c r="M22" i="47" s="1"/>
  <c r="T20" i="47"/>
  <c r="W20" i="47"/>
  <c r="AF20" i="47"/>
  <c r="AH20" i="47"/>
  <c r="AJ20" i="47"/>
  <c r="AL20" i="47"/>
  <c r="AO20" i="47"/>
  <c r="G25" i="47"/>
  <c r="H25" i="47"/>
  <c r="AE25" i="47"/>
  <c r="AG25" i="47"/>
  <c r="AJ25" i="47"/>
  <c r="AL25" i="47"/>
  <c r="AU25" i="47"/>
  <c r="J433" i="47"/>
  <c r="J25" i="47" s="1"/>
  <c r="J22" i="47"/>
  <c r="J350" i="47"/>
  <c r="J20" i="47" s="1"/>
  <c r="P22" i="47"/>
  <c r="P433" i="47"/>
  <c r="P25" i="47" s="1"/>
  <c r="O350" i="47"/>
  <c r="O20" i="47" s="1"/>
  <c r="O433" i="47"/>
  <c r="O25" i="47" s="1"/>
  <c r="O22" i="47"/>
  <c r="K350" i="47"/>
  <c r="K20" i="47" s="1"/>
  <c r="K22" i="47"/>
  <c r="M350" i="47"/>
  <c r="M20" i="47" s="1"/>
  <c r="AC126" i="67"/>
  <c r="AK126" i="67"/>
  <c r="R126" i="67"/>
  <c r="AH126" i="67"/>
  <c r="C165" i="47"/>
  <c r="C166" i="47" s="1"/>
  <c r="C18" i="47" s="1"/>
  <c r="C103" i="64" s="1"/>
  <c r="C415" i="47"/>
  <c r="C24" i="47" s="1"/>
  <c r="C109" i="64" s="1"/>
  <c r="C219" i="47"/>
  <c r="C220" i="47" s="1"/>
  <c r="C19" i="47" s="1"/>
  <c r="C104" i="64" s="1"/>
  <c r="AF126" i="67"/>
  <c r="X126" i="67"/>
  <c r="W126" i="67"/>
  <c r="AF109" i="64"/>
  <c r="Y126" i="67"/>
  <c r="AI126" i="67"/>
  <c r="S126" i="67"/>
  <c r="AB126" i="67"/>
  <c r="AA126" i="67"/>
  <c r="Q126" i="67"/>
  <c r="AG126" i="67"/>
  <c r="AD126" i="67"/>
  <c r="AJ126" i="67"/>
  <c r="Y109" i="64"/>
  <c r="AE126" i="67"/>
  <c r="T126" i="67"/>
  <c r="U126" i="67"/>
  <c r="Z126" i="67"/>
  <c r="X109" i="64"/>
  <c r="AN109" i="64"/>
  <c r="V126" i="67"/>
  <c r="AO109" i="64"/>
  <c r="AI109" i="64"/>
  <c r="AK123" i="67"/>
  <c r="AJ123" i="67"/>
  <c r="AI123" i="67"/>
  <c r="AH123" i="67"/>
  <c r="AK119" i="67"/>
  <c r="AJ119" i="67"/>
  <c r="AI119" i="67"/>
  <c r="J73" i="67"/>
  <c r="L64" i="67"/>
  <c r="J72" i="67"/>
  <c r="L71" i="67"/>
  <c r="K67" i="67"/>
  <c r="L66" i="67"/>
  <c r="K62" i="67"/>
  <c r="L63" i="67"/>
  <c r="K69" i="67"/>
  <c r="K68" i="67"/>
  <c r="K65" i="67"/>
  <c r="K70" i="67"/>
  <c r="AK102" i="64"/>
  <c r="AD119" i="67"/>
  <c r="AG102" i="64"/>
  <c r="Z119" i="67"/>
  <c r="AC102" i="64"/>
  <c r="Y102" i="64"/>
  <c r="R119" i="67"/>
  <c r="U102" i="64"/>
  <c r="Q102" i="64"/>
  <c r="AB106" i="64"/>
  <c r="U123" i="67"/>
  <c r="K106" i="64"/>
  <c r="D123" i="67"/>
  <c r="N106" i="64"/>
  <c r="G123" i="67"/>
  <c r="S106" i="64"/>
  <c r="L123" i="67"/>
  <c r="L106" i="64"/>
  <c r="E123" i="67"/>
  <c r="AI106" i="64"/>
  <c r="AB123" i="67"/>
  <c r="U106" i="64"/>
  <c r="N123" i="67"/>
  <c r="AN102" i="64"/>
  <c r="AG119" i="67"/>
  <c r="AJ102" i="64"/>
  <c r="AC119" i="67"/>
  <c r="AF102" i="64"/>
  <c r="AB102" i="64"/>
  <c r="U119" i="67"/>
  <c r="T102" i="64"/>
  <c r="Z106" i="64"/>
  <c r="S123" i="67"/>
  <c r="T106" i="64"/>
  <c r="M123" i="67"/>
  <c r="V106" i="64"/>
  <c r="O123" i="67"/>
  <c r="O106" i="64"/>
  <c r="H123" i="67"/>
  <c r="AJ106" i="64"/>
  <c r="AC123" i="67"/>
  <c r="J106" i="64"/>
  <c r="C123" i="67"/>
  <c r="P106" i="64"/>
  <c r="I123" i="67"/>
  <c r="AM106" i="64"/>
  <c r="AF123" i="67"/>
  <c r="AO102" i="64"/>
  <c r="AH119" i="67"/>
  <c r="AM102" i="64"/>
  <c r="AF119" i="67"/>
  <c r="AI102" i="64"/>
  <c r="AB119" i="67"/>
  <c r="AE102" i="64"/>
  <c r="AA102" i="64"/>
  <c r="T119" i="67"/>
  <c r="W102" i="64"/>
  <c r="S102" i="64"/>
  <c r="AH106" i="64"/>
  <c r="AA123" i="67"/>
  <c r="AD106" i="64"/>
  <c r="W123" i="67"/>
  <c r="AL106" i="64"/>
  <c r="AE123" i="67"/>
  <c r="AK106" i="64"/>
  <c r="AD123" i="67"/>
  <c r="R106" i="64"/>
  <c r="K123" i="67"/>
  <c r="Y106" i="64"/>
  <c r="R123" i="67"/>
  <c r="AG106" i="64"/>
  <c r="Z123" i="67"/>
  <c r="Q106" i="64"/>
  <c r="J123" i="67"/>
  <c r="AL102" i="64"/>
  <c r="AE119" i="67"/>
  <c r="AH102" i="64"/>
  <c r="AA119" i="67"/>
  <c r="AD102" i="64"/>
  <c r="Z102" i="64"/>
  <c r="V102" i="64"/>
  <c r="R102" i="64"/>
  <c r="AA106" i="64"/>
  <c r="T123" i="67"/>
  <c r="X106" i="64"/>
  <c r="Q123" i="67"/>
  <c r="W106" i="64"/>
  <c r="P123" i="67"/>
  <c r="AF106" i="64"/>
  <c r="Y123" i="67"/>
  <c r="AC106" i="64"/>
  <c r="V123" i="67"/>
  <c r="AN106" i="64"/>
  <c r="AG123" i="67"/>
  <c r="AE106" i="64"/>
  <c r="X123" i="67"/>
  <c r="M106" i="64"/>
  <c r="F123" i="67"/>
  <c r="D249" i="52"/>
  <c r="E118" i="52"/>
  <c r="E110" i="52"/>
  <c r="E107" i="52"/>
  <c r="E111" i="52"/>
  <c r="E114" i="52"/>
  <c r="E108" i="52"/>
  <c r="E105" i="52"/>
  <c r="E115" i="52"/>
  <c r="E119" i="52"/>
  <c r="E117" i="52"/>
  <c r="E116" i="52"/>
  <c r="E112" i="52"/>
  <c r="E109" i="52"/>
  <c r="E106" i="52"/>
  <c r="E122" i="52"/>
  <c r="E113" i="52"/>
  <c r="E121" i="52"/>
  <c r="E120" i="52"/>
  <c r="D239" i="52"/>
  <c r="C40" i="47"/>
  <c r="D243" i="52"/>
  <c r="D236" i="52"/>
  <c r="D248" i="52"/>
  <c r="D250" i="52"/>
  <c r="D237" i="52"/>
  <c r="D246" i="52"/>
  <c r="D242" i="52"/>
  <c r="D238" i="52"/>
  <c r="D241" i="52"/>
  <c r="D247" i="52"/>
  <c r="D251" i="52"/>
  <c r="D235" i="52"/>
  <c r="D245" i="52"/>
  <c r="D252" i="52"/>
  <c r="D149" i="51"/>
  <c r="D201" i="51" s="1"/>
  <c r="D87" i="53" s="1"/>
  <c r="E149" i="51"/>
  <c r="F149" i="51"/>
  <c r="G149" i="51"/>
  <c r="H149" i="51"/>
  <c r="I149" i="51"/>
  <c r="J149" i="51"/>
  <c r="K149" i="51"/>
  <c r="L149" i="51"/>
  <c r="M149" i="51"/>
  <c r="D240" i="52"/>
  <c r="D244" i="52"/>
  <c r="D92" i="50"/>
  <c r="D95" i="50" s="1"/>
  <c r="D128" i="50"/>
  <c r="D135" i="50" s="1"/>
  <c r="D104" i="50"/>
  <c r="D106" i="50" s="1"/>
  <c r="C106" i="50"/>
  <c r="C108" i="50" s="1"/>
  <c r="C94" i="50"/>
  <c r="C96" i="50" s="1"/>
  <c r="D64" i="50"/>
  <c r="D69" i="50" s="1"/>
  <c r="D52" i="50"/>
  <c r="D59" i="50" s="1"/>
  <c r="E449" i="47"/>
  <c r="E451" i="47" s="1"/>
  <c r="D451" i="47"/>
  <c r="C54" i="50"/>
  <c r="C56" i="50" s="1"/>
  <c r="F103" i="50"/>
  <c r="G103" i="50" s="1"/>
  <c r="C55" i="50"/>
  <c r="C130" i="50"/>
  <c r="C132" i="50" s="1"/>
  <c r="E76" i="54"/>
  <c r="F101" i="54"/>
  <c r="F65" i="54"/>
  <c r="E85" i="54"/>
  <c r="F98" i="54"/>
  <c r="F64" i="54"/>
  <c r="F63" i="50"/>
  <c r="F72" i="50" s="1"/>
  <c r="F100" i="54"/>
  <c r="F99" i="54"/>
  <c r="D159" i="53"/>
  <c r="D207" i="53" s="1"/>
  <c r="D158" i="53"/>
  <c r="D206" i="53" s="1"/>
  <c r="D171" i="53"/>
  <c r="D219" i="53" s="1"/>
  <c r="D168" i="53"/>
  <c r="D216" i="53" s="1"/>
  <c r="D167" i="53"/>
  <c r="D215" i="53" s="1"/>
  <c r="D170" i="53"/>
  <c r="D218" i="53" s="1"/>
  <c r="D157" i="53"/>
  <c r="D205" i="53" s="1"/>
  <c r="D165" i="53"/>
  <c r="D213" i="53" s="1"/>
  <c r="D169" i="53"/>
  <c r="D217" i="53" s="1"/>
  <c r="D161" i="53"/>
  <c r="D209" i="53" s="1"/>
  <c r="D160" i="53"/>
  <c r="D208" i="53" s="1"/>
  <c r="D156" i="53"/>
  <c r="D204" i="53" s="1"/>
  <c r="D163" i="53"/>
  <c r="D211" i="53" s="1"/>
  <c r="D166" i="53"/>
  <c r="D214" i="53" s="1"/>
  <c r="D154" i="53"/>
  <c r="D202" i="53" s="1"/>
  <c r="D164" i="53"/>
  <c r="D212" i="53" s="1"/>
  <c r="D155" i="53"/>
  <c r="D203" i="53" s="1"/>
  <c r="D162" i="53"/>
  <c r="D210" i="53" s="1"/>
  <c r="C125" i="51"/>
  <c r="C15" i="53"/>
  <c r="D137" i="53"/>
  <c r="D147" i="53"/>
  <c r="D149" i="53"/>
  <c r="D140" i="53"/>
  <c r="D142" i="53"/>
  <c r="D144" i="53"/>
  <c r="D134" i="53"/>
  <c r="D136" i="53"/>
  <c r="D148" i="53"/>
  <c r="D138" i="53"/>
  <c r="D132" i="53"/>
  <c r="D135" i="53"/>
  <c r="D145" i="53"/>
  <c r="D139" i="53"/>
  <c r="D141" i="53"/>
  <c r="D143" i="53"/>
  <c r="D133" i="53"/>
  <c r="D146" i="53"/>
  <c r="C27" i="47" l="1"/>
  <c r="E23" i="64" s="1"/>
  <c r="D415" i="47"/>
  <c r="D24" i="47" s="1"/>
  <c r="D109" i="64" s="1"/>
  <c r="L70" i="67"/>
  <c r="L65" i="67"/>
  <c r="L62" i="67"/>
  <c r="M71" i="67"/>
  <c r="L69" i="67"/>
  <c r="M66" i="67"/>
  <c r="M64" i="67"/>
  <c r="L67" i="67"/>
  <c r="K72" i="67"/>
  <c r="K73" i="67"/>
  <c r="L68" i="67"/>
  <c r="M63" i="67"/>
  <c r="AR23" i="47"/>
  <c r="AP23" i="47"/>
  <c r="AU23" i="47"/>
  <c r="AV23" i="47"/>
  <c r="U23" i="47"/>
  <c r="AQ23" i="47"/>
  <c r="AS23" i="47"/>
  <c r="AT23" i="47"/>
  <c r="AY23" i="47"/>
  <c r="AZ23" i="47"/>
  <c r="V23" i="47"/>
  <c r="AW23" i="47"/>
  <c r="AX23" i="47"/>
  <c r="AO23" i="47"/>
  <c r="D111" i="50"/>
  <c r="D113" i="50" s="1"/>
  <c r="D94" i="50"/>
  <c r="D96" i="50" s="1"/>
  <c r="D99" i="50"/>
  <c r="D131" i="50"/>
  <c r="D109" i="50"/>
  <c r="E109" i="50" s="1"/>
  <c r="F109" i="50" s="1"/>
  <c r="G109" i="50" s="1"/>
  <c r="H109" i="50" s="1"/>
  <c r="I109" i="50" s="1"/>
  <c r="J109" i="50" s="1"/>
  <c r="K109" i="50" s="1"/>
  <c r="L109" i="50" s="1"/>
  <c r="M109" i="50" s="1"/>
  <c r="N109" i="50" s="1"/>
  <c r="O109" i="50" s="1"/>
  <c r="P109" i="50" s="1"/>
  <c r="Q109" i="50" s="1"/>
  <c r="R109" i="50" s="1"/>
  <c r="S109" i="50" s="1"/>
  <c r="T109" i="50" s="1"/>
  <c r="U109" i="50" s="1"/>
  <c r="V109" i="50" s="1"/>
  <c r="W109" i="50" s="1"/>
  <c r="X109" i="50" s="1"/>
  <c r="Y109" i="50" s="1"/>
  <c r="Z109" i="50" s="1"/>
  <c r="AA109" i="50" s="1"/>
  <c r="AB109" i="50" s="1"/>
  <c r="AC109" i="50" s="1"/>
  <c r="AD109" i="50" s="1"/>
  <c r="AE109" i="50" s="1"/>
  <c r="AF109" i="50" s="1"/>
  <c r="AG109" i="50" s="1"/>
  <c r="AH109" i="50" s="1"/>
  <c r="AI109" i="50" s="1"/>
  <c r="AJ109" i="50" s="1"/>
  <c r="AK109" i="50" s="1"/>
  <c r="AL109" i="50" s="1"/>
  <c r="AM109" i="50" s="1"/>
  <c r="AN109" i="50" s="1"/>
  <c r="AO109" i="50" s="1"/>
  <c r="AP109" i="50" s="1"/>
  <c r="AQ109" i="50" s="1"/>
  <c r="AR109" i="50" s="1"/>
  <c r="AS109" i="50" s="1"/>
  <c r="AT109" i="50" s="1"/>
  <c r="AU109" i="50" s="1"/>
  <c r="AV109" i="50" s="1"/>
  <c r="AW109" i="50" s="1"/>
  <c r="AX109" i="50" s="1"/>
  <c r="AY109" i="50" s="1"/>
  <c r="AZ109" i="50" s="1"/>
  <c r="BA109" i="50" s="1"/>
  <c r="BB109" i="50" s="1"/>
  <c r="BC109" i="50" s="1"/>
  <c r="BD109" i="50" s="1"/>
  <c r="BE109" i="50" s="1"/>
  <c r="BF109" i="50" s="1"/>
  <c r="BG109" i="50" s="1"/>
  <c r="BH109" i="50" s="1"/>
  <c r="D107" i="50"/>
  <c r="D130" i="50"/>
  <c r="D132" i="50" s="1"/>
  <c r="D133" i="50"/>
  <c r="E133" i="50" s="1"/>
  <c r="F133" i="50" s="1"/>
  <c r="G133" i="50" s="1"/>
  <c r="H133" i="50" s="1"/>
  <c r="I133" i="50" s="1"/>
  <c r="J133" i="50" s="1"/>
  <c r="K133" i="50" s="1"/>
  <c r="L133" i="50" s="1"/>
  <c r="M133" i="50" s="1"/>
  <c r="N133" i="50" s="1"/>
  <c r="O133" i="50" s="1"/>
  <c r="P133" i="50" s="1"/>
  <c r="Q133" i="50" s="1"/>
  <c r="R133" i="50" s="1"/>
  <c r="S133" i="50" s="1"/>
  <c r="T133" i="50" s="1"/>
  <c r="U133" i="50" s="1"/>
  <c r="V133" i="50" s="1"/>
  <c r="W133" i="50" s="1"/>
  <c r="X133" i="50" s="1"/>
  <c r="Y133" i="50" s="1"/>
  <c r="Z133" i="50" s="1"/>
  <c r="AA133" i="50" s="1"/>
  <c r="AB133" i="50" s="1"/>
  <c r="AC133" i="50" s="1"/>
  <c r="AD133" i="50" s="1"/>
  <c r="AE133" i="50" s="1"/>
  <c r="AF133" i="50" s="1"/>
  <c r="AG133" i="50" s="1"/>
  <c r="AH133" i="50" s="1"/>
  <c r="AI133" i="50" s="1"/>
  <c r="AJ133" i="50" s="1"/>
  <c r="AK133" i="50" s="1"/>
  <c r="AL133" i="50" s="1"/>
  <c r="AM133" i="50" s="1"/>
  <c r="AN133" i="50" s="1"/>
  <c r="AO133" i="50" s="1"/>
  <c r="AP133" i="50" s="1"/>
  <c r="AQ133" i="50" s="1"/>
  <c r="AR133" i="50" s="1"/>
  <c r="AS133" i="50" s="1"/>
  <c r="AT133" i="50" s="1"/>
  <c r="AU133" i="50" s="1"/>
  <c r="AV133" i="50" s="1"/>
  <c r="AW133" i="50" s="1"/>
  <c r="AX133" i="50" s="1"/>
  <c r="AY133" i="50" s="1"/>
  <c r="AZ133" i="50" s="1"/>
  <c r="BA133" i="50" s="1"/>
  <c r="BB133" i="50" s="1"/>
  <c r="BC133" i="50" s="1"/>
  <c r="BD133" i="50" s="1"/>
  <c r="BE133" i="50" s="1"/>
  <c r="BF133" i="50" s="1"/>
  <c r="BG133" i="50" s="1"/>
  <c r="BH133" i="50" s="1"/>
  <c r="D97" i="50"/>
  <c r="E97" i="50" s="1"/>
  <c r="F97" i="50" s="1"/>
  <c r="G97" i="50" s="1"/>
  <c r="H97" i="50" s="1"/>
  <c r="I97" i="50" s="1"/>
  <c r="J97" i="50" s="1"/>
  <c r="K97" i="50" s="1"/>
  <c r="L97" i="50" s="1"/>
  <c r="M97" i="50" s="1"/>
  <c r="N97" i="50" s="1"/>
  <c r="O97" i="50" s="1"/>
  <c r="P97" i="50" s="1"/>
  <c r="Q97" i="50" s="1"/>
  <c r="R97" i="50" s="1"/>
  <c r="S97" i="50" s="1"/>
  <c r="T97" i="50" s="1"/>
  <c r="U97" i="50" s="1"/>
  <c r="V97" i="50" s="1"/>
  <c r="W97" i="50" s="1"/>
  <c r="X97" i="50" s="1"/>
  <c r="Y97" i="50" s="1"/>
  <c r="Z97" i="50" s="1"/>
  <c r="AA97" i="50" s="1"/>
  <c r="AB97" i="50" s="1"/>
  <c r="AC97" i="50" s="1"/>
  <c r="AD97" i="50" s="1"/>
  <c r="AE97" i="50" s="1"/>
  <c r="AF97" i="50" s="1"/>
  <c r="AG97" i="50" s="1"/>
  <c r="AH97" i="50" s="1"/>
  <c r="AI97" i="50" s="1"/>
  <c r="AJ97" i="50" s="1"/>
  <c r="AK97" i="50" s="1"/>
  <c r="AL97" i="50" s="1"/>
  <c r="AM97" i="50" s="1"/>
  <c r="AN97" i="50" s="1"/>
  <c r="AO97" i="50" s="1"/>
  <c r="AP97" i="50" s="1"/>
  <c r="AQ97" i="50" s="1"/>
  <c r="AR97" i="50" s="1"/>
  <c r="AS97" i="50" s="1"/>
  <c r="AT97" i="50" s="1"/>
  <c r="AU97" i="50" s="1"/>
  <c r="AV97" i="50" s="1"/>
  <c r="AW97" i="50" s="1"/>
  <c r="AX97" i="50" s="1"/>
  <c r="AY97" i="50" s="1"/>
  <c r="AZ97" i="50" s="1"/>
  <c r="BA97" i="50" s="1"/>
  <c r="BB97" i="50" s="1"/>
  <c r="BC97" i="50" s="1"/>
  <c r="BD97" i="50" s="1"/>
  <c r="BE97" i="50" s="1"/>
  <c r="BF97" i="50" s="1"/>
  <c r="BG97" i="50" s="1"/>
  <c r="BH97" i="50" s="1"/>
  <c r="H23" i="47"/>
  <c r="H108" i="64" s="1"/>
  <c r="F112" i="50"/>
  <c r="AN23" i="47"/>
  <c r="O23" i="47"/>
  <c r="AL23" i="47"/>
  <c r="AE23" i="47"/>
  <c r="X23" i="47"/>
  <c r="J23" i="47"/>
  <c r="C23" i="47"/>
  <c r="C108" i="64" s="1"/>
  <c r="AI23" i="47"/>
  <c r="AB23" i="47"/>
  <c r="Z23" i="47"/>
  <c r="S23" i="47"/>
  <c r="L23" i="47"/>
  <c r="F107" i="64"/>
  <c r="G107" i="64"/>
  <c r="M23" i="47"/>
  <c r="AG23" i="47"/>
  <c r="Q23" i="47"/>
  <c r="AK23" i="47"/>
  <c r="N23" i="47"/>
  <c r="AD23" i="47"/>
  <c r="G23" i="47"/>
  <c r="G108" i="64" s="1"/>
  <c r="W23" i="47"/>
  <c r="AM23" i="47"/>
  <c r="P23" i="47"/>
  <c r="AF23" i="47"/>
  <c r="E23" i="47"/>
  <c r="E108" i="64" s="1"/>
  <c r="Y23" i="47"/>
  <c r="R23" i="47"/>
  <c r="AH23" i="47"/>
  <c r="K23" i="47"/>
  <c r="AA23" i="47"/>
  <c r="D23" i="47"/>
  <c r="D108" i="64" s="1"/>
  <c r="T23" i="47"/>
  <c r="AJ23" i="47"/>
  <c r="I23" i="47"/>
  <c r="I108" i="64" s="1"/>
  <c r="AC23" i="47"/>
  <c r="F23" i="47"/>
  <c r="F108" i="64" s="1"/>
  <c r="D55" i="50"/>
  <c r="D54" i="50"/>
  <c r="D56" i="50" s="1"/>
  <c r="D57" i="50"/>
  <c r="E57" i="50" s="1"/>
  <c r="F57" i="50" s="1"/>
  <c r="G57" i="50" s="1"/>
  <c r="H57" i="50" s="1"/>
  <c r="I57" i="50" s="1"/>
  <c r="J57" i="50" s="1"/>
  <c r="K57" i="50" s="1"/>
  <c r="L57" i="50" s="1"/>
  <c r="M57" i="50" s="1"/>
  <c r="N57" i="50" s="1"/>
  <c r="O57" i="50" s="1"/>
  <c r="P57" i="50" s="1"/>
  <c r="Q57" i="50" s="1"/>
  <c r="R57" i="50" s="1"/>
  <c r="S57" i="50" s="1"/>
  <c r="T57" i="50" s="1"/>
  <c r="U57" i="50" s="1"/>
  <c r="V57" i="50" s="1"/>
  <c r="W57" i="50" s="1"/>
  <c r="X57" i="50" s="1"/>
  <c r="Y57" i="50" s="1"/>
  <c r="Z57" i="50" s="1"/>
  <c r="AA57" i="50" s="1"/>
  <c r="AB57" i="50" s="1"/>
  <c r="AC57" i="50" s="1"/>
  <c r="AD57" i="50" s="1"/>
  <c r="AE57" i="50" s="1"/>
  <c r="AF57" i="50" s="1"/>
  <c r="AG57" i="50" s="1"/>
  <c r="AH57" i="50" s="1"/>
  <c r="AI57" i="50" s="1"/>
  <c r="AJ57" i="50" s="1"/>
  <c r="AK57" i="50" s="1"/>
  <c r="AL57" i="50" s="1"/>
  <c r="AM57" i="50" s="1"/>
  <c r="AN57" i="50" s="1"/>
  <c r="AO57" i="50" s="1"/>
  <c r="AP57" i="50" s="1"/>
  <c r="AQ57" i="50" s="1"/>
  <c r="AR57" i="50" s="1"/>
  <c r="AS57" i="50" s="1"/>
  <c r="AT57" i="50" s="1"/>
  <c r="AU57" i="50" s="1"/>
  <c r="AV57" i="50" s="1"/>
  <c r="AW57" i="50" s="1"/>
  <c r="AX57" i="50" s="1"/>
  <c r="AY57" i="50" s="1"/>
  <c r="AZ57" i="50" s="1"/>
  <c r="BA57" i="50" s="1"/>
  <c r="BB57" i="50" s="1"/>
  <c r="BC57" i="50" s="1"/>
  <c r="BD57" i="50" s="1"/>
  <c r="BE57" i="50" s="1"/>
  <c r="BF57" i="50" s="1"/>
  <c r="BG57" i="50" s="1"/>
  <c r="BH57" i="50" s="1"/>
  <c r="D66" i="50"/>
  <c r="D68" i="50" s="1"/>
  <c r="D67" i="50"/>
  <c r="D71" i="50"/>
  <c r="D73" i="50" s="1"/>
  <c r="D77" i="50" s="1"/>
  <c r="G63" i="50"/>
  <c r="G72" i="50" s="1"/>
  <c r="E86" i="54"/>
  <c r="E87" i="54" s="1"/>
  <c r="E69" i="50"/>
  <c r="F69" i="50" s="1"/>
  <c r="G69" i="50" s="1"/>
  <c r="H69" i="50" s="1"/>
  <c r="I69" i="50" s="1"/>
  <c r="J69" i="50" s="1"/>
  <c r="K69" i="50" s="1"/>
  <c r="L69" i="50" s="1"/>
  <c r="M69" i="50" s="1"/>
  <c r="N69" i="50" s="1"/>
  <c r="O69" i="50" s="1"/>
  <c r="P69" i="50" s="1"/>
  <c r="Q69" i="50" s="1"/>
  <c r="R69" i="50" s="1"/>
  <c r="S69" i="50" s="1"/>
  <c r="T69" i="50" s="1"/>
  <c r="U69" i="50" s="1"/>
  <c r="V69" i="50" s="1"/>
  <c r="W69" i="50" s="1"/>
  <c r="X69" i="50" s="1"/>
  <c r="Y69" i="50" s="1"/>
  <c r="Z69" i="50" s="1"/>
  <c r="AA69" i="50" s="1"/>
  <c r="AB69" i="50" s="1"/>
  <c r="AC69" i="50" s="1"/>
  <c r="AD69" i="50" s="1"/>
  <c r="AE69" i="50" s="1"/>
  <c r="AF69" i="50" s="1"/>
  <c r="AG69" i="50" s="1"/>
  <c r="AH69" i="50" s="1"/>
  <c r="AI69" i="50" s="1"/>
  <c r="AJ69" i="50" s="1"/>
  <c r="AK69" i="50" s="1"/>
  <c r="AL69" i="50" s="1"/>
  <c r="AM69" i="50" s="1"/>
  <c r="AN69" i="50" s="1"/>
  <c r="AO69" i="50" s="1"/>
  <c r="AP69" i="50" s="1"/>
  <c r="AQ69" i="50" s="1"/>
  <c r="AR69" i="50" s="1"/>
  <c r="AS69" i="50" s="1"/>
  <c r="AT69" i="50" s="1"/>
  <c r="AU69" i="50" s="1"/>
  <c r="AV69" i="50" s="1"/>
  <c r="AW69" i="50" s="1"/>
  <c r="AX69" i="50" s="1"/>
  <c r="AY69" i="50" s="1"/>
  <c r="AZ69" i="50" s="1"/>
  <c r="BA69" i="50" s="1"/>
  <c r="BB69" i="50" s="1"/>
  <c r="BC69" i="50" s="1"/>
  <c r="BD69" i="50" s="1"/>
  <c r="BE69" i="50" s="1"/>
  <c r="BF69" i="50" s="1"/>
  <c r="BG69" i="50" s="1"/>
  <c r="BH69" i="50" s="1"/>
  <c r="D184" i="53"/>
  <c r="D230" i="53" s="1"/>
  <c r="C133" i="63" s="1"/>
  <c r="D110" i="50"/>
  <c r="D108" i="50"/>
  <c r="G51" i="50"/>
  <c r="D189" i="53"/>
  <c r="D235" i="53" s="1"/>
  <c r="C138" i="63" s="1"/>
  <c r="D180" i="53"/>
  <c r="D226" i="53" s="1"/>
  <c r="C129" i="63" s="1"/>
  <c r="D150" i="53"/>
  <c r="D182" i="53"/>
  <c r="D228" i="53" s="1"/>
  <c r="C131" i="63" s="1"/>
  <c r="D197" i="53"/>
  <c r="D243" i="53" s="1"/>
  <c r="C146" i="63" s="1"/>
  <c r="D191" i="53"/>
  <c r="D237" i="53" s="1"/>
  <c r="C140" i="63" s="1"/>
  <c r="D183" i="53"/>
  <c r="D229" i="53" s="1"/>
  <c r="C132" i="63" s="1"/>
  <c r="D188" i="53"/>
  <c r="D234" i="53" s="1"/>
  <c r="C137" i="63" s="1"/>
  <c r="D194" i="53"/>
  <c r="D240" i="53" s="1"/>
  <c r="C143" i="63" s="1"/>
  <c r="D187" i="53"/>
  <c r="D233" i="53" s="1"/>
  <c r="C136" i="63" s="1"/>
  <c r="D186" i="53"/>
  <c r="D232" i="53" s="1"/>
  <c r="C135" i="63" s="1"/>
  <c r="D192" i="53"/>
  <c r="D238" i="53" s="1"/>
  <c r="C141" i="63" s="1"/>
  <c r="D195" i="53"/>
  <c r="D241" i="53" s="1"/>
  <c r="C144" i="63" s="1"/>
  <c r="D181" i="53"/>
  <c r="D227" i="53" s="1"/>
  <c r="C130" i="63" s="1"/>
  <c r="D193" i="53"/>
  <c r="D239" i="53" s="1"/>
  <c r="C142" i="63" s="1"/>
  <c r="D196" i="53"/>
  <c r="D242" i="53" s="1"/>
  <c r="C145" i="63" s="1"/>
  <c r="D190" i="53"/>
  <c r="D236" i="53" s="1"/>
  <c r="C139" i="63" s="1"/>
  <c r="D185" i="53"/>
  <c r="D231" i="53" s="1"/>
  <c r="C134" i="63" s="1"/>
  <c r="D254" i="52"/>
  <c r="C24" i="63" s="1"/>
  <c r="E118" i="53"/>
  <c r="E106" i="53"/>
  <c r="E115" i="53"/>
  <c r="E107" i="53"/>
  <c r="E114" i="53"/>
  <c r="E112" i="53"/>
  <c r="E110" i="53"/>
  <c r="E123" i="53"/>
  <c r="E109" i="53"/>
  <c r="E116" i="53"/>
  <c r="E119" i="53"/>
  <c r="E121" i="53"/>
  <c r="E113" i="53"/>
  <c r="E120" i="53"/>
  <c r="E111" i="53"/>
  <c r="E117" i="53"/>
  <c r="E122" i="53"/>
  <c r="E108" i="53"/>
  <c r="H103" i="50"/>
  <c r="G112" i="50"/>
  <c r="E415" i="47" l="1"/>
  <c r="E24" i="47" s="1"/>
  <c r="E109" i="64" s="1"/>
  <c r="I107" i="64"/>
  <c r="G105" i="64"/>
  <c r="H107" i="64"/>
  <c r="E107" i="64"/>
  <c r="F105" i="64"/>
  <c r="AK124" i="67"/>
  <c r="AJ124" i="67"/>
  <c r="AK122" i="67"/>
  <c r="AK125" i="67"/>
  <c r="AJ122" i="67"/>
  <c r="AI124" i="67"/>
  <c r="AI122" i="67"/>
  <c r="AJ125" i="67"/>
  <c r="AI125" i="67"/>
  <c r="M67" i="67"/>
  <c r="N66" i="67"/>
  <c r="M65" i="67"/>
  <c r="L73" i="67"/>
  <c r="N71" i="67"/>
  <c r="N63" i="67"/>
  <c r="M70" i="67"/>
  <c r="M68" i="67"/>
  <c r="L72" i="67"/>
  <c r="N64" i="67"/>
  <c r="M69" i="67"/>
  <c r="M62" i="67"/>
  <c r="L107" i="64"/>
  <c r="T108" i="64"/>
  <c r="M125" i="67"/>
  <c r="AH108" i="64"/>
  <c r="AA125" i="67"/>
  <c r="AF108" i="64"/>
  <c r="Y125" i="67"/>
  <c r="Q108" i="64"/>
  <c r="J125" i="67"/>
  <c r="AM107" i="64"/>
  <c r="AF124" i="67"/>
  <c r="AI107" i="64"/>
  <c r="AB124" i="67"/>
  <c r="AE107" i="64"/>
  <c r="X124" i="67"/>
  <c r="AA107" i="64"/>
  <c r="T124" i="67"/>
  <c r="W107" i="64"/>
  <c r="P124" i="67"/>
  <c r="S107" i="64"/>
  <c r="L124" i="67"/>
  <c r="O107" i="64"/>
  <c r="H124" i="67"/>
  <c r="J107" i="64"/>
  <c r="AM105" i="64"/>
  <c r="AF122" i="67"/>
  <c r="AI105" i="64"/>
  <c r="AB122" i="67"/>
  <c r="AE105" i="64"/>
  <c r="X122" i="67"/>
  <c r="AA105" i="64"/>
  <c r="T122" i="67"/>
  <c r="W105" i="64"/>
  <c r="P122" i="67"/>
  <c r="S105" i="64"/>
  <c r="O105" i="64"/>
  <c r="AB108" i="64"/>
  <c r="U125" i="67"/>
  <c r="X108" i="64"/>
  <c r="Q125" i="67"/>
  <c r="AN108" i="64"/>
  <c r="AG125" i="67"/>
  <c r="AO108" i="64"/>
  <c r="AH125" i="67"/>
  <c r="AO105" i="64"/>
  <c r="AH122" i="67"/>
  <c r="AC108" i="64"/>
  <c r="V125" i="67"/>
  <c r="R108" i="64"/>
  <c r="K125" i="67"/>
  <c r="P108" i="64"/>
  <c r="I125" i="67"/>
  <c r="AD108" i="64"/>
  <c r="W125" i="67"/>
  <c r="AG108" i="64"/>
  <c r="Z125" i="67"/>
  <c r="AL107" i="64"/>
  <c r="AE124" i="67"/>
  <c r="AH107" i="64"/>
  <c r="AA124" i="67"/>
  <c r="AD107" i="64"/>
  <c r="W124" i="67"/>
  <c r="Z107" i="64"/>
  <c r="S124" i="67"/>
  <c r="V107" i="64"/>
  <c r="O124" i="67"/>
  <c r="R107" i="64"/>
  <c r="N107" i="64"/>
  <c r="G124" i="67"/>
  <c r="AL105" i="64"/>
  <c r="AE122" i="67"/>
  <c r="AH105" i="64"/>
  <c r="AA122" i="67"/>
  <c r="AD105" i="64"/>
  <c r="W122" i="67"/>
  <c r="Z105" i="64"/>
  <c r="S122" i="67"/>
  <c r="V105" i="64"/>
  <c r="O122" i="67"/>
  <c r="R105" i="64"/>
  <c r="N105" i="64"/>
  <c r="L108" i="64"/>
  <c r="E125" i="67"/>
  <c r="AI108" i="64"/>
  <c r="AB125" i="67"/>
  <c r="AE108" i="64"/>
  <c r="X125" i="67"/>
  <c r="U108" i="64"/>
  <c r="N125" i="67"/>
  <c r="AA108" i="64"/>
  <c r="T125" i="67"/>
  <c r="Y108" i="64"/>
  <c r="R125" i="67"/>
  <c r="AM108" i="64"/>
  <c r="AF125" i="67"/>
  <c r="N108" i="64"/>
  <c r="G125" i="67"/>
  <c r="M108" i="64"/>
  <c r="F125" i="67"/>
  <c r="AK107" i="64"/>
  <c r="AD124" i="67"/>
  <c r="AG107" i="64"/>
  <c r="Z124" i="67"/>
  <c r="AC107" i="64"/>
  <c r="V124" i="67"/>
  <c r="Y107" i="64"/>
  <c r="R124" i="67"/>
  <c r="U107" i="64"/>
  <c r="N124" i="67"/>
  <c r="Q107" i="64"/>
  <c r="M107" i="64"/>
  <c r="F124" i="67"/>
  <c r="K107" i="64"/>
  <c r="AK105" i="64"/>
  <c r="AD122" i="67"/>
  <c r="AG105" i="64"/>
  <c r="Z122" i="67"/>
  <c r="AC105" i="64"/>
  <c r="V122" i="67"/>
  <c r="Y105" i="64"/>
  <c r="R122" i="67"/>
  <c r="U105" i="64"/>
  <c r="N122" i="67"/>
  <c r="Q105" i="64"/>
  <c r="M105" i="64"/>
  <c r="S108" i="64"/>
  <c r="L125" i="67"/>
  <c r="AL108" i="64"/>
  <c r="AE125" i="67"/>
  <c r="K105" i="64"/>
  <c r="AJ108" i="64"/>
  <c r="AC125" i="67"/>
  <c r="K108" i="64"/>
  <c r="D125" i="67"/>
  <c r="W108" i="64"/>
  <c r="P125" i="67"/>
  <c r="AK108" i="64"/>
  <c r="AD125" i="67"/>
  <c r="AN107" i="64"/>
  <c r="AG124" i="67"/>
  <c r="AJ107" i="64"/>
  <c r="AC124" i="67"/>
  <c r="AF107" i="64"/>
  <c r="Y124" i="67"/>
  <c r="AB107" i="64"/>
  <c r="U124" i="67"/>
  <c r="X107" i="64"/>
  <c r="Q124" i="67"/>
  <c r="T107" i="64"/>
  <c r="M124" i="67"/>
  <c r="P107" i="64"/>
  <c r="I124" i="67"/>
  <c r="AN105" i="64"/>
  <c r="AG122" i="67"/>
  <c r="AJ105" i="64"/>
  <c r="AC122" i="67"/>
  <c r="AF105" i="64"/>
  <c r="Y122" i="67"/>
  <c r="AB105" i="64"/>
  <c r="U122" i="67"/>
  <c r="X105" i="64"/>
  <c r="Q122" i="67"/>
  <c r="T105" i="64"/>
  <c r="P105" i="64"/>
  <c r="Z108" i="64"/>
  <c r="S125" i="67"/>
  <c r="J108" i="64"/>
  <c r="C125" i="67"/>
  <c r="O108" i="64"/>
  <c r="H125" i="67"/>
  <c r="V108" i="64"/>
  <c r="O125" i="67"/>
  <c r="AO107" i="64"/>
  <c r="AH124" i="67"/>
  <c r="E105" i="64"/>
  <c r="C42" i="47"/>
  <c r="G40" i="47" s="1"/>
  <c r="H105" i="64"/>
  <c r="C107" i="64"/>
  <c r="D107" i="64"/>
  <c r="AS28" i="47"/>
  <c r="AT28" i="47"/>
  <c r="AU28" i="47"/>
  <c r="AV28" i="47"/>
  <c r="AW28" i="47"/>
  <c r="AX28" i="47"/>
  <c r="AY28" i="47"/>
  <c r="AZ28" i="47"/>
  <c r="C105" i="64"/>
  <c r="E92" i="50"/>
  <c r="E94" i="50" s="1"/>
  <c r="I105" i="64"/>
  <c r="D115" i="50"/>
  <c r="D105" i="64"/>
  <c r="E104" i="50"/>
  <c r="E106" i="50" s="1"/>
  <c r="E128" i="50"/>
  <c r="E135" i="50" s="1"/>
  <c r="C170" i="63"/>
  <c r="C94" i="64" s="1"/>
  <c r="C161" i="64" s="1"/>
  <c r="C158" i="63"/>
  <c r="C163" i="63"/>
  <c r="C87" i="64" s="1"/>
  <c r="C154" i="64" s="1"/>
  <c r="C155" i="63"/>
  <c r="C160" i="63"/>
  <c r="C164" i="63"/>
  <c r="C88" i="64" s="1"/>
  <c r="C155" i="64" s="1"/>
  <c r="C159" i="63"/>
  <c r="H63" i="50"/>
  <c r="I63" i="50" s="1"/>
  <c r="C157" i="63"/>
  <c r="C162" i="63"/>
  <c r="C168" i="63"/>
  <c r="C161" i="63"/>
  <c r="C85" i="64" s="1"/>
  <c r="C152" i="64" s="1"/>
  <c r="C167" i="63"/>
  <c r="C165" i="63"/>
  <c r="C89" i="64" s="1"/>
  <c r="C156" i="64" s="1"/>
  <c r="C166" i="63"/>
  <c r="C90" i="64" s="1"/>
  <c r="C157" i="64" s="1"/>
  <c r="C169" i="63"/>
  <c r="C154" i="63"/>
  <c r="C156" i="63"/>
  <c r="E52" i="50"/>
  <c r="E59" i="50" s="1"/>
  <c r="E64" i="50"/>
  <c r="E71" i="50" s="1"/>
  <c r="E73" i="50" s="1"/>
  <c r="H51" i="50"/>
  <c r="I103" i="50"/>
  <c r="H112" i="50"/>
  <c r="C24" i="54"/>
  <c r="F415" i="47" l="1"/>
  <c r="F24" i="47" s="1"/>
  <c r="F109" i="64" s="1"/>
  <c r="G110" i="64"/>
  <c r="H110" i="64"/>
  <c r="K124" i="67"/>
  <c r="E110" i="64"/>
  <c r="G122" i="67"/>
  <c r="J124" i="67"/>
  <c r="J122" i="67"/>
  <c r="F110" i="64"/>
  <c r="K122" i="67"/>
  <c r="M122" i="67"/>
  <c r="E124" i="67"/>
  <c r="F122" i="67"/>
  <c r="H122" i="67"/>
  <c r="L122" i="67"/>
  <c r="C124" i="67"/>
  <c r="I122" i="67"/>
  <c r="D124" i="67"/>
  <c r="AG127" i="67"/>
  <c r="I110" i="64"/>
  <c r="D122" i="67"/>
  <c r="AR28" i="47"/>
  <c r="AK127" i="67"/>
  <c r="AQ28" i="47"/>
  <c r="AJ127" i="67"/>
  <c r="AP28" i="47"/>
  <c r="AI127" i="67"/>
  <c r="M73" i="67"/>
  <c r="O64" i="67"/>
  <c r="N68" i="67"/>
  <c r="O63" i="67"/>
  <c r="O66" i="67"/>
  <c r="M72" i="67"/>
  <c r="O71" i="67"/>
  <c r="N65" i="67"/>
  <c r="N67" i="67"/>
  <c r="N62" i="67"/>
  <c r="N69" i="67"/>
  <c r="N70" i="67"/>
  <c r="V28" i="47"/>
  <c r="AF127" i="67"/>
  <c r="AB127" i="67"/>
  <c r="X127" i="67"/>
  <c r="T127" i="67"/>
  <c r="P127" i="67"/>
  <c r="H127" i="67"/>
  <c r="AE127" i="67"/>
  <c r="AA127" i="67"/>
  <c r="S127" i="67"/>
  <c r="AD127" i="67"/>
  <c r="N127" i="67"/>
  <c r="AC127" i="67"/>
  <c r="Y127" i="67"/>
  <c r="U127" i="67"/>
  <c r="Q127" i="67"/>
  <c r="M127" i="67"/>
  <c r="I127" i="67"/>
  <c r="L110" i="64"/>
  <c r="AH127" i="67"/>
  <c r="Z127" i="67"/>
  <c r="R127" i="67"/>
  <c r="J127" i="67"/>
  <c r="J110" i="64"/>
  <c r="N110" i="64"/>
  <c r="J105" i="64"/>
  <c r="C122" i="67"/>
  <c r="K110" i="64"/>
  <c r="M110" i="64"/>
  <c r="F127" i="67"/>
  <c r="L105" i="64"/>
  <c r="E122" i="67"/>
  <c r="C94" i="67"/>
  <c r="C85" i="67"/>
  <c r="C93" i="67"/>
  <c r="C89" i="67"/>
  <c r="C86" i="67"/>
  <c r="C88" i="67"/>
  <c r="C84" i="67"/>
  <c r="C92" i="67"/>
  <c r="C87" i="67"/>
  <c r="AM28" i="47"/>
  <c r="F59" i="64" s="1"/>
  <c r="AM110" i="64"/>
  <c r="AE28" i="47"/>
  <c r="F51" i="64" s="1"/>
  <c r="AE110" i="64"/>
  <c r="S28" i="47"/>
  <c r="S110" i="64"/>
  <c r="AI28" i="47"/>
  <c r="F55" i="64" s="1"/>
  <c r="AI110" i="64"/>
  <c r="AA28" i="47"/>
  <c r="F47" i="64" s="1"/>
  <c r="AA110" i="64"/>
  <c r="W28" i="47"/>
  <c r="F43" i="64" s="1"/>
  <c r="W110" i="64"/>
  <c r="O110" i="64"/>
  <c r="AH28" i="47"/>
  <c r="F54" i="64" s="1"/>
  <c r="AH110" i="64"/>
  <c r="Z28" i="47"/>
  <c r="F46" i="64" s="1"/>
  <c r="Z110" i="64"/>
  <c r="R28" i="47"/>
  <c r="R110" i="64"/>
  <c r="AK28" i="47"/>
  <c r="F57" i="64" s="1"/>
  <c r="AK110" i="64"/>
  <c r="AG28" i="47"/>
  <c r="F53" i="64" s="1"/>
  <c r="AG110" i="64"/>
  <c r="AC28" i="47"/>
  <c r="F49" i="64" s="1"/>
  <c r="AC110" i="64"/>
  <c r="Y28" i="47"/>
  <c r="F45" i="64" s="1"/>
  <c r="Y110" i="64"/>
  <c r="U28" i="47"/>
  <c r="U110" i="64"/>
  <c r="Q28" i="47"/>
  <c r="Q110" i="64"/>
  <c r="AL28" i="47"/>
  <c r="F58" i="64" s="1"/>
  <c r="AL110" i="64"/>
  <c r="AD28" i="47"/>
  <c r="F50" i="64" s="1"/>
  <c r="AD110" i="64"/>
  <c r="AN28" i="47"/>
  <c r="F60" i="64" s="1"/>
  <c r="AN110" i="64"/>
  <c r="AJ28" i="47"/>
  <c r="F56" i="64" s="1"/>
  <c r="AJ110" i="64"/>
  <c r="AF28" i="47"/>
  <c r="F52" i="64" s="1"/>
  <c r="AF110" i="64"/>
  <c r="AB28" i="47"/>
  <c r="F48" i="64" s="1"/>
  <c r="AB110" i="64"/>
  <c r="X110" i="64"/>
  <c r="T28" i="47"/>
  <c r="T110" i="64"/>
  <c r="P110" i="64"/>
  <c r="C90" i="67"/>
  <c r="AO28" i="47"/>
  <c r="F61" i="64" s="1"/>
  <c r="AO110" i="64"/>
  <c r="C91" i="67"/>
  <c r="C80" i="64"/>
  <c r="C147" i="64" s="1"/>
  <c r="C86" i="64"/>
  <c r="C153" i="64" s="1"/>
  <c r="C82" i="64"/>
  <c r="C149" i="64" s="1"/>
  <c r="C78" i="64"/>
  <c r="C145" i="64" s="1"/>
  <c r="C91" i="64"/>
  <c r="C158" i="64" s="1"/>
  <c r="C81" i="64"/>
  <c r="C148" i="64" s="1"/>
  <c r="C84" i="64"/>
  <c r="C151" i="64" s="1"/>
  <c r="C93" i="64"/>
  <c r="C160" i="64" s="1"/>
  <c r="C79" i="64"/>
  <c r="C146" i="64" s="1"/>
  <c r="C92" i="64"/>
  <c r="C159" i="64" s="1"/>
  <c r="C83" i="64"/>
  <c r="C150" i="64" s="1"/>
  <c r="C41" i="47"/>
  <c r="G39" i="47" s="1"/>
  <c r="C39" i="47"/>
  <c r="G38" i="47" s="1"/>
  <c r="E99" i="50"/>
  <c r="E95" i="50"/>
  <c r="C110" i="64"/>
  <c r="C111" i="64" s="1"/>
  <c r="E107" i="50"/>
  <c r="E111" i="50"/>
  <c r="E113" i="50" s="1"/>
  <c r="E131" i="50"/>
  <c r="E130" i="50"/>
  <c r="E132" i="50" s="1"/>
  <c r="C179" i="63"/>
  <c r="H72" i="50"/>
  <c r="C180" i="63"/>
  <c r="C181" i="63"/>
  <c r="E54" i="50"/>
  <c r="E56" i="50" s="1"/>
  <c r="E77" i="50"/>
  <c r="E55" i="50"/>
  <c r="E66" i="50"/>
  <c r="E68" i="50" s="1"/>
  <c r="E67" i="50"/>
  <c r="I51" i="50"/>
  <c r="D245" i="53"/>
  <c r="C22" i="63" s="1"/>
  <c r="C44" i="63" s="1"/>
  <c r="I112" i="50"/>
  <c r="J103" i="50"/>
  <c r="E96" i="50"/>
  <c r="I72" i="50"/>
  <c r="J63" i="50"/>
  <c r="E110" i="50"/>
  <c r="E108" i="50"/>
  <c r="G415" i="47" l="1"/>
  <c r="G24" i="47" s="1"/>
  <c r="K127" i="67"/>
  <c r="O127" i="67"/>
  <c r="G127" i="67"/>
  <c r="D127" i="67"/>
  <c r="V127" i="67"/>
  <c r="C127" i="67"/>
  <c r="W127" i="67"/>
  <c r="L127" i="67"/>
  <c r="V110" i="64"/>
  <c r="E127" i="67"/>
  <c r="O65" i="67"/>
  <c r="P63" i="67"/>
  <c r="O70" i="67"/>
  <c r="O69" i="67"/>
  <c r="P66" i="67"/>
  <c r="O62" i="67"/>
  <c r="N72" i="67"/>
  <c r="P64" i="67"/>
  <c r="O67" i="67"/>
  <c r="P71" i="67"/>
  <c r="O68" i="67"/>
  <c r="N73" i="67"/>
  <c r="D110" i="64"/>
  <c r="F92" i="50"/>
  <c r="F95" i="50" s="1"/>
  <c r="F104" i="50"/>
  <c r="F111" i="50" s="1"/>
  <c r="F113" i="50" s="1"/>
  <c r="C28" i="47"/>
  <c r="C29" i="47" s="1"/>
  <c r="C44" i="47"/>
  <c r="E115" i="50"/>
  <c r="C191" i="63"/>
  <c r="C119" i="64" s="1"/>
  <c r="F128" i="50"/>
  <c r="F130" i="50" s="1"/>
  <c r="C147" i="63"/>
  <c r="C148" i="63" s="1"/>
  <c r="C153" i="63"/>
  <c r="F52" i="50"/>
  <c r="F59" i="50" s="1"/>
  <c r="F64" i="50"/>
  <c r="F66" i="50" s="1"/>
  <c r="F68" i="50" s="1"/>
  <c r="J72" i="50"/>
  <c r="K63" i="50"/>
  <c r="J51" i="50"/>
  <c r="K103" i="50"/>
  <c r="J112" i="50"/>
  <c r="C22" i="54"/>
  <c r="C119" i="50" l="1"/>
  <c r="C57" i="49" s="1"/>
  <c r="G109" i="64"/>
  <c r="H415" i="47"/>
  <c r="H24" i="47" s="1"/>
  <c r="H109" i="64" s="1"/>
  <c r="F106" i="50"/>
  <c r="F110" i="50" s="1"/>
  <c r="F99" i="50"/>
  <c r="F115" i="50" s="1"/>
  <c r="F94" i="50"/>
  <c r="F96" i="50" s="1"/>
  <c r="G92" i="50" s="1"/>
  <c r="Q71" i="67"/>
  <c r="O73" i="67"/>
  <c r="Q64" i="67"/>
  <c r="P62" i="67"/>
  <c r="P69" i="67"/>
  <c r="Q63" i="67"/>
  <c r="O72" i="67"/>
  <c r="Q66" i="67"/>
  <c r="P70" i="67"/>
  <c r="P65" i="67"/>
  <c r="P68" i="67"/>
  <c r="P67" i="67"/>
  <c r="C83" i="67"/>
  <c r="C77" i="64"/>
  <c r="C144" i="64" s="1"/>
  <c r="D23" i="64"/>
  <c r="C200" i="63"/>
  <c r="C177" i="64" s="1"/>
  <c r="F107" i="50"/>
  <c r="F23" i="64"/>
  <c r="C30" i="47"/>
  <c r="C26" i="63" s="1"/>
  <c r="C194" i="63" s="1"/>
  <c r="C248" i="63" s="1"/>
  <c r="F131" i="50"/>
  <c r="F135" i="50"/>
  <c r="C178" i="63"/>
  <c r="C190" i="63" s="1"/>
  <c r="C171" i="63"/>
  <c r="F54" i="50"/>
  <c r="F56" i="50" s="1"/>
  <c r="F55" i="50"/>
  <c r="F71" i="50"/>
  <c r="F73" i="50" s="1"/>
  <c r="F77" i="50" s="1"/>
  <c r="F67" i="50"/>
  <c r="G64" i="50" s="1"/>
  <c r="L63" i="50"/>
  <c r="K72" i="50"/>
  <c r="K51" i="50"/>
  <c r="F132" i="50"/>
  <c r="L103" i="50"/>
  <c r="K112" i="50"/>
  <c r="D119" i="50" l="1"/>
  <c r="D57" i="49" s="1"/>
  <c r="D58" i="49" s="1"/>
  <c r="I415" i="47"/>
  <c r="I24" i="47" s="1"/>
  <c r="I109" i="64" s="1"/>
  <c r="F108" i="50"/>
  <c r="G104" i="50" s="1"/>
  <c r="G107" i="50" s="1"/>
  <c r="R66" i="67"/>
  <c r="Q65" i="67"/>
  <c r="R63" i="67"/>
  <c r="P73" i="67"/>
  <c r="P72" i="67"/>
  <c r="R64" i="67"/>
  <c r="Q67" i="67"/>
  <c r="Q62" i="67"/>
  <c r="Q68" i="67"/>
  <c r="Q70" i="67"/>
  <c r="Q69" i="67"/>
  <c r="R71" i="67"/>
  <c r="C95" i="64"/>
  <c r="C122" i="64" s="1"/>
  <c r="C169" i="64" s="1"/>
  <c r="C192" i="63"/>
  <c r="C195" i="63" s="1"/>
  <c r="C118" i="64"/>
  <c r="C120" i="64"/>
  <c r="H23" i="64"/>
  <c r="C201" i="63"/>
  <c r="C179" i="64" s="1"/>
  <c r="C26" i="54"/>
  <c r="C28" i="54" s="1"/>
  <c r="G128" i="50"/>
  <c r="G135" i="50" s="1"/>
  <c r="C23" i="64"/>
  <c r="C182" i="63"/>
  <c r="C183" i="63" s="1"/>
  <c r="C172" i="63"/>
  <c r="C173" i="63"/>
  <c r="C45" i="63"/>
  <c r="C28" i="63"/>
  <c r="G52" i="50"/>
  <c r="G67" i="50"/>
  <c r="G71" i="50"/>
  <c r="G73" i="50" s="1"/>
  <c r="G66" i="50"/>
  <c r="G68" i="50" s="1"/>
  <c r="G99" i="50"/>
  <c r="G94" i="50"/>
  <c r="G95" i="50"/>
  <c r="L112" i="50"/>
  <c r="M103" i="50"/>
  <c r="L51" i="50"/>
  <c r="M63" i="50"/>
  <c r="L72" i="50"/>
  <c r="D11" i="63" l="1"/>
  <c r="D12" i="67" s="1"/>
  <c r="D93" i="47"/>
  <c r="D12" i="54"/>
  <c r="D69" i="49"/>
  <c r="J415" i="47"/>
  <c r="J24" i="47" s="1"/>
  <c r="R70" i="67"/>
  <c r="S64" i="67"/>
  <c r="Q73" i="67"/>
  <c r="S71" i="67"/>
  <c r="R62" i="67"/>
  <c r="R65" i="67"/>
  <c r="Q72" i="67"/>
  <c r="R69" i="67"/>
  <c r="R68" i="67"/>
  <c r="R67" i="67"/>
  <c r="S63" i="67"/>
  <c r="S66" i="67"/>
  <c r="C162" i="64"/>
  <c r="C163" i="64" s="1"/>
  <c r="G111" i="50"/>
  <c r="G113" i="50" s="1"/>
  <c r="G115" i="50" s="1"/>
  <c r="G106" i="50"/>
  <c r="G110" i="50" s="1"/>
  <c r="C123" i="64"/>
  <c r="C180" i="64"/>
  <c r="M23" i="64"/>
  <c r="Q23" i="64" s="1"/>
  <c r="G130" i="50"/>
  <c r="G132" i="50" s="1"/>
  <c r="G131" i="50"/>
  <c r="C250" i="63"/>
  <c r="I23" i="64"/>
  <c r="C125" i="64" s="1"/>
  <c r="C193" i="63"/>
  <c r="C40" i="63"/>
  <c r="C41" i="63"/>
  <c r="C197" i="63"/>
  <c r="C124" i="64" s="1"/>
  <c r="C48" i="63"/>
  <c r="C47" i="63"/>
  <c r="H64" i="50"/>
  <c r="H71" i="50" s="1"/>
  <c r="G54" i="50"/>
  <c r="G56" i="50" s="1"/>
  <c r="G55" i="50"/>
  <c r="G59" i="50"/>
  <c r="G77" i="50" s="1"/>
  <c r="N63" i="50"/>
  <c r="M72" i="50"/>
  <c r="G96" i="50"/>
  <c r="H92" i="50" s="1"/>
  <c r="M51" i="50"/>
  <c r="N103" i="50"/>
  <c r="M112" i="50"/>
  <c r="J109" i="64" l="1"/>
  <c r="J126" i="67"/>
  <c r="E119" i="50"/>
  <c r="E57" i="49" s="1"/>
  <c r="E58" i="49" s="1"/>
  <c r="D12" i="53"/>
  <c r="D70" i="49"/>
  <c r="D71" i="49" s="1"/>
  <c r="D14" i="53" s="1"/>
  <c r="N51" i="50"/>
  <c r="O51" i="50" s="1"/>
  <c r="P51" i="50" s="1"/>
  <c r="Q51" i="50" s="1"/>
  <c r="R51" i="50" s="1"/>
  <c r="S51" i="50" s="1"/>
  <c r="T51" i="50" s="1"/>
  <c r="U51" i="50" s="1"/>
  <c r="V51" i="50" s="1"/>
  <c r="W51" i="50" s="1"/>
  <c r="X51" i="50" s="1"/>
  <c r="Y51" i="50" s="1"/>
  <c r="Z51" i="50" s="1"/>
  <c r="AA51" i="50" s="1"/>
  <c r="AB51" i="50" s="1"/>
  <c r="AC51" i="50" s="1"/>
  <c r="AD51" i="50" s="1"/>
  <c r="AE51" i="50" s="1"/>
  <c r="AF51" i="50" s="1"/>
  <c r="AG51" i="50" s="1"/>
  <c r="AH51" i="50" s="1"/>
  <c r="AI51" i="50" s="1"/>
  <c r="AJ51" i="50" s="1"/>
  <c r="AK51" i="50" s="1"/>
  <c r="AL51" i="50" s="1"/>
  <c r="AM51" i="50" s="1"/>
  <c r="AN51" i="50" s="1"/>
  <c r="AO51" i="50" s="1"/>
  <c r="AP51" i="50" s="1"/>
  <c r="AQ51" i="50" s="1"/>
  <c r="AR51" i="50" s="1"/>
  <c r="AS51" i="50" s="1"/>
  <c r="AT51" i="50" s="1"/>
  <c r="AU51" i="50" s="1"/>
  <c r="AV51" i="50" s="1"/>
  <c r="AW51" i="50" s="1"/>
  <c r="AX51" i="50" s="1"/>
  <c r="AY51" i="50" s="1"/>
  <c r="AZ51" i="50" s="1"/>
  <c r="BA51" i="50" s="1"/>
  <c r="BB51" i="50" s="1"/>
  <c r="BC51" i="50" s="1"/>
  <c r="BD51" i="50" s="1"/>
  <c r="BE51" i="50" s="1"/>
  <c r="BF51" i="50" s="1"/>
  <c r="BG51" i="50" s="1"/>
  <c r="BH51" i="50" s="1"/>
  <c r="BI51" i="50" s="1"/>
  <c r="K415" i="47"/>
  <c r="K24" i="47" s="1"/>
  <c r="K126" i="67" s="1"/>
  <c r="G108" i="50"/>
  <c r="H104" i="50" s="1"/>
  <c r="H111" i="50" s="1"/>
  <c r="H113" i="50" s="1"/>
  <c r="T66" i="67"/>
  <c r="S69" i="67"/>
  <c r="T71" i="67"/>
  <c r="S68" i="67"/>
  <c r="R72" i="67"/>
  <c r="S70" i="67"/>
  <c r="S67" i="67"/>
  <c r="S65" i="67"/>
  <c r="T64" i="67"/>
  <c r="T63" i="67"/>
  <c r="S62" i="67"/>
  <c r="R73" i="67"/>
  <c r="H128" i="50"/>
  <c r="H130" i="50" s="1"/>
  <c r="N23" i="64"/>
  <c r="C198" i="63"/>
  <c r="C50" i="63"/>
  <c r="C170" i="64" s="1"/>
  <c r="C52" i="63"/>
  <c r="H66" i="50"/>
  <c r="H68" i="50" s="1"/>
  <c r="H67" i="50"/>
  <c r="H52" i="50"/>
  <c r="H59" i="50" s="1"/>
  <c r="H94" i="50"/>
  <c r="H99" i="50"/>
  <c r="H95" i="50"/>
  <c r="H73" i="50"/>
  <c r="N112" i="50"/>
  <c r="O103" i="50"/>
  <c r="O63" i="50"/>
  <c r="N72" i="50"/>
  <c r="D72" i="49" l="1"/>
  <c r="D13" i="53"/>
  <c r="D116" i="51"/>
  <c r="D117" i="51" s="1"/>
  <c r="D124" i="51" s="1"/>
  <c r="E11" i="63"/>
  <c r="E12" i="67" s="1"/>
  <c r="E69" i="49"/>
  <c r="E12" i="54"/>
  <c r="E93" i="47"/>
  <c r="E164" i="53"/>
  <c r="E212" i="53" s="1"/>
  <c r="E170" i="53"/>
  <c r="E218" i="53" s="1"/>
  <c r="E155" i="53"/>
  <c r="E203" i="53" s="1"/>
  <c r="E171" i="53"/>
  <c r="E219" i="53" s="1"/>
  <c r="E157" i="53"/>
  <c r="E205" i="53" s="1"/>
  <c r="E169" i="53"/>
  <c r="E217" i="53" s="1"/>
  <c r="E154" i="53"/>
  <c r="E202" i="53" s="1"/>
  <c r="E160" i="53"/>
  <c r="E208" i="53" s="1"/>
  <c r="E156" i="53"/>
  <c r="E204" i="53" s="1"/>
  <c r="E168" i="53"/>
  <c r="E216" i="53" s="1"/>
  <c r="E161" i="53"/>
  <c r="E209" i="53" s="1"/>
  <c r="E162" i="53"/>
  <c r="E210" i="53" s="1"/>
  <c r="E163" i="53"/>
  <c r="E211" i="53" s="1"/>
  <c r="E158" i="53"/>
  <c r="E206" i="53" s="1"/>
  <c r="E167" i="53"/>
  <c r="E215" i="53" s="1"/>
  <c r="E165" i="53"/>
  <c r="E213" i="53" s="1"/>
  <c r="E166" i="53"/>
  <c r="E214" i="53" s="1"/>
  <c r="E159" i="53"/>
  <c r="E207" i="53" s="1"/>
  <c r="D83" i="50"/>
  <c r="D25" i="49" s="1"/>
  <c r="D26" i="49" s="1"/>
  <c r="E83" i="50"/>
  <c r="E25" i="49" s="1"/>
  <c r="C139" i="50"/>
  <c r="C91" i="49" s="1"/>
  <c r="E139" i="50"/>
  <c r="E91" i="49" s="1"/>
  <c r="D139" i="50"/>
  <c r="D91" i="49" s="1"/>
  <c r="D92" i="49" s="1"/>
  <c r="C83" i="50"/>
  <c r="C25" i="49" s="1"/>
  <c r="K109" i="64"/>
  <c r="L415" i="47"/>
  <c r="L24" i="47" s="1"/>
  <c r="H106" i="50"/>
  <c r="H108" i="50" s="1"/>
  <c r="H107" i="50"/>
  <c r="T68" i="67"/>
  <c r="S73" i="67"/>
  <c r="U63" i="67"/>
  <c r="T65" i="67"/>
  <c r="T70" i="67"/>
  <c r="T69" i="67"/>
  <c r="T62" i="67"/>
  <c r="U64" i="67"/>
  <c r="T67" i="67"/>
  <c r="S72" i="67"/>
  <c r="U71" i="67"/>
  <c r="U66" i="67"/>
  <c r="H135" i="50"/>
  <c r="H131" i="50"/>
  <c r="O23" i="64"/>
  <c r="H77" i="50"/>
  <c r="I64" i="50"/>
  <c r="I67" i="50" s="1"/>
  <c r="H54" i="50"/>
  <c r="H56" i="50" s="1"/>
  <c r="H55" i="50"/>
  <c r="H132" i="50"/>
  <c r="H115" i="50"/>
  <c r="O112" i="50"/>
  <c r="P103" i="50"/>
  <c r="H96" i="50"/>
  <c r="I92" i="50" s="1"/>
  <c r="O72" i="50"/>
  <c r="P63" i="50"/>
  <c r="C126" i="67" l="1"/>
  <c r="L126" i="67"/>
  <c r="F139" i="50"/>
  <c r="F91" i="49" s="1"/>
  <c r="F83" i="50"/>
  <c r="F25" i="49" s="1"/>
  <c r="E141" i="53"/>
  <c r="E189" i="53" s="1"/>
  <c r="E235" i="53" s="1"/>
  <c r="E146" i="53"/>
  <c r="E194" i="53" s="1"/>
  <c r="E240" i="53" s="1"/>
  <c r="E145" i="53"/>
  <c r="E193" i="53" s="1"/>
  <c r="E239" i="53" s="1"/>
  <c r="E134" i="53"/>
  <c r="E182" i="53" s="1"/>
  <c r="E228" i="53" s="1"/>
  <c r="D15" i="53"/>
  <c r="E137" i="53"/>
  <c r="E185" i="53" s="1"/>
  <c r="E231" i="53" s="1"/>
  <c r="E136" i="53"/>
  <c r="E184" i="53" s="1"/>
  <c r="E230" i="53" s="1"/>
  <c r="E147" i="53"/>
  <c r="E195" i="53" s="1"/>
  <c r="E241" i="53" s="1"/>
  <c r="E132" i="53"/>
  <c r="E180" i="53" s="1"/>
  <c r="E226" i="53" s="1"/>
  <c r="E135" i="53"/>
  <c r="E183" i="53" s="1"/>
  <c r="E229" i="53" s="1"/>
  <c r="E148" i="53"/>
  <c r="E196" i="53" s="1"/>
  <c r="E242" i="53" s="1"/>
  <c r="E142" i="53"/>
  <c r="E190" i="53" s="1"/>
  <c r="E236" i="53" s="1"/>
  <c r="E139" i="53"/>
  <c r="E187" i="53" s="1"/>
  <c r="E233" i="53" s="1"/>
  <c r="E133" i="53"/>
  <c r="E181" i="53" s="1"/>
  <c r="E227" i="53" s="1"/>
  <c r="E138" i="53"/>
  <c r="E186" i="53" s="1"/>
  <c r="E232" i="53" s="1"/>
  <c r="E144" i="53"/>
  <c r="E192" i="53" s="1"/>
  <c r="E238" i="53" s="1"/>
  <c r="E149" i="53"/>
  <c r="E197" i="53" s="1"/>
  <c r="E243" i="53" s="1"/>
  <c r="E140" i="53"/>
  <c r="E188" i="53" s="1"/>
  <c r="E234" i="53" s="1"/>
  <c r="E143" i="53"/>
  <c r="E191" i="53" s="1"/>
  <c r="E237" i="53" s="1"/>
  <c r="F119" i="50"/>
  <c r="F57" i="49" s="1"/>
  <c r="F58" i="49" s="1"/>
  <c r="E12" i="53"/>
  <c r="E70" i="49"/>
  <c r="E71" i="49" s="1"/>
  <c r="E14" i="53" s="1"/>
  <c r="E150" i="51"/>
  <c r="E201" i="51" s="1"/>
  <c r="E87" i="53" s="1"/>
  <c r="I150" i="51"/>
  <c r="M150" i="51"/>
  <c r="H150" i="51"/>
  <c r="F150" i="51"/>
  <c r="N150" i="51"/>
  <c r="G150" i="51"/>
  <c r="K150" i="51"/>
  <c r="D125" i="51"/>
  <c r="L150" i="51"/>
  <c r="J150" i="51"/>
  <c r="D12" i="63"/>
  <c r="D104" i="49"/>
  <c r="E92" i="49"/>
  <c r="D13" i="54"/>
  <c r="D94" i="47"/>
  <c r="D13" i="63"/>
  <c r="E26" i="49"/>
  <c r="D14" i="54"/>
  <c r="D92" i="47"/>
  <c r="D37" i="49"/>
  <c r="H110" i="50"/>
  <c r="M415" i="47"/>
  <c r="M24" i="47" s="1"/>
  <c r="L109" i="64"/>
  <c r="D126" i="67"/>
  <c r="I104" i="50"/>
  <c r="I111" i="50" s="1"/>
  <c r="I113" i="50" s="1"/>
  <c r="T72" i="67"/>
  <c r="V64" i="67"/>
  <c r="U69" i="67"/>
  <c r="U65" i="67"/>
  <c r="T73" i="67"/>
  <c r="U67" i="67"/>
  <c r="U70" i="67"/>
  <c r="V66" i="67"/>
  <c r="V71" i="67"/>
  <c r="U62" i="67"/>
  <c r="V63" i="67"/>
  <c r="U68" i="67"/>
  <c r="I128" i="50"/>
  <c r="I130" i="50" s="1"/>
  <c r="I66" i="50"/>
  <c r="I68" i="50" s="1"/>
  <c r="J64" i="50" s="1"/>
  <c r="I71" i="50"/>
  <c r="I73" i="50" s="1"/>
  <c r="I52" i="50"/>
  <c r="I94" i="50"/>
  <c r="I95" i="50"/>
  <c r="I99" i="50"/>
  <c r="Q103" i="50"/>
  <c r="P112" i="50"/>
  <c r="Q63" i="50"/>
  <c r="P72" i="50"/>
  <c r="E150" i="53" l="1"/>
  <c r="E245" i="53"/>
  <c r="E126" i="67"/>
  <c r="M126" i="67"/>
  <c r="F121" i="53"/>
  <c r="F112" i="53"/>
  <c r="F108" i="53"/>
  <c r="F106" i="53"/>
  <c r="F116" i="53"/>
  <c r="F115" i="53"/>
  <c r="F122" i="53"/>
  <c r="F120" i="53"/>
  <c r="F109" i="53"/>
  <c r="F111" i="53"/>
  <c r="F123" i="53"/>
  <c r="F119" i="53"/>
  <c r="F110" i="53"/>
  <c r="F113" i="53"/>
  <c r="F118" i="53"/>
  <c r="F117" i="53"/>
  <c r="F114" i="53"/>
  <c r="F107" i="53"/>
  <c r="E116" i="51"/>
  <c r="E117" i="51" s="1"/>
  <c r="E124" i="51" s="1"/>
  <c r="E13" i="53"/>
  <c r="E72" i="49"/>
  <c r="F93" i="47"/>
  <c r="F69" i="49"/>
  <c r="F11" i="63"/>
  <c r="F12" i="67" s="1"/>
  <c r="F12" i="54"/>
  <c r="F158" i="53"/>
  <c r="F206" i="53" s="1"/>
  <c r="F159" i="53"/>
  <c r="F207" i="53" s="1"/>
  <c r="F161" i="53"/>
  <c r="F209" i="53" s="1"/>
  <c r="F166" i="53"/>
  <c r="F214" i="53" s="1"/>
  <c r="F164" i="53"/>
  <c r="F212" i="53" s="1"/>
  <c r="F155" i="53"/>
  <c r="F203" i="53" s="1"/>
  <c r="F171" i="53"/>
  <c r="F219" i="53" s="1"/>
  <c r="F163" i="53"/>
  <c r="F211" i="53" s="1"/>
  <c r="F167" i="53"/>
  <c r="F215" i="53" s="1"/>
  <c r="F156" i="53"/>
  <c r="F204" i="53" s="1"/>
  <c r="F157" i="53"/>
  <c r="F205" i="53" s="1"/>
  <c r="F162" i="53"/>
  <c r="F210" i="53" s="1"/>
  <c r="F165" i="53"/>
  <c r="F213" i="53" s="1"/>
  <c r="F170" i="53"/>
  <c r="F218" i="53" s="1"/>
  <c r="F168" i="53"/>
  <c r="F216" i="53" s="1"/>
  <c r="F169" i="53"/>
  <c r="F217" i="53" s="1"/>
  <c r="F154" i="53"/>
  <c r="F202" i="53" s="1"/>
  <c r="F160" i="53"/>
  <c r="F208" i="53" s="1"/>
  <c r="D22" i="63"/>
  <c r="E247" i="53"/>
  <c r="D22" i="54"/>
  <c r="D15" i="54"/>
  <c r="D13" i="67"/>
  <c r="D14" i="63"/>
  <c r="D11" i="52"/>
  <c r="E227" i="52" s="1"/>
  <c r="E228" i="52" s="1"/>
  <c r="D38" i="49"/>
  <c r="D14" i="67"/>
  <c r="D289" i="63"/>
  <c r="D288" i="63"/>
  <c r="D290" i="63" s="1"/>
  <c r="D105" i="49"/>
  <c r="D107" i="49" s="1"/>
  <c r="D96" i="47"/>
  <c r="D165" i="47" s="1"/>
  <c r="D166" i="47" s="1"/>
  <c r="D18" i="47" s="1"/>
  <c r="D181" i="47"/>
  <c r="D182" i="47" s="1"/>
  <c r="D219" i="47" s="1"/>
  <c r="D220" i="47" s="1"/>
  <c r="D19" i="47" s="1"/>
  <c r="D104" i="64" s="1"/>
  <c r="E13" i="63"/>
  <c r="E92" i="47"/>
  <c r="E37" i="49"/>
  <c r="E14" i="54"/>
  <c r="F26" i="49"/>
  <c r="E12" i="63"/>
  <c r="E94" i="47"/>
  <c r="E104" i="49"/>
  <c r="E13" i="54"/>
  <c r="F92" i="49"/>
  <c r="M109" i="64"/>
  <c r="N415" i="47"/>
  <c r="N24" i="47" s="1"/>
  <c r="N126" i="67" s="1"/>
  <c r="I106" i="50"/>
  <c r="I108" i="50" s="1"/>
  <c r="I107" i="50"/>
  <c r="V62" i="67"/>
  <c r="V67" i="67"/>
  <c r="V68" i="67"/>
  <c r="W66" i="67"/>
  <c r="V65" i="67"/>
  <c r="W64" i="67"/>
  <c r="W63" i="67"/>
  <c r="W71" i="67"/>
  <c r="V70" i="67"/>
  <c r="U73" i="67"/>
  <c r="V69" i="67"/>
  <c r="U72" i="67"/>
  <c r="I135" i="50"/>
  <c r="I131" i="50"/>
  <c r="I54" i="50"/>
  <c r="I56" i="50" s="1"/>
  <c r="I55" i="50"/>
  <c r="I59" i="50"/>
  <c r="I77" i="50" s="1"/>
  <c r="I115" i="50"/>
  <c r="J71" i="50"/>
  <c r="J67" i="50"/>
  <c r="J66" i="50"/>
  <c r="Q72" i="50"/>
  <c r="R63" i="50"/>
  <c r="I132" i="50"/>
  <c r="Q112" i="50"/>
  <c r="R103" i="50"/>
  <c r="I96" i="50"/>
  <c r="J92" i="50" s="1"/>
  <c r="E15" i="54" l="1"/>
  <c r="G83" i="50"/>
  <c r="G25" i="49" s="1"/>
  <c r="F12" i="53"/>
  <c r="F70" i="49"/>
  <c r="F71" i="49" s="1"/>
  <c r="F14" i="53" s="1"/>
  <c r="H151" i="51"/>
  <c r="L151" i="51"/>
  <c r="G151" i="51"/>
  <c r="K151" i="51"/>
  <c r="O151" i="51"/>
  <c r="F151" i="51"/>
  <c r="F201" i="51" s="1"/>
  <c r="F87" i="53" s="1"/>
  <c r="J151" i="51"/>
  <c r="N151" i="51"/>
  <c r="I151" i="51"/>
  <c r="M151" i="51"/>
  <c r="E125" i="51"/>
  <c r="F140" i="53"/>
  <c r="F188" i="53" s="1"/>
  <c r="F234" i="53" s="1"/>
  <c r="F144" i="53"/>
  <c r="F192" i="53" s="1"/>
  <c r="F238" i="53" s="1"/>
  <c r="F136" i="53"/>
  <c r="F184" i="53" s="1"/>
  <c r="F230" i="53" s="1"/>
  <c r="F149" i="53"/>
  <c r="F197" i="53" s="1"/>
  <c r="F243" i="53" s="1"/>
  <c r="F135" i="53"/>
  <c r="F183" i="53" s="1"/>
  <c r="F229" i="53" s="1"/>
  <c r="F148" i="53"/>
  <c r="F196" i="53" s="1"/>
  <c r="F242" i="53" s="1"/>
  <c r="F142" i="53"/>
  <c r="F190" i="53" s="1"/>
  <c r="F236" i="53" s="1"/>
  <c r="F134" i="53"/>
  <c r="F182" i="53" s="1"/>
  <c r="F228" i="53" s="1"/>
  <c r="F147" i="53"/>
  <c r="F195" i="53" s="1"/>
  <c r="F241" i="53" s="1"/>
  <c r="G119" i="50"/>
  <c r="G57" i="49" s="1"/>
  <c r="G58" i="49" s="1"/>
  <c r="G139" i="50"/>
  <c r="G91" i="49" s="1"/>
  <c r="E15" i="53"/>
  <c r="F133" i="53"/>
  <c r="F181" i="53" s="1"/>
  <c r="F227" i="53" s="1"/>
  <c r="F143" i="53"/>
  <c r="F191" i="53" s="1"/>
  <c r="F237" i="53" s="1"/>
  <c r="F139" i="53"/>
  <c r="F187" i="53" s="1"/>
  <c r="F233" i="53" s="1"/>
  <c r="F145" i="53"/>
  <c r="F193" i="53" s="1"/>
  <c r="F239" i="53" s="1"/>
  <c r="F137" i="53"/>
  <c r="F185" i="53" s="1"/>
  <c r="F231" i="53" s="1"/>
  <c r="F146" i="53"/>
  <c r="F194" i="53" s="1"/>
  <c r="F240" i="53" s="1"/>
  <c r="F141" i="53"/>
  <c r="F189" i="53" s="1"/>
  <c r="F235" i="53" s="1"/>
  <c r="F132" i="53"/>
  <c r="F180" i="53" s="1"/>
  <c r="F226" i="53" s="1"/>
  <c r="F138" i="53"/>
  <c r="F186" i="53" s="1"/>
  <c r="F232" i="53" s="1"/>
  <c r="E13" i="67"/>
  <c r="E14" i="63"/>
  <c r="D15" i="67"/>
  <c r="D16" i="63"/>
  <c r="D106" i="49"/>
  <c r="F13" i="63"/>
  <c r="F92" i="47"/>
  <c r="F37" i="49"/>
  <c r="F14" i="54"/>
  <c r="G26" i="49"/>
  <c r="E11" i="52"/>
  <c r="F227" i="52" s="1"/>
  <c r="F228" i="52" s="1"/>
  <c r="E38" i="49"/>
  <c r="E14" i="67"/>
  <c r="E288" i="63"/>
  <c r="E289" i="63"/>
  <c r="D103" i="64"/>
  <c r="D27" i="47"/>
  <c r="D12" i="52"/>
  <c r="D40" i="49"/>
  <c r="D19" i="51"/>
  <c r="D20" i="51" s="1"/>
  <c r="D27" i="51" s="1"/>
  <c r="F12" i="63"/>
  <c r="F13" i="54"/>
  <c r="F104" i="49"/>
  <c r="F94" i="47"/>
  <c r="G92" i="49"/>
  <c r="E105" i="49"/>
  <c r="E107" i="49" s="1"/>
  <c r="E181" i="47"/>
  <c r="E182" i="47" s="1"/>
  <c r="E219" i="47" s="1"/>
  <c r="E220" i="47" s="1"/>
  <c r="E19" i="47" s="1"/>
  <c r="E104" i="64" s="1"/>
  <c r="E96" i="47"/>
  <c r="E165" i="47" s="1"/>
  <c r="E166" i="47" s="1"/>
  <c r="E18" i="47" s="1"/>
  <c r="F126" i="67"/>
  <c r="D39" i="49"/>
  <c r="D13" i="52" s="1"/>
  <c r="J104" i="50"/>
  <c r="J107" i="50" s="1"/>
  <c r="I110" i="50"/>
  <c r="N109" i="64"/>
  <c r="P415" i="47"/>
  <c r="P24" i="47" s="1"/>
  <c r="P126" i="67" s="1"/>
  <c r="O415" i="47"/>
  <c r="O24" i="47" s="1"/>
  <c r="X66" i="67"/>
  <c r="W67" i="67"/>
  <c r="V72" i="67"/>
  <c r="X71" i="67"/>
  <c r="X64" i="67"/>
  <c r="V73" i="67"/>
  <c r="W70" i="67"/>
  <c r="X63" i="67"/>
  <c r="W62" i="67"/>
  <c r="W69" i="67"/>
  <c r="W65" i="67"/>
  <c r="W68" i="67"/>
  <c r="J128" i="50"/>
  <c r="J131" i="50" s="1"/>
  <c r="J52" i="50"/>
  <c r="J99" i="50"/>
  <c r="J94" i="50"/>
  <c r="J95" i="50"/>
  <c r="J68" i="50"/>
  <c r="K64" i="50" s="1"/>
  <c r="R72" i="50"/>
  <c r="S63" i="50"/>
  <c r="S103" i="50"/>
  <c r="R112" i="50"/>
  <c r="J73" i="50"/>
  <c r="F245" i="53" l="1"/>
  <c r="E22" i="54" s="1"/>
  <c r="J111" i="50"/>
  <c r="J113" i="50" s="1"/>
  <c r="G126" i="67"/>
  <c r="O126" i="67"/>
  <c r="J106" i="50"/>
  <c r="F72" i="49"/>
  <c r="F13" i="53"/>
  <c r="F116" i="51"/>
  <c r="F117" i="51" s="1"/>
  <c r="F124" i="51" s="1"/>
  <c r="F247" i="53"/>
  <c r="F150" i="53"/>
  <c r="G69" i="49"/>
  <c r="G93" i="47"/>
  <c r="G11" i="63"/>
  <c r="G12" i="67" s="1"/>
  <c r="G12" i="54"/>
  <c r="G113" i="53"/>
  <c r="G116" i="53"/>
  <c r="G123" i="53"/>
  <c r="G108" i="53"/>
  <c r="G110" i="53"/>
  <c r="G117" i="53"/>
  <c r="G115" i="53"/>
  <c r="G112" i="53"/>
  <c r="G111" i="53"/>
  <c r="G107" i="53"/>
  <c r="G106" i="53"/>
  <c r="G120" i="53"/>
  <c r="G122" i="53"/>
  <c r="G118" i="53"/>
  <c r="G121" i="53"/>
  <c r="G109" i="53"/>
  <c r="G114" i="53"/>
  <c r="G119" i="53"/>
  <c r="G157" i="53"/>
  <c r="G205" i="53" s="1"/>
  <c r="G163" i="53"/>
  <c r="G211" i="53" s="1"/>
  <c r="G160" i="53"/>
  <c r="G208" i="53" s="1"/>
  <c r="G161" i="53"/>
  <c r="G209" i="53" s="1"/>
  <c r="G164" i="53"/>
  <c r="G212" i="53" s="1"/>
  <c r="G166" i="53"/>
  <c r="G214" i="53" s="1"/>
  <c r="G158" i="53"/>
  <c r="G206" i="53" s="1"/>
  <c r="G162" i="53"/>
  <c r="G210" i="53" s="1"/>
  <c r="G168" i="53"/>
  <c r="G216" i="53" s="1"/>
  <c r="G154" i="53"/>
  <c r="G202" i="53" s="1"/>
  <c r="G167" i="53"/>
  <c r="G215" i="53" s="1"/>
  <c r="G159" i="53"/>
  <c r="G207" i="53" s="1"/>
  <c r="G170" i="53"/>
  <c r="G218" i="53" s="1"/>
  <c r="G169" i="53"/>
  <c r="G217" i="53" s="1"/>
  <c r="G155" i="53"/>
  <c r="G203" i="53" s="1"/>
  <c r="G171" i="53"/>
  <c r="G219" i="53" s="1"/>
  <c r="G165" i="53"/>
  <c r="G213" i="53" s="1"/>
  <c r="G156" i="53"/>
  <c r="G204" i="53" s="1"/>
  <c r="F13" i="67"/>
  <c r="F14" i="63"/>
  <c r="F15" i="54"/>
  <c r="E290" i="63"/>
  <c r="D17" i="67"/>
  <c r="D134" i="64"/>
  <c r="E15" i="67"/>
  <c r="E16" i="63"/>
  <c r="E53" i="51"/>
  <c r="E104" i="51" s="1"/>
  <c r="E86" i="52" s="1"/>
  <c r="G53" i="51"/>
  <c r="I53" i="51"/>
  <c r="K53" i="51"/>
  <c r="M53" i="51"/>
  <c r="F53" i="51"/>
  <c r="J53" i="51"/>
  <c r="N53" i="51"/>
  <c r="H53" i="51"/>
  <c r="L53" i="51"/>
  <c r="D28" i="51"/>
  <c r="E142" i="52"/>
  <c r="E190" i="52" s="1"/>
  <c r="E141" i="52"/>
  <c r="E189" i="52" s="1"/>
  <c r="E145" i="52"/>
  <c r="E193" i="52" s="1"/>
  <c r="E147" i="52"/>
  <c r="E195" i="52" s="1"/>
  <c r="E133" i="52"/>
  <c r="E181" i="52" s="1"/>
  <c r="E132" i="52"/>
  <c r="E180" i="52" s="1"/>
  <c r="E134" i="52"/>
  <c r="E182" i="52" s="1"/>
  <c r="E135" i="52"/>
  <c r="E183" i="52" s="1"/>
  <c r="E139" i="52"/>
  <c r="E187" i="52" s="1"/>
  <c r="D14" i="52"/>
  <c r="E148" i="52"/>
  <c r="E196" i="52" s="1"/>
  <c r="E143" i="52"/>
  <c r="E191" i="52" s="1"/>
  <c r="E144" i="52"/>
  <c r="E192" i="52" s="1"/>
  <c r="E131" i="52"/>
  <c r="E179" i="52" s="1"/>
  <c r="E138" i="52"/>
  <c r="E186" i="52" s="1"/>
  <c r="E140" i="52"/>
  <c r="E188" i="52" s="1"/>
  <c r="E146" i="52"/>
  <c r="E194" i="52" s="1"/>
  <c r="E137" i="52"/>
  <c r="E185" i="52" s="1"/>
  <c r="E136" i="52"/>
  <c r="E184" i="52" s="1"/>
  <c r="E39" i="49"/>
  <c r="E13" i="52" s="1"/>
  <c r="E19" i="51"/>
  <c r="E20" i="51" s="1"/>
  <c r="E27" i="51" s="1"/>
  <c r="E40" i="49"/>
  <c r="E12" i="52"/>
  <c r="E14" i="52" s="1"/>
  <c r="G37" i="49"/>
  <c r="G14" i="54"/>
  <c r="G13" i="63"/>
  <c r="G92" i="47"/>
  <c r="F38" i="49"/>
  <c r="F39" i="49" s="1"/>
  <c r="F13" i="52" s="1"/>
  <c r="F11" i="52"/>
  <c r="G227" i="52" s="1"/>
  <c r="G228" i="52" s="1"/>
  <c r="F14" i="67"/>
  <c r="F289" i="63"/>
  <c r="F288" i="63"/>
  <c r="E163" i="52"/>
  <c r="E211" i="52" s="1"/>
  <c r="E164" i="52"/>
  <c r="E212" i="52" s="1"/>
  <c r="E168" i="52"/>
  <c r="E216" i="52" s="1"/>
  <c r="E169" i="52"/>
  <c r="E217" i="52" s="1"/>
  <c r="E154" i="52"/>
  <c r="E202" i="52" s="1"/>
  <c r="E156" i="52"/>
  <c r="E204" i="52" s="1"/>
  <c r="E158" i="52"/>
  <c r="E206" i="52" s="1"/>
  <c r="E155" i="52"/>
  <c r="E203" i="52" s="1"/>
  <c r="E160" i="52"/>
  <c r="E208" i="52" s="1"/>
  <c r="E165" i="52"/>
  <c r="E213" i="52" s="1"/>
  <c r="E170" i="52"/>
  <c r="E218" i="52" s="1"/>
  <c r="E162" i="52"/>
  <c r="E210" i="52" s="1"/>
  <c r="E167" i="52"/>
  <c r="E215" i="52" s="1"/>
  <c r="E166" i="52"/>
  <c r="E214" i="52" s="1"/>
  <c r="E157" i="52"/>
  <c r="E205" i="52" s="1"/>
  <c r="E153" i="52"/>
  <c r="E201" i="52" s="1"/>
  <c r="E159" i="52"/>
  <c r="E207" i="52" s="1"/>
  <c r="E161" i="52"/>
  <c r="E209" i="52" s="1"/>
  <c r="E103" i="64"/>
  <c r="E27" i="47"/>
  <c r="E25" i="64" s="1"/>
  <c r="E106" i="49"/>
  <c r="G104" i="49"/>
  <c r="G94" i="47"/>
  <c r="G12" i="63"/>
  <c r="G13" i="54"/>
  <c r="G15" i="54" s="1"/>
  <c r="F105" i="49"/>
  <c r="F107" i="49" s="1"/>
  <c r="E24" i="64"/>
  <c r="F96" i="47"/>
  <c r="F165" i="47" s="1"/>
  <c r="F166" i="47" s="1"/>
  <c r="F18" i="47" s="1"/>
  <c r="F181" i="47"/>
  <c r="F182" i="47" s="1"/>
  <c r="F219" i="47" s="1"/>
  <c r="F220" i="47" s="1"/>
  <c r="F19" i="47" s="1"/>
  <c r="F104" i="64" s="1"/>
  <c r="C43" i="47"/>
  <c r="G41" i="47" s="1"/>
  <c r="P109" i="64"/>
  <c r="I126" i="67"/>
  <c r="O109" i="64"/>
  <c r="H126" i="67"/>
  <c r="X69" i="67"/>
  <c r="Y71" i="67"/>
  <c r="X68" i="67"/>
  <c r="Y63" i="67"/>
  <c r="W73" i="67"/>
  <c r="X67" i="67"/>
  <c r="X65" i="67"/>
  <c r="X62" i="67"/>
  <c r="W72" i="67"/>
  <c r="Y66" i="67"/>
  <c r="X70" i="67"/>
  <c r="Y64" i="67"/>
  <c r="J135" i="50"/>
  <c r="J130" i="50"/>
  <c r="J132" i="50" s="1"/>
  <c r="K128" i="50" s="1"/>
  <c r="J55" i="50"/>
  <c r="J59" i="50"/>
  <c r="J77" i="50" s="1"/>
  <c r="J54" i="50"/>
  <c r="J56" i="50" s="1"/>
  <c r="T103" i="50"/>
  <c r="S112" i="50"/>
  <c r="S72" i="50"/>
  <c r="T63" i="50"/>
  <c r="J110" i="50"/>
  <c r="J108" i="50"/>
  <c r="K104" i="50" s="1"/>
  <c r="J96" i="50"/>
  <c r="K92" i="50" s="1"/>
  <c r="K67" i="50"/>
  <c r="K71" i="50"/>
  <c r="K66" i="50"/>
  <c r="J115" i="50"/>
  <c r="E22" i="63" l="1"/>
  <c r="H119" i="50"/>
  <c r="H57" i="49" s="1"/>
  <c r="H58" i="49" s="1"/>
  <c r="H83" i="50"/>
  <c r="H25" i="49" s="1"/>
  <c r="H26" i="49" s="1"/>
  <c r="H14" i="54" s="1"/>
  <c r="J152" i="51"/>
  <c r="H152" i="51"/>
  <c r="G152" i="51"/>
  <c r="G201" i="51" s="1"/>
  <c r="G87" i="53" s="1"/>
  <c r="L152" i="51"/>
  <c r="I152" i="51"/>
  <c r="N152" i="51"/>
  <c r="O152" i="51"/>
  <c r="K152" i="51"/>
  <c r="F125" i="51"/>
  <c r="M152" i="51"/>
  <c r="P152" i="51"/>
  <c r="H139" i="50"/>
  <c r="H91" i="49" s="1"/>
  <c r="H92" i="49" s="1"/>
  <c r="H13" i="54" s="1"/>
  <c r="G12" i="53"/>
  <c r="G70" i="49"/>
  <c r="G134" i="53"/>
  <c r="G182" i="53" s="1"/>
  <c r="G228" i="53" s="1"/>
  <c r="G135" i="53"/>
  <c r="G183" i="53" s="1"/>
  <c r="G229" i="53" s="1"/>
  <c r="G139" i="53"/>
  <c r="G187" i="53" s="1"/>
  <c r="G233" i="53" s="1"/>
  <c r="G141" i="53"/>
  <c r="G189" i="53" s="1"/>
  <c r="G235" i="53" s="1"/>
  <c r="G142" i="53"/>
  <c r="G190" i="53" s="1"/>
  <c r="G236" i="53" s="1"/>
  <c r="G147" i="53"/>
  <c r="G195" i="53" s="1"/>
  <c r="G241" i="53" s="1"/>
  <c r="G138" i="53"/>
  <c r="G186" i="53" s="1"/>
  <c r="G232" i="53" s="1"/>
  <c r="G136" i="53"/>
  <c r="G184" i="53" s="1"/>
  <c r="G230" i="53" s="1"/>
  <c r="G144" i="53"/>
  <c r="G192" i="53" s="1"/>
  <c r="G238" i="53" s="1"/>
  <c r="F15" i="53"/>
  <c r="G148" i="53"/>
  <c r="G196" i="53" s="1"/>
  <c r="G242" i="53" s="1"/>
  <c r="G145" i="53"/>
  <c r="G193" i="53" s="1"/>
  <c r="G239" i="53" s="1"/>
  <c r="G143" i="53"/>
  <c r="G191" i="53" s="1"/>
  <c r="G237" i="53" s="1"/>
  <c r="G137" i="53"/>
  <c r="G185" i="53" s="1"/>
  <c r="G231" i="53" s="1"/>
  <c r="G140" i="53"/>
  <c r="G188" i="53" s="1"/>
  <c r="G234" i="53" s="1"/>
  <c r="G133" i="53"/>
  <c r="G181" i="53" s="1"/>
  <c r="G227" i="53" s="1"/>
  <c r="G132" i="53"/>
  <c r="G180" i="53" s="1"/>
  <c r="G226" i="53" s="1"/>
  <c r="G149" i="53"/>
  <c r="G197" i="53" s="1"/>
  <c r="G243" i="53" s="1"/>
  <c r="G146" i="53"/>
  <c r="G194" i="53" s="1"/>
  <c r="G240" i="53" s="1"/>
  <c r="E17" i="67"/>
  <c r="E134" i="64"/>
  <c r="F15" i="67"/>
  <c r="F16" i="63"/>
  <c r="G13" i="67"/>
  <c r="G14" i="63"/>
  <c r="F290" i="63"/>
  <c r="G164" i="52"/>
  <c r="G212" i="52" s="1"/>
  <c r="G163" i="52"/>
  <c r="G211" i="52" s="1"/>
  <c r="G169" i="52"/>
  <c r="G217" i="52" s="1"/>
  <c r="G168" i="52"/>
  <c r="G216" i="52" s="1"/>
  <c r="G153" i="52"/>
  <c r="G201" i="52" s="1"/>
  <c r="G157" i="52"/>
  <c r="G205" i="52" s="1"/>
  <c r="G156" i="52"/>
  <c r="G204" i="52" s="1"/>
  <c r="G159" i="52"/>
  <c r="G207" i="52" s="1"/>
  <c r="G161" i="52"/>
  <c r="G209" i="52" s="1"/>
  <c r="G162" i="52"/>
  <c r="G210" i="52" s="1"/>
  <c r="G165" i="52"/>
  <c r="G213" i="52" s="1"/>
  <c r="G170" i="52"/>
  <c r="G218" i="52" s="1"/>
  <c r="G167" i="52"/>
  <c r="G215" i="52" s="1"/>
  <c r="G166" i="52"/>
  <c r="G214" i="52" s="1"/>
  <c r="G154" i="52"/>
  <c r="G202" i="52" s="1"/>
  <c r="G155" i="52"/>
  <c r="G203" i="52" s="1"/>
  <c r="G158" i="52"/>
  <c r="G206" i="52" s="1"/>
  <c r="G160" i="52"/>
  <c r="G208" i="52" s="1"/>
  <c r="F40" i="49"/>
  <c r="F12" i="52"/>
  <c r="F19" i="51"/>
  <c r="F20" i="51" s="1"/>
  <c r="F27" i="51" s="1"/>
  <c r="G181" i="47"/>
  <c r="G182" i="47" s="1"/>
  <c r="G219" i="47" s="1"/>
  <c r="G220" i="47" s="1"/>
  <c r="G19" i="47" s="1"/>
  <c r="G104" i="64" s="1"/>
  <c r="G96" i="47"/>
  <c r="G165" i="47" s="1"/>
  <c r="G166" i="47" s="1"/>
  <c r="G18" i="47" s="1"/>
  <c r="F54" i="51"/>
  <c r="F104" i="51" s="1"/>
  <c r="F86" i="52" s="1"/>
  <c r="H54" i="51"/>
  <c r="J54" i="51"/>
  <c r="L54" i="51"/>
  <c r="N54" i="51"/>
  <c r="E28" i="51"/>
  <c r="G54" i="51"/>
  <c r="I54" i="51"/>
  <c r="K54" i="51"/>
  <c r="M54" i="51"/>
  <c r="O54" i="51"/>
  <c r="E240" i="52"/>
  <c r="D134" i="63" s="1"/>
  <c r="D158" i="63" s="1"/>
  <c r="E250" i="52"/>
  <c r="D144" i="63" s="1"/>
  <c r="D168" i="63" s="1"/>
  <c r="E242" i="52"/>
  <c r="D136" i="63" s="1"/>
  <c r="D160" i="63" s="1"/>
  <c r="E248" i="52"/>
  <c r="D142" i="63" s="1"/>
  <c r="D166" i="63" s="1"/>
  <c r="D90" i="64" s="1"/>
  <c r="D157" i="64" s="1"/>
  <c r="E252" i="52"/>
  <c r="D146" i="63" s="1"/>
  <c r="D170" i="63" s="1"/>
  <c r="D94" i="64" s="1"/>
  <c r="D161" i="64" s="1"/>
  <c r="E243" i="52"/>
  <c r="D137" i="63" s="1"/>
  <c r="D161" i="63" s="1"/>
  <c r="D85" i="64" s="1"/>
  <c r="D152" i="64" s="1"/>
  <c r="E238" i="52"/>
  <c r="D132" i="63" s="1"/>
  <c r="D156" i="63" s="1"/>
  <c r="E237" i="52"/>
  <c r="D131" i="63" s="1"/>
  <c r="D155" i="63" s="1"/>
  <c r="E249" i="52"/>
  <c r="D143" i="63" s="1"/>
  <c r="D167" i="63" s="1"/>
  <c r="E246" i="52"/>
  <c r="D140" i="63" s="1"/>
  <c r="D164" i="63" s="1"/>
  <c r="D88" i="64" s="1"/>
  <c r="D155" i="64" s="1"/>
  <c r="F103" i="64"/>
  <c r="F27" i="47"/>
  <c r="E26" i="64" s="1"/>
  <c r="F106" i="49"/>
  <c r="H94" i="47"/>
  <c r="G105" i="49"/>
  <c r="G107" i="49" s="1"/>
  <c r="H37" i="49"/>
  <c r="G14" i="67"/>
  <c r="G288" i="63"/>
  <c r="G289" i="63"/>
  <c r="G11" i="52"/>
  <c r="H227" i="52" s="1"/>
  <c r="H228" i="52" s="1"/>
  <c r="G38" i="49"/>
  <c r="G39" i="49" s="1"/>
  <c r="G13" i="52" s="1"/>
  <c r="F163" i="52"/>
  <c r="F211" i="52" s="1"/>
  <c r="F170" i="52"/>
  <c r="F218" i="52" s="1"/>
  <c r="F168" i="52"/>
  <c r="F216" i="52" s="1"/>
  <c r="F169" i="52"/>
  <c r="F217" i="52" s="1"/>
  <c r="F155" i="52"/>
  <c r="F203" i="52" s="1"/>
  <c r="F157" i="52"/>
  <c r="F205" i="52" s="1"/>
  <c r="F153" i="52"/>
  <c r="F201" i="52" s="1"/>
  <c r="F159" i="52"/>
  <c r="F207" i="52" s="1"/>
  <c r="F160" i="52"/>
  <c r="F208" i="52" s="1"/>
  <c r="F162" i="52"/>
  <c r="F210" i="52" s="1"/>
  <c r="F167" i="52"/>
  <c r="F215" i="52" s="1"/>
  <c r="F154" i="52"/>
  <c r="F202" i="52" s="1"/>
  <c r="F158" i="52"/>
  <c r="F206" i="52" s="1"/>
  <c r="F165" i="52"/>
  <c r="F213" i="52" s="1"/>
  <c r="F164" i="52"/>
  <c r="F212" i="52" s="1"/>
  <c r="F166" i="52"/>
  <c r="F214" i="52" s="1"/>
  <c r="F156" i="52"/>
  <c r="F204" i="52" s="1"/>
  <c r="F161" i="52"/>
  <c r="F209" i="52" s="1"/>
  <c r="E241" i="52"/>
  <c r="D135" i="63" s="1"/>
  <c r="D159" i="63" s="1"/>
  <c r="E244" i="52"/>
  <c r="D138" i="63" s="1"/>
  <c r="D162" i="63" s="1"/>
  <c r="E235" i="52"/>
  <c r="E247" i="52"/>
  <c r="D141" i="63" s="1"/>
  <c r="D165" i="63" s="1"/>
  <c r="D89" i="64" s="1"/>
  <c r="D156" i="64" s="1"/>
  <c r="E239" i="52"/>
  <c r="D133" i="63" s="1"/>
  <c r="D157" i="63" s="1"/>
  <c r="E236" i="52"/>
  <c r="D130" i="63" s="1"/>
  <c r="D154" i="63" s="1"/>
  <c r="E251" i="52"/>
  <c r="D145" i="63" s="1"/>
  <c r="D169" i="63" s="1"/>
  <c r="E245" i="52"/>
  <c r="D139" i="63" s="1"/>
  <c r="D163" i="63" s="1"/>
  <c r="D87" i="64" s="1"/>
  <c r="D154" i="64" s="1"/>
  <c r="F113" i="52"/>
  <c r="F139" i="52" s="1"/>
  <c r="F187" i="52" s="1"/>
  <c r="F122" i="52"/>
  <c r="F148" i="52" s="1"/>
  <c r="F196" i="52" s="1"/>
  <c r="F252" i="52" s="1"/>
  <c r="E146" i="63" s="1"/>
  <c r="E170" i="63" s="1"/>
  <c r="E94" i="64" s="1"/>
  <c r="E161" i="64" s="1"/>
  <c r="F118" i="52"/>
  <c r="F144" i="52" s="1"/>
  <c r="F192" i="52" s="1"/>
  <c r="F117" i="52"/>
  <c r="F143" i="52" s="1"/>
  <c r="F191" i="52" s="1"/>
  <c r="F247" i="52" s="1"/>
  <c r="E141" i="63" s="1"/>
  <c r="E165" i="63" s="1"/>
  <c r="E89" i="64" s="1"/>
  <c r="E156" i="64" s="1"/>
  <c r="F106" i="52"/>
  <c r="F132" i="52" s="1"/>
  <c r="F180" i="52" s="1"/>
  <c r="F107" i="52"/>
  <c r="F133" i="52" s="1"/>
  <c r="F181" i="52" s="1"/>
  <c r="F111" i="52"/>
  <c r="F137" i="52" s="1"/>
  <c r="F185" i="52" s="1"/>
  <c r="F105" i="52"/>
  <c r="F131" i="52" s="1"/>
  <c r="F179" i="52" s="1"/>
  <c r="F120" i="52"/>
  <c r="F146" i="52" s="1"/>
  <c r="F194" i="52" s="1"/>
  <c r="F250" i="52" s="1"/>
  <c r="E144" i="63" s="1"/>
  <c r="E168" i="63" s="1"/>
  <c r="F114" i="52"/>
  <c r="F140" i="52" s="1"/>
  <c r="F188" i="52" s="1"/>
  <c r="F244" i="52" s="1"/>
  <c r="E138" i="63" s="1"/>
  <c r="E162" i="63" s="1"/>
  <c r="F108" i="52"/>
  <c r="F134" i="52" s="1"/>
  <c r="F182" i="52" s="1"/>
  <c r="F238" i="52" s="1"/>
  <c r="E132" i="63" s="1"/>
  <c r="E156" i="63" s="1"/>
  <c r="F112" i="52"/>
  <c r="F138" i="52" s="1"/>
  <c r="F186" i="52" s="1"/>
  <c r="F116" i="52"/>
  <c r="F142" i="52" s="1"/>
  <c r="F190" i="52" s="1"/>
  <c r="F246" i="52" s="1"/>
  <c r="E140" i="63" s="1"/>
  <c r="E164" i="63" s="1"/>
  <c r="E88" i="64" s="1"/>
  <c r="E155" i="64" s="1"/>
  <c r="F110" i="52"/>
  <c r="F136" i="52" s="1"/>
  <c r="F184" i="52" s="1"/>
  <c r="F119" i="52"/>
  <c r="F145" i="52" s="1"/>
  <c r="F193" i="52" s="1"/>
  <c r="F115" i="52"/>
  <c r="F141" i="52" s="1"/>
  <c r="F189" i="52" s="1"/>
  <c r="F109" i="52"/>
  <c r="F135" i="52" s="1"/>
  <c r="F183" i="52" s="1"/>
  <c r="F121" i="52"/>
  <c r="F147" i="52" s="1"/>
  <c r="F195" i="52" s="1"/>
  <c r="F251" i="52" s="1"/>
  <c r="E145" i="63" s="1"/>
  <c r="E169" i="63" s="1"/>
  <c r="Y62" i="67"/>
  <c r="Y67" i="67"/>
  <c r="Z63" i="67"/>
  <c r="Z71" i="67"/>
  <c r="Z66" i="67"/>
  <c r="Y70" i="67"/>
  <c r="X72" i="67"/>
  <c r="Y65" i="67"/>
  <c r="Y68" i="67"/>
  <c r="Z64" i="67"/>
  <c r="X73" i="67"/>
  <c r="Y69" i="67"/>
  <c r="K52" i="50"/>
  <c r="K59" i="50" s="1"/>
  <c r="K135" i="50"/>
  <c r="K131" i="50"/>
  <c r="K130" i="50"/>
  <c r="K73" i="50"/>
  <c r="K95" i="50"/>
  <c r="K94" i="50"/>
  <c r="K99" i="50"/>
  <c r="T112" i="50"/>
  <c r="U103" i="50"/>
  <c r="K107" i="50"/>
  <c r="K111" i="50"/>
  <c r="K113" i="50" s="1"/>
  <c r="K106" i="50"/>
  <c r="K68" i="50"/>
  <c r="L64" i="50" s="1"/>
  <c r="T72" i="50"/>
  <c r="U63" i="50"/>
  <c r="F249" i="52" l="1"/>
  <c r="E143" i="63" s="1"/>
  <c r="E167" i="63" s="1"/>
  <c r="G245" i="53"/>
  <c r="F22" i="54" s="1"/>
  <c r="H92" i="47"/>
  <c r="H13" i="63"/>
  <c r="H14" i="67" s="1"/>
  <c r="H12" i="63"/>
  <c r="H104" i="49"/>
  <c r="I139" i="50"/>
  <c r="I91" i="49" s="1"/>
  <c r="I92" i="49" s="1"/>
  <c r="I12" i="63" s="1"/>
  <c r="G150" i="53"/>
  <c r="G71" i="49"/>
  <c r="G14" i="53" s="1"/>
  <c r="G116" i="51"/>
  <c r="G117" i="51" s="1"/>
  <c r="G124" i="51" s="1"/>
  <c r="G72" i="49"/>
  <c r="G13" i="53"/>
  <c r="H69" i="49"/>
  <c r="H93" i="47"/>
  <c r="H12" i="54"/>
  <c r="H11" i="63"/>
  <c r="H12" i="67" s="1"/>
  <c r="G247" i="53"/>
  <c r="F22" i="63"/>
  <c r="H117" i="53"/>
  <c r="H143" i="53" s="1"/>
  <c r="H191" i="53" s="1"/>
  <c r="H122" i="53"/>
  <c r="H116" i="53"/>
  <c r="H109" i="53"/>
  <c r="H121" i="53"/>
  <c r="H147" i="53" s="1"/>
  <c r="H195" i="53" s="1"/>
  <c r="H110" i="53"/>
  <c r="H106" i="53"/>
  <c r="H113" i="53"/>
  <c r="H115" i="53"/>
  <c r="H141" i="53" s="1"/>
  <c r="H189" i="53" s="1"/>
  <c r="H107" i="53"/>
  <c r="H111" i="53"/>
  <c r="H112" i="53"/>
  <c r="H114" i="53"/>
  <c r="H140" i="53" s="1"/>
  <c r="H188" i="53" s="1"/>
  <c r="H120" i="53"/>
  <c r="H118" i="53"/>
  <c r="H119" i="53"/>
  <c r="H123" i="53"/>
  <c r="H149" i="53" s="1"/>
  <c r="H197" i="53" s="1"/>
  <c r="H108" i="53"/>
  <c r="G290" i="63"/>
  <c r="H15" i="54"/>
  <c r="G15" i="67"/>
  <c r="G16" i="63"/>
  <c r="F17" i="67"/>
  <c r="F134" i="64"/>
  <c r="F245" i="52"/>
  <c r="E139" i="63" s="1"/>
  <c r="E163" i="63" s="1"/>
  <c r="E87" i="64" s="1"/>
  <c r="E154" i="64" s="1"/>
  <c r="F240" i="52"/>
  <c r="E134" i="63" s="1"/>
  <c r="E158" i="63" s="1"/>
  <c r="E88" i="67" s="1"/>
  <c r="F242" i="52"/>
  <c r="E136" i="63" s="1"/>
  <c r="E160" i="63" s="1"/>
  <c r="E84" i="64" s="1"/>
  <c r="E151" i="64" s="1"/>
  <c r="F235" i="52"/>
  <c r="E129" i="63" s="1"/>
  <c r="F237" i="52"/>
  <c r="E131" i="63" s="1"/>
  <c r="E155" i="63" s="1"/>
  <c r="E79" i="64" s="1"/>
  <c r="E146" i="64" s="1"/>
  <c r="G106" i="49"/>
  <c r="H13" i="67"/>
  <c r="F239" i="52"/>
  <c r="E133" i="63" s="1"/>
  <c r="E157" i="63" s="1"/>
  <c r="E81" i="64" s="1"/>
  <c r="E148" i="64" s="1"/>
  <c r="F241" i="52"/>
  <c r="E135" i="63" s="1"/>
  <c r="E159" i="63" s="1"/>
  <c r="E89" i="67" s="1"/>
  <c r="F236" i="52"/>
  <c r="E130" i="63" s="1"/>
  <c r="E154" i="63" s="1"/>
  <c r="E84" i="67" s="1"/>
  <c r="F248" i="52"/>
  <c r="E142" i="63" s="1"/>
  <c r="E166" i="63" s="1"/>
  <c r="E90" i="64" s="1"/>
  <c r="E157" i="64" s="1"/>
  <c r="F243" i="52"/>
  <c r="E137" i="63" s="1"/>
  <c r="E161" i="63" s="1"/>
  <c r="E85" i="64" s="1"/>
  <c r="E152" i="64" s="1"/>
  <c r="H170" i="52"/>
  <c r="H218" i="52" s="1"/>
  <c r="H163" i="52"/>
  <c r="H211" i="52" s="1"/>
  <c r="H165" i="52"/>
  <c r="H213" i="52" s="1"/>
  <c r="H169" i="52"/>
  <c r="H217" i="52" s="1"/>
  <c r="H166" i="52"/>
  <c r="H214" i="52" s="1"/>
  <c r="H159" i="52"/>
  <c r="H207" i="52" s="1"/>
  <c r="H153" i="52"/>
  <c r="H201" i="52" s="1"/>
  <c r="H154" i="52"/>
  <c r="H202" i="52" s="1"/>
  <c r="H160" i="52"/>
  <c r="H208" i="52" s="1"/>
  <c r="H164" i="52"/>
  <c r="H212" i="52" s="1"/>
  <c r="H162" i="52"/>
  <c r="H210" i="52" s="1"/>
  <c r="H167" i="52"/>
  <c r="H215" i="52" s="1"/>
  <c r="H168" i="52"/>
  <c r="H216" i="52" s="1"/>
  <c r="H158" i="52"/>
  <c r="H206" i="52" s="1"/>
  <c r="H156" i="52"/>
  <c r="H204" i="52" s="1"/>
  <c r="H155" i="52"/>
  <c r="H203" i="52" s="1"/>
  <c r="H157" i="52"/>
  <c r="H205" i="52" s="1"/>
  <c r="H161" i="52"/>
  <c r="H209" i="52" s="1"/>
  <c r="E94" i="67"/>
  <c r="E93" i="64"/>
  <c r="E160" i="64" s="1"/>
  <c r="E91" i="67"/>
  <c r="E86" i="64"/>
  <c r="E153" i="64" s="1"/>
  <c r="D84" i="67"/>
  <c r="D78" i="64"/>
  <c r="D145" i="64" s="1"/>
  <c r="D91" i="67"/>
  <c r="D86" i="64"/>
  <c r="D153" i="64" s="1"/>
  <c r="H181" i="47"/>
  <c r="H182" i="47" s="1"/>
  <c r="H219" i="47" s="1"/>
  <c r="H220" i="47" s="1"/>
  <c r="H19" i="47" s="1"/>
  <c r="H104" i="64" s="1"/>
  <c r="H96" i="47"/>
  <c r="H11" i="52"/>
  <c r="I227" i="52" s="1"/>
  <c r="I228" i="52" s="1"/>
  <c r="H38" i="49"/>
  <c r="H105" i="49"/>
  <c r="H107" i="49" s="1"/>
  <c r="D91" i="64"/>
  <c r="D158" i="64" s="1"/>
  <c r="D92" i="67"/>
  <c r="D80" i="64"/>
  <c r="D147" i="64" s="1"/>
  <c r="D86" i="67"/>
  <c r="D179" i="63"/>
  <c r="D84" i="64"/>
  <c r="D151" i="64" s="1"/>
  <c r="D181" i="63"/>
  <c r="D90" i="67"/>
  <c r="D82" i="64"/>
  <c r="D149" i="64" s="1"/>
  <c r="D180" i="63"/>
  <c r="D88" i="67"/>
  <c r="G103" i="64"/>
  <c r="G27" i="47"/>
  <c r="E27" i="64" s="1"/>
  <c r="I55" i="51"/>
  <c r="J55" i="51"/>
  <c r="F28" i="51"/>
  <c r="G55" i="51"/>
  <c r="G104" i="51" s="1"/>
  <c r="G86" i="52" s="1"/>
  <c r="O55" i="51"/>
  <c r="P55" i="51"/>
  <c r="M55" i="51"/>
  <c r="N55" i="51"/>
  <c r="L55" i="51"/>
  <c r="K55" i="51"/>
  <c r="H55" i="51"/>
  <c r="E92" i="67"/>
  <c r="E91" i="64"/>
  <c r="E158" i="64" s="1"/>
  <c r="E86" i="67"/>
  <c r="E80" i="64"/>
  <c r="E147" i="64" s="1"/>
  <c r="E179" i="63"/>
  <c r="E93" i="67"/>
  <c r="E92" i="64"/>
  <c r="E159" i="64" s="1"/>
  <c r="D94" i="67"/>
  <c r="D93" i="64"/>
  <c r="D160" i="64" s="1"/>
  <c r="D87" i="67"/>
  <c r="D81" i="64"/>
  <c r="D148" i="64" s="1"/>
  <c r="D129" i="63"/>
  <c r="E254" i="52"/>
  <c r="D83" i="64"/>
  <c r="D150" i="64" s="1"/>
  <c r="D89" i="67"/>
  <c r="G40" i="49"/>
  <c r="G19" i="51"/>
  <c r="G20" i="51" s="1"/>
  <c r="G27" i="51" s="1"/>
  <c r="G12" i="52"/>
  <c r="G14" i="52" s="1"/>
  <c r="I104" i="49"/>
  <c r="I13" i="54"/>
  <c r="D85" i="67"/>
  <c r="D79" i="64"/>
  <c r="D146" i="64" s="1"/>
  <c r="D92" i="64"/>
  <c r="D159" i="64" s="1"/>
  <c r="D93" i="67"/>
  <c r="G109" i="52"/>
  <c r="G135" i="52" s="1"/>
  <c r="G183" i="52" s="1"/>
  <c r="G239" i="52" s="1"/>
  <c r="F133" i="63" s="1"/>
  <c r="F157" i="63" s="1"/>
  <c r="G115" i="52"/>
  <c r="G141" i="52" s="1"/>
  <c r="G189" i="52" s="1"/>
  <c r="G245" i="52" s="1"/>
  <c r="F139" i="63" s="1"/>
  <c r="F163" i="63" s="1"/>
  <c r="F87" i="64" s="1"/>
  <c r="F154" i="64" s="1"/>
  <c r="G122" i="52"/>
  <c r="G148" i="52" s="1"/>
  <c r="G196" i="52" s="1"/>
  <c r="G252" i="52" s="1"/>
  <c r="F146" i="63" s="1"/>
  <c r="F170" i="63" s="1"/>
  <c r="F94" i="64" s="1"/>
  <c r="F161" i="64" s="1"/>
  <c r="G111" i="52"/>
  <c r="G137" i="52" s="1"/>
  <c r="G185" i="52" s="1"/>
  <c r="G241" i="52" s="1"/>
  <c r="F135" i="63" s="1"/>
  <c r="F159" i="63" s="1"/>
  <c r="G110" i="52"/>
  <c r="G136" i="52" s="1"/>
  <c r="G184" i="52" s="1"/>
  <c r="G240" i="52" s="1"/>
  <c r="F134" i="63" s="1"/>
  <c r="F158" i="63" s="1"/>
  <c r="G107" i="52"/>
  <c r="G133" i="52" s="1"/>
  <c r="G181" i="52" s="1"/>
  <c r="G237" i="52" s="1"/>
  <c r="F131" i="63" s="1"/>
  <c r="F155" i="63" s="1"/>
  <c r="G114" i="52"/>
  <c r="G140" i="52" s="1"/>
  <c r="G188" i="52" s="1"/>
  <c r="G244" i="52" s="1"/>
  <c r="F138" i="63" s="1"/>
  <c r="F162" i="63" s="1"/>
  <c r="G116" i="52"/>
  <c r="G142" i="52" s="1"/>
  <c r="G190" i="52" s="1"/>
  <c r="G246" i="52" s="1"/>
  <c r="F140" i="63" s="1"/>
  <c r="F164" i="63" s="1"/>
  <c r="F88" i="64" s="1"/>
  <c r="F155" i="64" s="1"/>
  <c r="G120" i="52"/>
  <c r="G146" i="52" s="1"/>
  <c r="G194" i="52" s="1"/>
  <c r="G250" i="52" s="1"/>
  <c r="F144" i="63" s="1"/>
  <c r="F168" i="63" s="1"/>
  <c r="G118" i="52"/>
  <c r="G144" i="52" s="1"/>
  <c r="G192" i="52" s="1"/>
  <c r="G248" i="52" s="1"/>
  <c r="F142" i="63" s="1"/>
  <c r="F166" i="63" s="1"/>
  <c r="F90" i="64" s="1"/>
  <c r="F157" i="64" s="1"/>
  <c r="G117" i="52"/>
  <c r="G106" i="52"/>
  <c r="G132" i="52" s="1"/>
  <c r="G180" i="52" s="1"/>
  <c r="G236" i="52" s="1"/>
  <c r="F130" i="63" s="1"/>
  <c r="F154" i="63" s="1"/>
  <c r="G105" i="52"/>
  <c r="G131" i="52" s="1"/>
  <c r="G179" i="52" s="1"/>
  <c r="G235" i="52" s="1"/>
  <c r="G113" i="52"/>
  <c r="G139" i="52" s="1"/>
  <c r="G187" i="52" s="1"/>
  <c r="G243" i="52" s="1"/>
  <c r="F137" i="63" s="1"/>
  <c r="F161" i="63" s="1"/>
  <c r="F85" i="64" s="1"/>
  <c r="F152" i="64" s="1"/>
  <c r="G112" i="52"/>
  <c r="G138" i="52" s="1"/>
  <c r="G186" i="52" s="1"/>
  <c r="G242" i="52" s="1"/>
  <c r="F136" i="63" s="1"/>
  <c r="F160" i="63" s="1"/>
  <c r="G108" i="52"/>
  <c r="G134" i="52" s="1"/>
  <c r="G182" i="52" s="1"/>
  <c r="G238" i="52" s="1"/>
  <c r="F132" i="63" s="1"/>
  <c r="F156" i="63" s="1"/>
  <c r="G119" i="52"/>
  <c r="G145" i="52" s="1"/>
  <c r="G193" i="52" s="1"/>
  <c r="G249" i="52" s="1"/>
  <c r="F143" i="63" s="1"/>
  <c r="F167" i="63" s="1"/>
  <c r="G121" i="52"/>
  <c r="G147" i="52" s="1"/>
  <c r="G195" i="52" s="1"/>
  <c r="G251" i="52" s="1"/>
  <c r="F145" i="63" s="1"/>
  <c r="F169" i="63" s="1"/>
  <c r="G143" i="52"/>
  <c r="G191" i="52" s="1"/>
  <c r="G247" i="52" s="1"/>
  <c r="F141" i="63" s="1"/>
  <c r="F165" i="63" s="1"/>
  <c r="F89" i="64" s="1"/>
  <c r="F156" i="64" s="1"/>
  <c r="F14" i="52"/>
  <c r="AA71" i="67"/>
  <c r="Z67" i="67"/>
  <c r="Z69" i="67"/>
  <c r="Z65" i="67"/>
  <c r="Y72" i="67"/>
  <c r="Z62" i="67"/>
  <c r="AA64" i="67"/>
  <c r="Z70" i="67"/>
  <c r="Y73" i="67"/>
  <c r="Z68" i="67"/>
  <c r="AA66" i="67"/>
  <c r="AA63" i="67"/>
  <c r="K54" i="50"/>
  <c r="K56" i="50" s="1"/>
  <c r="K77" i="50"/>
  <c r="K55" i="50"/>
  <c r="L67" i="50"/>
  <c r="L66" i="50"/>
  <c r="L71" i="50"/>
  <c r="V103" i="50"/>
  <c r="U112" i="50"/>
  <c r="K115" i="50"/>
  <c r="U72" i="50"/>
  <c r="V63" i="50"/>
  <c r="K108" i="50"/>
  <c r="L104" i="50" s="1"/>
  <c r="K110" i="50"/>
  <c r="K96" i="50"/>
  <c r="L92" i="50" s="1"/>
  <c r="K132" i="50"/>
  <c r="L128" i="50" s="1"/>
  <c r="H144" i="53" l="1"/>
  <c r="H192" i="53" s="1"/>
  <c r="H137" i="53"/>
  <c r="H185" i="53" s="1"/>
  <c r="H132" i="53"/>
  <c r="H180" i="53" s="1"/>
  <c r="H142" i="53"/>
  <c r="H190" i="53" s="1"/>
  <c r="H288" i="63"/>
  <c r="H289" i="63"/>
  <c r="I94" i="47"/>
  <c r="E78" i="64"/>
  <c r="E145" i="64" s="1"/>
  <c r="E87" i="67"/>
  <c r="E82" i="64"/>
  <c r="E149" i="64" s="1"/>
  <c r="E181" i="63"/>
  <c r="E85" i="67"/>
  <c r="E90" i="67"/>
  <c r="H14" i="63"/>
  <c r="H15" i="67" s="1"/>
  <c r="H134" i="53"/>
  <c r="H182" i="53" s="1"/>
  <c r="H145" i="53"/>
  <c r="H193" i="53" s="1"/>
  <c r="H146" i="53"/>
  <c r="H194" i="53" s="1"/>
  <c r="H138" i="53"/>
  <c r="H186" i="53" s="1"/>
  <c r="H133" i="53"/>
  <c r="H181" i="53" s="1"/>
  <c r="H139" i="53"/>
  <c r="H187" i="53" s="1"/>
  <c r="H136" i="53"/>
  <c r="H184" i="53" s="1"/>
  <c r="H135" i="53"/>
  <c r="H183" i="53" s="1"/>
  <c r="H148" i="53"/>
  <c r="H196" i="53" s="1"/>
  <c r="I119" i="50"/>
  <c r="I57" i="49" s="1"/>
  <c r="I58" i="49" s="1"/>
  <c r="H12" i="53"/>
  <c r="H70" i="49"/>
  <c r="H71" i="49" s="1"/>
  <c r="H14" i="53" s="1"/>
  <c r="H157" i="53"/>
  <c r="H205" i="53" s="1"/>
  <c r="H229" i="53" s="1"/>
  <c r="H168" i="53"/>
  <c r="H216" i="53" s="1"/>
  <c r="H159" i="53"/>
  <c r="H207" i="53" s="1"/>
  <c r="H231" i="53" s="1"/>
  <c r="H164" i="53"/>
  <c r="H212" i="53" s="1"/>
  <c r="H158" i="53"/>
  <c r="H206" i="53" s="1"/>
  <c r="H156" i="53"/>
  <c r="H204" i="53" s="1"/>
  <c r="H167" i="53"/>
  <c r="H215" i="53" s="1"/>
  <c r="H163" i="53"/>
  <c r="H211" i="53" s="1"/>
  <c r="H154" i="53"/>
  <c r="H202" i="53" s="1"/>
  <c r="H155" i="53"/>
  <c r="H203" i="53" s="1"/>
  <c r="H165" i="53"/>
  <c r="H213" i="53" s="1"/>
  <c r="H237" i="53" s="1"/>
  <c r="H162" i="53"/>
  <c r="H210" i="53" s="1"/>
  <c r="H169" i="53"/>
  <c r="H217" i="53" s="1"/>
  <c r="H241" i="53" s="1"/>
  <c r="H171" i="53"/>
  <c r="H219" i="53" s="1"/>
  <c r="H243" i="53" s="1"/>
  <c r="H166" i="53"/>
  <c r="H214" i="53" s="1"/>
  <c r="H238" i="53" s="1"/>
  <c r="H170" i="53"/>
  <c r="H218" i="53" s="1"/>
  <c r="H160" i="53"/>
  <c r="H208" i="53" s="1"/>
  <c r="H232" i="53" s="1"/>
  <c r="H161" i="53"/>
  <c r="H209" i="53" s="1"/>
  <c r="H233" i="53" s="1"/>
  <c r="I83" i="50"/>
  <c r="I25" i="49" s="1"/>
  <c r="I26" i="49" s="1"/>
  <c r="H234" i="53"/>
  <c r="H235" i="53"/>
  <c r="H226" i="53"/>
  <c r="G15" i="53"/>
  <c r="H153" i="51"/>
  <c r="H201" i="51" s="1"/>
  <c r="H87" i="53" s="1"/>
  <c r="P153" i="51"/>
  <c r="M153" i="51"/>
  <c r="G125" i="51"/>
  <c r="J153" i="51"/>
  <c r="K153" i="51"/>
  <c r="L153" i="51"/>
  <c r="I153" i="51"/>
  <c r="Q153" i="51"/>
  <c r="O153" i="51"/>
  <c r="N153" i="51"/>
  <c r="H290" i="63"/>
  <c r="E180" i="63"/>
  <c r="E191" i="63" s="1"/>
  <c r="F254" i="52"/>
  <c r="E24" i="54" s="1"/>
  <c r="D191" i="63"/>
  <c r="D119" i="64" s="1"/>
  <c r="H16" i="63"/>
  <c r="G134" i="64"/>
  <c r="G17" i="67"/>
  <c r="I13" i="67"/>
  <c r="E83" i="64"/>
  <c r="E150" i="64" s="1"/>
  <c r="F83" i="64"/>
  <c r="F150" i="64" s="1"/>
  <c r="F89" i="67"/>
  <c r="F86" i="67"/>
  <c r="F80" i="64"/>
  <c r="F147" i="64" s="1"/>
  <c r="F179" i="63"/>
  <c r="F85" i="67"/>
  <c r="F79" i="64"/>
  <c r="F146" i="64" s="1"/>
  <c r="F94" i="67"/>
  <c r="F93" i="64"/>
  <c r="F160" i="64" s="1"/>
  <c r="F86" i="64"/>
  <c r="F153" i="64" s="1"/>
  <c r="F91" i="67"/>
  <c r="I105" i="49"/>
  <c r="I107" i="49" s="1"/>
  <c r="D153" i="63"/>
  <c r="D147" i="63"/>
  <c r="H119" i="52"/>
  <c r="H145" i="52" s="1"/>
  <c r="H193" i="52" s="1"/>
  <c r="H249" i="52" s="1"/>
  <c r="H105" i="52"/>
  <c r="H131" i="52" s="1"/>
  <c r="H179" i="52" s="1"/>
  <c r="H235" i="52" s="1"/>
  <c r="H108" i="52"/>
  <c r="H134" i="52" s="1"/>
  <c r="H182" i="52" s="1"/>
  <c r="H238" i="52" s="1"/>
  <c r="H113" i="52"/>
  <c r="H139" i="52" s="1"/>
  <c r="H187" i="52" s="1"/>
  <c r="H243" i="52" s="1"/>
  <c r="G137" i="63" s="1"/>
  <c r="G161" i="63" s="1"/>
  <c r="G85" i="64" s="1"/>
  <c r="G152" i="64" s="1"/>
  <c r="H122" i="52"/>
  <c r="H148" i="52" s="1"/>
  <c r="H196" i="52" s="1"/>
  <c r="H252" i="52" s="1"/>
  <c r="H110" i="52"/>
  <c r="H136" i="52" s="1"/>
  <c r="H184" i="52" s="1"/>
  <c r="H240" i="52" s="1"/>
  <c r="H118" i="52"/>
  <c r="H144" i="52" s="1"/>
  <c r="H192" i="52" s="1"/>
  <c r="H248" i="52" s="1"/>
  <c r="H115" i="52"/>
  <c r="H141" i="52" s="1"/>
  <c r="H189" i="52" s="1"/>
  <c r="H245" i="52" s="1"/>
  <c r="H121" i="52"/>
  <c r="H147" i="52" s="1"/>
  <c r="H195" i="52" s="1"/>
  <c r="H251" i="52" s="1"/>
  <c r="H112" i="52"/>
  <c r="H138" i="52" s="1"/>
  <c r="H186" i="52" s="1"/>
  <c r="H242" i="52" s="1"/>
  <c r="H107" i="52"/>
  <c r="H133" i="52" s="1"/>
  <c r="H181" i="52" s="1"/>
  <c r="H237" i="52" s="1"/>
  <c r="H106" i="52"/>
  <c r="H132" i="52" s="1"/>
  <c r="H180" i="52" s="1"/>
  <c r="H236" i="52" s="1"/>
  <c r="H117" i="52"/>
  <c r="H143" i="52" s="1"/>
  <c r="H191" i="52" s="1"/>
  <c r="H247" i="52" s="1"/>
  <c r="H111" i="52"/>
  <c r="H137" i="52" s="1"/>
  <c r="H185" i="52" s="1"/>
  <c r="H241" i="52" s="1"/>
  <c r="H114" i="52"/>
  <c r="H140" i="52" s="1"/>
  <c r="H188" i="52" s="1"/>
  <c r="H244" i="52" s="1"/>
  <c r="H109" i="52"/>
  <c r="H135" i="52" s="1"/>
  <c r="H183" i="52" s="1"/>
  <c r="H239" i="52" s="1"/>
  <c r="H116" i="52"/>
  <c r="H142" i="52" s="1"/>
  <c r="H190" i="52" s="1"/>
  <c r="H246" i="52" s="1"/>
  <c r="H120" i="52"/>
  <c r="H146" i="52" s="1"/>
  <c r="H194" i="52" s="1"/>
  <c r="H250" i="52" s="1"/>
  <c r="H12" i="52"/>
  <c r="H19" i="51"/>
  <c r="H20" i="51" s="1"/>
  <c r="H27" i="51" s="1"/>
  <c r="H40" i="49"/>
  <c r="F107" i="47"/>
  <c r="H165" i="47"/>
  <c r="H166" i="47" s="1"/>
  <c r="H18" i="47" s="1"/>
  <c r="E153" i="63"/>
  <c r="E147" i="63"/>
  <c r="G254" i="52"/>
  <c r="F129" i="63"/>
  <c r="F87" i="67"/>
  <c r="F81" i="64"/>
  <c r="F148" i="64" s="1"/>
  <c r="F93" i="67"/>
  <c r="F92" i="64"/>
  <c r="F159" i="64" s="1"/>
  <c r="F84" i="64"/>
  <c r="F151" i="64" s="1"/>
  <c r="F90" i="67"/>
  <c r="F181" i="63"/>
  <c r="F84" i="67"/>
  <c r="F78" i="64"/>
  <c r="F145" i="64" s="1"/>
  <c r="F88" i="67"/>
  <c r="F82" i="64"/>
  <c r="F149" i="64" s="1"/>
  <c r="F180" i="63"/>
  <c r="F92" i="67"/>
  <c r="F91" i="64"/>
  <c r="F158" i="64" s="1"/>
  <c r="N56" i="51"/>
  <c r="O56" i="51"/>
  <c r="I56" i="51"/>
  <c r="Q56" i="51"/>
  <c r="L56" i="51"/>
  <c r="J56" i="51"/>
  <c r="K56" i="51"/>
  <c r="G28" i="51"/>
  <c r="M56" i="51"/>
  <c r="H56" i="51"/>
  <c r="H104" i="51" s="1"/>
  <c r="H86" i="52" s="1"/>
  <c r="P56" i="51"/>
  <c r="D24" i="63"/>
  <c r="D24" i="54"/>
  <c r="E256" i="52"/>
  <c r="H106" i="49"/>
  <c r="H39" i="49"/>
  <c r="H13" i="52" s="1"/>
  <c r="AA70" i="67"/>
  <c r="AB63" i="67"/>
  <c r="AA65" i="67"/>
  <c r="AA67" i="67"/>
  <c r="AA68" i="67"/>
  <c r="AA62" i="67"/>
  <c r="AB66" i="67"/>
  <c r="Z73" i="67"/>
  <c r="AB64" i="67"/>
  <c r="Z72" i="67"/>
  <c r="AA69" i="67"/>
  <c r="AB71" i="67"/>
  <c r="L52" i="50"/>
  <c r="L54" i="50" s="1"/>
  <c r="L131" i="50"/>
  <c r="L135" i="50"/>
  <c r="L130" i="50"/>
  <c r="L107" i="50"/>
  <c r="L106" i="50"/>
  <c r="L111" i="50"/>
  <c r="L113" i="50" s="1"/>
  <c r="L73" i="50"/>
  <c r="W103" i="50"/>
  <c r="V112" i="50"/>
  <c r="L68" i="50"/>
  <c r="M64" i="50" s="1"/>
  <c r="L95" i="50"/>
  <c r="L94" i="50"/>
  <c r="L99" i="50"/>
  <c r="V72" i="50"/>
  <c r="W63" i="50"/>
  <c r="G138" i="63" l="1"/>
  <c r="G162" i="63" s="1"/>
  <c r="G86" i="64" s="1"/>
  <c r="G153" i="64" s="1"/>
  <c r="H236" i="53"/>
  <c r="G139" i="63" s="1"/>
  <c r="G163" i="63" s="1"/>
  <c r="G87" i="64" s="1"/>
  <c r="G154" i="64" s="1"/>
  <c r="H239" i="53"/>
  <c r="E24" i="63"/>
  <c r="E44" i="63" s="1"/>
  <c r="H150" i="53"/>
  <c r="E119" i="64"/>
  <c r="E200" i="63"/>
  <c r="E177" i="64" s="1"/>
  <c r="D25" i="64"/>
  <c r="I120" i="53"/>
  <c r="I106" i="53"/>
  <c r="I109" i="53"/>
  <c r="I111" i="53"/>
  <c r="I115" i="53"/>
  <c r="I107" i="53"/>
  <c r="I121" i="53"/>
  <c r="I112" i="53"/>
  <c r="I122" i="53"/>
  <c r="I119" i="53"/>
  <c r="I114" i="53"/>
  <c r="I113" i="53"/>
  <c r="I118" i="53"/>
  <c r="I108" i="53"/>
  <c r="I123" i="53"/>
  <c r="I116" i="53"/>
  <c r="I117" i="53"/>
  <c r="I110" i="53"/>
  <c r="G146" i="63"/>
  <c r="G170" i="63" s="1"/>
  <c r="G94" i="64" s="1"/>
  <c r="G161" i="64" s="1"/>
  <c r="H230" i="53"/>
  <c r="G133" i="63" s="1"/>
  <c r="G157" i="63" s="1"/>
  <c r="G87" i="67" s="1"/>
  <c r="G134" i="63"/>
  <c r="G158" i="63" s="1"/>
  <c r="G88" i="67" s="1"/>
  <c r="F256" i="52"/>
  <c r="D24" i="64"/>
  <c r="G144" i="63"/>
  <c r="G168" i="63" s="1"/>
  <c r="G93" i="67" s="1"/>
  <c r="G140" i="63"/>
  <c r="G164" i="63" s="1"/>
  <c r="G88" i="64" s="1"/>
  <c r="G155" i="64" s="1"/>
  <c r="G141" i="63"/>
  <c r="G165" i="63" s="1"/>
  <c r="G89" i="64" s="1"/>
  <c r="G156" i="64" s="1"/>
  <c r="H242" i="53"/>
  <c r="G145" i="63" s="1"/>
  <c r="G169" i="63" s="1"/>
  <c r="H227" i="53"/>
  <c r="G130" i="63" s="1"/>
  <c r="G154" i="63" s="1"/>
  <c r="H228" i="53"/>
  <c r="G131" i="63" s="1"/>
  <c r="G155" i="63" s="1"/>
  <c r="G85" i="67" s="1"/>
  <c r="H240" i="53"/>
  <c r="I166" i="53"/>
  <c r="I214" i="53" s="1"/>
  <c r="I161" i="53"/>
  <c r="I209" i="53" s="1"/>
  <c r="I168" i="53"/>
  <c r="I216" i="53" s="1"/>
  <c r="I169" i="53"/>
  <c r="I217" i="53" s="1"/>
  <c r="I162" i="53"/>
  <c r="I210" i="53" s="1"/>
  <c r="I160" i="53"/>
  <c r="I208" i="53" s="1"/>
  <c r="I171" i="53"/>
  <c r="I219" i="53" s="1"/>
  <c r="I158" i="53"/>
  <c r="I206" i="53" s="1"/>
  <c r="I159" i="53"/>
  <c r="I207" i="53" s="1"/>
  <c r="I170" i="53"/>
  <c r="I218" i="53" s="1"/>
  <c r="I157" i="53"/>
  <c r="I205" i="53" s="1"/>
  <c r="I167" i="53"/>
  <c r="I215" i="53" s="1"/>
  <c r="I156" i="53"/>
  <c r="I204" i="53" s="1"/>
  <c r="I164" i="53"/>
  <c r="I212" i="53" s="1"/>
  <c r="I165" i="53"/>
  <c r="I213" i="53" s="1"/>
  <c r="I155" i="53"/>
  <c r="I203" i="53" s="1"/>
  <c r="I154" i="53"/>
  <c r="I202" i="53" s="1"/>
  <c r="I163" i="53"/>
  <c r="I211" i="53" s="1"/>
  <c r="J139" i="50"/>
  <c r="J91" i="49" s="1"/>
  <c r="J92" i="49" s="1"/>
  <c r="G142" i="63"/>
  <c r="G166" i="63" s="1"/>
  <c r="G90" i="64" s="1"/>
  <c r="G157" i="64" s="1"/>
  <c r="G132" i="63"/>
  <c r="G156" i="63" s="1"/>
  <c r="G86" i="67" s="1"/>
  <c r="G143" i="63"/>
  <c r="G167" i="63" s="1"/>
  <c r="G92" i="67" s="1"/>
  <c r="I14" i="54"/>
  <c r="I92" i="47"/>
  <c r="I37" i="49"/>
  <c r="I13" i="63"/>
  <c r="I11" i="63"/>
  <c r="I12" i="54"/>
  <c r="I15" i="54" s="1"/>
  <c r="I69" i="49"/>
  <c r="I93" i="47"/>
  <c r="G135" i="63"/>
  <c r="G159" i="63" s="1"/>
  <c r="G89" i="67" s="1"/>
  <c r="G136" i="63"/>
  <c r="G160" i="63" s="1"/>
  <c r="G181" i="63" s="1"/>
  <c r="H72" i="49"/>
  <c r="H13" i="53"/>
  <c r="H116" i="51"/>
  <c r="H117" i="51" s="1"/>
  <c r="H124" i="51" s="1"/>
  <c r="D200" i="63"/>
  <c r="D177" i="64" s="1"/>
  <c r="I106" i="49"/>
  <c r="D44" i="63"/>
  <c r="D148" i="63"/>
  <c r="H17" i="67"/>
  <c r="H134" i="64"/>
  <c r="E148" i="63"/>
  <c r="F191" i="63"/>
  <c r="D26" i="64" s="1"/>
  <c r="I165" i="52"/>
  <c r="I213" i="52" s="1"/>
  <c r="I170" i="52"/>
  <c r="I218" i="52" s="1"/>
  <c r="I162" i="52"/>
  <c r="I210" i="52" s="1"/>
  <c r="I167" i="52"/>
  <c r="I215" i="52" s="1"/>
  <c r="I166" i="52"/>
  <c r="I214" i="52" s="1"/>
  <c r="I157" i="52"/>
  <c r="I205" i="52" s="1"/>
  <c r="I158" i="52"/>
  <c r="I206" i="52" s="1"/>
  <c r="I153" i="52"/>
  <c r="I201" i="52" s="1"/>
  <c r="I161" i="52"/>
  <c r="I209" i="52" s="1"/>
  <c r="I163" i="52"/>
  <c r="I211" i="52" s="1"/>
  <c r="I164" i="52"/>
  <c r="I212" i="52" s="1"/>
  <c r="I169" i="52"/>
  <c r="I217" i="52" s="1"/>
  <c r="I168" i="52"/>
  <c r="I216" i="52" s="1"/>
  <c r="I154" i="52"/>
  <c r="I202" i="52" s="1"/>
  <c r="I156" i="52"/>
  <c r="I204" i="52" s="1"/>
  <c r="I159" i="52"/>
  <c r="I207" i="52" s="1"/>
  <c r="I155" i="52"/>
  <c r="I203" i="52" s="1"/>
  <c r="I160" i="52"/>
  <c r="I208" i="52" s="1"/>
  <c r="F24" i="63"/>
  <c r="F44" i="63" s="1"/>
  <c r="F24" i="54"/>
  <c r="G256" i="52"/>
  <c r="H103" i="64"/>
  <c r="H27" i="47"/>
  <c r="E28" i="64" s="1"/>
  <c r="H14" i="52"/>
  <c r="D77" i="64"/>
  <c r="D178" i="63"/>
  <c r="D83" i="67"/>
  <c r="D171" i="63"/>
  <c r="I116" i="52"/>
  <c r="I142" i="52" s="1"/>
  <c r="I190" i="52" s="1"/>
  <c r="I119" i="52"/>
  <c r="I145" i="52" s="1"/>
  <c r="I193" i="52" s="1"/>
  <c r="I106" i="52"/>
  <c r="I132" i="52" s="1"/>
  <c r="I180" i="52" s="1"/>
  <c r="I110" i="52"/>
  <c r="I136" i="52" s="1"/>
  <c r="I184" i="52" s="1"/>
  <c r="I117" i="52"/>
  <c r="I143" i="52" s="1"/>
  <c r="I191" i="52" s="1"/>
  <c r="I108" i="52"/>
  <c r="I134" i="52" s="1"/>
  <c r="I182" i="52" s="1"/>
  <c r="I122" i="52"/>
  <c r="I148" i="52" s="1"/>
  <c r="I196" i="52" s="1"/>
  <c r="I118" i="52"/>
  <c r="I144" i="52" s="1"/>
  <c r="I192" i="52" s="1"/>
  <c r="I121" i="52"/>
  <c r="I147" i="52" s="1"/>
  <c r="I195" i="52" s="1"/>
  <c r="I113" i="52"/>
  <c r="I139" i="52" s="1"/>
  <c r="I187" i="52" s="1"/>
  <c r="I111" i="52"/>
  <c r="I137" i="52" s="1"/>
  <c r="I185" i="52" s="1"/>
  <c r="I115" i="52"/>
  <c r="I141" i="52" s="1"/>
  <c r="I189" i="52" s="1"/>
  <c r="I245" i="52" s="1"/>
  <c r="I109" i="52"/>
  <c r="I135" i="52" s="1"/>
  <c r="I183" i="52" s="1"/>
  <c r="I114" i="52"/>
  <c r="I140" i="52" s="1"/>
  <c r="I188" i="52" s="1"/>
  <c r="I105" i="52"/>
  <c r="I131" i="52" s="1"/>
  <c r="I179" i="52" s="1"/>
  <c r="I107" i="52"/>
  <c r="I133" i="52" s="1"/>
  <c r="I181" i="52" s="1"/>
  <c r="I112" i="52"/>
  <c r="I138" i="52" s="1"/>
  <c r="I186" i="52" s="1"/>
  <c r="I120" i="52"/>
  <c r="I146" i="52" s="1"/>
  <c r="I194" i="52" s="1"/>
  <c r="F153" i="63"/>
  <c r="F147" i="63"/>
  <c r="F148" i="63" s="1"/>
  <c r="E77" i="64"/>
  <c r="E178" i="63"/>
  <c r="E83" i="67"/>
  <c r="E171" i="63"/>
  <c r="O57" i="51"/>
  <c r="P57" i="51"/>
  <c r="M57" i="51"/>
  <c r="H28" i="51"/>
  <c r="N57" i="51"/>
  <c r="K57" i="51"/>
  <c r="L57" i="51"/>
  <c r="I57" i="51"/>
  <c r="I104" i="51" s="1"/>
  <c r="I86" i="52" s="1"/>
  <c r="Q57" i="51"/>
  <c r="J57" i="51"/>
  <c r="R57" i="51"/>
  <c r="G129" i="63"/>
  <c r="H254" i="52"/>
  <c r="AB62" i="67"/>
  <c r="AC71" i="67"/>
  <c r="AA73" i="67"/>
  <c r="AC63" i="67"/>
  <c r="AB69" i="67"/>
  <c r="AB65" i="67"/>
  <c r="AB70" i="67"/>
  <c r="AA72" i="67"/>
  <c r="AB67" i="67"/>
  <c r="AC64" i="67"/>
  <c r="AC66" i="67"/>
  <c r="AB68" i="67"/>
  <c r="F38" i="64"/>
  <c r="F42" i="64"/>
  <c r="L55" i="50"/>
  <c r="L59" i="50"/>
  <c r="L77" i="50" s="1"/>
  <c r="L115" i="50"/>
  <c r="M71" i="50"/>
  <c r="M67" i="50"/>
  <c r="M66" i="50"/>
  <c r="W72" i="50"/>
  <c r="X63" i="50"/>
  <c r="L96" i="50"/>
  <c r="M92" i="50" s="1"/>
  <c r="L56" i="50"/>
  <c r="X103" i="50"/>
  <c r="W112" i="50"/>
  <c r="L110" i="50"/>
  <c r="L108" i="50"/>
  <c r="M104" i="50" s="1"/>
  <c r="L132" i="50"/>
  <c r="M128" i="50" s="1"/>
  <c r="G94" i="67" l="1"/>
  <c r="G93" i="64"/>
  <c r="G160" i="64" s="1"/>
  <c r="G92" i="64"/>
  <c r="G159" i="64" s="1"/>
  <c r="G179" i="63"/>
  <c r="G191" i="63" s="1"/>
  <c r="G119" i="64" s="1"/>
  <c r="G80" i="64"/>
  <c r="G147" i="64" s="1"/>
  <c r="G82" i="64"/>
  <c r="G149" i="64" s="1"/>
  <c r="G90" i="67"/>
  <c r="G91" i="67"/>
  <c r="G180" i="63"/>
  <c r="G81" i="64"/>
  <c r="G148" i="64" s="1"/>
  <c r="H245" i="53"/>
  <c r="I249" i="52"/>
  <c r="F200" i="63"/>
  <c r="F177" i="64" s="1"/>
  <c r="G83" i="64"/>
  <c r="G150" i="64" s="1"/>
  <c r="F119" i="64"/>
  <c r="G91" i="64"/>
  <c r="G158" i="64" s="1"/>
  <c r="G79" i="64"/>
  <c r="G146" i="64" s="1"/>
  <c r="G84" i="67"/>
  <c r="G78" i="64"/>
  <c r="G145" i="64" s="1"/>
  <c r="G84" i="64"/>
  <c r="G151" i="64" s="1"/>
  <c r="J83" i="50"/>
  <c r="J25" i="49" s="1"/>
  <c r="J26" i="49" s="1"/>
  <c r="J119" i="50"/>
  <c r="J57" i="49" s="1"/>
  <c r="J58" i="49" s="1"/>
  <c r="I154" i="51"/>
  <c r="I201" i="51" s="1"/>
  <c r="I87" i="53" s="1"/>
  <c r="Q154" i="51"/>
  <c r="N154" i="51"/>
  <c r="K154" i="51"/>
  <c r="H125" i="51"/>
  <c r="P154" i="51"/>
  <c r="M154" i="51"/>
  <c r="J154" i="51"/>
  <c r="R154" i="51"/>
  <c r="O154" i="51"/>
  <c r="L154" i="51"/>
  <c r="I11" i="52"/>
  <c r="J227" i="52" s="1"/>
  <c r="J228" i="52" s="1"/>
  <c r="I38" i="49"/>
  <c r="J13" i="54"/>
  <c r="J104" i="49"/>
  <c r="J105" i="49" s="1"/>
  <c r="J107" i="49" s="1"/>
  <c r="J12" i="63"/>
  <c r="J13" i="67" s="1"/>
  <c r="J94" i="47"/>
  <c r="H15" i="53"/>
  <c r="I146" i="53"/>
  <c r="I194" i="53" s="1"/>
  <c r="I240" i="53" s="1"/>
  <c r="I141" i="53"/>
  <c r="I189" i="53" s="1"/>
  <c r="I235" i="53" s="1"/>
  <c r="I148" i="53"/>
  <c r="I196" i="53" s="1"/>
  <c r="I242" i="53" s="1"/>
  <c r="I133" i="53"/>
  <c r="I181" i="53" s="1"/>
  <c r="I227" i="53" s="1"/>
  <c r="I138" i="53"/>
  <c r="I186" i="53" s="1"/>
  <c r="I232" i="53" s="1"/>
  <c r="I137" i="53"/>
  <c r="I185" i="53" s="1"/>
  <c r="I231" i="53" s="1"/>
  <c r="I136" i="53"/>
  <c r="I184" i="53" s="1"/>
  <c r="I230" i="53" s="1"/>
  <c r="I139" i="53"/>
  <c r="I187" i="53" s="1"/>
  <c r="I233" i="53" s="1"/>
  <c r="I134" i="53"/>
  <c r="I182" i="53" s="1"/>
  <c r="I228" i="53" s="1"/>
  <c r="I142" i="53"/>
  <c r="I190" i="53" s="1"/>
  <c r="I236" i="53" s="1"/>
  <c r="H139" i="63" s="1"/>
  <c r="H163" i="63" s="1"/>
  <c r="H87" i="64" s="1"/>
  <c r="H154" i="64" s="1"/>
  <c r="I143" i="53"/>
  <c r="I191" i="53" s="1"/>
  <c r="I237" i="53" s="1"/>
  <c r="I140" i="53"/>
  <c r="I188" i="53" s="1"/>
  <c r="I234" i="53" s="1"/>
  <c r="I144" i="53"/>
  <c r="I192" i="53" s="1"/>
  <c r="I238" i="53" s="1"/>
  <c r="I149" i="53"/>
  <c r="I197" i="53" s="1"/>
  <c r="I243" i="53" s="1"/>
  <c r="I135" i="53"/>
  <c r="I183" i="53" s="1"/>
  <c r="I229" i="53" s="1"/>
  <c r="I145" i="53"/>
  <c r="I193" i="53" s="1"/>
  <c r="I239" i="53" s="1"/>
  <c r="I132" i="53"/>
  <c r="I180" i="53" s="1"/>
  <c r="I226" i="53" s="1"/>
  <c r="I147" i="53"/>
  <c r="I195" i="53" s="1"/>
  <c r="I241" i="53" s="1"/>
  <c r="I12" i="53"/>
  <c r="I70" i="49"/>
  <c r="I71" i="49" s="1"/>
  <c r="I14" i="53" s="1"/>
  <c r="I12" i="67"/>
  <c r="I14" i="63"/>
  <c r="I289" i="63"/>
  <c r="I14" i="67"/>
  <c r="I288" i="63"/>
  <c r="I96" i="47"/>
  <c r="I165" i="47" s="1"/>
  <c r="I166" i="47" s="1"/>
  <c r="I18" i="47" s="1"/>
  <c r="I181" i="47"/>
  <c r="I182" i="47" s="1"/>
  <c r="I219" i="47" s="1"/>
  <c r="I220" i="47" s="1"/>
  <c r="I19" i="47" s="1"/>
  <c r="I104" i="64" s="1"/>
  <c r="I250" i="52"/>
  <c r="I237" i="52"/>
  <c r="H131" i="63" s="1"/>
  <c r="H155" i="63" s="1"/>
  <c r="H85" i="67" s="1"/>
  <c r="I244" i="52"/>
  <c r="I243" i="52"/>
  <c r="I248" i="52"/>
  <c r="I238" i="52"/>
  <c r="I240" i="52"/>
  <c r="I242" i="52"/>
  <c r="I235" i="52"/>
  <c r="H129" i="63" s="1"/>
  <c r="I239" i="52"/>
  <c r="I241" i="52"/>
  <c r="H135" i="63" s="1"/>
  <c r="H159" i="63" s="1"/>
  <c r="H89" i="67" s="1"/>
  <c r="I251" i="52"/>
  <c r="I252" i="52"/>
  <c r="I236" i="52"/>
  <c r="I247" i="52"/>
  <c r="H141" i="63" s="1"/>
  <c r="H165" i="63" s="1"/>
  <c r="H89" i="64" s="1"/>
  <c r="H156" i="64" s="1"/>
  <c r="I246" i="52"/>
  <c r="G147" i="63"/>
  <c r="G153" i="63"/>
  <c r="E95" i="64"/>
  <c r="E162" i="64" s="1"/>
  <c r="E144" i="64"/>
  <c r="F178" i="63"/>
  <c r="F83" i="67"/>
  <c r="F77" i="64"/>
  <c r="F171" i="63"/>
  <c r="D144" i="64"/>
  <c r="D95" i="64"/>
  <c r="G24" i="54"/>
  <c r="H256" i="52"/>
  <c r="G24" i="63"/>
  <c r="J106" i="52"/>
  <c r="J110" i="52"/>
  <c r="J105" i="52"/>
  <c r="J111" i="52"/>
  <c r="J107" i="52"/>
  <c r="J113" i="52"/>
  <c r="J115" i="52"/>
  <c r="J122" i="52"/>
  <c r="J120" i="52"/>
  <c r="J116" i="52"/>
  <c r="J117" i="52"/>
  <c r="J109" i="52"/>
  <c r="J108" i="52"/>
  <c r="J119" i="52"/>
  <c r="J118" i="52"/>
  <c r="J114" i="52"/>
  <c r="J112" i="52"/>
  <c r="J121" i="52"/>
  <c r="E173" i="63"/>
  <c r="E172" i="63"/>
  <c r="E190" i="63"/>
  <c r="E182" i="63"/>
  <c r="E183" i="63" s="1"/>
  <c r="J106" i="49"/>
  <c r="D172" i="63"/>
  <c r="D173" i="63"/>
  <c r="D190" i="63"/>
  <c r="D182" i="63"/>
  <c r="D183" i="63" s="1"/>
  <c r="AD64" i="67"/>
  <c r="AD63" i="67"/>
  <c r="AC68" i="67"/>
  <c r="AB72" i="67"/>
  <c r="AC67" i="67"/>
  <c r="AC70" i="67"/>
  <c r="AC65" i="67"/>
  <c r="AD71" i="67"/>
  <c r="AD66" i="67"/>
  <c r="AC69" i="67"/>
  <c r="AB73" i="67"/>
  <c r="AC62" i="67"/>
  <c r="F41" i="64"/>
  <c r="F37" i="64"/>
  <c r="F40" i="64"/>
  <c r="M131" i="50"/>
  <c r="M130" i="50"/>
  <c r="M135" i="50"/>
  <c r="M107" i="50"/>
  <c r="M111" i="50"/>
  <c r="M113" i="50" s="1"/>
  <c r="M106" i="50"/>
  <c r="M52" i="50"/>
  <c r="M73" i="50"/>
  <c r="X112" i="50"/>
  <c r="Y103" i="50"/>
  <c r="M68" i="50"/>
  <c r="N64" i="50" s="1"/>
  <c r="M99" i="50"/>
  <c r="M95" i="50"/>
  <c r="M94" i="50"/>
  <c r="X72" i="50"/>
  <c r="Y63" i="50"/>
  <c r="H143" i="63" l="1"/>
  <c r="H167" i="63" s="1"/>
  <c r="H146" i="63"/>
  <c r="H170" i="63" s="1"/>
  <c r="H94" i="64" s="1"/>
  <c r="H161" i="64" s="1"/>
  <c r="H137" i="63"/>
  <c r="H161" i="63" s="1"/>
  <c r="H85" i="64" s="1"/>
  <c r="H152" i="64" s="1"/>
  <c r="I290" i="63"/>
  <c r="H133" i="63"/>
  <c r="H157" i="63" s="1"/>
  <c r="H87" i="67" s="1"/>
  <c r="I245" i="53"/>
  <c r="H22" i="63" s="1"/>
  <c r="G22" i="63"/>
  <c r="G44" i="63" s="1"/>
  <c r="G22" i="54"/>
  <c r="H247" i="53"/>
  <c r="I150" i="53"/>
  <c r="H132" i="63"/>
  <c r="H156" i="63" s="1"/>
  <c r="H86" i="67" s="1"/>
  <c r="H145" i="63"/>
  <c r="H169" i="63" s="1"/>
  <c r="H93" i="64" s="1"/>
  <c r="H160" i="64" s="1"/>
  <c r="H140" i="63"/>
  <c r="H164" i="63" s="1"/>
  <c r="H88" i="64" s="1"/>
  <c r="H155" i="64" s="1"/>
  <c r="H79" i="64"/>
  <c r="H146" i="64" s="1"/>
  <c r="H130" i="63"/>
  <c r="H154" i="63" s="1"/>
  <c r="H84" i="67" s="1"/>
  <c r="H136" i="63"/>
  <c r="H160" i="63" s="1"/>
  <c r="H181" i="63" s="1"/>
  <c r="H134" i="63"/>
  <c r="H158" i="63" s="1"/>
  <c r="H142" i="63"/>
  <c r="H166" i="63" s="1"/>
  <c r="H90" i="64" s="1"/>
  <c r="H157" i="64" s="1"/>
  <c r="H138" i="63"/>
  <c r="H162" i="63" s="1"/>
  <c r="H86" i="64" s="1"/>
  <c r="H153" i="64" s="1"/>
  <c r="G200" i="63"/>
  <c r="G177" i="64" s="1"/>
  <c r="H83" i="64"/>
  <c r="H150" i="64" s="1"/>
  <c r="D27" i="64"/>
  <c r="H144" i="63"/>
  <c r="H168" i="63" s="1"/>
  <c r="K139" i="50"/>
  <c r="K91" i="49" s="1"/>
  <c r="K92" i="49" s="1"/>
  <c r="H91" i="64"/>
  <c r="H158" i="64" s="1"/>
  <c r="H92" i="67"/>
  <c r="I116" i="51"/>
  <c r="I117" i="51" s="1"/>
  <c r="I124" i="51" s="1"/>
  <c r="I72" i="49"/>
  <c r="I13" i="53"/>
  <c r="J12" i="54"/>
  <c r="J11" i="63"/>
  <c r="J93" i="47"/>
  <c r="J69" i="49"/>
  <c r="J92" i="47"/>
  <c r="J14" i="54"/>
  <c r="J37" i="49"/>
  <c r="J13" i="63"/>
  <c r="I27" i="47"/>
  <c r="E29" i="64" s="1"/>
  <c r="I103" i="64"/>
  <c r="I16" i="63"/>
  <c r="I15" i="67"/>
  <c r="J171" i="53"/>
  <c r="J219" i="53" s="1"/>
  <c r="J159" i="53"/>
  <c r="J207" i="53" s="1"/>
  <c r="J168" i="53"/>
  <c r="J216" i="53" s="1"/>
  <c r="J158" i="53"/>
  <c r="J206" i="53" s="1"/>
  <c r="J161" i="53"/>
  <c r="J209" i="53" s="1"/>
  <c r="J155" i="53"/>
  <c r="J203" i="53" s="1"/>
  <c r="J156" i="53"/>
  <c r="J204" i="53" s="1"/>
  <c r="J165" i="53"/>
  <c r="J213" i="53" s="1"/>
  <c r="J163" i="53"/>
  <c r="J211" i="53" s="1"/>
  <c r="J164" i="53"/>
  <c r="J212" i="53" s="1"/>
  <c r="J167" i="53"/>
  <c r="J215" i="53" s="1"/>
  <c r="J154" i="53"/>
  <c r="J202" i="53" s="1"/>
  <c r="J170" i="53"/>
  <c r="J218" i="53" s="1"/>
  <c r="J160" i="53"/>
  <c r="J208" i="53" s="1"/>
  <c r="J162" i="53"/>
  <c r="J210" i="53" s="1"/>
  <c r="J157" i="53"/>
  <c r="J205" i="53" s="1"/>
  <c r="J166" i="53"/>
  <c r="J214" i="53" s="1"/>
  <c r="J169" i="53"/>
  <c r="J217" i="53" s="1"/>
  <c r="I39" i="49"/>
  <c r="I13" i="52" s="1"/>
  <c r="I19" i="51"/>
  <c r="I20" i="51" s="1"/>
  <c r="I27" i="51" s="1"/>
  <c r="I40" i="49"/>
  <c r="I12" i="52"/>
  <c r="J112" i="53"/>
  <c r="J109" i="53"/>
  <c r="J122" i="53"/>
  <c r="J108" i="53"/>
  <c r="J121" i="53"/>
  <c r="J107" i="53"/>
  <c r="J119" i="53"/>
  <c r="J106" i="53"/>
  <c r="J111" i="53"/>
  <c r="J117" i="53"/>
  <c r="J120" i="53"/>
  <c r="J116" i="53"/>
  <c r="J115" i="53"/>
  <c r="J114" i="53"/>
  <c r="J123" i="53"/>
  <c r="J110" i="53"/>
  <c r="J113" i="53"/>
  <c r="J118" i="53"/>
  <c r="I254" i="52"/>
  <c r="H24" i="54" s="1"/>
  <c r="G148" i="63"/>
  <c r="D162" i="64"/>
  <c r="F172" i="63"/>
  <c r="F173" i="63"/>
  <c r="H153" i="63"/>
  <c r="D118" i="64"/>
  <c r="C24" i="64"/>
  <c r="I24" i="64" s="1"/>
  <c r="N24" i="64" s="1"/>
  <c r="D192" i="63"/>
  <c r="D195" i="63" s="1"/>
  <c r="D193" i="63"/>
  <c r="E118" i="64"/>
  <c r="C25" i="64"/>
  <c r="I25" i="64" s="1"/>
  <c r="N25" i="64" s="1"/>
  <c r="E192" i="63"/>
  <c r="E195" i="63" s="1"/>
  <c r="E193" i="63"/>
  <c r="F95" i="64"/>
  <c r="F162" i="64" s="1"/>
  <c r="F144" i="64"/>
  <c r="F190" i="63"/>
  <c r="F182" i="63"/>
  <c r="F183" i="63" s="1"/>
  <c r="E163" i="64"/>
  <c r="G83" i="67"/>
  <c r="G77" i="64"/>
  <c r="G178" i="63"/>
  <c r="G171" i="63"/>
  <c r="AD62" i="67"/>
  <c r="AD70" i="67"/>
  <c r="AE71" i="67"/>
  <c r="AC72" i="67"/>
  <c r="AD69" i="67"/>
  <c r="AE63" i="67"/>
  <c r="AC73" i="67"/>
  <c r="AE66" i="67"/>
  <c r="AD65" i="67"/>
  <c r="AD68" i="67"/>
  <c r="AD67" i="67"/>
  <c r="AE64" i="67"/>
  <c r="M115" i="50"/>
  <c r="N71" i="50"/>
  <c r="N67" i="50"/>
  <c r="N66" i="50"/>
  <c r="Z63" i="50"/>
  <c r="Y72" i="50"/>
  <c r="M108" i="50"/>
  <c r="N104" i="50" s="1"/>
  <c r="M110" i="50"/>
  <c r="M132" i="50"/>
  <c r="N128" i="50" s="1"/>
  <c r="M59" i="50"/>
  <c r="M54" i="50"/>
  <c r="M55" i="50"/>
  <c r="M96" i="50"/>
  <c r="N92" i="50" s="1"/>
  <c r="Z103" i="50"/>
  <c r="Y112" i="50"/>
  <c r="H179" i="63" l="1"/>
  <c r="H81" i="64"/>
  <c r="H148" i="64" s="1"/>
  <c r="I247" i="53"/>
  <c r="H22" i="54"/>
  <c r="J15" i="54"/>
  <c r="H80" i="64"/>
  <c r="H147" i="64" s="1"/>
  <c r="H94" i="67"/>
  <c r="H147" i="63"/>
  <c r="H148" i="63" s="1"/>
  <c r="H24" i="63"/>
  <c r="I256" i="52"/>
  <c r="H88" i="67"/>
  <c r="H82" i="64"/>
  <c r="H149" i="64" s="1"/>
  <c r="H44" i="63"/>
  <c r="H91" i="67"/>
  <c r="H180" i="63"/>
  <c r="H191" i="63" s="1"/>
  <c r="H78" i="64"/>
  <c r="H145" i="64" s="1"/>
  <c r="H84" i="64"/>
  <c r="H151" i="64" s="1"/>
  <c r="H90" i="67"/>
  <c r="H92" i="64"/>
  <c r="H159" i="64" s="1"/>
  <c r="H93" i="67"/>
  <c r="K119" i="50"/>
  <c r="K57" i="49" s="1"/>
  <c r="K58" i="49" s="1"/>
  <c r="J141" i="52"/>
  <c r="J189" i="52" s="1"/>
  <c r="J144" i="52"/>
  <c r="J192" i="52" s="1"/>
  <c r="J132" i="52"/>
  <c r="J180" i="52" s="1"/>
  <c r="J138" i="52"/>
  <c r="J186" i="52" s="1"/>
  <c r="J143" i="52"/>
  <c r="J191" i="52" s="1"/>
  <c r="J146" i="52"/>
  <c r="J194" i="52" s="1"/>
  <c r="J133" i="52"/>
  <c r="J181" i="52" s="1"/>
  <c r="J134" i="52"/>
  <c r="J182" i="52" s="1"/>
  <c r="I14" i="52"/>
  <c r="J131" i="52"/>
  <c r="J179" i="52" s="1"/>
  <c r="I28" i="51"/>
  <c r="K58" i="51"/>
  <c r="P58" i="51"/>
  <c r="J58" i="51"/>
  <c r="J104" i="51" s="1"/>
  <c r="J86" i="52" s="1"/>
  <c r="O58" i="51"/>
  <c r="M58" i="51"/>
  <c r="N58" i="51"/>
  <c r="S58" i="51"/>
  <c r="Q58" i="51"/>
  <c r="R58" i="51"/>
  <c r="L58" i="51"/>
  <c r="J289" i="63"/>
  <c r="J288" i="63"/>
  <c r="J14" i="67"/>
  <c r="J181" i="47"/>
  <c r="J182" i="47" s="1"/>
  <c r="J219" i="47" s="1"/>
  <c r="J220" i="47" s="1"/>
  <c r="J19" i="47" s="1"/>
  <c r="J104" i="64" s="1"/>
  <c r="J96" i="47"/>
  <c r="J165" i="47" s="1"/>
  <c r="J166" i="47" s="1"/>
  <c r="J18" i="47" s="1"/>
  <c r="I15" i="53"/>
  <c r="J149" i="53"/>
  <c r="J197" i="53" s="1"/>
  <c r="J243" i="53" s="1"/>
  <c r="J148" i="53"/>
  <c r="J196" i="53" s="1"/>
  <c r="J242" i="53" s="1"/>
  <c r="J142" i="53"/>
  <c r="J190" i="53" s="1"/>
  <c r="J236" i="53" s="1"/>
  <c r="J145" i="53"/>
  <c r="J193" i="53" s="1"/>
  <c r="J239" i="53" s="1"/>
  <c r="J133" i="53"/>
  <c r="J181" i="53" s="1"/>
  <c r="J227" i="53" s="1"/>
  <c r="J138" i="53"/>
  <c r="J186" i="53" s="1"/>
  <c r="J232" i="53" s="1"/>
  <c r="J139" i="53"/>
  <c r="J187" i="53" s="1"/>
  <c r="J233" i="53" s="1"/>
  <c r="J136" i="53"/>
  <c r="J184" i="53" s="1"/>
  <c r="J230" i="53" s="1"/>
  <c r="J146" i="53"/>
  <c r="J194" i="53" s="1"/>
  <c r="J240" i="53" s="1"/>
  <c r="J143" i="53"/>
  <c r="J191" i="53" s="1"/>
  <c r="J237" i="53" s="1"/>
  <c r="J147" i="53"/>
  <c r="J195" i="53" s="1"/>
  <c r="J241" i="53" s="1"/>
  <c r="J134" i="53"/>
  <c r="J182" i="53" s="1"/>
  <c r="J228" i="53" s="1"/>
  <c r="J140" i="53"/>
  <c r="J188" i="53" s="1"/>
  <c r="J234" i="53" s="1"/>
  <c r="J137" i="53"/>
  <c r="J185" i="53" s="1"/>
  <c r="J231" i="53" s="1"/>
  <c r="J132" i="53"/>
  <c r="J180" i="53" s="1"/>
  <c r="J226" i="53" s="1"/>
  <c r="J135" i="53"/>
  <c r="J183" i="53" s="1"/>
  <c r="J229" i="53" s="1"/>
  <c r="J144" i="53"/>
  <c r="J192" i="53" s="1"/>
  <c r="J238" i="53" s="1"/>
  <c r="J141" i="53"/>
  <c r="J189" i="53" s="1"/>
  <c r="J235" i="53" s="1"/>
  <c r="Q155" i="51"/>
  <c r="S155" i="51"/>
  <c r="L155" i="51"/>
  <c r="M155" i="51"/>
  <c r="J155" i="51"/>
  <c r="J201" i="51" s="1"/>
  <c r="J87" i="53" s="1"/>
  <c r="R155" i="51"/>
  <c r="O155" i="51"/>
  <c r="I125" i="51"/>
  <c r="P155" i="51"/>
  <c r="N155" i="51"/>
  <c r="K155" i="51"/>
  <c r="J137" i="52"/>
  <c r="J185" i="52" s="1"/>
  <c r="J148" i="52"/>
  <c r="J196" i="52" s="1"/>
  <c r="J135" i="52"/>
  <c r="J183" i="52" s="1"/>
  <c r="J140" i="52"/>
  <c r="J188" i="52" s="1"/>
  <c r="K104" i="49"/>
  <c r="K13" i="54"/>
  <c r="K94" i="47"/>
  <c r="K12" i="63"/>
  <c r="K13" i="67" s="1"/>
  <c r="J165" i="52"/>
  <c r="J213" i="52" s="1"/>
  <c r="J168" i="52"/>
  <c r="J216" i="52" s="1"/>
  <c r="J155" i="52"/>
  <c r="J203" i="52" s="1"/>
  <c r="J157" i="52"/>
  <c r="J205" i="52" s="1"/>
  <c r="J160" i="52"/>
  <c r="J208" i="52" s="1"/>
  <c r="J163" i="52"/>
  <c r="J211" i="52" s="1"/>
  <c r="J169" i="52"/>
  <c r="J217" i="52" s="1"/>
  <c r="J158" i="52"/>
  <c r="J206" i="52" s="1"/>
  <c r="J156" i="52"/>
  <c r="J204" i="52" s="1"/>
  <c r="J170" i="52"/>
  <c r="J218" i="52" s="1"/>
  <c r="J167" i="52"/>
  <c r="J215" i="52" s="1"/>
  <c r="J159" i="52"/>
  <c r="J207" i="52" s="1"/>
  <c r="J153" i="52"/>
  <c r="J201" i="52" s="1"/>
  <c r="J162" i="52"/>
  <c r="J210" i="52" s="1"/>
  <c r="J164" i="52"/>
  <c r="J212" i="52" s="1"/>
  <c r="J166" i="52"/>
  <c r="J214" i="52" s="1"/>
  <c r="J154" i="52"/>
  <c r="J202" i="52" s="1"/>
  <c r="J161" i="52"/>
  <c r="J209" i="52" s="1"/>
  <c r="I17" i="67"/>
  <c r="I134" i="64"/>
  <c r="J11" i="52"/>
  <c r="K227" i="52" s="1"/>
  <c r="K228" i="52" s="1"/>
  <c r="J38" i="49"/>
  <c r="J12" i="53"/>
  <c r="J70" i="49"/>
  <c r="J12" i="67"/>
  <c r="J14" i="63"/>
  <c r="J136" i="52"/>
  <c r="J184" i="52" s="1"/>
  <c r="J139" i="52"/>
  <c r="J187" i="52" s="1"/>
  <c r="J142" i="52"/>
  <c r="J190" i="52" s="1"/>
  <c r="J145" i="52"/>
  <c r="J193" i="52" s="1"/>
  <c r="J147" i="52"/>
  <c r="J195" i="52" s="1"/>
  <c r="J251" i="52" s="1"/>
  <c r="G173" i="63"/>
  <c r="G172" i="63"/>
  <c r="G144" i="64"/>
  <c r="G95" i="64"/>
  <c r="G162" i="64" s="1"/>
  <c r="F118" i="64"/>
  <c r="F163" i="64" s="1"/>
  <c r="C26" i="64"/>
  <c r="I26" i="64" s="1"/>
  <c r="N26" i="64" s="1"/>
  <c r="F192" i="63"/>
  <c r="F195" i="63" s="1"/>
  <c r="F193" i="63"/>
  <c r="H77" i="64"/>
  <c r="H178" i="63"/>
  <c r="H83" i="67"/>
  <c r="H171" i="63"/>
  <c r="G190" i="63"/>
  <c r="G182" i="63"/>
  <c r="G183" i="63" s="1"/>
  <c r="D163" i="64"/>
  <c r="AE68" i="67"/>
  <c r="AF64" i="67"/>
  <c r="AF63" i="67"/>
  <c r="AD72" i="67"/>
  <c r="AE70" i="67"/>
  <c r="AF66" i="67"/>
  <c r="AE65" i="67"/>
  <c r="AE62" i="67"/>
  <c r="AE67" i="67"/>
  <c r="AD73" i="67"/>
  <c r="AE69" i="67"/>
  <c r="AF71" i="67"/>
  <c r="N107" i="50"/>
  <c r="N106" i="50"/>
  <c r="N111" i="50"/>
  <c r="N113" i="50" s="1"/>
  <c r="N95" i="50"/>
  <c r="N94" i="50"/>
  <c r="N99" i="50"/>
  <c r="N73" i="50"/>
  <c r="M56" i="50"/>
  <c r="N52" i="50" s="1"/>
  <c r="N130" i="50"/>
  <c r="N131" i="50"/>
  <c r="N135" i="50"/>
  <c r="Z112" i="50"/>
  <c r="AA103" i="50"/>
  <c r="M77" i="50"/>
  <c r="AA63" i="50"/>
  <c r="Z72" i="50"/>
  <c r="N68" i="50"/>
  <c r="O64" i="50" s="1"/>
  <c r="J243" i="52" l="1"/>
  <c r="I137" i="63" s="1"/>
  <c r="I161" i="63" s="1"/>
  <c r="I85" i="64" s="1"/>
  <c r="I152" i="64" s="1"/>
  <c r="J150" i="53"/>
  <c r="J290" i="63"/>
  <c r="J245" i="53"/>
  <c r="I22" i="54" s="1"/>
  <c r="J246" i="52"/>
  <c r="J249" i="52"/>
  <c r="I143" i="63" s="1"/>
  <c r="I167" i="63" s="1"/>
  <c r="I92" i="67" s="1"/>
  <c r="I145" i="63"/>
  <c r="I169" i="63" s="1"/>
  <c r="I93" i="64" s="1"/>
  <c r="I160" i="64" s="1"/>
  <c r="I140" i="63"/>
  <c r="I164" i="63" s="1"/>
  <c r="I88" i="64" s="1"/>
  <c r="I155" i="64" s="1"/>
  <c r="J240" i="52"/>
  <c r="I134" i="63" s="1"/>
  <c r="I158" i="63" s="1"/>
  <c r="L139" i="50"/>
  <c r="L91" i="49" s="1"/>
  <c r="L92" i="49" s="1"/>
  <c r="K83" i="50"/>
  <c r="K25" i="49" s="1"/>
  <c r="K26" i="49" s="1"/>
  <c r="J15" i="67"/>
  <c r="J16" i="63"/>
  <c r="J71" i="49"/>
  <c r="J14" i="53" s="1"/>
  <c r="J13" i="53"/>
  <c r="J116" i="51"/>
  <c r="J117" i="51" s="1"/>
  <c r="J124" i="51" s="1"/>
  <c r="J72" i="49"/>
  <c r="J39" i="49"/>
  <c r="J13" i="52" s="1"/>
  <c r="J19" i="51"/>
  <c r="J20" i="51" s="1"/>
  <c r="J27" i="51" s="1"/>
  <c r="J12" i="52"/>
  <c r="J14" i="52" s="1"/>
  <c r="J40" i="49"/>
  <c r="K105" i="49"/>
  <c r="K107" i="49" s="1"/>
  <c r="J239" i="52"/>
  <c r="I133" i="63" s="1"/>
  <c r="I157" i="63" s="1"/>
  <c r="J241" i="52"/>
  <c r="I135" i="63" s="1"/>
  <c r="I159" i="63" s="1"/>
  <c r="J103" i="64"/>
  <c r="J27" i="47"/>
  <c r="E30" i="64" s="1"/>
  <c r="K122" i="52"/>
  <c r="K118" i="52"/>
  <c r="K105" i="52"/>
  <c r="K114" i="52"/>
  <c r="K120" i="52"/>
  <c r="K111" i="52"/>
  <c r="K110" i="52"/>
  <c r="K115" i="52"/>
  <c r="K109" i="52"/>
  <c r="K117" i="52"/>
  <c r="K107" i="52"/>
  <c r="K116" i="52"/>
  <c r="K108" i="52"/>
  <c r="K106" i="52"/>
  <c r="K119" i="52"/>
  <c r="K113" i="52"/>
  <c r="K112" i="52"/>
  <c r="K121" i="52"/>
  <c r="J235" i="52"/>
  <c r="J238" i="52"/>
  <c r="I132" i="63" s="1"/>
  <c r="I156" i="63" s="1"/>
  <c r="J250" i="52"/>
  <c r="I144" i="63" s="1"/>
  <c r="I168" i="63" s="1"/>
  <c r="J242" i="52"/>
  <c r="I136" i="63" s="1"/>
  <c r="I160" i="63" s="1"/>
  <c r="J248" i="52"/>
  <c r="I142" i="63" s="1"/>
  <c r="I166" i="63" s="1"/>
  <c r="I90" i="64" s="1"/>
  <c r="I157" i="64" s="1"/>
  <c r="K69" i="49"/>
  <c r="K12" i="54"/>
  <c r="K93" i="47"/>
  <c r="K11" i="63"/>
  <c r="I88" i="67"/>
  <c r="I82" i="64"/>
  <c r="I149" i="64" s="1"/>
  <c r="J244" i="52"/>
  <c r="I138" i="63" s="1"/>
  <c r="I162" i="63" s="1"/>
  <c r="J252" i="52"/>
  <c r="I146" i="63" s="1"/>
  <c r="I170" i="63" s="1"/>
  <c r="I94" i="64" s="1"/>
  <c r="I161" i="64" s="1"/>
  <c r="K107" i="53"/>
  <c r="K108" i="53"/>
  <c r="K122" i="53"/>
  <c r="K110" i="53"/>
  <c r="K106" i="53"/>
  <c r="K115" i="53"/>
  <c r="K111" i="53"/>
  <c r="K120" i="53"/>
  <c r="K114" i="53"/>
  <c r="K119" i="53"/>
  <c r="K112" i="53"/>
  <c r="K116" i="53"/>
  <c r="K121" i="53"/>
  <c r="K117" i="53"/>
  <c r="K118" i="53"/>
  <c r="K113" i="53"/>
  <c r="K109" i="53"/>
  <c r="K123" i="53"/>
  <c r="J237" i="52"/>
  <c r="I131" i="63" s="1"/>
  <c r="I155" i="63" s="1"/>
  <c r="J247" i="52"/>
  <c r="I141" i="63" s="1"/>
  <c r="I165" i="63" s="1"/>
  <c r="I89" i="64" s="1"/>
  <c r="I156" i="64" s="1"/>
  <c r="J236" i="52"/>
  <c r="I130" i="63" s="1"/>
  <c r="I154" i="63" s="1"/>
  <c r="J245" i="52"/>
  <c r="I139" i="63" s="1"/>
  <c r="I163" i="63" s="1"/>
  <c r="I87" i="64" s="1"/>
  <c r="I154" i="64" s="1"/>
  <c r="H200" i="63"/>
  <c r="H177" i="64" s="1"/>
  <c r="H119" i="64"/>
  <c r="D28" i="64"/>
  <c r="H144" i="64"/>
  <c r="H95" i="64"/>
  <c r="H162" i="64" s="1"/>
  <c r="G118" i="64"/>
  <c r="G192" i="63"/>
  <c r="G195" i="63" s="1"/>
  <c r="C27" i="64"/>
  <c r="I27" i="64" s="1"/>
  <c r="N27" i="64" s="1"/>
  <c r="G193" i="63"/>
  <c r="H173" i="63"/>
  <c r="H172" i="63"/>
  <c r="H190" i="63"/>
  <c r="H182" i="63"/>
  <c r="H183" i="63" s="1"/>
  <c r="G163" i="64"/>
  <c r="AE73" i="67"/>
  <c r="AG71" i="67"/>
  <c r="AF62" i="67"/>
  <c r="AG66" i="67"/>
  <c r="AE72" i="67"/>
  <c r="AG64" i="67"/>
  <c r="AF67" i="67"/>
  <c r="AF70" i="67"/>
  <c r="AF68" i="67"/>
  <c r="AF69" i="67"/>
  <c r="AF65" i="67"/>
  <c r="AG63" i="67"/>
  <c r="N115" i="50"/>
  <c r="O71" i="50"/>
  <c r="O67" i="50"/>
  <c r="O66" i="50"/>
  <c r="N55" i="50"/>
  <c r="N54" i="50"/>
  <c r="N59" i="50"/>
  <c r="N132" i="50"/>
  <c r="O128" i="50" s="1"/>
  <c r="N110" i="50"/>
  <c r="N108" i="50"/>
  <c r="O104" i="50" s="1"/>
  <c r="AA112" i="50"/>
  <c r="AB103" i="50"/>
  <c r="AA72" i="50"/>
  <c r="AB63" i="50"/>
  <c r="N96" i="50"/>
  <c r="O92" i="50" s="1"/>
  <c r="K145" i="52" l="1"/>
  <c r="K193" i="52" s="1"/>
  <c r="K133" i="52"/>
  <c r="K181" i="52" s="1"/>
  <c r="K136" i="52"/>
  <c r="K184" i="52" s="1"/>
  <c r="K131" i="52"/>
  <c r="K179" i="52" s="1"/>
  <c r="I22" i="63"/>
  <c r="J247" i="53"/>
  <c r="I94" i="67"/>
  <c r="I180" i="63"/>
  <c r="I91" i="64"/>
  <c r="I158" i="64" s="1"/>
  <c r="K138" i="52"/>
  <c r="K186" i="52" s="1"/>
  <c r="K134" i="52"/>
  <c r="K182" i="52" s="1"/>
  <c r="K135" i="52"/>
  <c r="K183" i="52" s="1"/>
  <c r="K146" i="52"/>
  <c r="K194" i="52" s="1"/>
  <c r="K148" i="52"/>
  <c r="K196" i="52" s="1"/>
  <c r="K147" i="52"/>
  <c r="K195" i="52" s="1"/>
  <c r="K139" i="52"/>
  <c r="K187" i="52" s="1"/>
  <c r="K132" i="52"/>
  <c r="K180" i="52" s="1"/>
  <c r="K142" i="52"/>
  <c r="K190" i="52" s="1"/>
  <c r="K143" i="52"/>
  <c r="K191" i="52" s="1"/>
  <c r="K141" i="52"/>
  <c r="K189" i="52" s="1"/>
  <c r="K137" i="52"/>
  <c r="K185" i="52" s="1"/>
  <c r="K140" i="52"/>
  <c r="K188" i="52" s="1"/>
  <c r="K144" i="52"/>
  <c r="K192" i="52" s="1"/>
  <c r="L119" i="50"/>
  <c r="L57" i="49" s="1"/>
  <c r="L58" i="49" s="1"/>
  <c r="K12" i="67"/>
  <c r="I92" i="64"/>
  <c r="I159" i="64" s="1"/>
  <c r="I93" i="67"/>
  <c r="J254" i="52"/>
  <c r="I129" i="63"/>
  <c r="I83" i="64"/>
  <c r="I150" i="64" s="1"/>
  <c r="I89" i="67"/>
  <c r="K106" i="49"/>
  <c r="N59" i="51"/>
  <c r="T59" i="51"/>
  <c r="R59" i="51"/>
  <c r="J28" i="51"/>
  <c r="K59" i="51"/>
  <c r="K104" i="51" s="1"/>
  <c r="K86" i="52" s="1"/>
  <c r="M59" i="51"/>
  <c r="S59" i="51"/>
  <c r="Q59" i="51"/>
  <c r="O59" i="51"/>
  <c r="P59" i="51"/>
  <c r="L59" i="51"/>
  <c r="J15" i="53"/>
  <c r="K144" i="53"/>
  <c r="K192" i="53" s="1"/>
  <c r="K146" i="53"/>
  <c r="K194" i="53" s="1"/>
  <c r="K140" i="53"/>
  <c r="K188" i="53" s="1"/>
  <c r="K135" i="53"/>
  <c r="K183" i="53" s="1"/>
  <c r="K145" i="53"/>
  <c r="K193" i="53" s="1"/>
  <c r="K133" i="53"/>
  <c r="K181" i="53" s="1"/>
  <c r="K139" i="53"/>
  <c r="K187" i="53" s="1"/>
  <c r="K143" i="53"/>
  <c r="K191" i="53" s="1"/>
  <c r="K138" i="53"/>
  <c r="K186" i="53" s="1"/>
  <c r="K142" i="53"/>
  <c r="K190" i="53" s="1"/>
  <c r="K134" i="53"/>
  <c r="K182" i="53" s="1"/>
  <c r="K132" i="53"/>
  <c r="K180" i="53" s="1"/>
  <c r="K149" i="53"/>
  <c r="K197" i="53" s="1"/>
  <c r="K136" i="53"/>
  <c r="K184" i="53" s="1"/>
  <c r="K137" i="53"/>
  <c r="K185" i="53" s="1"/>
  <c r="K141" i="53"/>
  <c r="K189" i="53" s="1"/>
  <c r="K148" i="53"/>
  <c r="K196" i="53" s="1"/>
  <c r="K147" i="53"/>
  <c r="K195" i="53" s="1"/>
  <c r="J17" i="67"/>
  <c r="J134" i="64"/>
  <c r="K92" i="47"/>
  <c r="K37" i="49"/>
  <c r="K13" i="63"/>
  <c r="K14" i="63" s="1"/>
  <c r="K14" i="54"/>
  <c r="K15" i="54" s="1"/>
  <c r="L12" i="63"/>
  <c r="L13" i="67" s="1"/>
  <c r="L13" i="54"/>
  <c r="L104" i="49"/>
  <c r="L94" i="47"/>
  <c r="I84" i="67"/>
  <c r="I78" i="64"/>
  <c r="I145" i="64" s="1"/>
  <c r="I79" i="64"/>
  <c r="I146" i="64" s="1"/>
  <c r="I85" i="67"/>
  <c r="I86" i="64"/>
  <c r="I153" i="64" s="1"/>
  <c r="I91" i="67"/>
  <c r="K70" i="49"/>
  <c r="K71" i="49" s="1"/>
  <c r="K14" i="53" s="1"/>
  <c r="K12" i="53"/>
  <c r="I90" i="67"/>
  <c r="I84" i="64"/>
  <c r="I151" i="64" s="1"/>
  <c r="I181" i="63"/>
  <c r="I80" i="64"/>
  <c r="I147" i="64" s="1"/>
  <c r="I179" i="63"/>
  <c r="I86" i="67"/>
  <c r="I87" i="67"/>
  <c r="I81" i="64"/>
  <c r="I148" i="64" s="1"/>
  <c r="K170" i="52"/>
  <c r="K218" i="52" s="1"/>
  <c r="K252" i="52" s="1"/>
  <c r="K168" i="52"/>
  <c r="K216" i="52" s="1"/>
  <c r="K156" i="52"/>
  <c r="K204" i="52" s="1"/>
  <c r="K238" i="52" s="1"/>
  <c r="K158" i="52"/>
  <c r="K206" i="52" s="1"/>
  <c r="K164" i="52"/>
  <c r="K212" i="52" s="1"/>
  <c r="K169" i="52"/>
  <c r="K217" i="52" s="1"/>
  <c r="K153" i="52"/>
  <c r="K201" i="52" s="1"/>
  <c r="K235" i="52" s="1"/>
  <c r="K157" i="52"/>
  <c r="K205" i="52" s="1"/>
  <c r="K160" i="52"/>
  <c r="K208" i="52" s="1"/>
  <c r="K242" i="52" s="1"/>
  <c r="K162" i="52"/>
  <c r="K210" i="52" s="1"/>
  <c r="K244" i="52" s="1"/>
  <c r="K163" i="52"/>
  <c r="K211" i="52" s="1"/>
  <c r="K166" i="52"/>
  <c r="K214" i="52" s="1"/>
  <c r="K154" i="52"/>
  <c r="K202" i="52" s="1"/>
  <c r="K161" i="52"/>
  <c r="K209" i="52" s="1"/>
  <c r="K165" i="52"/>
  <c r="K213" i="52" s="1"/>
  <c r="K167" i="52"/>
  <c r="K215" i="52" s="1"/>
  <c r="K249" i="52" s="1"/>
  <c r="K155" i="52"/>
  <c r="K203" i="52" s="1"/>
  <c r="K237" i="52" s="1"/>
  <c r="K159" i="52"/>
  <c r="K207" i="52" s="1"/>
  <c r="K156" i="51"/>
  <c r="K201" i="51" s="1"/>
  <c r="K87" i="53" s="1"/>
  <c r="L156" i="51"/>
  <c r="M156" i="51"/>
  <c r="T156" i="51"/>
  <c r="N156" i="51"/>
  <c r="P156" i="51"/>
  <c r="Q156" i="51"/>
  <c r="J125" i="51"/>
  <c r="R156" i="51"/>
  <c r="O156" i="51"/>
  <c r="S156" i="51"/>
  <c r="K165" i="53"/>
  <c r="K213" i="53" s="1"/>
  <c r="K161" i="53"/>
  <c r="K209" i="53" s="1"/>
  <c r="K155" i="53"/>
  <c r="K203" i="53" s="1"/>
  <c r="K154" i="53"/>
  <c r="K202" i="53" s="1"/>
  <c r="K169" i="53"/>
  <c r="K217" i="53" s="1"/>
  <c r="K160" i="53"/>
  <c r="K208" i="53" s="1"/>
  <c r="K168" i="53"/>
  <c r="K216" i="53" s="1"/>
  <c r="K166" i="53"/>
  <c r="K214" i="53" s="1"/>
  <c r="K170" i="53"/>
  <c r="K218" i="53" s="1"/>
  <c r="K162" i="53"/>
  <c r="K210" i="53" s="1"/>
  <c r="K171" i="53"/>
  <c r="K219" i="53" s="1"/>
  <c r="K164" i="53"/>
  <c r="K212" i="53" s="1"/>
  <c r="K159" i="53"/>
  <c r="K207" i="53" s="1"/>
  <c r="K157" i="53"/>
  <c r="K205" i="53" s="1"/>
  <c r="K158" i="53"/>
  <c r="K206" i="53" s="1"/>
  <c r="K156" i="53"/>
  <c r="K204" i="53" s="1"/>
  <c r="K163" i="53"/>
  <c r="K211" i="53" s="1"/>
  <c r="K167" i="53"/>
  <c r="K215" i="53" s="1"/>
  <c r="H118" i="64"/>
  <c r="H163" i="64" s="1"/>
  <c r="C28" i="64"/>
  <c r="I28" i="64" s="1"/>
  <c r="N28" i="64" s="1"/>
  <c r="H192" i="63"/>
  <c r="H195" i="63" s="1"/>
  <c r="H193" i="63"/>
  <c r="AH66" i="67"/>
  <c r="AH71" i="67"/>
  <c r="AH63" i="67"/>
  <c r="AG69" i="67"/>
  <c r="AG70" i="67"/>
  <c r="AF72" i="67"/>
  <c r="AF73" i="67"/>
  <c r="AH64" i="67"/>
  <c r="AG65" i="67"/>
  <c r="AG68" i="67"/>
  <c r="AG67" i="67"/>
  <c r="AG62" i="67"/>
  <c r="O131" i="50"/>
  <c r="O135" i="50"/>
  <c r="O130" i="50"/>
  <c r="O95" i="50"/>
  <c r="O99" i="50"/>
  <c r="O94" i="50"/>
  <c r="O106" i="50"/>
  <c r="O107" i="50"/>
  <c r="O111" i="50"/>
  <c r="O113" i="50" s="1"/>
  <c r="AC63" i="50"/>
  <c r="AB72" i="50"/>
  <c r="N56" i="50"/>
  <c r="O73" i="50"/>
  <c r="N77" i="50"/>
  <c r="AB112" i="50"/>
  <c r="AC103" i="50"/>
  <c r="O68" i="50"/>
  <c r="P64" i="50" s="1"/>
  <c r="K240" i="52" l="1"/>
  <c r="I191" i="63"/>
  <c r="K248" i="52"/>
  <c r="K251" i="52"/>
  <c r="K241" i="52"/>
  <c r="K243" i="52"/>
  <c r="K250" i="52"/>
  <c r="K239" i="52"/>
  <c r="K245" i="52"/>
  <c r="K246" i="52"/>
  <c r="K247" i="52"/>
  <c r="K236" i="52"/>
  <c r="K150" i="53"/>
  <c r="L117" i="53"/>
  <c r="L113" i="53"/>
  <c r="L108" i="53"/>
  <c r="L118" i="53"/>
  <c r="L120" i="53"/>
  <c r="L110" i="53"/>
  <c r="L112" i="53"/>
  <c r="L123" i="53"/>
  <c r="L109" i="53"/>
  <c r="L122" i="53"/>
  <c r="L111" i="53"/>
  <c r="L115" i="53"/>
  <c r="L107" i="53"/>
  <c r="L121" i="53"/>
  <c r="L114" i="53"/>
  <c r="L116" i="53"/>
  <c r="L119" i="53"/>
  <c r="L106" i="53"/>
  <c r="L167" i="53"/>
  <c r="L215" i="53" s="1"/>
  <c r="L157" i="53"/>
  <c r="L205" i="53" s="1"/>
  <c r="L166" i="53"/>
  <c r="L214" i="53" s="1"/>
  <c r="L162" i="53"/>
  <c r="L210" i="53" s="1"/>
  <c r="L163" i="53"/>
  <c r="L211" i="53" s="1"/>
  <c r="L156" i="53"/>
  <c r="L204" i="53" s="1"/>
  <c r="L171" i="53"/>
  <c r="L219" i="53" s="1"/>
  <c r="L161" i="53"/>
  <c r="L209" i="53" s="1"/>
  <c r="L160" i="53"/>
  <c r="L208" i="53" s="1"/>
  <c r="L164" i="53"/>
  <c r="L212" i="53" s="1"/>
  <c r="L170" i="53"/>
  <c r="L218" i="53" s="1"/>
  <c r="L155" i="53"/>
  <c r="L203" i="53" s="1"/>
  <c r="L158" i="53"/>
  <c r="L206" i="53" s="1"/>
  <c r="L169" i="53"/>
  <c r="L217" i="53" s="1"/>
  <c r="L168" i="53"/>
  <c r="L216" i="53" s="1"/>
  <c r="L165" i="53"/>
  <c r="L213" i="53" s="1"/>
  <c r="L159" i="53"/>
  <c r="L207" i="53" s="1"/>
  <c r="L154" i="53"/>
  <c r="L202" i="53" s="1"/>
  <c r="K13" i="53"/>
  <c r="K116" i="51"/>
  <c r="K117" i="51" s="1"/>
  <c r="K124" i="51" s="1"/>
  <c r="K72" i="49"/>
  <c r="L105" i="49"/>
  <c r="L107" i="49" s="1"/>
  <c r="K11" i="52"/>
  <c r="L227" i="52" s="1"/>
  <c r="L228" i="52" s="1"/>
  <c r="K38" i="49"/>
  <c r="K241" i="53"/>
  <c r="J144" i="63" s="1"/>
  <c r="J168" i="63" s="1"/>
  <c r="K235" i="53"/>
  <c r="J138" i="63" s="1"/>
  <c r="J162" i="63" s="1"/>
  <c r="K230" i="53"/>
  <c r="K226" i="53"/>
  <c r="K236" i="53"/>
  <c r="K237" i="53"/>
  <c r="J140" i="63" s="1"/>
  <c r="J164" i="63" s="1"/>
  <c r="J88" i="64" s="1"/>
  <c r="J155" i="64" s="1"/>
  <c r="K227" i="53"/>
  <c r="K229" i="53"/>
  <c r="J132" i="63" s="1"/>
  <c r="J156" i="63" s="1"/>
  <c r="K240" i="53"/>
  <c r="J143" i="63" s="1"/>
  <c r="J167" i="63" s="1"/>
  <c r="I153" i="63"/>
  <c r="I147" i="63"/>
  <c r="K15" i="67"/>
  <c r="K16" i="63"/>
  <c r="L93" i="47"/>
  <c r="L69" i="49"/>
  <c r="L12" i="54"/>
  <c r="L11" i="63"/>
  <c r="L83" i="50"/>
  <c r="L25" i="49" s="1"/>
  <c r="L26" i="49" s="1"/>
  <c r="M139" i="50"/>
  <c r="M91" i="49" s="1"/>
  <c r="M92" i="49" s="1"/>
  <c r="D29" i="64"/>
  <c r="I119" i="64"/>
  <c r="I200" i="63"/>
  <c r="I177" i="64" s="1"/>
  <c r="K14" i="67"/>
  <c r="K288" i="63"/>
  <c r="K289" i="63"/>
  <c r="K181" i="47"/>
  <c r="K182" i="47" s="1"/>
  <c r="K219" i="47" s="1"/>
  <c r="K220" i="47" s="1"/>
  <c r="K19" i="47" s="1"/>
  <c r="K96" i="47"/>
  <c r="K165" i="47" s="1"/>
  <c r="K166" i="47" s="1"/>
  <c r="K18" i="47" s="1"/>
  <c r="C120" i="67" s="1"/>
  <c r="K242" i="53"/>
  <c r="J145" i="63" s="1"/>
  <c r="J169" i="63" s="1"/>
  <c r="K231" i="53"/>
  <c r="J134" i="63" s="1"/>
  <c r="J158" i="63" s="1"/>
  <c r="K243" i="53"/>
  <c r="J146" i="63" s="1"/>
  <c r="J170" i="63" s="1"/>
  <c r="J94" i="64" s="1"/>
  <c r="J161" i="64" s="1"/>
  <c r="K228" i="53"/>
  <c r="J131" i="63" s="1"/>
  <c r="J155" i="63" s="1"/>
  <c r="K232" i="53"/>
  <c r="K233" i="53"/>
  <c r="J136" i="63" s="1"/>
  <c r="J160" i="63" s="1"/>
  <c r="K239" i="53"/>
  <c r="J142" i="63" s="1"/>
  <c r="J166" i="63" s="1"/>
  <c r="J90" i="64" s="1"/>
  <c r="J157" i="64" s="1"/>
  <c r="K234" i="53"/>
  <c r="J137" i="63" s="1"/>
  <c r="J161" i="63" s="1"/>
  <c r="J85" i="64" s="1"/>
  <c r="J152" i="64" s="1"/>
  <c r="K238" i="53"/>
  <c r="L117" i="52"/>
  <c r="L106" i="52"/>
  <c r="L107" i="52"/>
  <c r="L116" i="52"/>
  <c r="L118" i="52"/>
  <c r="L113" i="52"/>
  <c r="L108" i="52"/>
  <c r="L122" i="52"/>
  <c r="L120" i="52"/>
  <c r="L115" i="52"/>
  <c r="L105" i="52"/>
  <c r="L114" i="52"/>
  <c r="L109" i="52"/>
  <c r="L121" i="52"/>
  <c r="L119" i="52"/>
  <c r="L111" i="52"/>
  <c r="L112" i="52"/>
  <c r="L110" i="52"/>
  <c r="I24" i="54"/>
  <c r="J256" i="52"/>
  <c r="I24" i="63"/>
  <c r="I44" i="63" s="1"/>
  <c r="AH68" i="67"/>
  <c r="AI64" i="67"/>
  <c r="AH62" i="67"/>
  <c r="AG72" i="67"/>
  <c r="AH69" i="67"/>
  <c r="AI71" i="67"/>
  <c r="AH67" i="67"/>
  <c r="AH65" i="67"/>
  <c r="AG73" i="67"/>
  <c r="AH70" i="67"/>
  <c r="AI63" i="67"/>
  <c r="AI66" i="67"/>
  <c r="O52" i="50"/>
  <c r="O54" i="50" s="1"/>
  <c r="P67" i="50"/>
  <c r="P66" i="50"/>
  <c r="P71" i="50"/>
  <c r="AD103" i="50"/>
  <c r="AC112" i="50"/>
  <c r="O110" i="50"/>
  <c r="O108" i="50"/>
  <c r="P104" i="50" s="1"/>
  <c r="O132" i="50"/>
  <c r="P128" i="50" s="1"/>
  <c r="AD63" i="50"/>
  <c r="AC72" i="50"/>
  <c r="O96" i="50"/>
  <c r="P92" i="50" s="1"/>
  <c r="O115" i="50"/>
  <c r="J139" i="63" l="1"/>
  <c r="J163" i="63" s="1"/>
  <c r="J87" i="64" s="1"/>
  <c r="J154" i="64" s="1"/>
  <c r="J135" i="63"/>
  <c r="J159" i="63" s="1"/>
  <c r="K254" i="52"/>
  <c r="J133" i="63"/>
  <c r="J157" i="63" s="1"/>
  <c r="J179" i="63" s="1"/>
  <c r="I148" i="63"/>
  <c r="K290" i="63"/>
  <c r="K245" i="53"/>
  <c r="J22" i="54" s="1"/>
  <c r="J141" i="63"/>
  <c r="J165" i="63" s="1"/>
  <c r="J89" i="64" s="1"/>
  <c r="J156" i="64" s="1"/>
  <c r="J130" i="63"/>
  <c r="J154" i="63" s="1"/>
  <c r="J78" i="64" s="1"/>
  <c r="J145" i="64" s="1"/>
  <c r="K104" i="64"/>
  <c r="C121" i="67"/>
  <c r="L106" i="49"/>
  <c r="J89" i="67"/>
  <c r="J83" i="64"/>
  <c r="J150" i="64" s="1"/>
  <c r="J94" i="67"/>
  <c r="J93" i="64"/>
  <c r="J160" i="64" s="1"/>
  <c r="J86" i="67"/>
  <c r="J80" i="64"/>
  <c r="J147" i="64" s="1"/>
  <c r="J86" i="64"/>
  <c r="J153" i="64" s="1"/>
  <c r="J84" i="64"/>
  <c r="J151" i="64" s="1"/>
  <c r="J181" i="63"/>
  <c r="J90" i="67"/>
  <c r="J85" i="67"/>
  <c r="J79" i="64"/>
  <c r="J146" i="64" s="1"/>
  <c r="J82" i="64"/>
  <c r="J149" i="64" s="1"/>
  <c r="J88" i="67"/>
  <c r="J91" i="64"/>
  <c r="J158" i="64" s="1"/>
  <c r="J92" i="67"/>
  <c r="J84" i="67"/>
  <c r="J93" i="67"/>
  <c r="J92" i="64"/>
  <c r="J159" i="64" s="1"/>
  <c r="M119" i="50"/>
  <c r="M57" i="49" s="1"/>
  <c r="M58" i="49" s="1"/>
  <c r="K103" i="64"/>
  <c r="K27" i="47"/>
  <c r="E31" i="64" s="1"/>
  <c r="M104" i="49"/>
  <c r="M94" i="47"/>
  <c r="M13" i="54"/>
  <c r="M12" i="63"/>
  <c r="M13" i="67" s="1"/>
  <c r="L13" i="63"/>
  <c r="L14" i="63" s="1"/>
  <c r="L37" i="49"/>
  <c r="L92" i="47"/>
  <c r="L14" i="54"/>
  <c r="L15" i="54" s="1"/>
  <c r="L12" i="67"/>
  <c r="L70" i="49"/>
  <c r="L71" i="49" s="1"/>
  <c r="L14" i="53" s="1"/>
  <c r="L12" i="53"/>
  <c r="K134" i="64"/>
  <c r="K17" i="67"/>
  <c r="K15" i="53"/>
  <c r="L132" i="53"/>
  <c r="L180" i="53" s="1"/>
  <c r="L226" i="53" s="1"/>
  <c r="L147" i="53"/>
  <c r="L195" i="53" s="1"/>
  <c r="L241" i="53" s="1"/>
  <c r="L148" i="53"/>
  <c r="L196" i="53" s="1"/>
  <c r="L242" i="53" s="1"/>
  <c r="L136" i="53"/>
  <c r="L184" i="53" s="1"/>
  <c r="L230" i="53" s="1"/>
  <c r="L139" i="53"/>
  <c r="L187" i="53" s="1"/>
  <c r="L233" i="53" s="1"/>
  <c r="L140" i="53"/>
  <c r="L188" i="53" s="1"/>
  <c r="L234" i="53" s="1"/>
  <c r="L137" i="53"/>
  <c r="L185" i="53" s="1"/>
  <c r="L231" i="53" s="1"/>
  <c r="L143" i="53"/>
  <c r="L191" i="53" s="1"/>
  <c r="L237" i="53" s="1"/>
  <c r="L142" i="53"/>
  <c r="L190" i="53" s="1"/>
  <c r="L236" i="53" s="1"/>
  <c r="L141" i="53"/>
  <c r="L189" i="53" s="1"/>
  <c r="L235" i="53" s="1"/>
  <c r="L144" i="53"/>
  <c r="L192" i="53" s="1"/>
  <c r="L238" i="53" s="1"/>
  <c r="L145" i="53"/>
  <c r="L193" i="53" s="1"/>
  <c r="L239" i="53" s="1"/>
  <c r="L133" i="53"/>
  <c r="L181" i="53" s="1"/>
  <c r="L227" i="53" s="1"/>
  <c r="L149" i="53"/>
  <c r="L197" i="53" s="1"/>
  <c r="L243" i="53" s="1"/>
  <c r="L134" i="53"/>
  <c r="L182" i="53" s="1"/>
  <c r="L228" i="53" s="1"/>
  <c r="L135" i="53"/>
  <c r="L183" i="53" s="1"/>
  <c r="L229" i="53" s="1"/>
  <c r="L138" i="53"/>
  <c r="L186" i="53" s="1"/>
  <c r="L232" i="53" s="1"/>
  <c r="L146" i="53"/>
  <c r="L194" i="53" s="1"/>
  <c r="L240" i="53" s="1"/>
  <c r="J129" i="63"/>
  <c r="I83" i="67"/>
  <c r="I171" i="63"/>
  <c r="I178" i="63"/>
  <c r="I77" i="64"/>
  <c r="J22" i="63"/>
  <c r="K247" i="53"/>
  <c r="K39" i="49"/>
  <c r="K13" i="52" s="1"/>
  <c r="K19" i="51"/>
  <c r="K20" i="51" s="1"/>
  <c r="K27" i="51" s="1"/>
  <c r="K12" i="52"/>
  <c r="L138" i="52" s="1"/>
  <c r="L186" i="52" s="1"/>
  <c r="K40" i="49"/>
  <c r="L157" i="51"/>
  <c r="L201" i="51" s="1"/>
  <c r="L87" i="53" s="1"/>
  <c r="T157" i="51"/>
  <c r="Q157" i="51"/>
  <c r="K125" i="51"/>
  <c r="R157" i="51"/>
  <c r="S157" i="51"/>
  <c r="P157" i="51"/>
  <c r="U157" i="51"/>
  <c r="O157" i="51"/>
  <c r="M157" i="51"/>
  <c r="N157" i="51"/>
  <c r="J24" i="54"/>
  <c r="J24" i="63"/>
  <c r="K256" i="52"/>
  <c r="AI65" i="67"/>
  <c r="AJ66" i="67"/>
  <c r="AI70" i="67"/>
  <c r="AJ71" i="67"/>
  <c r="AH72" i="67"/>
  <c r="AJ64" i="67"/>
  <c r="AJ63" i="67"/>
  <c r="AH73" i="67"/>
  <c r="AI67" i="67"/>
  <c r="AI69" i="67"/>
  <c r="AI62" i="67"/>
  <c r="AI68" i="67"/>
  <c r="O59" i="50"/>
  <c r="O77" i="50" s="1"/>
  <c r="O55" i="50"/>
  <c r="P95" i="50"/>
  <c r="P99" i="50"/>
  <c r="P94" i="50"/>
  <c r="P131" i="50"/>
  <c r="P130" i="50"/>
  <c r="P135" i="50"/>
  <c r="AD112" i="50"/>
  <c r="AE103" i="50"/>
  <c r="O56" i="50"/>
  <c r="P73" i="50"/>
  <c r="AD72" i="50"/>
  <c r="AE63" i="50"/>
  <c r="P107" i="50"/>
  <c r="P106" i="50"/>
  <c r="P111" i="50"/>
  <c r="P113" i="50" s="1"/>
  <c r="P68" i="50"/>
  <c r="Q64" i="50" s="1"/>
  <c r="J81" i="64" l="1"/>
  <c r="J148" i="64" s="1"/>
  <c r="J87" i="67"/>
  <c r="J91" i="67"/>
  <c r="J180" i="63"/>
  <c r="J191" i="63" s="1"/>
  <c r="J44" i="63"/>
  <c r="L150" i="53"/>
  <c r="L245" i="53"/>
  <c r="K22" i="63" s="1"/>
  <c r="N139" i="50"/>
  <c r="N91" i="49" s="1"/>
  <c r="N92" i="49" s="1"/>
  <c r="U60" i="51"/>
  <c r="Q60" i="51"/>
  <c r="K28" i="51"/>
  <c r="O60" i="51"/>
  <c r="M60" i="51"/>
  <c r="S60" i="51"/>
  <c r="P60" i="51"/>
  <c r="R60" i="51"/>
  <c r="T60" i="51"/>
  <c r="L60" i="51"/>
  <c r="L104" i="51" s="1"/>
  <c r="L86" i="52" s="1"/>
  <c r="N60" i="51"/>
  <c r="I190" i="63"/>
  <c r="I193" i="63" s="1"/>
  <c r="I182" i="63"/>
  <c r="I183" i="63" s="1"/>
  <c r="L141" i="52"/>
  <c r="L189" i="52" s="1"/>
  <c r="K22" i="54"/>
  <c r="M165" i="53"/>
  <c r="M213" i="53" s="1"/>
  <c r="M170" i="53"/>
  <c r="M218" i="53" s="1"/>
  <c r="M166" i="53"/>
  <c r="M214" i="53" s="1"/>
  <c r="M168" i="53"/>
  <c r="M216" i="53" s="1"/>
  <c r="M160" i="53"/>
  <c r="M208" i="53" s="1"/>
  <c r="M157" i="53"/>
  <c r="M205" i="53" s="1"/>
  <c r="M162" i="53"/>
  <c r="M210" i="53" s="1"/>
  <c r="M164" i="53"/>
  <c r="M212" i="53" s="1"/>
  <c r="M167" i="53"/>
  <c r="M215" i="53" s="1"/>
  <c r="M154" i="53"/>
  <c r="M202" i="53" s="1"/>
  <c r="M155" i="53"/>
  <c r="M203" i="53" s="1"/>
  <c r="M171" i="53"/>
  <c r="M219" i="53" s="1"/>
  <c r="M158" i="53"/>
  <c r="M206" i="53" s="1"/>
  <c r="M159" i="53"/>
  <c r="M207" i="53" s="1"/>
  <c r="M161" i="53"/>
  <c r="M209" i="53" s="1"/>
  <c r="M169" i="53"/>
  <c r="M217" i="53" s="1"/>
  <c r="M156" i="53"/>
  <c r="M204" i="53" s="1"/>
  <c r="M163" i="53"/>
  <c r="M211" i="53" s="1"/>
  <c r="L116" i="51"/>
  <c r="L117" i="51" s="1"/>
  <c r="L124" i="51" s="1"/>
  <c r="L72" i="49"/>
  <c r="L13" i="53"/>
  <c r="L181" i="47"/>
  <c r="L182" i="47" s="1"/>
  <c r="L219" i="47" s="1"/>
  <c r="L220" i="47" s="1"/>
  <c r="L19" i="47" s="1"/>
  <c r="L104" i="64" s="1"/>
  <c r="L96" i="47"/>
  <c r="L165" i="47" s="1"/>
  <c r="L166" i="47" s="1"/>
  <c r="L18" i="47" s="1"/>
  <c r="D120" i="67" s="1"/>
  <c r="L14" i="67"/>
  <c r="L289" i="63"/>
  <c r="L288" i="63"/>
  <c r="L133" i="52"/>
  <c r="L181" i="52" s="1"/>
  <c r="L146" i="52"/>
  <c r="L194" i="52" s="1"/>
  <c r="L135" i="52"/>
  <c r="L183" i="52" s="1"/>
  <c r="M83" i="50"/>
  <c r="M25" i="49" s="1"/>
  <c r="M26" i="49" s="1"/>
  <c r="M112" i="53"/>
  <c r="M123" i="53"/>
  <c r="M114" i="53"/>
  <c r="M120" i="53"/>
  <c r="M107" i="53"/>
  <c r="M119" i="53"/>
  <c r="M118" i="53"/>
  <c r="M106" i="53"/>
  <c r="M117" i="53"/>
  <c r="M122" i="53"/>
  <c r="M109" i="53"/>
  <c r="M113" i="53"/>
  <c r="M121" i="53"/>
  <c r="M111" i="53"/>
  <c r="M110" i="53"/>
  <c r="M108" i="53"/>
  <c r="M116" i="53"/>
  <c r="M115" i="53"/>
  <c r="L148" i="52"/>
  <c r="L196" i="52" s="1"/>
  <c r="L132" i="52"/>
  <c r="L180" i="52" s="1"/>
  <c r="K14" i="52"/>
  <c r="L140" i="52"/>
  <c r="L188" i="52" s="1"/>
  <c r="L136" i="52"/>
  <c r="L184" i="52" s="1"/>
  <c r="L144" i="52"/>
  <c r="L192" i="52" s="1"/>
  <c r="L139" i="52"/>
  <c r="L187" i="52" s="1"/>
  <c r="L143" i="52"/>
  <c r="L191" i="52" s="1"/>
  <c r="L147" i="52"/>
  <c r="L195" i="52" s="1"/>
  <c r="L137" i="52"/>
  <c r="L185" i="52" s="1"/>
  <c r="L165" i="52"/>
  <c r="L213" i="52" s="1"/>
  <c r="L169" i="52"/>
  <c r="L217" i="52" s="1"/>
  <c r="L155" i="52"/>
  <c r="L203" i="52" s="1"/>
  <c r="L156" i="52"/>
  <c r="L204" i="52" s="1"/>
  <c r="L170" i="52"/>
  <c r="L218" i="52" s="1"/>
  <c r="L163" i="52"/>
  <c r="L211" i="52" s="1"/>
  <c r="L166" i="52"/>
  <c r="L214" i="52" s="1"/>
  <c r="L154" i="52"/>
  <c r="L202" i="52" s="1"/>
  <c r="L160" i="52"/>
  <c r="L208" i="52" s="1"/>
  <c r="L242" i="52" s="1"/>
  <c r="K136" i="63" s="1"/>
  <c r="K160" i="63" s="1"/>
  <c r="L164" i="52"/>
  <c r="L212" i="52" s="1"/>
  <c r="L167" i="52"/>
  <c r="L215" i="52" s="1"/>
  <c r="L158" i="52"/>
  <c r="L206" i="52" s="1"/>
  <c r="L153" i="52"/>
  <c r="L201" i="52" s="1"/>
  <c r="L161" i="52"/>
  <c r="L209" i="52" s="1"/>
  <c r="L162" i="52"/>
  <c r="L210" i="52" s="1"/>
  <c r="L168" i="52"/>
  <c r="L216" i="52" s="1"/>
  <c r="L159" i="52"/>
  <c r="L207" i="52" s="1"/>
  <c r="L157" i="52"/>
  <c r="L205" i="52" s="1"/>
  <c r="I144" i="64"/>
  <c r="I95" i="64"/>
  <c r="I162" i="64" s="1"/>
  <c r="I173" i="63"/>
  <c r="I172" i="63"/>
  <c r="L142" i="52"/>
  <c r="L190" i="52" s="1"/>
  <c r="J153" i="63"/>
  <c r="J147" i="63"/>
  <c r="J148" i="63" s="1"/>
  <c r="L15" i="67"/>
  <c r="L16" i="63"/>
  <c r="L38" i="49"/>
  <c r="L39" i="49" s="1"/>
  <c r="L13" i="52" s="1"/>
  <c r="L11" i="52"/>
  <c r="M227" i="52" s="1"/>
  <c r="M228" i="52" s="1"/>
  <c r="M105" i="49"/>
  <c r="M107" i="49" s="1"/>
  <c r="L134" i="52"/>
  <c r="L182" i="52" s="1"/>
  <c r="L131" i="52"/>
  <c r="L179" i="52" s="1"/>
  <c r="L145" i="52"/>
  <c r="L193" i="52" s="1"/>
  <c r="M12" i="54"/>
  <c r="M69" i="49"/>
  <c r="M93" i="47"/>
  <c r="M11" i="63"/>
  <c r="AJ69" i="67"/>
  <c r="AJ68" i="67"/>
  <c r="AI73" i="67"/>
  <c r="AK71" i="67"/>
  <c r="AK66" i="67"/>
  <c r="AI72" i="67"/>
  <c r="AK64" i="67"/>
  <c r="AJ62" i="67"/>
  <c r="AJ67" i="67"/>
  <c r="AK63" i="67"/>
  <c r="AJ70" i="67"/>
  <c r="AJ65" i="67"/>
  <c r="P52" i="50"/>
  <c r="P108" i="50"/>
  <c r="Q104" i="50" s="1"/>
  <c r="P110" i="50"/>
  <c r="P96" i="50"/>
  <c r="Q92" i="50" s="1"/>
  <c r="Q71" i="50"/>
  <c r="Q66" i="50"/>
  <c r="Q67" i="50"/>
  <c r="P115" i="50"/>
  <c r="AE72" i="50"/>
  <c r="AF63" i="50"/>
  <c r="AF103" i="50"/>
  <c r="AE112" i="50"/>
  <c r="P132" i="50"/>
  <c r="Q128" i="50" s="1"/>
  <c r="L247" i="53" l="1"/>
  <c r="L238" i="52"/>
  <c r="K132" i="63" s="1"/>
  <c r="K156" i="63" s="1"/>
  <c r="J119" i="64"/>
  <c r="J200" i="63"/>
  <c r="J177" i="64" s="1"/>
  <c r="D30" i="64"/>
  <c r="L246" i="52"/>
  <c r="K140" i="63" s="1"/>
  <c r="K164" i="63" s="1"/>
  <c r="K88" i="64" s="1"/>
  <c r="K155" i="64" s="1"/>
  <c r="L290" i="63"/>
  <c r="L249" i="52"/>
  <c r="K143" i="63" s="1"/>
  <c r="K167" i="63" s="1"/>
  <c r="K91" i="64" s="1"/>
  <c r="K158" i="64" s="1"/>
  <c r="L235" i="52"/>
  <c r="K129" i="63" s="1"/>
  <c r="L247" i="52"/>
  <c r="K141" i="63" s="1"/>
  <c r="K165" i="63" s="1"/>
  <c r="K89" i="64" s="1"/>
  <c r="K156" i="64" s="1"/>
  <c r="K84" i="64"/>
  <c r="K151" i="64" s="1"/>
  <c r="N119" i="50"/>
  <c r="N57" i="49" s="1"/>
  <c r="N58" i="49" s="1"/>
  <c r="L134" i="64"/>
  <c r="L17" i="67"/>
  <c r="M106" i="49"/>
  <c r="L40" i="49"/>
  <c r="L12" i="52"/>
  <c r="L14" i="52" s="1"/>
  <c r="L19" i="51"/>
  <c r="L20" i="51" s="1"/>
  <c r="L27" i="51" s="1"/>
  <c r="J83" i="67"/>
  <c r="J77" i="64"/>
  <c r="J171" i="63"/>
  <c r="J178" i="63"/>
  <c r="L251" i="52"/>
  <c r="K145" i="63" s="1"/>
  <c r="K169" i="63" s="1"/>
  <c r="L243" i="52"/>
  <c r="K137" i="63" s="1"/>
  <c r="K161" i="63" s="1"/>
  <c r="K85" i="64" s="1"/>
  <c r="K152" i="64" s="1"/>
  <c r="L240" i="52"/>
  <c r="K134" i="63" s="1"/>
  <c r="K158" i="63" s="1"/>
  <c r="L252" i="52"/>
  <c r="K146" i="63" s="1"/>
  <c r="K170" i="63" s="1"/>
  <c r="K94" i="64" s="1"/>
  <c r="K161" i="64" s="1"/>
  <c r="L250" i="52"/>
  <c r="K144" i="63" s="1"/>
  <c r="K168" i="63" s="1"/>
  <c r="M12" i="67"/>
  <c r="M12" i="53"/>
  <c r="M70" i="49"/>
  <c r="K80" i="64"/>
  <c r="K147" i="64" s="1"/>
  <c r="K86" i="67"/>
  <c r="M165" i="52"/>
  <c r="M213" i="52" s="1"/>
  <c r="M170" i="52"/>
  <c r="M218" i="52" s="1"/>
  <c r="M162" i="52"/>
  <c r="M210" i="52" s="1"/>
  <c r="M167" i="52"/>
  <c r="M215" i="52" s="1"/>
  <c r="M166" i="52"/>
  <c r="M214" i="52" s="1"/>
  <c r="M157" i="52"/>
  <c r="M205" i="52" s="1"/>
  <c r="M159" i="52"/>
  <c r="M207" i="52" s="1"/>
  <c r="M155" i="52"/>
  <c r="M203" i="52" s="1"/>
  <c r="M161" i="52"/>
  <c r="M209" i="52" s="1"/>
  <c r="M163" i="52"/>
  <c r="M211" i="52" s="1"/>
  <c r="M164" i="52"/>
  <c r="M212" i="52" s="1"/>
  <c r="M168" i="52"/>
  <c r="M216" i="52" s="1"/>
  <c r="M169" i="52"/>
  <c r="M217" i="52" s="1"/>
  <c r="M154" i="52"/>
  <c r="M202" i="52" s="1"/>
  <c r="M156" i="52"/>
  <c r="M204" i="52" s="1"/>
  <c r="M153" i="52"/>
  <c r="M201" i="52" s="1"/>
  <c r="M158" i="52"/>
  <c r="M206" i="52" s="1"/>
  <c r="M160" i="52"/>
  <c r="M208" i="52" s="1"/>
  <c r="L241" i="52"/>
  <c r="K135" i="63" s="1"/>
  <c r="K159" i="63" s="1"/>
  <c r="L248" i="52"/>
  <c r="K142" i="63" s="1"/>
  <c r="K166" i="63" s="1"/>
  <c r="K90" i="64" s="1"/>
  <c r="K157" i="64" s="1"/>
  <c r="L244" i="52"/>
  <c r="K138" i="63" s="1"/>
  <c r="K162" i="63" s="1"/>
  <c r="L236" i="52"/>
  <c r="K130" i="63" s="1"/>
  <c r="K154" i="63" s="1"/>
  <c r="M92" i="47"/>
  <c r="M13" i="63"/>
  <c r="M14" i="63" s="1"/>
  <c r="M37" i="49"/>
  <c r="M14" i="54"/>
  <c r="M15" i="54" s="1"/>
  <c r="L239" i="52"/>
  <c r="K133" i="63" s="1"/>
  <c r="K157" i="63" s="1"/>
  <c r="K179" i="63" s="1"/>
  <c r="L237" i="52"/>
  <c r="K131" i="63" s="1"/>
  <c r="K155" i="63" s="1"/>
  <c r="L103" i="64"/>
  <c r="L27" i="47"/>
  <c r="E32" i="64" s="1"/>
  <c r="L15" i="53"/>
  <c r="M143" i="53"/>
  <c r="M191" i="53" s="1"/>
  <c r="M237" i="53" s="1"/>
  <c r="M133" i="53"/>
  <c r="M181" i="53" s="1"/>
  <c r="M227" i="53" s="1"/>
  <c r="M141" i="53"/>
  <c r="M189" i="53" s="1"/>
  <c r="M235" i="53" s="1"/>
  <c r="M136" i="53"/>
  <c r="M184" i="53" s="1"/>
  <c r="M230" i="53" s="1"/>
  <c r="M139" i="53"/>
  <c r="M187" i="53" s="1"/>
  <c r="M233" i="53" s="1"/>
  <c r="M132" i="53"/>
  <c r="M180" i="53" s="1"/>
  <c r="M226" i="53" s="1"/>
  <c r="M146" i="53"/>
  <c r="M194" i="53" s="1"/>
  <c r="M240" i="53" s="1"/>
  <c r="M142" i="53"/>
  <c r="M190" i="53" s="1"/>
  <c r="M236" i="53" s="1"/>
  <c r="M137" i="53"/>
  <c r="M185" i="53" s="1"/>
  <c r="M231" i="53" s="1"/>
  <c r="M144" i="53"/>
  <c r="M192" i="53" s="1"/>
  <c r="M238" i="53" s="1"/>
  <c r="M147" i="53"/>
  <c r="M195" i="53" s="1"/>
  <c r="M241" i="53" s="1"/>
  <c r="M148" i="53"/>
  <c r="M196" i="53" s="1"/>
  <c r="M242" i="53" s="1"/>
  <c r="M140" i="53"/>
  <c r="M188" i="53" s="1"/>
  <c r="M234" i="53" s="1"/>
  <c r="M138" i="53"/>
  <c r="M186" i="53" s="1"/>
  <c r="M232" i="53" s="1"/>
  <c r="M135" i="53"/>
  <c r="M183" i="53" s="1"/>
  <c r="M229" i="53" s="1"/>
  <c r="M134" i="53"/>
  <c r="M182" i="53" s="1"/>
  <c r="M228" i="53" s="1"/>
  <c r="M145" i="53"/>
  <c r="M193" i="53" s="1"/>
  <c r="M239" i="53" s="1"/>
  <c r="M149" i="53"/>
  <c r="M197" i="53" s="1"/>
  <c r="M243" i="53" s="1"/>
  <c r="T158" i="51"/>
  <c r="M158" i="51"/>
  <c r="M201" i="51" s="1"/>
  <c r="M87" i="53" s="1"/>
  <c r="U158" i="51"/>
  <c r="R158" i="51"/>
  <c r="O158" i="51"/>
  <c r="L125" i="51"/>
  <c r="N158" i="51"/>
  <c r="S158" i="51"/>
  <c r="P158" i="51"/>
  <c r="Q158" i="51"/>
  <c r="V158" i="51"/>
  <c r="L245" i="52"/>
  <c r="K139" i="63" s="1"/>
  <c r="K163" i="63" s="1"/>
  <c r="K87" i="64" s="1"/>
  <c r="K154" i="64" s="1"/>
  <c r="I118" i="64"/>
  <c r="I163" i="64" s="1"/>
  <c r="C29" i="64"/>
  <c r="I29" i="64" s="1"/>
  <c r="N29" i="64" s="1"/>
  <c r="I192" i="63"/>
  <c r="I195" i="63" s="1"/>
  <c r="M117" i="52"/>
  <c r="M119" i="52"/>
  <c r="M145" i="52" s="1"/>
  <c r="M193" i="52" s="1"/>
  <c r="M111" i="52"/>
  <c r="M118" i="52"/>
  <c r="M144" i="52" s="1"/>
  <c r="M192" i="52" s="1"/>
  <c r="M248" i="52" s="1"/>
  <c r="M120" i="52"/>
  <c r="M113" i="52"/>
  <c r="M139" i="52" s="1"/>
  <c r="M187" i="52" s="1"/>
  <c r="M243" i="52" s="1"/>
  <c r="M109" i="52"/>
  <c r="M108" i="52"/>
  <c r="M134" i="52" s="1"/>
  <c r="M182" i="52" s="1"/>
  <c r="M238" i="52" s="1"/>
  <c r="M115" i="52"/>
  <c r="M112" i="52"/>
  <c r="M138" i="52" s="1"/>
  <c r="M186" i="52" s="1"/>
  <c r="M106" i="52"/>
  <c r="M105" i="52"/>
  <c r="M131" i="52" s="1"/>
  <c r="M179" i="52" s="1"/>
  <c r="M122" i="52"/>
  <c r="M116" i="52"/>
  <c r="M142" i="52" s="1"/>
  <c r="M190" i="52" s="1"/>
  <c r="M246" i="52" s="1"/>
  <c r="M107" i="52"/>
  <c r="M110" i="52"/>
  <c r="M136" i="52" s="1"/>
  <c r="M184" i="52" s="1"/>
  <c r="M240" i="52" s="1"/>
  <c r="M114" i="52"/>
  <c r="M121" i="52"/>
  <c r="M147" i="52" s="1"/>
  <c r="M195" i="52" s="1"/>
  <c r="M251" i="52" s="1"/>
  <c r="N12" i="63"/>
  <c r="N13" i="67" s="1"/>
  <c r="N94" i="47"/>
  <c r="N13" i="54"/>
  <c r="N104" i="49"/>
  <c r="AK67" i="67"/>
  <c r="AK68" i="67"/>
  <c r="AK65" i="67"/>
  <c r="AK62" i="67"/>
  <c r="AJ72" i="67"/>
  <c r="AK70" i="67"/>
  <c r="AK69" i="67"/>
  <c r="AJ73" i="67"/>
  <c r="Q131" i="50"/>
  <c r="Q130" i="50"/>
  <c r="Q135" i="50"/>
  <c r="AG63" i="50"/>
  <c r="AF72" i="50"/>
  <c r="Q68" i="50"/>
  <c r="R64" i="50" s="1"/>
  <c r="P55" i="50"/>
  <c r="P59" i="50"/>
  <c r="P54" i="50"/>
  <c r="Q107" i="50"/>
  <c r="Q111" i="50"/>
  <c r="Q113" i="50" s="1"/>
  <c r="Q106" i="50"/>
  <c r="Q94" i="50"/>
  <c r="Q95" i="50"/>
  <c r="Q99" i="50"/>
  <c r="AG103" i="50"/>
  <c r="AF112" i="50"/>
  <c r="Q73" i="50"/>
  <c r="L145" i="63" l="1"/>
  <c r="L169" i="63" s="1"/>
  <c r="M245" i="53"/>
  <c r="K181" i="63"/>
  <c r="K90" i="67"/>
  <c r="M150" i="53"/>
  <c r="L254" i="52"/>
  <c r="M235" i="52"/>
  <c r="M242" i="52"/>
  <c r="L136" i="63" s="1"/>
  <c r="L160" i="63" s="1"/>
  <c r="M249" i="52"/>
  <c r="M140" i="52"/>
  <c r="M188" i="52" s="1"/>
  <c r="M244" i="52" s="1"/>
  <c r="L138" i="63" s="1"/>
  <c r="L162" i="63" s="1"/>
  <c r="M133" i="52"/>
  <c r="M181" i="52" s="1"/>
  <c r="M237" i="52" s="1"/>
  <c r="L131" i="63" s="1"/>
  <c r="L155" i="63" s="1"/>
  <c r="L85" i="67" s="1"/>
  <c r="M148" i="52"/>
  <c r="M196" i="52" s="1"/>
  <c r="M252" i="52" s="1"/>
  <c r="L146" i="63" s="1"/>
  <c r="L170" i="63" s="1"/>
  <c r="L94" i="64" s="1"/>
  <c r="L161" i="64" s="1"/>
  <c r="M132" i="52"/>
  <c r="M180" i="52" s="1"/>
  <c r="M236" i="52" s="1"/>
  <c r="L130" i="63" s="1"/>
  <c r="L154" i="63" s="1"/>
  <c r="L84" i="67" s="1"/>
  <c r="M141" i="52"/>
  <c r="M189" i="52" s="1"/>
  <c r="M245" i="52" s="1"/>
  <c r="L139" i="63" s="1"/>
  <c r="L163" i="63" s="1"/>
  <c r="L87" i="64" s="1"/>
  <c r="L154" i="64" s="1"/>
  <c r="M135" i="52"/>
  <c r="M183" i="52" s="1"/>
  <c r="M239" i="52" s="1"/>
  <c r="L133" i="63" s="1"/>
  <c r="L157" i="63" s="1"/>
  <c r="L87" i="67" s="1"/>
  <c r="C105" i="67" s="1"/>
  <c r="M146" i="52"/>
  <c r="M194" i="52" s="1"/>
  <c r="M250" i="52" s="1"/>
  <c r="L144" i="63" s="1"/>
  <c r="L168" i="63" s="1"/>
  <c r="L93" i="67" s="1"/>
  <c r="C111" i="67" s="1"/>
  <c r="M137" i="52"/>
  <c r="M185" i="52" s="1"/>
  <c r="M241" i="52" s="1"/>
  <c r="L135" i="63" s="1"/>
  <c r="L159" i="63" s="1"/>
  <c r="L89" i="67" s="1"/>
  <c r="C107" i="67" s="1"/>
  <c r="M143" i="52"/>
  <c r="M191" i="52" s="1"/>
  <c r="M247" i="52" s="1"/>
  <c r="L141" i="63" s="1"/>
  <c r="L165" i="63" s="1"/>
  <c r="L89" i="64" s="1"/>
  <c r="L156" i="64" s="1"/>
  <c r="L134" i="63"/>
  <c r="L158" i="63" s="1"/>
  <c r="L88" i="67" s="1"/>
  <c r="L140" i="63"/>
  <c r="L164" i="63" s="1"/>
  <c r="L88" i="64" s="1"/>
  <c r="L155" i="64" s="1"/>
  <c r="L143" i="63"/>
  <c r="L167" i="63" s="1"/>
  <c r="L91" i="64" s="1"/>
  <c r="L158" i="64" s="1"/>
  <c r="L132" i="63"/>
  <c r="L156" i="63" s="1"/>
  <c r="L86" i="67" s="1"/>
  <c r="C104" i="67" s="1"/>
  <c r="L137" i="63"/>
  <c r="L161" i="63" s="1"/>
  <c r="L85" i="64" s="1"/>
  <c r="L152" i="64" s="1"/>
  <c r="L142" i="63"/>
  <c r="L166" i="63" s="1"/>
  <c r="L90" i="64" s="1"/>
  <c r="L157" i="64" s="1"/>
  <c r="K92" i="67"/>
  <c r="N105" i="49"/>
  <c r="N107" i="49" s="1"/>
  <c r="L94" i="67"/>
  <c r="L93" i="64"/>
  <c r="L160" i="64" s="1"/>
  <c r="L129" i="63"/>
  <c r="L22" i="63"/>
  <c r="M247" i="53"/>
  <c r="L22" i="54"/>
  <c r="K81" i="64"/>
  <c r="K148" i="64" s="1"/>
  <c r="K87" i="67"/>
  <c r="M38" i="49"/>
  <c r="M39" i="49" s="1"/>
  <c r="M13" i="52" s="1"/>
  <c r="M11" i="52"/>
  <c r="N227" i="52" s="1"/>
  <c r="N228" i="52" s="1"/>
  <c r="M96" i="47"/>
  <c r="M165" i="47" s="1"/>
  <c r="M166" i="47" s="1"/>
  <c r="M18" i="47" s="1"/>
  <c r="E120" i="67" s="1"/>
  <c r="M181" i="47"/>
  <c r="M182" i="47" s="1"/>
  <c r="M219" i="47" s="1"/>
  <c r="M220" i="47" s="1"/>
  <c r="M19" i="47" s="1"/>
  <c r="K91" i="67"/>
  <c r="K86" i="64"/>
  <c r="K153" i="64" s="1"/>
  <c r="K83" i="64"/>
  <c r="K150" i="64" s="1"/>
  <c r="K89" i="67"/>
  <c r="M71" i="49"/>
  <c r="M14" i="53" s="1"/>
  <c r="M13" i="53"/>
  <c r="M72" i="49"/>
  <c r="M116" i="51"/>
  <c r="M117" i="51" s="1"/>
  <c r="M124" i="51" s="1"/>
  <c r="M16" i="63"/>
  <c r="M15" i="67"/>
  <c r="K93" i="67"/>
  <c r="K92" i="64"/>
  <c r="K159" i="64" s="1"/>
  <c r="K88" i="67"/>
  <c r="K180" i="63"/>
  <c r="K191" i="63" s="1"/>
  <c r="K82" i="64"/>
  <c r="K149" i="64" s="1"/>
  <c r="K93" i="64"/>
  <c r="K160" i="64" s="1"/>
  <c r="K94" i="67"/>
  <c r="J172" i="63"/>
  <c r="J173" i="63"/>
  <c r="K24" i="63"/>
  <c r="K44" i="63" s="1"/>
  <c r="L256" i="52"/>
  <c r="K24" i="54"/>
  <c r="O139" i="50"/>
  <c r="O91" i="49" s="1"/>
  <c r="O92" i="49" s="1"/>
  <c r="N119" i="53"/>
  <c r="N109" i="53"/>
  <c r="N111" i="53"/>
  <c r="N116" i="53"/>
  <c r="N120" i="53"/>
  <c r="N115" i="53"/>
  <c r="N112" i="53"/>
  <c r="N113" i="53"/>
  <c r="N117" i="53"/>
  <c r="N121" i="53"/>
  <c r="N114" i="53"/>
  <c r="N107" i="53"/>
  <c r="N118" i="53"/>
  <c r="N108" i="53"/>
  <c r="N122" i="53"/>
  <c r="N106" i="53"/>
  <c r="N110" i="53"/>
  <c r="N123" i="53"/>
  <c r="K85" i="67"/>
  <c r="K79" i="64"/>
  <c r="K146" i="64" s="1"/>
  <c r="M14" i="67"/>
  <c r="M289" i="63"/>
  <c r="M288" i="63"/>
  <c r="K84" i="67"/>
  <c r="K78" i="64"/>
  <c r="K145" i="64" s="1"/>
  <c r="J182" i="63"/>
  <c r="J183" i="63" s="1"/>
  <c r="J190" i="63"/>
  <c r="J95" i="64"/>
  <c r="J162" i="64" s="1"/>
  <c r="J144" i="64"/>
  <c r="Q61" i="51"/>
  <c r="N61" i="51"/>
  <c r="V61" i="51"/>
  <c r="S61" i="51"/>
  <c r="M61" i="51"/>
  <c r="M104" i="51" s="1"/>
  <c r="M86" i="52" s="1"/>
  <c r="U61" i="51"/>
  <c r="R61" i="51"/>
  <c r="O61" i="51"/>
  <c r="P61" i="51"/>
  <c r="L28" i="51"/>
  <c r="T61" i="51"/>
  <c r="K153" i="63"/>
  <c r="K147" i="63"/>
  <c r="K148" i="63" s="1"/>
  <c r="N93" i="47"/>
  <c r="N69" i="49"/>
  <c r="N12" i="54"/>
  <c r="N11" i="63"/>
  <c r="AK73" i="67"/>
  <c r="AK72" i="67"/>
  <c r="Q115" i="50"/>
  <c r="R71" i="50"/>
  <c r="R67" i="50"/>
  <c r="R66" i="50"/>
  <c r="AG112" i="50"/>
  <c r="AH103" i="50"/>
  <c r="Q108" i="50"/>
  <c r="R104" i="50" s="1"/>
  <c r="Q110" i="50"/>
  <c r="AG72" i="50"/>
  <c r="AH63" i="50"/>
  <c r="Q96" i="50"/>
  <c r="R92" i="50" s="1"/>
  <c r="P77" i="50"/>
  <c r="Q132" i="50"/>
  <c r="R128" i="50" s="1"/>
  <c r="P56" i="50"/>
  <c r="Q52" i="50" s="1"/>
  <c r="L92" i="64" l="1"/>
  <c r="L159" i="64" s="1"/>
  <c r="L81" i="64"/>
  <c r="L148" i="64" s="1"/>
  <c r="L79" i="64"/>
  <c r="L146" i="64" s="1"/>
  <c r="M254" i="52"/>
  <c r="K200" i="63"/>
  <c r="K177" i="64" s="1"/>
  <c r="K119" i="64"/>
  <c r="D31" i="64"/>
  <c r="L181" i="63"/>
  <c r="L91" i="67"/>
  <c r="C109" i="67" s="1"/>
  <c r="N106" i="52"/>
  <c r="N111" i="52"/>
  <c r="N119" i="52"/>
  <c r="N115" i="52"/>
  <c r="N114" i="52"/>
  <c r="N122" i="52"/>
  <c r="N116" i="52"/>
  <c r="N110" i="52"/>
  <c r="N113" i="52"/>
  <c r="N120" i="52"/>
  <c r="N118" i="52"/>
  <c r="N109" i="52"/>
  <c r="N107" i="52"/>
  <c r="N117" i="52"/>
  <c r="N105" i="52"/>
  <c r="N112" i="52"/>
  <c r="N108" i="52"/>
  <c r="N121" i="52"/>
  <c r="M290" i="63"/>
  <c r="L86" i="64"/>
  <c r="L153" i="64" s="1"/>
  <c r="L179" i="63"/>
  <c r="L90" i="67"/>
  <c r="C108" i="67" s="1"/>
  <c r="L83" i="64"/>
  <c r="L150" i="64" s="1"/>
  <c r="L78" i="64"/>
  <c r="L145" i="64" s="1"/>
  <c r="L84" i="64"/>
  <c r="L151" i="64" s="1"/>
  <c r="L180" i="63"/>
  <c r="L80" i="64"/>
  <c r="L147" i="64" s="1"/>
  <c r="L82" i="64"/>
  <c r="L149" i="64" s="1"/>
  <c r="L92" i="67"/>
  <c r="C110" i="67" s="1"/>
  <c r="C102" i="67"/>
  <c r="C103" i="67"/>
  <c r="C106" i="67"/>
  <c r="C112" i="67"/>
  <c r="N83" i="50"/>
  <c r="N25" i="49" s="1"/>
  <c r="N26" i="49" s="1"/>
  <c r="O119" i="50"/>
  <c r="O57" i="49" s="1"/>
  <c r="O58" i="49" s="1"/>
  <c r="K77" i="64"/>
  <c r="K83" i="67"/>
  <c r="C101" i="67" s="1"/>
  <c r="K171" i="63"/>
  <c r="K178" i="63"/>
  <c r="C30" i="64"/>
  <c r="I30" i="64" s="1"/>
  <c r="N30" i="64" s="1"/>
  <c r="J192" i="63"/>
  <c r="J195" i="63" s="1"/>
  <c r="J118" i="64"/>
  <c r="J163" i="64" s="1"/>
  <c r="J193" i="63"/>
  <c r="M17" i="67"/>
  <c r="M134" i="64"/>
  <c r="N167" i="53"/>
  <c r="N215" i="53" s="1"/>
  <c r="N162" i="53"/>
  <c r="N210" i="53" s="1"/>
  <c r="N159" i="53"/>
  <c r="N207" i="53" s="1"/>
  <c r="N160" i="53"/>
  <c r="N208" i="53" s="1"/>
  <c r="N161" i="53"/>
  <c r="N209" i="53" s="1"/>
  <c r="N168" i="53"/>
  <c r="N216" i="53" s="1"/>
  <c r="N170" i="53"/>
  <c r="N218" i="53" s="1"/>
  <c r="N158" i="53"/>
  <c r="N206" i="53" s="1"/>
  <c r="N171" i="53"/>
  <c r="N219" i="53" s="1"/>
  <c r="N169" i="53"/>
  <c r="N217" i="53" s="1"/>
  <c r="N157" i="53"/>
  <c r="N205" i="53" s="1"/>
  <c r="N165" i="53"/>
  <c r="N213" i="53" s="1"/>
  <c r="N156" i="53"/>
  <c r="N204" i="53" s="1"/>
  <c r="N154" i="53"/>
  <c r="N202" i="53" s="1"/>
  <c r="N155" i="53"/>
  <c r="N203" i="53" s="1"/>
  <c r="N163" i="53"/>
  <c r="N211" i="53" s="1"/>
  <c r="N166" i="53"/>
  <c r="N214" i="53" s="1"/>
  <c r="N164" i="53"/>
  <c r="N212" i="53" s="1"/>
  <c r="M103" i="64"/>
  <c r="M27" i="47"/>
  <c r="E33" i="64" s="1"/>
  <c r="L153" i="63"/>
  <c r="L147" i="63"/>
  <c r="N106" i="49"/>
  <c r="N12" i="67"/>
  <c r="N70" i="49"/>
  <c r="N71" i="49" s="1"/>
  <c r="N14" i="53" s="1"/>
  <c r="N12" i="53"/>
  <c r="O94" i="47"/>
  <c r="O13" i="54"/>
  <c r="O104" i="49"/>
  <c r="O12" i="63"/>
  <c r="O13" i="67" s="1"/>
  <c r="N159" i="51"/>
  <c r="N201" i="51" s="1"/>
  <c r="N87" i="53" s="1"/>
  <c r="O159" i="51"/>
  <c r="V159" i="51"/>
  <c r="T159" i="51"/>
  <c r="U159" i="51"/>
  <c r="R159" i="51"/>
  <c r="S159" i="51"/>
  <c r="P159" i="51"/>
  <c r="M125" i="51"/>
  <c r="W159" i="51"/>
  <c r="Q159" i="51"/>
  <c r="M15" i="53"/>
  <c r="N145" i="53"/>
  <c r="N193" i="53" s="1"/>
  <c r="N147" i="53"/>
  <c r="N195" i="53" s="1"/>
  <c r="N134" i="53"/>
  <c r="N182" i="53" s="1"/>
  <c r="N135" i="53"/>
  <c r="N183" i="53" s="1"/>
  <c r="N132" i="53"/>
  <c r="N180" i="53" s="1"/>
  <c r="N133" i="53"/>
  <c r="N181" i="53" s="1"/>
  <c r="N146" i="53"/>
  <c r="N194" i="53" s="1"/>
  <c r="N136" i="53"/>
  <c r="N184" i="53" s="1"/>
  <c r="N143" i="53"/>
  <c r="N191" i="53" s="1"/>
  <c r="N149" i="53"/>
  <c r="N197" i="53" s="1"/>
  <c r="N139" i="53"/>
  <c r="N187" i="53" s="1"/>
  <c r="N233" i="53" s="1"/>
  <c r="N140" i="53"/>
  <c r="N188" i="53" s="1"/>
  <c r="N142" i="53"/>
  <c r="N190" i="53" s="1"/>
  <c r="N148" i="53"/>
  <c r="N196" i="53" s="1"/>
  <c r="N138" i="53"/>
  <c r="N186" i="53" s="1"/>
  <c r="N141" i="53"/>
  <c r="N189" i="53" s="1"/>
  <c r="N137" i="53"/>
  <c r="N185" i="53" s="1"/>
  <c r="N231" i="53" s="1"/>
  <c r="N144" i="53"/>
  <c r="N192" i="53" s="1"/>
  <c r="D121" i="67"/>
  <c r="M104" i="64"/>
  <c r="N163" i="52"/>
  <c r="N211" i="52" s="1"/>
  <c r="N164" i="52"/>
  <c r="N212" i="52" s="1"/>
  <c r="N168" i="52"/>
  <c r="N216" i="52" s="1"/>
  <c r="N169" i="52"/>
  <c r="N217" i="52" s="1"/>
  <c r="N155" i="52"/>
  <c r="N203" i="52" s="1"/>
  <c r="N154" i="52"/>
  <c r="N202" i="52" s="1"/>
  <c r="N156" i="52"/>
  <c r="N204" i="52" s="1"/>
  <c r="N159" i="52"/>
  <c r="N207" i="52" s="1"/>
  <c r="N160" i="52"/>
  <c r="N208" i="52" s="1"/>
  <c r="N165" i="52"/>
  <c r="N213" i="52" s="1"/>
  <c r="N170" i="52"/>
  <c r="N218" i="52" s="1"/>
  <c r="N162" i="52"/>
  <c r="N210" i="52" s="1"/>
  <c r="N167" i="52"/>
  <c r="N215" i="52" s="1"/>
  <c r="N166" i="52"/>
  <c r="N214" i="52" s="1"/>
  <c r="N153" i="52"/>
  <c r="N201" i="52" s="1"/>
  <c r="N157" i="52"/>
  <c r="N205" i="52" s="1"/>
  <c r="N158" i="52"/>
  <c r="N206" i="52" s="1"/>
  <c r="N161" i="52"/>
  <c r="N209" i="52" s="1"/>
  <c r="M40" i="49"/>
  <c r="M19" i="51"/>
  <c r="M20" i="51" s="1"/>
  <c r="M27" i="51" s="1"/>
  <c r="M12" i="52"/>
  <c r="M256" i="52"/>
  <c r="L24" i="63"/>
  <c r="L44" i="63" s="1"/>
  <c r="L24" i="54"/>
  <c r="Q55" i="50"/>
  <c r="Q59" i="50"/>
  <c r="Q54" i="50"/>
  <c r="R130" i="50"/>
  <c r="R135" i="50"/>
  <c r="R131" i="50"/>
  <c r="R106" i="50"/>
  <c r="R111" i="50"/>
  <c r="R113" i="50" s="1"/>
  <c r="R107" i="50"/>
  <c r="R73" i="50"/>
  <c r="R94" i="50"/>
  <c r="R99" i="50"/>
  <c r="R95" i="50"/>
  <c r="AI63" i="50"/>
  <c r="AH72" i="50"/>
  <c r="AI103" i="50"/>
  <c r="AH112" i="50"/>
  <c r="R68" i="50"/>
  <c r="S64" i="50" s="1"/>
  <c r="N228" i="53" l="1"/>
  <c r="L148" i="63"/>
  <c r="L191" i="63"/>
  <c r="L119" i="64" s="1"/>
  <c r="N150" i="53"/>
  <c r="N241" i="53"/>
  <c r="N239" i="53"/>
  <c r="N235" i="53"/>
  <c r="N234" i="53"/>
  <c r="N230" i="53"/>
  <c r="N232" i="53"/>
  <c r="N236" i="53"/>
  <c r="N237" i="53"/>
  <c r="N240" i="53"/>
  <c r="N226" i="53"/>
  <c r="C135" i="67"/>
  <c r="N238" i="53"/>
  <c r="N242" i="53"/>
  <c r="N243" i="53"/>
  <c r="N227" i="53"/>
  <c r="N229" i="53"/>
  <c r="T62" i="51"/>
  <c r="Q62" i="51"/>
  <c r="N62" i="51"/>
  <c r="N104" i="51" s="1"/>
  <c r="N86" i="52" s="1"/>
  <c r="V62" i="51"/>
  <c r="P62" i="51"/>
  <c r="M28" i="51"/>
  <c r="U62" i="51"/>
  <c r="R62" i="51"/>
  <c r="O62" i="51"/>
  <c r="W62" i="51"/>
  <c r="S62" i="51"/>
  <c r="O108" i="53"/>
  <c r="O121" i="53"/>
  <c r="O120" i="53"/>
  <c r="O115" i="53"/>
  <c r="O122" i="53"/>
  <c r="O113" i="53"/>
  <c r="O114" i="53"/>
  <c r="O111" i="53"/>
  <c r="O119" i="53"/>
  <c r="O106" i="53"/>
  <c r="O117" i="53"/>
  <c r="O110" i="53"/>
  <c r="O109" i="53"/>
  <c r="O123" i="53"/>
  <c r="O116" i="53"/>
  <c r="O112" i="53"/>
  <c r="O118" i="53"/>
  <c r="O107" i="53"/>
  <c r="O105" i="49"/>
  <c r="O107" i="49" s="1"/>
  <c r="O159" i="53"/>
  <c r="O207" i="53" s="1"/>
  <c r="O171" i="53"/>
  <c r="O219" i="53" s="1"/>
  <c r="O168" i="53"/>
  <c r="O216" i="53" s="1"/>
  <c r="O166" i="53"/>
  <c r="O214" i="53" s="1"/>
  <c r="O170" i="53"/>
  <c r="O218" i="53" s="1"/>
  <c r="O162" i="53"/>
  <c r="O210" i="53" s="1"/>
  <c r="O161" i="53"/>
  <c r="O209" i="53" s="1"/>
  <c r="O157" i="53"/>
  <c r="O205" i="53" s="1"/>
  <c r="O163" i="53"/>
  <c r="O211" i="53" s="1"/>
  <c r="O169" i="53"/>
  <c r="O217" i="53" s="1"/>
  <c r="O160" i="53"/>
  <c r="O208" i="53" s="1"/>
  <c r="O158" i="53"/>
  <c r="O206" i="53" s="1"/>
  <c r="O164" i="53"/>
  <c r="O212" i="53" s="1"/>
  <c r="O155" i="53"/>
  <c r="O203" i="53" s="1"/>
  <c r="O154" i="53"/>
  <c r="O202" i="53" s="1"/>
  <c r="O156" i="53"/>
  <c r="O204" i="53" s="1"/>
  <c r="O165" i="53"/>
  <c r="O213" i="53" s="1"/>
  <c r="O167" i="53"/>
  <c r="O215" i="53" s="1"/>
  <c r="L83" i="67"/>
  <c r="D101" i="67" s="1"/>
  <c r="L171" i="63"/>
  <c r="L178" i="63"/>
  <c r="L77" i="64"/>
  <c r="K182" i="63"/>
  <c r="K183" i="63" s="1"/>
  <c r="K190" i="63"/>
  <c r="C113" i="67"/>
  <c r="C136" i="67"/>
  <c r="O69" i="49"/>
  <c r="O93" i="47"/>
  <c r="O12" i="54"/>
  <c r="O11" i="63"/>
  <c r="N14" i="54"/>
  <c r="N15" i="54" s="1"/>
  <c r="N16" i="54" s="1"/>
  <c r="N13" i="63"/>
  <c r="N14" i="63" s="1"/>
  <c r="N16" i="63" s="1"/>
  <c r="N92" i="47"/>
  <c r="N37" i="49"/>
  <c r="P139" i="50"/>
  <c r="P91" i="49" s="1"/>
  <c r="P92" i="49" s="1"/>
  <c r="M14" i="52"/>
  <c r="N136" i="52"/>
  <c r="N184" i="52" s="1"/>
  <c r="N240" i="52" s="1"/>
  <c r="M134" i="63" s="1"/>
  <c r="M158" i="63" s="1"/>
  <c r="N142" i="52"/>
  <c r="N190" i="52" s="1"/>
  <c r="N246" i="52" s="1"/>
  <c r="M140" i="63" s="1"/>
  <c r="M164" i="63" s="1"/>
  <c r="M88" i="64" s="1"/>
  <c r="M155" i="64" s="1"/>
  <c r="N148" i="52"/>
  <c r="N196" i="52" s="1"/>
  <c r="N252" i="52" s="1"/>
  <c r="M146" i="63" s="1"/>
  <c r="M170" i="63" s="1"/>
  <c r="M94" i="64" s="1"/>
  <c r="M161" i="64" s="1"/>
  <c r="N140" i="52"/>
  <c r="N188" i="52" s="1"/>
  <c r="N244" i="52" s="1"/>
  <c r="N141" i="52"/>
  <c r="N189" i="52" s="1"/>
  <c r="N245" i="52" s="1"/>
  <c r="N145" i="52"/>
  <c r="N193" i="52" s="1"/>
  <c r="N249" i="52" s="1"/>
  <c r="M143" i="63" s="1"/>
  <c r="M167" i="63" s="1"/>
  <c r="N137" i="52"/>
  <c r="N185" i="52" s="1"/>
  <c r="N241" i="52" s="1"/>
  <c r="M135" i="63" s="1"/>
  <c r="M159" i="63" s="1"/>
  <c r="N132" i="52"/>
  <c r="N180" i="52" s="1"/>
  <c r="N236" i="52" s="1"/>
  <c r="N147" i="52"/>
  <c r="N195" i="52" s="1"/>
  <c r="N251" i="52" s="1"/>
  <c r="N134" i="52"/>
  <c r="N182" i="52" s="1"/>
  <c r="N238" i="52" s="1"/>
  <c r="M132" i="63" s="1"/>
  <c r="M156" i="63" s="1"/>
  <c r="N138" i="52"/>
  <c r="N186" i="52" s="1"/>
  <c r="N242" i="52" s="1"/>
  <c r="M136" i="63" s="1"/>
  <c r="M160" i="63" s="1"/>
  <c r="N131" i="52"/>
  <c r="N179" i="52" s="1"/>
  <c r="N235" i="52" s="1"/>
  <c r="N143" i="52"/>
  <c r="N191" i="52" s="1"/>
  <c r="N247" i="52" s="1"/>
  <c r="N133" i="52"/>
  <c r="N181" i="52" s="1"/>
  <c r="N237" i="52" s="1"/>
  <c r="M131" i="63" s="1"/>
  <c r="M155" i="63" s="1"/>
  <c r="N135" i="52"/>
  <c r="N183" i="52" s="1"/>
  <c r="N239" i="52" s="1"/>
  <c r="M133" i="63" s="1"/>
  <c r="M157" i="63" s="1"/>
  <c r="N144" i="52"/>
  <c r="N192" i="52" s="1"/>
  <c r="N248" i="52" s="1"/>
  <c r="M142" i="63" s="1"/>
  <c r="M166" i="63" s="1"/>
  <c r="M90" i="64" s="1"/>
  <c r="M157" i="64" s="1"/>
  <c r="N146" i="52"/>
  <c r="N194" i="52" s="1"/>
  <c r="N250" i="52" s="1"/>
  <c r="M144" i="63" s="1"/>
  <c r="M168" i="63" s="1"/>
  <c r="N139" i="52"/>
  <c r="N187" i="52" s="1"/>
  <c r="N243" i="52" s="1"/>
  <c r="N13" i="53"/>
  <c r="N72" i="49"/>
  <c r="N116" i="51"/>
  <c r="N117" i="51" s="1"/>
  <c r="N124" i="51" s="1"/>
  <c r="K173" i="63"/>
  <c r="K172" i="63"/>
  <c r="K193" i="63"/>
  <c r="K95" i="64"/>
  <c r="K162" i="64" s="1"/>
  <c r="K144" i="64"/>
  <c r="S71" i="50"/>
  <c r="S67" i="50"/>
  <c r="S66" i="50"/>
  <c r="R132" i="50"/>
  <c r="S128" i="50" s="1"/>
  <c r="AI72" i="50"/>
  <c r="AJ63" i="50"/>
  <c r="R108" i="50"/>
  <c r="S104" i="50" s="1"/>
  <c r="R110" i="50"/>
  <c r="Q56" i="50"/>
  <c r="R52" i="50" s="1"/>
  <c r="R115" i="50"/>
  <c r="Q77" i="50"/>
  <c r="AJ103" i="50"/>
  <c r="AI112" i="50"/>
  <c r="R96" i="50"/>
  <c r="S92" i="50" s="1"/>
  <c r="M130" i="63" l="1"/>
  <c r="M154" i="63" s="1"/>
  <c r="M138" i="63"/>
  <c r="M162" i="63" s="1"/>
  <c r="M86" i="64" s="1"/>
  <c r="M153" i="64" s="1"/>
  <c r="M141" i="63"/>
  <c r="M165" i="63" s="1"/>
  <c r="M89" i="64" s="1"/>
  <c r="M156" i="64" s="1"/>
  <c r="N15" i="67"/>
  <c r="D32" i="64"/>
  <c r="N245" i="53"/>
  <c r="M22" i="63" s="1"/>
  <c r="L200" i="63"/>
  <c r="L177" i="64" s="1"/>
  <c r="M137" i="63"/>
  <c r="M161" i="63" s="1"/>
  <c r="M85" i="64" s="1"/>
  <c r="M152" i="64" s="1"/>
  <c r="M139" i="63"/>
  <c r="M163" i="63" s="1"/>
  <c r="M87" i="64" s="1"/>
  <c r="M154" i="64" s="1"/>
  <c r="M145" i="63"/>
  <c r="M169" i="63" s="1"/>
  <c r="M94" i="67" s="1"/>
  <c r="D112" i="67" s="1"/>
  <c r="O83" i="50"/>
  <c r="O25" i="49" s="1"/>
  <c r="O26" i="49" s="1"/>
  <c r="P119" i="50"/>
  <c r="P57" i="49" s="1"/>
  <c r="P58" i="49" s="1"/>
  <c r="O160" i="51"/>
  <c r="O201" i="51" s="1"/>
  <c r="O87" i="53" s="1"/>
  <c r="W160" i="51"/>
  <c r="N125" i="51"/>
  <c r="Q160" i="51"/>
  <c r="S160" i="51"/>
  <c r="P160" i="51"/>
  <c r="X160" i="51"/>
  <c r="R160" i="51"/>
  <c r="U160" i="51"/>
  <c r="T160" i="51"/>
  <c r="V160" i="51"/>
  <c r="N15" i="53"/>
  <c r="O148" i="53"/>
  <c r="O196" i="53" s="1"/>
  <c r="O242" i="53" s="1"/>
  <c r="O134" i="53"/>
  <c r="O182" i="53" s="1"/>
  <c r="O228" i="53" s="1"/>
  <c r="O144" i="53"/>
  <c r="O192" i="53" s="1"/>
  <c r="O238" i="53" s="1"/>
  <c r="O135" i="53"/>
  <c r="O183" i="53" s="1"/>
  <c r="O229" i="53" s="1"/>
  <c r="O137" i="53"/>
  <c r="O185" i="53" s="1"/>
  <c r="O231" i="53" s="1"/>
  <c r="O141" i="53"/>
  <c r="O189" i="53" s="1"/>
  <c r="O235" i="53" s="1"/>
  <c r="O133" i="53"/>
  <c r="O181" i="53" s="1"/>
  <c r="O227" i="53" s="1"/>
  <c r="O149" i="53"/>
  <c r="O197" i="53" s="1"/>
  <c r="O243" i="53" s="1"/>
  <c r="O132" i="53"/>
  <c r="O180" i="53" s="1"/>
  <c r="O226" i="53" s="1"/>
  <c r="O145" i="53"/>
  <c r="O193" i="53" s="1"/>
  <c r="O239" i="53" s="1"/>
  <c r="O146" i="53"/>
  <c r="O194" i="53" s="1"/>
  <c r="O240" i="53" s="1"/>
  <c r="O140" i="53"/>
  <c r="O188" i="53" s="1"/>
  <c r="O234" i="53" s="1"/>
  <c r="O142" i="53"/>
  <c r="O190" i="53" s="1"/>
  <c r="O236" i="53" s="1"/>
  <c r="O143" i="53"/>
  <c r="O191" i="53" s="1"/>
  <c r="O237" i="53" s="1"/>
  <c r="O139" i="53"/>
  <c r="O187" i="53" s="1"/>
  <c r="O233" i="53" s="1"/>
  <c r="O147" i="53"/>
  <c r="O195" i="53" s="1"/>
  <c r="O241" i="53" s="1"/>
  <c r="O138" i="53"/>
  <c r="O186" i="53" s="1"/>
  <c r="O232" i="53" s="1"/>
  <c r="O136" i="53"/>
  <c r="O184" i="53" s="1"/>
  <c r="O230" i="53" s="1"/>
  <c r="M93" i="67"/>
  <c r="D111" i="67" s="1"/>
  <c r="M92" i="64"/>
  <c r="M159" i="64" s="1"/>
  <c r="M87" i="67"/>
  <c r="D105" i="67" s="1"/>
  <c r="M81" i="64"/>
  <c r="M148" i="64" s="1"/>
  <c r="M84" i="64"/>
  <c r="M151" i="64" s="1"/>
  <c r="M181" i="63"/>
  <c r="M83" i="64"/>
  <c r="M150" i="64" s="1"/>
  <c r="M89" i="67"/>
  <c r="D107" i="67" s="1"/>
  <c r="M88" i="67"/>
  <c r="D106" i="67" s="1"/>
  <c r="M82" i="64"/>
  <c r="M149" i="64" s="1"/>
  <c r="P13" i="54"/>
  <c r="P94" i="47"/>
  <c r="P104" i="49"/>
  <c r="P12" i="63"/>
  <c r="P13" i="67" s="1"/>
  <c r="N38" i="49"/>
  <c r="N39" i="49" s="1"/>
  <c r="N13" i="52" s="1"/>
  <c r="N11" i="52"/>
  <c r="O227" i="52" s="1"/>
  <c r="O228" i="52" s="1"/>
  <c r="N14" i="67"/>
  <c r="N289" i="63"/>
  <c r="N288" i="63"/>
  <c r="O12" i="67"/>
  <c r="K118" i="64"/>
  <c r="K163" i="64" s="1"/>
  <c r="C31" i="64"/>
  <c r="I31" i="64" s="1"/>
  <c r="N31" i="64" s="1"/>
  <c r="K192" i="63"/>
  <c r="K195" i="63" s="1"/>
  <c r="L144" i="64"/>
  <c r="L95" i="64"/>
  <c r="L162" i="64" s="1"/>
  <c r="L173" i="63"/>
  <c r="L172" i="63"/>
  <c r="N17" i="67"/>
  <c r="N134" i="64"/>
  <c r="O106" i="49"/>
  <c r="M85" i="67"/>
  <c r="D103" i="67" s="1"/>
  <c r="M79" i="64"/>
  <c r="M146" i="64" s="1"/>
  <c r="M129" i="63"/>
  <c r="N254" i="52"/>
  <c r="M86" i="67"/>
  <c r="D104" i="67" s="1"/>
  <c r="M179" i="63"/>
  <c r="M80" i="64"/>
  <c r="M147" i="64" s="1"/>
  <c r="M84" i="67"/>
  <c r="D102" i="67" s="1"/>
  <c r="M78" i="64"/>
  <c r="M145" i="64" s="1"/>
  <c r="M92" i="67"/>
  <c r="D110" i="67" s="1"/>
  <c r="M91" i="64"/>
  <c r="M158" i="64" s="1"/>
  <c r="N96" i="47"/>
  <c r="N165" i="47" s="1"/>
  <c r="N166" i="47" s="1"/>
  <c r="N18" i="47" s="1"/>
  <c r="F120" i="67" s="1"/>
  <c r="N181" i="47"/>
  <c r="N182" i="47" s="1"/>
  <c r="N219" i="47" s="1"/>
  <c r="N220" i="47" s="1"/>
  <c r="N19" i="47" s="1"/>
  <c r="F121" i="67" s="1"/>
  <c r="O70" i="49"/>
  <c r="O71" i="49" s="1"/>
  <c r="O14" i="53" s="1"/>
  <c r="O12" i="53"/>
  <c r="L190" i="63"/>
  <c r="L182" i="63"/>
  <c r="L183" i="63" s="1"/>
  <c r="O106" i="52"/>
  <c r="O115" i="52"/>
  <c r="O107" i="52"/>
  <c r="O110" i="52"/>
  <c r="O108" i="52"/>
  <c r="O118" i="52"/>
  <c r="O113" i="52"/>
  <c r="O105" i="52"/>
  <c r="O121" i="52"/>
  <c r="O122" i="52"/>
  <c r="O109" i="52"/>
  <c r="O112" i="52"/>
  <c r="O111" i="52"/>
  <c r="O116" i="52"/>
  <c r="O114" i="52"/>
  <c r="O117" i="52"/>
  <c r="O119" i="52"/>
  <c r="O120" i="52"/>
  <c r="S94" i="50"/>
  <c r="S99" i="50"/>
  <c r="S95" i="50"/>
  <c r="AK103" i="50"/>
  <c r="AJ112" i="50"/>
  <c r="S68" i="50"/>
  <c r="T64" i="50" s="1"/>
  <c r="R59" i="50"/>
  <c r="R55" i="50"/>
  <c r="R54" i="50"/>
  <c r="S131" i="50"/>
  <c r="S135" i="50"/>
  <c r="S130" i="50"/>
  <c r="AK63" i="50"/>
  <c r="AJ72" i="50"/>
  <c r="S107" i="50"/>
  <c r="S106" i="50"/>
  <c r="S111" i="50"/>
  <c r="S113" i="50" s="1"/>
  <c r="S73" i="50"/>
  <c r="M90" i="67" l="1"/>
  <c r="D108" i="67" s="1"/>
  <c r="M91" i="67"/>
  <c r="D109" i="67" s="1"/>
  <c r="M180" i="63"/>
  <c r="D136" i="67"/>
  <c r="M191" i="63"/>
  <c r="D33" i="64" s="1"/>
  <c r="O150" i="53"/>
  <c r="N290" i="63"/>
  <c r="O245" i="53"/>
  <c r="N22" i="54" s="1"/>
  <c r="M22" i="54"/>
  <c r="N247" i="53"/>
  <c r="M93" i="64"/>
  <c r="M160" i="64" s="1"/>
  <c r="Q139" i="50"/>
  <c r="Q91" i="49" s="1"/>
  <c r="Q92" i="49" s="1"/>
  <c r="P169" i="53"/>
  <c r="P217" i="53" s="1"/>
  <c r="P161" i="53"/>
  <c r="P209" i="53" s="1"/>
  <c r="P167" i="53"/>
  <c r="P215" i="53" s="1"/>
  <c r="P168" i="53"/>
  <c r="P216" i="53" s="1"/>
  <c r="P166" i="53"/>
  <c r="P214" i="53" s="1"/>
  <c r="P162" i="53"/>
  <c r="P210" i="53" s="1"/>
  <c r="P164" i="53"/>
  <c r="P212" i="53" s="1"/>
  <c r="P171" i="53"/>
  <c r="P219" i="53" s="1"/>
  <c r="P165" i="53"/>
  <c r="P213" i="53" s="1"/>
  <c r="P158" i="53"/>
  <c r="P206" i="53" s="1"/>
  <c r="P154" i="53"/>
  <c r="P202" i="53" s="1"/>
  <c r="P156" i="53"/>
  <c r="P204" i="53" s="1"/>
  <c r="P170" i="53"/>
  <c r="P218" i="53" s="1"/>
  <c r="P155" i="53"/>
  <c r="P203" i="53" s="1"/>
  <c r="P157" i="53"/>
  <c r="P205" i="53" s="1"/>
  <c r="P163" i="53"/>
  <c r="P211" i="53" s="1"/>
  <c r="P159" i="53"/>
  <c r="P207" i="53" s="1"/>
  <c r="P160" i="53"/>
  <c r="P208" i="53" s="1"/>
  <c r="O13" i="53"/>
  <c r="O116" i="51"/>
  <c r="O117" i="51" s="1"/>
  <c r="O124" i="51" s="1"/>
  <c r="O72" i="49"/>
  <c r="N103" i="64"/>
  <c r="N27" i="47"/>
  <c r="E34" i="64" s="1"/>
  <c r="N256" i="52"/>
  <c r="M24" i="54"/>
  <c r="M24" i="63"/>
  <c r="M44" i="63" s="1"/>
  <c r="O157" i="52"/>
  <c r="O205" i="52" s="1"/>
  <c r="O161" i="52"/>
  <c r="O209" i="52" s="1"/>
  <c r="O156" i="52"/>
  <c r="O204" i="52" s="1"/>
  <c r="O159" i="52"/>
  <c r="O207" i="52" s="1"/>
  <c r="O160" i="52"/>
  <c r="O208" i="52" s="1"/>
  <c r="O170" i="52"/>
  <c r="O218" i="52" s="1"/>
  <c r="O169" i="52"/>
  <c r="O217" i="52" s="1"/>
  <c r="O166" i="52"/>
  <c r="O214" i="52" s="1"/>
  <c r="O168" i="52"/>
  <c r="O216" i="52" s="1"/>
  <c r="O154" i="52"/>
  <c r="O202" i="52" s="1"/>
  <c r="O158" i="52"/>
  <c r="O206" i="52" s="1"/>
  <c r="O153" i="52"/>
  <c r="O201" i="52" s="1"/>
  <c r="O155" i="52"/>
  <c r="O203" i="52" s="1"/>
  <c r="O165" i="52"/>
  <c r="O213" i="52" s="1"/>
  <c r="O162" i="52"/>
  <c r="O210" i="52" s="1"/>
  <c r="O167" i="52"/>
  <c r="O215" i="52" s="1"/>
  <c r="O163" i="52"/>
  <c r="O211" i="52" s="1"/>
  <c r="O164" i="52"/>
  <c r="O212" i="52" s="1"/>
  <c r="N19" i="51"/>
  <c r="N20" i="51" s="1"/>
  <c r="N27" i="51" s="1"/>
  <c r="N40" i="49"/>
  <c r="N12" i="52"/>
  <c r="P105" i="49"/>
  <c r="P107" i="49" s="1"/>
  <c r="P11" i="63"/>
  <c r="P69" i="49"/>
  <c r="P93" i="47"/>
  <c r="P12" i="54"/>
  <c r="O13" i="63"/>
  <c r="O14" i="63" s="1"/>
  <c r="O16" i="63" s="1"/>
  <c r="O37" i="49"/>
  <c r="O92" i="47"/>
  <c r="O14" i="54"/>
  <c r="O15" i="54" s="1"/>
  <c r="O16" i="54" s="1"/>
  <c r="L118" i="64"/>
  <c r="L163" i="64" s="1"/>
  <c r="C32" i="64"/>
  <c r="I32" i="64" s="1"/>
  <c r="N32" i="64" s="1"/>
  <c r="L192" i="63"/>
  <c r="L195" i="63" s="1"/>
  <c r="E121" i="67"/>
  <c r="N104" i="64"/>
  <c r="M153" i="63"/>
  <c r="M147" i="63"/>
  <c r="L193" i="63"/>
  <c r="O15" i="67"/>
  <c r="P121" i="53"/>
  <c r="P109" i="53"/>
  <c r="P111" i="53"/>
  <c r="P118" i="53"/>
  <c r="P107" i="53"/>
  <c r="P115" i="53"/>
  <c r="P108" i="53"/>
  <c r="P123" i="53"/>
  <c r="P122" i="53"/>
  <c r="P112" i="53"/>
  <c r="P114" i="53"/>
  <c r="P116" i="53"/>
  <c r="P119" i="53"/>
  <c r="P110" i="53"/>
  <c r="P120" i="53"/>
  <c r="P113" i="53"/>
  <c r="P106" i="53"/>
  <c r="P117" i="53"/>
  <c r="R56" i="50"/>
  <c r="S52" i="50" s="1"/>
  <c r="AL103" i="50"/>
  <c r="AK112" i="50"/>
  <c r="S110" i="50"/>
  <c r="S108" i="50"/>
  <c r="T104" i="50" s="1"/>
  <c r="T71" i="50"/>
  <c r="T67" i="50"/>
  <c r="T66" i="50"/>
  <c r="S132" i="50"/>
  <c r="T128" i="50" s="1"/>
  <c r="R77" i="50"/>
  <c r="S115" i="50"/>
  <c r="AL63" i="50"/>
  <c r="AK72" i="50"/>
  <c r="S96" i="50"/>
  <c r="T92" i="50" s="1"/>
  <c r="N22" i="63" l="1"/>
  <c r="O247" i="53"/>
  <c r="D113" i="67"/>
  <c r="M119" i="64"/>
  <c r="D135" i="67"/>
  <c r="M200" i="63"/>
  <c r="M177" i="64" s="1"/>
  <c r="M148" i="63"/>
  <c r="Q119" i="50"/>
  <c r="Q57" i="49" s="1"/>
  <c r="Q58" i="49" s="1"/>
  <c r="P83" i="50"/>
  <c r="P25" i="49" s="1"/>
  <c r="P26" i="49" s="1"/>
  <c r="O134" i="64"/>
  <c r="O17" i="67"/>
  <c r="M83" i="67"/>
  <c r="M77" i="64"/>
  <c r="M178" i="63"/>
  <c r="M171" i="63"/>
  <c r="O11" i="52"/>
  <c r="P227" i="52" s="1"/>
  <c r="P228" i="52" s="1"/>
  <c r="O38" i="49"/>
  <c r="P12" i="53"/>
  <c r="P70" i="49"/>
  <c r="P106" i="49"/>
  <c r="O136" i="52"/>
  <c r="O184" i="52" s="1"/>
  <c r="O240" i="52" s="1"/>
  <c r="N134" i="63" s="1"/>
  <c r="N158" i="63" s="1"/>
  <c r="O131" i="52"/>
  <c r="O179" i="52" s="1"/>
  <c r="O235" i="52" s="1"/>
  <c r="O138" i="52"/>
  <c r="O186" i="52" s="1"/>
  <c r="O242" i="52" s="1"/>
  <c r="N136" i="63" s="1"/>
  <c r="N160" i="63" s="1"/>
  <c r="O134" i="52"/>
  <c r="O182" i="52" s="1"/>
  <c r="O238" i="52" s="1"/>
  <c r="N132" i="63" s="1"/>
  <c r="N156" i="63" s="1"/>
  <c r="O137" i="52"/>
  <c r="O185" i="52" s="1"/>
  <c r="O241" i="52" s="1"/>
  <c r="N135" i="63" s="1"/>
  <c r="N159" i="63" s="1"/>
  <c r="O143" i="52"/>
  <c r="O191" i="52" s="1"/>
  <c r="O247" i="52" s="1"/>
  <c r="N141" i="63" s="1"/>
  <c r="O148" i="52"/>
  <c r="O196" i="52" s="1"/>
  <c r="O252" i="52" s="1"/>
  <c r="N146" i="63" s="1"/>
  <c r="O145" i="52"/>
  <c r="O193" i="52" s="1"/>
  <c r="O249" i="52" s="1"/>
  <c r="N143" i="63" s="1"/>
  <c r="O146" i="52"/>
  <c r="O194" i="52" s="1"/>
  <c r="O250" i="52" s="1"/>
  <c r="N144" i="63" s="1"/>
  <c r="N168" i="63" s="1"/>
  <c r="O133" i="52"/>
  <c r="O181" i="52" s="1"/>
  <c r="O237" i="52" s="1"/>
  <c r="N131" i="63" s="1"/>
  <c r="N155" i="63" s="1"/>
  <c r="O135" i="52"/>
  <c r="O183" i="52" s="1"/>
  <c r="O239" i="52" s="1"/>
  <c r="N133" i="63" s="1"/>
  <c r="N157" i="63" s="1"/>
  <c r="O132" i="52"/>
  <c r="O180" i="52" s="1"/>
  <c r="O236" i="52" s="1"/>
  <c r="N130" i="63" s="1"/>
  <c r="N154" i="63" s="1"/>
  <c r="O139" i="52"/>
  <c r="O187" i="52" s="1"/>
  <c r="O243" i="52" s="1"/>
  <c r="N137" i="63" s="1"/>
  <c r="N161" i="63" s="1"/>
  <c r="N85" i="64" s="1"/>
  <c r="N152" i="64" s="1"/>
  <c r="O140" i="52"/>
  <c r="O188" i="52" s="1"/>
  <c r="O244" i="52" s="1"/>
  <c r="N138" i="63" s="1"/>
  <c r="O142" i="52"/>
  <c r="O190" i="52" s="1"/>
  <c r="O246" i="52" s="1"/>
  <c r="N140" i="63" s="1"/>
  <c r="O141" i="52"/>
  <c r="O189" i="52" s="1"/>
  <c r="O245" i="52" s="1"/>
  <c r="N139" i="63" s="1"/>
  <c r="O147" i="52"/>
  <c r="O195" i="52" s="1"/>
  <c r="O251" i="52" s="1"/>
  <c r="N145" i="63" s="1"/>
  <c r="N169" i="63" s="1"/>
  <c r="O144" i="52"/>
  <c r="O192" i="52" s="1"/>
  <c r="O248" i="52" s="1"/>
  <c r="N142" i="63" s="1"/>
  <c r="N14" i="52"/>
  <c r="U63" i="51"/>
  <c r="X63" i="51"/>
  <c r="S63" i="51"/>
  <c r="O63" i="51"/>
  <c r="O104" i="51" s="1"/>
  <c r="O86" i="52" s="1"/>
  <c r="P63" i="51"/>
  <c r="T63" i="51"/>
  <c r="V63" i="51"/>
  <c r="N28" i="51"/>
  <c r="Q63" i="51"/>
  <c r="W63" i="51"/>
  <c r="R63" i="51"/>
  <c r="S161" i="51"/>
  <c r="P161" i="51"/>
  <c r="P201" i="51" s="1"/>
  <c r="P87" i="53" s="1"/>
  <c r="X161" i="51"/>
  <c r="Q161" i="51"/>
  <c r="Y161" i="51"/>
  <c r="V161" i="51"/>
  <c r="W161" i="51"/>
  <c r="T161" i="51"/>
  <c r="O125" i="51"/>
  <c r="U161" i="51"/>
  <c r="R161" i="51"/>
  <c r="Q12" i="63"/>
  <c r="Q13" i="67" s="1"/>
  <c r="Q104" i="49"/>
  <c r="Q13" i="54"/>
  <c r="Q94" i="47"/>
  <c r="O181" i="47"/>
  <c r="O182" i="47" s="1"/>
  <c r="O219" i="47" s="1"/>
  <c r="O220" i="47" s="1"/>
  <c r="O19" i="47" s="1"/>
  <c r="O104" i="64" s="1"/>
  <c r="O96" i="47"/>
  <c r="O165" i="47" s="1"/>
  <c r="O166" i="47" s="1"/>
  <c r="O18" i="47" s="1"/>
  <c r="O14" i="67"/>
  <c r="O288" i="63"/>
  <c r="O289" i="63"/>
  <c r="P12" i="67"/>
  <c r="O15" i="53"/>
  <c r="P143" i="53"/>
  <c r="P191" i="53" s="1"/>
  <c r="P237" i="53" s="1"/>
  <c r="P136" i="53"/>
  <c r="P184" i="53" s="1"/>
  <c r="P230" i="53" s="1"/>
  <c r="P146" i="53"/>
  <c r="P194" i="53" s="1"/>
  <c r="P240" i="53" s="1"/>
  <c r="P140" i="53"/>
  <c r="P188" i="53" s="1"/>
  <c r="P234" i="53" s="1"/>
  <c r="P149" i="53"/>
  <c r="P197" i="53" s="1"/>
  <c r="P243" i="53" s="1"/>
  <c r="P144" i="53"/>
  <c r="P192" i="53" s="1"/>
  <c r="P238" i="53" s="1"/>
  <c r="P138" i="53"/>
  <c r="P186" i="53" s="1"/>
  <c r="P232" i="53" s="1"/>
  <c r="P134" i="53"/>
  <c r="P182" i="53" s="1"/>
  <c r="P228" i="53" s="1"/>
  <c r="P137" i="53"/>
  <c r="P185" i="53" s="1"/>
  <c r="P231" i="53" s="1"/>
  <c r="P139" i="53"/>
  <c r="P187" i="53" s="1"/>
  <c r="P233" i="53" s="1"/>
  <c r="P142" i="53"/>
  <c r="P190" i="53" s="1"/>
  <c r="P236" i="53" s="1"/>
  <c r="P132" i="53"/>
  <c r="P180" i="53" s="1"/>
  <c r="P226" i="53" s="1"/>
  <c r="P145" i="53"/>
  <c r="P193" i="53" s="1"/>
  <c r="P239" i="53" s="1"/>
  <c r="P141" i="53"/>
  <c r="P189" i="53" s="1"/>
  <c r="P235" i="53" s="1"/>
  <c r="P135" i="53"/>
  <c r="P183" i="53" s="1"/>
  <c r="P229" i="53" s="1"/>
  <c r="P148" i="53"/>
  <c r="P196" i="53" s="1"/>
  <c r="P242" i="53" s="1"/>
  <c r="P133" i="53"/>
  <c r="P181" i="53" s="1"/>
  <c r="P227" i="53" s="1"/>
  <c r="P147" i="53"/>
  <c r="P195" i="53" s="1"/>
  <c r="P241" i="53" s="1"/>
  <c r="T131" i="50"/>
  <c r="T130" i="50"/>
  <c r="T135" i="50"/>
  <c r="T107" i="50"/>
  <c r="T111" i="50"/>
  <c r="T113" i="50" s="1"/>
  <c r="T106" i="50"/>
  <c r="S54" i="50"/>
  <c r="S59" i="50"/>
  <c r="S55" i="50"/>
  <c r="T94" i="50"/>
  <c r="T95" i="50"/>
  <c r="T99" i="50"/>
  <c r="AM63" i="50"/>
  <c r="AL72" i="50"/>
  <c r="T68" i="50"/>
  <c r="U64" i="50" s="1"/>
  <c r="T73" i="50"/>
  <c r="AL112" i="50"/>
  <c r="AM103" i="50"/>
  <c r="P245" i="53" l="1"/>
  <c r="O290" i="63"/>
  <c r="N164" i="63"/>
  <c r="N88" i="64" s="1"/>
  <c r="N155" i="64" s="1"/>
  <c r="AV140" i="63"/>
  <c r="N87" i="67"/>
  <c r="E105" i="67" s="1"/>
  <c r="N81" i="64"/>
  <c r="N148" i="64" s="1"/>
  <c r="N93" i="67"/>
  <c r="N92" i="64"/>
  <c r="N159" i="64" s="1"/>
  <c r="N170" i="63"/>
  <c r="N94" i="64" s="1"/>
  <c r="N161" i="64" s="1"/>
  <c r="AV144" i="63"/>
  <c r="BB144" i="63" s="1"/>
  <c r="N83" i="64"/>
  <c r="N150" i="64" s="1"/>
  <c r="N89" i="67"/>
  <c r="N84" i="64"/>
  <c r="N151" i="64" s="1"/>
  <c r="N90" i="67"/>
  <c r="E108" i="67" s="1"/>
  <c r="N181" i="63"/>
  <c r="N88" i="67"/>
  <c r="N82" i="64"/>
  <c r="N149" i="64" s="1"/>
  <c r="P71" i="49"/>
  <c r="P14" i="53" s="1"/>
  <c r="P72" i="49"/>
  <c r="P116" i="51"/>
  <c r="P117" i="51" s="1"/>
  <c r="P124" i="51" s="1"/>
  <c r="P13" i="53"/>
  <c r="O39" i="49"/>
  <c r="O13" i="52" s="1"/>
  <c r="O12" i="52"/>
  <c r="O40" i="49"/>
  <c r="O19" i="51"/>
  <c r="O20" i="51" s="1"/>
  <c r="O27" i="51" s="1"/>
  <c r="M172" i="63"/>
  <c r="M173" i="63"/>
  <c r="M144" i="64"/>
  <c r="M95" i="64"/>
  <c r="M162" i="64" s="1"/>
  <c r="P14" i="54"/>
  <c r="P15" i="54" s="1"/>
  <c r="P16" i="54" s="1"/>
  <c r="P37" i="49"/>
  <c r="P13" i="63"/>
  <c r="P14" i="63" s="1"/>
  <c r="P15" i="67" s="1"/>
  <c r="P92" i="47"/>
  <c r="Q12" i="54"/>
  <c r="Q69" i="49"/>
  <c r="Q11" i="63"/>
  <c r="Q93" i="47"/>
  <c r="R139" i="50"/>
  <c r="R91" i="49" s="1"/>
  <c r="R92" i="49" s="1"/>
  <c r="O22" i="54"/>
  <c r="O22" i="63"/>
  <c r="P247" i="53"/>
  <c r="O27" i="47"/>
  <c r="E35" i="64" s="1"/>
  <c r="O103" i="64"/>
  <c r="Q105" i="49"/>
  <c r="Q107" i="49" s="1"/>
  <c r="P114" i="52"/>
  <c r="P115" i="52"/>
  <c r="P118" i="52"/>
  <c r="P106" i="52"/>
  <c r="P105" i="52"/>
  <c r="P109" i="52"/>
  <c r="P108" i="52"/>
  <c r="P110" i="52"/>
  <c r="P116" i="52"/>
  <c r="P122" i="52"/>
  <c r="P112" i="52"/>
  <c r="P120" i="52"/>
  <c r="P119" i="52"/>
  <c r="P107" i="52"/>
  <c r="P113" i="52"/>
  <c r="P111" i="52"/>
  <c r="P117" i="52"/>
  <c r="P121" i="52"/>
  <c r="N94" i="67"/>
  <c r="N93" i="64"/>
  <c r="N160" i="64" s="1"/>
  <c r="P150" i="53"/>
  <c r="Q111" i="53"/>
  <c r="Q121" i="53"/>
  <c r="Q116" i="53"/>
  <c r="Q114" i="53"/>
  <c r="Q113" i="53"/>
  <c r="Q122" i="53"/>
  <c r="Q115" i="53"/>
  <c r="Q106" i="53"/>
  <c r="Q109" i="53"/>
  <c r="Q123" i="53"/>
  <c r="Q110" i="53"/>
  <c r="Q120" i="53"/>
  <c r="Q119" i="53"/>
  <c r="Q117" i="53"/>
  <c r="Q118" i="53"/>
  <c r="Q112" i="53"/>
  <c r="Q107" i="53"/>
  <c r="Q108" i="53"/>
  <c r="N166" i="63"/>
  <c r="N90" i="64" s="1"/>
  <c r="N157" i="64" s="1"/>
  <c r="AV142" i="63"/>
  <c r="BB140" i="63" s="1"/>
  <c r="N163" i="63"/>
  <c r="N87" i="64" s="1"/>
  <c r="N154" i="64" s="1"/>
  <c r="AV139" i="63"/>
  <c r="BB141" i="63" s="1"/>
  <c r="AV138" i="63"/>
  <c r="N162" i="63"/>
  <c r="N84" i="67"/>
  <c r="E102" i="67" s="1"/>
  <c r="N78" i="64"/>
  <c r="N145" i="64" s="1"/>
  <c r="N79" i="64"/>
  <c r="N146" i="64" s="1"/>
  <c r="N85" i="67"/>
  <c r="E103" i="67" s="1"/>
  <c r="N167" i="63"/>
  <c r="AV143" i="63"/>
  <c r="BB143" i="63" s="1"/>
  <c r="N165" i="63"/>
  <c r="N89" i="64" s="1"/>
  <c r="N156" i="64" s="1"/>
  <c r="AV141" i="63"/>
  <c r="N86" i="67"/>
  <c r="N80" i="64"/>
  <c r="N147" i="64" s="1"/>
  <c r="N179" i="63"/>
  <c r="N129" i="63"/>
  <c r="O254" i="52"/>
  <c r="M190" i="63"/>
  <c r="M182" i="63"/>
  <c r="M183" i="63" s="1"/>
  <c r="T115" i="50"/>
  <c r="U67" i="50"/>
  <c r="U66" i="50"/>
  <c r="U71" i="50"/>
  <c r="T132" i="50"/>
  <c r="U128" i="50" s="1"/>
  <c r="T96" i="50"/>
  <c r="U92" i="50" s="1"/>
  <c r="S77" i="50"/>
  <c r="AN103" i="50"/>
  <c r="AM112" i="50"/>
  <c r="T108" i="50"/>
  <c r="U104" i="50" s="1"/>
  <c r="T110" i="50"/>
  <c r="AM72" i="50"/>
  <c r="AN63" i="50"/>
  <c r="S56" i="50"/>
  <c r="T52" i="50" s="1"/>
  <c r="P16" i="63" l="1"/>
  <c r="N180" i="63"/>
  <c r="N191" i="63" s="1"/>
  <c r="BB139" i="63"/>
  <c r="P146" i="52"/>
  <c r="P194" i="52" s="1"/>
  <c r="P148" i="52"/>
  <c r="P196" i="52" s="1"/>
  <c r="P136" i="52"/>
  <c r="P184" i="52" s="1"/>
  <c r="P135" i="52"/>
  <c r="P183" i="52" s="1"/>
  <c r="E112" i="67"/>
  <c r="F112" i="67"/>
  <c r="E106" i="67"/>
  <c r="F106" i="67"/>
  <c r="E107" i="67"/>
  <c r="F107" i="67"/>
  <c r="E104" i="67"/>
  <c r="F104" i="67"/>
  <c r="E111" i="67"/>
  <c r="F111" i="67"/>
  <c r="Q106" i="49"/>
  <c r="Q83" i="50"/>
  <c r="Q25" i="49" s="1"/>
  <c r="Q26" i="49" s="1"/>
  <c r="R119" i="50"/>
  <c r="R57" i="49" s="1"/>
  <c r="R58" i="49" s="1"/>
  <c r="N24" i="54"/>
  <c r="O256" i="52"/>
  <c r="N24" i="63"/>
  <c r="N44" i="63" s="1"/>
  <c r="N92" i="67"/>
  <c r="E110" i="67" s="1"/>
  <c r="N91" i="64"/>
  <c r="N158" i="64" s="1"/>
  <c r="BB142" i="63"/>
  <c r="AV145" i="63"/>
  <c r="Q12" i="67"/>
  <c r="P288" i="63"/>
  <c r="P14" i="67"/>
  <c r="P289" i="63"/>
  <c r="O28" i="51"/>
  <c r="X64" i="51"/>
  <c r="R64" i="51"/>
  <c r="V64" i="51"/>
  <c r="Y64" i="51"/>
  <c r="U64" i="51"/>
  <c r="P64" i="51"/>
  <c r="P104" i="51" s="1"/>
  <c r="P86" i="52" s="1"/>
  <c r="Q64" i="51"/>
  <c r="T64" i="51"/>
  <c r="S64" i="51"/>
  <c r="W64" i="51"/>
  <c r="O14" i="52"/>
  <c r="P142" i="52"/>
  <c r="P190" i="52" s="1"/>
  <c r="P140" i="52"/>
  <c r="P188" i="52" s="1"/>
  <c r="P147" i="52"/>
  <c r="P195" i="52" s="1"/>
  <c r="P141" i="52"/>
  <c r="P189" i="52" s="1"/>
  <c r="P145" i="52"/>
  <c r="P193" i="52" s="1"/>
  <c r="P138" i="52"/>
  <c r="P186" i="52" s="1"/>
  <c r="P134" i="52"/>
  <c r="P182" i="52" s="1"/>
  <c r="P144" i="52"/>
  <c r="P192" i="52" s="1"/>
  <c r="P137" i="52"/>
  <c r="P185" i="52" s="1"/>
  <c r="P132" i="52"/>
  <c r="P180" i="52" s="1"/>
  <c r="P143" i="52"/>
  <c r="P191" i="52" s="1"/>
  <c r="P133" i="52"/>
  <c r="P181" i="52" s="1"/>
  <c r="P131" i="52"/>
  <c r="P179" i="52" s="1"/>
  <c r="P139" i="52"/>
  <c r="P187" i="52" s="1"/>
  <c r="P15" i="53"/>
  <c r="Q136" i="53"/>
  <c r="Q184" i="53" s="1"/>
  <c r="Q149" i="53"/>
  <c r="Q197" i="53" s="1"/>
  <c r="Q147" i="53"/>
  <c r="Q195" i="53" s="1"/>
  <c r="Q146" i="53"/>
  <c r="Q194" i="53" s="1"/>
  <c r="Q139" i="53"/>
  <c r="Q187" i="53" s="1"/>
  <c r="Q137" i="53"/>
  <c r="Q185" i="53" s="1"/>
  <c r="Q145" i="53"/>
  <c r="Q193" i="53" s="1"/>
  <c r="Q141" i="53"/>
  <c r="Q189" i="53" s="1"/>
  <c r="Q132" i="53"/>
  <c r="Q180" i="53" s="1"/>
  <c r="Q135" i="53"/>
  <c r="Q183" i="53" s="1"/>
  <c r="Q138" i="53"/>
  <c r="Q186" i="53" s="1"/>
  <c r="Q133" i="53"/>
  <c r="Q181" i="53" s="1"/>
  <c r="Q142" i="53"/>
  <c r="Q190" i="53" s="1"/>
  <c r="Q140" i="53"/>
  <c r="Q188" i="53" s="1"/>
  <c r="Q148" i="53"/>
  <c r="Q196" i="53" s="1"/>
  <c r="Q134" i="53"/>
  <c r="Q182" i="53" s="1"/>
  <c r="Q144" i="53"/>
  <c r="Q192" i="53" s="1"/>
  <c r="Q143" i="53"/>
  <c r="Q191" i="53" s="1"/>
  <c r="M118" i="64"/>
  <c r="M163" i="64" s="1"/>
  <c r="C33" i="64"/>
  <c r="I33" i="64" s="1"/>
  <c r="N33" i="64" s="1"/>
  <c r="M192" i="63"/>
  <c r="M195" i="63" s="1"/>
  <c r="N153" i="63"/>
  <c r="N147" i="63"/>
  <c r="N148" i="63" s="1"/>
  <c r="N86" i="64"/>
  <c r="N153" i="64" s="1"/>
  <c r="N91" i="67"/>
  <c r="E109" i="67" s="1"/>
  <c r="BC151" i="63"/>
  <c r="BC153" i="63" s="1"/>
  <c r="P17" i="67"/>
  <c r="P134" i="64"/>
  <c r="R13" i="54"/>
  <c r="R94" i="47"/>
  <c r="R12" i="63"/>
  <c r="R13" i="67" s="1"/>
  <c r="R104" i="49"/>
  <c r="Q12" i="53"/>
  <c r="Q70" i="49"/>
  <c r="P96" i="47"/>
  <c r="P165" i="47" s="1"/>
  <c r="P166" i="47" s="1"/>
  <c r="P18" i="47" s="1"/>
  <c r="H120" i="67" s="1"/>
  <c r="P181" i="47"/>
  <c r="P182" i="47" s="1"/>
  <c r="P219" i="47" s="1"/>
  <c r="P220" i="47" s="1"/>
  <c r="P19" i="47" s="1"/>
  <c r="P38" i="49"/>
  <c r="P39" i="49" s="1"/>
  <c r="P13" i="52" s="1"/>
  <c r="P11" i="52"/>
  <c r="Q227" i="52" s="1"/>
  <c r="Q228" i="52" s="1"/>
  <c r="M193" i="63"/>
  <c r="P155" i="52"/>
  <c r="P203" i="52" s="1"/>
  <c r="P154" i="52"/>
  <c r="P202" i="52" s="1"/>
  <c r="P170" i="52"/>
  <c r="P218" i="52" s="1"/>
  <c r="P168" i="52"/>
  <c r="P216" i="52" s="1"/>
  <c r="P250" i="52" s="1"/>
  <c r="O144" i="63" s="1"/>
  <c r="O168" i="63" s="1"/>
  <c r="P153" i="52"/>
  <c r="P201" i="52" s="1"/>
  <c r="P157" i="52"/>
  <c r="P205" i="52" s="1"/>
  <c r="P239" i="52" s="1"/>
  <c r="O133" i="63" s="1"/>
  <c r="O157" i="63" s="1"/>
  <c r="P161" i="52"/>
  <c r="P209" i="52" s="1"/>
  <c r="P160" i="52"/>
  <c r="P208" i="52" s="1"/>
  <c r="P165" i="52"/>
  <c r="P213" i="52" s="1"/>
  <c r="P162" i="52"/>
  <c r="P210" i="52" s="1"/>
  <c r="P167" i="52"/>
  <c r="P215" i="52" s="1"/>
  <c r="P163" i="52"/>
  <c r="P211" i="52" s="1"/>
  <c r="P164" i="52"/>
  <c r="P212" i="52" s="1"/>
  <c r="P156" i="52"/>
  <c r="P204" i="52" s="1"/>
  <c r="P159" i="52"/>
  <c r="P207" i="52" s="1"/>
  <c r="P158" i="52"/>
  <c r="P206" i="52" s="1"/>
  <c r="P169" i="52"/>
  <c r="P217" i="52" s="1"/>
  <c r="P166" i="52"/>
  <c r="P214" i="52" s="1"/>
  <c r="Q162" i="51"/>
  <c r="Q201" i="51" s="1"/>
  <c r="Q87" i="53" s="1"/>
  <c r="X162" i="51"/>
  <c r="Y162" i="51"/>
  <c r="R162" i="51"/>
  <c r="Z162" i="51"/>
  <c r="P125" i="51"/>
  <c r="W162" i="51"/>
  <c r="S162" i="51"/>
  <c r="T162" i="51"/>
  <c r="U162" i="51"/>
  <c r="V162" i="51"/>
  <c r="Q169" i="53"/>
  <c r="Q217" i="53" s="1"/>
  <c r="Q155" i="53"/>
  <c r="Q203" i="53" s="1"/>
  <c r="Q157" i="53"/>
  <c r="Q205" i="53" s="1"/>
  <c r="Q171" i="53"/>
  <c r="Q219" i="53" s="1"/>
  <c r="Q165" i="53"/>
  <c r="Q213" i="53" s="1"/>
  <c r="Q166" i="53"/>
  <c r="Q214" i="53" s="1"/>
  <c r="Q154" i="53"/>
  <c r="Q202" i="53" s="1"/>
  <c r="Q167" i="53"/>
  <c r="Q215" i="53" s="1"/>
  <c r="Q160" i="53"/>
  <c r="Q208" i="53" s="1"/>
  <c r="Q156" i="53"/>
  <c r="Q204" i="53" s="1"/>
  <c r="Q161" i="53"/>
  <c r="Q209" i="53" s="1"/>
  <c r="Q164" i="53"/>
  <c r="Q212" i="53" s="1"/>
  <c r="Q170" i="53"/>
  <c r="Q218" i="53" s="1"/>
  <c r="Q162" i="53"/>
  <c r="Q210" i="53" s="1"/>
  <c r="Q168" i="53"/>
  <c r="Q216" i="53" s="1"/>
  <c r="Q163" i="53"/>
  <c r="Q211" i="53" s="1"/>
  <c r="Q159" i="53"/>
  <c r="Q207" i="53" s="1"/>
  <c r="Q158" i="53"/>
  <c r="Q206" i="53" s="1"/>
  <c r="T59" i="50"/>
  <c r="T54" i="50"/>
  <c r="T55" i="50"/>
  <c r="U111" i="50"/>
  <c r="U113" i="50" s="1"/>
  <c r="U107" i="50"/>
  <c r="U106" i="50"/>
  <c r="U95" i="50"/>
  <c r="U99" i="50"/>
  <c r="U94" i="50"/>
  <c r="U130" i="50"/>
  <c r="U131" i="50"/>
  <c r="U135" i="50"/>
  <c r="AO63" i="50"/>
  <c r="AN72" i="50"/>
  <c r="U73" i="50"/>
  <c r="AO103" i="50"/>
  <c r="AN112" i="50"/>
  <c r="U68" i="50"/>
  <c r="V64" i="50" s="1"/>
  <c r="E135" i="67" l="1"/>
  <c r="P240" i="52"/>
  <c r="O134" i="63" s="1"/>
  <c r="O158" i="63" s="1"/>
  <c r="O88" i="67" s="1"/>
  <c r="Q150" i="53"/>
  <c r="P290" i="63"/>
  <c r="P252" i="52"/>
  <c r="O146" i="63" s="1"/>
  <c r="O170" i="63" s="1"/>
  <c r="O94" i="64" s="1"/>
  <c r="O161" i="64" s="1"/>
  <c r="O81" i="64"/>
  <c r="O148" i="64" s="1"/>
  <c r="O87" i="67"/>
  <c r="F105" i="67" s="1"/>
  <c r="O93" i="67"/>
  <c r="O92" i="64"/>
  <c r="O159" i="64" s="1"/>
  <c r="Q153" i="52"/>
  <c r="Q201" i="52" s="1"/>
  <c r="Q161" i="52"/>
  <c r="Q209" i="52" s="1"/>
  <c r="Q155" i="52"/>
  <c r="Q203" i="52" s="1"/>
  <c r="Q160" i="52"/>
  <c r="Q208" i="52" s="1"/>
  <c r="Q165" i="52"/>
  <c r="Q213" i="52" s="1"/>
  <c r="Q170" i="52"/>
  <c r="Q218" i="52" s="1"/>
  <c r="Q167" i="52"/>
  <c r="Q215" i="52" s="1"/>
  <c r="Q163" i="52"/>
  <c r="Q211" i="52" s="1"/>
  <c r="Q164" i="52"/>
  <c r="Q212" i="52" s="1"/>
  <c r="Q157" i="52"/>
  <c r="Q205" i="52" s="1"/>
  <c r="Q159" i="52"/>
  <c r="Q207" i="52" s="1"/>
  <c r="Q154" i="52"/>
  <c r="Q202" i="52" s="1"/>
  <c r="Q158" i="52"/>
  <c r="Q206" i="52" s="1"/>
  <c r="Q156" i="52"/>
  <c r="Q204" i="52" s="1"/>
  <c r="Q162" i="52"/>
  <c r="Q210" i="52" s="1"/>
  <c r="Q169" i="52"/>
  <c r="Q217" i="52" s="1"/>
  <c r="Q166" i="52"/>
  <c r="Q214" i="52" s="1"/>
  <c r="Q168" i="52"/>
  <c r="Q216" i="52" s="1"/>
  <c r="P12" i="52"/>
  <c r="P19" i="51"/>
  <c r="P20" i="51" s="1"/>
  <c r="P27" i="51" s="1"/>
  <c r="P40" i="49"/>
  <c r="G120" i="67"/>
  <c r="P103" i="64"/>
  <c r="P27" i="47"/>
  <c r="E36" i="64" s="1"/>
  <c r="Q238" i="53"/>
  <c r="Q242" i="53"/>
  <c r="Q236" i="53"/>
  <c r="Q232" i="53"/>
  <c r="Q226" i="53"/>
  <c r="Q239" i="53"/>
  <c r="Q233" i="53"/>
  <c r="Q241" i="53"/>
  <c r="Q230" i="53"/>
  <c r="P243" i="52"/>
  <c r="O137" i="63" s="1"/>
  <c r="O161" i="63" s="1"/>
  <c r="O85" i="64" s="1"/>
  <c r="O152" i="64" s="1"/>
  <c r="P237" i="52"/>
  <c r="O131" i="63" s="1"/>
  <c r="O155" i="63" s="1"/>
  <c r="P236" i="52"/>
  <c r="O130" i="63" s="1"/>
  <c r="O154" i="63" s="1"/>
  <c r="P248" i="52"/>
  <c r="O142" i="63" s="1"/>
  <c r="O166" i="63" s="1"/>
  <c r="O90" i="64" s="1"/>
  <c r="O157" i="64" s="1"/>
  <c r="P242" i="52"/>
  <c r="O136" i="63" s="1"/>
  <c r="O160" i="63" s="1"/>
  <c r="P245" i="52"/>
  <c r="O139" i="63" s="1"/>
  <c r="O163" i="63" s="1"/>
  <c r="O87" i="64" s="1"/>
  <c r="O154" i="64" s="1"/>
  <c r="P244" i="52"/>
  <c r="O138" i="63" s="1"/>
  <c r="O162" i="63" s="1"/>
  <c r="R12" i="54"/>
  <c r="R11" i="63"/>
  <c r="R93" i="47"/>
  <c r="R69" i="49"/>
  <c r="Q92" i="47"/>
  <c r="Q37" i="49"/>
  <c r="Q14" i="54"/>
  <c r="Q15" i="54" s="1"/>
  <c r="Q16" i="54" s="1"/>
  <c r="Q13" i="63"/>
  <c r="Q14" i="63" s="1"/>
  <c r="Q15" i="67" s="1"/>
  <c r="S139" i="50"/>
  <c r="S91" i="49" s="1"/>
  <c r="S92" i="49" s="1"/>
  <c r="R123" i="53"/>
  <c r="R116" i="53"/>
  <c r="R115" i="53"/>
  <c r="R107" i="53"/>
  <c r="R117" i="53"/>
  <c r="R106" i="53"/>
  <c r="R120" i="53"/>
  <c r="R114" i="53"/>
  <c r="R108" i="53"/>
  <c r="R121" i="53"/>
  <c r="R118" i="53"/>
  <c r="R110" i="53"/>
  <c r="R112" i="53"/>
  <c r="R122" i="53"/>
  <c r="R119" i="53"/>
  <c r="R113" i="53"/>
  <c r="R109" i="53"/>
  <c r="R111" i="53"/>
  <c r="G121" i="67"/>
  <c r="P104" i="64"/>
  <c r="Q71" i="49"/>
  <c r="Q14" i="53" s="1"/>
  <c r="Q72" i="49"/>
  <c r="Q13" i="53"/>
  <c r="Q116" i="51"/>
  <c r="Q117" i="51" s="1"/>
  <c r="Q124" i="51" s="1"/>
  <c r="R105" i="49"/>
  <c r="R107" i="49" s="1"/>
  <c r="N178" i="63"/>
  <c r="N83" i="67"/>
  <c r="N77" i="64"/>
  <c r="N171" i="63"/>
  <c r="N119" i="64"/>
  <c r="N200" i="63"/>
  <c r="N177" i="64" s="1"/>
  <c r="N205" i="63"/>
  <c r="D34" i="64"/>
  <c r="Q237" i="53"/>
  <c r="Q228" i="53"/>
  <c r="Q234" i="53"/>
  <c r="Q227" i="53"/>
  <c r="Q229" i="53"/>
  <c r="Q235" i="53"/>
  <c r="Q231" i="53"/>
  <c r="Q240" i="53"/>
  <c r="Q243" i="53"/>
  <c r="P235" i="52"/>
  <c r="P247" i="52"/>
  <c r="O141" i="63" s="1"/>
  <c r="O165" i="63" s="1"/>
  <c r="O89" i="64" s="1"/>
  <c r="O156" i="64" s="1"/>
  <c r="P241" i="52"/>
  <c r="O135" i="63" s="1"/>
  <c r="O159" i="63" s="1"/>
  <c r="P238" i="52"/>
  <c r="O132" i="63" s="1"/>
  <c r="O156" i="63" s="1"/>
  <c r="P249" i="52"/>
  <c r="O143" i="63" s="1"/>
  <c r="O167" i="63" s="1"/>
  <c r="P251" i="52"/>
  <c r="O145" i="63" s="1"/>
  <c r="O169" i="63" s="1"/>
  <c r="P246" i="52"/>
  <c r="O140" i="63" s="1"/>
  <c r="O164" i="63" s="1"/>
  <c r="O88" i="64" s="1"/>
  <c r="O155" i="64" s="1"/>
  <c r="Q115" i="52"/>
  <c r="Q114" i="52"/>
  <c r="Q122" i="52"/>
  <c r="Q110" i="52"/>
  <c r="Q119" i="52"/>
  <c r="Q145" i="52" s="1"/>
  <c r="Q193" i="52" s="1"/>
  <c r="Q249" i="52" s="1"/>
  <c r="Q120" i="52"/>
  <c r="Q109" i="52"/>
  <c r="Q105" i="52"/>
  <c r="Q113" i="52"/>
  <c r="Q139" i="52" s="1"/>
  <c r="Q187" i="52" s="1"/>
  <c r="Q243" i="52" s="1"/>
  <c r="Q108" i="52"/>
  <c r="Q107" i="52"/>
  <c r="Q106" i="52"/>
  <c r="Q117" i="52"/>
  <c r="Q143" i="52" s="1"/>
  <c r="Q191" i="52" s="1"/>
  <c r="Q118" i="52"/>
  <c r="Q121" i="52"/>
  <c r="Q111" i="52"/>
  <c r="Q116" i="52"/>
  <c r="Q142" i="52" s="1"/>
  <c r="Q190" i="52" s="1"/>
  <c r="Q112" i="52"/>
  <c r="BB138" i="63"/>
  <c r="BB148" i="63"/>
  <c r="BC148" i="63" s="1"/>
  <c r="U96" i="50"/>
  <c r="V92" i="50" s="1"/>
  <c r="U132" i="50"/>
  <c r="V128" i="50" s="1"/>
  <c r="U115" i="50"/>
  <c r="U110" i="50"/>
  <c r="U108" i="50"/>
  <c r="V104" i="50" s="1"/>
  <c r="T56" i="50"/>
  <c r="V71" i="50"/>
  <c r="V67" i="50"/>
  <c r="V66" i="50"/>
  <c r="AP103" i="50"/>
  <c r="AO112" i="50"/>
  <c r="AP63" i="50"/>
  <c r="AO72" i="50"/>
  <c r="T77" i="50"/>
  <c r="O82" i="64" l="1"/>
  <c r="O149" i="64" s="1"/>
  <c r="Q16" i="63"/>
  <c r="Q134" i="64" s="1"/>
  <c r="P143" i="63"/>
  <c r="P167" i="63" s="1"/>
  <c r="P137" i="63"/>
  <c r="P161" i="63" s="1"/>
  <c r="P85" i="64" s="1"/>
  <c r="P152" i="64" s="1"/>
  <c r="Q246" i="52"/>
  <c r="P140" i="63" s="1"/>
  <c r="P164" i="63" s="1"/>
  <c r="P88" i="64" s="1"/>
  <c r="P155" i="64" s="1"/>
  <c r="Q247" i="52"/>
  <c r="P141" i="63" s="1"/>
  <c r="P165" i="63" s="1"/>
  <c r="P89" i="64" s="1"/>
  <c r="P156" i="64" s="1"/>
  <c r="O180" i="63"/>
  <c r="O187" i="63" s="1"/>
  <c r="Q245" i="53"/>
  <c r="Q147" i="52"/>
  <c r="Q195" i="52" s="1"/>
  <c r="Q251" i="52" s="1"/>
  <c r="P145" i="63" s="1"/>
  <c r="P169" i="63" s="1"/>
  <c r="Q133" i="52"/>
  <c r="Q181" i="52" s="1"/>
  <c r="Q237" i="52" s="1"/>
  <c r="P131" i="63" s="1"/>
  <c r="P155" i="63" s="1"/>
  <c r="P85" i="67" s="1"/>
  <c r="Q135" i="52"/>
  <c r="Q183" i="52" s="1"/>
  <c r="Q239" i="52" s="1"/>
  <c r="P133" i="63" s="1"/>
  <c r="P157" i="63" s="1"/>
  <c r="P87" i="67" s="1"/>
  <c r="G105" i="67" s="1"/>
  <c r="Q148" i="52"/>
  <c r="Q196" i="52" s="1"/>
  <c r="Q252" i="52" s="1"/>
  <c r="P146" i="63" s="1"/>
  <c r="P170" i="63" s="1"/>
  <c r="P94" i="64" s="1"/>
  <c r="P161" i="64" s="1"/>
  <c r="Q138" i="52"/>
  <c r="Q186" i="52" s="1"/>
  <c r="Q242" i="52" s="1"/>
  <c r="P136" i="63" s="1"/>
  <c r="P160" i="63" s="1"/>
  <c r="Q137" i="52"/>
  <c r="Q185" i="52" s="1"/>
  <c r="Q241" i="52" s="1"/>
  <c r="P135" i="63" s="1"/>
  <c r="P159" i="63" s="1"/>
  <c r="P89" i="67" s="1"/>
  <c r="Q144" i="52"/>
  <c r="Q192" i="52" s="1"/>
  <c r="Q248" i="52" s="1"/>
  <c r="P142" i="63" s="1"/>
  <c r="P166" i="63" s="1"/>
  <c r="P90" i="64" s="1"/>
  <c r="P157" i="64" s="1"/>
  <c r="Q132" i="52"/>
  <c r="Q180" i="52" s="1"/>
  <c r="Q236" i="52" s="1"/>
  <c r="P130" i="63" s="1"/>
  <c r="P154" i="63" s="1"/>
  <c r="P84" i="67" s="1"/>
  <c r="Q134" i="52"/>
  <c r="Q182" i="52" s="1"/>
  <c r="Q238" i="52" s="1"/>
  <c r="P132" i="63" s="1"/>
  <c r="P156" i="63" s="1"/>
  <c r="Q131" i="52"/>
  <c r="Q179" i="52" s="1"/>
  <c r="Q235" i="52" s="1"/>
  <c r="P129" i="63" s="1"/>
  <c r="Q146" i="52"/>
  <c r="Q194" i="52" s="1"/>
  <c r="Q250" i="52" s="1"/>
  <c r="P144" i="63" s="1"/>
  <c r="P168" i="63" s="1"/>
  <c r="P92" i="64" s="1"/>
  <c r="P159" i="64" s="1"/>
  <c r="Q136" i="52"/>
  <c r="Q184" i="52" s="1"/>
  <c r="Q240" i="52" s="1"/>
  <c r="P134" i="63" s="1"/>
  <c r="P158" i="63" s="1"/>
  <c r="Q140" i="52"/>
  <c r="Q188" i="52" s="1"/>
  <c r="Q244" i="52" s="1"/>
  <c r="P138" i="63" s="1"/>
  <c r="P162" i="63" s="1"/>
  <c r="E101" i="67"/>
  <c r="E136" i="67" s="1"/>
  <c r="F101" i="67"/>
  <c r="R106" i="49"/>
  <c r="R83" i="50"/>
  <c r="R25" i="49" s="1"/>
  <c r="R26" i="49" s="1"/>
  <c r="P94" i="67"/>
  <c r="P93" i="64"/>
  <c r="P160" i="64" s="1"/>
  <c r="P92" i="67"/>
  <c r="P91" i="64"/>
  <c r="P158" i="64" s="1"/>
  <c r="O94" i="67"/>
  <c r="O93" i="64"/>
  <c r="O160" i="64" s="1"/>
  <c r="O86" i="67"/>
  <c r="O179" i="63"/>
  <c r="O80" i="64"/>
  <c r="O147" i="64" s="1"/>
  <c r="N144" i="64"/>
  <c r="N95" i="64"/>
  <c r="N162" i="64" s="1"/>
  <c r="N190" i="63"/>
  <c r="N193" i="63" s="1"/>
  <c r="N182" i="63"/>
  <c r="N183" i="63" s="1"/>
  <c r="Q15" i="53"/>
  <c r="R145" i="53"/>
  <c r="R193" i="53" s="1"/>
  <c r="R144" i="53"/>
  <c r="R192" i="53" s="1"/>
  <c r="R147" i="53"/>
  <c r="R195" i="53" s="1"/>
  <c r="R137" i="53"/>
  <c r="R185" i="53" s="1"/>
  <c r="R148" i="53"/>
  <c r="R196" i="53" s="1"/>
  <c r="R140" i="53"/>
  <c r="R188" i="53" s="1"/>
  <c r="R141" i="53"/>
  <c r="R189" i="53" s="1"/>
  <c r="R136" i="53"/>
  <c r="R184" i="53" s="1"/>
  <c r="R138" i="53"/>
  <c r="R186" i="53" s="1"/>
  <c r="R146" i="53"/>
  <c r="R194" i="53" s="1"/>
  <c r="R132" i="53"/>
  <c r="R180" i="53" s="1"/>
  <c r="R133" i="53"/>
  <c r="R181" i="53" s="1"/>
  <c r="R142" i="53"/>
  <c r="R190" i="53" s="1"/>
  <c r="R149" i="53"/>
  <c r="R197" i="53" s="1"/>
  <c r="R135" i="53"/>
  <c r="R183" i="53" s="1"/>
  <c r="R134" i="53"/>
  <c r="R182" i="53" s="1"/>
  <c r="R139" i="53"/>
  <c r="R187" i="53" s="1"/>
  <c r="R143" i="53"/>
  <c r="R191" i="53" s="1"/>
  <c r="R170" i="53"/>
  <c r="R218" i="53" s="1"/>
  <c r="R171" i="53"/>
  <c r="R219" i="53" s="1"/>
  <c r="R169" i="53"/>
  <c r="R217" i="53" s="1"/>
  <c r="R166" i="53"/>
  <c r="R214" i="53" s="1"/>
  <c r="R168" i="53"/>
  <c r="R216" i="53" s="1"/>
  <c r="R161" i="53"/>
  <c r="R209" i="53" s="1"/>
  <c r="R157" i="53"/>
  <c r="R205" i="53" s="1"/>
  <c r="R160" i="53"/>
  <c r="R208" i="53" s="1"/>
  <c r="R159" i="53"/>
  <c r="R207" i="53" s="1"/>
  <c r="R162" i="53"/>
  <c r="R210" i="53" s="1"/>
  <c r="R155" i="53"/>
  <c r="R203" i="53" s="1"/>
  <c r="R165" i="53"/>
  <c r="R213" i="53" s="1"/>
  <c r="R156" i="53"/>
  <c r="R204" i="53" s="1"/>
  <c r="R167" i="53"/>
  <c r="R215" i="53" s="1"/>
  <c r="R163" i="53"/>
  <c r="R211" i="53" s="1"/>
  <c r="R164" i="53"/>
  <c r="R212" i="53" s="1"/>
  <c r="R154" i="53"/>
  <c r="R202" i="53" s="1"/>
  <c r="R158" i="53"/>
  <c r="R206" i="53" s="1"/>
  <c r="Q181" i="47"/>
  <c r="Q182" i="47" s="1"/>
  <c r="Q219" i="47" s="1"/>
  <c r="Q220" i="47" s="1"/>
  <c r="Q19" i="47" s="1"/>
  <c r="Q96" i="47"/>
  <c r="Q165" i="47" s="1"/>
  <c r="Q166" i="47" s="1"/>
  <c r="Q18" i="47" s="1"/>
  <c r="I120" i="67" s="1"/>
  <c r="O85" i="67"/>
  <c r="F103" i="67" s="1"/>
  <c r="O79" i="64"/>
  <c r="O146" i="64" s="1"/>
  <c r="P22" i="54"/>
  <c r="Q247" i="53"/>
  <c r="P22" i="63"/>
  <c r="Q141" i="52"/>
  <c r="Q189" i="52" s="1"/>
  <c r="Q245" i="52" s="1"/>
  <c r="P139" i="63" s="1"/>
  <c r="P163" i="63" s="1"/>
  <c r="P87" i="64" s="1"/>
  <c r="P154" i="64" s="1"/>
  <c r="P14" i="52"/>
  <c r="S119" i="50"/>
  <c r="S57" i="49" s="1"/>
  <c r="S58" i="49" s="1"/>
  <c r="Q17" i="67"/>
  <c r="P90" i="67"/>
  <c r="P181" i="63"/>
  <c r="P188" i="63" s="1"/>
  <c r="P84" i="64"/>
  <c r="P151" i="64" s="1"/>
  <c r="P86" i="64"/>
  <c r="P153" i="64" s="1"/>
  <c r="O92" i="67"/>
  <c r="F110" i="67" s="1"/>
  <c r="O91" i="64"/>
  <c r="O158" i="64" s="1"/>
  <c r="O89" i="67"/>
  <c r="O83" i="64"/>
  <c r="O150" i="64" s="1"/>
  <c r="O129" i="63"/>
  <c r="P254" i="52"/>
  <c r="N172" i="63"/>
  <c r="N173" i="63"/>
  <c r="U163" i="51"/>
  <c r="V163" i="51"/>
  <c r="W163" i="51"/>
  <c r="S163" i="51"/>
  <c r="X163" i="51"/>
  <c r="Z163" i="51"/>
  <c r="AA163" i="51"/>
  <c r="R163" i="51"/>
  <c r="R201" i="51" s="1"/>
  <c r="R87" i="53" s="1"/>
  <c r="T163" i="51"/>
  <c r="Y163" i="51"/>
  <c r="Q125" i="51"/>
  <c r="S94" i="47"/>
  <c r="S13" i="54"/>
  <c r="S12" i="63"/>
  <c r="S13" i="67" s="1"/>
  <c r="S104" i="49"/>
  <c r="Q14" i="67"/>
  <c r="Q289" i="63"/>
  <c r="Q288" i="63"/>
  <c r="Q38" i="49"/>
  <c r="Q39" i="49" s="1"/>
  <c r="Q13" i="52" s="1"/>
  <c r="Q11" i="52"/>
  <c r="R227" i="52" s="1"/>
  <c r="R228" i="52" s="1"/>
  <c r="R70" i="49"/>
  <c r="R12" i="53"/>
  <c r="R12" i="67"/>
  <c r="O86" i="64"/>
  <c r="O153" i="64" s="1"/>
  <c r="O91" i="67"/>
  <c r="F109" i="67" s="1"/>
  <c r="O84" i="64"/>
  <c r="O151" i="64" s="1"/>
  <c r="O90" i="67"/>
  <c r="F108" i="67" s="1"/>
  <c r="O181" i="63"/>
  <c r="O188" i="63" s="1"/>
  <c r="O84" i="67"/>
  <c r="F102" i="67" s="1"/>
  <c r="O78" i="64"/>
  <c r="O145" i="64" s="1"/>
  <c r="S65" i="51"/>
  <c r="T65" i="51"/>
  <c r="Q65" i="51"/>
  <c r="Q104" i="51" s="1"/>
  <c r="Q86" i="52" s="1"/>
  <c r="Y65" i="51"/>
  <c r="Z65" i="51"/>
  <c r="W65" i="51"/>
  <c r="X65" i="51"/>
  <c r="U65" i="51"/>
  <c r="P28" i="51"/>
  <c r="V65" i="51"/>
  <c r="R65" i="51"/>
  <c r="U52" i="50"/>
  <c r="U55" i="50" s="1"/>
  <c r="V95" i="50"/>
  <c r="V94" i="50"/>
  <c r="V99" i="50"/>
  <c r="V106" i="50"/>
  <c r="V111" i="50"/>
  <c r="V113" i="50" s="1"/>
  <c r="V107" i="50"/>
  <c r="V135" i="50"/>
  <c r="V131" i="50"/>
  <c r="V130" i="50"/>
  <c r="AP112" i="50"/>
  <c r="AQ103" i="50"/>
  <c r="V73" i="50"/>
  <c r="AQ63" i="50"/>
  <c r="AP72" i="50"/>
  <c r="V68" i="50"/>
  <c r="W64" i="50" s="1"/>
  <c r="P83" i="64" l="1"/>
  <c r="P150" i="64" s="1"/>
  <c r="P79" i="64"/>
  <c r="P146" i="64" s="1"/>
  <c r="P81" i="64"/>
  <c r="P148" i="64" s="1"/>
  <c r="R150" i="53"/>
  <c r="F135" i="67"/>
  <c r="P93" i="67"/>
  <c r="G111" i="67" s="1"/>
  <c r="Q290" i="63"/>
  <c r="Q254" i="52"/>
  <c r="P91" i="67"/>
  <c r="G109" i="67" s="1"/>
  <c r="P78" i="64"/>
  <c r="P145" i="64" s="1"/>
  <c r="P80" i="64"/>
  <c r="P147" i="64" s="1"/>
  <c r="P179" i="63"/>
  <c r="P186" i="63" s="1"/>
  <c r="P86" i="67"/>
  <c r="G104" i="67" s="1"/>
  <c r="E113" i="67"/>
  <c r="P88" i="67"/>
  <c r="G106" i="67" s="1"/>
  <c r="P82" i="64"/>
  <c r="P149" i="64" s="1"/>
  <c r="P180" i="63"/>
  <c r="P187" i="63" s="1"/>
  <c r="G102" i="67"/>
  <c r="G107" i="67"/>
  <c r="G108" i="67"/>
  <c r="F113" i="67"/>
  <c r="F136" i="67"/>
  <c r="G110" i="67"/>
  <c r="G103" i="67"/>
  <c r="G112" i="67"/>
  <c r="R71" i="49"/>
  <c r="R14" i="53" s="1"/>
  <c r="R72" i="49"/>
  <c r="R116" i="51"/>
  <c r="R117" i="51" s="1"/>
  <c r="R124" i="51" s="1"/>
  <c r="R13" i="53"/>
  <c r="S112" i="53"/>
  <c r="S118" i="53"/>
  <c r="S107" i="53"/>
  <c r="S109" i="53"/>
  <c r="S135" i="53" s="1"/>
  <c r="S183" i="53" s="1"/>
  <c r="S110" i="53"/>
  <c r="S119" i="53"/>
  <c r="S115" i="53"/>
  <c r="S117" i="53"/>
  <c r="S143" i="53" s="1"/>
  <c r="S191" i="53" s="1"/>
  <c r="S123" i="53"/>
  <c r="S113" i="53"/>
  <c r="S108" i="53"/>
  <c r="S106" i="53"/>
  <c r="S132" i="53" s="1"/>
  <c r="S180" i="53" s="1"/>
  <c r="S116" i="53"/>
  <c r="S121" i="53"/>
  <c r="S111" i="53"/>
  <c r="S114" i="53"/>
  <c r="S140" i="53" s="1"/>
  <c r="S188" i="53" s="1"/>
  <c r="S120" i="53"/>
  <c r="S122" i="53"/>
  <c r="O153" i="63"/>
  <c r="O147" i="63"/>
  <c r="Q256" i="52"/>
  <c r="P24" i="54"/>
  <c r="P24" i="63"/>
  <c r="P44" i="63" s="1"/>
  <c r="S12" i="54"/>
  <c r="S69" i="49"/>
  <c r="S93" i="47"/>
  <c r="S11" i="63"/>
  <c r="H121" i="67"/>
  <c r="Q104" i="64"/>
  <c r="R237" i="53"/>
  <c r="R228" i="53"/>
  <c r="R243" i="53"/>
  <c r="R227" i="53"/>
  <c r="R240" i="53"/>
  <c r="R230" i="53"/>
  <c r="R234" i="53"/>
  <c r="R231" i="53"/>
  <c r="R238" i="53"/>
  <c r="N118" i="64"/>
  <c r="N163" i="64" s="1"/>
  <c r="C34" i="64"/>
  <c r="I34" i="64" s="1"/>
  <c r="N34" i="64" s="1"/>
  <c r="N192" i="63"/>
  <c r="N195" i="63" s="1"/>
  <c r="O186" i="63"/>
  <c r="O191" i="63"/>
  <c r="R37" i="49"/>
  <c r="R13" i="63"/>
  <c r="R14" i="63" s="1"/>
  <c r="R16" i="63" s="1"/>
  <c r="R14" i="54"/>
  <c r="R15" i="54" s="1"/>
  <c r="R16" i="54" s="1"/>
  <c r="R92" i="47"/>
  <c r="R28" i="49"/>
  <c r="T139" i="50"/>
  <c r="T91" i="49" s="1"/>
  <c r="T92" i="49" s="1"/>
  <c r="R110" i="52"/>
  <c r="R120" i="52"/>
  <c r="R113" i="52"/>
  <c r="R114" i="52"/>
  <c r="R118" i="52"/>
  <c r="R117" i="52"/>
  <c r="R116" i="52"/>
  <c r="R105" i="52"/>
  <c r="R115" i="52"/>
  <c r="R109" i="52"/>
  <c r="R107" i="52"/>
  <c r="R108" i="52"/>
  <c r="R112" i="52"/>
  <c r="R122" i="52"/>
  <c r="R121" i="52"/>
  <c r="R119" i="52"/>
  <c r="R106" i="52"/>
  <c r="R111" i="52"/>
  <c r="R15" i="67"/>
  <c r="R155" i="52"/>
  <c r="R203" i="52" s="1"/>
  <c r="R158" i="52"/>
  <c r="R206" i="52" s="1"/>
  <c r="R156" i="52"/>
  <c r="R204" i="52" s="1"/>
  <c r="R161" i="52"/>
  <c r="R209" i="52" s="1"/>
  <c r="R165" i="52"/>
  <c r="R213" i="52" s="1"/>
  <c r="R170" i="52"/>
  <c r="R218" i="52" s="1"/>
  <c r="R167" i="52"/>
  <c r="R215" i="52" s="1"/>
  <c r="R168" i="52"/>
  <c r="R216" i="52" s="1"/>
  <c r="R163" i="52"/>
  <c r="R211" i="52" s="1"/>
  <c r="R154" i="52"/>
  <c r="R202" i="52" s="1"/>
  <c r="R160" i="52"/>
  <c r="R208" i="52" s="1"/>
  <c r="R159" i="52"/>
  <c r="R207" i="52" s="1"/>
  <c r="R153" i="52"/>
  <c r="R201" i="52" s="1"/>
  <c r="R157" i="52"/>
  <c r="R205" i="52" s="1"/>
  <c r="R162" i="52"/>
  <c r="R210" i="52" s="1"/>
  <c r="R169" i="52"/>
  <c r="R217" i="52" s="1"/>
  <c r="R166" i="52"/>
  <c r="R214" i="52" s="1"/>
  <c r="R164" i="52"/>
  <c r="R212" i="52" s="1"/>
  <c r="Q19" i="51"/>
  <c r="Q20" i="51" s="1"/>
  <c r="Q27" i="51" s="1"/>
  <c r="Q40" i="49"/>
  <c r="Q12" i="52"/>
  <c r="S105" i="49"/>
  <c r="S107" i="49" s="1"/>
  <c r="O24" i="63"/>
  <c r="O44" i="63" s="1"/>
  <c r="O24" i="54"/>
  <c r="P256" i="52"/>
  <c r="P153" i="63"/>
  <c r="P147" i="63"/>
  <c r="P148" i="63" s="1"/>
  <c r="Q27" i="47"/>
  <c r="Q103" i="64"/>
  <c r="R233" i="53"/>
  <c r="R229" i="53"/>
  <c r="R236" i="53"/>
  <c r="R226" i="53"/>
  <c r="R232" i="53"/>
  <c r="R235" i="53"/>
  <c r="R242" i="53"/>
  <c r="R241" i="53"/>
  <c r="R239" i="53"/>
  <c r="U59" i="50"/>
  <c r="U77" i="50" s="1"/>
  <c r="U54" i="50"/>
  <c r="U56" i="50" s="1"/>
  <c r="V52" i="50" s="1"/>
  <c r="W67" i="50"/>
  <c r="W66" i="50"/>
  <c r="W71" i="50"/>
  <c r="V108" i="50"/>
  <c r="W104" i="50" s="1"/>
  <c r="V110" i="50"/>
  <c r="AR103" i="50"/>
  <c r="AQ112" i="50"/>
  <c r="V115" i="50"/>
  <c r="AR63" i="50"/>
  <c r="AQ72" i="50"/>
  <c r="V96" i="50"/>
  <c r="W92" i="50" s="1"/>
  <c r="V132" i="50"/>
  <c r="W128" i="50" s="1"/>
  <c r="P191" i="63" l="1"/>
  <c r="G135" i="67"/>
  <c r="O148" i="63"/>
  <c r="R245" i="53"/>
  <c r="Q22" i="63" s="1"/>
  <c r="S137" i="53"/>
  <c r="S185" i="53" s="1"/>
  <c r="S134" i="53"/>
  <c r="S182" i="53" s="1"/>
  <c r="S141" i="53"/>
  <c r="S189" i="53" s="1"/>
  <c r="S133" i="53"/>
  <c r="S181" i="53" s="1"/>
  <c r="S148" i="53"/>
  <c r="S196" i="53" s="1"/>
  <c r="S147" i="53"/>
  <c r="S195" i="53" s="1"/>
  <c r="S139" i="53"/>
  <c r="S187" i="53" s="1"/>
  <c r="S145" i="53"/>
  <c r="S193" i="53" s="1"/>
  <c r="S144" i="53"/>
  <c r="S192" i="53" s="1"/>
  <c r="S146" i="53"/>
  <c r="S194" i="53" s="1"/>
  <c r="S142" i="53"/>
  <c r="S190" i="53" s="1"/>
  <c r="S149" i="53"/>
  <c r="S197" i="53" s="1"/>
  <c r="S136" i="53"/>
  <c r="S184" i="53" s="1"/>
  <c r="T94" i="47"/>
  <c r="T104" i="49"/>
  <c r="T12" i="63"/>
  <c r="T13" i="67" s="1"/>
  <c r="T13" i="54"/>
  <c r="R11" i="52"/>
  <c r="R38" i="49"/>
  <c r="R39" i="49" s="1"/>
  <c r="R13" i="52" s="1"/>
  <c r="S138" i="53"/>
  <c r="S186" i="53" s="1"/>
  <c r="R15" i="53"/>
  <c r="T119" i="50"/>
  <c r="T57" i="49" s="1"/>
  <c r="T58" i="49" s="1"/>
  <c r="S83" i="50"/>
  <c r="S25" i="49" s="1"/>
  <c r="S26" i="49" s="1"/>
  <c r="E37" i="64"/>
  <c r="Q30" i="47"/>
  <c r="Q29" i="47"/>
  <c r="P83" i="67"/>
  <c r="P77" i="64"/>
  <c r="P171" i="63"/>
  <c r="P178" i="63"/>
  <c r="S106" i="49"/>
  <c r="R135" i="52"/>
  <c r="R183" i="52" s="1"/>
  <c r="R239" i="52" s="1"/>
  <c r="Q133" i="63" s="1"/>
  <c r="Q157" i="63" s="1"/>
  <c r="R139" i="52"/>
  <c r="R187" i="52" s="1"/>
  <c r="R243" i="52" s="1"/>
  <c r="Q137" i="63" s="1"/>
  <c r="Q161" i="63" s="1"/>
  <c r="Q85" i="64" s="1"/>
  <c r="Q152" i="64" s="1"/>
  <c r="R137" i="52"/>
  <c r="R185" i="52" s="1"/>
  <c r="R241" i="52" s="1"/>
  <c r="Q135" i="63" s="1"/>
  <c r="Q159" i="63" s="1"/>
  <c r="R131" i="52"/>
  <c r="R179" i="52" s="1"/>
  <c r="R235" i="52" s="1"/>
  <c r="R140" i="52"/>
  <c r="R188" i="52" s="1"/>
  <c r="R244" i="52" s="1"/>
  <c r="Q138" i="63" s="1"/>
  <c r="Q162" i="63" s="1"/>
  <c r="R143" i="52"/>
  <c r="R191" i="52" s="1"/>
  <c r="R247" i="52" s="1"/>
  <c r="Q141" i="63" s="1"/>
  <c r="Q165" i="63" s="1"/>
  <c r="Q89" i="64" s="1"/>
  <c r="Q156" i="64" s="1"/>
  <c r="R141" i="52"/>
  <c r="R189" i="52" s="1"/>
  <c r="R245" i="52" s="1"/>
  <c r="Q139" i="63" s="1"/>
  <c r="Q163" i="63" s="1"/>
  <c r="Q87" i="64" s="1"/>
  <c r="Q154" i="64" s="1"/>
  <c r="R147" i="52"/>
  <c r="R195" i="52" s="1"/>
  <c r="R251" i="52" s="1"/>
  <c r="Q145" i="63" s="1"/>
  <c r="Q169" i="63" s="1"/>
  <c r="R144" i="52"/>
  <c r="R192" i="52" s="1"/>
  <c r="R248" i="52" s="1"/>
  <c r="Q142" i="63" s="1"/>
  <c r="Q166" i="63" s="1"/>
  <c r="Q90" i="64" s="1"/>
  <c r="Q157" i="64" s="1"/>
  <c r="Q14" i="52"/>
  <c r="R134" i="52"/>
  <c r="R182" i="52" s="1"/>
  <c r="R238" i="52" s="1"/>
  <c r="Q132" i="63" s="1"/>
  <c r="Q156" i="63" s="1"/>
  <c r="R136" i="52"/>
  <c r="R184" i="52" s="1"/>
  <c r="R240" i="52" s="1"/>
  <c r="Q134" i="63" s="1"/>
  <c r="Q158" i="63" s="1"/>
  <c r="R138" i="52"/>
  <c r="R186" i="52" s="1"/>
  <c r="R242" i="52" s="1"/>
  <c r="Q136" i="63" s="1"/>
  <c r="Q160" i="63" s="1"/>
  <c r="R133" i="52"/>
  <c r="R181" i="52" s="1"/>
  <c r="R237" i="52" s="1"/>
  <c r="Q131" i="63" s="1"/>
  <c r="Q155" i="63" s="1"/>
  <c r="R132" i="52"/>
  <c r="R180" i="52" s="1"/>
  <c r="R236" i="52" s="1"/>
  <c r="Q130" i="63" s="1"/>
  <c r="Q154" i="63" s="1"/>
  <c r="R142" i="52"/>
  <c r="R190" i="52" s="1"/>
  <c r="R246" i="52" s="1"/>
  <c r="Q140" i="63" s="1"/>
  <c r="Q164" i="63" s="1"/>
  <c r="Q88" i="64" s="1"/>
  <c r="Q155" i="64" s="1"/>
  <c r="R148" i="52"/>
  <c r="R196" i="52" s="1"/>
  <c r="R252" i="52" s="1"/>
  <c r="Q146" i="63" s="1"/>
  <c r="Q170" i="63" s="1"/>
  <c r="Q94" i="64" s="1"/>
  <c r="Q161" i="64" s="1"/>
  <c r="R145" i="52"/>
  <c r="R193" i="52" s="1"/>
  <c r="R249" i="52" s="1"/>
  <c r="Q143" i="63" s="1"/>
  <c r="Q167" i="63" s="1"/>
  <c r="R146" i="52"/>
  <c r="R194" i="52" s="1"/>
  <c r="R250" i="52" s="1"/>
  <c r="Q144" i="63" s="1"/>
  <c r="Q168" i="63" s="1"/>
  <c r="AA66" i="51"/>
  <c r="Q28" i="51"/>
  <c r="R66" i="51"/>
  <c r="R104" i="51" s="1"/>
  <c r="R86" i="52" s="1"/>
  <c r="X66" i="51"/>
  <c r="W66" i="51"/>
  <c r="Z66" i="51"/>
  <c r="Y66" i="51"/>
  <c r="T66" i="51"/>
  <c r="S66" i="51"/>
  <c r="V66" i="51"/>
  <c r="U66" i="51"/>
  <c r="R17" i="67"/>
  <c r="R134" i="64"/>
  <c r="R96" i="47"/>
  <c r="R165" i="47" s="1"/>
  <c r="R166" i="47" s="1"/>
  <c r="R18" i="47" s="1"/>
  <c r="J120" i="67" s="1"/>
  <c r="R181" i="47"/>
  <c r="R182" i="47" s="1"/>
  <c r="R219" i="47" s="1"/>
  <c r="R220" i="47" s="1"/>
  <c r="R19" i="47" s="1"/>
  <c r="R14" i="67"/>
  <c r="R289" i="63"/>
  <c r="R288" i="63"/>
  <c r="R290" i="63" s="1"/>
  <c r="O119" i="64"/>
  <c r="D35" i="64"/>
  <c r="O200" i="63"/>
  <c r="O177" i="64" s="1"/>
  <c r="Q111" i="64"/>
  <c r="S12" i="67"/>
  <c r="S12" i="53"/>
  <c r="S70" i="49"/>
  <c r="S71" i="49" s="1"/>
  <c r="S14" i="53" s="1"/>
  <c r="P119" i="64"/>
  <c r="D36" i="64"/>
  <c r="P200" i="63"/>
  <c r="P177" i="64" s="1"/>
  <c r="O83" i="67"/>
  <c r="O77" i="64"/>
  <c r="O171" i="63"/>
  <c r="O178" i="63"/>
  <c r="V164" i="51"/>
  <c r="S164" i="51"/>
  <c r="S201" i="51" s="1"/>
  <c r="S87" i="53" s="1"/>
  <c r="AA164" i="51"/>
  <c r="T164" i="51"/>
  <c r="Y164" i="51"/>
  <c r="Z164" i="51"/>
  <c r="W164" i="51"/>
  <c r="R125" i="51"/>
  <c r="X164" i="51"/>
  <c r="U164" i="51"/>
  <c r="AB164" i="51"/>
  <c r="S155" i="53"/>
  <c r="S203" i="53" s="1"/>
  <c r="S162" i="53"/>
  <c r="S210" i="53" s="1"/>
  <c r="S234" i="53" s="1"/>
  <c r="S165" i="53"/>
  <c r="S213" i="53" s="1"/>
  <c r="S237" i="53" s="1"/>
  <c r="S161" i="53"/>
  <c r="S209" i="53" s="1"/>
  <c r="S233" i="53" s="1"/>
  <c r="S169" i="53"/>
  <c r="S217" i="53" s="1"/>
  <c r="S156" i="53"/>
  <c r="S204" i="53" s="1"/>
  <c r="S158" i="53"/>
  <c r="S206" i="53" s="1"/>
  <c r="S167" i="53"/>
  <c r="S215" i="53" s="1"/>
  <c r="S157" i="53"/>
  <c r="S205" i="53" s="1"/>
  <c r="S229" i="53" s="1"/>
  <c r="S160" i="53"/>
  <c r="S208" i="53" s="1"/>
  <c r="S159" i="53"/>
  <c r="S207" i="53" s="1"/>
  <c r="S163" i="53"/>
  <c r="S211" i="53" s="1"/>
  <c r="S235" i="53" s="1"/>
  <c r="S166" i="53"/>
  <c r="S214" i="53" s="1"/>
  <c r="S238" i="53" s="1"/>
  <c r="S170" i="53"/>
  <c r="S218" i="53" s="1"/>
  <c r="S168" i="53"/>
  <c r="S216" i="53" s="1"/>
  <c r="S154" i="53"/>
  <c r="S202" i="53" s="1"/>
  <c r="S226" i="53" s="1"/>
  <c r="S164" i="53"/>
  <c r="S212" i="53" s="1"/>
  <c r="S236" i="53" s="1"/>
  <c r="S171" i="53"/>
  <c r="S219" i="53" s="1"/>
  <c r="C131" i="47"/>
  <c r="C132" i="47" s="1"/>
  <c r="V55" i="50"/>
  <c r="V59" i="50"/>
  <c r="V54" i="50"/>
  <c r="W130" i="50"/>
  <c r="W131" i="50"/>
  <c r="W135" i="50"/>
  <c r="W68" i="50"/>
  <c r="X64" i="50" s="1"/>
  <c r="W107" i="50"/>
  <c r="W111" i="50"/>
  <c r="W113" i="50" s="1"/>
  <c r="W106" i="50"/>
  <c r="AS63" i="50"/>
  <c r="AR72" i="50"/>
  <c r="AR112" i="50"/>
  <c r="AS103" i="50"/>
  <c r="W94" i="50"/>
  <c r="W95" i="50"/>
  <c r="W99" i="50"/>
  <c r="W73" i="50"/>
  <c r="R247" i="53" l="1"/>
  <c r="Q22" i="54"/>
  <c r="S243" i="53"/>
  <c r="S230" i="53"/>
  <c r="S231" i="53"/>
  <c r="S242" i="53"/>
  <c r="S240" i="53"/>
  <c r="S150" i="53"/>
  <c r="S228" i="53"/>
  <c r="S241" i="53"/>
  <c r="S227" i="53"/>
  <c r="S239" i="53"/>
  <c r="O17" i="47"/>
  <c r="O102" i="64" s="1"/>
  <c r="O111" i="64" s="1"/>
  <c r="D17" i="47"/>
  <c r="G101" i="67"/>
  <c r="G113" i="67" s="1"/>
  <c r="T161" i="53"/>
  <c r="T209" i="53" s="1"/>
  <c r="T160" i="53"/>
  <c r="T208" i="53" s="1"/>
  <c r="T157" i="53"/>
  <c r="T205" i="53" s="1"/>
  <c r="T159" i="53"/>
  <c r="T207" i="53" s="1"/>
  <c r="T158" i="53"/>
  <c r="T206" i="53" s="1"/>
  <c r="T169" i="53"/>
  <c r="T217" i="53" s="1"/>
  <c r="T166" i="53"/>
  <c r="T214" i="53" s="1"/>
  <c r="T163" i="53"/>
  <c r="T211" i="53" s="1"/>
  <c r="T155" i="53"/>
  <c r="T203" i="53" s="1"/>
  <c r="T156" i="53"/>
  <c r="T204" i="53" s="1"/>
  <c r="T171" i="53"/>
  <c r="T219" i="53" s="1"/>
  <c r="T162" i="53"/>
  <c r="T210" i="53" s="1"/>
  <c r="T154" i="53"/>
  <c r="T202" i="53" s="1"/>
  <c r="T170" i="53"/>
  <c r="T218" i="53" s="1"/>
  <c r="T164" i="53"/>
  <c r="T212" i="53" s="1"/>
  <c r="T167" i="53"/>
  <c r="T215" i="53" s="1"/>
  <c r="T168" i="53"/>
  <c r="T216" i="53" s="1"/>
  <c r="T165" i="53"/>
  <c r="T213" i="53" s="1"/>
  <c r="U139" i="50"/>
  <c r="U91" i="49" s="1"/>
  <c r="U92" i="49" s="1"/>
  <c r="O173" i="63"/>
  <c r="O172" i="63"/>
  <c r="I121" i="67"/>
  <c r="R104" i="64"/>
  <c r="S106" i="52"/>
  <c r="S112" i="52"/>
  <c r="S113" i="52"/>
  <c r="S108" i="52"/>
  <c r="S105" i="52"/>
  <c r="S114" i="52"/>
  <c r="S121" i="52"/>
  <c r="S118" i="52"/>
  <c r="S107" i="52"/>
  <c r="S122" i="52"/>
  <c r="S116" i="52"/>
  <c r="S110" i="52"/>
  <c r="S119" i="52"/>
  <c r="S109" i="52"/>
  <c r="S115" i="52"/>
  <c r="S111" i="52"/>
  <c r="S117" i="52"/>
  <c r="S120" i="52"/>
  <c r="Q91" i="64"/>
  <c r="Q158" i="64" s="1"/>
  <c r="Q92" i="67"/>
  <c r="Q79" i="64"/>
  <c r="Q146" i="64" s="1"/>
  <c r="Q85" i="67"/>
  <c r="H103" i="67" s="1"/>
  <c r="Q82" i="64"/>
  <c r="Q149" i="64" s="1"/>
  <c r="Q88" i="67"/>
  <c r="H106" i="67" s="1"/>
  <c r="Q180" i="63"/>
  <c r="Q187" i="63" s="1"/>
  <c r="Q94" i="67"/>
  <c r="H112" i="67" s="1"/>
  <c r="Q93" i="64"/>
  <c r="Q160" i="64" s="1"/>
  <c r="Q129" i="63"/>
  <c r="R254" i="52"/>
  <c r="P173" i="63"/>
  <c r="P172" i="63"/>
  <c r="Q26" i="54"/>
  <c r="Q26" i="63"/>
  <c r="S13" i="63"/>
  <c r="S14" i="63" s="1"/>
  <c r="S15" i="67" s="1"/>
  <c r="S92" i="47"/>
  <c r="S37" i="49"/>
  <c r="S14" i="54"/>
  <c r="S15" i="54" s="1"/>
  <c r="S16" i="54" s="1"/>
  <c r="T93" i="47"/>
  <c r="T12" i="54"/>
  <c r="T69" i="49"/>
  <c r="T11" i="63"/>
  <c r="S232" i="53"/>
  <c r="S154" i="52"/>
  <c r="S202" i="52" s="1"/>
  <c r="S157" i="52"/>
  <c r="S205" i="52" s="1"/>
  <c r="S160" i="52"/>
  <c r="S208" i="52" s="1"/>
  <c r="S155" i="52"/>
  <c r="S203" i="52" s="1"/>
  <c r="S159" i="52"/>
  <c r="S207" i="52" s="1"/>
  <c r="S170" i="52"/>
  <c r="S218" i="52" s="1"/>
  <c r="S169" i="52"/>
  <c r="S217" i="52" s="1"/>
  <c r="S166" i="52"/>
  <c r="S214" i="52" s="1"/>
  <c r="S168" i="52"/>
  <c r="S216" i="52" s="1"/>
  <c r="S158" i="52"/>
  <c r="S206" i="52" s="1"/>
  <c r="S156" i="52"/>
  <c r="S204" i="52" s="1"/>
  <c r="S161" i="52"/>
  <c r="S209" i="52" s="1"/>
  <c r="S153" i="52"/>
  <c r="S201" i="52" s="1"/>
  <c r="S165" i="52"/>
  <c r="S213" i="52" s="1"/>
  <c r="S162" i="52"/>
  <c r="S210" i="52" s="1"/>
  <c r="S167" i="52"/>
  <c r="S215" i="52" s="1"/>
  <c r="S163" i="52"/>
  <c r="S211" i="52" s="1"/>
  <c r="S164" i="52"/>
  <c r="S212" i="52" s="1"/>
  <c r="S227" i="52"/>
  <c r="S228" i="52" s="1"/>
  <c r="R17" i="52"/>
  <c r="T110" i="53"/>
  <c r="T106" i="53"/>
  <c r="T120" i="53"/>
  <c r="T114" i="53"/>
  <c r="T113" i="53"/>
  <c r="T112" i="53"/>
  <c r="T111" i="53"/>
  <c r="T115" i="53"/>
  <c r="T107" i="53"/>
  <c r="T109" i="53"/>
  <c r="T119" i="53"/>
  <c r="T123" i="53"/>
  <c r="T117" i="53"/>
  <c r="T116" i="53"/>
  <c r="T118" i="53"/>
  <c r="T108" i="53"/>
  <c r="T122" i="53"/>
  <c r="T121" i="53"/>
  <c r="O190" i="63"/>
  <c r="O182" i="63"/>
  <c r="O183" i="63" s="1"/>
  <c r="O185" i="63"/>
  <c r="O144" i="64"/>
  <c r="O95" i="64"/>
  <c r="O162" i="64" s="1"/>
  <c r="S13" i="53"/>
  <c r="S116" i="51"/>
  <c r="S117" i="51" s="1"/>
  <c r="S124" i="51" s="1"/>
  <c r="S72" i="49"/>
  <c r="R103" i="64"/>
  <c r="R27" i="47"/>
  <c r="Q92" i="64"/>
  <c r="Q159" i="64" s="1"/>
  <c r="Q93" i="67"/>
  <c r="H111" i="67" s="1"/>
  <c r="Q84" i="67"/>
  <c r="Q78" i="64"/>
  <c r="Q145" i="64" s="1"/>
  <c r="Q84" i="64"/>
  <c r="Q151" i="64" s="1"/>
  <c r="Q90" i="67"/>
  <c r="H108" i="67" s="1"/>
  <c r="Q181" i="63"/>
  <c r="Q188" i="63" s="1"/>
  <c r="Q80" i="64"/>
  <c r="Q147" i="64" s="1"/>
  <c r="Q179" i="63"/>
  <c r="Q86" i="67"/>
  <c r="Q86" i="64"/>
  <c r="Q153" i="64" s="1"/>
  <c r="Q91" i="67"/>
  <c r="H109" i="67" s="1"/>
  <c r="Q89" i="67"/>
  <c r="H107" i="67" s="1"/>
  <c r="Q83" i="64"/>
  <c r="Q150" i="64" s="1"/>
  <c r="Q87" i="67"/>
  <c r="H105" i="67" s="1"/>
  <c r="Q81" i="64"/>
  <c r="Q148" i="64" s="1"/>
  <c r="P185" i="63"/>
  <c r="P190" i="63"/>
  <c r="P193" i="63" s="1"/>
  <c r="P182" i="63"/>
  <c r="P183" i="63" s="1"/>
  <c r="P144" i="64"/>
  <c r="P95" i="64"/>
  <c r="P162" i="64" s="1"/>
  <c r="R12" i="52"/>
  <c r="R40" i="49"/>
  <c r="R19" i="51"/>
  <c r="R20" i="51" s="1"/>
  <c r="R27" i="51" s="1"/>
  <c r="T105" i="49"/>
  <c r="T107" i="49" s="1"/>
  <c r="I17" i="47"/>
  <c r="I102" i="64" s="1"/>
  <c r="I111" i="64" s="1"/>
  <c r="I122" i="64" s="1"/>
  <c r="P17" i="47"/>
  <c r="L17" i="47"/>
  <c r="L28" i="47" s="1"/>
  <c r="J17" i="47"/>
  <c r="H17" i="47"/>
  <c r="H28" i="47" s="1"/>
  <c r="G17" i="47"/>
  <c r="E17" i="47"/>
  <c r="E102" i="64" s="1"/>
  <c r="E111" i="64" s="1"/>
  <c r="E122" i="64" s="1"/>
  <c r="E169" i="64" s="1"/>
  <c r="N17" i="47"/>
  <c r="K17" i="47"/>
  <c r="F17" i="47"/>
  <c r="X17" i="47"/>
  <c r="M17" i="47"/>
  <c r="N119" i="67" s="1"/>
  <c r="V56" i="50"/>
  <c r="W132" i="50"/>
  <c r="X128" i="50" s="1"/>
  <c r="X66" i="50"/>
  <c r="X71" i="50"/>
  <c r="X67" i="50"/>
  <c r="AT63" i="50"/>
  <c r="AS72" i="50"/>
  <c r="V77" i="50"/>
  <c r="AT103" i="50"/>
  <c r="AS112" i="50"/>
  <c r="W96" i="50"/>
  <c r="X92" i="50" s="1"/>
  <c r="W115" i="50"/>
  <c r="W108" i="50"/>
  <c r="X104" i="50" s="1"/>
  <c r="W110" i="50"/>
  <c r="S16" i="63" l="1"/>
  <c r="O28" i="47"/>
  <c r="O30" i="47" s="1"/>
  <c r="O119" i="67"/>
  <c r="S245" i="53"/>
  <c r="S247" i="53" s="1"/>
  <c r="G136" i="67"/>
  <c r="D102" i="64"/>
  <c r="D111" i="64" s="1"/>
  <c r="D122" i="64" s="1"/>
  <c r="D28" i="47"/>
  <c r="D29" i="47" s="1"/>
  <c r="O122" i="64"/>
  <c r="O169" i="64" s="1"/>
  <c r="H102" i="67"/>
  <c r="I102" i="67"/>
  <c r="H104" i="67"/>
  <c r="I104" i="67"/>
  <c r="H110" i="67"/>
  <c r="I110" i="67"/>
  <c r="Q186" i="63"/>
  <c r="Q191" i="63"/>
  <c r="S125" i="51"/>
  <c r="Y165" i="51"/>
  <c r="AB165" i="51"/>
  <c r="T165" i="51"/>
  <c r="T201" i="51" s="1"/>
  <c r="T87" i="53" s="1"/>
  <c r="U165" i="51"/>
  <c r="AC165" i="51"/>
  <c r="Z165" i="51"/>
  <c r="V165" i="51"/>
  <c r="AA165" i="51"/>
  <c r="W165" i="51"/>
  <c r="X165" i="51"/>
  <c r="O118" i="64"/>
  <c r="O163" i="64" s="1"/>
  <c r="C35" i="64"/>
  <c r="I35" i="64" s="1"/>
  <c r="N35" i="64" s="1"/>
  <c r="O192" i="63"/>
  <c r="O195" i="63" s="1"/>
  <c r="T12" i="67"/>
  <c r="S96" i="47"/>
  <c r="S165" i="47" s="1"/>
  <c r="S166" i="47" s="1"/>
  <c r="S18" i="47" s="1"/>
  <c r="K120" i="67" s="1"/>
  <c r="S181" i="47"/>
  <c r="S182" i="47" s="1"/>
  <c r="S219" i="47" s="1"/>
  <c r="S220" i="47" s="1"/>
  <c r="S19" i="47" s="1"/>
  <c r="Q194" i="63"/>
  <c r="Q45" i="63"/>
  <c r="Q153" i="63"/>
  <c r="Q147" i="63"/>
  <c r="S146" i="52"/>
  <c r="S194" i="52" s="1"/>
  <c r="S250" i="52" s="1"/>
  <c r="R144" i="63" s="1"/>
  <c r="R168" i="63" s="1"/>
  <c r="S137" i="52"/>
  <c r="S185" i="52" s="1"/>
  <c r="S241" i="52" s="1"/>
  <c r="R135" i="63" s="1"/>
  <c r="R159" i="63" s="1"/>
  <c r="S135" i="52"/>
  <c r="S183" i="52" s="1"/>
  <c r="S239" i="52" s="1"/>
  <c r="R133" i="63" s="1"/>
  <c r="R157" i="63" s="1"/>
  <c r="S136" i="52"/>
  <c r="S184" i="52" s="1"/>
  <c r="S240" i="52" s="1"/>
  <c r="R134" i="63" s="1"/>
  <c r="R158" i="63" s="1"/>
  <c r="S148" i="52"/>
  <c r="S196" i="52" s="1"/>
  <c r="S252" i="52" s="1"/>
  <c r="R146" i="63" s="1"/>
  <c r="R170" i="63" s="1"/>
  <c r="R94" i="64" s="1"/>
  <c r="R161" i="64" s="1"/>
  <c r="S144" i="52"/>
  <c r="S192" i="52" s="1"/>
  <c r="S248" i="52" s="1"/>
  <c r="R142" i="63" s="1"/>
  <c r="R166" i="63" s="1"/>
  <c r="R90" i="64" s="1"/>
  <c r="R157" i="64" s="1"/>
  <c r="S140" i="52"/>
  <c r="S188" i="52" s="1"/>
  <c r="S244" i="52" s="1"/>
  <c r="R138" i="63" s="1"/>
  <c r="R162" i="63" s="1"/>
  <c r="S134" i="52"/>
  <c r="S182" i="52" s="1"/>
  <c r="S238" i="52" s="1"/>
  <c r="R132" i="63" s="1"/>
  <c r="R156" i="63" s="1"/>
  <c r="S138" i="52"/>
  <c r="S186" i="52" s="1"/>
  <c r="S242" i="52" s="1"/>
  <c r="R136" i="63" s="1"/>
  <c r="R160" i="63" s="1"/>
  <c r="R111" i="64"/>
  <c r="O193" i="63"/>
  <c r="U119" i="50"/>
  <c r="U57" i="49" s="1"/>
  <c r="U58" i="49" s="1"/>
  <c r="T83" i="50"/>
  <c r="T25" i="49" s="1"/>
  <c r="T26" i="49" s="1"/>
  <c r="T106" i="49"/>
  <c r="S67" i="51"/>
  <c r="S104" i="51" s="1"/>
  <c r="S86" i="52" s="1"/>
  <c r="AA67" i="51"/>
  <c r="X67" i="51"/>
  <c r="U67" i="51"/>
  <c r="V67" i="51"/>
  <c r="R28" i="51"/>
  <c r="W67" i="51"/>
  <c r="T67" i="51"/>
  <c r="AB67" i="51"/>
  <c r="Y67" i="51"/>
  <c r="Z67" i="51"/>
  <c r="S139" i="52"/>
  <c r="S187" i="52" s="1"/>
  <c r="S243" i="52" s="1"/>
  <c r="R137" i="63" s="1"/>
  <c r="R161" i="63" s="1"/>
  <c r="R85" i="64" s="1"/>
  <c r="R152" i="64" s="1"/>
  <c r="R14" i="52"/>
  <c r="P118" i="64"/>
  <c r="P163" i="64" s="1"/>
  <c r="C36" i="64"/>
  <c r="I36" i="64" s="1"/>
  <c r="N36" i="64" s="1"/>
  <c r="P192" i="63"/>
  <c r="P195" i="63" s="1"/>
  <c r="E38" i="64"/>
  <c r="R30" i="47"/>
  <c r="R29" i="47"/>
  <c r="S134" i="64"/>
  <c r="S17" i="67"/>
  <c r="T141" i="53"/>
  <c r="T189" i="53" s="1"/>
  <c r="T235" i="53" s="1"/>
  <c r="T149" i="53"/>
  <c r="T197" i="53" s="1"/>
  <c r="T133" i="53"/>
  <c r="T181" i="53" s="1"/>
  <c r="T227" i="53" s="1"/>
  <c r="T139" i="53"/>
  <c r="T187" i="53" s="1"/>
  <c r="T233" i="53" s="1"/>
  <c r="T137" i="53"/>
  <c r="T185" i="53" s="1"/>
  <c r="T231" i="53" s="1"/>
  <c r="S15" i="53"/>
  <c r="T145" i="53"/>
  <c r="T193" i="53" s="1"/>
  <c r="T239" i="53" s="1"/>
  <c r="T132" i="53"/>
  <c r="T180" i="53" s="1"/>
  <c r="T226" i="53" s="1"/>
  <c r="T134" i="53"/>
  <c r="T182" i="53" s="1"/>
  <c r="T228" i="53" s="1"/>
  <c r="T144" i="53"/>
  <c r="T192" i="53" s="1"/>
  <c r="T238" i="53" s="1"/>
  <c r="T138" i="53"/>
  <c r="T186" i="53" s="1"/>
  <c r="T232" i="53" s="1"/>
  <c r="T136" i="53"/>
  <c r="T184" i="53" s="1"/>
  <c r="T230" i="53" s="1"/>
  <c r="T147" i="53"/>
  <c r="T195" i="53" s="1"/>
  <c r="T241" i="53" s="1"/>
  <c r="T148" i="53"/>
  <c r="T196" i="53" s="1"/>
  <c r="T242" i="53" s="1"/>
  <c r="T135" i="53"/>
  <c r="T183" i="53" s="1"/>
  <c r="T229" i="53" s="1"/>
  <c r="T140" i="53"/>
  <c r="T188" i="53" s="1"/>
  <c r="T234" i="53" s="1"/>
  <c r="T143" i="53"/>
  <c r="T191" i="53" s="1"/>
  <c r="T237" i="53" s="1"/>
  <c r="T146" i="53"/>
  <c r="T194" i="53" s="1"/>
  <c r="T240" i="53" s="1"/>
  <c r="T142" i="53"/>
  <c r="T190" i="53" s="1"/>
  <c r="T236" i="53" s="1"/>
  <c r="T70" i="49"/>
  <c r="T12" i="53"/>
  <c r="S11" i="52"/>
  <c r="T227" i="52" s="1"/>
  <c r="T228" i="52" s="1"/>
  <c r="S38" i="49"/>
  <c r="S14" i="67"/>
  <c r="S289" i="63"/>
  <c r="S288" i="63"/>
  <c r="Q24" i="63"/>
  <c r="R256" i="52"/>
  <c r="Q24" i="54"/>
  <c r="Q28" i="54" s="1"/>
  <c r="S143" i="52"/>
  <c r="S191" i="52" s="1"/>
  <c r="S247" i="52" s="1"/>
  <c r="R141" i="63" s="1"/>
  <c r="R165" i="63" s="1"/>
  <c r="R89" i="64" s="1"/>
  <c r="R156" i="64" s="1"/>
  <c r="S141" i="52"/>
  <c r="S189" i="52" s="1"/>
  <c r="S245" i="52" s="1"/>
  <c r="R139" i="63" s="1"/>
  <c r="R163" i="63" s="1"/>
  <c r="R87" i="64" s="1"/>
  <c r="R154" i="64" s="1"/>
  <c r="S145" i="52"/>
  <c r="S193" i="52" s="1"/>
  <c r="S249" i="52" s="1"/>
  <c r="R143" i="63" s="1"/>
  <c r="R167" i="63" s="1"/>
  <c r="S142" i="52"/>
  <c r="S190" i="52" s="1"/>
  <c r="S246" i="52" s="1"/>
  <c r="R140" i="63" s="1"/>
  <c r="R164" i="63" s="1"/>
  <c r="R88" i="64" s="1"/>
  <c r="R155" i="64" s="1"/>
  <c r="S133" i="52"/>
  <c r="S181" i="52" s="1"/>
  <c r="S237" i="52" s="1"/>
  <c r="R131" i="63" s="1"/>
  <c r="R155" i="63" s="1"/>
  <c r="S147" i="52"/>
  <c r="S195" i="52" s="1"/>
  <c r="S251" i="52" s="1"/>
  <c r="R145" i="63" s="1"/>
  <c r="R169" i="63" s="1"/>
  <c r="S131" i="52"/>
  <c r="S179" i="52" s="1"/>
  <c r="S235" i="52" s="1"/>
  <c r="S132" i="52"/>
  <c r="S180" i="52" s="1"/>
  <c r="S236" i="52" s="1"/>
  <c r="R130" i="63" s="1"/>
  <c r="R154" i="63" s="1"/>
  <c r="U13" i="54"/>
  <c r="U104" i="49"/>
  <c r="U94" i="47"/>
  <c r="U12" i="63"/>
  <c r="U13" i="67" s="1"/>
  <c r="T243" i="53"/>
  <c r="I28" i="47"/>
  <c r="I30" i="47" s="1"/>
  <c r="F35" i="64"/>
  <c r="H35" i="64" s="1"/>
  <c r="M35" i="64" s="1"/>
  <c r="P102" i="64"/>
  <c r="P111" i="64" s="1"/>
  <c r="P122" i="64" s="1"/>
  <c r="P28" i="47"/>
  <c r="L102" i="64"/>
  <c r="L111" i="64" s="1"/>
  <c r="L122" i="64" s="1"/>
  <c r="L169" i="64" s="1"/>
  <c r="I169" i="64"/>
  <c r="H102" i="64"/>
  <c r="H111" i="64" s="1"/>
  <c r="H122" i="64" s="1"/>
  <c r="H169" i="64" s="1"/>
  <c r="J28" i="47"/>
  <c r="J102" i="64"/>
  <c r="J111" i="64" s="1"/>
  <c r="J122" i="64" s="1"/>
  <c r="G119" i="67"/>
  <c r="G128" i="67" s="1"/>
  <c r="G137" i="67" s="1"/>
  <c r="F39" i="64"/>
  <c r="F32" i="64"/>
  <c r="H32" i="64" s="1"/>
  <c r="L29" i="47"/>
  <c r="L30" i="47"/>
  <c r="G28" i="47"/>
  <c r="G102" i="64"/>
  <c r="G111" i="64" s="1"/>
  <c r="G122" i="64" s="1"/>
  <c r="I119" i="67"/>
  <c r="I128" i="67" s="1"/>
  <c r="I137" i="67" s="1"/>
  <c r="J119" i="67"/>
  <c r="V119" i="67"/>
  <c r="W119" i="67"/>
  <c r="E28" i="47"/>
  <c r="F25" i="64" s="1"/>
  <c r="H25" i="64" s="1"/>
  <c r="M25" i="64" s="1"/>
  <c r="X28" i="47"/>
  <c r="F44" i="64" s="1"/>
  <c r="P119" i="67"/>
  <c r="H30" i="47"/>
  <c r="H29" i="47"/>
  <c r="N28" i="47"/>
  <c r="N102" i="64"/>
  <c r="N111" i="64" s="1"/>
  <c r="N122" i="64" s="1"/>
  <c r="L119" i="67"/>
  <c r="C119" i="67"/>
  <c r="C128" i="67" s="1"/>
  <c r="K102" i="64"/>
  <c r="K111" i="64" s="1"/>
  <c r="K122" i="64" s="1"/>
  <c r="K169" i="64" s="1"/>
  <c r="K28" i="47"/>
  <c r="F31" i="64" s="1"/>
  <c r="H31" i="64" s="1"/>
  <c r="F28" i="64"/>
  <c r="H28" i="64" s="1"/>
  <c r="X119" i="67"/>
  <c r="Y119" i="67"/>
  <c r="H119" i="67"/>
  <c r="H128" i="67" s="1"/>
  <c r="M119" i="67"/>
  <c r="F28" i="47"/>
  <c r="F102" i="64"/>
  <c r="F111" i="64" s="1"/>
  <c r="F122" i="64" s="1"/>
  <c r="D119" i="67"/>
  <c r="D128" i="67" s="1"/>
  <c r="K119" i="67"/>
  <c r="Q119" i="67"/>
  <c r="S119" i="67"/>
  <c r="X102" i="64"/>
  <c r="C36" i="47"/>
  <c r="F119" i="67"/>
  <c r="F128" i="67" s="1"/>
  <c r="M102" i="64"/>
  <c r="M111" i="64" s="1"/>
  <c r="M122" i="64" s="1"/>
  <c r="M28" i="47"/>
  <c r="E119" i="67"/>
  <c r="E128" i="67" s="1"/>
  <c r="W52" i="50"/>
  <c r="W54" i="50" s="1"/>
  <c r="X107" i="50"/>
  <c r="X106" i="50"/>
  <c r="X111" i="50"/>
  <c r="X113" i="50" s="1"/>
  <c r="X73" i="50"/>
  <c r="X95" i="50"/>
  <c r="X99" i="50"/>
  <c r="X94" i="50"/>
  <c r="X131" i="50"/>
  <c r="X130" i="50"/>
  <c r="X135" i="50"/>
  <c r="X68" i="50"/>
  <c r="Y64" i="50" s="1"/>
  <c r="AU103" i="50"/>
  <c r="AT112" i="50"/>
  <c r="AU63" i="50"/>
  <c r="AT72" i="50"/>
  <c r="O29" i="47" l="1"/>
  <c r="R22" i="54"/>
  <c r="R22" i="63"/>
  <c r="G139" i="67"/>
  <c r="S290" i="63"/>
  <c r="T150" i="53"/>
  <c r="O35" i="64"/>
  <c r="I29" i="47"/>
  <c r="Q44" i="63"/>
  <c r="Q47" i="63" s="1"/>
  <c r="Q28" i="63"/>
  <c r="T245" i="53"/>
  <c r="S22" i="54" s="1"/>
  <c r="H135" i="67"/>
  <c r="Q148" i="63"/>
  <c r="F24" i="64"/>
  <c r="H24" i="64" s="1"/>
  <c r="M24" i="64" s="1"/>
  <c r="D30" i="47"/>
  <c r="D169" i="64"/>
  <c r="V139" i="50"/>
  <c r="V91" i="49" s="1"/>
  <c r="V92" i="49" s="1"/>
  <c r="U105" i="49"/>
  <c r="U107" i="49" s="1"/>
  <c r="R84" i="67"/>
  <c r="R78" i="64"/>
  <c r="R145" i="64" s="1"/>
  <c r="R93" i="64"/>
  <c r="R160" i="64" s="1"/>
  <c r="R94" i="67"/>
  <c r="I112" i="67" s="1"/>
  <c r="S39" i="49"/>
  <c r="S13" i="52" s="1"/>
  <c r="S12" i="52"/>
  <c r="S40" i="49"/>
  <c r="S19" i="51"/>
  <c r="S20" i="51" s="1"/>
  <c r="S27" i="51" s="1"/>
  <c r="S22" i="63"/>
  <c r="T247" i="53"/>
  <c r="T107" i="52"/>
  <c r="T108" i="52"/>
  <c r="T114" i="52"/>
  <c r="T113" i="52"/>
  <c r="T116" i="52"/>
  <c r="T122" i="52"/>
  <c r="T115" i="52"/>
  <c r="T117" i="52"/>
  <c r="T119" i="52"/>
  <c r="T106" i="52"/>
  <c r="T121" i="52"/>
  <c r="T111" i="52"/>
  <c r="T110" i="52"/>
  <c r="T109" i="52"/>
  <c r="T112" i="52"/>
  <c r="T120" i="52"/>
  <c r="T105" i="52"/>
  <c r="T118" i="52"/>
  <c r="T13" i="63"/>
  <c r="T14" i="63" s="1"/>
  <c r="T16" i="63" s="1"/>
  <c r="T92" i="47"/>
  <c r="T14" i="54"/>
  <c r="T15" i="54" s="1"/>
  <c r="T16" i="54" s="1"/>
  <c r="T37" i="49"/>
  <c r="U69" i="49"/>
  <c r="U12" i="54"/>
  <c r="U93" i="47"/>
  <c r="U11" i="63"/>
  <c r="R179" i="63"/>
  <c r="R86" i="67"/>
  <c r="R80" i="64"/>
  <c r="R147" i="64" s="1"/>
  <c r="R88" i="67"/>
  <c r="I106" i="67" s="1"/>
  <c r="R82" i="64"/>
  <c r="R149" i="64" s="1"/>
  <c r="R180" i="63"/>
  <c r="R187" i="63" s="1"/>
  <c r="R89" i="67"/>
  <c r="I107" i="67" s="1"/>
  <c r="R83" i="64"/>
  <c r="R150" i="64" s="1"/>
  <c r="J121" i="67"/>
  <c r="J128" i="67" s="1"/>
  <c r="J137" i="67" s="1"/>
  <c r="S104" i="64"/>
  <c r="R129" i="63"/>
  <c r="S254" i="52"/>
  <c r="R85" i="67"/>
  <c r="I103" i="67" s="1"/>
  <c r="R79" i="64"/>
  <c r="R146" i="64" s="1"/>
  <c r="R91" i="64"/>
  <c r="R158" i="64" s="1"/>
  <c r="R92" i="67"/>
  <c r="T71" i="49"/>
  <c r="T14" i="53" s="1"/>
  <c r="T13" i="53"/>
  <c r="T116" i="51"/>
  <c r="T117" i="51" s="1"/>
  <c r="T124" i="51" s="1"/>
  <c r="T72" i="49"/>
  <c r="R26" i="54"/>
  <c r="R26" i="63"/>
  <c r="R90" i="67"/>
  <c r="I108" i="67" s="1"/>
  <c r="R84" i="64"/>
  <c r="R151" i="64" s="1"/>
  <c r="R181" i="63"/>
  <c r="R188" i="63" s="1"/>
  <c r="R86" i="64"/>
  <c r="R153" i="64" s="1"/>
  <c r="R91" i="67"/>
  <c r="I109" i="67" s="1"/>
  <c r="R87" i="67"/>
  <c r="I105" i="67" s="1"/>
  <c r="R81" i="64"/>
  <c r="R148" i="64" s="1"/>
  <c r="R93" i="67"/>
  <c r="I111" i="67" s="1"/>
  <c r="R92" i="64"/>
  <c r="R159" i="64" s="1"/>
  <c r="Q77" i="64"/>
  <c r="Q171" i="63"/>
  <c r="Q83" i="67"/>
  <c r="H101" i="67" s="1"/>
  <c r="Q178" i="63"/>
  <c r="Q120" i="64"/>
  <c r="Q248" i="63"/>
  <c r="S103" i="64"/>
  <c r="S27" i="47"/>
  <c r="U107" i="53"/>
  <c r="U109" i="53"/>
  <c r="U110" i="53"/>
  <c r="U112" i="53"/>
  <c r="U123" i="53"/>
  <c r="U119" i="53"/>
  <c r="U121" i="53"/>
  <c r="U106" i="53"/>
  <c r="U116" i="53"/>
  <c r="U117" i="53"/>
  <c r="U118" i="53"/>
  <c r="U108" i="53"/>
  <c r="U122" i="53"/>
  <c r="U111" i="53"/>
  <c r="U114" i="53"/>
  <c r="U115" i="53"/>
  <c r="U113" i="53"/>
  <c r="U120" i="53"/>
  <c r="Q119" i="64"/>
  <c r="Q201" i="63"/>
  <c r="Q179" i="64" s="1"/>
  <c r="D37" i="64"/>
  <c r="H37" i="64" s="1"/>
  <c r="M37" i="64" s="1"/>
  <c r="Q200" i="63"/>
  <c r="Q177" i="64" s="1"/>
  <c r="Q205" i="63"/>
  <c r="F29" i="64"/>
  <c r="H29" i="64" s="1"/>
  <c r="M29" i="64" s="1"/>
  <c r="O29" i="64" s="1"/>
  <c r="O125" i="64"/>
  <c r="O26" i="54"/>
  <c r="O28" i="54" s="1"/>
  <c r="O26" i="63"/>
  <c r="F36" i="64"/>
  <c r="H36" i="64" s="1"/>
  <c r="M36" i="64" s="1"/>
  <c r="O36" i="64" s="1"/>
  <c r="P30" i="47"/>
  <c r="P29" i="47"/>
  <c r="P169" i="64"/>
  <c r="I26" i="63"/>
  <c r="I26" i="54"/>
  <c r="I28" i="54" s="1"/>
  <c r="J169" i="64"/>
  <c r="F30" i="64"/>
  <c r="H30" i="64" s="1"/>
  <c r="M30" i="64" s="1"/>
  <c r="O30" i="64" s="1"/>
  <c r="J29" i="47"/>
  <c r="J30" i="47"/>
  <c r="G142" i="67"/>
  <c r="G143" i="67" s="1"/>
  <c r="M32" i="64"/>
  <c r="O32" i="64" s="1"/>
  <c r="L26" i="54"/>
  <c r="L28" i="54" s="1"/>
  <c r="L26" i="63"/>
  <c r="L125" i="64"/>
  <c r="E29" i="47"/>
  <c r="E30" i="47"/>
  <c r="E26" i="54" s="1"/>
  <c r="E28" i="54" s="1"/>
  <c r="G169" i="64"/>
  <c r="G30" i="47"/>
  <c r="G29" i="47"/>
  <c r="F27" i="64"/>
  <c r="H27" i="64" s="1"/>
  <c r="M27" i="64" s="1"/>
  <c r="O27" i="64" s="1"/>
  <c r="H137" i="67"/>
  <c r="H26" i="63"/>
  <c r="H26" i="54"/>
  <c r="H28" i="54" s="1"/>
  <c r="K29" i="47"/>
  <c r="N169" i="64"/>
  <c r="F34" i="64"/>
  <c r="H34" i="64" s="1"/>
  <c r="N125" i="64" s="1"/>
  <c r="N29" i="47"/>
  <c r="N30" i="47"/>
  <c r="K30" i="47"/>
  <c r="K26" i="63" s="1"/>
  <c r="C137" i="67"/>
  <c r="C142" i="67"/>
  <c r="O25" i="64"/>
  <c r="H125" i="64"/>
  <c r="M28" i="64"/>
  <c r="O28" i="64" s="1"/>
  <c r="F169" i="64"/>
  <c r="F29" i="47"/>
  <c r="F26" i="64"/>
  <c r="H26" i="64" s="1"/>
  <c r="M26" i="64" s="1"/>
  <c r="F30" i="47"/>
  <c r="D137" i="67"/>
  <c r="D142" i="67"/>
  <c r="M31" i="64"/>
  <c r="K125" i="64"/>
  <c r="F137" i="67"/>
  <c r="F139" i="67" s="1"/>
  <c r="F142" i="67"/>
  <c r="F33" i="64"/>
  <c r="M29" i="47"/>
  <c r="M30" i="47"/>
  <c r="M169" i="64"/>
  <c r="E137" i="67"/>
  <c r="E142" i="67"/>
  <c r="X115" i="50"/>
  <c r="W55" i="50"/>
  <c r="W59" i="50"/>
  <c r="W77" i="50" s="1"/>
  <c r="Y67" i="50"/>
  <c r="Y66" i="50"/>
  <c r="Y71" i="50"/>
  <c r="Y73" i="50" s="1"/>
  <c r="X132" i="50"/>
  <c r="Y128" i="50" s="1"/>
  <c r="AV103" i="50"/>
  <c r="AU112" i="50"/>
  <c r="W56" i="50"/>
  <c r="X108" i="50"/>
  <c r="Y104" i="50" s="1"/>
  <c r="X110" i="50"/>
  <c r="AU72" i="50"/>
  <c r="AV63" i="50"/>
  <c r="X96" i="50"/>
  <c r="Y92" i="50" s="1"/>
  <c r="T15" i="67" l="1"/>
  <c r="Q48" i="63"/>
  <c r="I135" i="67"/>
  <c r="D125" i="64"/>
  <c r="D26" i="54"/>
  <c r="D28" i="54" s="1"/>
  <c r="D30" i="54" s="1"/>
  <c r="D26" i="63"/>
  <c r="Q40" i="63"/>
  <c r="Q41" i="63"/>
  <c r="E30" i="54"/>
  <c r="Q24" i="64"/>
  <c r="Q25" i="64" s="1"/>
  <c r="Q26" i="64" s="1"/>
  <c r="Q27" i="64" s="1"/>
  <c r="Q28" i="64" s="1"/>
  <c r="Q29" i="64" s="1"/>
  <c r="Q30" i="64" s="1"/>
  <c r="Q31" i="64" s="1"/>
  <c r="Q32" i="64" s="1"/>
  <c r="O24" i="64"/>
  <c r="U139" i="53"/>
  <c r="U187" i="53" s="1"/>
  <c r="U140" i="53"/>
  <c r="U188" i="53" s="1"/>
  <c r="U148" i="53"/>
  <c r="U196" i="53" s="1"/>
  <c r="U144" i="53"/>
  <c r="U192" i="53" s="1"/>
  <c r="U142" i="53"/>
  <c r="U190" i="53" s="1"/>
  <c r="U147" i="53"/>
  <c r="U195" i="53" s="1"/>
  <c r="U149" i="53"/>
  <c r="U197" i="53" s="1"/>
  <c r="U136" i="53"/>
  <c r="U184" i="53" s="1"/>
  <c r="U106" i="49"/>
  <c r="Q185" i="63"/>
  <c r="Q182" i="63"/>
  <c r="Q183" i="63" s="1"/>
  <c r="Q190" i="63"/>
  <c r="Q173" i="63"/>
  <c r="Q172" i="63"/>
  <c r="R45" i="63"/>
  <c r="R194" i="63"/>
  <c r="T15" i="53"/>
  <c r="U133" i="53"/>
  <c r="U181" i="53" s="1"/>
  <c r="R24" i="63"/>
  <c r="S256" i="52"/>
  <c r="R24" i="54"/>
  <c r="R28" i="54" s="1"/>
  <c r="R30" i="54" s="1"/>
  <c r="Q52" i="63"/>
  <c r="Q50" i="63"/>
  <c r="T134" i="64"/>
  <c r="T17" i="67"/>
  <c r="R186" i="63"/>
  <c r="R191" i="63"/>
  <c r="U12" i="53"/>
  <c r="U70" i="49"/>
  <c r="U71" i="49" s="1"/>
  <c r="U14" i="53" s="1"/>
  <c r="T14" i="67"/>
  <c r="T288" i="63"/>
  <c r="T289" i="63"/>
  <c r="X68" i="51"/>
  <c r="T68" i="51"/>
  <c r="T104" i="51" s="1"/>
  <c r="T86" i="52" s="1"/>
  <c r="Y68" i="51"/>
  <c r="U68" i="51"/>
  <c r="V68" i="51"/>
  <c r="AA68" i="51"/>
  <c r="W68" i="51"/>
  <c r="Z68" i="51"/>
  <c r="S28" i="51"/>
  <c r="AB68" i="51"/>
  <c r="AC68" i="51"/>
  <c r="S14" i="52"/>
  <c r="T138" i="52"/>
  <c r="T186" i="52" s="1"/>
  <c r="T136" i="52"/>
  <c r="T184" i="52" s="1"/>
  <c r="T133" i="52"/>
  <c r="T181" i="52" s="1"/>
  <c r="T137" i="52"/>
  <c r="T185" i="52" s="1"/>
  <c r="T143" i="52"/>
  <c r="T191" i="52" s="1"/>
  <c r="T140" i="52"/>
  <c r="T188" i="52" s="1"/>
  <c r="T148" i="52"/>
  <c r="T196" i="52" s="1"/>
  <c r="T147" i="52"/>
  <c r="T195" i="52" s="1"/>
  <c r="T144" i="52"/>
  <c r="T192" i="52" s="1"/>
  <c r="T132" i="52"/>
  <c r="T180" i="52" s="1"/>
  <c r="T135" i="52"/>
  <c r="T183" i="52" s="1"/>
  <c r="T134" i="52"/>
  <c r="T182" i="52" s="1"/>
  <c r="T139" i="52"/>
  <c r="T187" i="52" s="1"/>
  <c r="T131" i="52"/>
  <c r="T179" i="52" s="1"/>
  <c r="T142" i="52"/>
  <c r="T190" i="52" s="1"/>
  <c r="T141" i="52"/>
  <c r="T189" i="52" s="1"/>
  <c r="T145" i="52"/>
  <c r="T193" i="52" s="1"/>
  <c r="T146" i="52"/>
  <c r="T194" i="52" s="1"/>
  <c r="V104" i="49"/>
  <c r="V94" i="47"/>
  <c r="V12" i="63"/>
  <c r="V13" i="67" s="1"/>
  <c r="V13" i="54"/>
  <c r="U83" i="50"/>
  <c r="U25" i="49" s="1"/>
  <c r="U26" i="49" s="1"/>
  <c r="V119" i="50"/>
  <c r="V57" i="49" s="1"/>
  <c r="V58" i="49" s="1"/>
  <c r="Q180" i="64"/>
  <c r="U146" i="53"/>
  <c r="U194" i="53" s="1"/>
  <c r="U141" i="53"/>
  <c r="U189" i="53" s="1"/>
  <c r="U137" i="53"/>
  <c r="U185" i="53" s="1"/>
  <c r="U134" i="53"/>
  <c r="U182" i="53" s="1"/>
  <c r="U143" i="53"/>
  <c r="U191" i="53" s="1"/>
  <c r="U132" i="53"/>
  <c r="U180" i="53" s="1"/>
  <c r="U145" i="53"/>
  <c r="U193" i="53" s="1"/>
  <c r="U138" i="53"/>
  <c r="U186" i="53" s="1"/>
  <c r="U135" i="53"/>
  <c r="U183" i="53" s="1"/>
  <c r="S30" i="47"/>
  <c r="S29" i="47"/>
  <c r="E39" i="64"/>
  <c r="H136" i="67"/>
  <c r="H139" i="67" s="1"/>
  <c r="H113" i="67"/>
  <c r="H142" i="67" s="1"/>
  <c r="Q144" i="64"/>
  <c r="Q95" i="64"/>
  <c r="V166" i="51"/>
  <c r="AD166" i="51"/>
  <c r="AA166" i="51"/>
  <c r="AB166" i="51"/>
  <c r="Y166" i="51"/>
  <c r="T125" i="51"/>
  <c r="W166" i="51"/>
  <c r="X166" i="51"/>
  <c r="AC166" i="51"/>
  <c r="Z166" i="51"/>
  <c r="U166" i="51"/>
  <c r="U201" i="51" s="1"/>
  <c r="U87" i="53" s="1"/>
  <c r="U165" i="53"/>
  <c r="U213" i="53" s="1"/>
  <c r="U168" i="53"/>
  <c r="U216" i="53" s="1"/>
  <c r="U160" i="53"/>
  <c r="U208" i="53" s="1"/>
  <c r="U155" i="53"/>
  <c r="U203" i="53" s="1"/>
  <c r="U163" i="53"/>
  <c r="U211" i="53" s="1"/>
  <c r="U167" i="53"/>
  <c r="U215" i="53" s="1"/>
  <c r="U158" i="53"/>
  <c r="U206" i="53" s="1"/>
  <c r="U162" i="53"/>
  <c r="U210" i="53" s="1"/>
  <c r="U169" i="53"/>
  <c r="U217" i="53" s="1"/>
  <c r="U164" i="53"/>
  <c r="U212" i="53" s="1"/>
  <c r="U154" i="53"/>
  <c r="U202" i="53" s="1"/>
  <c r="U159" i="53"/>
  <c r="U207" i="53" s="1"/>
  <c r="U157" i="53"/>
  <c r="U205" i="53" s="1"/>
  <c r="U166" i="53"/>
  <c r="U214" i="53" s="1"/>
  <c r="U170" i="53"/>
  <c r="U218" i="53" s="1"/>
  <c r="U242" i="53" s="1"/>
  <c r="U156" i="53"/>
  <c r="U204" i="53" s="1"/>
  <c r="U161" i="53"/>
  <c r="U209" i="53" s="1"/>
  <c r="U233" i="53" s="1"/>
  <c r="U171" i="53"/>
  <c r="U219" i="53" s="1"/>
  <c r="R147" i="63"/>
  <c r="R148" i="63" s="1"/>
  <c r="R153" i="63"/>
  <c r="S111" i="64"/>
  <c r="U12" i="67"/>
  <c r="T38" i="49"/>
  <c r="T39" i="49" s="1"/>
  <c r="T13" i="52" s="1"/>
  <c r="T11" i="52"/>
  <c r="U227" i="52" s="1"/>
  <c r="U228" i="52" s="1"/>
  <c r="T96" i="47"/>
  <c r="T165" i="47" s="1"/>
  <c r="T166" i="47" s="1"/>
  <c r="T18" i="47" s="1"/>
  <c r="L120" i="67" s="1"/>
  <c r="T181" i="47"/>
  <c r="T182" i="47" s="1"/>
  <c r="T219" i="47" s="1"/>
  <c r="T220" i="47" s="1"/>
  <c r="T19" i="47" s="1"/>
  <c r="T159" i="52"/>
  <c r="T207" i="52" s="1"/>
  <c r="T160" i="52"/>
  <c r="T208" i="52" s="1"/>
  <c r="T157" i="52"/>
  <c r="T205" i="52" s="1"/>
  <c r="T153" i="52"/>
  <c r="T201" i="52" s="1"/>
  <c r="T158" i="52"/>
  <c r="T206" i="52" s="1"/>
  <c r="T170" i="52"/>
  <c r="T218" i="52" s="1"/>
  <c r="T169" i="52"/>
  <c r="T217" i="52" s="1"/>
  <c r="T166" i="52"/>
  <c r="T214" i="52" s="1"/>
  <c r="T168" i="52"/>
  <c r="T216" i="52" s="1"/>
  <c r="T155" i="52"/>
  <c r="T203" i="52" s="1"/>
  <c r="T156" i="52"/>
  <c r="T204" i="52" s="1"/>
  <c r="T161" i="52"/>
  <c r="T209" i="52" s="1"/>
  <c r="T165" i="52"/>
  <c r="T213" i="52" s="1"/>
  <c r="T167" i="52"/>
  <c r="T215" i="52" s="1"/>
  <c r="T163" i="52"/>
  <c r="T211" i="52" s="1"/>
  <c r="T154" i="52"/>
  <c r="T202" i="52" s="1"/>
  <c r="T162" i="52"/>
  <c r="T210" i="52" s="1"/>
  <c r="T164" i="52"/>
  <c r="T212" i="52" s="1"/>
  <c r="I125" i="64"/>
  <c r="P125" i="64"/>
  <c r="O194" i="63"/>
  <c r="O248" i="63" s="1"/>
  <c r="O28" i="63"/>
  <c r="O45" i="63"/>
  <c r="P26" i="54"/>
  <c r="P28" i="54" s="1"/>
  <c r="P26" i="63"/>
  <c r="E26" i="63"/>
  <c r="E28" i="63" s="1"/>
  <c r="I194" i="63"/>
  <c r="I248" i="63" s="1"/>
  <c r="I45" i="63"/>
  <c r="I28" i="63"/>
  <c r="J125" i="64"/>
  <c r="J26" i="63"/>
  <c r="J26" i="54"/>
  <c r="J28" i="54" s="1"/>
  <c r="J30" i="54" s="1"/>
  <c r="L194" i="63"/>
  <c r="L248" i="63" s="1"/>
  <c r="L45" i="63"/>
  <c r="L28" i="63"/>
  <c r="G125" i="64"/>
  <c r="G26" i="54"/>
  <c r="G28" i="54" s="1"/>
  <c r="H30" i="54" s="1"/>
  <c r="G26" i="63"/>
  <c r="K26" i="54"/>
  <c r="K28" i="54" s="1"/>
  <c r="I30" i="54"/>
  <c r="H194" i="63"/>
  <c r="H248" i="63" s="1"/>
  <c r="H45" i="63"/>
  <c r="H28" i="63"/>
  <c r="N26" i="63"/>
  <c r="N26" i="54"/>
  <c r="N28" i="54" s="1"/>
  <c r="O30" i="54" s="1"/>
  <c r="M34" i="64"/>
  <c r="O34" i="64" s="1"/>
  <c r="C163" i="67"/>
  <c r="D163" i="67" s="1"/>
  <c r="E163" i="67" s="1"/>
  <c r="F163" i="67" s="1"/>
  <c r="G163" i="67" s="1"/>
  <c r="H163" i="67" s="1"/>
  <c r="I163" i="67" s="1"/>
  <c r="C139" i="67"/>
  <c r="C143" i="67" s="1"/>
  <c r="D139" i="67"/>
  <c r="D143" i="67" s="1"/>
  <c r="O26" i="64"/>
  <c r="F26" i="54"/>
  <c r="F28" i="54" s="1"/>
  <c r="F26" i="63"/>
  <c r="O31" i="64"/>
  <c r="K45" i="63"/>
  <c r="K194" i="63"/>
  <c r="K248" i="63" s="1"/>
  <c r="K28" i="63"/>
  <c r="F143" i="67"/>
  <c r="M26" i="63"/>
  <c r="M26" i="54"/>
  <c r="M28" i="54" s="1"/>
  <c r="E139" i="67"/>
  <c r="E143" i="67" s="1"/>
  <c r="H33" i="64"/>
  <c r="F62" i="64"/>
  <c r="X52" i="50"/>
  <c r="X55" i="50" s="1"/>
  <c r="AV72" i="50"/>
  <c r="AW63" i="50"/>
  <c r="Y95" i="50"/>
  <c r="Y99" i="50"/>
  <c r="Y94" i="50"/>
  <c r="AW103" i="50"/>
  <c r="AV112" i="50"/>
  <c r="Y68" i="50"/>
  <c r="Z64" i="50" s="1"/>
  <c r="Y107" i="50"/>
  <c r="Y106" i="50"/>
  <c r="Y111" i="50"/>
  <c r="Y113" i="50" s="1"/>
  <c r="Y131" i="50"/>
  <c r="Y135" i="50"/>
  <c r="Y130" i="50"/>
  <c r="U238" i="53" l="1"/>
  <c r="U236" i="53"/>
  <c r="T290" i="63"/>
  <c r="U243" i="53"/>
  <c r="H143" i="67"/>
  <c r="R44" i="63"/>
  <c r="R28" i="63"/>
  <c r="D45" i="63"/>
  <c r="D194" i="63"/>
  <c r="D28" i="63"/>
  <c r="U234" i="53"/>
  <c r="U241" i="53"/>
  <c r="U230" i="53"/>
  <c r="V159" i="53"/>
  <c r="V207" i="53" s="1"/>
  <c r="V171" i="53"/>
  <c r="V219" i="53" s="1"/>
  <c r="V165" i="53"/>
  <c r="V213" i="53" s="1"/>
  <c r="V160" i="53"/>
  <c r="V208" i="53" s="1"/>
  <c r="V166" i="53"/>
  <c r="V214" i="53" s="1"/>
  <c r="V155" i="53"/>
  <c r="V203" i="53" s="1"/>
  <c r="V158" i="53"/>
  <c r="V206" i="53" s="1"/>
  <c r="V169" i="53"/>
  <c r="V217" i="53" s="1"/>
  <c r="V164" i="53"/>
  <c r="V212" i="53" s="1"/>
  <c r="V170" i="53"/>
  <c r="V218" i="53" s="1"/>
  <c r="V154" i="53"/>
  <c r="V202" i="53" s="1"/>
  <c r="V168" i="53"/>
  <c r="V216" i="53" s="1"/>
  <c r="V163" i="53"/>
  <c r="V211" i="53" s="1"/>
  <c r="V157" i="53"/>
  <c r="V205" i="53" s="1"/>
  <c r="V161" i="53"/>
  <c r="V209" i="53" s="1"/>
  <c r="V156" i="53"/>
  <c r="V204" i="53" s="1"/>
  <c r="V167" i="53"/>
  <c r="V215" i="53" s="1"/>
  <c r="V162" i="53"/>
  <c r="V210" i="53" s="1"/>
  <c r="W139" i="50"/>
  <c r="W91" i="49" s="1"/>
  <c r="W92" i="49" s="1"/>
  <c r="K121" i="67"/>
  <c r="K128" i="67" s="1"/>
  <c r="K137" i="67" s="1"/>
  <c r="T104" i="64"/>
  <c r="T19" i="51"/>
  <c r="T20" i="51" s="1"/>
  <c r="T27" i="51" s="1"/>
  <c r="T40" i="49"/>
  <c r="T12" i="52"/>
  <c r="R83" i="67"/>
  <c r="I101" i="67" s="1"/>
  <c r="R77" i="64"/>
  <c r="R171" i="63"/>
  <c r="R178" i="63"/>
  <c r="V112" i="53"/>
  <c r="V109" i="53"/>
  <c r="V106" i="53"/>
  <c r="V122" i="53"/>
  <c r="V121" i="53"/>
  <c r="V119" i="53"/>
  <c r="V110" i="53"/>
  <c r="V123" i="53"/>
  <c r="V115" i="53"/>
  <c r="V107" i="53"/>
  <c r="V118" i="53"/>
  <c r="V114" i="53"/>
  <c r="V108" i="53"/>
  <c r="V111" i="53"/>
  <c r="V120" i="53"/>
  <c r="V113" i="53"/>
  <c r="V116" i="53"/>
  <c r="V117" i="53"/>
  <c r="U229" i="53"/>
  <c r="U239" i="53"/>
  <c r="U237" i="53"/>
  <c r="U231" i="53"/>
  <c r="U240" i="53"/>
  <c r="V105" i="49"/>
  <c r="V107" i="49" s="1"/>
  <c r="T249" i="52"/>
  <c r="S143" i="63" s="1"/>
  <c r="S167" i="63" s="1"/>
  <c r="T246" i="52"/>
  <c r="S140" i="63" s="1"/>
  <c r="S164" i="63" s="1"/>
  <c r="S88" i="64" s="1"/>
  <c r="S155" i="64" s="1"/>
  <c r="T243" i="52"/>
  <c r="S137" i="63" s="1"/>
  <c r="S161" i="63" s="1"/>
  <c r="S85" i="64" s="1"/>
  <c r="S152" i="64" s="1"/>
  <c r="T239" i="52"/>
  <c r="S133" i="63" s="1"/>
  <c r="S157" i="63" s="1"/>
  <c r="T248" i="52"/>
  <c r="S142" i="63" s="1"/>
  <c r="S166" i="63" s="1"/>
  <c r="S90" i="64" s="1"/>
  <c r="S157" i="64" s="1"/>
  <c r="T252" i="52"/>
  <c r="S146" i="63" s="1"/>
  <c r="S170" i="63" s="1"/>
  <c r="S94" i="64" s="1"/>
  <c r="S161" i="64" s="1"/>
  <c r="T247" i="52"/>
  <c r="S141" i="63" s="1"/>
  <c r="S165" i="63" s="1"/>
  <c r="S89" i="64" s="1"/>
  <c r="S156" i="64" s="1"/>
  <c r="T237" i="52"/>
  <c r="S131" i="63" s="1"/>
  <c r="S155" i="63" s="1"/>
  <c r="T242" i="52"/>
  <c r="S136" i="63" s="1"/>
  <c r="S160" i="63" s="1"/>
  <c r="U150" i="53"/>
  <c r="R48" i="63"/>
  <c r="R47" i="63"/>
  <c r="Q118" i="64"/>
  <c r="C37" i="64"/>
  <c r="I37" i="64" s="1"/>
  <c r="Q192" i="63"/>
  <c r="Q195" i="63" s="1"/>
  <c r="Q197" i="63"/>
  <c r="T103" i="64"/>
  <c r="T27" i="47"/>
  <c r="U160" i="52"/>
  <c r="U208" i="52" s="1"/>
  <c r="U158" i="52"/>
  <c r="U206" i="52" s="1"/>
  <c r="U154" i="52"/>
  <c r="U202" i="52" s="1"/>
  <c r="U157" i="52"/>
  <c r="U205" i="52" s="1"/>
  <c r="U153" i="52"/>
  <c r="U201" i="52" s="1"/>
  <c r="U162" i="52"/>
  <c r="U210" i="52" s="1"/>
  <c r="U169" i="52"/>
  <c r="U217" i="52" s="1"/>
  <c r="U166" i="52"/>
  <c r="U214" i="52" s="1"/>
  <c r="U168" i="52"/>
  <c r="U216" i="52" s="1"/>
  <c r="U156" i="52"/>
  <c r="U204" i="52" s="1"/>
  <c r="U155" i="52"/>
  <c r="U203" i="52" s="1"/>
  <c r="U165" i="52"/>
  <c r="U213" i="52" s="1"/>
  <c r="U159" i="52"/>
  <c r="U207" i="52" s="1"/>
  <c r="U161" i="52"/>
  <c r="U209" i="52" s="1"/>
  <c r="U170" i="52"/>
  <c r="U218" i="52" s="1"/>
  <c r="U167" i="52"/>
  <c r="U215" i="52" s="1"/>
  <c r="U163" i="52"/>
  <c r="U211" i="52" s="1"/>
  <c r="U164" i="52"/>
  <c r="U212" i="52" s="1"/>
  <c r="Q122" i="64"/>
  <c r="Q162" i="64"/>
  <c r="S26" i="54"/>
  <c r="S26" i="63"/>
  <c r="U232" i="53"/>
  <c r="U226" i="53"/>
  <c r="U228" i="53"/>
  <c r="U235" i="53"/>
  <c r="V69" i="49"/>
  <c r="V11" i="63"/>
  <c r="V93" i="47"/>
  <c r="V12" i="54"/>
  <c r="U14" i="54"/>
  <c r="U15" i="54" s="1"/>
  <c r="U16" i="54" s="1"/>
  <c r="U92" i="47"/>
  <c r="U13" i="63"/>
  <c r="U14" i="63" s="1"/>
  <c r="U16" i="63" s="1"/>
  <c r="U37" i="49"/>
  <c r="U28" i="49"/>
  <c r="T250" i="52"/>
  <c r="S144" i="63" s="1"/>
  <c r="S168" i="63" s="1"/>
  <c r="T245" i="52"/>
  <c r="S139" i="63" s="1"/>
  <c r="S163" i="63" s="1"/>
  <c r="S87" i="64" s="1"/>
  <c r="S154" i="64" s="1"/>
  <c r="T235" i="52"/>
  <c r="T238" i="52"/>
  <c r="S132" i="63" s="1"/>
  <c r="S156" i="63" s="1"/>
  <c r="T236" i="52"/>
  <c r="S130" i="63" s="1"/>
  <c r="S154" i="63" s="1"/>
  <c r="T251" i="52"/>
  <c r="S145" i="63" s="1"/>
  <c r="S169" i="63" s="1"/>
  <c r="T244" i="52"/>
  <c r="S138" i="63" s="1"/>
  <c r="S162" i="63" s="1"/>
  <c r="T241" i="52"/>
  <c r="S135" i="63" s="1"/>
  <c r="S159" i="63" s="1"/>
  <c r="T240" i="52"/>
  <c r="S134" i="63" s="1"/>
  <c r="S158" i="63" s="1"/>
  <c r="U113" i="52"/>
  <c r="U114" i="52"/>
  <c r="U140" i="52" s="1"/>
  <c r="U188" i="52" s="1"/>
  <c r="U244" i="52" s="1"/>
  <c r="T138" i="63" s="1"/>
  <c r="T162" i="63" s="1"/>
  <c r="U111" i="52"/>
  <c r="U137" i="52" s="1"/>
  <c r="U185" i="52" s="1"/>
  <c r="U241" i="52" s="1"/>
  <c r="T135" i="63" s="1"/>
  <c r="T159" i="63" s="1"/>
  <c r="U117" i="52"/>
  <c r="U143" i="52" s="1"/>
  <c r="U191" i="52" s="1"/>
  <c r="U121" i="52"/>
  <c r="U147" i="52" s="1"/>
  <c r="U195" i="52" s="1"/>
  <c r="U251" i="52" s="1"/>
  <c r="T145" i="63" s="1"/>
  <c r="T169" i="63" s="1"/>
  <c r="U120" i="52"/>
  <c r="U146" i="52" s="1"/>
  <c r="U194" i="52" s="1"/>
  <c r="U105" i="52"/>
  <c r="U131" i="52" s="1"/>
  <c r="U179" i="52" s="1"/>
  <c r="U235" i="52" s="1"/>
  <c r="U116" i="52"/>
  <c r="U142" i="52" s="1"/>
  <c r="U190" i="52" s="1"/>
  <c r="U246" i="52" s="1"/>
  <c r="U110" i="52"/>
  <c r="U136" i="52" s="1"/>
  <c r="U184" i="52" s="1"/>
  <c r="U240" i="52" s="1"/>
  <c r="U119" i="52"/>
  <c r="U145" i="52" s="1"/>
  <c r="U193" i="52" s="1"/>
  <c r="U112" i="52"/>
  <c r="U138" i="52" s="1"/>
  <c r="U186" i="52" s="1"/>
  <c r="U242" i="52" s="1"/>
  <c r="T136" i="63" s="1"/>
  <c r="T160" i="63" s="1"/>
  <c r="U122" i="52"/>
  <c r="U148" i="52" s="1"/>
  <c r="U196" i="52" s="1"/>
  <c r="U106" i="52"/>
  <c r="U132" i="52" s="1"/>
  <c r="U180" i="52" s="1"/>
  <c r="U236" i="52" s="1"/>
  <c r="U115" i="52"/>
  <c r="U141" i="52" s="1"/>
  <c r="U189" i="52" s="1"/>
  <c r="U109" i="52"/>
  <c r="U135" i="52" s="1"/>
  <c r="U183" i="52" s="1"/>
  <c r="U118" i="52"/>
  <c r="U144" i="52" s="1"/>
  <c r="U192" i="52" s="1"/>
  <c r="U107" i="52"/>
  <c r="U133" i="52" s="1"/>
  <c r="U181" i="52" s="1"/>
  <c r="U237" i="52" s="1"/>
  <c r="T131" i="63" s="1"/>
  <c r="T155" i="63" s="1"/>
  <c r="U108" i="52"/>
  <c r="U134" i="52" s="1"/>
  <c r="U182" i="52" s="1"/>
  <c r="U238" i="52" s="1"/>
  <c r="U13" i="53"/>
  <c r="U116" i="51"/>
  <c r="U117" i="51" s="1"/>
  <c r="U124" i="51" s="1"/>
  <c r="U72" i="49"/>
  <c r="R119" i="64"/>
  <c r="R200" i="63"/>
  <c r="R177" i="64" s="1"/>
  <c r="D38" i="64"/>
  <c r="H38" i="64" s="1"/>
  <c r="R205" i="63"/>
  <c r="R201" i="63"/>
  <c r="R179" i="64" s="1"/>
  <c r="U227" i="53"/>
  <c r="R120" i="64"/>
  <c r="R248" i="63"/>
  <c r="Q193" i="63"/>
  <c r="O47" i="63"/>
  <c r="O48" i="63"/>
  <c r="O40" i="63"/>
  <c r="O41" i="63"/>
  <c r="O120" i="64"/>
  <c r="O123" i="64" s="1"/>
  <c r="O205" i="63"/>
  <c r="O201" i="63"/>
  <c r="O179" i="64" s="1"/>
  <c r="O180" i="64" s="1"/>
  <c r="O197" i="63"/>
  <c r="P194" i="63"/>
  <c r="P248" i="63" s="1"/>
  <c r="P45" i="63"/>
  <c r="P28" i="63"/>
  <c r="P30" i="54"/>
  <c r="Q30" i="54"/>
  <c r="E45" i="63"/>
  <c r="E48" i="63" s="1"/>
  <c r="E194" i="63"/>
  <c r="I40" i="63"/>
  <c r="I41" i="63"/>
  <c r="I48" i="63"/>
  <c r="I47" i="63"/>
  <c r="I120" i="64"/>
  <c r="I123" i="64" s="1"/>
  <c r="I201" i="63"/>
  <c r="I179" i="64" s="1"/>
  <c r="I180" i="64" s="1"/>
  <c r="I197" i="63"/>
  <c r="J194" i="63"/>
  <c r="J248" i="63" s="1"/>
  <c r="J28" i="63"/>
  <c r="K30" i="63" s="1"/>
  <c r="J45" i="63"/>
  <c r="K30" i="54"/>
  <c r="L40" i="63"/>
  <c r="L41" i="63"/>
  <c r="L47" i="63"/>
  <c r="L48" i="63"/>
  <c r="L120" i="64"/>
  <c r="L123" i="64" s="1"/>
  <c r="L197" i="63"/>
  <c r="L201" i="63"/>
  <c r="L179" i="64" s="1"/>
  <c r="L180" i="64" s="1"/>
  <c r="L30" i="54"/>
  <c r="G28" i="63"/>
  <c r="H30" i="63" s="1"/>
  <c r="G45" i="63"/>
  <c r="G194" i="63"/>
  <c r="G248" i="63" s="1"/>
  <c r="H47" i="63"/>
  <c r="H48" i="63"/>
  <c r="H120" i="64"/>
  <c r="H123" i="64" s="1"/>
  <c r="H201" i="63"/>
  <c r="H179" i="64" s="1"/>
  <c r="H180" i="64" s="1"/>
  <c r="H197" i="63"/>
  <c r="H40" i="63"/>
  <c r="H41" i="63"/>
  <c r="I30" i="63"/>
  <c r="N194" i="63"/>
  <c r="N248" i="63" s="1"/>
  <c r="N45" i="63"/>
  <c r="N28" i="63"/>
  <c r="E41" i="63"/>
  <c r="E30" i="63"/>
  <c r="E40" i="63"/>
  <c r="F45" i="63"/>
  <c r="F194" i="63"/>
  <c r="F248" i="63" s="1"/>
  <c r="F28" i="63"/>
  <c r="G30" i="54"/>
  <c r="F30" i="54"/>
  <c r="K47" i="63"/>
  <c r="K48" i="63"/>
  <c r="K120" i="64"/>
  <c r="K123" i="64" s="1"/>
  <c r="K201" i="63"/>
  <c r="K179" i="64" s="1"/>
  <c r="K180" i="64" s="1"/>
  <c r="K197" i="63"/>
  <c r="K41" i="63"/>
  <c r="K40" i="63"/>
  <c r="L30" i="63"/>
  <c r="M33" i="64"/>
  <c r="M125" i="64"/>
  <c r="M30" i="54"/>
  <c r="N30" i="54"/>
  <c r="M194" i="63"/>
  <c r="M248" i="63" s="1"/>
  <c r="M45" i="63"/>
  <c r="M28" i="63"/>
  <c r="X54" i="50"/>
  <c r="X56" i="50" s="1"/>
  <c r="Y52" i="50" s="1"/>
  <c r="X59" i="50"/>
  <c r="X77" i="50" s="1"/>
  <c r="Z66" i="50"/>
  <c r="Z71" i="50"/>
  <c r="Z73" i="50" s="1"/>
  <c r="Z67" i="50"/>
  <c r="Y115" i="50"/>
  <c r="Y96" i="50"/>
  <c r="Z92" i="50" s="1"/>
  <c r="AW72" i="50"/>
  <c r="AX63" i="50"/>
  <c r="AX103" i="50"/>
  <c r="AW112" i="50"/>
  <c r="Y132" i="50"/>
  <c r="Z128" i="50" s="1"/>
  <c r="Y108" i="50"/>
  <c r="Z104" i="50" s="1"/>
  <c r="Y110" i="50"/>
  <c r="U249" i="52" l="1"/>
  <c r="R40" i="63"/>
  <c r="R41" i="63"/>
  <c r="R30" i="63"/>
  <c r="U15" i="67"/>
  <c r="D40" i="63"/>
  <c r="D41" i="63"/>
  <c r="D30" i="63"/>
  <c r="D120" i="64"/>
  <c r="D123" i="64" s="1"/>
  <c r="D248" i="63"/>
  <c r="D250" i="63" s="1"/>
  <c r="D201" i="63"/>
  <c r="D179" i="64" s="1"/>
  <c r="D180" i="64" s="1"/>
  <c r="D197" i="63"/>
  <c r="U245" i="53"/>
  <c r="D48" i="63"/>
  <c r="D47" i="63"/>
  <c r="U248" i="52"/>
  <c r="T142" i="63" s="1"/>
  <c r="T166" i="63" s="1"/>
  <c r="T90" i="64" s="1"/>
  <c r="T157" i="64" s="1"/>
  <c r="U247" i="52"/>
  <c r="T141" i="63" s="1"/>
  <c r="T165" i="63" s="1"/>
  <c r="T89" i="64" s="1"/>
  <c r="T156" i="64" s="1"/>
  <c r="T134" i="63"/>
  <c r="T158" i="63" s="1"/>
  <c r="U239" i="52"/>
  <c r="T133" i="63" s="1"/>
  <c r="T157" i="63" s="1"/>
  <c r="T87" i="67" s="1"/>
  <c r="K105" i="67" s="1"/>
  <c r="T132" i="63"/>
  <c r="T156" i="63" s="1"/>
  <c r="T179" i="63" s="1"/>
  <c r="T143" i="63"/>
  <c r="T167" i="63" s="1"/>
  <c r="T91" i="64" s="1"/>
  <c r="T158" i="64" s="1"/>
  <c r="T140" i="63"/>
  <c r="T164" i="63" s="1"/>
  <c r="T88" i="64" s="1"/>
  <c r="T155" i="64" s="1"/>
  <c r="U245" i="52"/>
  <c r="T139" i="63" s="1"/>
  <c r="T163" i="63" s="1"/>
  <c r="T87" i="64" s="1"/>
  <c r="T154" i="64" s="1"/>
  <c r="U252" i="52"/>
  <c r="T146" i="63" s="1"/>
  <c r="T170" i="63" s="1"/>
  <c r="T94" i="64" s="1"/>
  <c r="T161" i="64" s="1"/>
  <c r="U250" i="52"/>
  <c r="T144" i="63" s="1"/>
  <c r="T168" i="63" s="1"/>
  <c r="T93" i="67" s="1"/>
  <c r="Q163" i="64"/>
  <c r="R180" i="64"/>
  <c r="M38" i="64"/>
  <c r="X167" i="51"/>
  <c r="AA167" i="51"/>
  <c r="AC167" i="51"/>
  <c r="V167" i="51"/>
  <c r="V201" i="51" s="1"/>
  <c r="V87" i="53" s="1"/>
  <c r="AD167" i="51"/>
  <c r="AE167" i="51"/>
  <c r="Y167" i="51"/>
  <c r="Z167" i="51"/>
  <c r="AB167" i="51"/>
  <c r="U125" i="51"/>
  <c r="W167" i="51"/>
  <c r="T86" i="67"/>
  <c r="T92" i="67"/>
  <c r="T86" i="64"/>
  <c r="T153" i="64" s="1"/>
  <c r="S180" i="63"/>
  <c r="S187" i="63" s="1"/>
  <c r="S88" i="67"/>
  <c r="J106" i="67" s="1"/>
  <c r="S82" i="64"/>
  <c r="S149" i="64" s="1"/>
  <c r="S91" i="67"/>
  <c r="J109" i="67" s="1"/>
  <c r="S86" i="64"/>
  <c r="S153" i="64" s="1"/>
  <c r="S78" i="64"/>
  <c r="S145" i="64" s="1"/>
  <c r="S84" i="67"/>
  <c r="J102" i="67" s="1"/>
  <c r="S129" i="63"/>
  <c r="T254" i="52"/>
  <c r="S93" i="67"/>
  <c r="J111" i="67" s="1"/>
  <c r="S92" i="64"/>
  <c r="S159" i="64" s="1"/>
  <c r="U11" i="52"/>
  <c r="V227" i="52" s="1"/>
  <c r="V228" i="52" s="1"/>
  <c r="U38" i="49"/>
  <c r="U181" i="47"/>
  <c r="U182" i="47" s="1"/>
  <c r="U219" i="47" s="1"/>
  <c r="U220" i="47" s="1"/>
  <c r="U19" i="47" s="1"/>
  <c r="U96" i="47"/>
  <c r="U165" i="47" s="1"/>
  <c r="U166" i="47" s="1"/>
  <c r="U18" i="47" s="1"/>
  <c r="M120" i="67" s="1"/>
  <c r="V12" i="67"/>
  <c r="T22" i="63"/>
  <c r="T22" i="54"/>
  <c r="U247" i="53"/>
  <c r="S194" i="63"/>
  <c r="S45" i="63"/>
  <c r="E40" i="64"/>
  <c r="T30" i="47"/>
  <c r="T29" i="47"/>
  <c r="Q124" i="64"/>
  <c r="Q198" i="63"/>
  <c r="Q206" i="63"/>
  <c r="Q125" i="64"/>
  <c r="N37" i="64"/>
  <c r="O37" i="64" s="1"/>
  <c r="S79" i="64"/>
  <c r="S146" i="64" s="1"/>
  <c r="S85" i="67"/>
  <c r="J103" i="67" s="1"/>
  <c r="S87" i="67"/>
  <c r="J105" i="67" s="1"/>
  <c r="S81" i="64"/>
  <c r="S148" i="64" s="1"/>
  <c r="V106" i="49"/>
  <c r="R172" i="63"/>
  <c r="R173" i="63"/>
  <c r="I113" i="67"/>
  <c r="I142" i="67" s="1"/>
  <c r="I136" i="67"/>
  <c r="I139" i="67" s="1"/>
  <c r="T111" i="64"/>
  <c r="W13" i="54"/>
  <c r="W12" i="63"/>
  <c r="W13" i="67" s="1"/>
  <c r="W104" i="49"/>
  <c r="W94" i="47"/>
  <c r="W119" i="50"/>
  <c r="W57" i="49" s="1"/>
  <c r="W58" i="49" s="1"/>
  <c r="V83" i="50"/>
  <c r="V25" i="49" s="1"/>
  <c r="V26" i="49" s="1"/>
  <c r="V138" i="53"/>
  <c r="V186" i="53" s="1"/>
  <c r="V232" i="53" s="1"/>
  <c r="V147" i="53"/>
  <c r="V195" i="53" s="1"/>
  <c r="V241" i="53" s="1"/>
  <c r="V149" i="53"/>
  <c r="V197" i="53" s="1"/>
  <c r="V243" i="53" s="1"/>
  <c r="V141" i="53"/>
  <c r="V189" i="53" s="1"/>
  <c r="V235" i="53" s="1"/>
  <c r="V144" i="53"/>
  <c r="V192" i="53" s="1"/>
  <c r="V238" i="53" s="1"/>
  <c r="V137" i="53"/>
  <c r="V185" i="53" s="1"/>
  <c r="V231" i="53" s="1"/>
  <c r="V132" i="53"/>
  <c r="V180" i="53" s="1"/>
  <c r="V226" i="53" s="1"/>
  <c r="V136" i="53"/>
  <c r="V184" i="53" s="1"/>
  <c r="V230" i="53" s="1"/>
  <c r="V146" i="53"/>
  <c r="V194" i="53" s="1"/>
  <c r="V240" i="53" s="1"/>
  <c r="V139" i="53"/>
  <c r="V187" i="53" s="1"/>
  <c r="V233" i="53" s="1"/>
  <c r="V135" i="53"/>
  <c r="V183" i="53" s="1"/>
  <c r="V229" i="53" s="1"/>
  <c r="V133" i="53"/>
  <c r="V181" i="53" s="1"/>
  <c r="V227" i="53" s="1"/>
  <c r="V145" i="53"/>
  <c r="V193" i="53" s="1"/>
  <c r="V239" i="53" s="1"/>
  <c r="V143" i="53"/>
  <c r="V191" i="53" s="1"/>
  <c r="V237" i="53" s="1"/>
  <c r="V142" i="53"/>
  <c r="V190" i="53" s="1"/>
  <c r="V236" i="53" s="1"/>
  <c r="V148" i="53"/>
  <c r="V196" i="53" s="1"/>
  <c r="V242" i="53" s="1"/>
  <c r="U15" i="53"/>
  <c r="V134" i="53"/>
  <c r="V182" i="53" s="1"/>
  <c r="V228" i="53" s="1"/>
  <c r="V140" i="53"/>
  <c r="V188" i="53" s="1"/>
  <c r="V234" i="53" s="1"/>
  <c r="T79" i="64"/>
  <c r="T146" i="64" s="1"/>
  <c r="T85" i="67"/>
  <c r="K103" i="67" s="1"/>
  <c r="T130" i="63"/>
  <c r="T154" i="63" s="1"/>
  <c r="T84" i="64"/>
  <c r="T151" i="64" s="1"/>
  <c r="T88" i="67"/>
  <c r="K106" i="67" s="1"/>
  <c r="T82" i="64"/>
  <c r="T149" i="64" s="1"/>
  <c r="T129" i="63"/>
  <c r="T94" i="67"/>
  <c r="T93" i="64"/>
  <c r="T160" i="64" s="1"/>
  <c r="T89" i="67"/>
  <c r="T83" i="64"/>
  <c r="T150" i="64" s="1"/>
  <c r="S89" i="67"/>
  <c r="J107" i="67" s="1"/>
  <c r="S83" i="64"/>
  <c r="S150" i="64" s="1"/>
  <c r="S93" i="64"/>
  <c r="S160" i="64" s="1"/>
  <c r="S94" i="67"/>
  <c r="J112" i="67" s="1"/>
  <c r="S86" i="67"/>
  <c r="J104" i="67" s="1"/>
  <c r="S80" i="64"/>
  <c r="S147" i="64" s="1"/>
  <c r="S179" i="63"/>
  <c r="U288" i="63"/>
  <c r="U14" i="67"/>
  <c r="U289" i="63"/>
  <c r="V70" i="49"/>
  <c r="V71" i="49" s="1"/>
  <c r="V14" i="53" s="1"/>
  <c r="V12" i="53"/>
  <c r="Q169" i="64"/>
  <c r="Q170" i="64" s="1"/>
  <c r="Q123" i="64"/>
  <c r="U134" i="64"/>
  <c r="U17" i="67"/>
  <c r="R52" i="63"/>
  <c r="R50" i="63"/>
  <c r="S181" i="63"/>
  <c r="S188" i="63" s="1"/>
  <c r="S90" i="67"/>
  <c r="J108" i="67" s="1"/>
  <c r="S84" i="64"/>
  <c r="S151" i="64" s="1"/>
  <c r="S92" i="67"/>
  <c r="J110" i="67" s="1"/>
  <c r="S91" i="64"/>
  <c r="S158" i="64" s="1"/>
  <c r="R185" i="63"/>
  <c r="R182" i="63"/>
  <c r="R183" i="63" s="1"/>
  <c r="R190" i="63"/>
  <c r="R193" i="63" s="1"/>
  <c r="R144" i="64"/>
  <c r="R95" i="64"/>
  <c r="U139" i="52"/>
  <c r="U187" i="52" s="1"/>
  <c r="U243" i="52" s="1"/>
  <c r="T137" i="63" s="1"/>
  <c r="T161" i="63" s="1"/>
  <c r="T85" i="64" s="1"/>
  <c r="T152" i="64" s="1"/>
  <c r="T14" i="52"/>
  <c r="W69" i="51"/>
  <c r="X69" i="51"/>
  <c r="T28" i="51"/>
  <c r="Y69" i="51"/>
  <c r="V69" i="51"/>
  <c r="AD69" i="51"/>
  <c r="AA69" i="51"/>
  <c r="U69" i="51"/>
  <c r="U104" i="51" s="1"/>
  <c r="U86" i="52" s="1"/>
  <c r="Z69" i="51"/>
  <c r="AB69" i="51"/>
  <c r="AC69" i="51"/>
  <c r="E197" i="63"/>
  <c r="E124" i="64" s="1"/>
  <c r="E248" i="63"/>
  <c r="E250" i="63" s="1"/>
  <c r="O50" i="63"/>
  <c r="O170" i="64" s="1"/>
  <c r="O52" i="63"/>
  <c r="O206" i="63"/>
  <c r="O198" i="63"/>
  <c r="O124" i="64"/>
  <c r="P30" i="63"/>
  <c r="P40" i="63"/>
  <c r="P41" i="63"/>
  <c r="Q30" i="63"/>
  <c r="P47" i="63"/>
  <c r="P48" i="63"/>
  <c r="P120" i="64"/>
  <c r="P123" i="64" s="1"/>
  <c r="P205" i="63"/>
  <c r="P197" i="63"/>
  <c r="P201" i="63"/>
  <c r="P179" i="64" s="1"/>
  <c r="P180" i="64" s="1"/>
  <c r="E47" i="63"/>
  <c r="E201" i="63"/>
  <c r="E179" i="64" s="1"/>
  <c r="E120" i="64"/>
  <c r="E123" i="64" s="1"/>
  <c r="I52" i="63"/>
  <c r="I50" i="63"/>
  <c r="I170" i="64" s="1"/>
  <c r="I198" i="63"/>
  <c r="I124" i="64"/>
  <c r="J30" i="63"/>
  <c r="J40" i="63"/>
  <c r="J41" i="63"/>
  <c r="J47" i="63"/>
  <c r="J48" i="63"/>
  <c r="J197" i="63"/>
  <c r="J120" i="64"/>
  <c r="J123" i="64" s="1"/>
  <c r="J201" i="63"/>
  <c r="J179" i="64" s="1"/>
  <c r="J180" i="64" s="1"/>
  <c r="L50" i="63"/>
  <c r="L170" i="64" s="1"/>
  <c r="L52" i="63"/>
  <c r="L198" i="63"/>
  <c r="L124" i="64"/>
  <c r="G120" i="64"/>
  <c r="G123" i="64" s="1"/>
  <c r="G197" i="63"/>
  <c r="G201" i="63"/>
  <c r="G179" i="64" s="1"/>
  <c r="G180" i="64" s="1"/>
  <c r="G48" i="63"/>
  <c r="G47" i="63"/>
  <c r="G40" i="63"/>
  <c r="G41" i="63"/>
  <c r="H198" i="63"/>
  <c r="H124" i="64"/>
  <c r="H52" i="63"/>
  <c r="H50" i="63"/>
  <c r="H170" i="64" s="1"/>
  <c r="N41" i="63"/>
  <c r="O30" i="63"/>
  <c r="N40" i="63"/>
  <c r="N48" i="63"/>
  <c r="N47" i="63"/>
  <c r="N120" i="64"/>
  <c r="N123" i="64" s="1"/>
  <c r="N201" i="63"/>
  <c r="N179" i="64" s="1"/>
  <c r="N180" i="64" s="1"/>
  <c r="N197" i="63"/>
  <c r="E52" i="63"/>
  <c r="E50" i="63"/>
  <c r="E170" i="64" s="1"/>
  <c r="F30" i="63"/>
  <c r="F40" i="63"/>
  <c r="G30" i="63"/>
  <c r="F41" i="63"/>
  <c r="F197" i="63"/>
  <c r="F120" i="64"/>
  <c r="F123" i="64" s="1"/>
  <c r="F201" i="63"/>
  <c r="F179" i="64" s="1"/>
  <c r="F180" i="64" s="1"/>
  <c r="F47" i="63"/>
  <c r="F48" i="63"/>
  <c r="K198" i="63"/>
  <c r="K124" i="64"/>
  <c r="K52" i="63"/>
  <c r="K50" i="63"/>
  <c r="K170" i="64" s="1"/>
  <c r="M41" i="63"/>
  <c r="M40" i="63"/>
  <c r="M30" i="63"/>
  <c r="N30" i="63"/>
  <c r="M47" i="63"/>
  <c r="M48" i="63"/>
  <c r="M120" i="64"/>
  <c r="M123" i="64" s="1"/>
  <c r="M201" i="63"/>
  <c r="M179" i="64" s="1"/>
  <c r="M180" i="64" s="1"/>
  <c r="M197" i="63"/>
  <c r="Q33" i="64"/>
  <c r="Q34" i="64" s="1"/>
  <c r="Q35" i="64" s="1"/>
  <c r="Q36" i="64" s="1"/>
  <c r="Q37" i="64" s="1"/>
  <c r="O33" i="64"/>
  <c r="Z111" i="50"/>
  <c r="Z113" i="50" s="1"/>
  <c r="Z107" i="50"/>
  <c r="Z106" i="50"/>
  <c r="Z131" i="50"/>
  <c r="Z130" i="50"/>
  <c r="Z135" i="50"/>
  <c r="Y55" i="50"/>
  <c r="Y54" i="50"/>
  <c r="Y59" i="50"/>
  <c r="Y77" i="50" s="1"/>
  <c r="AX72" i="50"/>
  <c r="AY63" i="50"/>
  <c r="AX112" i="50"/>
  <c r="AY103" i="50"/>
  <c r="Z94" i="50"/>
  <c r="Z99" i="50"/>
  <c r="Z95" i="50"/>
  <c r="Z68" i="50"/>
  <c r="AA64" i="50" s="1"/>
  <c r="U290" i="63" l="1"/>
  <c r="T92" i="64"/>
  <c r="T159" i="64" s="1"/>
  <c r="T180" i="63"/>
  <c r="T187" i="63" s="1"/>
  <c r="U254" i="52"/>
  <c r="I143" i="67"/>
  <c r="T91" i="67"/>
  <c r="T80" i="64"/>
  <c r="T147" i="64" s="1"/>
  <c r="J135" i="67"/>
  <c r="J163" i="67" s="1"/>
  <c r="T90" i="67"/>
  <c r="V150" i="53"/>
  <c r="V245" i="53"/>
  <c r="U22" i="63" s="1"/>
  <c r="D198" i="63"/>
  <c r="D124" i="64"/>
  <c r="T181" i="63"/>
  <c r="T188" i="63" s="1"/>
  <c r="D50" i="63"/>
  <c r="D170" i="64" s="1"/>
  <c r="D52" i="63"/>
  <c r="T81" i="64"/>
  <c r="T148" i="64" s="1"/>
  <c r="Q38" i="64"/>
  <c r="K112" i="67"/>
  <c r="K110" i="67"/>
  <c r="K107" i="67"/>
  <c r="K108" i="67"/>
  <c r="K109" i="67"/>
  <c r="K111" i="67"/>
  <c r="K104" i="67"/>
  <c r="W83" i="50"/>
  <c r="W25" i="49" s="1"/>
  <c r="W26" i="49" s="1"/>
  <c r="T24" i="63"/>
  <c r="T44" i="63" s="1"/>
  <c r="U256" i="52"/>
  <c r="T24" i="54"/>
  <c r="T84" i="67"/>
  <c r="K102" i="67" s="1"/>
  <c r="T78" i="64"/>
  <c r="T145" i="64" s="1"/>
  <c r="W105" i="49"/>
  <c r="W107" i="49" s="1"/>
  <c r="T26" i="63"/>
  <c r="T26" i="54"/>
  <c r="L121" i="67"/>
  <c r="L128" i="67" s="1"/>
  <c r="L137" i="67" s="1"/>
  <c r="U104" i="64"/>
  <c r="S153" i="63"/>
  <c r="S147" i="63"/>
  <c r="T186" i="63"/>
  <c r="W106" i="53"/>
  <c r="W114" i="53"/>
  <c r="W121" i="53"/>
  <c r="W113" i="53"/>
  <c r="W120" i="53"/>
  <c r="W122" i="53"/>
  <c r="W111" i="53"/>
  <c r="W112" i="53"/>
  <c r="W107" i="53"/>
  <c r="W115" i="53"/>
  <c r="W110" i="53"/>
  <c r="W109" i="53"/>
  <c r="W119" i="53"/>
  <c r="W117" i="53"/>
  <c r="W118" i="53"/>
  <c r="W108" i="53"/>
  <c r="W116" i="53"/>
  <c r="W123" i="53"/>
  <c r="X139" i="50"/>
  <c r="X91" i="49" s="1"/>
  <c r="X92" i="49" s="1"/>
  <c r="V107" i="52"/>
  <c r="V106" i="52"/>
  <c r="V112" i="52"/>
  <c r="V114" i="52"/>
  <c r="V110" i="52"/>
  <c r="V111" i="52"/>
  <c r="V117" i="52"/>
  <c r="V108" i="52"/>
  <c r="V121" i="52"/>
  <c r="V109" i="52"/>
  <c r="V118" i="52"/>
  <c r="V115" i="52"/>
  <c r="V113" i="52"/>
  <c r="V120" i="52"/>
  <c r="V119" i="52"/>
  <c r="V105" i="52"/>
  <c r="V116" i="52"/>
  <c r="V122" i="52"/>
  <c r="R162" i="64"/>
  <c r="R122" i="64"/>
  <c r="R118" i="64"/>
  <c r="R192" i="63"/>
  <c r="R195" i="63" s="1"/>
  <c r="C38" i="64"/>
  <c r="I38" i="64" s="1"/>
  <c r="R197" i="63"/>
  <c r="W161" i="53"/>
  <c r="W209" i="53" s="1"/>
  <c r="W166" i="53"/>
  <c r="W214" i="53" s="1"/>
  <c r="W155" i="53"/>
  <c r="W203" i="53" s="1"/>
  <c r="W168" i="53"/>
  <c r="W216" i="53" s="1"/>
  <c r="W164" i="53"/>
  <c r="W212" i="53" s="1"/>
  <c r="W167" i="53"/>
  <c r="W215" i="53" s="1"/>
  <c r="W154" i="53"/>
  <c r="W202" i="53" s="1"/>
  <c r="W162" i="53"/>
  <c r="W210" i="53" s="1"/>
  <c r="W158" i="53"/>
  <c r="W206" i="53" s="1"/>
  <c r="W165" i="53"/>
  <c r="W213" i="53" s="1"/>
  <c r="W169" i="53"/>
  <c r="W217" i="53" s="1"/>
  <c r="W171" i="53"/>
  <c r="W219" i="53" s="1"/>
  <c r="W157" i="53"/>
  <c r="W205" i="53" s="1"/>
  <c r="W163" i="53"/>
  <c r="W211" i="53" s="1"/>
  <c r="W160" i="53"/>
  <c r="W208" i="53" s="1"/>
  <c r="W159" i="53"/>
  <c r="W207" i="53" s="1"/>
  <c r="W156" i="53"/>
  <c r="W204" i="53" s="1"/>
  <c r="W170" i="53"/>
  <c r="W218" i="53" s="1"/>
  <c r="V13" i="53"/>
  <c r="V72" i="49"/>
  <c r="V116" i="51"/>
  <c r="V117" i="51" s="1"/>
  <c r="V124" i="51" s="1"/>
  <c r="S186" i="63"/>
  <c r="S191" i="63"/>
  <c r="T153" i="63"/>
  <c r="T147" i="63"/>
  <c r="V92" i="47"/>
  <c r="V37" i="49"/>
  <c r="V13" i="63"/>
  <c r="V14" i="63" s="1"/>
  <c r="V15" i="67" s="1"/>
  <c r="V14" i="54"/>
  <c r="V15" i="54" s="1"/>
  <c r="V16" i="54" s="1"/>
  <c r="W12" i="54"/>
  <c r="W93" i="47"/>
  <c r="W11" i="63"/>
  <c r="W69" i="49"/>
  <c r="S120" i="64"/>
  <c r="S248" i="63"/>
  <c r="V16" i="63"/>
  <c r="U103" i="64"/>
  <c r="U27" i="47"/>
  <c r="U39" i="49"/>
  <c r="U13" i="52" s="1"/>
  <c r="U19" i="51"/>
  <c r="U20" i="51" s="1"/>
  <c r="U27" i="51" s="1"/>
  <c r="U40" i="49"/>
  <c r="U12" i="52"/>
  <c r="T256" i="52"/>
  <c r="S24" i="63"/>
  <c r="S24" i="54"/>
  <c r="S28" i="54" s="1"/>
  <c r="S30" i="54" s="1"/>
  <c r="E198" i="63"/>
  <c r="P206" i="63"/>
  <c r="P198" i="63"/>
  <c r="P124" i="64"/>
  <c r="P50" i="63"/>
  <c r="P170" i="64" s="1"/>
  <c r="P52" i="63"/>
  <c r="F250" i="63"/>
  <c r="G250" i="63" s="1"/>
  <c r="H250" i="63" s="1"/>
  <c r="I250" i="63" s="1"/>
  <c r="J250" i="63" s="1"/>
  <c r="K250" i="63" s="1"/>
  <c r="L250" i="63" s="1"/>
  <c r="M250" i="63" s="1"/>
  <c r="N250" i="63" s="1"/>
  <c r="O250" i="63" s="1"/>
  <c r="P250" i="63" s="1"/>
  <c r="Q250" i="63" s="1"/>
  <c r="R250" i="63" s="1"/>
  <c r="J124" i="64"/>
  <c r="J198" i="63"/>
  <c r="J50" i="63"/>
  <c r="J170" i="64" s="1"/>
  <c r="J52" i="63"/>
  <c r="G124" i="64"/>
  <c r="G198" i="63"/>
  <c r="G50" i="63"/>
  <c r="G170" i="64" s="1"/>
  <c r="G52" i="63"/>
  <c r="N50" i="63"/>
  <c r="N170" i="64" s="1"/>
  <c r="N52" i="63"/>
  <c r="N198" i="63"/>
  <c r="N124" i="64"/>
  <c r="F52" i="63"/>
  <c r="F50" i="63"/>
  <c r="F170" i="64" s="1"/>
  <c r="F198" i="63"/>
  <c r="F124" i="64"/>
  <c r="M52" i="63"/>
  <c r="M50" i="63"/>
  <c r="M170" i="64" s="1"/>
  <c r="M124" i="64"/>
  <c r="M198" i="63"/>
  <c r="Z115" i="50"/>
  <c r="AA71" i="50"/>
  <c r="AA73" i="50" s="1"/>
  <c r="AA66" i="50"/>
  <c r="AA67" i="50"/>
  <c r="Z108" i="50"/>
  <c r="AA104" i="50" s="1"/>
  <c r="Z110" i="50"/>
  <c r="Y56" i="50"/>
  <c r="Z52" i="50" s="1"/>
  <c r="AZ103" i="50"/>
  <c r="AY112" i="50"/>
  <c r="AY72" i="50"/>
  <c r="AZ63" i="50"/>
  <c r="Z96" i="50"/>
  <c r="AA92" i="50" s="1"/>
  <c r="Z132" i="50"/>
  <c r="AA128" i="50" s="1"/>
  <c r="U111" i="64" l="1"/>
  <c r="T148" i="63"/>
  <c r="U22" i="54"/>
  <c r="V247" i="53"/>
  <c r="T191" i="63"/>
  <c r="T200" i="63" s="1"/>
  <c r="T177" i="64" s="1"/>
  <c r="T28" i="63"/>
  <c r="T28" i="54"/>
  <c r="T30" i="54" s="1"/>
  <c r="S28" i="63"/>
  <c r="T30" i="63" s="1"/>
  <c r="S44" i="63"/>
  <c r="S148" i="63"/>
  <c r="K135" i="67"/>
  <c r="S250" i="63"/>
  <c r="W106" i="49"/>
  <c r="X119" i="50"/>
  <c r="X57" i="49" s="1"/>
  <c r="X58" i="49" s="1"/>
  <c r="V154" i="52"/>
  <c r="V202" i="52" s="1"/>
  <c r="V162" i="52"/>
  <c r="V210" i="52" s="1"/>
  <c r="V157" i="52"/>
  <c r="V205" i="52" s="1"/>
  <c r="V159" i="52"/>
  <c r="V207" i="52" s="1"/>
  <c r="V160" i="52"/>
  <c r="V208" i="52" s="1"/>
  <c r="V153" i="52"/>
  <c r="V201" i="52" s="1"/>
  <c r="V169" i="52"/>
  <c r="V217" i="52" s="1"/>
  <c r="V166" i="52"/>
  <c r="V214" i="52" s="1"/>
  <c r="V163" i="52"/>
  <c r="V211" i="52" s="1"/>
  <c r="V156" i="52"/>
  <c r="V204" i="52" s="1"/>
  <c r="V158" i="52"/>
  <c r="V206" i="52" s="1"/>
  <c r="V155" i="52"/>
  <c r="V203" i="52" s="1"/>
  <c r="V161" i="52"/>
  <c r="V209" i="52" s="1"/>
  <c r="V165" i="52"/>
  <c r="V213" i="52" s="1"/>
  <c r="V170" i="52"/>
  <c r="V218" i="52" s="1"/>
  <c r="V167" i="52"/>
  <c r="V215" i="52" s="1"/>
  <c r="V164" i="52"/>
  <c r="V212" i="52" s="1"/>
  <c r="V168" i="52"/>
  <c r="V216" i="52" s="1"/>
  <c r="V17" i="67"/>
  <c r="V134" i="64"/>
  <c r="W12" i="67"/>
  <c r="V288" i="63"/>
  <c r="V289" i="63"/>
  <c r="V14" i="67"/>
  <c r="V96" i="47"/>
  <c r="V165" i="47" s="1"/>
  <c r="V166" i="47" s="1"/>
  <c r="V18" i="47" s="1"/>
  <c r="N120" i="67" s="1"/>
  <c r="V181" i="47"/>
  <c r="V182" i="47" s="1"/>
  <c r="V219" i="47" s="1"/>
  <c r="V220" i="47" s="1"/>
  <c r="V19" i="47" s="1"/>
  <c r="T83" i="67"/>
  <c r="T77" i="64"/>
  <c r="T171" i="63"/>
  <c r="T178" i="63"/>
  <c r="R198" i="63"/>
  <c r="R206" i="63"/>
  <c r="R169" i="64"/>
  <c r="R170" i="64" s="1"/>
  <c r="R124" i="64"/>
  <c r="R123" i="64"/>
  <c r="T41" i="63"/>
  <c r="T40" i="63"/>
  <c r="W13" i="63"/>
  <c r="W14" i="63" s="1"/>
  <c r="W37" i="49"/>
  <c r="W92" i="47"/>
  <c r="W14" i="54"/>
  <c r="W15" i="54" s="1"/>
  <c r="W16" i="54" s="1"/>
  <c r="U14" i="52"/>
  <c r="V138" i="52"/>
  <c r="V186" i="52" s="1"/>
  <c r="V242" i="52" s="1"/>
  <c r="U136" i="63" s="1"/>
  <c r="U160" i="63" s="1"/>
  <c r="V137" i="52"/>
  <c r="V185" i="52" s="1"/>
  <c r="V134" i="52"/>
  <c r="V182" i="52" s="1"/>
  <c r="V142" i="52"/>
  <c r="V190" i="52" s="1"/>
  <c r="V246" i="52" s="1"/>
  <c r="U140" i="63" s="1"/>
  <c r="U164" i="63" s="1"/>
  <c r="U88" i="64" s="1"/>
  <c r="U155" i="64" s="1"/>
  <c r="V140" i="52"/>
  <c r="V188" i="52" s="1"/>
  <c r="V132" i="52"/>
  <c r="V180" i="52" s="1"/>
  <c r="V236" i="52" s="1"/>
  <c r="U130" i="63" s="1"/>
  <c r="U154" i="63" s="1"/>
  <c r="V141" i="52"/>
  <c r="V189" i="52" s="1"/>
  <c r="V245" i="52" s="1"/>
  <c r="U139" i="63" s="1"/>
  <c r="U163" i="63" s="1"/>
  <c r="U87" i="64" s="1"/>
  <c r="U154" i="64" s="1"/>
  <c r="V145" i="52"/>
  <c r="V193" i="52" s="1"/>
  <c r="V146" i="52"/>
  <c r="V194" i="52" s="1"/>
  <c r="V139" i="52"/>
  <c r="V187" i="52" s="1"/>
  <c r="V243" i="52" s="1"/>
  <c r="U137" i="63" s="1"/>
  <c r="U161" i="63" s="1"/>
  <c r="U85" i="64" s="1"/>
  <c r="U152" i="64" s="1"/>
  <c r="V135" i="52"/>
  <c r="V183" i="52" s="1"/>
  <c r="V133" i="52"/>
  <c r="V181" i="52" s="1"/>
  <c r="V143" i="52"/>
  <c r="V191" i="52" s="1"/>
  <c r="V148" i="52"/>
  <c r="V196" i="52" s="1"/>
  <c r="V144" i="52"/>
  <c r="V192" i="52" s="1"/>
  <c r="V248" i="52" s="1"/>
  <c r="U142" i="63" s="1"/>
  <c r="U166" i="63" s="1"/>
  <c r="U90" i="64" s="1"/>
  <c r="U157" i="64" s="1"/>
  <c r="V131" i="52"/>
  <c r="V179" i="52" s="1"/>
  <c r="V136" i="52"/>
  <c r="V184" i="52" s="1"/>
  <c r="V147" i="52"/>
  <c r="V195" i="52" s="1"/>
  <c r="Y70" i="51"/>
  <c r="AE70" i="51"/>
  <c r="AB70" i="51"/>
  <c r="V70" i="51"/>
  <c r="V104" i="51" s="1"/>
  <c r="V86" i="52" s="1"/>
  <c r="W70" i="51"/>
  <c r="U28" i="51"/>
  <c r="AD70" i="51"/>
  <c r="Z70" i="51"/>
  <c r="AA70" i="51"/>
  <c r="X70" i="51"/>
  <c r="AC70" i="51"/>
  <c r="E41" i="64"/>
  <c r="U30" i="47"/>
  <c r="U29" i="47"/>
  <c r="W12" i="53"/>
  <c r="W70" i="49"/>
  <c r="V38" i="49"/>
  <c r="V11" i="52"/>
  <c r="W227" i="52" s="1"/>
  <c r="W228" i="52" s="1"/>
  <c r="V39" i="49"/>
  <c r="V13" i="52" s="1"/>
  <c r="S200" i="63"/>
  <c r="S177" i="64" s="1"/>
  <c r="S205" i="63"/>
  <c r="S119" i="64"/>
  <c r="S201" i="63"/>
  <c r="S179" i="64" s="1"/>
  <c r="D39" i="64"/>
  <c r="H39" i="64" s="1"/>
  <c r="M39" i="64" s="1"/>
  <c r="AC168" i="51"/>
  <c r="AA168" i="51"/>
  <c r="Y168" i="51"/>
  <c r="Z168" i="51"/>
  <c r="W168" i="51"/>
  <c r="W201" i="51" s="1"/>
  <c r="W87" i="53" s="1"/>
  <c r="AE168" i="51"/>
  <c r="X168" i="51"/>
  <c r="AF168" i="51"/>
  <c r="AD168" i="51"/>
  <c r="V125" i="51"/>
  <c r="AB168" i="51"/>
  <c r="W135" i="53"/>
  <c r="W183" i="53" s="1"/>
  <c r="W229" i="53" s="1"/>
  <c r="V15" i="53"/>
  <c r="W146" i="53"/>
  <c r="W194" i="53" s="1"/>
  <c r="W240" i="53" s="1"/>
  <c r="W147" i="53"/>
  <c r="W195" i="53" s="1"/>
  <c r="W241" i="53" s="1"/>
  <c r="W149" i="53"/>
  <c r="W197" i="53" s="1"/>
  <c r="W243" i="53" s="1"/>
  <c r="W143" i="53"/>
  <c r="W191" i="53" s="1"/>
  <c r="W237" i="53" s="1"/>
  <c r="W138" i="53"/>
  <c r="W186" i="53" s="1"/>
  <c r="W232" i="53" s="1"/>
  <c r="W139" i="53"/>
  <c r="W187" i="53" s="1"/>
  <c r="W233" i="53" s="1"/>
  <c r="W142" i="53"/>
  <c r="W190" i="53" s="1"/>
  <c r="W236" i="53" s="1"/>
  <c r="W137" i="53"/>
  <c r="W185" i="53" s="1"/>
  <c r="W231" i="53" s="1"/>
  <c r="W141" i="53"/>
  <c r="W189" i="53" s="1"/>
  <c r="W235" i="53" s="1"/>
  <c r="W133" i="53"/>
  <c r="W181" i="53" s="1"/>
  <c r="W227" i="53" s="1"/>
  <c r="W132" i="53"/>
  <c r="W180" i="53" s="1"/>
  <c r="W226" i="53" s="1"/>
  <c r="W134" i="53"/>
  <c r="W182" i="53" s="1"/>
  <c r="W228" i="53" s="1"/>
  <c r="W148" i="53"/>
  <c r="W196" i="53" s="1"/>
  <c r="W242" i="53" s="1"/>
  <c r="W140" i="53"/>
  <c r="W188" i="53" s="1"/>
  <c r="W234" i="53" s="1"/>
  <c r="W144" i="53"/>
  <c r="W192" i="53" s="1"/>
  <c r="W238" i="53" s="1"/>
  <c r="W136" i="53"/>
  <c r="W184" i="53" s="1"/>
  <c r="W230" i="53" s="1"/>
  <c r="W145" i="53"/>
  <c r="W193" i="53" s="1"/>
  <c r="W239" i="53" s="1"/>
  <c r="R125" i="64"/>
  <c r="N38" i="64"/>
  <c r="O38" i="64" s="1"/>
  <c r="R163" i="64"/>
  <c r="X104" i="49"/>
  <c r="X12" i="63"/>
  <c r="X13" i="67" s="1"/>
  <c r="X13" i="54"/>
  <c r="X94" i="47"/>
  <c r="S83" i="67"/>
  <c r="J101" i="67" s="1"/>
  <c r="S77" i="64"/>
  <c r="S178" i="63"/>
  <c r="S171" i="63"/>
  <c r="T194" i="63"/>
  <c r="T45" i="63"/>
  <c r="T48" i="63" s="1"/>
  <c r="AA94" i="50"/>
  <c r="AA99" i="50"/>
  <c r="AA95" i="50"/>
  <c r="Z55" i="50"/>
  <c r="Z54" i="50"/>
  <c r="Z59" i="50"/>
  <c r="Z77" i="50" s="1"/>
  <c r="AA131" i="50"/>
  <c r="AA130" i="50"/>
  <c r="AA135" i="50"/>
  <c r="AA68" i="50"/>
  <c r="AB64" i="50" s="1"/>
  <c r="AZ72" i="50"/>
  <c r="BA63" i="50"/>
  <c r="AA111" i="50"/>
  <c r="AA113" i="50" s="1"/>
  <c r="AA107" i="50"/>
  <c r="AA106" i="50"/>
  <c r="AZ112" i="50"/>
  <c r="BA103" i="50"/>
  <c r="V290" i="63" l="1"/>
  <c r="V240" i="52"/>
  <c r="U134" i="63" s="1"/>
  <c r="U158" i="63" s="1"/>
  <c r="V247" i="52"/>
  <c r="U141" i="63" s="1"/>
  <c r="U165" i="63" s="1"/>
  <c r="U89" i="64" s="1"/>
  <c r="U156" i="64" s="1"/>
  <c r="V250" i="52"/>
  <c r="U144" i="63" s="1"/>
  <c r="U168" i="63" s="1"/>
  <c r="U92" i="64" s="1"/>
  <c r="U159" i="64" s="1"/>
  <c r="V244" i="52"/>
  <c r="U138" i="63" s="1"/>
  <c r="U162" i="63" s="1"/>
  <c r="V239" i="52"/>
  <c r="U133" i="63" s="1"/>
  <c r="U157" i="63" s="1"/>
  <c r="V238" i="52"/>
  <c r="U132" i="63" s="1"/>
  <c r="U156" i="63" s="1"/>
  <c r="U80" i="64" s="1"/>
  <c r="U147" i="64" s="1"/>
  <c r="T119" i="64"/>
  <c r="D40" i="64"/>
  <c r="H40" i="64" s="1"/>
  <c r="M40" i="64" s="1"/>
  <c r="V251" i="52"/>
  <c r="U145" i="63" s="1"/>
  <c r="U169" i="63" s="1"/>
  <c r="V252" i="52"/>
  <c r="U146" i="63" s="1"/>
  <c r="U170" i="63" s="1"/>
  <c r="U94" i="64" s="1"/>
  <c r="U161" i="64" s="1"/>
  <c r="S47" i="63"/>
  <c r="S48" i="63"/>
  <c r="S30" i="63"/>
  <c r="S40" i="63"/>
  <c r="S41" i="63"/>
  <c r="W245" i="53"/>
  <c r="W247" i="53" s="1"/>
  <c r="K163" i="67"/>
  <c r="V235" i="52"/>
  <c r="V237" i="52"/>
  <c r="U131" i="63" s="1"/>
  <c r="U155" i="63" s="1"/>
  <c r="U79" i="64" s="1"/>
  <c r="U146" i="64" s="1"/>
  <c r="V249" i="52"/>
  <c r="U143" i="63" s="1"/>
  <c r="U167" i="63" s="1"/>
  <c r="V241" i="52"/>
  <c r="U135" i="63" s="1"/>
  <c r="U159" i="63" s="1"/>
  <c r="U83" i="64" s="1"/>
  <c r="U150" i="64" s="1"/>
  <c r="K101" i="67"/>
  <c r="K136" i="67" s="1"/>
  <c r="K139" i="67" s="1"/>
  <c r="W150" i="53"/>
  <c r="T50" i="63"/>
  <c r="T52" i="63"/>
  <c r="Y139" i="50"/>
  <c r="Y91" i="49" s="1"/>
  <c r="Y92" i="49" s="1"/>
  <c r="X83" i="50"/>
  <c r="X25" i="49" s="1"/>
  <c r="X26" i="49" s="1"/>
  <c r="T120" i="64"/>
  <c r="T248" i="63"/>
  <c r="T250" i="63" s="1"/>
  <c r="T47" i="63"/>
  <c r="S190" i="63"/>
  <c r="S193" i="63" s="1"/>
  <c r="S185" i="63"/>
  <c r="S182" i="63"/>
  <c r="S183" i="63" s="1"/>
  <c r="J136" i="67"/>
  <c r="J139" i="67" s="1"/>
  <c r="J113" i="67"/>
  <c r="J142" i="67" s="1"/>
  <c r="X105" i="49"/>
  <c r="X107" i="49" s="1"/>
  <c r="X115" i="53"/>
  <c r="X110" i="53"/>
  <c r="X120" i="53"/>
  <c r="X107" i="53"/>
  <c r="X117" i="53"/>
  <c r="X123" i="53"/>
  <c r="X121" i="53"/>
  <c r="X118" i="53"/>
  <c r="X113" i="53"/>
  <c r="X111" i="53"/>
  <c r="X122" i="53"/>
  <c r="X116" i="53"/>
  <c r="X112" i="53"/>
  <c r="X106" i="53"/>
  <c r="X109" i="53"/>
  <c r="X108" i="53"/>
  <c r="X114" i="53"/>
  <c r="X119" i="53"/>
  <c r="S180" i="64"/>
  <c r="W71" i="49"/>
  <c r="W14" i="53" s="1"/>
  <c r="W116" i="51"/>
  <c r="W117" i="51" s="1"/>
  <c r="W124" i="51" s="1"/>
  <c r="W72" i="49"/>
  <c r="W13" i="53"/>
  <c r="U26" i="54"/>
  <c r="U26" i="63"/>
  <c r="U82" i="64"/>
  <c r="U149" i="64" s="1"/>
  <c r="U88" i="67"/>
  <c r="L106" i="67" s="1"/>
  <c r="U81" i="64"/>
  <c r="U148" i="64" s="1"/>
  <c r="U87" i="67"/>
  <c r="L105" i="67" s="1"/>
  <c r="U86" i="64"/>
  <c r="U153" i="64" s="1"/>
  <c r="U86" i="67"/>
  <c r="L104" i="67" s="1"/>
  <c r="U90" i="67"/>
  <c r="L108" i="67" s="1"/>
  <c r="U181" i="63"/>
  <c r="U188" i="63" s="1"/>
  <c r="U84" i="64"/>
  <c r="U151" i="64" s="1"/>
  <c r="W181" i="47"/>
  <c r="W182" i="47" s="1"/>
  <c r="W219" i="47" s="1"/>
  <c r="W220" i="47" s="1"/>
  <c r="W19" i="47" s="1"/>
  <c r="W96" i="47"/>
  <c r="W165" i="47" s="1"/>
  <c r="W166" i="47" s="1"/>
  <c r="W18" i="47" s="1"/>
  <c r="O120" i="67" s="1"/>
  <c r="W14" i="67"/>
  <c r="W288" i="63"/>
  <c r="W289" i="63"/>
  <c r="T173" i="63"/>
  <c r="T172" i="63"/>
  <c r="K113" i="67"/>
  <c r="K142" i="67" s="1"/>
  <c r="V103" i="64"/>
  <c r="V27" i="47"/>
  <c r="W15" i="67"/>
  <c r="W16" i="63"/>
  <c r="X93" i="47"/>
  <c r="X12" i="54"/>
  <c r="X69" i="49"/>
  <c r="X11" i="63"/>
  <c r="S172" i="63"/>
  <c r="S173" i="63"/>
  <c r="S144" i="64"/>
  <c r="S95" i="64"/>
  <c r="Q39" i="64"/>
  <c r="W161" i="52"/>
  <c r="W209" i="52" s="1"/>
  <c r="W168" i="52"/>
  <c r="W216" i="52" s="1"/>
  <c r="W157" i="52"/>
  <c r="W205" i="52" s="1"/>
  <c r="W170" i="52"/>
  <c r="W218" i="52" s="1"/>
  <c r="W159" i="52"/>
  <c r="W207" i="52" s="1"/>
  <c r="W160" i="52"/>
  <c r="W208" i="52" s="1"/>
  <c r="W165" i="52"/>
  <c r="W213" i="52" s="1"/>
  <c r="W158" i="52"/>
  <c r="W206" i="52" s="1"/>
  <c r="W167" i="52"/>
  <c r="W215" i="52" s="1"/>
  <c r="W163" i="52"/>
  <c r="W211" i="52" s="1"/>
  <c r="W164" i="52"/>
  <c r="W212" i="52" s="1"/>
  <c r="W155" i="52"/>
  <c r="W203" i="52" s="1"/>
  <c r="W154" i="52"/>
  <c r="W202" i="52" s="1"/>
  <c r="W153" i="52"/>
  <c r="W201" i="52" s="1"/>
  <c r="W156" i="52"/>
  <c r="W204" i="52" s="1"/>
  <c r="W162" i="52"/>
  <c r="W210" i="52" s="1"/>
  <c r="W169" i="52"/>
  <c r="W217" i="52" s="1"/>
  <c r="W166" i="52"/>
  <c r="W214" i="52" s="1"/>
  <c r="V40" i="49"/>
  <c r="V12" i="52"/>
  <c r="V19" i="51"/>
  <c r="V20" i="51" s="1"/>
  <c r="V27" i="51" s="1"/>
  <c r="W119" i="52"/>
  <c r="W108" i="52"/>
  <c r="W122" i="52"/>
  <c r="W148" i="52" s="1"/>
  <c r="W196" i="52" s="1"/>
  <c r="W252" i="52" s="1"/>
  <c r="V146" i="63" s="1"/>
  <c r="V170" i="63" s="1"/>
  <c r="V94" i="64" s="1"/>
  <c r="V161" i="64" s="1"/>
  <c r="W113" i="52"/>
  <c r="W106" i="52"/>
  <c r="W117" i="52"/>
  <c r="W111" i="52"/>
  <c r="W137" i="52" s="1"/>
  <c r="W185" i="52" s="1"/>
  <c r="W114" i="52"/>
  <c r="W105" i="52"/>
  <c r="W118" i="52"/>
  <c r="W109" i="52"/>
  <c r="W135" i="52" s="1"/>
  <c r="W183" i="52" s="1"/>
  <c r="W115" i="52"/>
  <c r="W121" i="52"/>
  <c r="W112" i="52"/>
  <c r="W107" i="52"/>
  <c r="W133" i="52" s="1"/>
  <c r="W181" i="52" s="1"/>
  <c r="W237" i="52" s="1"/>
  <c r="V131" i="63" s="1"/>
  <c r="V155" i="63" s="1"/>
  <c r="W110" i="52"/>
  <c r="W116" i="52"/>
  <c r="W120" i="52"/>
  <c r="U93" i="64"/>
  <c r="U160" i="64" s="1"/>
  <c r="U94" i="67"/>
  <c r="L112" i="67" s="1"/>
  <c r="U129" i="63"/>
  <c r="U84" i="67"/>
  <c r="L102" i="67" s="1"/>
  <c r="U78" i="64"/>
  <c r="U145" i="64" s="1"/>
  <c r="W11" i="52"/>
  <c r="X227" i="52" s="1"/>
  <c r="X228" i="52" s="1"/>
  <c r="W38" i="49"/>
  <c r="T205" i="63"/>
  <c r="T201" i="63"/>
  <c r="T179" i="64" s="1"/>
  <c r="T185" i="63"/>
  <c r="T190" i="63"/>
  <c r="T182" i="63"/>
  <c r="T183" i="63" s="1"/>
  <c r="T144" i="64"/>
  <c r="T95" i="64"/>
  <c r="M121" i="67"/>
  <c r="M128" i="67" s="1"/>
  <c r="M137" i="67" s="1"/>
  <c r="V104" i="64"/>
  <c r="AB66" i="50"/>
  <c r="AB71" i="50"/>
  <c r="AB73" i="50" s="1"/>
  <c r="AB67" i="50"/>
  <c r="BB103" i="50"/>
  <c r="BA112" i="50"/>
  <c r="AA132" i="50"/>
  <c r="AB128" i="50" s="1"/>
  <c r="BA72" i="50"/>
  <c r="BB63" i="50"/>
  <c r="AA108" i="50"/>
  <c r="AB104" i="50" s="1"/>
  <c r="AA110" i="50"/>
  <c r="AA115" i="50"/>
  <c r="Z56" i="50"/>
  <c r="AA52" i="50" s="1"/>
  <c r="AA96" i="50"/>
  <c r="AB92" i="50" s="1"/>
  <c r="U93" i="67" l="1"/>
  <c r="L111" i="67" s="1"/>
  <c r="U179" i="63"/>
  <c r="W290" i="63"/>
  <c r="U180" i="63"/>
  <c r="U187" i="63" s="1"/>
  <c r="U91" i="67"/>
  <c r="L109" i="67" s="1"/>
  <c r="T180" i="64"/>
  <c r="V254" i="52"/>
  <c r="V22" i="63"/>
  <c r="V22" i="54"/>
  <c r="U91" i="64"/>
  <c r="U158" i="64" s="1"/>
  <c r="U92" i="67"/>
  <c r="L110" i="67" s="1"/>
  <c r="J143" i="67"/>
  <c r="V111" i="64"/>
  <c r="S50" i="63"/>
  <c r="S52" i="63"/>
  <c r="K143" i="67"/>
  <c r="W142" i="52"/>
  <c r="W190" i="52" s="1"/>
  <c r="W246" i="52" s="1"/>
  <c r="V140" i="63" s="1"/>
  <c r="V164" i="63" s="1"/>
  <c r="V88" i="64" s="1"/>
  <c r="V155" i="64" s="1"/>
  <c r="W147" i="52"/>
  <c r="W195" i="52" s="1"/>
  <c r="W131" i="52"/>
  <c r="W179" i="52" s="1"/>
  <c r="W235" i="52" s="1"/>
  <c r="W132" i="52"/>
  <c r="W180" i="52" s="1"/>
  <c r="W236" i="52" s="1"/>
  <c r="V130" i="63" s="1"/>
  <c r="V154" i="63" s="1"/>
  <c r="U89" i="67"/>
  <c r="L107" i="67" s="1"/>
  <c r="L135" i="67" s="1"/>
  <c r="U85" i="67"/>
  <c r="L103" i="67" s="1"/>
  <c r="W251" i="52"/>
  <c r="V145" i="63" s="1"/>
  <c r="V169" i="63" s="1"/>
  <c r="V93" i="64" s="1"/>
  <c r="V160" i="64" s="1"/>
  <c r="W239" i="52"/>
  <c r="V133" i="63" s="1"/>
  <c r="V157" i="63" s="1"/>
  <c r="V87" i="67" s="1"/>
  <c r="M105" i="67" s="1"/>
  <c r="W241" i="52"/>
  <c r="V135" i="63" s="1"/>
  <c r="V159" i="63" s="1"/>
  <c r="V89" i="67" s="1"/>
  <c r="M107" i="67" s="1"/>
  <c r="Q40" i="64"/>
  <c r="W146" i="52"/>
  <c r="W194" i="52" s="1"/>
  <c r="W250" i="52" s="1"/>
  <c r="V144" i="63" s="1"/>
  <c r="V168" i="63" s="1"/>
  <c r="V93" i="67" s="1"/>
  <c r="M111" i="67" s="1"/>
  <c r="W136" i="52"/>
  <c r="W184" i="52" s="1"/>
  <c r="W240" i="52" s="1"/>
  <c r="V134" i="63" s="1"/>
  <c r="V158" i="63" s="1"/>
  <c r="V82" i="64" s="1"/>
  <c r="V149" i="64" s="1"/>
  <c r="W138" i="52"/>
  <c r="W186" i="52" s="1"/>
  <c r="W242" i="52" s="1"/>
  <c r="V136" i="63" s="1"/>
  <c r="V160" i="63" s="1"/>
  <c r="W141" i="52"/>
  <c r="W189" i="52" s="1"/>
  <c r="W245" i="52" s="1"/>
  <c r="V139" i="63" s="1"/>
  <c r="V163" i="63" s="1"/>
  <c r="V87" i="64" s="1"/>
  <c r="V154" i="64" s="1"/>
  <c r="W144" i="52"/>
  <c r="W192" i="52" s="1"/>
  <c r="W248" i="52" s="1"/>
  <c r="V142" i="63" s="1"/>
  <c r="V166" i="63" s="1"/>
  <c r="V90" i="64" s="1"/>
  <c r="V157" i="64" s="1"/>
  <c r="W140" i="52"/>
  <c r="W188" i="52" s="1"/>
  <c r="W244" i="52" s="1"/>
  <c r="V138" i="63" s="1"/>
  <c r="V162" i="63" s="1"/>
  <c r="V86" i="64" s="1"/>
  <c r="V153" i="64" s="1"/>
  <c r="W143" i="52"/>
  <c r="W191" i="52" s="1"/>
  <c r="W247" i="52" s="1"/>
  <c r="V141" i="63" s="1"/>
  <c r="V165" i="63" s="1"/>
  <c r="V89" i="64" s="1"/>
  <c r="V156" i="64" s="1"/>
  <c r="W139" i="52"/>
  <c r="W187" i="52" s="1"/>
  <c r="W243" i="52" s="1"/>
  <c r="V137" i="63" s="1"/>
  <c r="V161" i="63" s="1"/>
  <c r="V85" i="64" s="1"/>
  <c r="V152" i="64" s="1"/>
  <c r="W134" i="52"/>
  <c r="W182" i="52" s="1"/>
  <c r="W238" i="52" s="1"/>
  <c r="V132" i="63" s="1"/>
  <c r="V156" i="63" s="1"/>
  <c r="V80" i="64" s="1"/>
  <c r="V147" i="64" s="1"/>
  <c r="X106" i="49"/>
  <c r="Y119" i="50"/>
  <c r="Y57" i="49" s="1"/>
  <c r="Y58" i="49" s="1"/>
  <c r="T122" i="64"/>
  <c r="T162" i="64"/>
  <c r="U153" i="63"/>
  <c r="U147" i="63"/>
  <c r="V79" i="64"/>
  <c r="V146" i="64" s="1"/>
  <c r="V85" i="67"/>
  <c r="M103" i="67" s="1"/>
  <c r="V129" i="63"/>
  <c r="V14" i="52"/>
  <c r="W145" i="52"/>
  <c r="W193" i="52" s="1"/>
  <c r="W249" i="52" s="1"/>
  <c r="V143" i="63" s="1"/>
  <c r="V167" i="63" s="1"/>
  <c r="S162" i="64"/>
  <c r="S122" i="64"/>
  <c r="X12" i="53"/>
  <c r="X70" i="49"/>
  <c r="N121" i="67"/>
  <c r="N128" i="67" s="1"/>
  <c r="N137" i="67" s="1"/>
  <c r="W104" i="64"/>
  <c r="U194" i="63"/>
  <c r="U45" i="63"/>
  <c r="X141" i="53"/>
  <c r="X189" i="53" s="1"/>
  <c r="X140" i="53"/>
  <c r="X188" i="53" s="1"/>
  <c r="X148" i="53"/>
  <c r="X196" i="53" s="1"/>
  <c r="X144" i="53"/>
  <c r="X192" i="53" s="1"/>
  <c r="W15" i="53"/>
  <c r="X146" i="53"/>
  <c r="X194" i="53" s="1"/>
  <c r="X132" i="53"/>
  <c r="X180" i="53" s="1"/>
  <c r="X137" i="53"/>
  <c r="X185" i="53" s="1"/>
  <c r="X136" i="53"/>
  <c r="X184" i="53" s="1"/>
  <c r="X143" i="53"/>
  <c r="X191" i="53" s="1"/>
  <c r="X145" i="53"/>
  <c r="X193" i="53" s="1"/>
  <c r="X138" i="53"/>
  <c r="X186" i="53" s="1"/>
  <c r="X135" i="53"/>
  <c r="X183" i="53" s="1"/>
  <c r="X133" i="53"/>
  <c r="X181" i="53" s="1"/>
  <c r="X147" i="53"/>
  <c r="X195" i="53" s="1"/>
  <c r="X134" i="53"/>
  <c r="X182" i="53" s="1"/>
  <c r="X149" i="53"/>
  <c r="X197" i="53" s="1"/>
  <c r="X142" i="53"/>
  <c r="X190" i="53" s="1"/>
  <c r="X139" i="53"/>
  <c r="X187" i="53" s="1"/>
  <c r="AD169" i="51"/>
  <c r="Y169" i="51"/>
  <c r="AF169" i="51"/>
  <c r="AG169" i="51"/>
  <c r="W125" i="51"/>
  <c r="X169" i="51"/>
  <c r="X201" i="51" s="1"/>
  <c r="X87" i="53" s="1"/>
  <c r="Z169" i="51"/>
  <c r="AA169" i="51"/>
  <c r="AC169" i="51"/>
  <c r="AE169" i="51"/>
  <c r="AB169" i="51"/>
  <c r="X13" i="63"/>
  <c r="X14" i="63" s="1"/>
  <c r="X92" i="47"/>
  <c r="X14" i="54"/>
  <c r="X15" i="54" s="1"/>
  <c r="X16" i="54" s="1"/>
  <c r="X37" i="49"/>
  <c r="Y94" i="47"/>
  <c r="Y104" i="49"/>
  <c r="Y12" i="63"/>
  <c r="Y13" i="67" s="1"/>
  <c r="Y13" i="54"/>
  <c r="T118" i="64"/>
  <c r="T192" i="63"/>
  <c r="T195" i="63" s="1"/>
  <c r="C40" i="64"/>
  <c r="I40" i="64" s="1"/>
  <c r="N40" i="64" s="1"/>
  <c r="O40" i="64" s="1"/>
  <c r="W39" i="49"/>
  <c r="W13" i="52" s="1"/>
  <c r="W12" i="52"/>
  <c r="W40" i="49"/>
  <c r="W19" i="51"/>
  <c r="W20" i="51" s="1"/>
  <c r="W27" i="51" s="1"/>
  <c r="V256" i="52"/>
  <c r="U24" i="54"/>
  <c r="U28" i="54" s="1"/>
  <c r="U30" i="54" s="1"/>
  <c r="U24" i="63"/>
  <c r="Y71" i="51"/>
  <c r="X71" i="51"/>
  <c r="AF71" i="51"/>
  <c r="AC71" i="51"/>
  <c r="Z71" i="51"/>
  <c r="W71" i="51"/>
  <c r="W104" i="51" s="1"/>
  <c r="W86" i="52" s="1"/>
  <c r="AE71" i="51"/>
  <c r="AB71" i="51"/>
  <c r="V28" i="51"/>
  <c r="AD71" i="51"/>
  <c r="AA71" i="51"/>
  <c r="X12" i="67"/>
  <c r="W134" i="64"/>
  <c r="W17" i="67"/>
  <c r="V29" i="47"/>
  <c r="E42" i="64"/>
  <c r="V30" i="47"/>
  <c r="T193" i="63"/>
  <c r="W103" i="64"/>
  <c r="W27" i="47"/>
  <c r="U186" i="63"/>
  <c r="U191" i="63"/>
  <c r="X159" i="53"/>
  <c r="X207" i="53" s="1"/>
  <c r="X164" i="53"/>
  <c r="X212" i="53" s="1"/>
  <c r="X170" i="53"/>
  <c r="X218" i="53" s="1"/>
  <c r="X171" i="53"/>
  <c r="X219" i="53" s="1"/>
  <c r="X155" i="53"/>
  <c r="X203" i="53" s="1"/>
  <c r="X161" i="53"/>
  <c r="X209" i="53" s="1"/>
  <c r="X167" i="53"/>
  <c r="X215" i="53" s="1"/>
  <c r="X169" i="53"/>
  <c r="X217" i="53" s="1"/>
  <c r="X154" i="53"/>
  <c r="X202" i="53" s="1"/>
  <c r="X166" i="53"/>
  <c r="X214" i="53" s="1"/>
  <c r="X163" i="53"/>
  <c r="X211" i="53" s="1"/>
  <c r="X162" i="53"/>
  <c r="X210" i="53" s="1"/>
  <c r="X168" i="53"/>
  <c r="X216" i="53" s="1"/>
  <c r="X157" i="53"/>
  <c r="X205" i="53" s="1"/>
  <c r="X156" i="53"/>
  <c r="X204" i="53" s="1"/>
  <c r="X160" i="53"/>
  <c r="X208" i="53" s="1"/>
  <c r="X165" i="53"/>
  <c r="X213" i="53" s="1"/>
  <c r="X158" i="53"/>
  <c r="X206" i="53" s="1"/>
  <c r="S118" i="64"/>
  <c r="C39" i="64"/>
  <c r="I39" i="64" s="1"/>
  <c r="N39" i="64" s="1"/>
  <c r="O39" i="64" s="1"/>
  <c r="S192" i="63"/>
  <c r="S195" i="63" s="1"/>
  <c r="S197" i="63"/>
  <c r="T197" i="63"/>
  <c r="AA55" i="50"/>
  <c r="AA54" i="50"/>
  <c r="AA59" i="50"/>
  <c r="AA77" i="50" s="1"/>
  <c r="AB94" i="50"/>
  <c r="AB95" i="50"/>
  <c r="AB99" i="50"/>
  <c r="AB135" i="50"/>
  <c r="AB130" i="50"/>
  <c r="AB131" i="50"/>
  <c r="BB112" i="50"/>
  <c r="BC103" i="50"/>
  <c r="BC63" i="50"/>
  <c r="BB72" i="50"/>
  <c r="AB107" i="50"/>
  <c r="AB106" i="50"/>
  <c r="AB111" i="50"/>
  <c r="AB113" i="50" s="1"/>
  <c r="AB68" i="50"/>
  <c r="AC64" i="50" s="1"/>
  <c r="V181" i="63" l="1"/>
  <c r="V188" i="63" s="1"/>
  <c r="W111" i="64"/>
  <c r="V88" i="67"/>
  <c r="M106" i="67" s="1"/>
  <c r="V91" i="67"/>
  <c r="M109" i="67" s="1"/>
  <c r="L163" i="67"/>
  <c r="U28" i="63"/>
  <c r="U44" i="63"/>
  <c r="U47" i="63" s="1"/>
  <c r="W254" i="52"/>
  <c r="U148" i="63"/>
  <c r="V90" i="67"/>
  <c r="M108" i="67" s="1"/>
  <c r="V92" i="64"/>
  <c r="V159" i="64" s="1"/>
  <c r="V78" i="64"/>
  <c r="V145" i="64" s="1"/>
  <c r="V84" i="67"/>
  <c r="M102" i="67" s="1"/>
  <c r="V94" i="67"/>
  <c r="M112" i="67" s="1"/>
  <c r="V86" i="67"/>
  <c r="M104" i="67" s="1"/>
  <c r="V83" i="64"/>
  <c r="V150" i="64" s="1"/>
  <c r="X150" i="53"/>
  <c r="V81" i="64"/>
  <c r="V148" i="64" s="1"/>
  <c r="V179" i="63"/>
  <c r="V84" i="64"/>
  <c r="V151" i="64" s="1"/>
  <c r="V180" i="63"/>
  <c r="V187" i="63" s="1"/>
  <c r="S206" i="63"/>
  <c r="S198" i="63"/>
  <c r="U119" i="64"/>
  <c r="U200" i="63"/>
  <c r="U177" i="64" s="1"/>
  <c r="U205" i="63"/>
  <c r="D41" i="64"/>
  <c r="H41" i="64" s="1"/>
  <c r="M41" i="64" s="1"/>
  <c r="U201" i="63"/>
  <c r="U179" i="64" s="1"/>
  <c r="E43" i="64"/>
  <c r="W29" i="47"/>
  <c r="W30" i="47"/>
  <c r="X15" i="67"/>
  <c r="X16" i="63"/>
  <c r="X112" i="52"/>
  <c r="X138" i="52" s="1"/>
  <c r="X186" i="52" s="1"/>
  <c r="X116" i="52"/>
  <c r="X142" i="52" s="1"/>
  <c r="X190" i="52" s="1"/>
  <c r="X105" i="52"/>
  <c r="X108" i="52"/>
  <c r="X134" i="52" s="1"/>
  <c r="X182" i="52" s="1"/>
  <c r="X113" i="52"/>
  <c r="X139" i="52" s="1"/>
  <c r="X187" i="52" s="1"/>
  <c r="X109" i="52"/>
  <c r="X135" i="52" s="1"/>
  <c r="X183" i="52" s="1"/>
  <c r="X110" i="52"/>
  <c r="X136" i="52" s="1"/>
  <c r="X184" i="52" s="1"/>
  <c r="X120" i="52"/>
  <c r="X146" i="52" s="1"/>
  <c r="X194" i="52" s="1"/>
  <c r="X117" i="52"/>
  <c r="X143" i="52" s="1"/>
  <c r="X191" i="52" s="1"/>
  <c r="X119" i="52"/>
  <c r="X145" i="52" s="1"/>
  <c r="X193" i="52" s="1"/>
  <c r="X118" i="52"/>
  <c r="X115" i="52"/>
  <c r="X141" i="52" s="1"/>
  <c r="X189" i="52" s="1"/>
  <c r="X107" i="52"/>
  <c r="X133" i="52" s="1"/>
  <c r="X181" i="52" s="1"/>
  <c r="X114" i="52"/>
  <c r="X140" i="52" s="1"/>
  <c r="X188" i="52" s="1"/>
  <c r="X122" i="52"/>
  <c r="X148" i="52" s="1"/>
  <c r="X196" i="52" s="1"/>
  <c r="X111" i="52"/>
  <c r="X137" i="52" s="1"/>
  <c r="X185" i="52" s="1"/>
  <c r="X106" i="52"/>
  <c r="X132" i="52" s="1"/>
  <c r="X180" i="52" s="1"/>
  <c r="X121" i="52"/>
  <c r="X147" i="52" s="1"/>
  <c r="X195" i="52" s="1"/>
  <c r="Y72" i="51"/>
  <c r="AF72" i="51"/>
  <c r="AG72" i="51"/>
  <c r="W28" i="51"/>
  <c r="AD72" i="51"/>
  <c r="X72" i="51"/>
  <c r="X104" i="51" s="1"/>
  <c r="X86" i="52" s="1"/>
  <c r="AA72" i="51"/>
  <c r="AB72" i="51"/>
  <c r="Z72" i="51"/>
  <c r="AE72" i="51"/>
  <c r="AC72" i="51"/>
  <c r="W14" i="52"/>
  <c r="X144" i="52"/>
  <c r="X192" i="52" s="1"/>
  <c r="X131" i="52"/>
  <c r="X179" i="52" s="1"/>
  <c r="X14" i="67"/>
  <c r="X289" i="63"/>
  <c r="X288" i="63"/>
  <c r="X233" i="53"/>
  <c r="X243" i="53"/>
  <c r="X241" i="53"/>
  <c r="X229" i="53"/>
  <c r="X239" i="53"/>
  <c r="X230" i="53"/>
  <c r="X226" i="53"/>
  <c r="X242" i="53"/>
  <c r="X235" i="53"/>
  <c r="U120" i="64"/>
  <c r="U248" i="63"/>
  <c r="U250" i="63" s="1"/>
  <c r="S163" i="64"/>
  <c r="V91" i="64"/>
  <c r="V158" i="64" s="1"/>
  <c r="V92" i="67"/>
  <c r="M110" i="67" s="1"/>
  <c r="V24" i="54"/>
  <c r="W256" i="52"/>
  <c r="V24" i="63"/>
  <c r="T163" i="64"/>
  <c r="Y12" i="54"/>
  <c r="Y93" i="47"/>
  <c r="Y69" i="49"/>
  <c r="Y11" i="63"/>
  <c r="Z139" i="50"/>
  <c r="Z91" i="49" s="1"/>
  <c r="Z92" i="49" s="1"/>
  <c r="Y83" i="50"/>
  <c r="Y25" i="49" s="1"/>
  <c r="Y26" i="49" s="1"/>
  <c r="T124" i="64"/>
  <c r="T198" i="63"/>
  <c r="T206" i="63"/>
  <c r="V26" i="63"/>
  <c r="V26" i="54"/>
  <c r="X159" i="52"/>
  <c r="X207" i="52" s="1"/>
  <c r="X154" i="52"/>
  <c r="X202" i="52" s="1"/>
  <c r="X155" i="52"/>
  <c r="X203" i="52" s="1"/>
  <c r="X157" i="52"/>
  <c r="X205" i="52" s="1"/>
  <c r="X153" i="52"/>
  <c r="X201" i="52" s="1"/>
  <c r="X160" i="52"/>
  <c r="X208" i="52" s="1"/>
  <c r="X167" i="52"/>
  <c r="X215" i="52" s="1"/>
  <c r="X163" i="52"/>
  <c r="X211" i="52" s="1"/>
  <c r="X164" i="52"/>
  <c r="X212" i="52" s="1"/>
  <c r="X156" i="52"/>
  <c r="X204" i="52" s="1"/>
  <c r="X165" i="52"/>
  <c r="X213" i="52" s="1"/>
  <c r="X161" i="52"/>
  <c r="X209" i="52" s="1"/>
  <c r="X162" i="52"/>
  <c r="X210" i="52" s="1"/>
  <c r="X170" i="52"/>
  <c r="X218" i="52" s="1"/>
  <c r="X158" i="52"/>
  <c r="X206" i="52" s="1"/>
  <c r="X169" i="52"/>
  <c r="X217" i="52" s="1"/>
  <c r="X166" i="52"/>
  <c r="X214" i="52" s="1"/>
  <c r="X168" i="52"/>
  <c r="X216" i="52" s="1"/>
  <c r="Y105" i="49"/>
  <c r="Y107" i="49" s="1"/>
  <c r="X11" i="52"/>
  <c r="Y227" i="52" s="1"/>
  <c r="Y228" i="52" s="1"/>
  <c r="X38" i="49"/>
  <c r="X39" i="49" s="1"/>
  <c r="X13" i="52" s="1"/>
  <c r="X96" i="47"/>
  <c r="X165" i="47" s="1"/>
  <c r="X166" i="47" s="1"/>
  <c r="X18" i="47" s="1"/>
  <c r="P120" i="67" s="1"/>
  <c r="X181" i="47"/>
  <c r="X182" i="47" s="1"/>
  <c r="X219" i="47" s="1"/>
  <c r="X220" i="47" s="1"/>
  <c r="X19" i="47" s="1"/>
  <c r="Y107" i="53"/>
  <c r="Y121" i="53"/>
  <c r="Y120" i="53"/>
  <c r="Y112" i="53"/>
  <c r="Y113" i="53"/>
  <c r="Y118" i="53"/>
  <c r="Y108" i="53"/>
  <c r="Y116" i="53"/>
  <c r="Y115" i="53"/>
  <c r="Y117" i="53"/>
  <c r="Y122" i="53"/>
  <c r="Y110" i="53"/>
  <c r="Y111" i="53"/>
  <c r="Y123" i="53"/>
  <c r="Y106" i="53"/>
  <c r="Y109" i="53"/>
  <c r="Y119" i="53"/>
  <c r="Y114" i="53"/>
  <c r="X236" i="53"/>
  <c r="X228" i="53"/>
  <c r="X227" i="53"/>
  <c r="X232" i="53"/>
  <c r="X237" i="53"/>
  <c r="X231" i="53"/>
  <c r="X240" i="53"/>
  <c r="X238" i="53"/>
  <c r="X234" i="53"/>
  <c r="X71" i="49"/>
  <c r="X14" i="53" s="1"/>
  <c r="X13" i="53"/>
  <c r="X116" i="51"/>
  <c r="X117" i="51" s="1"/>
  <c r="X124" i="51" s="1"/>
  <c r="X72" i="49"/>
  <c r="S169" i="64"/>
  <c r="S170" i="64" s="1"/>
  <c r="S124" i="64"/>
  <c r="S123" i="64"/>
  <c r="S125" i="64"/>
  <c r="V153" i="63"/>
  <c r="V147" i="63"/>
  <c r="V148" i="63" s="1"/>
  <c r="U83" i="67"/>
  <c r="L101" i="67" s="1"/>
  <c r="U178" i="63"/>
  <c r="U77" i="64"/>
  <c r="U171" i="63"/>
  <c r="T169" i="64"/>
  <c r="T170" i="64" s="1"/>
  <c r="T125" i="64"/>
  <c r="T123" i="64"/>
  <c r="AC67" i="50"/>
  <c r="AC71" i="50"/>
  <c r="AC73" i="50" s="1"/>
  <c r="AC66" i="50"/>
  <c r="AB96" i="50"/>
  <c r="AC92" i="50" s="1"/>
  <c r="AB110" i="50"/>
  <c r="AB108" i="50"/>
  <c r="AC104" i="50" s="1"/>
  <c r="BC72" i="50"/>
  <c r="BD63" i="50"/>
  <c r="AB115" i="50"/>
  <c r="AA56" i="50"/>
  <c r="BC112" i="50"/>
  <c r="BD103" i="50"/>
  <c r="AB132" i="50"/>
  <c r="AC128" i="50" s="1"/>
  <c r="V191" i="63" l="1"/>
  <c r="U48" i="63"/>
  <c r="V186" i="63"/>
  <c r="V28" i="54"/>
  <c r="V30" i="54" s="1"/>
  <c r="X245" i="53"/>
  <c r="W22" i="63" s="1"/>
  <c r="M135" i="67"/>
  <c r="U41" i="63"/>
  <c r="U30" i="63"/>
  <c r="U40" i="63"/>
  <c r="V44" i="63"/>
  <c r="V28" i="63"/>
  <c r="X290" i="63"/>
  <c r="Y106" i="49"/>
  <c r="U180" i="64"/>
  <c r="Y157" i="52"/>
  <c r="Y205" i="52" s="1"/>
  <c r="Y155" i="52"/>
  <c r="Y203" i="52" s="1"/>
  <c r="Y159" i="52"/>
  <c r="Y207" i="52" s="1"/>
  <c r="Y170" i="52"/>
  <c r="Y218" i="52" s="1"/>
  <c r="Y160" i="52"/>
  <c r="Y208" i="52" s="1"/>
  <c r="Y165" i="52"/>
  <c r="Y213" i="52" s="1"/>
  <c r="Y169" i="52"/>
  <c r="Y217" i="52" s="1"/>
  <c r="Y166" i="52"/>
  <c r="Y214" i="52" s="1"/>
  <c r="Y168" i="52"/>
  <c r="Y216" i="52" s="1"/>
  <c r="Y156" i="52"/>
  <c r="Y204" i="52" s="1"/>
  <c r="Y158" i="52"/>
  <c r="Y206" i="52" s="1"/>
  <c r="Y161" i="52"/>
  <c r="Y209" i="52" s="1"/>
  <c r="Y153" i="52"/>
  <c r="Y201" i="52" s="1"/>
  <c r="Y154" i="52"/>
  <c r="Y202" i="52" s="1"/>
  <c r="Y162" i="52"/>
  <c r="Y210" i="52" s="1"/>
  <c r="Y167" i="52"/>
  <c r="Y215" i="52" s="1"/>
  <c r="Y163" i="52"/>
  <c r="Y211" i="52" s="1"/>
  <c r="Y164" i="52"/>
  <c r="Y212" i="52" s="1"/>
  <c r="U173" i="63"/>
  <c r="U172" i="63"/>
  <c r="U190" i="63"/>
  <c r="U193" i="63" s="1"/>
  <c r="U185" i="63"/>
  <c r="U182" i="63"/>
  <c r="U183" i="63" s="1"/>
  <c r="AC170" i="51"/>
  <c r="AB170" i="51"/>
  <c r="X125" i="51"/>
  <c r="AH170" i="51"/>
  <c r="Z170" i="51"/>
  <c r="AG170" i="51"/>
  <c r="AD170" i="51"/>
  <c r="AA170" i="51"/>
  <c r="AF170" i="51"/>
  <c r="Y170" i="51"/>
  <c r="Y201" i="51" s="1"/>
  <c r="Y87" i="53" s="1"/>
  <c r="AE170" i="51"/>
  <c r="Y169" i="53"/>
  <c r="Y217" i="53" s="1"/>
  <c r="Y162" i="53"/>
  <c r="Y210" i="53" s="1"/>
  <c r="Y167" i="53"/>
  <c r="Y215" i="53" s="1"/>
  <c r="Y155" i="53"/>
  <c r="Y203" i="53" s="1"/>
  <c r="Y157" i="53"/>
  <c r="Y205" i="53" s="1"/>
  <c r="Y156" i="53"/>
  <c r="Y204" i="53" s="1"/>
  <c r="Y159" i="53"/>
  <c r="Y207" i="53" s="1"/>
  <c r="Y164" i="53"/>
  <c r="Y212" i="53" s="1"/>
  <c r="Y171" i="53"/>
  <c r="Y219" i="53" s="1"/>
  <c r="Y163" i="53"/>
  <c r="Y211" i="53" s="1"/>
  <c r="Y160" i="53"/>
  <c r="Y208" i="53" s="1"/>
  <c r="Y166" i="53"/>
  <c r="Y214" i="53" s="1"/>
  <c r="Y165" i="53"/>
  <c r="Y213" i="53" s="1"/>
  <c r="Y168" i="53"/>
  <c r="Y216" i="53" s="1"/>
  <c r="Y154" i="53"/>
  <c r="Y202" i="53" s="1"/>
  <c r="Y161" i="53"/>
  <c r="Y209" i="53" s="1"/>
  <c r="Y170" i="53"/>
  <c r="Y218" i="53" s="1"/>
  <c r="Y158" i="53"/>
  <c r="Y206" i="53" s="1"/>
  <c r="O121" i="67"/>
  <c r="O128" i="67" s="1"/>
  <c r="O137" i="67" s="1"/>
  <c r="X104" i="64"/>
  <c r="V194" i="63"/>
  <c r="V201" i="63" s="1"/>
  <c r="V179" i="64" s="1"/>
  <c r="V45" i="63"/>
  <c r="Y13" i="63"/>
  <c r="Y14" i="63" s="1"/>
  <c r="Y14" i="54"/>
  <c r="Y15" i="54" s="1"/>
  <c r="Y16" i="54" s="1"/>
  <c r="Y92" i="47"/>
  <c r="Y37" i="49"/>
  <c r="Z104" i="49"/>
  <c r="Z94" i="47"/>
  <c r="Z13" i="54"/>
  <c r="Z12" i="63"/>
  <c r="Z13" i="67" s="1"/>
  <c r="Y12" i="67"/>
  <c r="X244" i="52"/>
  <c r="W138" i="63" s="1"/>
  <c r="W162" i="63" s="1"/>
  <c r="X247" i="52"/>
  <c r="W141" i="63" s="1"/>
  <c r="W165" i="63" s="1"/>
  <c r="W89" i="64" s="1"/>
  <c r="W156" i="64" s="1"/>
  <c r="X235" i="52"/>
  <c r="X248" i="52"/>
  <c r="W142" i="63" s="1"/>
  <c r="W166" i="63" s="1"/>
  <c r="W90" i="64" s="1"/>
  <c r="W157" i="64" s="1"/>
  <c r="X236" i="52"/>
  <c r="W130" i="63" s="1"/>
  <c r="W154" i="63" s="1"/>
  <c r="X237" i="52"/>
  <c r="W131" i="63" s="1"/>
  <c r="W155" i="63" s="1"/>
  <c r="X250" i="52"/>
  <c r="W144" i="63" s="1"/>
  <c r="W168" i="63" s="1"/>
  <c r="X245" i="52"/>
  <c r="W139" i="63" s="1"/>
  <c r="W163" i="63" s="1"/>
  <c r="W87" i="64" s="1"/>
  <c r="W154" i="64" s="1"/>
  <c r="X134" i="64"/>
  <c r="X17" i="67"/>
  <c r="W26" i="63"/>
  <c r="W26" i="54"/>
  <c r="Q41" i="64"/>
  <c r="Z119" i="50"/>
  <c r="Z57" i="49" s="1"/>
  <c r="Z58" i="49" s="1"/>
  <c r="U144" i="64"/>
  <c r="U95" i="64"/>
  <c r="L136" i="67"/>
  <c r="L139" i="67" s="1"/>
  <c r="L113" i="67"/>
  <c r="L142" i="67" s="1"/>
  <c r="V83" i="67"/>
  <c r="M101" i="67" s="1"/>
  <c r="V171" i="63"/>
  <c r="V77" i="64"/>
  <c r="V178" i="63"/>
  <c r="X15" i="53"/>
  <c r="Y143" i="53"/>
  <c r="Y191" i="53" s="1"/>
  <c r="Y144" i="53"/>
  <c r="Y192" i="53" s="1"/>
  <c r="Y137" i="53"/>
  <c r="Y185" i="53" s="1"/>
  <c r="Y231" i="53" s="1"/>
  <c r="Y142" i="53"/>
  <c r="Y190" i="53" s="1"/>
  <c r="Y136" i="53"/>
  <c r="Y184" i="53" s="1"/>
  <c r="Y138" i="53"/>
  <c r="Y186" i="53" s="1"/>
  <c r="Y135" i="53"/>
  <c r="Y183" i="53" s="1"/>
  <c r="Y134" i="53"/>
  <c r="Y182" i="53" s="1"/>
  <c r="Y228" i="53" s="1"/>
  <c r="Y133" i="53"/>
  <c r="Y181" i="53" s="1"/>
  <c r="Y145" i="53"/>
  <c r="Y193" i="53" s="1"/>
  <c r="Y148" i="53"/>
  <c r="Y196" i="53" s="1"/>
  <c r="Y139" i="53"/>
  <c r="Y187" i="53" s="1"/>
  <c r="Y149" i="53"/>
  <c r="Y197" i="53" s="1"/>
  <c r="Y141" i="53"/>
  <c r="Y189" i="53" s="1"/>
  <c r="Y235" i="53" s="1"/>
  <c r="Y132" i="53"/>
  <c r="Y180" i="53" s="1"/>
  <c r="Y226" i="53" s="1"/>
  <c r="Y147" i="53"/>
  <c r="Y195" i="53" s="1"/>
  <c r="Y140" i="53"/>
  <c r="Y188" i="53" s="1"/>
  <c r="Y146" i="53"/>
  <c r="Y194" i="53" s="1"/>
  <c r="Y240" i="53" s="1"/>
  <c r="U52" i="63"/>
  <c r="U50" i="63"/>
  <c r="X103" i="64"/>
  <c r="X27" i="47"/>
  <c r="X19" i="51"/>
  <c r="X20" i="51" s="1"/>
  <c r="X27" i="51" s="1"/>
  <c r="X40" i="49"/>
  <c r="X12" i="52"/>
  <c r="Y12" i="53"/>
  <c r="Y70" i="49"/>
  <c r="Y71" i="49" s="1"/>
  <c r="Y14" i="53" s="1"/>
  <c r="X247" i="53"/>
  <c r="X246" i="52"/>
  <c r="W140" i="63" s="1"/>
  <c r="W164" i="63" s="1"/>
  <c r="W88" i="64" s="1"/>
  <c r="W155" i="64" s="1"/>
  <c r="X249" i="52"/>
  <c r="W143" i="63" s="1"/>
  <c r="W167" i="63" s="1"/>
  <c r="X251" i="52"/>
  <c r="W145" i="63" s="1"/>
  <c r="W169" i="63" s="1"/>
  <c r="X239" i="52"/>
  <c r="W133" i="63" s="1"/>
  <c r="W157" i="63" s="1"/>
  <c r="X242" i="52"/>
  <c r="W136" i="63" s="1"/>
  <c r="W160" i="63" s="1"/>
  <c r="X243" i="52"/>
  <c r="W137" i="63" s="1"/>
  <c r="W161" i="63" s="1"/>
  <c r="W85" i="64" s="1"/>
  <c r="W152" i="64" s="1"/>
  <c r="X240" i="52"/>
  <c r="W134" i="63" s="1"/>
  <c r="W158" i="63" s="1"/>
  <c r="X252" i="52"/>
  <c r="W146" i="63" s="1"/>
  <c r="W170" i="63" s="1"/>
  <c r="W94" i="64" s="1"/>
  <c r="W161" i="64" s="1"/>
  <c r="X238" i="52"/>
  <c r="W132" i="63" s="1"/>
  <c r="W156" i="63" s="1"/>
  <c r="X241" i="52"/>
  <c r="W135" i="63" s="1"/>
  <c r="W159" i="63" s="1"/>
  <c r="Y116" i="52"/>
  <c r="Y110" i="52"/>
  <c r="Y106" i="52"/>
  <c r="Y120" i="52"/>
  <c r="Y119" i="52"/>
  <c r="Y112" i="52"/>
  <c r="Y107" i="52"/>
  <c r="Y105" i="52"/>
  <c r="Y114" i="52"/>
  <c r="Y113" i="52"/>
  <c r="Y109" i="52"/>
  <c r="Y118" i="52"/>
  <c r="Y115" i="52"/>
  <c r="Y121" i="52"/>
  <c r="Y117" i="52"/>
  <c r="Y108" i="52"/>
  <c r="Y122" i="52"/>
  <c r="Y111" i="52"/>
  <c r="V119" i="64"/>
  <c r="D42" i="64"/>
  <c r="H42" i="64" s="1"/>
  <c r="M42" i="64" s="1"/>
  <c r="V205" i="63"/>
  <c r="V200" i="63"/>
  <c r="V177" i="64" s="1"/>
  <c r="AC95" i="50"/>
  <c r="AC99" i="50"/>
  <c r="AC94" i="50"/>
  <c r="AC130" i="50"/>
  <c r="AC135" i="50"/>
  <c r="AC131" i="50"/>
  <c r="AC68" i="50"/>
  <c r="AD64" i="50" s="1"/>
  <c r="BE63" i="50"/>
  <c r="BD72" i="50"/>
  <c r="AB52" i="50"/>
  <c r="BD112" i="50"/>
  <c r="BE103" i="50"/>
  <c r="AC111" i="50"/>
  <c r="AC113" i="50" s="1"/>
  <c r="AC107" i="50"/>
  <c r="AC106" i="50"/>
  <c r="Y233" i="53" l="1"/>
  <c r="Y236" i="53"/>
  <c r="W22" i="54"/>
  <c r="Y243" i="53"/>
  <c r="Y237" i="53"/>
  <c r="Y242" i="53"/>
  <c r="Y229" i="53"/>
  <c r="M163" i="67"/>
  <c r="Y150" i="53"/>
  <c r="L143" i="67"/>
  <c r="V40" i="63"/>
  <c r="V30" i="63"/>
  <c r="V41" i="63"/>
  <c r="Y238" i="53"/>
  <c r="Y241" i="53"/>
  <c r="Y239" i="53"/>
  <c r="Y232" i="53"/>
  <c r="Y234" i="53"/>
  <c r="Y227" i="53"/>
  <c r="Y230" i="53"/>
  <c r="AA139" i="50"/>
  <c r="AA91" i="49" s="1"/>
  <c r="AA92" i="49" s="1"/>
  <c r="V180" i="64"/>
  <c r="W89" i="67"/>
  <c r="N107" i="67" s="1"/>
  <c r="W83" i="64"/>
  <c r="W150" i="64" s="1"/>
  <c r="W81" i="64"/>
  <c r="W148" i="64" s="1"/>
  <c r="W87" i="67"/>
  <c r="N105" i="67" s="1"/>
  <c r="W91" i="64"/>
  <c r="W158" i="64" s="1"/>
  <c r="W92" i="67"/>
  <c r="N110" i="67" s="1"/>
  <c r="Y116" i="51"/>
  <c r="Y117" i="51" s="1"/>
  <c r="Y124" i="51" s="1"/>
  <c r="Y13" i="53"/>
  <c r="Y72" i="49"/>
  <c r="X30" i="47"/>
  <c r="X29" i="47"/>
  <c r="E44" i="64"/>
  <c r="V185" i="63"/>
  <c r="V182" i="63"/>
  <c r="V183" i="63" s="1"/>
  <c r="V190" i="63"/>
  <c r="V193" i="63" s="1"/>
  <c r="V172" i="63"/>
  <c r="V173" i="63"/>
  <c r="U162" i="64"/>
  <c r="U122" i="64"/>
  <c r="Z93" i="47"/>
  <c r="Z11" i="63"/>
  <c r="Z69" i="49"/>
  <c r="Z12" i="54"/>
  <c r="Q42" i="64"/>
  <c r="W79" i="64"/>
  <c r="W146" i="64" s="1"/>
  <c r="W85" i="67"/>
  <c r="N103" i="67" s="1"/>
  <c r="Z105" i="49"/>
  <c r="Z107" i="49" s="1"/>
  <c r="Y96" i="47"/>
  <c r="Y165" i="47" s="1"/>
  <c r="Y166" i="47" s="1"/>
  <c r="Y18" i="47" s="1"/>
  <c r="Q120" i="67" s="1"/>
  <c r="Y181" i="47"/>
  <c r="Y182" i="47" s="1"/>
  <c r="Y219" i="47" s="1"/>
  <c r="Y220" i="47" s="1"/>
  <c r="Y19" i="47" s="1"/>
  <c r="Y14" i="67"/>
  <c r="Y289" i="63"/>
  <c r="Y288" i="63"/>
  <c r="V120" i="64"/>
  <c r="V248" i="63"/>
  <c r="V250" i="63" s="1"/>
  <c r="Z122" i="53"/>
  <c r="Z123" i="53"/>
  <c r="Z107" i="53"/>
  <c r="Z116" i="53"/>
  <c r="Z117" i="53"/>
  <c r="Z108" i="53"/>
  <c r="Z109" i="53"/>
  <c r="Z110" i="53"/>
  <c r="Z106" i="53"/>
  <c r="Z112" i="53"/>
  <c r="Z111" i="53"/>
  <c r="Z115" i="53"/>
  <c r="Z120" i="53"/>
  <c r="Z121" i="53"/>
  <c r="Z113" i="53"/>
  <c r="Z118" i="53"/>
  <c r="Z119" i="53"/>
  <c r="Z114" i="53"/>
  <c r="U118" i="64"/>
  <c r="C41" i="64"/>
  <c r="I41" i="64" s="1"/>
  <c r="U192" i="63"/>
  <c r="U195" i="63" s="1"/>
  <c r="U197" i="63"/>
  <c r="W86" i="67"/>
  <c r="N104" i="67" s="1"/>
  <c r="W179" i="63"/>
  <c r="W80" i="64"/>
  <c r="W147" i="64" s="1"/>
  <c r="W180" i="63"/>
  <c r="W187" i="63" s="1"/>
  <c r="W82" i="64"/>
  <c r="W149" i="64" s="1"/>
  <c r="W88" i="67"/>
  <c r="N106" i="67" s="1"/>
  <c r="W84" i="64"/>
  <c r="W151" i="64" s="1"/>
  <c r="W181" i="63"/>
  <c r="W188" i="63" s="1"/>
  <c r="W90" i="67"/>
  <c r="N108" i="67" s="1"/>
  <c r="W93" i="64"/>
  <c r="W160" i="64" s="1"/>
  <c r="W94" i="67"/>
  <c r="N112" i="67" s="1"/>
  <c r="Z171" i="53"/>
  <c r="Z219" i="53" s="1"/>
  <c r="Z170" i="53"/>
  <c r="Z218" i="53" s="1"/>
  <c r="Z157" i="53"/>
  <c r="Z205" i="53" s="1"/>
  <c r="Z159" i="53"/>
  <c r="Z207" i="53" s="1"/>
  <c r="Z163" i="53"/>
  <c r="Z211" i="53" s="1"/>
  <c r="Z160" i="53"/>
  <c r="Z208" i="53" s="1"/>
  <c r="Z155" i="53"/>
  <c r="Z203" i="53" s="1"/>
  <c r="Z166" i="53"/>
  <c r="Z214" i="53" s="1"/>
  <c r="Z162" i="53"/>
  <c r="Z210" i="53" s="1"/>
  <c r="Z156" i="53"/>
  <c r="Z204" i="53" s="1"/>
  <c r="Z158" i="53"/>
  <c r="Z206" i="53" s="1"/>
  <c r="Z167" i="53"/>
  <c r="Z215" i="53" s="1"/>
  <c r="Z168" i="53"/>
  <c r="Z216" i="53" s="1"/>
  <c r="Z154" i="53"/>
  <c r="Z202" i="53" s="1"/>
  <c r="Z164" i="53"/>
  <c r="Z212" i="53" s="1"/>
  <c r="Z161" i="53"/>
  <c r="Z209" i="53" s="1"/>
  <c r="Z169" i="53"/>
  <c r="Z217" i="53" s="1"/>
  <c r="Z165" i="53"/>
  <c r="Z213" i="53" s="1"/>
  <c r="Y135" i="52"/>
  <c r="Y183" i="52" s="1"/>
  <c r="Y239" i="52" s="1"/>
  <c r="Y142" i="52"/>
  <c r="Y190" i="52" s="1"/>
  <c r="Y246" i="52" s="1"/>
  <c r="X140" i="63" s="1"/>
  <c r="X164" i="63" s="1"/>
  <c r="X88" i="64" s="1"/>
  <c r="X155" i="64" s="1"/>
  <c r="Y145" i="52"/>
  <c r="Y193" i="52" s="1"/>
  <c r="Y249" i="52" s="1"/>
  <c r="X143" i="63" s="1"/>
  <c r="X167" i="63" s="1"/>
  <c r="Y133" i="52"/>
  <c r="Y181" i="52" s="1"/>
  <c r="Y237" i="52" s="1"/>
  <c r="X131" i="63" s="1"/>
  <c r="X155" i="63" s="1"/>
  <c r="Y138" i="52"/>
  <c r="Y186" i="52" s="1"/>
  <c r="Y242" i="52" s="1"/>
  <c r="X136" i="63" s="1"/>
  <c r="X160" i="63" s="1"/>
  <c r="Y136" i="52"/>
  <c r="Y184" i="52" s="1"/>
  <c r="Y240" i="52" s="1"/>
  <c r="X134" i="63" s="1"/>
  <c r="X158" i="63" s="1"/>
  <c r="Y132" i="52"/>
  <c r="Y180" i="52" s="1"/>
  <c r="Y236" i="52" s="1"/>
  <c r="Y134" i="52"/>
  <c r="Y182" i="52" s="1"/>
  <c r="Y238" i="52" s="1"/>
  <c r="X132" i="63" s="1"/>
  <c r="X156" i="63" s="1"/>
  <c r="Y144" i="52"/>
  <c r="Y192" i="52" s="1"/>
  <c r="Y248" i="52" s="1"/>
  <c r="Y141" i="52"/>
  <c r="Y189" i="52" s="1"/>
  <c r="Y245" i="52" s="1"/>
  <c r="X139" i="63" s="1"/>
  <c r="X163" i="63" s="1"/>
  <c r="X87" i="64" s="1"/>
  <c r="X154" i="64" s="1"/>
  <c r="Y143" i="52"/>
  <c r="Y191" i="52" s="1"/>
  <c r="Y247" i="52" s="1"/>
  <c r="X141" i="63" s="1"/>
  <c r="X165" i="63" s="1"/>
  <c r="X89" i="64" s="1"/>
  <c r="X156" i="64" s="1"/>
  <c r="X14" i="52"/>
  <c r="Y140" i="52"/>
  <c r="Y188" i="52" s="1"/>
  <c r="Y244" i="52" s="1"/>
  <c r="X138" i="63" s="1"/>
  <c r="X162" i="63" s="1"/>
  <c r="Y131" i="52"/>
  <c r="Y179" i="52" s="1"/>
  <c r="Y235" i="52" s="1"/>
  <c r="Y146" i="52"/>
  <c r="Y194" i="52" s="1"/>
  <c r="Y250" i="52" s="1"/>
  <c r="Y148" i="52"/>
  <c r="Y196" i="52" s="1"/>
  <c r="Y252" i="52" s="1"/>
  <c r="Y137" i="52"/>
  <c r="Y185" i="52" s="1"/>
  <c r="Y241" i="52" s="1"/>
  <c r="X135" i="63" s="1"/>
  <c r="X159" i="63" s="1"/>
  <c r="Y147" i="52"/>
  <c r="Y195" i="52" s="1"/>
  <c r="Y251" i="52" s="1"/>
  <c r="Y139" i="52"/>
  <c r="Y187" i="52" s="1"/>
  <c r="Y243" i="52" s="1"/>
  <c r="AD73" i="51"/>
  <c r="AA73" i="51"/>
  <c r="X28" i="51"/>
  <c r="AF73" i="51"/>
  <c r="AC73" i="51"/>
  <c r="Z73" i="51"/>
  <c r="AG73" i="51"/>
  <c r="AE73" i="51"/>
  <c r="AB73" i="51"/>
  <c r="Y73" i="51"/>
  <c r="Y104" i="51" s="1"/>
  <c r="Y86" i="52" s="1"/>
  <c r="AH73" i="51"/>
  <c r="V144" i="64"/>
  <c r="V95" i="64"/>
  <c r="M113" i="67"/>
  <c r="M142" i="67" s="1"/>
  <c r="M136" i="67"/>
  <c r="M139" i="67" s="1"/>
  <c r="W194" i="63"/>
  <c r="W45" i="63"/>
  <c r="W93" i="67"/>
  <c r="N111" i="67" s="1"/>
  <c r="W92" i="64"/>
  <c r="W159" i="64" s="1"/>
  <c r="W78" i="64"/>
  <c r="W145" i="64" s="1"/>
  <c r="W84" i="67"/>
  <c r="N102" i="67" s="1"/>
  <c r="W129" i="63"/>
  <c r="X254" i="52"/>
  <c r="W91" i="67"/>
  <c r="N109" i="67" s="1"/>
  <c r="W86" i="64"/>
  <c r="W153" i="64" s="1"/>
  <c r="Y15" i="67"/>
  <c r="Y16" i="63"/>
  <c r="Y11" i="52"/>
  <c r="Z227" i="52" s="1"/>
  <c r="Z228" i="52" s="1"/>
  <c r="Y38" i="49"/>
  <c r="Y39" i="49" s="1"/>
  <c r="Y13" i="52" s="1"/>
  <c r="V47" i="63"/>
  <c r="V48" i="63"/>
  <c r="X111" i="64"/>
  <c r="AC115" i="50"/>
  <c r="AD66" i="50"/>
  <c r="AD67" i="50"/>
  <c r="AD71" i="50"/>
  <c r="AD73" i="50" s="1"/>
  <c r="AC110" i="50"/>
  <c r="AC108" i="50"/>
  <c r="AD104" i="50" s="1"/>
  <c r="AC132" i="50"/>
  <c r="AD128" i="50" s="1"/>
  <c r="AB55" i="50"/>
  <c r="AB59" i="50"/>
  <c r="AB77" i="50" s="1"/>
  <c r="AB54" i="50"/>
  <c r="BE72" i="50"/>
  <c r="BF63" i="50"/>
  <c r="BE112" i="50"/>
  <c r="BF103" i="50"/>
  <c r="AC96" i="50"/>
  <c r="AD92" i="50" s="1"/>
  <c r="X144" i="63" l="1"/>
  <c r="X168" i="63" s="1"/>
  <c r="X92" i="64" s="1"/>
  <c r="X159" i="64" s="1"/>
  <c r="X130" i="63"/>
  <c r="X154" i="63" s="1"/>
  <c r="X146" i="63"/>
  <c r="X170" i="63" s="1"/>
  <c r="X94" i="64" s="1"/>
  <c r="X161" i="64" s="1"/>
  <c r="X145" i="63"/>
  <c r="X169" i="63" s="1"/>
  <c r="X93" i="64" s="1"/>
  <c r="X160" i="64" s="1"/>
  <c r="Y245" i="53"/>
  <c r="X22" i="63" s="1"/>
  <c r="Y290" i="63"/>
  <c r="M143" i="67"/>
  <c r="N135" i="67"/>
  <c r="N163" i="67" s="1"/>
  <c r="X137" i="63"/>
  <c r="X161" i="63" s="1"/>
  <c r="X85" i="64" s="1"/>
  <c r="X152" i="64" s="1"/>
  <c r="X142" i="63"/>
  <c r="X166" i="63" s="1"/>
  <c r="X90" i="64" s="1"/>
  <c r="X157" i="64" s="1"/>
  <c r="X133" i="63"/>
  <c r="X157" i="63" s="1"/>
  <c r="X81" i="64" s="1"/>
  <c r="X148" i="64" s="1"/>
  <c r="V197" i="63"/>
  <c r="V206" i="63" s="1"/>
  <c r="Y40" i="49"/>
  <c r="Y19" i="51"/>
  <c r="Y20" i="51" s="1"/>
  <c r="Y27" i="51" s="1"/>
  <c r="Y12" i="52"/>
  <c r="Y17" i="67"/>
  <c r="Y134" i="64"/>
  <c r="W24" i="63"/>
  <c r="X256" i="52"/>
  <c r="W24" i="54"/>
  <c r="W28" i="54" s="1"/>
  <c r="W30" i="54" s="1"/>
  <c r="V122" i="64"/>
  <c r="V162" i="64"/>
  <c r="X129" i="63"/>
  <c r="Y254" i="52"/>
  <c r="X86" i="67"/>
  <c r="O104" i="67" s="1"/>
  <c r="X80" i="64"/>
  <c r="X147" i="64" s="1"/>
  <c r="X82" i="64"/>
  <c r="X149" i="64" s="1"/>
  <c r="X88" i="67"/>
  <c r="O106" i="67" s="1"/>
  <c r="X79" i="64"/>
  <c r="X146" i="64" s="1"/>
  <c r="X85" i="67"/>
  <c r="O103" i="67" s="1"/>
  <c r="U198" i="63"/>
  <c r="U206" i="63"/>
  <c r="U125" i="64"/>
  <c r="N41" i="64"/>
  <c r="O41" i="64" s="1"/>
  <c r="P121" i="67"/>
  <c r="P128" i="67" s="1"/>
  <c r="P137" i="67" s="1"/>
  <c r="Y104" i="64"/>
  <c r="Z106" i="49"/>
  <c r="Z12" i="53"/>
  <c r="Z70" i="49"/>
  <c r="Z71" i="49" s="1"/>
  <c r="Z14" i="53" s="1"/>
  <c r="U163" i="64"/>
  <c r="V118" i="64"/>
  <c r="C42" i="64"/>
  <c r="I42" i="64" s="1"/>
  <c r="V192" i="63"/>
  <c r="V195" i="63" s="1"/>
  <c r="AD171" i="51"/>
  <c r="AA171" i="51"/>
  <c r="AI171" i="51"/>
  <c r="AB171" i="51"/>
  <c r="AC171" i="51"/>
  <c r="AE171" i="51"/>
  <c r="AG171" i="51"/>
  <c r="Z171" i="51"/>
  <c r="Z201" i="51" s="1"/>
  <c r="Z87" i="53" s="1"/>
  <c r="AH171" i="51"/>
  <c r="Y125" i="51"/>
  <c r="AF171" i="51"/>
  <c r="AA94" i="47"/>
  <c r="AA104" i="49"/>
  <c r="AA13" i="54"/>
  <c r="AA12" i="63"/>
  <c r="AA13" i="67" s="1"/>
  <c r="Z83" i="50"/>
  <c r="Z25" i="49" s="1"/>
  <c r="Z26" i="49" s="1"/>
  <c r="AA119" i="50"/>
  <c r="AA57" i="49" s="1"/>
  <c r="AA58" i="49" s="1"/>
  <c r="V52" i="63"/>
  <c r="V50" i="63"/>
  <c r="Z162" i="52"/>
  <c r="Z210" i="52" s="1"/>
  <c r="Z170" i="52"/>
  <c r="Z218" i="52" s="1"/>
  <c r="Z167" i="52"/>
  <c r="Z215" i="52" s="1"/>
  <c r="Z154" i="52"/>
  <c r="Z202" i="52" s="1"/>
  <c r="Z158" i="52"/>
  <c r="Z206" i="52" s="1"/>
  <c r="Z159" i="52"/>
  <c r="Z207" i="52" s="1"/>
  <c r="Z156" i="52"/>
  <c r="Z204" i="52" s="1"/>
  <c r="Z161" i="52"/>
  <c r="Z209" i="52" s="1"/>
  <c r="Z160" i="52"/>
  <c r="Z208" i="52" s="1"/>
  <c r="Z169" i="52"/>
  <c r="Z217" i="52" s="1"/>
  <c r="Z166" i="52"/>
  <c r="Z214" i="52" s="1"/>
  <c r="Z163" i="52"/>
  <c r="Z211" i="52" s="1"/>
  <c r="Z153" i="52"/>
  <c r="Z201" i="52" s="1"/>
  <c r="Z155" i="52"/>
  <c r="Z203" i="52" s="1"/>
  <c r="Z157" i="52"/>
  <c r="Z205" i="52" s="1"/>
  <c r="Z165" i="52"/>
  <c r="Z213" i="52" s="1"/>
  <c r="Z168" i="52"/>
  <c r="Z216" i="52" s="1"/>
  <c r="Z164" i="52"/>
  <c r="Z212" i="52" s="1"/>
  <c r="W153" i="63"/>
  <c r="W147" i="63"/>
  <c r="W148" i="63" s="1"/>
  <c r="W120" i="64"/>
  <c r="Z117" i="52"/>
  <c r="Z110" i="52"/>
  <c r="Z118" i="52"/>
  <c r="Z106" i="52"/>
  <c r="Z107" i="52"/>
  <c r="Z109" i="52"/>
  <c r="Z115" i="52"/>
  <c r="Z116" i="52"/>
  <c r="Z108" i="52"/>
  <c r="Z120" i="52"/>
  <c r="Z114" i="52"/>
  <c r="Z121" i="52"/>
  <c r="Z119" i="52"/>
  <c r="Z105" i="52"/>
  <c r="Z111" i="52"/>
  <c r="Z122" i="52"/>
  <c r="Z113" i="52"/>
  <c r="Z112" i="52"/>
  <c r="X89" i="67"/>
  <c r="O107" i="67" s="1"/>
  <c r="X83" i="64"/>
  <c r="X150" i="64" s="1"/>
  <c r="X93" i="67"/>
  <c r="O111" i="67" s="1"/>
  <c r="X91" i="67"/>
  <c r="O109" i="67" s="1"/>
  <c r="X86" i="64"/>
  <c r="X153" i="64" s="1"/>
  <c r="X78" i="64"/>
  <c r="X145" i="64" s="1"/>
  <c r="X84" i="67"/>
  <c r="O102" i="67" s="1"/>
  <c r="X84" i="64"/>
  <c r="X151" i="64" s="1"/>
  <c r="X181" i="63"/>
  <c r="X188" i="63" s="1"/>
  <c r="X91" i="64"/>
  <c r="X158" i="64" s="1"/>
  <c r="X92" i="67"/>
  <c r="O110" i="67" s="1"/>
  <c r="W186" i="63"/>
  <c r="W191" i="63"/>
  <c r="Y103" i="64"/>
  <c r="Y27" i="47"/>
  <c r="Z12" i="67"/>
  <c r="U169" i="64"/>
  <c r="U170" i="64" s="1"/>
  <c r="U124" i="64"/>
  <c r="U123" i="64"/>
  <c r="X26" i="54"/>
  <c r="X26" i="63"/>
  <c r="Z146" i="53"/>
  <c r="Z194" i="53" s="1"/>
  <c r="Z240" i="53" s="1"/>
  <c r="Z144" i="53"/>
  <c r="Z192" i="53" s="1"/>
  <c r="Z238" i="53" s="1"/>
  <c r="Z135" i="53"/>
  <c r="Z183" i="53" s="1"/>
  <c r="Z229" i="53" s="1"/>
  <c r="Z132" i="53"/>
  <c r="Z180" i="53" s="1"/>
  <c r="Z226" i="53" s="1"/>
  <c r="Z148" i="53"/>
  <c r="Z196" i="53" s="1"/>
  <c r="Z242" i="53" s="1"/>
  <c r="Z141" i="53"/>
  <c r="Z189" i="53" s="1"/>
  <c r="Z235" i="53" s="1"/>
  <c r="Y15" i="53"/>
  <c r="Z136" i="53"/>
  <c r="Z184" i="53" s="1"/>
  <c r="Z230" i="53" s="1"/>
  <c r="Z149" i="53"/>
  <c r="Z197" i="53" s="1"/>
  <c r="Z243" i="53" s="1"/>
  <c r="Z143" i="53"/>
  <c r="Z191" i="53" s="1"/>
  <c r="Z237" i="53" s="1"/>
  <c r="Z140" i="53"/>
  <c r="Z188" i="53" s="1"/>
  <c r="Z234" i="53" s="1"/>
  <c r="Z142" i="53"/>
  <c r="Z190" i="53" s="1"/>
  <c r="Z236" i="53" s="1"/>
  <c r="Z145" i="53"/>
  <c r="Z193" i="53" s="1"/>
  <c r="Z239" i="53" s="1"/>
  <c r="Z147" i="53"/>
  <c r="Z195" i="53" s="1"/>
  <c r="Z241" i="53" s="1"/>
  <c r="Z139" i="53"/>
  <c r="Z187" i="53" s="1"/>
  <c r="Z233" i="53" s="1"/>
  <c r="Z137" i="53"/>
  <c r="Z185" i="53" s="1"/>
  <c r="Z231" i="53" s="1"/>
  <c r="Z138" i="53"/>
  <c r="Z186" i="53" s="1"/>
  <c r="Z232" i="53" s="1"/>
  <c r="Z134" i="53"/>
  <c r="Z182" i="53" s="1"/>
  <c r="Z228" i="53" s="1"/>
  <c r="Z133" i="53"/>
  <c r="Z181" i="53" s="1"/>
  <c r="Z227" i="53" s="1"/>
  <c r="AD99" i="50"/>
  <c r="AD95" i="50"/>
  <c r="AD94" i="50"/>
  <c r="AD131" i="50"/>
  <c r="AD130" i="50"/>
  <c r="AD135" i="50"/>
  <c r="BF112" i="50"/>
  <c r="BG103" i="50"/>
  <c r="AB56" i="50"/>
  <c r="AC52" i="50" s="1"/>
  <c r="AD111" i="50"/>
  <c r="AD113" i="50" s="1"/>
  <c r="AD107" i="50"/>
  <c r="AD106" i="50"/>
  <c r="BG63" i="50"/>
  <c r="BF72" i="50"/>
  <c r="AD68" i="50"/>
  <c r="AE64" i="50" s="1"/>
  <c r="X94" i="67" l="1"/>
  <c r="O112" i="67" s="1"/>
  <c r="V198" i="63"/>
  <c r="X180" i="63"/>
  <c r="X187" i="63" s="1"/>
  <c r="X22" i="54"/>
  <c r="X87" i="67"/>
  <c r="O105" i="67" s="1"/>
  <c r="Y247" i="53"/>
  <c r="X179" i="63"/>
  <c r="Z150" i="53"/>
  <c r="Z245" i="53"/>
  <c r="Z247" i="53" s="1"/>
  <c r="X90" i="67"/>
  <c r="O108" i="67" s="1"/>
  <c r="W28" i="63"/>
  <c r="W44" i="63"/>
  <c r="E45" i="64"/>
  <c r="Y29" i="47"/>
  <c r="Y30" i="47"/>
  <c r="W119" i="64"/>
  <c r="W205" i="63"/>
  <c r="W201" i="63"/>
  <c r="W179" i="64" s="1"/>
  <c r="W200" i="63"/>
  <c r="W177" i="64" s="1"/>
  <c r="D43" i="64"/>
  <c r="H43" i="64" s="1"/>
  <c r="M43" i="64" s="1"/>
  <c r="AA11" i="63"/>
  <c r="AA93" i="47"/>
  <c r="AA12" i="54"/>
  <c r="AA69" i="49"/>
  <c r="Z13" i="63"/>
  <c r="Z14" i="63" s="1"/>
  <c r="Z15" i="67" s="1"/>
  <c r="Z92" i="47"/>
  <c r="Z14" i="54"/>
  <c r="Z15" i="54" s="1"/>
  <c r="Z16" i="54" s="1"/>
  <c r="Z37" i="49"/>
  <c r="AA105" i="49"/>
  <c r="AA107" i="49" s="1"/>
  <c r="AA123" i="53"/>
  <c r="AA111" i="53"/>
  <c r="AA114" i="53"/>
  <c r="AA107" i="53"/>
  <c r="AA120" i="53"/>
  <c r="AA113" i="53"/>
  <c r="AA115" i="53"/>
  <c r="AA119" i="53"/>
  <c r="AA109" i="53"/>
  <c r="AA121" i="53"/>
  <c r="AA122" i="53"/>
  <c r="AA118" i="53"/>
  <c r="AA108" i="53"/>
  <c r="AA110" i="53"/>
  <c r="AA106" i="53"/>
  <c r="AA112" i="53"/>
  <c r="AA116" i="53"/>
  <c r="AA117" i="53"/>
  <c r="AA168" i="53"/>
  <c r="AA216" i="53" s="1"/>
  <c r="AA162" i="53"/>
  <c r="AA210" i="53" s="1"/>
  <c r="AA163" i="53"/>
  <c r="AA211" i="53" s="1"/>
  <c r="AA169" i="53"/>
  <c r="AA217" i="53" s="1"/>
  <c r="AA167" i="53"/>
  <c r="AA215" i="53" s="1"/>
  <c r="AA159" i="53"/>
  <c r="AA207" i="53" s="1"/>
  <c r="AA165" i="53"/>
  <c r="AA213" i="53" s="1"/>
  <c r="AA161" i="53"/>
  <c r="AA209" i="53" s="1"/>
  <c r="AA160" i="53"/>
  <c r="AA208" i="53" s="1"/>
  <c r="AA154" i="53"/>
  <c r="AA202" i="53" s="1"/>
  <c r="AA158" i="53"/>
  <c r="AA206" i="53" s="1"/>
  <c r="AA164" i="53"/>
  <c r="AA212" i="53" s="1"/>
  <c r="AA166" i="53"/>
  <c r="AA214" i="53" s="1"/>
  <c r="AA157" i="53"/>
  <c r="AA205" i="53" s="1"/>
  <c r="AA170" i="53"/>
  <c r="AA218" i="53" s="1"/>
  <c r="AA156" i="53"/>
  <c r="AA204" i="53" s="1"/>
  <c r="AA155" i="53"/>
  <c r="AA203" i="53" s="1"/>
  <c r="AA171" i="53"/>
  <c r="AA219" i="53" s="1"/>
  <c r="X186" i="63"/>
  <c r="X191" i="63"/>
  <c r="X24" i="54"/>
  <c r="X28" i="54" s="1"/>
  <c r="X30" i="54" s="1"/>
  <c r="Y256" i="52"/>
  <c r="X24" i="63"/>
  <c r="V163" i="64"/>
  <c r="AD74" i="51"/>
  <c r="AA74" i="51"/>
  <c r="AB74" i="51"/>
  <c r="AH74" i="51"/>
  <c r="AG74" i="51"/>
  <c r="AE74" i="51"/>
  <c r="AF74" i="51"/>
  <c r="Z74" i="51"/>
  <c r="Z104" i="51" s="1"/>
  <c r="Z86" i="52" s="1"/>
  <c r="Y28" i="51"/>
  <c r="AI74" i="51"/>
  <c r="AC74" i="51"/>
  <c r="AB139" i="50"/>
  <c r="AB91" i="49" s="1"/>
  <c r="AB92" i="49" s="1"/>
  <c r="Y22" i="63"/>
  <c r="X194" i="63"/>
  <c r="X45" i="63"/>
  <c r="W248" i="63"/>
  <c r="W250" i="63" s="1"/>
  <c r="W83" i="67"/>
  <c r="N101" i="67" s="1"/>
  <c r="W77" i="64"/>
  <c r="W171" i="63"/>
  <c r="W178" i="63"/>
  <c r="V125" i="64"/>
  <c r="N42" i="64"/>
  <c r="O42" i="64" s="1"/>
  <c r="Z13" i="53"/>
  <c r="Z72" i="49"/>
  <c r="Z116" i="51"/>
  <c r="Z117" i="51" s="1"/>
  <c r="Z124" i="51" s="1"/>
  <c r="Y111" i="64"/>
  <c r="X147" i="63"/>
  <c r="X153" i="63"/>
  <c r="V169" i="64"/>
  <c r="V170" i="64" s="1"/>
  <c r="V123" i="64"/>
  <c r="V124" i="64"/>
  <c r="Y14" i="52"/>
  <c r="Z138" i="52"/>
  <c r="Z186" i="52" s="1"/>
  <c r="Z242" i="52" s="1"/>
  <c r="Y136" i="63" s="1"/>
  <c r="Y160" i="63" s="1"/>
  <c r="Z140" i="52"/>
  <c r="Z188" i="52" s="1"/>
  <c r="Z244" i="52" s="1"/>
  <c r="Y138" i="63" s="1"/>
  <c r="Y162" i="63" s="1"/>
  <c r="Z136" i="52"/>
  <c r="Z184" i="52" s="1"/>
  <c r="Z240" i="52" s="1"/>
  <c r="Y134" i="63" s="1"/>
  <c r="Y158" i="63" s="1"/>
  <c r="Z137" i="52"/>
  <c r="Z185" i="52" s="1"/>
  <c r="Z241" i="52" s="1"/>
  <c r="Y135" i="63" s="1"/>
  <c r="Y159" i="63" s="1"/>
  <c r="Z143" i="52"/>
  <c r="Z191" i="52" s="1"/>
  <c r="Z247" i="52" s="1"/>
  <c r="Y141" i="63" s="1"/>
  <c r="Y165" i="63" s="1"/>
  <c r="Y89" i="64" s="1"/>
  <c r="Y156" i="64" s="1"/>
  <c r="Z131" i="52"/>
  <c r="Z179" i="52" s="1"/>
  <c r="Z235" i="52" s="1"/>
  <c r="Z132" i="52"/>
  <c r="Z180" i="52" s="1"/>
  <c r="Z236" i="52" s="1"/>
  <c r="Y130" i="63" s="1"/>
  <c r="Y154" i="63" s="1"/>
  <c r="Z142" i="52"/>
  <c r="Z190" i="52" s="1"/>
  <c r="Z246" i="52" s="1"/>
  <c r="Y140" i="63" s="1"/>
  <c r="Y164" i="63" s="1"/>
  <c r="Y88" i="64" s="1"/>
  <c r="Y155" i="64" s="1"/>
  <c r="Z148" i="52"/>
  <c r="Z196" i="52" s="1"/>
  <c r="Z252" i="52" s="1"/>
  <c r="Y146" i="63" s="1"/>
  <c r="Y170" i="63" s="1"/>
  <c r="Y94" i="64" s="1"/>
  <c r="Y161" i="64" s="1"/>
  <c r="Z145" i="52"/>
  <c r="Z193" i="52" s="1"/>
  <c r="Z249" i="52" s="1"/>
  <c r="Y143" i="63" s="1"/>
  <c r="Y167" i="63" s="1"/>
  <c r="Z146" i="52"/>
  <c r="Z194" i="52" s="1"/>
  <c r="Z250" i="52" s="1"/>
  <c r="Y144" i="63" s="1"/>
  <c r="Y168" i="63" s="1"/>
  <c r="Z135" i="52"/>
  <c r="Z183" i="52" s="1"/>
  <c r="Z239" i="52" s="1"/>
  <c r="Y133" i="63" s="1"/>
  <c r="Y157" i="63" s="1"/>
  <c r="Z134" i="52"/>
  <c r="Z182" i="52" s="1"/>
  <c r="Z238" i="52" s="1"/>
  <c r="Y132" i="63" s="1"/>
  <c r="Y156" i="63" s="1"/>
  <c r="Z141" i="52"/>
  <c r="Z189" i="52" s="1"/>
  <c r="Z245" i="52" s="1"/>
  <c r="Y139" i="63" s="1"/>
  <c r="Y163" i="63" s="1"/>
  <c r="Y87" i="64" s="1"/>
  <c r="Y154" i="64" s="1"/>
  <c r="Z139" i="52"/>
  <c r="Z187" i="52" s="1"/>
  <c r="Z243" i="52" s="1"/>
  <c r="Y137" i="63" s="1"/>
  <c r="Y161" i="63" s="1"/>
  <c r="Y85" i="64" s="1"/>
  <c r="Y152" i="64" s="1"/>
  <c r="Z133" i="52"/>
  <c r="Z181" i="52" s="1"/>
  <c r="Z237" i="52" s="1"/>
  <c r="Y131" i="63" s="1"/>
  <c r="Y155" i="63" s="1"/>
  <c r="Z147" i="52"/>
  <c r="Z195" i="52" s="1"/>
  <c r="Z251" i="52" s="1"/>
  <c r="Y145" i="63" s="1"/>
  <c r="Y169" i="63" s="1"/>
  <c r="Z144" i="52"/>
  <c r="Z192" i="52" s="1"/>
  <c r="Z248" i="52" s="1"/>
  <c r="Y142" i="63" s="1"/>
  <c r="Y166" i="63" s="1"/>
  <c r="Y90" i="64" s="1"/>
  <c r="Y157" i="64" s="1"/>
  <c r="AC59" i="50"/>
  <c r="AC77" i="50" s="1"/>
  <c r="AC54" i="50"/>
  <c r="AC55" i="50"/>
  <c r="AE66" i="50"/>
  <c r="AE71" i="50"/>
  <c r="AE73" i="50" s="1"/>
  <c r="AE67" i="50"/>
  <c r="AD96" i="50"/>
  <c r="AE92" i="50" s="1"/>
  <c r="BG72" i="50"/>
  <c r="BH63" i="50"/>
  <c r="AD110" i="50"/>
  <c r="AD108" i="50"/>
  <c r="AE104" i="50" s="1"/>
  <c r="BG112" i="50"/>
  <c r="BH103" i="50"/>
  <c r="AD132" i="50"/>
  <c r="AE128" i="50" s="1"/>
  <c r="AD115" i="50"/>
  <c r="O135" i="67" l="1"/>
  <c r="O163" i="67" s="1"/>
  <c r="Y22" i="54"/>
  <c r="Z16" i="63"/>
  <c r="X148" i="63"/>
  <c r="Z247" i="43"/>
  <c r="W47" i="63"/>
  <c r="W48" i="63"/>
  <c r="X28" i="63"/>
  <c r="X44" i="63"/>
  <c r="X48" i="63" s="1"/>
  <c r="W30" i="63"/>
  <c r="W40" i="63"/>
  <c r="W41" i="63"/>
  <c r="X47" i="63"/>
  <c r="AB119" i="50"/>
  <c r="AB57" i="49" s="1"/>
  <c r="AB58" i="49" s="1"/>
  <c r="AA83" i="50"/>
  <c r="AA25" i="49" s="1"/>
  <c r="AA26" i="49" s="1"/>
  <c r="Y93" i="64"/>
  <c r="Y160" i="64" s="1"/>
  <c r="Y94" i="67"/>
  <c r="P112" i="67" s="1"/>
  <c r="Y80" i="64"/>
  <c r="Y147" i="64" s="1"/>
  <c r="Y179" i="63"/>
  <c r="Y86" i="67"/>
  <c r="Y93" i="67"/>
  <c r="P111" i="67" s="1"/>
  <c r="Y92" i="64"/>
  <c r="Y159" i="64" s="1"/>
  <c r="Y78" i="64"/>
  <c r="Y145" i="64" s="1"/>
  <c r="Y84" i="67"/>
  <c r="Y88" i="67"/>
  <c r="Y82" i="64"/>
  <c r="Y149" i="64" s="1"/>
  <c r="Y180" i="63"/>
  <c r="Y90" i="67"/>
  <c r="P108" i="67" s="1"/>
  <c r="Y181" i="63"/>
  <c r="Y84" i="64"/>
  <c r="Y151" i="64" s="1"/>
  <c r="W190" i="63"/>
  <c r="W193" i="63" s="1"/>
  <c r="W185" i="63"/>
  <c r="W182" i="63"/>
  <c r="W183" i="63" s="1"/>
  <c r="W144" i="64"/>
  <c r="W95" i="64"/>
  <c r="X120" i="64"/>
  <c r="X248" i="63"/>
  <c r="X250" i="63" s="1"/>
  <c r="AA118" i="52"/>
  <c r="AA119" i="52"/>
  <c r="AA120" i="52"/>
  <c r="AA109" i="52"/>
  <c r="AA113" i="52"/>
  <c r="AA116" i="52"/>
  <c r="AA112" i="52"/>
  <c r="AA114" i="52"/>
  <c r="AA117" i="52"/>
  <c r="AA105" i="52"/>
  <c r="AA108" i="52"/>
  <c r="AA115" i="52"/>
  <c r="AA110" i="52"/>
  <c r="AA111" i="52"/>
  <c r="AA121" i="52"/>
  <c r="AA122" i="52"/>
  <c r="AA107" i="52"/>
  <c r="AA106" i="52"/>
  <c r="D44" i="64"/>
  <c r="H44" i="64" s="1"/>
  <c r="M44" i="64" s="1"/>
  <c r="X205" i="63"/>
  <c r="X119" i="64"/>
  <c r="X200" i="63"/>
  <c r="X177" i="64" s="1"/>
  <c r="X201" i="63"/>
  <c r="X179" i="64" s="1"/>
  <c r="AA106" i="49"/>
  <c r="Z38" i="49"/>
  <c r="Z39" i="49" s="1"/>
  <c r="Z13" i="52" s="1"/>
  <c r="Z11" i="52"/>
  <c r="AA227" i="52" s="1"/>
  <c r="AA228" i="52" s="1"/>
  <c r="Z96" i="47"/>
  <c r="Z165" i="47" s="1"/>
  <c r="Z166" i="47" s="1"/>
  <c r="Z18" i="47" s="1"/>
  <c r="R120" i="67" s="1"/>
  <c r="Z181" i="47"/>
  <c r="Z182" i="47" s="1"/>
  <c r="Z219" i="47" s="1"/>
  <c r="Z220" i="47" s="1"/>
  <c r="Z19" i="47" s="1"/>
  <c r="AA12" i="53"/>
  <c r="AA70" i="49"/>
  <c r="Y26" i="63"/>
  <c r="Y26" i="54"/>
  <c r="Y85" i="67"/>
  <c r="Y79" i="64"/>
  <c r="Y146" i="64" s="1"/>
  <c r="Y87" i="67"/>
  <c r="P105" i="67" s="1"/>
  <c r="Y81" i="64"/>
  <c r="Y148" i="64" s="1"/>
  <c r="Y91" i="64"/>
  <c r="Y158" i="64" s="1"/>
  <c r="Y92" i="67"/>
  <c r="P110" i="67" s="1"/>
  <c r="Y129" i="63"/>
  <c r="Z254" i="52"/>
  <c r="Y89" i="67"/>
  <c r="P107" i="67" s="1"/>
  <c r="Y83" i="64"/>
  <c r="Y150" i="64" s="1"/>
  <c r="Y86" i="64"/>
  <c r="Y153" i="64" s="1"/>
  <c r="Y91" i="67"/>
  <c r="P109" i="67" s="1"/>
  <c r="X77" i="64"/>
  <c r="X178" i="63"/>
  <c r="X171" i="63"/>
  <c r="X83" i="67"/>
  <c r="O101" i="67" s="1"/>
  <c r="AJ172" i="51"/>
  <c r="Z125" i="51"/>
  <c r="AB172" i="51"/>
  <c r="AD172" i="51"/>
  <c r="AH172" i="51"/>
  <c r="AE172" i="51"/>
  <c r="AA172" i="51"/>
  <c r="AA201" i="51" s="1"/>
  <c r="AA87" i="53" s="1"/>
  <c r="AC172" i="51"/>
  <c r="AI172" i="51"/>
  <c r="AF172" i="51"/>
  <c r="AG172" i="51"/>
  <c r="AA148" i="53"/>
  <c r="AA196" i="53" s="1"/>
  <c r="AA137" i="53"/>
  <c r="AA185" i="53" s="1"/>
  <c r="AA231" i="53" s="1"/>
  <c r="AA144" i="53"/>
  <c r="AA192" i="53" s="1"/>
  <c r="AA238" i="53" s="1"/>
  <c r="AA136" i="53"/>
  <c r="AA184" i="53" s="1"/>
  <c r="AA230" i="53" s="1"/>
  <c r="AA134" i="53"/>
  <c r="AA182" i="53" s="1"/>
  <c r="AA228" i="53" s="1"/>
  <c r="Z15" i="53"/>
  <c r="AA143" i="53"/>
  <c r="AA191" i="53" s="1"/>
  <c r="AA237" i="53" s="1"/>
  <c r="AA135" i="53"/>
  <c r="AA183" i="53" s="1"/>
  <c r="AA229" i="53" s="1"/>
  <c r="AA139" i="53"/>
  <c r="AA187" i="53" s="1"/>
  <c r="AA233" i="53" s="1"/>
  <c r="AA132" i="53"/>
  <c r="AA180" i="53" s="1"/>
  <c r="AA226" i="53" s="1"/>
  <c r="AA141" i="53"/>
  <c r="AA189" i="53" s="1"/>
  <c r="AA235" i="53" s="1"/>
  <c r="AA146" i="53"/>
  <c r="AA194" i="53" s="1"/>
  <c r="AA240" i="53" s="1"/>
  <c r="AA142" i="53"/>
  <c r="AA190" i="53" s="1"/>
  <c r="AA236" i="53" s="1"/>
  <c r="AA133" i="53"/>
  <c r="AA181" i="53" s="1"/>
  <c r="AA227" i="53" s="1"/>
  <c r="AA140" i="53"/>
  <c r="AA188" i="53" s="1"/>
  <c r="AA234" i="53" s="1"/>
  <c r="AA145" i="53"/>
  <c r="AA193" i="53" s="1"/>
  <c r="AA239" i="53" s="1"/>
  <c r="AA138" i="53"/>
  <c r="AA186" i="53" s="1"/>
  <c r="AA232" i="53" s="1"/>
  <c r="AA147" i="53"/>
  <c r="AA195" i="53" s="1"/>
  <c r="AA241" i="53" s="1"/>
  <c r="AA149" i="53"/>
  <c r="AA197" i="53" s="1"/>
  <c r="AA243" i="53" s="1"/>
  <c r="W173" i="63"/>
  <c r="W172" i="63"/>
  <c r="N113" i="67"/>
  <c r="N142" i="67" s="1"/>
  <c r="N136" i="67"/>
  <c r="N139" i="67" s="1"/>
  <c r="AB104" i="49"/>
  <c r="AB94" i="47"/>
  <c r="AB12" i="63"/>
  <c r="AB13" i="67" s="1"/>
  <c r="AB13" i="54"/>
  <c r="AA242" i="53"/>
  <c r="Z14" i="67"/>
  <c r="Z289" i="63"/>
  <c r="Z288" i="63"/>
  <c r="AA12" i="67"/>
  <c r="Q43" i="64"/>
  <c r="W180" i="64"/>
  <c r="Z134" i="64"/>
  <c r="Z17" i="67"/>
  <c r="AE131" i="50"/>
  <c r="AE130" i="50"/>
  <c r="AE135" i="50"/>
  <c r="AE68" i="50"/>
  <c r="AF64" i="50" s="1"/>
  <c r="AE107" i="50"/>
  <c r="AE106" i="50"/>
  <c r="AE111" i="50"/>
  <c r="AE113" i="50" s="1"/>
  <c r="AE95" i="50"/>
  <c r="AE99" i="50"/>
  <c r="AE94" i="50"/>
  <c r="AC56" i="50"/>
  <c r="AD52" i="50" s="1"/>
  <c r="BI103" i="50"/>
  <c r="BH112" i="50"/>
  <c r="BH72" i="50"/>
  <c r="BI63" i="50"/>
  <c r="X52" i="63" l="1"/>
  <c r="X50" i="63"/>
  <c r="N143" i="67"/>
  <c r="Y191" i="63"/>
  <c r="Y200" i="63" s="1"/>
  <c r="Y177" i="64" s="1"/>
  <c r="Z290" i="63"/>
  <c r="AA245" i="53"/>
  <c r="X40" i="63"/>
  <c r="X41" i="63"/>
  <c r="X30" i="63"/>
  <c r="W52" i="63"/>
  <c r="W50" i="63"/>
  <c r="AA150" i="53"/>
  <c r="Q44" i="64"/>
  <c r="X180" i="64"/>
  <c r="P102" i="67"/>
  <c r="Q102" i="67"/>
  <c r="P104" i="67"/>
  <c r="Q104" i="67"/>
  <c r="P103" i="67"/>
  <c r="Q103" i="67"/>
  <c r="P106" i="67"/>
  <c r="P135" i="67" s="1"/>
  <c r="P163" i="67" s="1"/>
  <c r="Q106" i="67"/>
  <c r="AC139" i="50"/>
  <c r="AC91" i="49" s="1"/>
  <c r="AC92" i="49" s="1"/>
  <c r="AB105" i="49"/>
  <c r="AB107" i="49" s="1"/>
  <c r="AA247" i="53"/>
  <c r="Z22" i="63"/>
  <c r="Z22" i="54"/>
  <c r="AB115" i="53"/>
  <c r="AB123" i="53"/>
  <c r="AB122" i="53"/>
  <c r="AB107" i="53"/>
  <c r="AB112" i="53"/>
  <c r="AB118" i="53"/>
  <c r="AB109" i="53"/>
  <c r="AB111" i="53"/>
  <c r="AB120" i="53"/>
  <c r="AB114" i="53"/>
  <c r="AB119" i="53"/>
  <c r="AB108" i="53"/>
  <c r="AB116" i="53"/>
  <c r="AB117" i="53"/>
  <c r="AB113" i="53"/>
  <c r="AB106" i="53"/>
  <c r="AB110" i="53"/>
  <c r="AB121" i="53"/>
  <c r="X172" i="63"/>
  <c r="X173" i="63"/>
  <c r="X144" i="64"/>
  <c r="X95" i="64"/>
  <c r="Y153" i="63"/>
  <c r="Y147" i="63"/>
  <c r="Y194" i="63"/>
  <c r="Y201" i="63" s="1"/>
  <c r="Y179" i="64" s="1"/>
  <c r="Y45" i="63"/>
  <c r="AA13" i="53"/>
  <c r="AA116" i="51"/>
  <c r="AA117" i="51" s="1"/>
  <c r="AA124" i="51" s="1"/>
  <c r="AA72" i="49"/>
  <c r="Q121" i="67"/>
  <c r="Q128" i="67" s="1"/>
  <c r="Q137" i="67" s="1"/>
  <c r="Z104" i="64"/>
  <c r="AA155" i="52"/>
  <c r="AA203" i="52" s="1"/>
  <c r="AA159" i="52"/>
  <c r="AA207" i="52" s="1"/>
  <c r="AA170" i="52"/>
  <c r="AA218" i="52" s="1"/>
  <c r="AA158" i="52"/>
  <c r="AA206" i="52" s="1"/>
  <c r="AA154" i="52"/>
  <c r="AA202" i="52" s="1"/>
  <c r="AA156" i="52"/>
  <c r="AA204" i="52" s="1"/>
  <c r="AA169" i="52"/>
  <c r="AA217" i="52" s="1"/>
  <c r="AA166" i="52"/>
  <c r="AA214" i="52" s="1"/>
  <c r="AA168" i="52"/>
  <c r="AA216" i="52" s="1"/>
  <c r="AA161" i="52"/>
  <c r="AA209" i="52" s="1"/>
  <c r="AA165" i="52"/>
  <c r="AA213" i="52" s="1"/>
  <c r="AA162" i="52"/>
  <c r="AA210" i="52" s="1"/>
  <c r="AA157" i="52"/>
  <c r="AA205" i="52" s="1"/>
  <c r="AA153" i="52"/>
  <c r="AA201" i="52" s="1"/>
  <c r="AA160" i="52"/>
  <c r="AA208" i="52" s="1"/>
  <c r="AA167" i="52"/>
  <c r="AA215" i="52" s="1"/>
  <c r="AA163" i="52"/>
  <c r="AA211" i="52" s="1"/>
  <c r="AA164" i="52"/>
  <c r="AA212" i="52" s="1"/>
  <c r="Z12" i="52"/>
  <c r="AA133" i="52" s="1"/>
  <c r="AA181" i="52" s="1"/>
  <c r="AA237" i="52" s="1"/>
  <c r="Z131" i="63" s="1"/>
  <c r="Z155" i="63" s="1"/>
  <c r="Z19" i="51"/>
  <c r="Z20" i="51" s="1"/>
  <c r="Z27" i="51" s="1"/>
  <c r="Z40" i="49"/>
  <c r="W162" i="64"/>
  <c r="W122" i="64"/>
  <c r="W118" i="64"/>
  <c r="C43" i="64"/>
  <c r="I43" i="64" s="1"/>
  <c r="W192" i="63"/>
  <c r="W195" i="63" s="1"/>
  <c r="W197" i="63"/>
  <c r="AA14" i="54"/>
  <c r="AA15" i="54" s="1"/>
  <c r="AA16" i="54" s="1"/>
  <c r="AA13" i="63"/>
  <c r="AA14" i="63" s="1"/>
  <c r="AA15" i="67" s="1"/>
  <c r="AA92" i="47"/>
  <c r="AA37" i="49"/>
  <c r="AB11" i="63"/>
  <c r="AB93" i="47"/>
  <c r="AB12" i="54"/>
  <c r="AB69" i="49"/>
  <c r="O136" i="67"/>
  <c r="O139" i="67" s="1"/>
  <c r="O113" i="67"/>
  <c r="O142" i="67" s="1"/>
  <c r="X185" i="63"/>
  <c r="X190" i="63"/>
  <c r="X182" i="63"/>
  <c r="X183" i="63" s="1"/>
  <c r="Y24" i="63"/>
  <c r="Y24" i="54"/>
  <c r="Y28" i="54" s="1"/>
  <c r="Y30" i="54" s="1"/>
  <c r="Z256" i="52"/>
  <c r="AA71" i="49"/>
  <c r="AA14" i="53" s="1"/>
  <c r="Z103" i="64"/>
  <c r="Z111" i="64" s="1"/>
  <c r="Z27" i="47"/>
  <c r="AA148" i="52"/>
  <c r="AA196" i="52" s="1"/>
  <c r="AA252" i="52" s="1"/>
  <c r="Z146" i="63" s="1"/>
  <c r="Z170" i="63" s="1"/>
  <c r="Z94" i="64" s="1"/>
  <c r="Z161" i="64" s="1"/>
  <c r="AA140" i="52"/>
  <c r="AA188" i="52" s="1"/>
  <c r="AA244" i="52" s="1"/>
  <c r="Z138" i="63" s="1"/>
  <c r="Z162" i="63" s="1"/>
  <c r="AD59" i="50"/>
  <c r="AD77" i="50" s="1"/>
  <c r="AD54" i="50"/>
  <c r="AD55" i="50"/>
  <c r="AE108" i="50"/>
  <c r="AF104" i="50" s="1"/>
  <c r="AE110" i="50"/>
  <c r="AE96" i="50"/>
  <c r="AF92" i="50" s="1"/>
  <c r="AE132" i="50"/>
  <c r="AF128" i="50" s="1"/>
  <c r="AF66" i="50"/>
  <c r="AF71" i="50"/>
  <c r="AF73" i="50" s="1"/>
  <c r="AF67" i="50"/>
  <c r="AE115" i="50"/>
  <c r="Y119" i="64" l="1"/>
  <c r="D45" i="64"/>
  <c r="H45" i="64" s="1"/>
  <c r="M45" i="64" s="1"/>
  <c r="Q45" i="64" s="1"/>
  <c r="Y205" i="63"/>
  <c r="Y44" i="63"/>
  <c r="Y47" i="63" s="1"/>
  <c r="Y28" i="63"/>
  <c r="AA16" i="63"/>
  <c r="Y148" i="63"/>
  <c r="AA145" i="52"/>
  <c r="AA193" i="52" s="1"/>
  <c r="AA249" i="52" s="1"/>
  <c r="Z143" i="63" s="1"/>
  <c r="Z167" i="63" s="1"/>
  <c r="AA131" i="52"/>
  <c r="AA179" i="52" s="1"/>
  <c r="AA132" i="52"/>
  <c r="AA180" i="52" s="1"/>
  <c r="AA236" i="52" s="1"/>
  <c r="Z130" i="63" s="1"/>
  <c r="Z154" i="63" s="1"/>
  <c r="AA135" i="52"/>
  <c r="AA183" i="52" s="1"/>
  <c r="AA239" i="52" s="1"/>
  <c r="Z133" i="63" s="1"/>
  <c r="Z157" i="63" s="1"/>
  <c r="Z81" i="64" s="1"/>
  <c r="Z148" i="64" s="1"/>
  <c r="AA141" i="52"/>
  <c r="AA189" i="52" s="1"/>
  <c r="AA245" i="52" s="1"/>
  <c r="Z139" i="63" s="1"/>
  <c r="Z163" i="63" s="1"/>
  <c r="Z87" i="64" s="1"/>
  <c r="Z154" i="64" s="1"/>
  <c r="AA142" i="52"/>
  <c r="AA190" i="52" s="1"/>
  <c r="AA246" i="52" s="1"/>
  <c r="Z140" i="63" s="1"/>
  <c r="Z164" i="63" s="1"/>
  <c r="Z88" i="64" s="1"/>
  <c r="Z155" i="64" s="1"/>
  <c r="AA137" i="52"/>
  <c r="AA185" i="52" s="1"/>
  <c r="AA241" i="52" s="1"/>
  <c r="Z135" i="63" s="1"/>
  <c r="Z159" i="63" s="1"/>
  <c r="AA235" i="52"/>
  <c r="Z129" i="63" s="1"/>
  <c r="AA146" i="52"/>
  <c r="AA194" i="52" s="1"/>
  <c r="AA250" i="52" s="1"/>
  <c r="Z144" i="63" s="1"/>
  <c r="Z168" i="63" s="1"/>
  <c r="Z93" i="67" s="1"/>
  <c r="Q111" i="67" s="1"/>
  <c r="AA138" i="52"/>
  <c r="AA186" i="52" s="1"/>
  <c r="AA242" i="52" s="1"/>
  <c r="Z136" i="63" s="1"/>
  <c r="Z160" i="63" s="1"/>
  <c r="AA134" i="52"/>
  <c r="AA182" i="52" s="1"/>
  <c r="AA238" i="52" s="1"/>
  <c r="Z132" i="63" s="1"/>
  <c r="Z156" i="63" s="1"/>
  <c r="Z80" i="64" s="1"/>
  <c r="Z147" i="64" s="1"/>
  <c r="AB106" i="49"/>
  <c r="Y180" i="64"/>
  <c r="AA147" i="52"/>
  <c r="AA195" i="52" s="1"/>
  <c r="AA251" i="52" s="1"/>
  <c r="Z145" i="63" s="1"/>
  <c r="Z169" i="63" s="1"/>
  <c r="O143" i="67"/>
  <c r="Z79" i="64"/>
  <c r="Z146" i="64" s="1"/>
  <c r="Z85" i="67"/>
  <c r="R103" i="67" s="1"/>
  <c r="Z84" i="67"/>
  <c r="Z78" i="64"/>
  <c r="Z145" i="64" s="1"/>
  <c r="X192" i="63"/>
  <c r="X195" i="63" s="1"/>
  <c r="X118" i="64"/>
  <c r="C44" i="64"/>
  <c r="I44" i="64" s="1"/>
  <c r="N44" i="64" s="1"/>
  <c r="O44" i="64" s="1"/>
  <c r="X197" i="63"/>
  <c r="X198" i="63" s="1"/>
  <c r="AB70" i="49"/>
  <c r="AB71" i="49" s="1"/>
  <c r="AB14" i="53" s="1"/>
  <c r="AB12" i="53"/>
  <c r="AA11" i="52"/>
  <c r="AB227" i="52" s="1"/>
  <c r="AB228" i="52" s="1"/>
  <c r="AA38" i="49"/>
  <c r="AA288" i="63"/>
  <c r="AA14" i="67"/>
  <c r="AA289" i="63"/>
  <c r="W163" i="64"/>
  <c r="AA139" i="52"/>
  <c r="AA187" i="52" s="1"/>
  <c r="AA243" i="52" s="1"/>
  <c r="Z137" i="63" s="1"/>
  <c r="Z161" i="63" s="1"/>
  <c r="Z85" i="64" s="1"/>
  <c r="Z152" i="64" s="1"/>
  <c r="AA143" i="52"/>
  <c r="AA191" i="52" s="1"/>
  <c r="AA247" i="52" s="1"/>
  <c r="Z141" i="63" s="1"/>
  <c r="Z165" i="63" s="1"/>
  <c r="Z89" i="64" s="1"/>
  <c r="Z156" i="64" s="1"/>
  <c r="AA136" i="52"/>
  <c r="AA184" i="52" s="1"/>
  <c r="AA240" i="52" s="1"/>
  <c r="Z134" i="63" s="1"/>
  <c r="Z158" i="63" s="1"/>
  <c r="AF75" i="51"/>
  <c r="AC75" i="51"/>
  <c r="AD75" i="51"/>
  <c r="AA75" i="51"/>
  <c r="AA104" i="51" s="1"/>
  <c r="AA86" i="52" s="1"/>
  <c r="AI75" i="51"/>
  <c r="AB75" i="51"/>
  <c r="AG75" i="51"/>
  <c r="AH75" i="51"/>
  <c r="Z28" i="51"/>
  <c r="AJ75" i="51"/>
  <c r="AE75" i="51"/>
  <c r="AB141" i="53"/>
  <c r="AB189" i="53" s="1"/>
  <c r="AA15" i="53"/>
  <c r="Y120" i="64"/>
  <c r="Y248" i="63"/>
  <c r="Y250" i="63" s="1"/>
  <c r="Y83" i="67"/>
  <c r="P101" i="67" s="1"/>
  <c r="Y178" i="63"/>
  <c r="Y77" i="64"/>
  <c r="Y171" i="63"/>
  <c r="AB147" i="53"/>
  <c r="AB195" i="53" s="1"/>
  <c r="AB132" i="53"/>
  <c r="AB180" i="53" s="1"/>
  <c r="AB143" i="53"/>
  <c r="AB191" i="53" s="1"/>
  <c r="AB134" i="53"/>
  <c r="AB182" i="53" s="1"/>
  <c r="AB140" i="53"/>
  <c r="AB188" i="53" s="1"/>
  <c r="AB137" i="53"/>
  <c r="AB185" i="53" s="1"/>
  <c r="AB144" i="53"/>
  <c r="AB192" i="53" s="1"/>
  <c r="AB133" i="53"/>
  <c r="AB181" i="53" s="1"/>
  <c r="AB149" i="53"/>
  <c r="AB197" i="53" s="1"/>
  <c r="AA17" i="67"/>
  <c r="AA134" i="64"/>
  <c r="AC13" i="54"/>
  <c r="AC12" i="63"/>
  <c r="AC13" i="67" s="1"/>
  <c r="AC94" i="47"/>
  <c r="AC104" i="49"/>
  <c r="AC119" i="50"/>
  <c r="AC57" i="49" s="1"/>
  <c r="AC58" i="49" s="1"/>
  <c r="AB83" i="50"/>
  <c r="AB25" i="49" s="1"/>
  <c r="AB26" i="49" s="1"/>
  <c r="Z86" i="64"/>
  <c r="Z153" i="64" s="1"/>
  <c r="Z29" i="47"/>
  <c r="E46" i="64"/>
  <c r="Z30" i="47"/>
  <c r="AB159" i="53"/>
  <c r="AB207" i="53" s="1"/>
  <c r="AB165" i="53"/>
  <c r="AB213" i="53" s="1"/>
  <c r="AB237" i="53" s="1"/>
  <c r="AB171" i="53"/>
  <c r="AB219" i="53" s="1"/>
  <c r="AB167" i="53"/>
  <c r="AB215" i="53" s="1"/>
  <c r="AB154" i="53"/>
  <c r="AB202" i="53" s="1"/>
  <c r="AB160" i="53"/>
  <c r="AB208" i="53" s="1"/>
  <c r="AB163" i="53"/>
  <c r="AB211" i="53" s="1"/>
  <c r="AB170" i="53"/>
  <c r="AB218" i="53" s="1"/>
  <c r="AB157" i="53"/>
  <c r="AB205" i="53" s="1"/>
  <c r="AB155" i="53"/>
  <c r="AB203" i="53" s="1"/>
  <c r="AB168" i="53"/>
  <c r="AB216" i="53" s="1"/>
  <c r="AB164" i="53"/>
  <c r="AB212" i="53" s="1"/>
  <c r="AB166" i="53"/>
  <c r="AB214" i="53" s="1"/>
  <c r="AB161" i="53"/>
  <c r="AB209" i="53" s="1"/>
  <c r="AB158" i="53"/>
  <c r="AB206" i="53" s="1"/>
  <c r="AB169" i="53"/>
  <c r="AB217" i="53" s="1"/>
  <c r="AB156" i="53"/>
  <c r="AB204" i="53" s="1"/>
  <c r="AB162" i="53"/>
  <c r="AB210" i="53" s="1"/>
  <c r="AB12" i="67"/>
  <c r="AA96" i="47"/>
  <c r="AA165" i="47" s="1"/>
  <c r="AA166" i="47" s="1"/>
  <c r="AA18" i="47" s="1"/>
  <c r="S120" i="67" s="1"/>
  <c r="AA181" i="47"/>
  <c r="AA182" i="47" s="1"/>
  <c r="AA219" i="47" s="1"/>
  <c r="AA220" i="47" s="1"/>
  <c r="AA19" i="47" s="1"/>
  <c r="W206" i="63"/>
  <c r="W198" i="63"/>
  <c r="W125" i="64"/>
  <c r="N43" i="64"/>
  <c r="O43" i="64" s="1"/>
  <c r="W169" i="64"/>
  <c r="W170" i="64" s="1"/>
  <c r="W124" i="64"/>
  <c r="W123" i="64"/>
  <c r="Z181" i="63"/>
  <c r="Z84" i="64"/>
  <c r="Z151" i="64" s="1"/>
  <c r="Z86" i="67"/>
  <c r="Z94" i="67"/>
  <c r="Z93" i="64"/>
  <c r="Z160" i="64" s="1"/>
  <c r="AA144" i="52"/>
  <c r="AA192" i="52" s="1"/>
  <c r="AA248" i="52" s="1"/>
  <c r="Z142" i="63" s="1"/>
  <c r="Z166" i="63" s="1"/>
  <c r="Z90" i="64" s="1"/>
  <c r="Z157" i="64" s="1"/>
  <c r="Z14" i="52"/>
  <c r="AK173" i="51"/>
  <c r="AH173" i="51"/>
  <c r="AJ173" i="51"/>
  <c r="AF173" i="51"/>
  <c r="AB173" i="51"/>
  <c r="AB201" i="51" s="1"/>
  <c r="AB87" i="53" s="1"/>
  <c r="AG173" i="51"/>
  <c r="AD173" i="51"/>
  <c r="AE173" i="51"/>
  <c r="AC173" i="51"/>
  <c r="AA125" i="51"/>
  <c r="AI173" i="51"/>
  <c r="X122" i="64"/>
  <c r="X162" i="64"/>
  <c r="X193" i="63"/>
  <c r="AB136" i="53"/>
  <c r="AB184" i="53" s="1"/>
  <c r="AB139" i="53"/>
  <c r="AB187" i="53" s="1"/>
  <c r="AB142" i="53"/>
  <c r="AB190" i="53" s="1"/>
  <c r="AB145" i="53"/>
  <c r="AB193" i="53" s="1"/>
  <c r="AB146" i="53"/>
  <c r="AB194" i="53" s="1"/>
  <c r="AB135" i="53"/>
  <c r="AB183" i="53" s="1"/>
  <c r="AB138" i="53"/>
  <c r="AB186" i="53" s="1"/>
  <c r="AB148" i="53"/>
  <c r="AB196" i="53" s="1"/>
  <c r="AF95" i="50"/>
  <c r="AF99" i="50"/>
  <c r="AF94" i="50"/>
  <c r="AF130" i="50"/>
  <c r="AF131" i="50"/>
  <c r="AF135" i="50"/>
  <c r="AF68" i="50"/>
  <c r="AG64" i="50" s="1"/>
  <c r="AF111" i="50"/>
  <c r="AF113" i="50" s="1"/>
  <c r="AF107" i="50"/>
  <c r="AF106" i="50"/>
  <c r="AD56" i="50"/>
  <c r="AE52" i="50" s="1"/>
  <c r="Z90" i="67" l="1"/>
  <c r="Q108" i="67" s="1"/>
  <c r="X163" i="64"/>
  <c r="AB228" i="53"/>
  <c r="Z92" i="64"/>
  <c r="Z159" i="64" s="1"/>
  <c r="Y48" i="63"/>
  <c r="Y50" i="63" s="1"/>
  <c r="AA290" i="63"/>
  <c r="Z91" i="64"/>
  <c r="Z158" i="64" s="1"/>
  <c r="Z92" i="67"/>
  <c r="Z87" i="67"/>
  <c r="Q105" i="67" s="1"/>
  <c r="AB241" i="53"/>
  <c r="Z91" i="67"/>
  <c r="Q109" i="67" s="1"/>
  <c r="AA254" i="52"/>
  <c r="Z24" i="54" s="1"/>
  <c r="Y40" i="63"/>
  <c r="Y30" i="63"/>
  <c r="Y41" i="63"/>
  <c r="AB234" i="53"/>
  <c r="Z89" i="67"/>
  <c r="Z83" i="64"/>
  <c r="Z150" i="64" s="1"/>
  <c r="Z179" i="63"/>
  <c r="AB238" i="53"/>
  <c r="AB235" i="53"/>
  <c r="AB227" i="53"/>
  <c r="Q107" i="67"/>
  <c r="R107" i="67"/>
  <c r="Q110" i="67"/>
  <c r="R110" i="67"/>
  <c r="Q112" i="67"/>
  <c r="R112" i="67"/>
  <c r="AB150" i="53"/>
  <c r="AD139" i="50"/>
  <c r="AD91" i="49" s="1"/>
  <c r="AD92" i="49" s="1"/>
  <c r="X169" i="64"/>
  <c r="X170" i="64" s="1"/>
  <c r="X123" i="64"/>
  <c r="X125" i="64"/>
  <c r="X124" i="64"/>
  <c r="AA103" i="64"/>
  <c r="AA27" i="47"/>
  <c r="AB230" i="53"/>
  <c r="AB240" i="53"/>
  <c r="AB229" i="53"/>
  <c r="AB243" i="53"/>
  <c r="AB13" i="63"/>
  <c r="AB14" i="63" s="1"/>
  <c r="AB16" i="63" s="1"/>
  <c r="AB37" i="49"/>
  <c r="AB92" i="47"/>
  <c r="AB14" i="54"/>
  <c r="AB15" i="54" s="1"/>
  <c r="AB16" i="54" s="1"/>
  <c r="AC69" i="49"/>
  <c r="AC12" i="54"/>
  <c r="AC93" i="47"/>
  <c r="AC11" i="63"/>
  <c r="AC105" i="49"/>
  <c r="AC107" i="49" s="1"/>
  <c r="AB231" i="53"/>
  <c r="AB226" i="53"/>
  <c r="Y172" i="63"/>
  <c r="Y173" i="63"/>
  <c r="Y190" i="63"/>
  <c r="Y193" i="63" s="1"/>
  <c r="Y182" i="63"/>
  <c r="Y183" i="63" s="1"/>
  <c r="Z24" i="63"/>
  <c r="AA256" i="52"/>
  <c r="AC111" i="53"/>
  <c r="AC119" i="53"/>
  <c r="AC116" i="53"/>
  <c r="AC115" i="53"/>
  <c r="AC106" i="53"/>
  <c r="AC107" i="53"/>
  <c r="AC108" i="53"/>
  <c r="AC121" i="53"/>
  <c r="AC109" i="53"/>
  <c r="AC112" i="53"/>
  <c r="AC122" i="53"/>
  <c r="AC123" i="53"/>
  <c r="AC114" i="53"/>
  <c r="AC113" i="53"/>
  <c r="AC110" i="53"/>
  <c r="AC120" i="53"/>
  <c r="AC117" i="53"/>
  <c r="AC118" i="53"/>
  <c r="R121" i="67"/>
  <c r="R128" i="67" s="1"/>
  <c r="AA104" i="64"/>
  <c r="AB233" i="53"/>
  <c r="AB236" i="53"/>
  <c r="AB242" i="53"/>
  <c r="AB232" i="53"/>
  <c r="AB239" i="53"/>
  <c r="Z26" i="54"/>
  <c r="Z26" i="63"/>
  <c r="Y144" i="64"/>
  <c r="Y95" i="64"/>
  <c r="P136" i="67"/>
  <c r="P139" i="67" s="1"/>
  <c r="P113" i="67"/>
  <c r="P142" i="67" s="1"/>
  <c r="AB117" i="52"/>
  <c r="AB119" i="52"/>
  <c r="AB106" i="52"/>
  <c r="AB107" i="52"/>
  <c r="AB109" i="52"/>
  <c r="AB113" i="52"/>
  <c r="AB114" i="52"/>
  <c r="AB122" i="52"/>
  <c r="AB115" i="52"/>
  <c r="AB118" i="52"/>
  <c r="AB105" i="52"/>
  <c r="AB112" i="52"/>
  <c r="AB120" i="52"/>
  <c r="AB111" i="52"/>
  <c r="AB116" i="52"/>
  <c r="AB108" i="52"/>
  <c r="AB121" i="52"/>
  <c r="AB110" i="52"/>
  <c r="Z180" i="63"/>
  <c r="Z88" i="67"/>
  <c r="Z82" i="64"/>
  <c r="Z149" i="64" s="1"/>
  <c r="AA39" i="49"/>
  <c r="AA13" i="52" s="1"/>
  <c r="AA40" i="49"/>
  <c r="AA19" i="51"/>
  <c r="AA20" i="51" s="1"/>
  <c r="AA27" i="51" s="1"/>
  <c r="AA12" i="52"/>
  <c r="AC166" i="53"/>
  <c r="AC214" i="53" s="1"/>
  <c r="AC167" i="53"/>
  <c r="AC215" i="53" s="1"/>
  <c r="AC158" i="53"/>
  <c r="AC206" i="53" s="1"/>
  <c r="AC159" i="53"/>
  <c r="AC207" i="53" s="1"/>
  <c r="AC155" i="53"/>
  <c r="AC203" i="53" s="1"/>
  <c r="AC161" i="53"/>
  <c r="AC209" i="53" s="1"/>
  <c r="AC154" i="53"/>
  <c r="AC202" i="53" s="1"/>
  <c r="AC171" i="53"/>
  <c r="AC219" i="53" s="1"/>
  <c r="AC168" i="53"/>
  <c r="AC216" i="53" s="1"/>
  <c r="AC157" i="53"/>
  <c r="AC205" i="53" s="1"/>
  <c r="AC163" i="53"/>
  <c r="AC211" i="53" s="1"/>
  <c r="AC164" i="53"/>
  <c r="AC212" i="53" s="1"/>
  <c r="AC169" i="53"/>
  <c r="AC217" i="53" s="1"/>
  <c r="AC162" i="53"/>
  <c r="AC210" i="53" s="1"/>
  <c r="AC170" i="53"/>
  <c r="AC218" i="53" s="1"/>
  <c r="AC160" i="53"/>
  <c r="AC208" i="53" s="1"/>
  <c r="AC165" i="53"/>
  <c r="AC213" i="53" s="1"/>
  <c r="AC156" i="53"/>
  <c r="AC204" i="53" s="1"/>
  <c r="AB116" i="51"/>
  <c r="AB117" i="51" s="1"/>
  <c r="AB124" i="51" s="1"/>
  <c r="AB72" i="49"/>
  <c r="AB13" i="53"/>
  <c r="Z153" i="63"/>
  <c r="Z147" i="63"/>
  <c r="Z148" i="63" s="1"/>
  <c r="AG67" i="50"/>
  <c r="AG71" i="50"/>
  <c r="AG73" i="50" s="1"/>
  <c r="AG66" i="50"/>
  <c r="AE55" i="50"/>
  <c r="AE59" i="50"/>
  <c r="AE77" i="50" s="1"/>
  <c r="AE54" i="50"/>
  <c r="AF96" i="50"/>
  <c r="AG92" i="50" s="1"/>
  <c r="AF115" i="50"/>
  <c r="AF110" i="50"/>
  <c r="AF108" i="50"/>
  <c r="AG104" i="50" s="1"/>
  <c r="AF132" i="50"/>
  <c r="AG128" i="50" s="1"/>
  <c r="AB15" i="67" l="1"/>
  <c r="Y52" i="63"/>
  <c r="Q135" i="67"/>
  <c r="Q163" i="67" s="1"/>
  <c r="P143" i="67"/>
  <c r="Z44" i="63"/>
  <c r="Z28" i="63"/>
  <c r="Z28" i="54"/>
  <c r="Z30" i="54" s="1"/>
  <c r="Z191" i="63"/>
  <c r="D46" i="64" s="1"/>
  <c r="H46" i="64" s="1"/>
  <c r="M46" i="64" s="1"/>
  <c r="Q46" i="64" s="1"/>
  <c r="AB245" i="53"/>
  <c r="AB247" i="53" s="1"/>
  <c r="AC106" i="49"/>
  <c r="AA111" i="64"/>
  <c r="AC83" i="50"/>
  <c r="AC25" i="49" s="1"/>
  <c r="AC26" i="49" s="1"/>
  <c r="AD119" i="50"/>
  <c r="AD57" i="49" s="1"/>
  <c r="AD58" i="49" s="1"/>
  <c r="Z83" i="67"/>
  <c r="Z171" i="63"/>
  <c r="Z77" i="64"/>
  <c r="Z178" i="63"/>
  <c r="AA14" i="52"/>
  <c r="AB136" i="52"/>
  <c r="AB184" i="52" s="1"/>
  <c r="AB147" i="52"/>
  <c r="AB195" i="52" s="1"/>
  <c r="AB134" i="52"/>
  <c r="AB182" i="52" s="1"/>
  <c r="AB132" i="52"/>
  <c r="AB180" i="52" s="1"/>
  <c r="AB143" i="52"/>
  <c r="AB191" i="52" s="1"/>
  <c r="AB141" i="52"/>
  <c r="AB189" i="52" s="1"/>
  <c r="AB139" i="52"/>
  <c r="AB187" i="52" s="1"/>
  <c r="AB138" i="52"/>
  <c r="AB186" i="52" s="1"/>
  <c r="AB140" i="52"/>
  <c r="AB188" i="52" s="1"/>
  <c r="AB145" i="52"/>
  <c r="AB193" i="52" s="1"/>
  <c r="AB146" i="52"/>
  <c r="AB194" i="52" s="1"/>
  <c r="AB142" i="52"/>
  <c r="AB190" i="52" s="1"/>
  <c r="AB137" i="52"/>
  <c r="AB185" i="52" s="1"/>
  <c r="AB148" i="52"/>
  <c r="AB196" i="52" s="1"/>
  <c r="AB135" i="52"/>
  <c r="AB183" i="52" s="1"/>
  <c r="AB133" i="52"/>
  <c r="AB181" i="52" s="1"/>
  <c r="AB131" i="52"/>
  <c r="AB179" i="52" s="1"/>
  <c r="AB144" i="52"/>
  <c r="AB192" i="52" s="1"/>
  <c r="AB134" i="64"/>
  <c r="AB17" i="67"/>
  <c r="AC144" i="53"/>
  <c r="AC192" i="53" s="1"/>
  <c r="AC238" i="53" s="1"/>
  <c r="AC146" i="53"/>
  <c r="AC194" i="53" s="1"/>
  <c r="AC240" i="53" s="1"/>
  <c r="AC139" i="53"/>
  <c r="AC187" i="53" s="1"/>
  <c r="AC233" i="53" s="1"/>
  <c r="AC149" i="53"/>
  <c r="AC197" i="53" s="1"/>
  <c r="AC243" i="53" s="1"/>
  <c r="AC138" i="53"/>
  <c r="AC186" i="53" s="1"/>
  <c r="AC232" i="53" s="1"/>
  <c r="AC147" i="53"/>
  <c r="AC195" i="53" s="1"/>
  <c r="AC241" i="53" s="1"/>
  <c r="AC133" i="53"/>
  <c r="AC181" i="53" s="1"/>
  <c r="AC227" i="53" s="1"/>
  <c r="AC141" i="53"/>
  <c r="AC189" i="53" s="1"/>
  <c r="AC235" i="53" s="1"/>
  <c r="AC145" i="53"/>
  <c r="AC193" i="53" s="1"/>
  <c r="AC239" i="53" s="1"/>
  <c r="AC12" i="53"/>
  <c r="AC70" i="49"/>
  <c r="AC71" i="49" s="1"/>
  <c r="AC14" i="53" s="1"/>
  <c r="AB181" i="47"/>
  <c r="AB182" i="47" s="1"/>
  <c r="AB219" i="47" s="1"/>
  <c r="AB220" i="47" s="1"/>
  <c r="AB19" i="47" s="1"/>
  <c r="AB96" i="47"/>
  <c r="AB165" i="47" s="1"/>
  <c r="AB166" i="47" s="1"/>
  <c r="AB18" i="47" s="1"/>
  <c r="T120" i="67" s="1"/>
  <c r="AB14" i="67"/>
  <c r="AB288" i="63"/>
  <c r="AB289" i="63"/>
  <c r="AD13" i="54"/>
  <c r="AD104" i="49"/>
  <c r="AD94" i="47"/>
  <c r="AD12" i="63"/>
  <c r="AD13" i="67" s="1"/>
  <c r="AB15" i="53"/>
  <c r="AC137" i="53"/>
  <c r="AC185" i="53" s="1"/>
  <c r="AC231" i="53" s="1"/>
  <c r="AD174" i="51"/>
  <c r="AF174" i="51"/>
  <c r="AK174" i="51"/>
  <c r="AG174" i="51"/>
  <c r="AE174" i="51"/>
  <c r="AB125" i="51"/>
  <c r="AJ174" i="51"/>
  <c r="AH174" i="51"/>
  <c r="AL174" i="51"/>
  <c r="AI174" i="51"/>
  <c r="AC174" i="51"/>
  <c r="AC201" i="51" s="1"/>
  <c r="AC87" i="53" s="1"/>
  <c r="AA28" i="51"/>
  <c r="AI76" i="51"/>
  <c r="AC76" i="51"/>
  <c r="AE76" i="51"/>
  <c r="AK76" i="51"/>
  <c r="AD76" i="51"/>
  <c r="AJ76" i="51"/>
  <c r="AG76" i="51"/>
  <c r="AH76" i="51"/>
  <c r="AF76" i="51"/>
  <c r="AB76" i="51"/>
  <c r="AB104" i="51" s="1"/>
  <c r="AB86" i="52" s="1"/>
  <c r="AB158" i="52"/>
  <c r="AB206" i="52" s="1"/>
  <c r="AB154" i="52"/>
  <c r="AB202" i="52" s="1"/>
  <c r="AB165" i="52"/>
  <c r="AB213" i="52" s="1"/>
  <c r="AB155" i="52"/>
  <c r="AB203" i="52" s="1"/>
  <c r="AB153" i="52"/>
  <c r="AB201" i="52" s="1"/>
  <c r="AB157" i="52"/>
  <c r="AB205" i="52" s="1"/>
  <c r="AB169" i="52"/>
  <c r="AB217" i="52" s="1"/>
  <c r="AB166" i="52"/>
  <c r="AB214" i="52" s="1"/>
  <c r="AB168" i="52"/>
  <c r="AB216" i="52" s="1"/>
  <c r="AB170" i="52"/>
  <c r="AB218" i="52" s="1"/>
  <c r="AB159" i="52"/>
  <c r="AB207" i="52" s="1"/>
  <c r="AB161" i="52"/>
  <c r="AB209" i="52" s="1"/>
  <c r="AB162" i="52"/>
  <c r="AB210" i="52" s="1"/>
  <c r="AB160" i="52"/>
  <c r="AB208" i="52" s="1"/>
  <c r="AB156" i="52"/>
  <c r="AB204" i="52" s="1"/>
  <c r="AB167" i="52"/>
  <c r="AB215" i="52" s="1"/>
  <c r="AB163" i="52"/>
  <c r="AB211" i="52" s="1"/>
  <c r="AB164" i="52"/>
  <c r="AB212" i="52" s="1"/>
  <c r="Y122" i="64"/>
  <c r="Y162" i="64"/>
  <c r="Z194" i="63"/>
  <c r="Z45" i="63"/>
  <c r="R137" i="67"/>
  <c r="AC143" i="53"/>
  <c r="AC191" i="53" s="1"/>
  <c r="AC237" i="53" s="1"/>
  <c r="AC136" i="53"/>
  <c r="AC184" i="53" s="1"/>
  <c r="AC230" i="53" s="1"/>
  <c r="AC140" i="53"/>
  <c r="AC188" i="53" s="1"/>
  <c r="AC234" i="53" s="1"/>
  <c r="AC148" i="53"/>
  <c r="AC196" i="53" s="1"/>
  <c r="AC242" i="53" s="1"/>
  <c r="AC135" i="53"/>
  <c r="AC183" i="53" s="1"/>
  <c r="AC229" i="53" s="1"/>
  <c r="AC134" i="53"/>
  <c r="AC182" i="53" s="1"/>
  <c r="AC228" i="53" s="1"/>
  <c r="AC132" i="53"/>
  <c r="AC180" i="53" s="1"/>
  <c r="AC226" i="53" s="1"/>
  <c r="AC142" i="53"/>
  <c r="AC190" i="53" s="1"/>
  <c r="AC236" i="53" s="1"/>
  <c r="Y118" i="64"/>
  <c r="C45" i="64"/>
  <c r="I45" i="64" s="1"/>
  <c r="N45" i="64" s="1"/>
  <c r="Y192" i="63"/>
  <c r="Y195" i="63" s="1"/>
  <c r="Y197" i="63"/>
  <c r="Y198" i="63" s="1"/>
  <c r="AC12" i="67"/>
  <c r="AB11" i="52"/>
  <c r="AC227" i="52" s="1"/>
  <c r="AC228" i="52" s="1"/>
  <c r="AB38" i="49"/>
  <c r="AA30" i="47"/>
  <c r="E47" i="64"/>
  <c r="AA29" i="47"/>
  <c r="AG131" i="50"/>
  <c r="AG130" i="50"/>
  <c r="AG135" i="50"/>
  <c r="AG106" i="50"/>
  <c r="AG107" i="50"/>
  <c r="AG111" i="50"/>
  <c r="AG113" i="50" s="1"/>
  <c r="AG68" i="50"/>
  <c r="AH64" i="50" s="1"/>
  <c r="AE56" i="50"/>
  <c r="AF52" i="50" s="1"/>
  <c r="AG99" i="50"/>
  <c r="AG94" i="50"/>
  <c r="AG95" i="50"/>
  <c r="AA22" i="54" l="1"/>
  <c r="AA22" i="63"/>
  <c r="AC245" i="53"/>
  <c r="AC247" i="53" s="1"/>
  <c r="Z30" i="63"/>
  <c r="Z41" i="63"/>
  <c r="Z40" i="63"/>
  <c r="BC76" i="64"/>
  <c r="O45" i="64"/>
  <c r="Z200" i="63"/>
  <c r="Z177" i="64" s="1"/>
  <c r="Z119" i="64"/>
  <c r="AB290" i="63"/>
  <c r="Z205" i="63"/>
  <c r="Q101" i="67"/>
  <c r="Q136" i="67" s="1"/>
  <c r="Q139" i="67" s="1"/>
  <c r="R101" i="67"/>
  <c r="AE139" i="50"/>
  <c r="AE91" i="49" s="1"/>
  <c r="AE92" i="49" s="1"/>
  <c r="AA26" i="54"/>
  <c r="AA26" i="63"/>
  <c r="AB19" i="51"/>
  <c r="AB20" i="51" s="1"/>
  <c r="AB27" i="51" s="1"/>
  <c r="AB40" i="49"/>
  <c r="AB12" i="52"/>
  <c r="Z120" i="64"/>
  <c r="Z248" i="63"/>
  <c r="Z250" i="63" s="1"/>
  <c r="Z201" i="63"/>
  <c r="Z179" i="64" s="1"/>
  <c r="Z180" i="64" s="1"/>
  <c r="Y124" i="64"/>
  <c r="Y169" i="64"/>
  <c r="Y170" i="64" s="1"/>
  <c r="Y125" i="64"/>
  <c r="Y123" i="64"/>
  <c r="AD112" i="53"/>
  <c r="AD109" i="53"/>
  <c r="AD114" i="53"/>
  <c r="AD107" i="53"/>
  <c r="AD106" i="53"/>
  <c r="AD122" i="53"/>
  <c r="AD110" i="53"/>
  <c r="AD115" i="53"/>
  <c r="AD123" i="53"/>
  <c r="AD108" i="53"/>
  <c r="AD121" i="53"/>
  <c r="AD113" i="53"/>
  <c r="AD111" i="53"/>
  <c r="AD116" i="53"/>
  <c r="AD119" i="53"/>
  <c r="AD118" i="53"/>
  <c r="AD117" i="53"/>
  <c r="AD120" i="53"/>
  <c r="AD105" i="49"/>
  <c r="AD107" i="49" s="1"/>
  <c r="S121" i="67"/>
  <c r="S128" i="67" s="1"/>
  <c r="S137" i="67" s="1"/>
  <c r="AB104" i="64"/>
  <c r="AC72" i="49"/>
  <c r="AC116" i="51"/>
  <c r="AC117" i="51" s="1"/>
  <c r="AC124" i="51" s="1"/>
  <c r="AC13" i="53"/>
  <c r="AB235" i="52"/>
  <c r="AB239" i="52"/>
  <c r="AA133" i="63" s="1"/>
  <c r="AA157" i="63" s="1"/>
  <c r="AB241" i="52"/>
  <c r="AA135" i="63" s="1"/>
  <c r="AA159" i="63" s="1"/>
  <c r="AB250" i="52"/>
  <c r="AA144" i="63" s="1"/>
  <c r="AA168" i="63" s="1"/>
  <c r="AB244" i="52"/>
  <c r="AA138" i="63" s="1"/>
  <c r="AA162" i="63" s="1"/>
  <c r="AB243" i="52"/>
  <c r="AA137" i="63" s="1"/>
  <c r="AA161" i="63" s="1"/>
  <c r="AA85" i="64" s="1"/>
  <c r="AA152" i="64" s="1"/>
  <c r="AB247" i="52"/>
  <c r="AA141" i="63" s="1"/>
  <c r="AA165" i="63" s="1"/>
  <c r="AA89" i="64" s="1"/>
  <c r="AA156" i="64" s="1"/>
  <c r="AB238" i="52"/>
  <c r="AA132" i="63" s="1"/>
  <c r="AA156" i="63" s="1"/>
  <c r="AB240" i="52"/>
  <c r="AA134" i="63" s="1"/>
  <c r="AA158" i="63" s="1"/>
  <c r="Z190" i="63"/>
  <c r="Z182" i="63"/>
  <c r="Z183" i="63" s="1"/>
  <c r="Z172" i="63"/>
  <c r="Z173" i="63"/>
  <c r="Z193" i="63"/>
  <c r="AD69" i="49"/>
  <c r="AD11" i="63"/>
  <c r="AD12" i="54"/>
  <c r="AD93" i="47"/>
  <c r="AC37" i="49"/>
  <c r="AC14" i="54"/>
  <c r="AC15" i="54" s="1"/>
  <c r="AC16" i="54" s="1"/>
  <c r="AC13" i="63"/>
  <c r="AC14" i="63" s="1"/>
  <c r="AC16" i="63" s="1"/>
  <c r="AC92" i="47"/>
  <c r="AB39" i="49"/>
  <c r="AB13" i="52" s="1"/>
  <c r="Z47" i="63"/>
  <c r="Z48" i="63"/>
  <c r="Y163" i="64"/>
  <c r="AC117" i="52"/>
  <c r="AC122" i="52"/>
  <c r="AC106" i="52"/>
  <c r="AC116" i="52"/>
  <c r="AC121" i="52"/>
  <c r="AC110" i="52"/>
  <c r="AC120" i="52"/>
  <c r="AC111" i="52"/>
  <c r="AC114" i="52"/>
  <c r="AC105" i="52"/>
  <c r="AC115" i="52"/>
  <c r="AC112" i="52"/>
  <c r="AC118" i="52"/>
  <c r="AC109" i="52"/>
  <c r="AC119" i="52"/>
  <c r="AC108" i="52"/>
  <c r="AC107" i="52"/>
  <c r="AC113" i="52"/>
  <c r="AC150" i="53"/>
  <c r="AB103" i="64"/>
  <c r="AB27" i="47"/>
  <c r="AD160" i="53"/>
  <c r="AD208" i="53" s="1"/>
  <c r="AD158" i="53"/>
  <c r="AD206" i="53" s="1"/>
  <c r="AD157" i="53"/>
  <c r="AD205" i="53" s="1"/>
  <c r="AD166" i="53"/>
  <c r="AD214" i="53" s="1"/>
  <c r="AD171" i="53"/>
  <c r="AD219" i="53" s="1"/>
  <c r="AD167" i="53"/>
  <c r="AD215" i="53" s="1"/>
  <c r="AD162" i="53"/>
  <c r="AD210" i="53" s="1"/>
  <c r="AD164" i="53"/>
  <c r="AD212" i="53" s="1"/>
  <c r="AD163" i="53"/>
  <c r="AD211" i="53" s="1"/>
  <c r="AD168" i="53"/>
  <c r="AD216" i="53" s="1"/>
  <c r="AD155" i="53"/>
  <c r="AD203" i="53" s="1"/>
  <c r="AD154" i="53"/>
  <c r="AD202" i="53" s="1"/>
  <c r="AD165" i="53"/>
  <c r="AD213" i="53" s="1"/>
  <c r="AD161" i="53"/>
  <c r="AD209" i="53" s="1"/>
  <c r="AD170" i="53"/>
  <c r="AD218" i="53" s="1"/>
  <c r="AD169" i="53"/>
  <c r="AD217" i="53" s="1"/>
  <c r="AD159" i="53"/>
  <c r="AD207" i="53" s="1"/>
  <c r="AD156" i="53"/>
  <c r="AD204" i="53" s="1"/>
  <c r="AB248" i="52"/>
  <c r="AA142" i="63" s="1"/>
  <c r="AA166" i="63" s="1"/>
  <c r="AA90" i="64" s="1"/>
  <c r="AA157" i="64" s="1"/>
  <c r="AB237" i="52"/>
  <c r="AA131" i="63" s="1"/>
  <c r="AA155" i="63" s="1"/>
  <c r="AB252" i="52"/>
  <c r="AA146" i="63" s="1"/>
  <c r="AA170" i="63" s="1"/>
  <c r="AA94" i="64" s="1"/>
  <c r="AA161" i="64" s="1"/>
  <c r="AB246" i="52"/>
  <c r="AA140" i="63" s="1"/>
  <c r="AA164" i="63" s="1"/>
  <c r="AA88" i="64" s="1"/>
  <c r="AA155" i="64" s="1"/>
  <c r="AB249" i="52"/>
  <c r="AA143" i="63" s="1"/>
  <c r="AA167" i="63" s="1"/>
  <c r="AB242" i="52"/>
  <c r="AA136" i="63" s="1"/>
  <c r="AA160" i="63" s="1"/>
  <c r="AB245" i="52"/>
  <c r="AA139" i="63" s="1"/>
  <c r="AA163" i="63" s="1"/>
  <c r="AA87" i="64" s="1"/>
  <c r="AA154" i="64" s="1"/>
  <c r="AB236" i="52"/>
  <c r="AA130" i="63" s="1"/>
  <c r="AA154" i="63" s="1"/>
  <c r="AB251" i="52"/>
  <c r="AA145" i="63" s="1"/>
  <c r="AA169" i="63" s="1"/>
  <c r="Z144" i="64"/>
  <c r="Z95" i="64"/>
  <c r="D63" i="54"/>
  <c r="D53" i="54"/>
  <c r="D48" i="54"/>
  <c r="D59" i="54"/>
  <c r="C75" i="54" s="1"/>
  <c r="D46" i="54"/>
  <c r="D62" i="54"/>
  <c r="C81" i="54" s="1"/>
  <c r="D58" i="54"/>
  <c r="D54" i="54"/>
  <c r="C83" i="54" s="1"/>
  <c r="D51" i="54"/>
  <c r="D56" i="54"/>
  <c r="D47" i="54"/>
  <c r="C85" i="54" s="1"/>
  <c r="D60" i="54"/>
  <c r="C74" i="54" s="1"/>
  <c r="D55" i="54"/>
  <c r="D57" i="54"/>
  <c r="D61" i="54"/>
  <c r="C73" i="54" s="1"/>
  <c r="D52" i="54"/>
  <c r="C84" i="54" s="1"/>
  <c r="D50" i="54"/>
  <c r="C78" i="54" s="1"/>
  <c r="D49" i="54"/>
  <c r="AG115" i="50"/>
  <c r="AF55" i="50"/>
  <c r="AF54" i="50"/>
  <c r="AF59" i="50"/>
  <c r="AF77" i="50" s="1"/>
  <c r="AG108" i="50"/>
  <c r="AH104" i="50" s="1"/>
  <c r="AG110" i="50"/>
  <c r="AG96" i="50"/>
  <c r="AH92" i="50" s="1"/>
  <c r="AG132" i="50"/>
  <c r="AH128" i="50" s="1"/>
  <c r="AH66" i="50"/>
  <c r="AH67" i="50"/>
  <c r="AH71" i="50"/>
  <c r="AH73" i="50" s="1"/>
  <c r="AB111" i="64" l="1"/>
  <c r="AB22" i="54"/>
  <c r="AB22" i="63"/>
  <c r="Q113" i="67"/>
  <c r="Q142" i="67" s="1"/>
  <c r="Q143" i="67" s="1"/>
  <c r="AC15" i="67"/>
  <c r="AD83" i="50"/>
  <c r="AD25" i="49" s="1"/>
  <c r="AD26" i="49" s="1"/>
  <c r="AA84" i="67"/>
  <c r="R102" i="67" s="1"/>
  <c r="AA78" i="64"/>
  <c r="AA145" i="64" s="1"/>
  <c r="AA90" i="67"/>
  <c r="R108" i="67" s="1"/>
  <c r="AA181" i="63"/>
  <c r="AA84" i="64"/>
  <c r="AA151" i="64" s="1"/>
  <c r="AA85" i="67"/>
  <c r="AA79" i="64"/>
  <c r="AA146" i="64" s="1"/>
  <c r="AB29" i="47"/>
  <c r="AB30" i="47"/>
  <c r="E48" i="64"/>
  <c r="Z50" i="63"/>
  <c r="Z52" i="63"/>
  <c r="AC158" i="52"/>
  <c r="AC206" i="52" s="1"/>
  <c r="AC165" i="52"/>
  <c r="AC213" i="52" s="1"/>
  <c r="AC154" i="52"/>
  <c r="AC202" i="52" s="1"/>
  <c r="AC162" i="52"/>
  <c r="AC210" i="52" s="1"/>
  <c r="AC155" i="52"/>
  <c r="AC203" i="52" s="1"/>
  <c r="AC153" i="52"/>
  <c r="AC201" i="52" s="1"/>
  <c r="AC167" i="52"/>
  <c r="AC215" i="52" s="1"/>
  <c r="AC163" i="52"/>
  <c r="AC211" i="52" s="1"/>
  <c r="AC164" i="52"/>
  <c r="AC212" i="52" s="1"/>
  <c r="AC157" i="52"/>
  <c r="AC205" i="52" s="1"/>
  <c r="AC161" i="52"/>
  <c r="AC209" i="52" s="1"/>
  <c r="AC159" i="52"/>
  <c r="AC207" i="52" s="1"/>
  <c r="AC170" i="52"/>
  <c r="AC218" i="52" s="1"/>
  <c r="AC160" i="52"/>
  <c r="AC208" i="52" s="1"/>
  <c r="AC156" i="52"/>
  <c r="AC204" i="52" s="1"/>
  <c r="AC169" i="52"/>
  <c r="AC217" i="52" s="1"/>
  <c r="AC166" i="52"/>
  <c r="AC214" i="52" s="1"/>
  <c r="AC168" i="52"/>
  <c r="AC216" i="52" s="1"/>
  <c r="AC14" i="67"/>
  <c r="AC289" i="63"/>
  <c r="AC288" i="63"/>
  <c r="AC38" i="49"/>
  <c r="AC39" i="49" s="1"/>
  <c r="AC13" i="52" s="1"/>
  <c r="AC11" i="52"/>
  <c r="AD227" i="52" s="1"/>
  <c r="AD228" i="52" s="1"/>
  <c r="AD70" i="49"/>
  <c r="AD71" i="49" s="1"/>
  <c r="AD14" i="53" s="1"/>
  <c r="AD12" i="53"/>
  <c r="AA82" i="64"/>
  <c r="AA149" i="64" s="1"/>
  <c r="AA180" i="63"/>
  <c r="AA88" i="67"/>
  <c r="R106" i="67" s="1"/>
  <c r="AA86" i="64"/>
  <c r="AA153" i="64" s="1"/>
  <c r="AA91" i="67"/>
  <c r="R109" i="67" s="1"/>
  <c r="AA83" i="64"/>
  <c r="AA150" i="64" s="1"/>
  <c r="AA89" i="67"/>
  <c r="AA129" i="63"/>
  <c r="AB254" i="52"/>
  <c r="AK175" i="51"/>
  <c r="AH175" i="51"/>
  <c r="AF175" i="51"/>
  <c r="AE175" i="51"/>
  <c r="AM175" i="51"/>
  <c r="AD175" i="51"/>
  <c r="AD201" i="51" s="1"/>
  <c r="AD87" i="53" s="1"/>
  <c r="AL175" i="51"/>
  <c r="AJ175" i="51"/>
  <c r="AG175" i="51"/>
  <c r="AC125" i="51"/>
  <c r="AI175" i="51"/>
  <c r="AD106" i="49"/>
  <c r="AA194" i="63"/>
  <c r="AA45" i="63"/>
  <c r="AE104" i="49"/>
  <c r="AE13" i="54"/>
  <c r="AE94" i="47"/>
  <c r="AE12" i="63"/>
  <c r="AE13" i="67" s="1"/>
  <c r="AE119" i="50"/>
  <c r="AE57" i="49" s="1"/>
  <c r="AE58" i="49" s="1"/>
  <c r="Z162" i="64"/>
  <c r="Z122" i="64"/>
  <c r="AA93" i="64"/>
  <c r="AA160" i="64" s="1"/>
  <c r="AA94" i="67"/>
  <c r="AA91" i="64"/>
  <c r="AA158" i="64" s="1"/>
  <c r="AA92" i="67"/>
  <c r="AC181" i="47"/>
  <c r="AC182" i="47" s="1"/>
  <c r="AC219" i="47" s="1"/>
  <c r="AC220" i="47" s="1"/>
  <c r="AC19" i="47" s="1"/>
  <c r="U121" i="67" s="1"/>
  <c r="AC96" i="47"/>
  <c r="AC165" i="47" s="1"/>
  <c r="AC166" i="47" s="1"/>
  <c r="AC18" i="47" s="1"/>
  <c r="U120" i="67" s="1"/>
  <c r="AD12" i="67"/>
  <c r="Z118" i="64"/>
  <c r="C46" i="64"/>
  <c r="I46" i="64" s="1"/>
  <c r="N46" i="64" s="1"/>
  <c r="O46" i="64" s="1"/>
  <c r="Z192" i="63"/>
  <c r="Z195" i="63" s="1"/>
  <c r="AA80" i="64"/>
  <c r="AA147" i="64" s="1"/>
  <c r="AA86" i="67"/>
  <c r="R104" i="67" s="1"/>
  <c r="AA179" i="63"/>
  <c r="AA92" i="64"/>
  <c r="AA159" i="64" s="1"/>
  <c r="AA93" i="67"/>
  <c r="R111" i="67" s="1"/>
  <c r="R136" i="67" s="1"/>
  <c r="AA81" i="64"/>
  <c r="AA148" i="64" s="1"/>
  <c r="AA87" i="67"/>
  <c r="R105" i="67" s="1"/>
  <c r="AD144" i="53"/>
  <c r="AD192" i="53" s="1"/>
  <c r="AD238" i="53" s="1"/>
  <c r="AD134" i="53"/>
  <c r="AD182" i="53" s="1"/>
  <c r="AD228" i="53" s="1"/>
  <c r="AD136" i="53"/>
  <c r="AD184" i="53" s="1"/>
  <c r="AD230" i="53" s="1"/>
  <c r="AD142" i="53"/>
  <c r="AD190" i="53" s="1"/>
  <c r="AD236" i="53" s="1"/>
  <c r="AD139" i="53"/>
  <c r="AD187" i="53" s="1"/>
  <c r="AD233" i="53" s="1"/>
  <c r="AD138" i="53"/>
  <c r="AD186" i="53" s="1"/>
  <c r="AD232" i="53" s="1"/>
  <c r="AD145" i="53"/>
  <c r="AD193" i="53" s="1"/>
  <c r="AD239" i="53" s="1"/>
  <c r="AD147" i="53"/>
  <c r="AD195" i="53" s="1"/>
  <c r="AD241" i="53" s="1"/>
  <c r="AD132" i="53"/>
  <c r="AD180" i="53" s="1"/>
  <c r="AD226" i="53" s="1"/>
  <c r="AD146" i="53"/>
  <c r="AD194" i="53" s="1"/>
  <c r="AD240" i="53" s="1"/>
  <c r="AD133" i="53"/>
  <c r="AD181" i="53" s="1"/>
  <c r="AD227" i="53" s="1"/>
  <c r="AC15" i="53"/>
  <c r="AD141" i="53"/>
  <c r="AD189" i="53" s="1"/>
  <c r="AD235" i="53" s="1"/>
  <c r="AD149" i="53"/>
  <c r="AD197" i="53" s="1"/>
  <c r="AD243" i="53" s="1"/>
  <c r="AD148" i="53"/>
  <c r="AD196" i="53" s="1"/>
  <c r="AD242" i="53" s="1"/>
  <c r="AD137" i="53"/>
  <c r="AD185" i="53" s="1"/>
  <c r="AD231" i="53" s="1"/>
  <c r="AD143" i="53"/>
  <c r="AD191" i="53" s="1"/>
  <c r="AD237" i="53" s="1"/>
  <c r="AD135" i="53"/>
  <c r="AD183" i="53" s="1"/>
  <c r="AD229" i="53" s="1"/>
  <c r="AD140" i="53"/>
  <c r="AD188" i="53" s="1"/>
  <c r="AD234" i="53" s="1"/>
  <c r="Z197" i="63"/>
  <c r="Z198" i="63" s="1"/>
  <c r="AC17" i="67"/>
  <c r="AC134" i="64"/>
  <c r="AC135" i="52"/>
  <c r="AC183" i="52" s="1"/>
  <c r="AC131" i="52"/>
  <c r="AC179" i="52" s="1"/>
  <c r="AC137" i="52"/>
  <c r="AC185" i="52" s="1"/>
  <c r="AC138" i="52"/>
  <c r="AC186" i="52" s="1"/>
  <c r="AC143" i="52"/>
  <c r="AC191" i="52" s="1"/>
  <c r="AC139" i="52"/>
  <c r="AC187" i="52" s="1"/>
  <c r="AC243" i="52" s="1"/>
  <c r="AB137" i="63" s="1"/>
  <c r="AB161" i="63" s="1"/>
  <c r="AB85" i="64" s="1"/>
  <c r="AB152" i="64" s="1"/>
  <c r="AC148" i="52"/>
  <c r="AC196" i="52" s="1"/>
  <c r="AC252" i="52" s="1"/>
  <c r="AB146" i="63" s="1"/>
  <c r="AB170" i="63" s="1"/>
  <c r="AB94" i="64" s="1"/>
  <c r="AB161" i="64" s="1"/>
  <c r="AC147" i="52"/>
  <c r="AC195" i="52" s="1"/>
  <c r="AC144" i="52"/>
  <c r="AC192" i="52" s="1"/>
  <c r="AC133" i="52"/>
  <c r="AC181" i="52" s="1"/>
  <c r="AC132" i="52"/>
  <c r="AC180" i="52" s="1"/>
  <c r="AC136" i="52"/>
  <c r="AC184" i="52" s="1"/>
  <c r="AC240" i="52" s="1"/>
  <c r="AB134" i="63" s="1"/>
  <c r="AB158" i="63" s="1"/>
  <c r="AC142" i="52"/>
  <c r="AC190" i="52" s="1"/>
  <c r="AC140" i="52"/>
  <c r="AC188" i="52" s="1"/>
  <c r="AC141" i="52"/>
  <c r="AC189" i="52" s="1"/>
  <c r="AC134" i="52"/>
  <c r="AC182" i="52" s="1"/>
  <c r="AC145" i="52"/>
  <c r="AC193" i="52" s="1"/>
  <c r="AC249" i="52" s="1"/>
  <c r="AB143" i="63" s="1"/>
  <c r="AB167" i="63" s="1"/>
  <c r="AC146" i="52"/>
  <c r="AC194" i="52" s="1"/>
  <c r="AB14" i="52"/>
  <c r="AL77" i="51"/>
  <c r="AC77" i="51"/>
  <c r="AC104" i="51" s="1"/>
  <c r="AC86" i="52" s="1"/>
  <c r="AH77" i="51"/>
  <c r="AG77" i="51"/>
  <c r="AB28" i="51"/>
  <c r="AI77" i="51"/>
  <c r="AK77" i="51"/>
  <c r="AJ77" i="51"/>
  <c r="AD77" i="51"/>
  <c r="AE77" i="51"/>
  <c r="AF77" i="51"/>
  <c r="C76" i="54"/>
  <c r="C80" i="54"/>
  <c r="D99" i="54"/>
  <c r="D64" i="54"/>
  <c r="D100" i="54"/>
  <c r="C77" i="54"/>
  <c r="D65" i="54"/>
  <c r="D98" i="54"/>
  <c r="C79" i="54"/>
  <c r="C82" i="54"/>
  <c r="D101" i="54"/>
  <c r="C33" i="54"/>
  <c r="AH135" i="50"/>
  <c r="AH130" i="50"/>
  <c r="AH131" i="50"/>
  <c r="AH68" i="50"/>
  <c r="AI64" i="50" s="1"/>
  <c r="AF56" i="50"/>
  <c r="AG52" i="50" s="1"/>
  <c r="AH107" i="50"/>
  <c r="AH106" i="50"/>
  <c r="AH111" i="50"/>
  <c r="AH113" i="50" s="1"/>
  <c r="AH95" i="50"/>
  <c r="AH99" i="50"/>
  <c r="AH94" i="50"/>
  <c r="AC247" i="52" l="1"/>
  <c r="AB141" i="63" s="1"/>
  <c r="AB165" i="63" s="1"/>
  <c r="AB89" i="64" s="1"/>
  <c r="AB156" i="64" s="1"/>
  <c r="AA191" i="63"/>
  <c r="AC237" i="52"/>
  <c r="AB131" i="63" s="1"/>
  <c r="AB155" i="63" s="1"/>
  <c r="AC246" i="52"/>
  <c r="AB140" i="63" s="1"/>
  <c r="AB164" i="63" s="1"/>
  <c r="AB88" i="64" s="1"/>
  <c r="AB155" i="64" s="1"/>
  <c r="AC248" i="52"/>
  <c r="AB142" i="63" s="1"/>
  <c r="AB166" i="63" s="1"/>
  <c r="AB90" i="64" s="1"/>
  <c r="AB157" i="64" s="1"/>
  <c r="AC239" i="52"/>
  <c r="AB133" i="63" s="1"/>
  <c r="AB157" i="63" s="1"/>
  <c r="AB81" i="64" s="1"/>
  <c r="AB148" i="64" s="1"/>
  <c r="AC238" i="52"/>
  <c r="AB132" i="63" s="1"/>
  <c r="AB156" i="63" s="1"/>
  <c r="R135" i="67"/>
  <c r="R163" i="67" s="1"/>
  <c r="AC245" i="52"/>
  <c r="AB139" i="63" s="1"/>
  <c r="AB163" i="63" s="1"/>
  <c r="AB87" i="64" s="1"/>
  <c r="AB154" i="64" s="1"/>
  <c r="AC236" i="52"/>
  <c r="AB130" i="63" s="1"/>
  <c r="AB154" i="63" s="1"/>
  <c r="AB84" i="67" s="1"/>
  <c r="S102" i="67" s="1"/>
  <c r="AC241" i="52"/>
  <c r="AB135" i="63" s="1"/>
  <c r="AB159" i="63" s="1"/>
  <c r="R113" i="67"/>
  <c r="R142" i="67" s="1"/>
  <c r="AC290" i="63"/>
  <c r="AD245" i="53"/>
  <c r="AC22" i="63" s="1"/>
  <c r="AC250" i="52"/>
  <c r="AB144" i="63" s="1"/>
  <c r="AB168" i="63" s="1"/>
  <c r="AB92" i="64" s="1"/>
  <c r="AB159" i="64" s="1"/>
  <c r="AC244" i="52"/>
  <c r="AB138" i="63" s="1"/>
  <c r="AB162" i="63" s="1"/>
  <c r="AC251" i="52"/>
  <c r="AB145" i="63" s="1"/>
  <c r="AB169" i="63" s="1"/>
  <c r="AB94" i="67" s="1"/>
  <c r="S112" i="67" s="1"/>
  <c r="AC242" i="52"/>
  <c r="AB136" i="63" s="1"/>
  <c r="AB160" i="63" s="1"/>
  <c r="AB90" i="67" s="1"/>
  <c r="S108" i="67" s="1"/>
  <c r="AC235" i="52"/>
  <c r="AD150" i="53"/>
  <c r="U128" i="67"/>
  <c r="U137" i="67" s="1"/>
  <c r="AD115" i="52"/>
  <c r="AD111" i="52"/>
  <c r="AD121" i="52"/>
  <c r="AD107" i="52"/>
  <c r="AD108" i="52"/>
  <c r="AD109" i="52"/>
  <c r="AD110" i="52"/>
  <c r="AD105" i="52"/>
  <c r="AD120" i="52"/>
  <c r="AD117" i="52"/>
  <c r="AD112" i="52"/>
  <c r="AD119" i="52"/>
  <c r="AD122" i="52"/>
  <c r="AD114" i="52"/>
  <c r="AD118" i="52"/>
  <c r="AD106" i="52"/>
  <c r="AD116" i="52"/>
  <c r="AD113" i="52"/>
  <c r="AB92" i="67"/>
  <c r="S110" i="67" s="1"/>
  <c r="AB91" i="64"/>
  <c r="AB158" i="64" s="1"/>
  <c r="AB78" i="64"/>
  <c r="AB145" i="64" s="1"/>
  <c r="AB89" i="67"/>
  <c r="S107" i="67" s="1"/>
  <c r="AB83" i="64"/>
  <c r="AB150" i="64" s="1"/>
  <c r="AB87" i="67"/>
  <c r="S105" i="67" s="1"/>
  <c r="AA200" i="63"/>
  <c r="AA177" i="64" s="1"/>
  <c r="D47" i="64"/>
  <c r="H47" i="64" s="1"/>
  <c r="M47" i="64" s="1"/>
  <c r="AA205" i="63"/>
  <c r="AA119" i="64"/>
  <c r="AA201" i="63"/>
  <c r="AA179" i="64" s="1"/>
  <c r="AC103" i="64"/>
  <c r="AC27" i="47"/>
  <c r="Z169" i="64"/>
  <c r="Z170" i="64" s="1"/>
  <c r="Z123" i="64"/>
  <c r="Z124" i="64"/>
  <c r="Z125" i="64"/>
  <c r="AE12" i="54"/>
  <c r="AE11" i="63"/>
  <c r="AE93" i="47"/>
  <c r="AE69" i="49"/>
  <c r="AA153" i="63"/>
  <c r="AA147" i="63"/>
  <c r="AE158" i="53"/>
  <c r="AE206" i="53" s="1"/>
  <c r="AE155" i="53"/>
  <c r="AE203" i="53" s="1"/>
  <c r="AE154" i="53"/>
  <c r="AE202" i="53" s="1"/>
  <c r="AE164" i="53"/>
  <c r="AE212" i="53" s="1"/>
  <c r="AE157" i="53"/>
  <c r="AE205" i="53" s="1"/>
  <c r="AE171" i="53"/>
  <c r="AE219" i="53" s="1"/>
  <c r="AE169" i="53"/>
  <c r="AE217" i="53" s="1"/>
  <c r="AE170" i="53"/>
  <c r="AE218" i="53" s="1"/>
  <c r="AE165" i="53"/>
  <c r="AE213" i="53" s="1"/>
  <c r="AE162" i="53"/>
  <c r="AE210" i="53" s="1"/>
  <c r="AE168" i="53"/>
  <c r="AE216" i="53" s="1"/>
  <c r="AE159" i="53"/>
  <c r="AE207" i="53" s="1"/>
  <c r="AE156" i="53"/>
  <c r="AE204" i="53" s="1"/>
  <c r="AE160" i="53"/>
  <c r="AE208" i="53" s="1"/>
  <c r="AE161" i="53"/>
  <c r="AE209" i="53" s="1"/>
  <c r="AE166" i="53"/>
  <c r="AE214" i="53" s="1"/>
  <c r="AE167" i="53"/>
  <c r="AE215" i="53" s="1"/>
  <c r="AE163" i="53"/>
  <c r="AE211" i="53" s="1"/>
  <c r="AD116" i="51"/>
  <c r="AD117" i="51" s="1"/>
  <c r="AD124" i="51" s="1"/>
  <c r="AD72" i="49"/>
  <c r="AD13" i="53"/>
  <c r="AD13" i="63"/>
  <c r="AD14" i="63" s="1"/>
  <c r="AD15" i="67" s="1"/>
  <c r="AD92" i="47"/>
  <c r="AD14" i="54"/>
  <c r="AD15" i="54" s="1"/>
  <c r="AD16" i="54" s="1"/>
  <c r="AD37" i="49"/>
  <c r="AF139" i="50"/>
  <c r="AF91" i="49" s="1"/>
  <c r="AF92" i="49" s="1"/>
  <c r="AB86" i="67"/>
  <c r="S104" i="67" s="1"/>
  <c r="AB80" i="64"/>
  <c r="AB147" i="64" s="1"/>
  <c r="AB82" i="64"/>
  <c r="AB149" i="64" s="1"/>
  <c r="AB88" i="67"/>
  <c r="S106" i="67" s="1"/>
  <c r="AB79" i="64"/>
  <c r="AB146" i="64" s="1"/>
  <c r="AB85" i="67"/>
  <c r="S103" i="67" s="1"/>
  <c r="AB129" i="63"/>
  <c r="T121" i="67"/>
  <c r="T128" i="67" s="1"/>
  <c r="T137" i="67" s="1"/>
  <c r="AC104" i="64"/>
  <c r="Z163" i="64"/>
  <c r="AE105" i="49"/>
  <c r="AE107" i="49" s="1"/>
  <c r="AA120" i="64"/>
  <c r="AA248" i="63"/>
  <c r="AA250" i="63" s="1"/>
  <c r="AE110" i="53"/>
  <c r="AE123" i="53"/>
  <c r="AE120" i="53"/>
  <c r="AE122" i="53"/>
  <c r="AE119" i="53"/>
  <c r="AE111" i="53"/>
  <c r="AE121" i="53"/>
  <c r="AE107" i="53"/>
  <c r="AE109" i="53"/>
  <c r="AE112" i="53"/>
  <c r="AE117" i="53"/>
  <c r="AE115" i="53"/>
  <c r="AE114" i="53"/>
  <c r="AE108" i="53"/>
  <c r="AE106" i="53"/>
  <c r="AE116" i="53"/>
  <c r="AE118" i="53"/>
  <c r="AE113" i="53"/>
  <c r="AA24" i="63"/>
  <c r="AA24" i="54"/>
  <c r="AA28" i="54" s="1"/>
  <c r="AA30" i="54" s="1"/>
  <c r="AB256" i="52"/>
  <c r="AD154" i="52"/>
  <c r="AD202" i="52" s="1"/>
  <c r="AD155" i="52"/>
  <c r="AD203" i="52" s="1"/>
  <c r="AD166" i="52"/>
  <c r="AD214" i="52" s="1"/>
  <c r="AD160" i="52"/>
  <c r="AD208" i="52" s="1"/>
  <c r="AD156" i="52"/>
  <c r="AD204" i="52" s="1"/>
  <c r="AD170" i="52"/>
  <c r="AD218" i="52" s="1"/>
  <c r="AD158" i="52"/>
  <c r="AD206" i="52" s="1"/>
  <c r="AD153" i="52"/>
  <c r="AD201" i="52" s="1"/>
  <c r="AD165" i="52"/>
  <c r="AD213" i="52" s="1"/>
  <c r="AD167" i="52"/>
  <c r="AD215" i="52" s="1"/>
  <c r="AD164" i="52"/>
  <c r="AD212" i="52" s="1"/>
  <c r="AD163" i="52"/>
  <c r="AD211" i="52" s="1"/>
  <c r="AD161" i="52"/>
  <c r="AD209" i="52" s="1"/>
  <c r="AD157" i="52"/>
  <c r="AD205" i="52" s="1"/>
  <c r="AD162" i="52"/>
  <c r="AD210" i="52" s="1"/>
  <c r="AD159" i="52"/>
  <c r="AD207" i="52" s="1"/>
  <c r="AD169" i="52"/>
  <c r="AD217" i="52" s="1"/>
  <c r="AD168" i="52"/>
  <c r="AD216" i="52" s="1"/>
  <c r="AC19" i="51"/>
  <c r="AC20" i="51" s="1"/>
  <c r="AC27" i="51" s="1"/>
  <c r="AC40" i="49"/>
  <c r="AC12" i="52"/>
  <c r="AB26" i="54"/>
  <c r="AB26" i="63"/>
  <c r="C86" i="54"/>
  <c r="AH115" i="50"/>
  <c r="AI66" i="50"/>
  <c r="AI71" i="50"/>
  <c r="AI73" i="50" s="1"/>
  <c r="AI67" i="50"/>
  <c r="AH108" i="50"/>
  <c r="AI104" i="50" s="1"/>
  <c r="AH110" i="50"/>
  <c r="AH96" i="50"/>
  <c r="AI92" i="50" s="1"/>
  <c r="AH132" i="50"/>
  <c r="AI128" i="50" s="1"/>
  <c r="AG55" i="50"/>
  <c r="AG59" i="50"/>
  <c r="AG77" i="50" s="1"/>
  <c r="AG54" i="50"/>
  <c r="R139" i="67" l="1"/>
  <c r="R143" i="67" s="1"/>
  <c r="AB93" i="67"/>
  <c r="S111" i="67" s="1"/>
  <c r="AB93" i="64"/>
  <c r="AB160" i="64" s="1"/>
  <c r="AB180" i="63"/>
  <c r="AB179" i="63"/>
  <c r="AC254" i="52"/>
  <c r="AB91" i="67"/>
  <c r="S109" i="67" s="1"/>
  <c r="S135" i="67" s="1"/>
  <c r="S163" i="67" s="1"/>
  <c r="AB86" i="64"/>
  <c r="AB153" i="64" s="1"/>
  <c r="AD247" i="53"/>
  <c r="AC22" i="54"/>
  <c r="AB84" i="64"/>
  <c r="AB151" i="64" s="1"/>
  <c r="AA148" i="63"/>
  <c r="AD16" i="63"/>
  <c r="AA44" i="63"/>
  <c r="AA28" i="63"/>
  <c r="AC111" i="64"/>
  <c r="AB181" i="63"/>
  <c r="AE106" i="49"/>
  <c r="AA180" i="64"/>
  <c r="AF119" i="50"/>
  <c r="AF57" i="49" s="1"/>
  <c r="AF58" i="49" s="1"/>
  <c r="AE83" i="50"/>
  <c r="AE25" i="49" s="1"/>
  <c r="AE26" i="49" s="1"/>
  <c r="AB194" i="63"/>
  <c r="AB45" i="63"/>
  <c r="AD133" i="52"/>
  <c r="AD181" i="52" s="1"/>
  <c r="AD237" i="52" s="1"/>
  <c r="AC131" i="63" s="1"/>
  <c r="AC155" i="63" s="1"/>
  <c r="AD141" i="52"/>
  <c r="AD189" i="52" s="1"/>
  <c r="AD245" i="52" s="1"/>
  <c r="AC139" i="63" s="1"/>
  <c r="AC163" i="63" s="1"/>
  <c r="AC87" i="64" s="1"/>
  <c r="AC154" i="64" s="1"/>
  <c r="AD136" i="52"/>
  <c r="AD184" i="52" s="1"/>
  <c r="AD240" i="52" s="1"/>
  <c r="AC134" i="63" s="1"/>
  <c r="AC158" i="63" s="1"/>
  <c r="AD143" i="52"/>
  <c r="AD191" i="52" s="1"/>
  <c r="AD247" i="52" s="1"/>
  <c r="AC141" i="63" s="1"/>
  <c r="AC165" i="63" s="1"/>
  <c r="AC89" i="64" s="1"/>
  <c r="AC156" i="64" s="1"/>
  <c r="AD131" i="52"/>
  <c r="AD179" i="52" s="1"/>
  <c r="AD235" i="52" s="1"/>
  <c r="AD134" i="52"/>
  <c r="AD182" i="52" s="1"/>
  <c r="AD238" i="52" s="1"/>
  <c r="AC132" i="63" s="1"/>
  <c r="AC156" i="63" s="1"/>
  <c r="AD139" i="52"/>
  <c r="AD187" i="52" s="1"/>
  <c r="AD243" i="52" s="1"/>
  <c r="AC137" i="63" s="1"/>
  <c r="AC161" i="63" s="1"/>
  <c r="AC85" i="64" s="1"/>
  <c r="AC152" i="64" s="1"/>
  <c r="AD137" i="52"/>
  <c r="AD185" i="52" s="1"/>
  <c r="AD241" i="52" s="1"/>
  <c r="AC135" i="63" s="1"/>
  <c r="AC159" i="63" s="1"/>
  <c r="AD132" i="52"/>
  <c r="AD180" i="52" s="1"/>
  <c r="AD236" i="52" s="1"/>
  <c r="AC130" i="63" s="1"/>
  <c r="AC154" i="63" s="1"/>
  <c r="AD148" i="52"/>
  <c r="AD196" i="52" s="1"/>
  <c r="AD252" i="52" s="1"/>
  <c r="AC146" i="63" s="1"/>
  <c r="AC170" i="63" s="1"/>
  <c r="AC94" i="64" s="1"/>
  <c r="AC161" i="64" s="1"/>
  <c r="AD147" i="52"/>
  <c r="AD195" i="52" s="1"/>
  <c r="AD251" i="52" s="1"/>
  <c r="AC145" i="63" s="1"/>
  <c r="AC169" i="63" s="1"/>
  <c r="AD144" i="52"/>
  <c r="AD192" i="52" s="1"/>
  <c r="AD248" i="52" s="1"/>
  <c r="AC142" i="63" s="1"/>
  <c r="AC166" i="63" s="1"/>
  <c r="AC90" i="64" s="1"/>
  <c r="AC157" i="64" s="1"/>
  <c r="AD142" i="52"/>
  <c r="AD190" i="52" s="1"/>
  <c r="AD246" i="52" s="1"/>
  <c r="AC140" i="63" s="1"/>
  <c r="AC164" i="63" s="1"/>
  <c r="AC88" i="64" s="1"/>
  <c r="AC155" i="64" s="1"/>
  <c r="AD135" i="52"/>
  <c r="AD183" i="52" s="1"/>
  <c r="AD239" i="52" s="1"/>
  <c r="AC133" i="63" s="1"/>
  <c r="AC157" i="63" s="1"/>
  <c r="AD140" i="52"/>
  <c r="AD188" i="52" s="1"/>
  <c r="AD244" i="52" s="1"/>
  <c r="AC138" i="63" s="1"/>
  <c r="AC162" i="63" s="1"/>
  <c r="AD138" i="52"/>
  <c r="AD186" i="52" s="1"/>
  <c r="AD242" i="52" s="1"/>
  <c r="AC136" i="63" s="1"/>
  <c r="AC160" i="63" s="1"/>
  <c r="AD145" i="52"/>
  <c r="AD193" i="52" s="1"/>
  <c r="AD249" i="52" s="1"/>
  <c r="AC143" i="63" s="1"/>
  <c r="AC167" i="63" s="1"/>
  <c r="AD146" i="52"/>
  <c r="AD194" i="52" s="1"/>
  <c r="AD250" i="52" s="1"/>
  <c r="AC144" i="63" s="1"/>
  <c r="AC168" i="63" s="1"/>
  <c r="AC14" i="52"/>
  <c r="AF78" i="51"/>
  <c r="AG78" i="51"/>
  <c r="AL78" i="51"/>
  <c r="AC28" i="51"/>
  <c r="AJ78" i="51"/>
  <c r="AI78" i="51"/>
  <c r="AH78" i="51"/>
  <c r="AK78" i="51"/>
  <c r="AE78" i="51"/>
  <c r="AD78" i="51"/>
  <c r="AD104" i="51" s="1"/>
  <c r="AD86" i="52" s="1"/>
  <c r="AM78" i="51"/>
  <c r="AB153" i="63"/>
  <c r="AB147" i="63"/>
  <c r="AF13" i="54"/>
  <c r="AF104" i="49"/>
  <c r="AF105" i="49" s="1"/>
  <c r="AF106" i="49" s="1"/>
  <c r="AF12" i="63"/>
  <c r="AF13" i="67" s="1"/>
  <c r="AF94" i="47"/>
  <c r="AD11" i="52"/>
  <c r="AE227" i="52" s="1"/>
  <c r="AE228" i="52" s="1"/>
  <c r="AD38" i="49"/>
  <c r="AD39" i="49" s="1"/>
  <c r="AD13" i="52" s="1"/>
  <c r="AD96" i="47"/>
  <c r="AD165" i="47" s="1"/>
  <c r="AD166" i="47" s="1"/>
  <c r="AD18" i="47" s="1"/>
  <c r="V120" i="67" s="1"/>
  <c r="AD181" i="47"/>
  <c r="AD182" i="47" s="1"/>
  <c r="AD219" i="47" s="1"/>
  <c r="AD220" i="47" s="1"/>
  <c r="AD19" i="47" s="1"/>
  <c r="AD104" i="64" s="1"/>
  <c r="AE140" i="53"/>
  <c r="AE188" i="53" s="1"/>
  <c r="AE234" i="53" s="1"/>
  <c r="E54" i="54" s="1"/>
  <c r="D83" i="54" s="1"/>
  <c r="F83" i="54" s="1"/>
  <c r="AD15" i="53"/>
  <c r="AE137" i="53"/>
  <c r="AE185" i="53" s="1"/>
  <c r="AE231" i="53" s="1"/>
  <c r="E51" i="54" s="1"/>
  <c r="AE134" i="53"/>
  <c r="AE182" i="53" s="1"/>
  <c r="AE228" i="53" s="1"/>
  <c r="E48" i="54" s="1"/>
  <c r="AE149" i="53"/>
  <c r="AE197" i="53" s="1"/>
  <c r="AE243" i="53" s="1"/>
  <c r="E63" i="54" s="1"/>
  <c r="AE141" i="53"/>
  <c r="AE189" i="53" s="1"/>
  <c r="AE235" i="53" s="1"/>
  <c r="E55" i="54" s="1"/>
  <c r="AE133" i="53"/>
  <c r="AE181" i="53" s="1"/>
  <c r="AE227" i="53" s="1"/>
  <c r="E47" i="54" s="1"/>
  <c r="AE143" i="53"/>
  <c r="AE191" i="53" s="1"/>
  <c r="AE237" i="53" s="1"/>
  <c r="E57" i="54" s="1"/>
  <c r="AE138" i="53"/>
  <c r="AE186" i="53" s="1"/>
  <c r="AE232" i="53" s="1"/>
  <c r="E52" i="54" s="1"/>
  <c r="D84" i="54" s="1"/>
  <c r="F84" i="54" s="1"/>
  <c r="AE142" i="53"/>
  <c r="AE190" i="53" s="1"/>
  <c r="AE236" i="53" s="1"/>
  <c r="E56" i="54" s="1"/>
  <c r="AE132" i="53"/>
  <c r="AE180" i="53" s="1"/>
  <c r="AE226" i="53" s="1"/>
  <c r="AE148" i="53"/>
  <c r="AE196" i="53" s="1"/>
  <c r="AE242" i="53" s="1"/>
  <c r="E62" i="54" s="1"/>
  <c r="D81" i="54" s="1"/>
  <c r="F81" i="54" s="1"/>
  <c r="AE145" i="53"/>
  <c r="AE193" i="53" s="1"/>
  <c r="AE239" i="53" s="1"/>
  <c r="E59" i="54" s="1"/>
  <c r="D75" i="54" s="1"/>
  <c r="F75" i="54" s="1"/>
  <c r="AE136" i="53"/>
  <c r="AE184" i="53" s="1"/>
  <c r="AE230" i="53" s="1"/>
  <c r="E50" i="54" s="1"/>
  <c r="D78" i="54" s="1"/>
  <c r="F78" i="54" s="1"/>
  <c r="AE147" i="53"/>
  <c r="AE195" i="53" s="1"/>
  <c r="AE241" i="53" s="1"/>
  <c r="E61" i="54" s="1"/>
  <c r="D73" i="54" s="1"/>
  <c r="AE139" i="53"/>
  <c r="AE187" i="53" s="1"/>
  <c r="AE233" i="53" s="1"/>
  <c r="E53" i="54" s="1"/>
  <c r="AE146" i="53"/>
  <c r="AE194" i="53" s="1"/>
  <c r="AE240" i="53" s="1"/>
  <c r="E60" i="54" s="1"/>
  <c r="D74" i="54" s="1"/>
  <c r="F74" i="54" s="1"/>
  <c r="AE135" i="53"/>
  <c r="AE183" i="53" s="1"/>
  <c r="AE229" i="53" s="1"/>
  <c r="E49" i="54" s="1"/>
  <c r="AE144" i="53"/>
  <c r="AE192" i="53" s="1"/>
  <c r="AE238" i="53" s="1"/>
  <c r="E58" i="54" s="1"/>
  <c r="AE176" i="51"/>
  <c r="AE201" i="51" s="1"/>
  <c r="AE87" i="53" s="1"/>
  <c r="AM176" i="51"/>
  <c r="AJ176" i="51"/>
  <c r="AH176" i="51"/>
  <c r="AG176" i="51"/>
  <c r="AD125" i="51"/>
  <c r="AF176" i="51"/>
  <c r="AL176" i="51"/>
  <c r="AI176" i="51"/>
  <c r="AN176" i="51"/>
  <c r="AK176" i="51"/>
  <c r="AA77" i="64"/>
  <c r="AA171" i="63"/>
  <c r="AA83" i="67"/>
  <c r="AA178" i="63"/>
  <c r="Q47" i="64"/>
  <c r="AC256" i="52"/>
  <c r="AB24" i="63"/>
  <c r="AB24" i="54"/>
  <c r="AB28" i="54" s="1"/>
  <c r="AB30" i="54" s="1"/>
  <c r="AD14" i="67"/>
  <c r="AD288" i="63"/>
  <c r="AD289" i="63"/>
  <c r="AE70" i="49"/>
  <c r="AE71" i="49" s="1"/>
  <c r="AE14" i="53" s="1"/>
  <c r="AE12" i="53"/>
  <c r="AE12" i="67"/>
  <c r="E49" i="64"/>
  <c r="AC30" i="47"/>
  <c r="AC29" i="47"/>
  <c r="AD134" i="64"/>
  <c r="AD17" i="67"/>
  <c r="C87" i="54"/>
  <c r="AI135" i="50"/>
  <c r="AI131" i="50"/>
  <c r="AI130" i="50"/>
  <c r="AI95" i="50"/>
  <c r="AI99" i="50"/>
  <c r="AI94" i="50"/>
  <c r="AG56" i="50"/>
  <c r="AI107" i="50"/>
  <c r="AI106" i="50"/>
  <c r="AI111" i="50"/>
  <c r="AI113" i="50" s="1"/>
  <c r="AI68" i="50"/>
  <c r="AJ64" i="50" s="1"/>
  <c r="AD290" i="63" l="1"/>
  <c r="AB191" i="63"/>
  <c r="AB119" i="64" s="1"/>
  <c r="F73" i="54"/>
  <c r="D85" i="54"/>
  <c r="F85" i="54" s="1"/>
  <c r="AA48" i="63"/>
  <c r="AA47" i="63"/>
  <c r="AA30" i="63"/>
  <c r="AA40" i="63"/>
  <c r="AA41" i="63"/>
  <c r="AB44" i="63"/>
  <c r="AB47" i="63" s="1"/>
  <c r="AB28" i="63"/>
  <c r="D76" i="54"/>
  <c r="F76" i="54" s="1"/>
  <c r="AB148" i="63"/>
  <c r="AE150" i="53"/>
  <c r="AE161" i="52"/>
  <c r="AE209" i="52" s="1"/>
  <c r="AE157" i="52"/>
  <c r="AE205" i="52" s="1"/>
  <c r="AE164" i="52"/>
  <c r="AE212" i="52" s="1"/>
  <c r="AE155" i="52"/>
  <c r="AE203" i="52" s="1"/>
  <c r="AE160" i="52"/>
  <c r="AE208" i="52" s="1"/>
  <c r="AE159" i="52"/>
  <c r="AE207" i="52" s="1"/>
  <c r="AE167" i="52"/>
  <c r="AE215" i="52" s="1"/>
  <c r="AE154" i="52"/>
  <c r="AE202" i="52" s="1"/>
  <c r="AE169" i="52"/>
  <c r="AE217" i="52" s="1"/>
  <c r="AE162" i="52"/>
  <c r="AE210" i="52" s="1"/>
  <c r="AE166" i="52"/>
  <c r="AE214" i="52" s="1"/>
  <c r="AE168" i="52"/>
  <c r="AE216" i="52" s="1"/>
  <c r="AE158" i="52"/>
  <c r="AE206" i="52" s="1"/>
  <c r="AE165" i="52"/>
  <c r="AE213" i="52" s="1"/>
  <c r="AE170" i="52"/>
  <c r="AE218" i="52" s="1"/>
  <c r="AE156" i="52"/>
  <c r="AE204" i="52" s="1"/>
  <c r="AE153" i="52"/>
  <c r="AE201" i="52" s="1"/>
  <c r="AE163" i="52"/>
  <c r="AE211" i="52" s="1"/>
  <c r="AG139" i="50"/>
  <c r="AG91" i="49" s="1"/>
  <c r="AG92" i="49" s="1"/>
  <c r="AC26" i="54"/>
  <c r="AC26" i="63"/>
  <c r="AF166" i="53"/>
  <c r="AF214" i="53" s="1"/>
  <c r="AF167" i="53"/>
  <c r="AF215" i="53" s="1"/>
  <c r="AF170" i="53"/>
  <c r="AF218" i="53" s="1"/>
  <c r="AF159" i="53"/>
  <c r="AF207" i="53" s="1"/>
  <c r="AF169" i="53"/>
  <c r="AF217" i="53" s="1"/>
  <c r="AF158" i="53"/>
  <c r="AF206" i="53" s="1"/>
  <c r="AF154" i="53"/>
  <c r="AF202" i="53" s="1"/>
  <c r="AF168" i="53"/>
  <c r="AF216" i="53" s="1"/>
  <c r="AF161" i="53"/>
  <c r="AF209" i="53" s="1"/>
  <c r="AF156" i="53"/>
  <c r="AF204" i="53" s="1"/>
  <c r="AF157" i="53"/>
  <c r="AF205" i="53" s="1"/>
  <c r="AF163" i="53"/>
  <c r="AF211" i="53" s="1"/>
  <c r="AF155" i="53"/>
  <c r="AF203" i="53" s="1"/>
  <c r="AF165" i="53"/>
  <c r="AF213" i="53" s="1"/>
  <c r="AF164" i="53"/>
  <c r="AF212" i="53" s="1"/>
  <c r="AF160" i="53"/>
  <c r="AF208" i="53" s="1"/>
  <c r="AF162" i="53"/>
  <c r="AF210" i="53" s="1"/>
  <c r="AF171" i="53"/>
  <c r="AF219" i="53" s="1"/>
  <c r="AE72" i="49"/>
  <c r="AE116" i="51"/>
  <c r="AE117" i="51" s="1"/>
  <c r="AE124" i="51" s="1"/>
  <c r="AE13" i="53"/>
  <c r="AA95" i="64"/>
  <c r="AA144" i="64"/>
  <c r="E98" i="54"/>
  <c r="G98" i="54" s="1"/>
  <c r="D79" i="54"/>
  <c r="F79" i="54" s="1"/>
  <c r="D82" i="54"/>
  <c r="F82" i="54" s="1"/>
  <c r="E101" i="54"/>
  <c r="G101" i="54" s="1"/>
  <c r="AB77" i="64"/>
  <c r="AB83" i="67"/>
  <c r="S101" i="67" s="1"/>
  <c r="AB178" i="63"/>
  <c r="AB171" i="63"/>
  <c r="AE108" i="52"/>
  <c r="AE115" i="52"/>
  <c r="AE116" i="52"/>
  <c r="AE122" i="52"/>
  <c r="AE121" i="52"/>
  <c r="AE118" i="52"/>
  <c r="AE111" i="52"/>
  <c r="AE107" i="52"/>
  <c r="AE120" i="52"/>
  <c r="AE114" i="52"/>
  <c r="AE117" i="52"/>
  <c r="AE112" i="52"/>
  <c r="AE106" i="52"/>
  <c r="AE119" i="52"/>
  <c r="AE110" i="52"/>
  <c r="AE105" i="52"/>
  <c r="AE109" i="52"/>
  <c r="AE113" i="52"/>
  <c r="AC92" i="67"/>
  <c r="AC91" i="64"/>
  <c r="AC158" i="64" s="1"/>
  <c r="AC91" i="67"/>
  <c r="T109" i="67" s="1"/>
  <c r="AC86" i="64"/>
  <c r="AC153" i="64" s="1"/>
  <c r="AC93" i="64"/>
  <c r="AC160" i="64" s="1"/>
  <c r="AC94" i="67"/>
  <c r="T112" i="67" s="1"/>
  <c r="AC78" i="64"/>
  <c r="AC145" i="64" s="1"/>
  <c r="AC84" i="67"/>
  <c r="T102" i="67" s="1"/>
  <c r="AC129" i="63"/>
  <c r="AD254" i="52"/>
  <c r="AC88" i="67"/>
  <c r="T106" i="67" s="1"/>
  <c r="AC180" i="63"/>
  <c r="AC82" i="64"/>
  <c r="AC149" i="64" s="1"/>
  <c r="AC79" i="64"/>
  <c r="AC146" i="64" s="1"/>
  <c r="AC85" i="67"/>
  <c r="T103" i="67" s="1"/>
  <c r="AB120" i="64"/>
  <c r="AE92" i="47"/>
  <c r="AE13" i="63"/>
  <c r="AE14" i="63" s="1"/>
  <c r="AE16" i="63" s="1"/>
  <c r="AE14" i="54"/>
  <c r="AE15" i="54" s="1"/>
  <c r="AE16" i="54" s="1"/>
  <c r="AE28" i="49"/>
  <c r="AE37" i="49"/>
  <c r="AF11" i="63"/>
  <c r="AF93" i="47"/>
  <c r="AF69" i="49"/>
  <c r="AF12" i="54"/>
  <c r="AA190" i="63"/>
  <c r="AA193" i="63" s="1"/>
  <c r="AA182" i="63"/>
  <c r="AA183" i="63" s="1"/>
  <c r="AA173" i="63"/>
  <c r="AA172" i="63"/>
  <c r="AF110" i="53"/>
  <c r="AF114" i="53"/>
  <c r="AF115" i="53"/>
  <c r="AF113" i="53"/>
  <c r="AF123" i="53"/>
  <c r="AF108" i="53"/>
  <c r="AF111" i="53"/>
  <c r="AF109" i="53"/>
  <c r="AF107" i="53"/>
  <c r="AF121" i="53"/>
  <c r="AF118" i="53"/>
  <c r="AF112" i="53"/>
  <c r="AF120" i="53"/>
  <c r="AF106" i="53"/>
  <c r="AF122" i="53"/>
  <c r="AF116" i="53"/>
  <c r="AF117" i="53"/>
  <c r="AF119" i="53"/>
  <c r="E46" i="54"/>
  <c r="AE245" i="53"/>
  <c r="D80" i="54"/>
  <c r="F80" i="54" s="1"/>
  <c r="E99" i="54"/>
  <c r="G99" i="54" s="1"/>
  <c r="AD103" i="64"/>
  <c r="AD111" i="64" s="1"/>
  <c r="AD27" i="47"/>
  <c r="AD19" i="51"/>
  <c r="AD20" i="51" s="1"/>
  <c r="AD27" i="51" s="1"/>
  <c r="AD40" i="49"/>
  <c r="AD12" i="52"/>
  <c r="AC92" i="64"/>
  <c r="AC159" i="64" s="1"/>
  <c r="AC93" i="67"/>
  <c r="T111" i="67" s="1"/>
  <c r="AC181" i="63"/>
  <c r="AC84" i="64"/>
  <c r="AC151" i="64" s="1"/>
  <c r="AC90" i="67"/>
  <c r="T108" i="67" s="1"/>
  <c r="AC81" i="64"/>
  <c r="AC148" i="64" s="1"/>
  <c r="AC87" i="67"/>
  <c r="T105" i="67" s="1"/>
  <c r="AC83" i="64"/>
  <c r="AC150" i="64" s="1"/>
  <c r="AC89" i="67"/>
  <c r="T107" i="67" s="1"/>
  <c r="AC80" i="64"/>
  <c r="AC147" i="64" s="1"/>
  <c r="AC86" i="67"/>
  <c r="AC179" i="63"/>
  <c r="AH52" i="50"/>
  <c r="AH54" i="50" s="1"/>
  <c r="AJ71" i="50"/>
  <c r="AJ73" i="50" s="1"/>
  <c r="AJ67" i="50"/>
  <c r="AJ66" i="50"/>
  <c r="AI96" i="50"/>
  <c r="AJ92" i="50" s="1"/>
  <c r="AI115" i="50"/>
  <c r="AI132" i="50"/>
  <c r="AJ128" i="50" s="1"/>
  <c r="AI110" i="50"/>
  <c r="AI108" i="50"/>
  <c r="AJ104" i="50" s="1"/>
  <c r="AB201" i="63" l="1"/>
  <c r="AB179" i="64" s="1"/>
  <c r="D48" i="64"/>
  <c r="H48" i="64" s="1"/>
  <c r="M48" i="64" s="1"/>
  <c r="Q48" i="64" s="1"/>
  <c r="AB200" i="63"/>
  <c r="AB177" i="64" s="1"/>
  <c r="AB248" i="63"/>
  <c r="AB250" i="63" s="1"/>
  <c r="AC191" i="63"/>
  <c r="AE15" i="67"/>
  <c r="AA52" i="63"/>
  <c r="AA50" i="63"/>
  <c r="AB48" i="63"/>
  <c r="AB52" i="63" s="1"/>
  <c r="C112" i="54"/>
  <c r="AB41" i="63"/>
  <c r="AB30" i="63"/>
  <c r="AB40" i="63"/>
  <c r="T110" i="67"/>
  <c r="U110" i="67"/>
  <c r="T104" i="67"/>
  <c r="T135" i="67" s="1"/>
  <c r="U104" i="67"/>
  <c r="AG119" i="50"/>
  <c r="AG57" i="49" s="1"/>
  <c r="AG58" i="49" s="1"/>
  <c r="AD14" i="52"/>
  <c r="AE135" i="52"/>
  <c r="AE183" i="52" s="1"/>
  <c r="AE239" i="52" s="1"/>
  <c r="AD133" i="63" s="1"/>
  <c r="AD157" i="63" s="1"/>
  <c r="AE141" i="52"/>
  <c r="AE189" i="52" s="1"/>
  <c r="AE245" i="52" s="1"/>
  <c r="AD139" i="63" s="1"/>
  <c r="AD163" i="63" s="1"/>
  <c r="AD87" i="64" s="1"/>
  <c r="AD154" i="64" s="1"/>
  <c r="AE139" i="52"/>
  <c r="AE187" i="52" s="1"/>
  <c r="AE243" i="52" s="1"/>
  <c r="AD137" i="63" s="1"/>
  <c r="AD161" i="63" s="1"/>
  <c r="AD85" i="64" s="1"/>
  <c r="AD152" i="64" s="1"/>
  <c r="AE142" i="52"/>
  <c r="AE190" i="52" s="1"/>
  <c r="AE246" i="52" s="1"/>
  <c r="AD140" i="63" s="1"/>
  <c r="AD164" i="63" s="1"/>
  <c r="AD88" i="64" s="1"/>
  <c r="AD155" i="64" s="1"/>
  <c r="AE140" i="52"/>
  <c r="AE188" i="52" s="1"/>
  <c r="AE244" i="52" s="1"/>
  <c r="AD138" i="63" s="1"/>
  <c r="AD162" i="63" s="1"/>
  <c r="AE148" i="52"/>
  <c r="AE196" i="52" s="1"/>
  <c r="AE252" i="52" s="1"/>
  <c r="AD146" i="63" s="1"/>
  <c r="AD170" i="63" s="1"/>
  <c r="AD94" i="64" s="1"/>
  <c r="AD161" i="64" s="1"/>
  <c r="AE136" i="52"/>
  <c r="AE184" i="52" s="1"/>
  <c r="AE240" i="52" s="1"/>
  <c r="AD134" i="63" s="1"/>
  <c r="AD158" i="63" s="1"/>
  <c r="AE132" i="52"/>
  <c r="AE180" i="52" s="1"/>
  <c r="AE236" i="52" s="1"/>
  <c r="AD130" i="63" s="1"/>
  <c r="AD154" i="63" s="1"/>
  <c r="AE138" i="52"/>
  <c r="AE186" i="52" s="1"/>
  <c r="AE242" i="52" s="1"/>
  <c r="AD136" i="63" s="1"/>
  <c r="AD160" i="63" s="1"/>
  <c r="AE147" i="52"/>
  <c r="AE195" i="52" s="1"/>
  <c r="AE251" i="52" s="1"/>
  <c r="AD145" i="63" s="1"/>
  <c r="AD169" i="63" s="1"/>
  <c r="AE146" i="52"/>
  <c r="AE194" i="52" s="1"/>
  <c r="AE250" i="52" s="1"/>
  <c r="AD144" i="63" s="1"/>
  <c r="AD168" i="63" s="1"/>
  <c r="AE137" i="52"/>
  <c r="AE185" i="52" s="1"/>
  <c r="AE241" i="52" s="1"/>
  <c r="AD135" i="63" s="1"/>
  <c r="AD159" i="63" s="1"/>
  <c r="AE143" i="52"/>
  <c r="AE191" i="52" s="1"/>
  <c r="AE247" i="52" s="1"/>
  <c r="AD141" i="63" s="1"/>
  <c r="AD165" i="63" s="1"/>
  <c r="AD89" i="64" s="1"/>
  <c r="AD156" i="64" s="1"/>
  <c r="AE134" i="52"/>
  <c r="AE182" i="52" s="1"/>
  <c r="AE238" i="52" s="1"/>
  <c r="AD132" i="63" s="1"/>
  <c r="AD156" i="63" s="1"/>
  <c r="AE131" i="52"/>
  <c r="AE179" i="52" s="1"/>
  <c r="AE235" i="52" s="1"/>
  <c r="AE133" i="52"/>
  <c r="AE181" i="52" s="1"/>
  <c r="AE237" i="52" s="1"/>
  <c r="AD131" i="63" s="1"/>
  <c r="AD155" i="63" s="1"/>
  <c r="AE145" i="52"/>
  <c r="AE193" i="52" s="1"/>
  <c r="AE249" i="52" s="1"/>
  <c r="AD143" i="63" s="1"/>
  <c r="AD167" i="63" s="1"/>
  <c r="AE144" i="52"/>
  <c r="AE192" i="52" s="1"/>
  <c r="AE248" i="52" s="1"/>
  <c r="AD142" i="63" s="1"/>
  <c r="AD166" i="63" s="1"/>
  <c r="AD90" i="64" s="1"/>
  <c r="AD157" i="64" s="1"/>
  <c r="AN79" i="51"/>
  <c r="AI79" i="51"/>
  <c r="AM79" i="51"/>
  <c r="AJ79" i="51"/>
  <c r="AH79" i="51"/>
  <c r="AD28" i="51"/>
  <c r="AG79" i="51"/>
  <c r="AE79" i="51"/>
  <c r="AE104" i="51" s="1"/>
  <c r="AE86" i="52" s="1"/>
  <c r="AF79" i="51"/>
  <c r="AK79" i="51"/>
  <c r="AL79" i="51"/>
  <c r="E100" i="54"/>
  <c r="G100" i="54" s="1"/>
  <c r="H100" i="54" s="1"/>
  <c r="D77" i="54"/>
  <c r="F77" i="54" s="1"/>
  <c r="C111" i="54" s="1"/>
  <c r="E64" i="54"/>
  <c r="AA118" i="64"/>
  <c r="C47" i="64"/>
  <c r="I47" i="64" s="1"/>
  <c r="N47" i="64" s="1"/>
  <c r="O47" i="64" s="1"/>
  <c r="AA192" i="63"/>
  <c r="AA195" i="63" s="1"/>
  <c r="AA197" i="63"/>
  <c r="AA198" i="63" s="1"/>
  <c r="AE11" i="52"/>
  <c r="AF227" i="52" s="1"/>
  <c r="AF228" i="52" s="1"/>
  <c r="AE38" i="49"/>
  <c r="AE181" i="47"/>
  <c r="AE182" i="47" s="1"/>
  <c r="AE219" i="47" s="1"/>
  <c r="AE220" i="47" s="1"/>
  <c r="AE19" i="47" s="1"/>
  <c r="AE96" i="47"/>
  <c r="AE165" i="47" s="1"/>
  <c r="AE166" i="47" s="1"/>
  <c r="AE18" i="47" s="1"/>
  <c r="W120" i="67" s="1"/>
  <c r="AC153" i="63"/>
  <c r="AC147" i="63"/>
  <c r="AB190" i="63"/>
  <c r="AB182" i="63"/>
  <c r="AB183" i="63" s="1"/>
  <c r="AB95" i="64"/>
  <c r="AB144" i="64"/>
  <c r="AA162" i="64"/>
  <c r="AA122" i="64"/>
  <c r="AF177" i="51"/>
  <c r="AF201" i="51" s="1"/>
  <c r="AF87" i="53" s="1"/>
  <c r="AH177" i="51"/>
  <c r="AI177" i="51"/>
  <c r="AE125" i="51"/>
  <c r="AJ177" i="51"/>
  <c r="AL177" i="51"/>
  <c r="AK177" i="51"/>
  <c r="AG177" i="51"/>
  <c r="AM177" i="51"/>
  <c r="AN177" i="51"/>
  <c r="AO177" i="51"/>
  <c r="AC194" i="63"/>
  <c r="AC201" i="63" s="1"/>
  <c r="AC179" i="64" s="1"/>
  <c r="AC45" i="63"/>
  <c r="AG13" i="54"/>
  <c r="AG94" i="47"/>
  <c r="AG104" i="49"/>
  <c r="AG105" i="49" s="1"/>
  <c r="AG106" i="49" s="1"/>
  <c r="AG12" i="63"/>
  <c r="AG13" i="67" s="1"/>
  <c r="AC119" i="64"/>
  <c r="AC200" i="63"/>
  <c r="AC177" i="64" s="1"/>
  <c r="D49" i="64"/>
  <c r="H49" i="64" s="1"/>
  <c r="AD29" i="47"/>
  <c r="E50" i="64"/>
  <c r="AD30" i="47"/>
  <c r="AD22" i="54"/>
  <c r="E65" i="54" s="1"/>
  <c r="AE247" i="53"/>
  <c r="AD22" i="63"/>
  <c r="AF12" i="53"/>
  <c r="AF70" i="49"/>
  <c r="AF12" i="67"/>
  <c r="AE289" i="63"/>
  <c r="AE288" i="63"/>
  <c r="AE14" i="67"/>
  <c r="AC24" i="63"/>
  <c r="AC24" i="54"/>
  <c r="AC28" i="54" s="1"/>
  <c r="AC30" i="54" s="1"/>
  <c r="AD256" i="52"/>
  <c r="AB173" i="63"/>
  <c r="AB172" i="63"/>
  <c r="AB193" i="63"/>
  <c r="S113" i="67"/>
  <c r="S142" i="67" s="1"/>
  <c r="S136" i="67"/>
  <c r="S139" i="67" s="1"/>
  <c r="AF149" i="53"/>
  <c r="AF197" i="53" s="1"/>
  <c r="AF243" i="53" s="1"/>
  <c r="AF137" i="53"/>
  <c r="AF185" i="53" s="1"/>
  <c r="AF231" i="53" s="1"/>
  <c r="AF138" i="53"/>
  <c r="AF186" i="53" s="1"/>
  <c r="AF232" i="53" s="1"/>
  <c r="AE15" i="53"/>
  <c r="AF141" i="53"/>
  <c r="AF189" i="53" s="1"/>
  <c r="AF235" i="53" s="1"/>
  <c r="AF143" i="53"/>
  <c r="AF191" i="53" s="1"/>
  <c r="AF237" i="53" s="1"/>
  <c r="AF139" i="53"/>
  <c r="AF187" i="53" s="1"/>
  <c r="AF233" i="53" s="1"/>
  <c r="AF145" i="53"/>
  <c r="AF193" i="53" s="1"/>
  <c r="AF239" i="53" s="1"/>
  <c r="AF134" i="53"/>
  <c r="AF182" i="53" s="1"/>
  <c r="AF228" i="53" s="1"/>
  <c r="AF148" i="53"/>
  <c r="AF196" i="53" s="1"/>
  <c r="AF242" i="53" s="1"/>
  <c r="AF147" i="53"/>
  <c r="AF195" i="53" s="1"/>
  <c r="AF241" i="53" s="1"/>
  <c r="AF132" i="53"/>
  <c r="AF180" i="53" s="1"/>
  <c r="AF226" i="53" s="1"/>
  <c r="AF146" i="53"/>
  <c r="AF194" i="53" s="1"/>
  <c r="AF240" i="53" s="1"/>
  <c r="AF135" i="53"/>
  <c r="AF183" i="53" s="1"/>
  <c r="AF229" i="53" s="1"/>
  <c r="AF133" i="53"/>
  <c r="AF181" i="53" s="1"/>
  <c r="AF227" i="53" s="1"/>
  <c r="AF136" i="53"/>
  <c r="AF184" i="53" s="1"/>
  <c r="AF230" i="53" s="1"/>
  <c r="AF140" i="53"/>
  <c r="AF188" i="53" s="1"/>
  <c r="AF234" i="53" s="1"/>
  <c r="AF144" i="53"/>
  <c r="AF192" i="53" s="1"/>
  <c r="AF238" i="53" s="1"/>
  <c r="AF142" i="53"/>
  <c r="AF190" i="53" s="1"/>
  <c r="AF236" i="53" s="1"/>
  <c r="AE17" i="67"/>
  <c r="AE134" i="64"/>
  <c r="AH59" i="50"/>
  <c r="AH77" i="50" s="1"/>
  <c r="AH55" i="50"/>
  <c r="AJ106" i="50"/>
  <c r="AJ111" i="50"/>
  <c r="AJ113" i="50" s="1"/>
  <c r="AJ107" i="50"/>
  <c r="AJ131" i="50"/>
  <c r="AJ135" i="50"/>
  <c r="AJ130" i="50"/>
  <c r="AH56" i="50"/>
  <c r="AJ95" i="50"/>
  <c r="AJ94" i="50"/>
  <c r="AJ99" i="50"/>
  <c r="AJ68" i="50"/>
  <c r="AK64" i="50" s="1"/>
  <c r="AB180" i="64" l="1"/>
  <c r="AB50" i="63"/>
  <c r="H98" i="54"/>
  <c r="S143" i="67"/>
  <c r="AE290" i="63"/>
  <c r="F66" i="54"/>
  <c r="H99" i="54"/>
  <c r="F86" i="54"/>
  <c r="AF150" i="53"/>
  <c r="AF245" i="53"/>
  <c r="AE22" i="63" s="1"/>
  <c r="D86" i="54"/>
  <c r="F87" i="54" s="1"/>
  <c r="AC44" i="63"/>
  <c r="AC48" i="63" s="1"/>
  <c r="AC28" i="63"/>
  <c r="AC148" i="63"/>
  <c r="G102" i="54"/>
  <c r="H101" i="54"/>
  <c r="AA163" i="64"/>
  <c r="T163" i="67"/>
  <c r="AH139" i="50"/>
  <c r="AH91" i="49" s="1"/>
  <c r="AH92" i="49" s="1"/>
  <c r="AE22" i="54"/>
  <c r="AD26" i="54"/>
  <c r="AD26" i="63"/>
  <c r="AC120" i="64"/>
  <c r="AC248" i="63"/>
  <c r="AC250" i="63" s="1"/>
  <c r="AA169" i="64"/>
  <c r="AA170" i="64" s="1"/>
  <c r="AA125" i="64"/>
  <c r="AA124" i="64"/>
  <c r="AA123" i="64"/>
  <c r="V121" i="67"/>
  <c r="V128" i="67" s="1"/>
  <c r="V137" i="67" s="1"/>
  <c r="AE104" i="64"/>
  <c r="AD91" i="64"/>
  <c r="AD158" i="64" s="1"/>
  <c r="AD92" i="67"/>
  <c r="AD129" i="63"/>
  <c r="AE254" i="52"/>
  <c r="AD93" i="67"/>
  <c r="U111" i="67" s="1"/>
  <c r="AD92" i="64"/>
  <c r="AD159" i="64" s="1"/>
  <c r="AD84" i="64"/>
  <c r="AD151" i="64" s="1"/>
  <c r="AD90" i="67"/>
  <c r="AD181" i="63"/>
  <c r="AD88" i="67"/>
  <c r="U106" i="67" s="1"/>
  <c r="AD82" i="64"/>
  <c r="AD149" i="64" s="1"/>
  <c r="AD180" i="63"/>
  <c r="AD86" i="64"/>
  <c r="AD153" i="64" s="1"/>
  <c r="AD91" i="67"/>
  <c r="U109" i="67" s="1"/>
  <c r="AD87" i="67"/>
  <c r="U105" i="67" s="1"/>
  <c r="AD81" i="64"/>
  <c r="AD148" i="64" s="1"/>
  <c r="AG12" i="54"/>
  <c r="AG93" i="47"/>
  <c r="AG69" i="49"/>
  <c r="AG11" i="63"/>
  <c r="AF83" i="50"/>
  <c r="AF25" i="49" s="1"/>
  <c r="AF26" i="49" s="1"/>
  <c r="AF71" i="49"/>
  <c r="AF14" i="53" s="1"/>
  <c r="AF13" i="53"/>
  <c r="AF116" i="51"/>
  <c r="AF117" i="51" s="1"/>
  <c r="AF124" i="51" s="1"/>
  <c r="AF72" i="49"/>
  <c r="AC180" i="64"/>
  <c r="M49" i="64"/>
  <c r="AG122" i="53"/>
  <c r="AG111" i="53"/>
  <c r="AG112" i="53"/>
  <c r="AG106" i="53"/>
  <c r="AG117" i="53"/>
  <c r="AG121" i="53"/>
  <c r="AG109" i="53"/>
  <c r="AG108" i="53"/>
  <c r="AG107" i="53"/>
  <c r="AG119" i="53"/>
  <c r="AG118" i="53"/>
  <c r="AG110" i="53"/>
  <c r="AG113" i="53"/>
  <c r="AG114" i="53"/>
  <c r="AG116" i="53"/>
  <c r="AG123" i="53"/>
  <c r="AG115" i="53"/>
  <c r="AG120" i="53"/>
  <c r="AB162" i="64"/>
  <c r="AB122" i="64"/>
  <c r="AB118" i="64"/>
  <c r="AB192" i="63"/>
  <c r="AB195" i="63" s="1"/>
  <c r="C48" i="64"/>
  <c r="I48" i="64" s="1"/>
  <c r="N48" i="64" s="1"/>
  <c r="O48" i="64" s="1"/>
  <c r="AB197" i="63"/>
  <c r="AB198" i="63" s="1"/>
  <c r="AC178" i="63"/>
  <c r="AC77" i="64"/>
  <c r="AC83" i="67"/>
  <c r="T101" i="67" s="1"/>
  <c r="AC171" i="63"/>
  <c r="AE27" i="47"/>
  <c r="AE103" i="64"/>
  <c r="AE111" i="64" s="1"/>
  <c r="AE39" i="49"/>
  <c r="AE13" i="52" s="1"/>
  <c r="AE12" i="52"/>
  <c r="AE19" i="51"/>
  <c r="AE20" i="51" s="1"/>
  <c r="AE27" i="51" s="1"/>
  <c r="AE40" i="49"/>
  <c r="AF121" i="52"/>
  <c r="AF114" i="52"/>
  <c r="AF112" i="52"/>
  <c r="AF116" i="52"/>
  <c r="AF115" i="52"/>
  <c r="AF108" i="52"/>
  <c r="AF106" i="52"/>
  <c r="AF119" i="52"/>
  <c r="AF117" i="52"/>
  <c r="AF107" i="52"/>
  <c r="AF105" i="52"/>
  <c r="AF120" i="52"/>
  <c r="AF110" i="52"/>
  <c r="AF118" i="52"/>
  <c r="AF122" i="52"/>
  <c r="AF113" i="52"/>
  <c r="AF109" i="52"/>
  <c r="AF111" i="52"/>
  <c r="AD85" i="67"/>
  <c r="U103" i="67" s="1"/>
  <c r="AD79" i="64"/>
  <c r="AD146" i="64" s="1"/>
  <c r="AD86" i="67"/>
  <c r="AD179" i="63"/>
  <c r="AD80" i="64"/>
  <c r="AD147" i="64" s="1"/>
  <c r="AD83" i="64"/>
  <c r="AD150" i="64" s="1"/>
  <c r="AD89" i="67"/>
  <c r="AD93" i="64"/>
  <c r="AD160" i="64" s="1"/>
  <c r="AD94" i="67"/>
  <c r="U112" i="67" s="1"/>
  <c r="AD78" i="64"/>
  <c r="AD145" i="64" s="1"/>
  <c r="AD84" i="67"/>
  <c r="U102" i="67" s="1"/>
  <c r="AJ115" i="50"/>
  <c r="AI52" i="50"/>
  <c r="AI55" i="50" s="1"/>
  <c r="AJ132" i="50"/>
  <c r="AK128" i="50" s="1"/>
  <c r="AK66" i="50"/>
  <c r="AK71" i="50"/>
  <c r="AK73" i="50" s="1"/>
  <c r="AK67" i="50"/>
  <c r="AJ96" i="50"/>
  <c r="AK92" i="50" s="1"/>
  <c r="AJ110" i="50"/>
  <c r="AJ108" i="50"/>
  <c r="AK104" i="50" s="1"/>
  <c r="AC47" i="63" l="1"/>
  <c r="AD191" i="63"/>
  <c r="AD119" i="64" s="1"/>
  <c r="AF248" i="43"/>
  <c r="D87" i="54"/>
  <c r="AC30" i="63"/>
  <c r="AC41" i="63"/>
  <c r="AC40" i="63"/>
  <c r="AF247" i="53"/>
  <c r="G77" i="54"/>
  <c r="G86" i="54"/>
  <c r="G78" i="54"/>
  <c r="C113" i="54"/>
  <c r="G81" i="54"/>
  <c r="G83" i="54"/>
  <c r="G74" i="54"/>
  <c r="G75" i="54"/>
  <c r="G84" i="54"/>
  <c r="G82" i="54"/>
  <c r="G85" i="54"/>
  <c r="G76" i="54"/>
  <c r="G80" i="54"/>
  <c r="G73" i="54"/>
  <c r="G79" i="54"/>
  <c r="U107" i="67"/>
  <c r="V107" i="67"/>
  <c r="U108" i="67"/>
  <c r="V108" i="67"/>
  <c r="AH119" i="50"/>
  <c r="AH57" i="49" s="1"/>
  <c r="AH58" i="49" s="1"/>
  <c r="D50" i="64"/>
  <c r="H50" i="64" s="1"/>
  <c r="M50" i="64" s="1"/>
  <c r="AD200" i="63"/>
  <c r="AD177" i="64" s="1"/>
  <c r="AF136" i="52"/>
  <c r="AF184" i="52" s="1"/>
  <c r="AF141" i="52"/>
  <c r="AF189" i="52" s="1"/>
  <c r="AF131" i="52"/>
  <c r="AF179" i="52" s="1"/>
  <c r="AF148" i="52"/>
  <c r="AF196" i="52" s="1"/>
  <c r="AF143" i="52"/>
  <c r="AF191" i="52" s="1"/>
  <c r="AF134" i="52"/>
  <c r="AF182" i="52" s="1"/>
  <c r="AF140" i="52"/>
  <c r="AF188" i="52" s="1"/>
  <c r="AF137" i="52"/>
  <c r="AF185" i="52" s="1"/>
  <c r="AE14" i="52"/>
  <c r="AF132" i="52"/>
  <c r="AF180" i="52" s="1"/>
  <c r="AF135" i="52"/>
  <c r="AF183" i="52" s="1"/>
  <c r="AF138" i="52"/>
  <c r="AF186" i="52" s="1"/>
  <c r="AF139" i="52"/>
  <c r="AF187" i="52" s="1"/>
  <c r="AF133" i="52"/>
  <c r="AF181" i="52" s="1"/>
  <c r="AF144" i="52"/>
  <c r="AF192" i="52" s="1"/>
  <c r="AF147" i="52"/>
  <c r="AF195" i="52" s="1"/>
  <c r="AF142" i="52"/>
  <c r="AF190" i="52" s="1"/>
  <c r="AF146" i="52"/>
  <c r="AF194" i="52" s="1"/>
  <c r="AF145" i="52"/>
  <c r="AF193" i="52" s="1"/>
  <c r="AC173" i="63"/>
  <c r="AC172" i="63"/>
  <c r="AC144" i="64"/>
  <c r="AC95" i="64"/>
  <c r="AB169" i="64"/>
  <c r="AB170" i="64" s="1"/>
  <c r="AB125" i="64"/>
  <c r="AB123" i="64"/>
  <c r="AB124" i="64"/>
  <c r="Q49" i="64"/>
  <c r="AN178" i="51"/>
  <c r="AM178" i="51"/>
  <c r="AO178" i="51"/>
  <c r="AK178" i="51"/>
  <c r="AH178" i="51"/>
  <c r="AF125" i="51"/>
  <c r="AL178" i="51"/>
  <c r="AI178" i="51"/>
  <c r="AP178" i="51"/>
  <c r="AJ178" i="51"/>
  <c r="AG178" i="51"/>
  <c r="AG201" i="51" s="1"/>
  <c r="AG87" i="53" s="1"/>
  <c r="AG159" i="53"/>
  <c r="AG207" i="53" s="1"/>
  <c r="AG167" i="53"/>
  <c r="AG215" i="53" s="1"/>
  <c r="AG168" i="53"/>
  <c r="AG216" i="53" s="1"/>
  <c r="AG158" i="53"/>
  <c r="AG206" i="53" s="1"/>
  <c r="AG160" i="53"/>
  <c r="AG208" i="53" s="1"/>
  <c r="AG155" i="53"/>
  <c r="AG203" i="53" s="1"/>
  <c r="AG171" i="53"/>
  <c r="AG219" i="53" s="1"/>
  <c r="AG170" i="53"/>
  <c r="AG218" i="53" s="1"/>
  <c r="AG157" i="53"/>
  <c r="AG205" i="53" s="1"/>
  <c r="AG169" i="53"/>
  <c r="AG217" i="53" s="1"/>
  <c r="AG156" i="53"/>
  <c r="AG204" i="53" s="1"/>
  <c r="AG164" i="53"/>
  <c r="AG212" i="53" s="1"/>
  <c r="AG165" i="53"/>
  <c r="AG213" i="53" s="1"/>
  <c r="AG163" i="53"/>
  <c r="AG211" i="53" s="1"/>
  <c r="AG162" i="53"/>
  <c r="AG210" i="53" s="1"/>
  <c r="AG161" i="53"/>
  <c r="AG209" i="53" s="1"/>
  <c r="AG166" i="53"/>
  <c r="AG214" i="53" s="1"/>
  <c r="AG154" i="53"/>
  <c r="AG202" i="53" s="1"/>
  <c r="AG12" i="53"/>
  <c r="AG70" i="49"/>
  <c r="AG71" i="49" s="1"/>
  <c r="AG14" i="53" s="1"/>
  <c r="AD153" i="63"/>
  <c r="AD147" i="63"/>
  <c r="AD194" i="63"/>
  <c r="AD45" i="63"/>
  <c r="AH104" i="49"/>
  <c r="AH105" i="49" s="1"/>
  <c r="AH106" i="49" s="1"/>
  <c r="AH13" i="54"/>
  <c r="AH12" i="63"/>
  <c r="AH13" i="67" s="1"/>
  <c r="AH94" i="47"/>
  <c r="AI80" i="51"/>
  <c r="AL80" i="51"/>
  <c r="AJ80" i="51"/>
  <c r="AH80" i="51"/>
  <c r="AK80" i="51"/>
  <c r="AF80" i="51"/>
  <c r="AF104" i="51" s="1"/>
  <c r="AF86" i="52" s="1"/>
  <c r="AN80" i="51"/>
  <c r="AO80" i="51"/>
  <c r="AE28" i="51"/>
  <c r="AG80" i="51"/>
  <c r="AM80" i="51"/>
  <c r="AF159" i="52"/>
  <c r="AF207" i="52" s="1"/>
  <c r="AF164" i="52"/>
  <c r="AF212" i="52" s="1"/>
  <c r="AF154" i="52"/>
  <c r="AF202" i="52" s="1"/>
  <c r="AF157" i="52"/>
  <c r="AF205" i="52" s="1"/>
  <c r="AF168" i="52"/>
  <c r="AF216" i="52" s="1"/>
  <c r="AF169" i="52"/>
  <c r="AF217" i="52" s="1"/>
  <c r="AF165" i="52"/>
  <c r="AF213" i="52" s="1"/>
  <c r="AF155" i="52"/>
  <c r="AF203" i="52" s="1"/>
  <c r="AF162" i="52"/>
  <c r="AF210" i="52" s="1"/>
  <c r="AF153" i="52"/>
  <c r="AF201" i="52" s="1"/>
  <c r="AF167" i="52"/>
  <c r="AF215" i="52" s="1"/>
  <c r="AF158" i="52"/>
  <c r="AF206" i="52" s="1"/>
  <c r="AF163" i="52"/>
  <c r="AF211" i="52" s="1"/>
  <c r="AF170" i="52"/>
  <c r="AF218" i="52" s="1"/>
  <c r="AF160" i="52"/>
  <c r="AF208" i="52" s="1"/>
  <c r="AF156" i="52"/>
  <c r="AF204" i="52" s="1"/>
  <c r="AF166" i="52"/>
  <c r="AF214" i="52" s="1"/>
  <c r="AF161" i="52"/>
  <c r="AF209" i="52" s="1"/>
  <c r="E51" i="64"/>
  <c r="AE29" i="47"/>
  <c r="AE30" i="47"/>
  <c r="T136" i="67"/>
  <c r="T139" i="67" s="1"/>
  <c r="T113" i="67"/>
  <c r="T142" i="67" s="1"/>
  <c r="AC190" i="63"/>
  <c r="AC193" i="63" s="1"/>
  <c r="AC182" i="63"/>
  <c r="AC183" i="63" s="1"/>
  <c r="AB163" i="64"/>
  <c r="AC52" i="63"/>
  <c r="AC50" i="63"/>
  <c r="AF15" i="53"/>
  <c r="AG133" i="53"/>
  <c r="AG181" i="53" s="1"/>
  <c r="AG141" i="53"/>
  <c r="AG189" i="53" s="1"/>
  <c r="AG235" i="53" s="1"/>
  <c r="AG138" i="53"/>
  <c r="AG186" i="53" s="1"/>
  <c r="AG144" i="53"/>
  <c r="AG192" i="53" s="1"/>
  <c r="AG134" i="53"/>
  <c r="AG182" i="53" s="1"/>
  <c r="AG228" i="53" s="1"/>
  <c r="AG137" i="53"/>
  <c r="AG185" i="53" s="1"/>
  <c r="AG146" i="53"/>
  <c r="AG194" i="53" s="1"/>
  <c r="AG240" i="53" s="1"/>
  <c r="AG143" i="53"/>
  <c r="AG191" i="53" s="1"/>
  <c r="AG136" i="53"/>
  <c r="AG184" i="53" s="1"/>
  <c r="AG230" i="53" s="1"/>
  <c r="AG148" i="53"/>
  <c r="AG196" i="53" s="1"/>
  <c r="AG242" i="53" s="1"/>
  <c r="AG142" i="53"/>
  <c r="AG190" i="53" s="1"/>
  <c r="AG236" i="53" s="1"/>
  <c r="AG139" i="53"/>
  <c r="AG187" i="53" s="1"/>
  <c r="AG233" i="53" s="1"/>
  <c r="AG145" i="53"/>
  <c r="AG193" i="53" s="1"/>
  <c r="AG140" i="53"/>
  <c r="AG188" i="53" s="1"/>
  <c r="AG149" i="53"/>
  <c r="AG197" i="53" s="1"/>
  <c r="AG243" i="53" s="1"/>
  <c r="AG132" i="53"/>
  <c r="AG180" i="53" s="1"/>
  <c r="AG135" i="53"/>
  <c r="AG183" i="53" s="1"/>
  <c r="AG229" i="53" s="1"/>
  <c r="AG147" i="53"/>
  <c r="AG195" i="53" s="1"/>
  <c r="AG241" i="53" s="1"/>
  <c r="AF37" i="49"/>
  <c r="AF92" i="47"/>
  <c r="AF28" i="49"/>
  <c r="AF13" i="63"/>
  <c r="AF14" i="63" s="1"/>
  <c r="AF14" i="54"/>
  <c r="AF15" i="54" s="1"/>
  <c r="AF16" i="54" s="1"/>
  <c r="AG12" i="67"/>
  <c r="AD24" i="54"/>
  <c r="AD28" i="54" s="1"/>
  <c r="AD30" i="54" s="1"/>
  <c r="AE256" i="52"/>
  <c r="AD24" i="63"/>
  <c r="AI59" i="50"/>
  <c r="AI77" i="50" s="1"/>
  <c r="AI54" i="50"/>
  <c r="AI56" i="50" s="1"/>
  <c r="AK95" i="50"/>
  <c r="AK94" i="50"/>
  <c r="AK99" i="50"/>
  <c r="AK111" i="50"/>
  <c r="AK113" i="50" s="1"/>
  <c r="AK107" i="50"/>
  <c r="AK106" i="50"/>
  <c r="AK68" i="50"/>
  <c r="AL64" i="50" s="1"/>
  <c r="AK131" i="50"/>
  <c r="AK135" i="50"/>
  <c r="AK130" i="50"/>
  <c r="AG227" i="53" l="1"/>
  <c r="AG239" i="53"/>
  <c r="AG226" i="53"/>
  <c r="U135" i="67"/>
  <c r="AG232" i="53"/>
  <c r="AG231" i="53"/>
  <c r="T143" i="67"/>
  <c r="U163" i="67"/>
  <c r="AD44" i="63"/>
  <c r="AD28" i="63"/>
  <c r="C114" i="54"/>
  <c r="D113" i="54"/>
  <c r="D111" i="54"/>
  <c r="D112" i="54"/>
  <c r="AD148" i="63"/>
  <c r="AF15" i="67"/>
  <c r="AF16" i="63"/>
  <c r="AG234" i="53"/>
  <c r="AG237" i="53"/>
  <c r="AG238" i="53"/>
  <c r="Q50" i="64"/>
  <c r="AG150" i="53"/>
  <c r="AI139" i="50"/>
  <c r="AI91" i="49" s="1"/>
  <c r="AI92" i="49" s="1"/>
  <c r="AG83" i="50"/>
  <c r="AG25" i="49" s="1"/>
  <c r="AG26" i="49" s="1"/>
  <c r="AF38" i="49"/>
  <c r="AF39" i="49" s="1"/>
  <c r="AF13" i="52" s="1"/>
  <c r="AF11" i="52"/>
  <c r="AG227" i="52" s="1"/>
  <c r="AG228" i="52" s="1"/>
  <c r="AE26" i="54"/>
  <c r="AE26" i="63"/>
  <c r="AG109" i="52"/>
  <c r="AG113" i="52"/>
  <c r="AG118" i="52"/>
  <c r="AG105" i="52"/>
  <c r="AG121" i="52"/>
  <c r="AG115" i="52"/>
  <c r="AG116" i="52"/>
  <c r="AG122" i="52"/>
  <c r="AG110" i="52"/>
  <c r="AG108" i="52"/>
  <c r="AG117" i="52"/>
  <c r="AG119" i="52"/>
  <c r="AG111" i="52"/>
  <c r="AG114" i="52"/>
  <c r="AG120" i="52"/>
  <c r="AG107" i="52"/>
  <c r="AG106" i="52"/>
  <c r="AG112" i="52"/>
  <c r="AH156" i="53"/>
  <c r="AH204" i="53" s="1"/>
  <c r="AH165" i="53"/>
  <c r="AH213" i="53" s="1"/>
  <c r="AH160" i="53"/>
  <c r="AH208" i="53" s="1"/>
  <c r="AH167" i="53"/>
  <c r="AH215" i="53" s="1"/>
  <c r="AH169" i="53"/>
  <c r="AH217" i="53" s="1"/>
  <c r="AH157" i="53"/>
  <c r="AH205" i="53" s="1"/>
  <c r="AH166" i="53"/>
  <c r="AH214" i="53" s="1"/>
  <c r="AH155" i="53"/>
  <c r="AH203" i="53" s="1"/>
  <c r="AH159" i="53"/>
  <c r="AH207" i="53" s="1"/>
  <c r="AH164" i="53"/>
  <c r="AH212" i="53" s="1"/>
  <c r="AH162" i="53"/>
  <c r="AH210" i="53" s="1"/>
  <c r="AH158" i="53"/>
  <c r="AH206" i="53" s="1"/>
  <c r="AH154" i="53"/>
  <c r="AH202" i="53" s="1"/>
  <c r="AH161" i="53"/>
  <c r="AH209" i="53" s="1"/>
  <c r="AH163" i="53"/>
  <c r="AH211" i="53" s="1"/>
  <c r="AH171" i="53"/>
  <c r="AH219" i="53" s="1"/>
  <c r="AH168" i="53"/>
  <c r="AH216" i="53" s="1"/>
  <c r="AH170" i="53"/>
  <c r="AH218" i="53" s="1"/>
  <c r="AC162" i="64"/>
  <c r="AC122" i="64"/>
  <c r="AF250" i="52"/>
  <c r="AE144" i="63" s="1"/>
  <c r="AE168" i="63" s="1"/>
  <c r="AF251" i="52"/>
  <c r="AE145" i="63" s="1"/>
  <c r="AE169" i="63" s="1"/>
  <c r="AF237" i="52"/>
  <c r="AE131" i="63" s="1"/>
  <c r="AE155" i="63" s="1"/>
  <c r="AF242" i="52"/>
  <c r="AE136" i="63" s="1"/>
  <c r="AE160" i="63" s="1"/>
  <c r="AF236" i="52"/>
  <c r="AE130" i="63" s="1"/>
  <c r="AE154" i="63" s="1"/>
  <c r="AF241" i="52"/>
  <c r="AE135" i="63" s="1"/>
  <c r="AE159" i="63" s="1"/>
  <c r="AF238" i="52"/>
  <c r="AE132" i="63" s="1"/>
  <c r="AE156" i="63" s="1"/>
  <c r="AF252" i="52"/>
  <c r="AE146" i="63" s="1"/>
  <c r="AE170" i="63" s="1"/>
  <c r="AE94" i="64" s="1"/>
  <c r="AE161" i="64" s="1"/>
  <c r="AF245" i="52"/>
  <c r="AE139" i="63" s="1"/>
  <c r="AE163" i="63" s="1"/>
  <c r="AE87" i="64" s="1"/>
  <c r="AE154" i="64" s="1"/>
  <c r="AH11" i="63"/>
  <c r="AH93" i="47"/>
  <c r="AH12" i="54"/>
  <c r="AH69" i="49"/>
  <c r="AD47" i="63"/>
  <c r="AD48" i="63"/>
  <c r="AF14" i="67"/>
  <c r="AF288" i="63"/>
  <c r="AF290" i="63" s="1"/>
  <c r="AF289" i="63"/>
  <c r="AF96" i="47"/>
  <c r="AF165" i="47" s="1"/>
  <c r="AF166" i="47" s="1"/>
  <c r="AF18" i="47" s="1"/>
  <c r="X120" i="67" s="1"/>
  <c r="AF181" i="47"/>
  <c r="AF182" i="47" s="1"/>
  <c r="AF219" i="47" s="1"/>
  <c r="AF220" i="47" s="1"/>
  <c r="AF19" i="47" s="1"/>
  <c r="AC118" i="64"/>
  <c r="C49" i="64"/>
  <c r="I49" i="64" s="1"/>
  <c r="N49" i="64" s="1"/>
  <c r="O49" i="64" s="1"/>
  <c r="AC192" i="63"/>
  <c r="AC195" i="63" s="1"/>
  <c r="AC197" i="63"/>
  <c r="AC198" i="63" s="1"/>
  <c r="AD120" i="64"/>
  <c r="AD248" i="63"/>
  <c r="AD250" i="63" s="1"/>
  <c r="AD77" i="64"/>
  <c r="AD178" i="63"/>
  <c r="AD171" i="63"/>
  <c r="AD83" i="67"/>
  <c r="U101" i="67" s="1"/>
  <c r="AG13" i="53"/>
  <c r="AG116" i="51"/>
  <c r="AG117" i="51" s="1"/>
  <c r="AG124" i="51" s="1"/>
  <c r="AG72" i="49"/>
  <c r="AH115" i="53"/>
  <c r="AH122" i="53"/>
  <c r="AH148" i="53" s="1"/>
  <c r="AH196" i="53" s="1"/>
  <c r="AH111" i="53"/>
  <c r="AH120" i="53"/>
  <c r="AH107" i="53"/>
  <c r="AH113" i="53"/>
  <c r="AH139" i="53" s="1"/>
  <c r="AH187" i="53" s="1"/>
  <c r="AH121" i="53"/>
  <c r="AH123" i="53"/>
  <c r="AH108" i="53"/>
  <c r="AH109" i="53"/>
  <c r="AH135" i="53" s="1"/>
  <c r="AH183" i="53" s="1"/>
  <c r="AH118" i="53"/>
  <c r="AH117" i="53"/>
  <c r="AH106" i="53"/>
  <c r="AH114" i="53"/>
  <c r="AH140" i="53" s="1"/>
  <c r="AH188" i="53" s="1"/>
  <c r="AH116" i="53"/>
  <c r="AH112" i="53"/>
  <c r="AH138" i="53" s="1"/>
  <c r="AH186" i="53" s="1"/>
  <c r="AH110" i="53"/>
  <c r="AH119" i="53"/>
  <c r="AH145" i="53" s="1"/>
  <c r="AH193" i="53" s="1"/>
  <c r="AF249" i="52"/>
  <c r="AE143" i="63" s="1"/>
  <c r="AE167" i="63" s="1"/>
  <c r="AF246" i="52"/>
  <c r="AE140" i="63" s="1"/>
  <c r="AE164" i="63" s="1"/>
  <c r="AE88" i="64" s="1"/>
  <c r="AE155" i="64" s="1"/>
  <c r="AF248" i="52"/>
  <c r="AE142" i="63" s="1"/>
  <c r="AE166" i="63" s="1"/>
  <c r="AE90" i="64" s="1"/>
  <c r="AE157" i="64" s="1"/>
  <c r="AF243" i="52"/>
  <c r="AE137" i="63" s="1"/>
  <c r="AE161" i="63" s="1"/>
  <c r="AE85" i="64" s="1"/>
  <c r="AE152" i="64" s="1"/>
  <c r="AF239" i="52"/>
  <c r="AE133" i="63" s="1"/>
  <c r="AE157" i="63" s="1"/>
  <c r="AF244" i="52"/>
  <c r="AE138" i="63" s="1"/>
  <c r="AE162" i="63" s="1"/>
  <c r="AF247" i="52"/>
  <c r="AE141" i="63" s="1"/>
  <c r="AE165" i="63" s="1"/>
  <c r="AE89" i="64" s="1"/>
  <c r="AE156" i="64" s="1"/>
  <c r="AF235" i="52"/>
  <c r="AF240" i="52"/>
  <c r="AE134" i="63" s="1"/>
  <c r="AE158" i="63" s="1"/>
  <c r="AD201" i="63"/>
  <c r="AD179" i="64" s="1"/>
  <c r="AD180" i="64" s="1"/>
  <c r="AJ52" i="50"/>
  <c r="AJ59" i="50" s="1"/>
  <c r="AJ77" i="50" s="1"/>
  <c r="AL67" i="50"/>
  <c r="AL66" i="50"/>
  <c r="AL71" i="50"/>
  <c r="AL73" i="50" s="1"/>
  <c r="AK115" i="50"/>
  <c r="AK132" i="50"/>
  <c r="AL128" i="50" s="1"/>
  <c r="AK110" i="50"/>
  <c r="AK108" i="50"/>
  <c r="AL104" i="50" s="1"/>
  <c r="AK96" i="50"/>
  <c r="AL92" i="50" s="1"/>
  <c r="AG245" i="53" l="1"/>
  <c r="AF22" i="54" s="1"/>
  <c r="AF134" i="64"/>
  <c r="AF17" i="67"/>
  <c r="AD30" i="63"/>
  <c r="AD40" i="63"/>
  <c r="AD41" i="63"/>
  <c r="AH143" i="53"/>
  <c r="AH191" i="53" s="1"/>
  <c r="AH149" i="53"/>
  <c r="AH197" i="53" s="1"/>
  <c r="AH146" i="53"/>
  <c r="AH194" i="53" s="1"/>
  <c r="AH240" i="53" s="1"/>
  <c r="AH136" i="53"/>
  <c r="AH184" i="53" s="1"/>
  <c r="AH230" i="53" s="1"/>
  <c r="AH142" i="53"/>
  <c r="AH190" i="53" s="1"/>
  <c r="AH132" i="53"/>
  <c r="AH180" i="53" s="1"/>
  <c r="AH226" i="53" s="1"/>
  <c r="AH144" i="53"/>
  <c r="AH192" i="53" s="1"/>
  <c r="AH238" i="53" s="1"/>
  <c r="AH134" i="53"/>
  <c r="AH182" i="53" s="1"/>
  <c r="AH228" i="53" s="1"/>
  <c r="AH147" i="53"/>
  <c r="AH195" i="53" s="1"/>
  <c r="AH133" i="53"/>
  <c r="AH181" i="53" s="1"/>
  <c r="AH227" i="53" s="1"/>
  <c r="AH137" i="53"/>
  <c r="AH185" i="53" s="1"/>
  <c r="AH231" i="53" s="1"/>
  <c r="AI119" i="50"/>
  <c r="AI57" i="49" s="1"/>
  <c r="AI58" i="49" s="1"/>
  <c r="AH83" i="50"/>
  <c r="AH25" i="49" s="1"/>
  <c r="AH26" i="49" s="1"/>
  <c r="AE88" i="67"/>
  <c r="V106" i="67" s="1"/>
  <c r="AE180" i="63"/>
  <c r="AE82" i="64"/>
  <c r="AE149" i="64" s="1"/>
  <c r="AE87" i="67"/>
  <c r="V105" i="67" s="1"/>
  <c r="AE81" i="64"/>
  <c r="AE148" i="64" s="1"/>
  <c r="AE92" i="67"/>
  <c r="V110" i="67" s="1"/>
  <c r="AE91" i="64"/>
  <c r="AE158" i="64" s="1"/>
  <c r="AG15" i="53"/>
  <c r="AH141" i="53"/>
  <c r="AH189" i="53" s="1"/>
  <c r="AH235" i="53" s="1"/>
  <c r="AD172" i="63"/>
  <c r="AD173" i="63"/>
  <c r="AD144" i="64"/>
  <c r="AD95" i="64"/>
  <c r="W121" i="67"/>
  <c r="W128" i="67" s="1"/>
  <c r="W137" i="67" s="1"/>
  <c r="AF104" i="64"/>
  <c r="AH12" i="67"/>
  <c r="AE89" i="67"/>
  <c r="AE83" i="64"/>
  <c r="AE150" i="64" s="1"/>
  <c r="AE84" i="64"/>
  <c r="AE151" i="64" s="1"/>
  <c r="AE90" i="67"/>
  <c r="AE181" i="63"/>
  <c r="AE93" i="64"/>
  <c r="AE160" i="64" s="1"/>
  <c r="AE94" i="67"/>
  <c r="V112" i="67" s="1"/>
  <c r="AC169" i="64"/>
  <c r="AC170" i="64" s="1"/>
  <c r="AC123" i="64"/>
  <c r="AC124" i="64"/>
  <c r="AC125" i="64"/>
  <c r="AH242" i="53"/>
  <c r="AH243" i="53"/>
  <c r="AH233" i="53"/>
  <c r="AH236" i="53"/>
  <c r="AH229" i="53"/>
  <c r="AH239" i="53"/>
  <c r="AH237" i="53"/>
  <c r="AE194" i="63"/>
  <c r="AE45" i="63"/>
  <c r="AG28" i="49"/>
  <c r="AG14" i="54"/>
  <c r="AG15" i="54" s="1"/>
  <c r="AG16" i="54" s="1"/>
  <c r="AG92" i="47"/>
  <c r="AG13" i="63"/>
  <c r="AG14" i="63" s="1"/>
  <c r="AG37" i="49"/>
  <c r="AI94" i="47"/>
  <c r="AI104" i="49"/>
  <c r="AI105" i="49" s="1"/>
  <c r="AI106" i="49" s="1"/>
  <c r="AI13" i="54"/>
  <c r="AI12" i="63"/>
  <c r="AI13" i="67" s="1"/>
  <c r="AE129" i="63"/>
  <c r="AF254" i="52"/>
  <c r="AE86" i="64"/>
  <c r="AE153" i="64" s="1"/>
  <c r="AE91" i="67"/>
  <c r="V109" i="67" s="1"/>
  <c r="AJ179" i="51"/>
  <c r="AP179" i="51"/>
  <c r="AH179" i="51"/>
  <c r="AH201" i="51" s="1"/>
  <c r="AH87" i="53" s="1"/>
  <c r="AK179" i="51"/>
  <c r="AG125" i="51"/>
  <c r="AQ179" i="51"/>
  <c r="AL179" i="51"/>
  <c r="AI179" i="51"/>
  <c r="AO179" i="51"/>
  <c r="AM179" i="51"/>
  <c r="AN179" i="51"/>
  <c r="U136" i="67"/>
  <c r="U139" i="67" s="1"/>
  <c r="U113" i="67"/>
  <c r="U142" i="67" s="1"/>
  <c r="AD190" i="63"/>
  <c r="AD182" i="63"/>
  <c r="AD183" i="63" s="1"/>
  <c r="AF103" i="64"/>
  <c r="AF27" i="47"/>
  <c r="AD50" i="63"/>
  <c r="AD52" i="63"/>
  <c r="AH12" i="53"/>
  <c r="AH70" i="49"/>
  <c r="AE86" i="67"/>
  <c r="V104" i="67" s="1"/>
  <c r="AE179" i="63"/>
  <c r="AE80" i="64"/>
  <c r="AE147" i="64" s="1"/>
  <c r="AE84" i="67"/>
  <c r="V102" i="67" s="1"/>
  <c r="AE78" i="64"/>
  <c r="AE145" i="64" s="1"/>
  <c r="AE85" i="67"/>
  <c r="V103" i="67" s="1"/>
  <c r="AE79" i="64"/>
  <c r="AE146" i="64" s="1"/>
  <c r="AE92" i="64"/>
  <c r="AE159" i="64" s="1"/>
  <c r="AE93" i="67"/>
  <c r="V111" i="67" s="1"/>
  <c r="AC163" i="64"/>
  <c r="AH234" i="53"/>
  <c r="AH241" i="53"/>
  <c r="AH232" i="53"/>
  <c r="AG154" i="52"/>
  <c r="AG202" i="52" s="1"/>
  <c r="AG170" i="52"/>
  <c r="AG218" i="52" s="1"/>
  <c r="AG167" i="52"/>
  <c r="AG215" i="52" s="1"/>
  <c r="AG155" i="52"/>
  <c r="AG203" i="52" s="1"/>
  <c r="AG161" i="52"/>
  <c r="AG209" i="52" s="1"/>
  <c r="AG156" i="52"/>
  <c r="AG204" i="52" s="1"/>
  <c r="AG160" i="52"/>
  <c r="AG208" i="52" s="1"/>
  <c r="AG166" i="52"/>
  <c r="AG214" i="52" s="1"/>
  <c r="AG168" i="52"/>
  <c r="AG216" i="52" s="1"/>
  <c r="AG159" i="52"/>
  <c r="AG207" i="52" s="1"/>
  <c r="AG169" i="52"/>
  <c r="AG217" i="52" s="1"/>
  <c r="AG157" i="52"/>
  <c r="AG205" i="52" s="1"/>
  <c r="AG165" i="52"/>
  <c r="AG213" i="52" s="1"/>
  <c r="AG158" i="52"/>
  <c r="AG206" i="52" s="1"/>
  <c r="AG162" i="52"/>
  <c r="AG210" i="52" s="1"/>
  <c r="AG153" i="52"/>
  <c r="AG201" i="52" s="1"/>
  <c r="AG163" i="52"/>
  <c r="AG211" i="52" s="1"/>
  <c r="AG164" i="52"/>
  <c r="AG212" i="52" s="1"/>
  <c r="AF12" i="52"/>
  <c r="AF40" i="49"/>
  <c r="AF19" i="51"/>
  <c r="AF20" i="51" s="1"/>
  <c r="AF27" i="51" s="1"/>
  <c r="AJ55" i="50"/>
  <c r="AJ54" i="50"/>
  <c r="AJ56" i="50" s="1"/>
  <c r="AL95" i="50"/>
  <c r="AL94" i="50"/>
  <c r="AL99" i="50"/>
  <c r="AL135" i="50"/>
  <c r="AL131" i="50"/>
  <c r="AL130" i="50"/>
  <c r="AL68" i="50"/>
  <c r="AM64" i="50" s="1"/>
  <c r="AL111" i="50"/>
  <c r="AL113" i="50" s="1"/>
  <c r="AL107" i="50"/>
  <c r="AL106" i="50"/>
  <c r="AH150" i="53" l="1"/>
  <c r="AF22" i="63"/>
  <c r="AG247" i="53"/>
  <c r="U143" i="67"/>
  <c r="AE191" i="63"/>
  <c r="AG15" i="67"/>
  <c r="AG16" i="63"/>
  <c r="AH245" i="53"/>
  <c r="AH247" i="53" s="1"/>
  <c r="V135" i="67"/>
  <c r="V163" i="67" s="1"/>
  <c r="AJ81" i="51"/>
  <c r="AH81" i="51"/>
  <c r="AO81" i="51"/>
  <c r="AL81" i="51"/>
  <c r="AF28" i="51"/>
  <c r="AM81" i="51"/>
  <c r="AP81" i="51"/>
  <c r="AN81" i="51"/>
  <c r="AK81" i="51"/>
  <c r="AG81" i="51"/>
  <c r="AG104" i="51" s="1"/>
  <c r="AG86" i="52" s="1"/>
  <c r="AI81" i="51"/>
  <c r="AF14" i="52"/>
  <c r="AG135" i="52"/>
  <c r="AG183" i="52" s="1"/>
  <c r="AG239" i="52" s="1"/>
  <c r="AF133" i="63" s="1"/>
  <c r="AF157" i="63" s="1"/>
  <c r="AG147" i="52"/>
  <c r="AG195" i="52" s="1"/>
  <c r="AG251" i="52" s="1"/>
  <c r="AF145" i="63" s="1"/>
  <c r="AF169" i="63" s="1"/>
  <c r="AG136" i="52"/>
  <c r="AG184" i="52" s="1"/>
  <c r="AG240" i="52" s="1"/>
  <c r="AF134" i="63" s="1"/>
  <c r="AF158" i="63" s="1"/>
  <c r="AG137" i="52"/>
  <c r="AG185" i="52" s="1"/>
  <c r="AG241" i="52" s="1"/>
  <c r="AF135" i="63" s="1"/>
  <c r="AF159" i="63" s="1"/>
  <c r="AG132" i="52"/>
  <c r="AG180" i="52" s="1"/>
  <c r="AG236" i="52" s="1"/>
  <c r="AF130" i="63" s="1"/>
  <c r="AF154" i="63" s="1"/>
  <c r="AH72" i="49"/>
  <c r="AH116" i="51"/>
  <c r="AH117" i="51" s="1"/>
  <c r="AH124" i="51" s="1"/>
  <c r="AH13" i="53"/>
  <c r="E52" i="64"/>
  <c r="AF29" i="47"/>
  <c r="AF30" i="47"/>
  <c r="AI108" i="53"/>
  <c r="AI122" i="53"/>
  <c r="AI121" i="53"/>
  <c r="AI113" i="53"/>
  <c r="AI117" i="53"/>
  <c r="AI112" i="53"/>
  <c r="AI115" i="53"/>
  <c r="AI119" i="53"/>
  <c r="AI110" i="53"/>
  <c r="AI114" i="53"/>
  <c r="AI111" i="53"/>
  <c r="AI120" i="53"/>
  <c r="AI118" i="53"/>
  <c r="AI107" i="53"/>
  <c r="AI123" i="53"/>
  <c r="AI116" i="53"/>
  <c r="AI109" i="53"/>
  <c r="AI106" i="53"/>
  <c r="AE153" i="63"/>
  <c r="AE147" i="63"/>
  <c r="AG289" i="63"/>
  <c r="AG288" i="63"/>
  <c r="AG14" i="67"/>
  <c r="AG139" i="52"/>
  <c r="AG187" i="52" s="1"/>
  <c r="AG243" i="52" s="1"/>
  <c r="AF137" i="63" s="1"/>
  <c r="AF161" i="63" s="1"/>
  <c r="AF85" i="64" s="1"/>
  <c r="AF152" i="64" s="1"/>
  <c r="AG141" i="52"/>
  <c r="AG189" i="52" s="1"/>
  <c r="AG245" i="52" s="1"/>
  <c r="AF139" i="63" s="1"/>
  <c r="AF163" i="63" s="1"/>
  <c r="AF87" i="64" s="1"/>
  <c r="AF154" i="64" s="1"/>
  <c r="AG134" i="52"/>
  <c r="AG182" i="52" s="1"/>
  <c r="AG238" i="52" s="1"/>
  <c r="AF132" i="63" s="1"/>
  <c r="AF156" i="63" s="1"/>
  <c r="AG140" i="52"/>
  <c r="AG188" i="52" s="1"/>
  <c r="AG244" i="52" s="1"/>
  <c r="AF138" i="63" s="1"/>
  <c r="AF162" i="63" s="1"/>
  <c r="AG138" i="52"/>
  <c r="AG186" i="52" s="1"/>
  <c r="AG242" i="52" s="1"/>
  <c r="AF136" i="63" s="1"/>
  <c r="AF160" i="63" s="1"/>
  <c r="AH92" i="47"/>
  <c r="AH37" i="49"/>
  <c r="AH13" i="63"/>
  <c r="AH14" i="63" s="1"/>
  <c r="AH15" i="67" s="1"/>
  <c r="AH28" i="49"/>
  <c r="AH14" i="54"/>
  <c r="AH15" i="54" s="1"/>
  <c r="AH16" i="54" s="1"/>
  <c r="AI93" i="47"/>
  <c r="AI11" i="63"/>
  <c r="AI69" i="49"/>
  <c r="AI12" i="54"/>
  <c r="AJ139" i="50"/>
  <c r="AJ91" i="49" s="1"/>
  <c r="AJ92" i="49" s="1"/>
  <c r="AG144" i="52"/>
  <c r="AG192" i="52" s="1"/>
  <c r="AG248" i="52" s="1"/>
  <c r="AF142" i="63" s="1"/>
  <c r="AF166" i="63" s="1"/>
  <c r="AF90" i="64" s="1"/>
  <c r="AF157" i="64" s="1"/>
  <c r="AG142" i="52"/>
  <c r="AG190" i="52" s="1"/>
  <c r="AG246" i="52" s="1"/>
  <c r="AF140" i="63" s="1"/>
  <c r="AF164" i="63" s="1"/>
  <c r="AF88" i="64" s="1"/>
  <c r="AF155" i="64" s="1"/>
  <c r="AG143" i="52"/>
  <c r="AG191" i="52" s="1"/>
  <c r="AG247" i="52" s="1"/>
  <c r="AF141" i="63" s="1"/>
  <c r="AF165" i="63" s="1"/>
  <c r="AF89" i="64" s="1"/>
  <c r="AF156" i="64" s="1"/>
  <c r="AG146" i="52"/>
  <c r="AG194" i="52" s="1"/>
  <c r="AG250" i="52" s="1"/>
  <c r="AF144" i="63" s="1"/>
  <c r="AF168" i="63" s="1"/>
  <c r="AE201" i="63"/>
  <c r="AE179" i="64" s="1"/>
  <c r="AE119" i="64"/>
  <c r="AE200" i="63"/>
  <c r="AE177" i="64" s="1"/>
  <c r="D51" i="64"/>
  <c r="H51" i="64" s="1"/>
  <c r="M51" i="64" s="1"/>
  <c r="AH71" i="49"/>
  <c r="AH14" i="53" s="1"/>
  <c r="AD118" i="64"/>
  <c r="C50" i="64"/>
  <c r="I50" i="64" s="1"/>
  <c r="N50" i="64" s="1"/>
  <c r="O50" i="64" s="1"/>
  <c r="AD192" i="63"/>
  <c r="AD195" i="63" s="1"/>
  <c r="AD197" i="63"/>
  <c r="AD198" i="63" s="1"/>
  <c r="AE24" i="54"/>
  <c r="AE28" i="54" s="1"/>
  <c r="AE30" i="54" s="1"/>
  <c r="AF256" i="52"/>
  <c r="AE24" i="63"/>
  <c r="AG11" i="52"/>
  <c r="AH227" i="52" s="1"/>
  <c r="AH228" i="52" s="1"/>
  <c r="AG38" i="49"/>
  <c r="AG39" i="49" s="1"/>
  <c r="AG13" i="52" s="1"/>
  <c r="AG181" i="47"/>
  <c r="AG182" i="47" s="1"/>
  <c r="AG219" i="47" s="1"/>
  <c r="AG220" i="47" s="1"/>
  <c r="AG19" i="47" s="1"/>
  <c r="AG96" i="47"/>
  <c r="AG165" i="47" s="1"/>
  <c r="AG166" i="47" s="1"/>
  <c r="AG18" i="47" s="1"/>
  <c r="AE120" i="64"/>
  <c r="AE248" i="63"/>
  <c r="AE250" i="63" s="1"/>
  <c r="AG131" i="52"/>
  <c r="AG179" i="52" s="1"/>
  <c r="AG235" i="52" s="1"/>
  <c r="AG148" i="52"/>
  <c r="AG196" i="52" s="1"/>
  <c r="AG252" i="52" s="1"/>
  <c r="AF146" i="63" s="1"/>
  <c r="AF170" i="63" s="1"/>
  <c r="AF94" i="64" s="1"/>
  <c r="AF161" i="64" s="1"/>
  <c r="AG145" i="52"/>
  <c r="AG193" i="52" s="1"/>
  <c r="AG249" i="52" s="1"/>
  <c r="AF143" i="63" s="1"/>
  <c r="AF167" i="63" s="1"/>
  <c r="AG133" i="52"/>
  <c r="AG181" i="52" s="1"/>
  <c r="AG237" i="52" s="1"/>
  <c r="AF131" i="63" s="1"/>
  <c r="AF155" i="63" s="1"/>
  <c r="AF111" i="64"/>
  <c r="AD162" i="64"/>
  <c r="AD122" i="64"/>
  <c r="AD193" i="63"/>
  <c r="AK52" i="50"/>
  <c r="AK59" i="50" s="1"/>
  <c r="AK77" i="50" s="1"/>
  <c r="AL110" i="50"/>
  <c r="AL108" i="50"/>
  <c r="AM104" i="50" s="1"/>
  <c r="AL132" i="50"/>
  <c r="AM128" i="50" s="1"/>
  <c r="AL96" i="50"/>
  <c r="AM92" i="50" s="1"/>
  <c r="AM67" i="50"/>
  <c r="AM66" i="50"/>
  <c r="AM71" i="50"/>
  <c r="AM73" i="50" s="1"/>
  <c r="AL115" i="50"/>
  <c r="AG290" i="63" l="1"/>
  <c r="AG22" i="54"/>
  <c r="AD163" i="64"/>
  <c r="AE28" i="63"/>
  <c r="AE41" i="63" s="1"/>
  <c r="AE44" i="63"/>
  <c r="AG22" i="63"/>
  <c r="AG134" i="64"/>
  <c r="AG17" i="67"/>
  <c r="AH16" i="63"/>
  <c r="AH134" i="64" s="1"/>
  <c r="AE148" i="63"/>
  <c r="AE180" i="64"/>
  <c r="AD169" i="64"/>
  <c r="AD170" i="64" s="1"/>
  <c r="AD124" i="64"/>
  <c r="AD123" i="64"/>
  <c r="AD125" i="64"/>
  <c r="AF91" i="64"/>
  <c r="AF158" i="64" s="1"/>
  <c r="AF92" i="67"/>
  <c r="W110" i="67" s="1"/>
  <c r="AF129" i="63"/>
  <c r="AG254" i="52"/>
  <c r="AG27" i="47"/>
  <c r="AG103" i="64"/>
  <c r="AH156" i="52"/>
  <c r="AH204" i="52" s="1"/>
  <c r="AH155" i="52"/>
  <c r="AH203" i="52" s="1"/>
  <c r="AH165" i="52"/>
  <c r="AH213" i="52" s="1"/>
  <c r="AH170" i="52"/>
  <c r="AH218" i="52" s="1"/>
  <c r="AH159" i="52"/>
  <c r="AH207" i="52" s="1"/>
  <c r="AH157" i="52"/>
  <c r="AH205" i="52" s="1"/>
  <c r="AH154" i="52"/>
  <c r="AH202" i="52" s="1"/>
  <c r="AH166" i="52"/>
  <c r="AH214" i="52" s="1"/>
  <c r="AH163" i="52"/>
  <c r="AH211" i="52" s="1"/>
  <c r="AH160" i="52"/>
  <c r="AH208" i="52" s="1"/>
  <c r="AH167" i="52"/>
  <c r="AH215" i="52" s="1"/>
  <c r="AH169" i="52"/>
  <c r="AH217" i="52" s="1"/>
  <c r="AH153" i="52"/>
  <c r="AH201" i="52" s="1"/>
  <c r="AH161" i="52"/>
  <c r="AH209" i="52" s="1"/>
  <c r="AH162" i="52"/>
  <c r="AH210" i="52" s="1"/>
  <c r="AH158" i="52"/>
  <c r="AH206" i="52" s="1"/>
  <c r="AH164" i="52"/>
  <c r="AH212" i="52" s="1"/>
  <c r="AH168" i="52"/>
  <c r="AH216" i="52" s="1"/>
  <c r="AI157" i="53"/>
  <c r="AI205" i="53" s="1"/>
  <c r="AI168" i="53"/>
  <c r="AI216" i="53" s="1"/>
  <c r="AI159" i="53"/>
  <c r="AI207" i="53" s="1"/>
  <c r="AI166" i="53"/>
  <c r="AI214" i="53" s="1"/>
  <c r="AI165" i="53"/>
  <c r="AI213" i="53" s="1"/>
  <c r="AI155" i="53"/>
  <c r="AI203" i="53" s="1"/>
  <c r="AI154" i="53"/>
  <c r="AI202" i="53" s="1"/>
  <c r="AI161" i="53"/>
  <c r="AI209" i="53" s="1"/>
  <c r="AI160" i="53"/>
  <c r="AI208" i="53" s="1"/>
  <c r="AI162" i="53"/>
  <c r="AI210" i="53" s="1"/>
  <c r="AI171" i="53"/>
  <c r="AI219" i="53" s="1"/>
  <c r="AI158" i="53"/>
  <c r="AI206" i="53" s="1"/>
  <c r="AI169" i="53"/>
  <c r="AI217" i="53" s="1"/>
  <c r="AI164" i="53"/>
  <c r="AI212" i="53" s="1"/>
  <c r="AI170" i="53"/>
  <c r="AI218" i="53" s="1"/>
  <c r="AI167" i="53"/>
  <c r="AI215" i="53" s="1"/>
  <c r="AI156" i="53"/>
  <c r="AI204" i="53" s="1"/>
  <c r="AI163" i="53"/>
  <c r="AI211" i="53" s="1"/>
  <c r="AI12" i="53"/>
  <c r="AI70" i="49"/>
  <c r="AI71" i="49" s="1"/>
  <c r="AI14" i="53" s="1"/>
  <c r="AH38" i="49"/>
  <c r="AH11" i="52"/>
  <c r="AI227" i="52" s="1"/>
  <c r="AI228" i="52" s="1"/>
  <c r="AF90" i="67"/>
  <c r="W108" i="67" s="1"/>
  <c r="AF84" i="64"/>
  <c r="AF151" i="64" s="1"/>
  <c r="AF181" i="63"/>
  <c r="AF86" i="67"/>
  <c r="W104" i="67" s="1"/>
  <c r="AF179" i="63"/>
  <c r="AF80" i="64"/>
  <c r="AF147" i="64" s="1"/>
  <c r="AE83" i="67"/>
  <c r="V101" i="67" s="1"/>
  <c r="AE171" i="63"/>
  <c r="AE77" i="64"/>
  <c r="AE178" i="63"/>
  <c r="AH15" i="53"/>
  <c r="AI135" i="53"/>
  <c r="AI183" i="53" s="1"/>
  <c r="AI134" i="53"/>
  <c r="AI182" i="53" s="1"/>
  <c r="AI147" i="53"/>
  <c r="AI195" i="53" s="1"/>
  <c r="AI145" i="53"/>
  <c r="AI193" i="53" s="1"/>
  <c r="AI140" i="53"/>
  <c r="AI188" i="53" s="1"/>
  <c r="AI234" i="53" s="1"/>
  <c r="AI138" i="53"/>
  <c r="AI186" i="53" s="1"/>
  <c r="AI136" i="53"/>
  <c r="AI184" i="53" s="1"/>
  <c r="AI230" i="53" s="1"/>
  <c r="AI142" i="53"/>
  <c r="AI190" i="53" s="1"/>
  <c r="AI133" i="53"/>
  <c r="AI181" i="53" s="1"/>
  <c r="AI227" i="53" s="1"/>
  <c r="AI141" i="53"/>
  <c r="AI189" i="53" s="1"/>
  <c r="AI139" i="53"/>
  <c r="AI187" i="53" s="1"/>
  <c r="AI233" i="53" s="1"/>
  <c r="AI149" i="53"/>
  <c r="AI197" i="53" s="1"/>
  <c r="AI144" i="53"/>
  <c r="AI192" i="53" s="1"/>
  <c r="AI148" i="53"/>
  <c r="AI196" i="53" s="1"/>
  <c r="AI242" i="53" s="1"/>
  <c r="AI146" i="53"/>
  <c r="AI194" i="53" s="1"/>
  <c r="AI143" i="53"/>
  <c r="AI191" i="53" s="1"/>
  <c r="AI237" i="53" s="1"/>
  <c r="AI137" i="53"/>
  <c r="AI185" i="53" s="1"/>
  <c r="AI132" i="53"/>
  <c r="AI180" i="53" s="1"/>
  <c r="AI226" i="53" s="1"/>
  <c r="AF78" i="64"/>
  <c r="AF145" i="64" s="1"/>
  <c r="AF84" i="67"/>
  <c r="W102" i="67" s="1"/>
  <c r="AF82" i="64"/>
  <c r="AF149" i="64" s="1"/>
  <c r="AF180" i="63"/>
  <c r="AF88" i="67"/>
  <c r="W106" i="67" s="1"/>
  <c r="AF81" i="64"/>
  <c r="AF148" i="64" s="1"/>
  <c r="AF87" i="67"/>
  <c r="W105" i="67" s="1"/>
  <c r="AJ119" i="50"/>
  <c r="AJ57" i="49" s="1"/>
  <c r="AJ58" i="49" s="1"/>
  <c r="AI83" i="50"/>
  <c r="AI25" i="49" s="1"/>
  <c r="AI26" i="49" s="1"/>
  <c r="AH17" i="67"/>
  <c r="AF85" i="67"/>
  <c r="W103" i="67" s="1"/>
  <c r="AF79" i="64"/>
  <c r="AF146" i="64" s="1"/>
  <c r="X121" i="67"/>
  <c r="X128" i="67" s="1"/>
  <c r="X137" i="67" s="1"/>
  <c r="AG104" i="64"/>
  <c r="AG19" i="51"/>
  <c r="AG20" i="51" s="1"/>
  <c r="AG27" i="51" s="1"/>
  <c r="AG12" i="52"/>
  <c r="AG40" i="49"/>
  <c r="Q51" i="64"/>
  <c r="AF93" i="67"/>
  <c r="W111" i="67" s="1"/>
  <c r="AF92" i="64"/>
  <c r="AF159" i="64" s="1"/>
  <c r="AJ12" i="63"/>
  <c r="AJ13" i="67" s="1"/>
  <c r="AJ104" i="49"/>
  <c r="AJ105" i="49" s="1"/>
  <c r="AJ106" i="49" s="1"/>
  <c r="AJ13" i="54"/>
  <c r="AJ94" i="47"/>
  <c r="AI12" i="67"/>
  <c r="AH288" i="63"/>
  <c r="AH289" i="63"/>
  <c r="AH14" i="67"/>
  <c r="AH96" i="47"/>
  <c r="AH165" i="47" s="1"/>
  <c r="AH166" i="47" s="1"/>
  <c r="AH18" i="47" s="1"/>
  <c r="Z120" i="67" s="1"/>
  <c r="AH181" i="47"/>
  <c r="AH182" i="47" s="1"/>
  <c r="AH219" i="47" s="1"/>
  <c r="AH220" i="47" s="1"/>
  <c r="AH19" i="47" s="1"/>
  <c r="AF86" i="64"/>
  <c r="AF153" i="64" s="1"/>
  <c r="AF91" i="67"/>
  <c r="W109" i="67" s="1"/>
  <c r="AF26" i="54"/>
  <c r="AF26" i="63"/>
  <c r="AH125" i="51"/>
  <c r="AM180" i="51"/>
  <c r="AQ180" i="51"/>
  <c r="AI180" i="51"/>
  <c r="AI201" i="51" s="1"/>
  <c r="AI87" i="53" s="1"/>
  <c r="AN180" i="51"/>
  <c r="AO180" i="51"/>
  <c r="AP180" i="51"/>
  <c r="AJ180" i="51"/>
  <c r="AL180" i="51"/>
  <c r="AR180" i="51"/>
  <c r="AK180" i="51"/>
  <c r="AF83" i="64"/>
  <c r="AF150" i="64" s="1"/>
  <c r="AF89" i="67"/>
  <c r="W107" i="67" s="1"/>
  <c r="AF93" i="64"/>
  <c r="AF160" i="64" s="1"/>
  <c r="AF94" i="67"/>
  <c r="W112" i="67" s="1"/>
  <c r="AH116" i="52"/>
  <c r="AH115" i="52"/>
  <c r="AH113" i="52"/>
  <c r="AH119" i="52"/>
  <c r="AH106" i="52"/>
  <c r="AH110" i="52"/>
  <c r="AH108" i="52"/>
  <c r="AH112" i="52"/>
  <c r="AH105" i="52"/>
  <c r="AH120" i="52"/>
  <c r="AH114" i="52"/>
  <c r="AH111" i="52"/>
  <c r="AH117" i="52"/>
  <c r="AH109" i="52"/>
  <c r="AH107" i="52"/>
  <c r="AH121" i="52"/>
  <c r="AH118" i="52"/>
  <c r="AH122" i="52"/>
  <c r="AK54" i="50"/>
  <c r="AK56" i="50" s="1"/>
  <c r="AK55" i="50"/>
  <c r="AM95" i="50"/>
  <c r="AM94" i="50"/>
  <c r="AM99" i="50"/>
  <c r="AM131" i="50"/>
  <c r="AM130" i="50"/>
  <c r="AM135" i="50"/>
  <c r="AM107" i="50"/>
  <c r="AM106" i="50"/>
  <c r="AM111" i="50"/>
  <c r="AM113" i="50" s="1"/>
  <c r="AM68" i="50"/>
  <c r="AN64" i="50" s="1"/>
  <c r="AI232" i="53" l="1"/>
  <c r="AI228" i="53"/>
  <c r="AI240" i="53"/>
  <c r="AE30" i="63"/>
  <c r="AE40" i="63"/>
  <c r="AI231" i="53"/>
  <c r="AI243" i="53"/>
  <c r="AH290" i="63"/>
  <c r="AF191" i="63"/>
  <c r="AI238" i="53"/>
  <c r="W135" i="67"/>
  <c r="W163" i="67" s="1"/>
  <c r="AG111" i="64"/>
  <c r="AE47" i="63"/>
  <c r="AE48" i="63"/>
  <c r="AI235" i="53"/>
  <c r="AI236" i="53"/>
  <c r="AI239" i="53"/>
  <c r="AI241" i="53"/>
  <c r="AI229" i="53"/>
  <c r="AI150" i="53"/>
  <c r="Y120" i="67"/>
  <c r="AH103" i="64"/>
  <c r="AH27" i="47"/>
  <c r="AQ82" i="51"/>
  <c r="AK82" i="51"/>
  <c r="AP82" i="51"/>
  <c r="AM82" i="51"/>
  <c r="AJ82" i="51"/>
  <c r="AG28" i="51"/>
  <c r="AO82" i="51"/>
  <c r="AL82" i="51"/>
  <c r="AI82" i="51"/>
  <c r="AN82" i="51"/>
  <c r="AH82" i="51"/>
  <c r="AH104" i="51" s="1"/>
  <c r="AH86" i="52" s="1"/>
  <c r="AI92" i="47"/>
  <c r="AI28" i="49"/>
  <c r="AI14" i="54"/>
  <c r="AI15" i="54" s="1"/>
  <c r="AI16" i="54" s="1"/>
  <c r="AI13" i="63"/>
  <c r="AI14" i="63" s="1"/>
  <c r="AI16" i="63" s="1"/>
  <c r="AI37" i="49"/>
  <c r="AJ12" i="54"/>
  <c r="AJ69" i="49"/>
  <c r="AJ11" i="63"/>
  <c r="AJ93" i="47"/>
  <c r="AE144" i="64"/>
  <c r="AE95" i="64"/>
  <c r="V136" i="67"/>
  <c r="V139" i="67" s="1"/>
  <c r="V113" i="67"/>
  <c r="V142" i="67" s="1"/>
  <c r="AF119" i="64"/>
  <c r="AF200" i="63"/>
  <c r="AF177" i="64" s="1"/>
  <c r="D52" i="64"/>
  <c r="H52" i="64" s="1"/>
  <c r="M52" i="64" s="1"/>
  <c r="Q52" i="64" s="1"/>
  <c r="AH39" i="49"/>
  <c r="AH13" i="52" s="1"/>
  <c r="AH19" i="51"/>
  <c r="AH20" i="51" s="1"/>
  <c r="AH27" i="51" s="1"/>
  <c r="AH40" i="49"/>
  <c r="AH12" i="52"/>
  <c r="AI116" i="51"/>
  <c r="AI117" i="51" s="1"/>
  <c r="AI124" i="51" s="1"/>
  <c r="AI13" i="53"/>
  <c r="AI72" i="49"/>
  <c r="AF24" i="63"/>
  <c r="AF24" i="54"/>
  <c r="AF28" i="54" s="1"/>
  <c r="AF30" i="54" s="1"/>
  <c r="AG256" i="52"/>
  <c r="AK139" i="50"/>
  <c r="AK91" i="49" s="1"/>
  <c r="AK92" i="49" s="1"/>
  <c r="AJ116" i="53"/>
  <c r="AJ115" i="53"/>
  <c r="AJ106" i="53"/>
  <c r="AJ114" i="53"/>
  <c r="AJ117" i="53"/>
  <c r="AJ112" i="53"/>
  <c r="AJ120" i="53"/>
  <c r="AJ109" i="53"/>
  <c r="AJ121" i="53"/>
  <c r="AJ110" i="53"/>
  <c r="AJ111" i="53"/>
  <c r="AJ122" i="53"/>
  <c r="AJ123" i="53"/>
  <c r="AJ107" i="53"/>
  <c r="AJ118" i="53"/>
  <c r="AJ113" i="53"/>
  <c r="AJ119" i="53"/>
  <c r="AJ108" i="53"/>
  <c r="AF45" i="63"/>
  <c r="AF194" i="63"/>
  <c r="Y121" i="67"/>
  <c r="AH104" i="64"/>
  <c r="AG14" i="52"/>
  <c r="AH137" i="52"/>
  <c r="AH185" i="52" s="1"/>
  <c r="AH241" i="52" s="1"/>
  <c r="AG135" i="63" s="1"/>
  <c r="AG159" i="63" s="1"/>
  <c r="AH136" i="52"/>
  <c r="AH184" i="52" s="1"/>
  <c r="AH240" i="52" s="1"/>
  <c r="AG134" i="63" s="1"/>
  <c r="AG158" i="63" s="1"/>
  <c r="AH142" i="52"/>
  <c r="AH190" i="52" s="1"/>
  <c r="AH246" i="52" s="1"/>
  <c r="AG140" i="63" s="1"/>
  <c r="AG164" i="63" s="1"/>
  <c r="AG88" i="64" s="1"/>
  <c r="AG155" i="64" s="1"/>
  <c r="AH131" i="52"/>
  <c r="AH179" i="52" s="1"/>
  <c r="AH235" i="52" s="1"/>
  <c r="AH140" i="52"/>
  <c r="AH188" i="52" s="1"/>
  <c r="AH244" i="52" s="1"/>
  <c r="AG138" i="63" s="1"/>
  <c r="AG162" i="63" s="1"/>
  <c r="AH138" i="52"/>
  <c r="AH186" i="52" s="1"/>
  <c r="AH242" i="52" s="1"/>
  <c r="AG136" i="63" s="1"/>
  <c r="AG160" i="63" s="1"/>
  <c r="AH148" i="52"/>
  <c r="AH196" i="52" s="1"/>
  <c r="AH252" i="52" s="1"/>
  <c r="AG146" i="63" s="1"/>
  <c r="AG170" i="63" s="1"/>
  <c r="AG94" i="64" s="1"/>
  <c r="AG161" i="64" s="1"/>
  <c r="AH135" i="52"/>
  <c r="AH183" i="52" s="1"/>
  <c r="AH239" i="52" s="1"/>
  <c r="AG133" i="63" s="1"/>
  <c r="AG157" i="63" s="1"/>
  <c r="AH144" i="52"/>
  <c r="AH192" i="52" s="1"/>
  <c r="AH248" i="52" s="1"/>
  <c r="AG142" i="63" s="1"/>
  <c r="AG166" i="63" s="1"/>
  <c r="AG90" i="64" s="1"/>
  <c r="AG157" i="64" s="1"/>
  <c r="AH134" i="52"/>
  <c r="AH182" i="52" s="1"/>
  <c r="AH238" i="52" s="1"/>
  <c r="AG132" i="63" s="1"/>
  <c r="AG156" i="63" s="1"/>
  <c r="AH141" i="52"/>
  <c r="AH189" i="52" s="1"/>
  <c r="AH245" i="52" s="1"/>
  <c r="AG139" i="63" s="1"/>
  <c r="AG163" i="63" s="1"/>
  <c r="AG87" i="64" s="1"/>
  <c r="AG154" i="64" s="1"/>
  <c r="AH146" i="52"/>
  <c r="AH194" i="52" s="1"/>
  <c r="AH250" i="52" s="1"/>
  <c r="AG144" i="63" s="1"/>
  <c r="AG168" i="63" s="1"/>
  <c r="AH132" i="52"/>
  <c r="AH180" i="52" s="1"/>
  <c r="AH236" i="52" s="1"/>
  <c r="AG130" i="63" s="1"/>
  <c r="AG154" i="63" s="1"/>
  <c r="AH139" i="52"/>
  <c r="AH187" i="52" s="1"/>
  <c r="AH243" i="52" s="1"/>
  <c r="AG137" i="63" s="1"/>
  <c r="AG161" i="63" s="1"/>
  <c r="AG85" i="64" s="1"/>
  <c r="AG152" i="64" s="1"/>
  <c r="AH143" i="52"/>
  <c r="AH191" i="52" s="1"/>
  <c r="AH247" i="52" s="1"/>
  <c r="AG141" i="63" s="1"/>
  <c r="AG165" i="63" s="1"/>
  <c r="AG89" i="64" s="1"/>
  <c r="AG156" i="64" s="1"/>
  <c r="AH147" i="52"/>
  <c r="AH195" i="52" s="1"/>
  <c r="AH251" i="52" s="1"/>
  <c r="AG145" i="63" s="1"/>
  <c r="AG169" i="63" s="1"/>
  <c r="AH145" i="52"/>
  <c r="AH193" i="52" s="1"/>
  <c r="AH249" i="52" s="1"/>
  <c r="AG143" i="63" s="1"/>
  <c r="AG167" i="63" s="1"/>
  <c r="AH133" i="52"/>
  <c r="AH181" i="52" s="1"/>
  <c r="AH237" i="52" s="1"/>
  <c r="AG131" i="63" s="1"/>
  <c r="AG155" i="63" s="1"/>
  <c r="AE190" i="63"/>
  <c r="AE193" i="63" s="1"/>
  <c r="AE182" i="63"/>
  <c r="AE183" i="63" s="1"/>
  <c r="AE173" i="63"/>
  <c r="AE172" i="63"/>
  <c r="AJ160" i="53"/>
  <c r="AJ208" i="53" s="1"/>
  <c r="AJ164" i="53"/>
  <c r="AJ212" i="53" s="1"/>
  <c r="AJ166" i="53"/>
  <c r="AJ214" i="53" s="1"/>
  <c r="AJ168" i="53"/>
  <c r="AJ216" i="53" s="1"/>
  <c r="AJ158" i="53"/>
  <c r="AJ206" i="53" s="1"/>
  <c r="AJ156" i="53"/>
  <c r="AJ204" i="53" s="1"/>
  <c r="AJ165" i="53"/>
  <c r="AJ213" i="53" s="1"/>
  <c r="AJ170" i="53"/>
  <c r="AJ218" i="53" s="1"/>
  <c r="AJ171" i="53"/>
  <c r="AJ219" i="53" s="1"/>
  <c r="AJ163" i="53"/>
  <c r="AJ211" i="53" s="1"/>
  <c r="AJ169" i="53"/>
  <c r="AJ217" i="53" s="1"/>
  <c r="AJ167" i="53"/>
  <c r="AJ215" i="53" s="1"/>
  <c r="AJ157" i="53"/>
  <c r="AJ205" i="53" s="1"/>
  <c r="AJ159" i="53"/>
  <c r="AJ207" i="53" s="1"/>
  <c r="AJ162" i="53"/>
  <c r="AJ210" i="53" s="1"/>
  <c r="AJ154" i="53"/>
  <c r="AJ202" i="53" s="1"/>
  <c r="AJ161" i="53"/>
  <c r="AJ209" i="53" s="1"/>
  <c r="AJ155" i="53"/>
  <c r="AJ203" i="53" s="1"/>
  <c r="E53" i="64"/>
  <c r="AG29" i="47"/>
  <c r="AG30" i="47"/>
  <c r="AF153" i="63"/>
  <c r="AF147" i="63"/>
  <c r="AN67" i="50"/>
  <c r="AN66" i="50"/>
  <c r="AN71" i="50"/>
  <c r="AN73" i="50" s="1"/>
  <c r="AL52" i="50"/>
  <c r="AM108" i="50"/>
  <c r="AN104" i="50" s="1"/>
  <c r="AM110" i="50"/>
  <c r="AM115" i="50"/>
  <c r="AM96" i="50"/>
  <c r="AN92" i="50" s="1"/>
  <c r="AM132" i="50"/>
  <c r="AN128" i="50" s="1"/>
  <c r="AJ135" i="53" l="1"/>
  <c r="AJ183" i="53" s="1"/>
  <c r="AJ229" i="53" s="1"/>
  <c r="AF148" i="63"/>
  <c r="V143" i="67"/>
  <c r="AI245" i="53"/>
  <c r="AH22" i="54" s="1"/>
  <c r="AI15" i="67"/>
  <c r="Y128" i="67"/>
  <c r="Y137" i="67" s="1"/>
  <c r="AF28" i="63"/>
  <c r="AF44" i="63"/>
  <c r="AF48" i="63" s="1"/>
  <c r="AH111" i="64"/>
  <c r="AE52" i="63"/>
  <c r="AE50" i="63"/>
  <c r="AF171" i="63"/>
  <c r="AF77" i="64"/>
  <c r="AF178" i="63"/>
  <c r="AF83" i="67"/>
  <c r="W101" i="67" s="1"/>
  <c r="AE118" i="64"/>
  <c r="C51" i="64"/>
  <c r="I51" i="64" s="1"/>
  <c r="N51" i="64" s="1"/>
  <c r="O51" i="64" s="1"/>
  <c r="AE192" i="63"/>
  <c r="AE195" i="63" s="1"/>
  <c r="AE197" i="63"/>
  <c r="AE198" i="63" s="1"/>
  <c r="AG91" i="64"/>
  <c r="AG158" i="64" s="1"/>
  <c r="AG92" i="67"/>
  <c r="AG84" i="67"/>
  <c r="AG78" i="64"/>
  <c r="AG145" i="64" s="1"/>
  <c r="AG91" i="67"/>
  <c r="AG86" i="64"/>
  <c r="AG153" i="64" s="1"/>
  <c r="AG89" i="67"/>
  <c r="X107" i="67" s="1"/>
  <c r="AG83" i="64"/>
  <c r="AG150" i="64" s="1"/>
  <c r="AF47" i="63"/>
  <c r="AP181" i="51"/>
  <c r="AK181" i="51"/>
  <c r="AL181" i="51"/>
  <c r="AM181" i="51"/>
  <c r="AJ181" i="51"/>
  <c r="AJ201" i="51" s="1"/>
  <c r="AJ87" i="53" s="1"/>
  <c r="AR181" i="51"/>
  <c r="AO181" i="51"/>
  <c r="AI125" i="51"/>
  <c r="AQ181" i="51"/>
  <c r="AN181" i="51"/>
  <c r="AS181" i="51"/>
  <c r="AI154" i="52"/>
  <c r="AI202" i="52" s="1"/>
  <c r="AI157" i="52"/>
  <c r="AI205" i="52" s="1"/>
  <c r="AI155" i="52"/>
  <c r="AI203" i="52" s="1"/>
  <c r="AI161" i="52"/>
  <c r="AI209" i="52" s="1"/>
  <c r="AI158" i="52"/>
  <c r="AI206" i="52" s="1"/>
  <c r="AI165" i="52"/>
  <c r="AI213" i="52" s="1"/>
  <c r="AI159" i="52"/>
  <c r="AI207" i="52" s="1"/>
  <c r="AI167" i="52"/>
  <c r="AI215" i="52" s="1"/>
  <c r="AI168" i="52"/>
  <c r="AI216" i="52" s="1"/>
  <c r="AI156" i="52"/>
  <c r="AI204" i="52" s="1"/>
  <c r="AI162" i="52"/>
  <c r="AI210" i="52" s="1"/>
  <c r="AI160" i="52"/>
  <c r="AI208" i="52" s="1"/>
  <c r="AI166" i="52"/>
  <c r="AI214" i="52" s="1"/>
  <c r="AI153" i="52"/>
  <c r="AI201" i="52" s="1"/>
  <c r="AI170" i="52"/>
  <c r="AI218" i="52" s="1"/>
  <c r="AI169" i="52"/>
  <c r="AI217" i="52" s="1"/>
  <c r="AI163" i="52"/>
  <c r="AI211" i="52" s="1"/>
  <c r="AI164" i="52"/>
  <c r="AI212" i="52" s="1"/>
  <c r="AJ70" i="49"/>
  <c r="AJ71" i="49" s="1"/>
  <c r="AJ14" i="53" s="1"/>
  <c r="AJ12" i="53"/>
  <c r="AI38" i="49"/>
  <c r="AI39" i="49" s="1"/>
  <c r="AI13" i="52" s="1"/>
  <c r="AI11" i="52"/>
  <c r="AJ227" i="52" s="1"/>
  <c r="AJ228" i="52" s="1"/>
  <c r="AI96" i="47"/>
  <c r="AI165" i="47" s="1"/>
  <c r="AI166" i="47" s="1"/>
  <c r="AI18" i="47" s="1"/>
  <c r="AA120" i="67" s="1"/>
  <c r="AI181" i="47"/>
  <c r="AI182" i="47" s="1"/>
  <c r="AI219" i="47" s="1"/>
  <c r="AI220" i="47" s="1"/>
  <c r="AI19" i="47" s="1"/>
  <c r="AA121" i="67" s="1"/>
  <c r="AH29" i="47"/>
  <c r="AH30" i="47"/>
  <c r="E54" i="64"/>
  <c r="AK119" i="50"/>
  <c r="AK57" i="49" s="1"/>
  <c r="AK58" i="49" s="1"/>
  <c r="AG26" i="54"/>
  <c r="AG26" i="63"/>
  <c r="AG79" i="64"/>
  <c r="AG146" i="64" s="1"/>
  <c r="AG85" i="67"/>
  <c r="AG93" i="64"/>
  <c r="AG160" i="64" s="1"/>
  <c r="AG94" i="67"/>
  <c r="AG92" i="64"/>
  <c r="AG159" i="64" s="1"/>
  <c r="AG93" i="67"/>
  <c r="AG80" i="64"/>
  <c r="AG147" i="64" s="1"/>
  <c r="AG86" i="67"/>
  <c r="AG179" i="63"/>
  <c r="AG81" i="64"/>
  <c r="AG148" i="64" s="1"/>
  <c r="AG87" i="67"/>
  <c r="X105" i="67" s="1"/>
  <c r="AG90" i="67"/>
  <c r="AG181" i="63"/>
  <c r="AG84" i="64"/>
  <c r="AG151" i="64" s="1"/>
  <c r="AG129" i="63"/>
  <c r="AH254" i="52"/>
  <c r="AG82" i="64"/>
  <c r="AG149" i="64" s="1"/>
  <c r="AG88" i="67"/>
  <c r="AG180" i="63"/>
  <c r="AF120" i="64"/>
  <c r="AF248" i="63"/>
  <c r="AF250" i="63" s="1"/>
  <c r="AK94" i="47"/>
  <c r="AK13" i="54"/>
  <c r="AK104" i="49"/>
  <c r="AK105" i="49" s="1"/>
  <c r="AK106" i="49" s="1"/>
  <c r="AK12" i="63"/>
  <c r="AK13" i="67" s="1"/>
  <c r="AJ142" i="53"/>
  <c r="AJ190" i="53" s="1"/>
  <c r="AJ236" i="53" s="1"/>
  <c r="AJ136" i="53"/>
  <c r="AJ184" i="53" s="1"/>
  <c r="AJ230" i="53" s="1"/>
  <c r="AJ149" i="53"/>
  <c r="AJ197" i="53" s="1"/>
  <c r="AJ243" i="53" s="1"/>
  <c r="AJ139" i="53"/>
  <c r="AJ187" i="53" s="1"/>
  <c r="AJ233" i="53" s="1"/>
  <c r="AJ132" i="53"/>
  <c r="AJ180" i="53" s="1"/>
  <c r="AJ226" i="53" s="1"/>
  <c r="AI15" i="53"/>
  <c r="AJ140" i="53"/>
  <c r="AJ188" i="53" s="1"/>
  <c r="AJ234" i="53" s="1"/>
  <c r="AJ137" i="53"/>
  <c r="AJ185" i="53" s="1"/>
  <c r="AJ231" i="53" s="1"/>
  <c r="AJ134" i="53"/>
  <c r="AJ182" i="53" s="1"/>
  <c r="AJ228" i="53" s="1"/>
  <c r="AJ145" i="53"/>
  <c r="AJ193" i="53" s="1"/>
  <c r="AJ239" i="53" s="1"/>
  <c r="AJ146" i="53"/>
  <c r="AJ194" i="53" s="1"/>
  <c r="AJ240" i="53" s="1"/>
  <c r="AJ141" i="53"/>
  <c r="AJ189" i="53" s="1"/>
  <c r="AJ235" i="53" s="1"/>
  <c r="AJ143" i="53"/>
  <c r="AJ191" i="53" s="1"/>
  <c r="AJ237" i="53" s="1"/>
  <c r="AJ148" i="53"/>
  <c r="AJ196" i="53" s="1"/>
  <c r="AJ242" i="53" s="1"/>
  <c r="AJ138" i="53"/>
  <c r="AJ186" i="53" s="1"/>
  <c r="AJ232" i="53" s="1"/>
  <c r="AJ147" i="53"/>
  <c r="AJ195" i="53" s="1"/>
  <c r="AJ241" i="53" s="1"/>
  <c r="AJ144" i="53"/>
  <c r="AJ192" i="53" s="1"/>
  <c r="AJ238" i="53" s="1"/>
  <c r="AJ133" i="53"/>
  <c r="AJ181" i="53" s="1"/>
  <c r="AJ227" i="53" s="1"/>
  <c r="AH14" i="52"/>
  <c r="AO83" i="51"/>
  <c r="AM83" i="51"/>
  <c r="AK83" i="51"/>
  <c r="AL83" i="51"/>
  <c r="AI83" i="51"/>
  <c r="AI104" i="51" s="1"/>
  <c r="AI86" i="52" s="1"/>
  <c r="AQ83" i="51"/>
  <c r="AJ83" i="51"/>
  <c r="AR83" i="51"/>
  <c r="AP83" i="51"/>
  <c r="AH28" i="51"/>
  <c r="AN83" i="51"/>
  <c r="AF201" i="63"/>
  <c r="AF179" i="64" s="1"/>
  <c r="AF180" i="64" s="1"/>
  <c r="AE162" i="64"/>
  <c r="AE122" i="64"/>
  <c r="AJ12" i="67"/>
  <c r="AI14" i="67"/>
  <c r="AI289" i="63"/>
  <c r="AI288" i="63"/>
  <c r="AI290" i="63" s="1"/>
  <c r="AI114" i="52"/>
  <c r="AI140" i="52" s="1"/>
  <c r="AI188" i="52" s="1"/>
  <c r="AI121" i="52"/>
  <c r="AI147" i="52" s="1"/>
  <c r="AI195" i="52" s="1"/>
  <c r="AI122" i="52"/>
  <c r="AI148" i="52" s="1"/>
  <c r="AI196" i="52" s="1"/>
  <c r="AI108" i="52"/>
  <c r="AI134" i="52" s="1"/>
  <c r="AI182" i="52" s="1"/>
  <c r="AI118" i="52"/>
  <c r="AI144" i="52" s="1"/>
  <c r="AI192" i="52" s="1"/>
  <c r="AI248" i="52" s="1"/>
  <c r="AH142" i="63" s="1"/>
  <c r="AH166" i="63" s="1"/>
  <c r="AH90" i="64" s="1"/>
  <c r="AH157" i="64" s="1"/>
  <c r="AI109" i="52"/>
  <c r="AI135" i="52" s="1"/>
  <c r="AI183" i="52" s="1"/>
  <c r="AI106" i="52"/>
  <c r="AI132" i="52" s="1"/>
  <c r="AI180" i="52" s="1"/>
  <c r="AI236" i="52" s="1"/>
  <c r="AH130" i="63" s="1"/>
  <c r="AH154" i="63" s="1"/>
  <c r="AI120" i="52"/>
  <c r="AI146" i="52" s="1"/>
  <c r="AI194" i="52" s="1"/>
  <c r="AI119" i="52"/>
  <c r="AI145" i="52" s="1"/>
  <c r="AI193" i="52" s="1"/>
  <c r="AI115" i="52"/>
  <c r="AI141" i="52" s="1"/>
  <c r="AI189" i="52" s="1"/>
  <c r="AI111" i="52"/>
  <c r="AI137" i="52" s="1"/>
  <c r="AI185" i="52" s="1"/>
  <c r="AI113" i="52"/>
  <c r="AI139" i="52" s="1"/>
  <c r="AI187" i="52" s="1"/>
  <c r="AI243" i="52" s="1"/>
  <c r="AH137" i="63" s="1"/>
  <c r="AH161" i="63" s="1"/>
  <c r="AH85" i="64" s="1"/>
  <c r="AH152" i="64" s="1"/>
  <c r="AI116" i="52"/>
  <c r="AI142" i="52" s="1"/>
  <c r="AI190" i="52" s="1"/>
  <c r="AI246" i="52" s="1"/>
  <c r="AH140" i="63" s="1"/>
  <c r="AH164" i="63" s="1"/>
  <c r="AH88" i="64" s="1"/>
  <c r="AH155" i="64" s="1"/>
  <c r="AI117" i="52"/>
  <c r="AI143" i="52" s="1"/>
  <c r="AI191" i="52" s="1"/>
  <c r="AI107" i="52"/>
  <c r="AI133" i="52" s="1"/>
  <c r="AI181" i="52" s="1"/>
  <c r="AI112" i="52"/>
  <c r="AI138" i="52" s="1"/>
  <c r="AI186" i="52" s="1"/>
  <c r="AI242" i="52" s="1"/>
  <c r="AH136" i="63" s="1"/>
  <c r="AH160" i="63" s="1"/>
  <c r="AI110" i="52"/>
  <c r="AI136" i="52" s="1"/>
  <c r="AI184" i="52" s="1"/>
  <c r="AI240" i="52" s="1"/>
  <c r="AH134" i="63" s="1"/>
  <c r="AH158" i="63" s="1"/>
  <c r="AI105" i="52"/>
  <c r="AI131" i="52" s="1"/>
  <c r="AI179" i="52" s="1"/>
  <c r="AI17" i="67"/>
  <c r="AI134" i="64"/>
  <c r="AN130" i="50"/>
  <c r="AN131" i="50"/>
  <c r="AN135" i="50"/>
  <c r="AN95" i="50"/>
  <c r="AN94" i="50"/>
  <c r="AN99" i="50"/>
  <c r="AN107" i="50"/>
  <c r="AN106" i="50"/>
  <c r="AN111" i="50"/>
  <c r="AN113" i="50" s="1"/>
  <c r="AL55" i="50"/>
  <c r="AL59" i="50"/>
  <c r="AL77" i="50" s="1"/>
  <c r="AL54" i="50"/>
  <c r="AN68" i="50"/>
  <c r="AO64" i="50" s="1"/>
  <c r="AH22" i="63" l="1"/>
  <c r="AE163" i="64"/>
  <c r="AI251" i="52"/>
  <c r="AH145" i="63" s="1"/>
  <c r="AH169" i="63" s="1"/>
  <c r="AI249" i="52"/>
  <c r="AH143" i="63" s="1"/>
  <c r="AH167" i="63" s="1"/>
  <c r="AH92" i="67" s="1"/>
  <c r="AA128" i="67"/>
  <c r="AA137" i="67" s="1"/>
  <c r="AJ150" i="53"/>
  <c r="AI238" i="52"/>
  <c r="AH132" i="63" s="1"/>
  <c r="AH156" i="63" s="1"/>
  <c r="AI247" i="53"/>
  <c r="AI235" i="52"/>
  <c r="AH129" i="63" s="1"/>
  <c r="AI247" i="52"/>
  <c r="AH141" i="63" s="1"/>
  <c r="AH165" i="63" s="1"/>
  <c r="AH89" i="64" s="1"/>
  <c r="AH156" i="64" s="1"/>
  <c r="AI239" i="52"/>
  <c r="AH133" i="63" s="1"/>
  <c r="AH157" i="63" s="1"/>
  <c r="AJ245" i="53"/>
  <c r="AJ247" i="53" s="1"/>
  <c r="AG191" i="63"/>
  <c r="D53" i="64" s="1"/>
  <c r="H53" i="64" s="1"/>
  <c r="M53" i="64" s="1"/>
  <c r="AF40" i="63"/>
  <c r="AF41" i="63"/>
  <c r="AF30" i="63"/>
  <c r="AI237" i="52"/>
  <c r="AH131" i="63" s="1"/>
  <c r="AH155" i="63" s="1"/>
  <c r="AH85" i="67" s="1"/>
  <c r="AI241" i="52"/>
  <c r="AH135" i="63" s="1"/>
  <c r="AH159" i="63" s="1"/>
  <c r="AH83" i="64" s="1"/>
  <c r="AH150" i="64" s="1"/>
  <c r="AI252" i="52"/>
  <c r="AH146" i="63" s="1"/>
  <c r="AH170" i="63" s="1"/>
  <c r="AH94" i="64" s="1"/>
  <c r="AH161" i="64" s="1"/>
  <c r="AI244" i="52"/>
  <c r="AH138" i="63" s="1"/>
  <c r="AH162" i="63" s="1"/>
  <c r="AH86" i="64" s="1"/>
  <c r="AH153" i="64" s="1"/>
  <c r="AI245" i="52"/>
  <c r="AH139" i="63" s="1"/>
  <c r="AH163" i="63" s="1"/>
  <c r="AH87" i="64" s="1"/>
  <c r="AH154" i="64" s="1"/>
  <c r="AI250" i="52"/>
  <c r="AH144" i="63" s="1"/>
  <c r="AH168" i="63" s="1"/>
  <c r="AH93" i="67" s="1"/>
  <c r="X110" i="67"/>
  <c r="Y110" i="67"/>
  <c r="X106" i="67"/>
  <c r="Y106" i="67"/>
  <c r="X108" i="67"/>
  <c r="Y108" i="67"/>
  <c r="X104" i="67"/>
  <c r="Y104" i="67"/>
  <c r="X111" i="67"/>
  <c r="Y111" i="67"/>
  <c r="X112" i="67"/>
  <c r="Y112" i="67"/>
  <c r="X103" i="67"/>
  <c r="Y103" i="67"/>
  <c r="X109" i="67"/>
  <c r="Y109" i="67"/>
  <c r="X102" i="67"/>
  <c r="Y102" i="67"/>
  <c r="AH82" i="64"/>
  <c r="AH149" i="64" s="1"/>
  <c r="AH88" i="67"/>
  <c r="AH89" i="67"/>
  <c r="Y107" i="67" s="1"/>
  <c r="AH78" i="64"/>
  <c r="AH145" i="64" s="1"/>
  <c r="AH84" i="67"/>
  <c r="AH90" i="67"/>
  <c r="AH84" i="64"/>
  <c r="AH151" i="64" s="1"/>
  <c r="AH181" i="63"/>
  <c r="AH81" i="64"/>
  <c r="AH148" i="64" s="1"/>
  <c r="AH87" i="67"/>
  <c r="Y105" i="67" s="1"/>
  <c r="AH86" i="67"/>
  <c r="AH80" i="64"/>
  <c r="AH147" i="64" s="1"/>
  <c r="AH179" i="63"/>
  <c r="AH94" i="67"/>
  <c r="AH93" i="64"/>
  <c r="AH160" i="64" s="1"/>
  <c r="AJ83" i="50"/>
  <c r="AJ25" i="49" s="1"/>
  <c r="AJ26" i="49" s="1"/>
  <c r="AJ119" i="52"/>
  <c r="AJ116" i="52"/>
  <c r="AJ106" i="52"/>
  <c r="AJ109" i="52"/>
  <c r="AJ115" i="52"/>
  <c r="AJ114" i="52"/>
  <c r="AJ111" i="52"/>
  <c r="AJ108" i="52"/>
  <c r="AJ105" i="52"/>
  <c r="AJ110" i="52"/>
  <c r="AJ122" i="52"/>
  <c r="AJ107" i="52"/>
  <c r="AJ117" i="52"/>
  <c r="AJ121" i="52"/>
  <c r="AJ112" i="52"/>
  <c r="AJ113" i="52"/>
  <c r="AJ118" i="52"/>
  <c r="AJ120" i="52"/>
  <c r="AG153" i="63"/>
  <c r="AG147" i="63"/>
  <c r="AG119" i="64"/>
  <c r="AH26" i="63"/>
  <c r="AH26" i="54"/>
  <c r="Z121" i="67"/>
  <c r="Z128" i="67" s="1"/>
  <c r="Z137" i="67" s="1"/>
  <c r="AI104" i="64"/>
  <c r="AJ156" i="52"/>
  <c r="AJ204" i="52" s="1"/>
  <c r="AJ154" i="52"/>
  <c r="AJ202" i="52" s="1"/>
  <c r="AJ153" i="52"/>
  <c r="AJ201" i="52" s="1"/>
  <c r="AJ157" i="52"/>
  <c r="AJ205" i="52" s="1"/>
  <c r="AJ170" i="52"/>
  <c r="AJ218" i="52" s="1"/>
  <c r="AJ159" i="52"/>
  <c r="AJ207" i="52" s="1"/>
  <c r="AJ167" i="52"/>
  <c r="AJ215" i="52" s="1"/>
  <c r="AJ161" i="52"/>
  <c r="AJ209" i="52" s="1"/>
  <c r="AJ168" i="52"/>
  <c r="AJ216" i="52" s="1"/>
  <c r="AJ158" i="52"/>
  <c r="AJ206" i="52" s="1"/>
  <c r="AJ162" i="52"/>
  <c r="AJ210" i="52" s="1"/>
  <c r="AJ165" i="52"/>
  <c r="AJ213" i="52" s="1"/>
  <c r="AJ155" i="52"/>
  <c r="AJ203" i="52" s="1"/>
  <c r="AJ166" i="52"/>
  <c r="AJ214" i="52" s="1"/>
  <c r="AJ160" i="52"/>
  <c r="AJ208" i="52" s="1"/>
  <c r="AJ169" i="52"/>
  <c r="AJ217" i="52" s="1"/>
  <c r="AJ163" i="52"/>
  <c r="AJ211" i="52" s="1"/>
  <c r="AJ164" i="52"/>
  <c r="AJ212" i="52" s="1"/>
  <c r="AI19" i="51"/>
  <c r="AI20" i="51" s="1"/>
  <c r="AI27" i="51" s="1"/>
  <c r="AI12" i="52"/>
  <c r="AI40" i="49"/>
  <c r="AF52" i="63"/>
  <c r="AF50" i="63"/>
  <c r="W113" i="67"/>
  <c r="W142" i="67" s="1"/>
  <c r="W136" i="67"/>
  <c r="W139" i="67" s="1"/>
  <c r="AF144" i="64"/>
  <c r="AF95" i="64"/>
  <c r="AL139" i="50"/>
  <c r="AL91" i="49" s="1"/>
  <c r="AL92" i="49" s="1"/>
  <c r="AE169" i="64"/>
  <c r="AE170" i="64" s="1"/>
  <c r="AE124" i="64"/>
  <c r="AE123" i="64"/>
  <c r="AE125" i="64"/>
  <c r="AG24" i="54"/>
  <c r="AG28" i="54" s="1"/>
  <c r="AG24" i="63"/>
  <c r="AH256" i="52"/>
  <c r="AG45" i="63"/>
  <c r="AG194" i="63"/>
  <c r="AK93" i="47"/>
  <c r="AK12" i="54"/>
  <c r="AK69" i="49"/>
  <c r="AK11" i="63"/>
  <c r="AI103" i="64"/>
  <c r="AI27" i="47"/>
  <c r="AK163" i="53"/>
  <c r="AK211" i="53" s="1"/>
  <c r="AK157" i="53"/>
  <c r="AK205" i="53" s="1"/>
  <c r="AK170" i="53"/>
  <c r="AK218" i="53" s="1"/>
  <c r="AK167" i="53"/>
  <c r="AK215" i="53" s="1"/>
  <c r="AK155" i="53"/>
  <c r="AK203" i="53" s="1"/>
  <c r="AK158" i="53"/>
  <c r="AK206" i="53" s="1"/>
  <c r="AK154" i="53"/>
  <c r="AK202" i="53" s="1"/>
  <c r="AK169" i="53"/>
  <c r="AK217" i="53" s="1"/>
  <c r="AK166" i="53"/>
  <c r="AK214" i="53" s="1"/>
  <c r="AK159" i="53"/>
  <c r="AK207" i="53" s="1"/>
  <c r="AK165" i="53"/>
  <c r="AK213" i="53" s="1"/>
  <c r="AK164" i="53"/>
  <c r="AK212" i="53" s="1"/>
  <c r="AK156" i="53"/>
  <c r="AK204" i="53" s="1"/>
  <c r="AK162" i="53"/>
  <c r="AK210" i="53" s="1"/>
  <c r="AK171" i="53"/>
  <c r="AK219" i="53" s="1"/>
  <c r="AK168" i="53"/>
  <c r="AK216" i="53" s="1"/>
  <c r="AK161" i="53"/>
  <c r="AK209" i="53" s="1"/>
  <c r="AK160" i="53"/>
  <c r="AK208" i="53" s="1"/>
  <c r="AJ116" i="51"/>
  <c r="AJ117" i="51" s="1"/>
  <c r="AJ124" i="51" s="1"/>
  <c r="AJ72" i="49"/>
  <c r="AJ13" i="53"/>
  <c r="AK119" i="53"/>
  <c r="AK113" i="53"/>
  <c r="AK108" i="53"/>
  <c r="AK120" i="53"/>
  <c r="AK115" i="53"/>
  <c r="AK112" i="53"/>
  <c r="AK110" i="53"/>
  <c r="AK109" i="53"/>
  <c r="AK121" i="53"/>
  <c r="AK117" i="53"/>
  <c r="AK118" i="53"/>
  <c r="AK114" i="53"/>
  <c r="AK123" i="53"/>
  <c r="AK111" i="53"/>
  <c r="AK122" i="53"/>
  <c r="AK106" i="53"/>
  <c r="AK116" i="53"/>
  <c r="AK107" i="53"/>
  <c r="AF190" i="63"/>
  <c r="AF193" i="63" s="1"/>
  <c r="AF182" i="63"/>
  <c r="AF183" i="63" s="1"/>
  <c r="AF173" i="63"/>
  <c r="AF172" i="63"/>
  <c r="AL56" i="50"/>
  <c r="AN108" i="50"/>
  <c r="AO104" i="50" s="1"/>
  <c r="AN110" i="50"/>
  <c r="AO66" i="50"/>
  <c r="AO67" i="50"/>
  <c r="AO71" i="50"/>
  <c r="AO73" i="50" s="1"/>
  <c r="AN115" i="50"/>
  <c r="AN96" i="50"/>
  <c r="AO92" i="50" s="1"/>
  <c r="AN132" i="50"/>
  <c r="AO128" i="50" s="1"/>
  <c r="AI22" i="63" l="1"/>
  <c r="AH92" i="64"/>
  <c r="AH159" i="64" s="1"/>
  <c r="AH79" i="64"/>
  <c r="AH146" i="64" s="1"/>
  <c r="AG200" i="63"/>
  <c r="AG177" i="64" s="1"/>
  <c r="AI254" i="52"/>
  <c r="AH91" i="64"/>
  <c r="AH158" i="64" s="1"/>
  <c r="AG201" i="63"/>
  <c r="AG179" i="64" s="1"/>
  <c r="AI22" i="54"/>
  <c r="AH180" i="63"/>
  <c r="AH191" i="63" s="1"/>
  <c r="AH91" i="67"/>
  <c r="AG148" i="63"/>
  <c r="X135" i="67"/>
  <c r="AG28" i="63"/>
  <c r="AG44" i="63"/>
  <c r="AG47" i="63" s="1"/>
  <c r="Y135" i="67"/>
  <c r="AG180" i="64"/>
  <c r="AI111" i="64"/>
  <c r="AF118" i="64"/>
  <c r="C52" i="64"/>
  <c r="I52" i="64" s="1"/>
  <c r="AF192" i="63"/>
  <c r="AF195" i="63" s="1"/>
  <c r="AF197" i="63"/>
  <c r="AF198" i="63" s="1"/>
  <c r="AL119" i="50"/>
  <c r="AL57" i="49" s="1"/>
  <c r="AL58" i="49" s="1"/>
  <c r="AK140" i="53"/>
  <c r="AK188" i="53" s="1"/>
  <c r="AK234" i="53" s="1"/>
  <c r="AK141" i="53"/>
  <c r="AK189" i="53" s="1"/>
  <c r="AK235" i="53" s="1"/>
  <c r="AK143" i="53"/>
  <c r="AK191" i="53" s="1"/>
  <c r="AK237" i="53" s="1"/>
  <c r="AK136" i="53"/>
  <c r="AK184" i="53" s="1"/>
  <c r="AK230" i="53" s="1"/>
  <c r="AK134" i="53"/>
  <c r="AK182" i="53" s="1"/>
  <c r="AK228" i="53" s="1"/>
  <c r="AK139" i="53"/>
  <c r="AK187" i="53" s="1"/>
  <c r="AK233" i="53" s="1"/>
  <c r="AK145" i="53"/>
  <c r="AK193" i="53" s="1"/>
  <c r="AK239" i="53" s="1"/>
  <c r="AK137" i="53"/>
  <c r="AK185" i="53" s="1"/>
  <c r="AK231" i="53" s="1"/>
  <c r="AK142" i="53"/>
  <c r="AK190" i="53" s="1"/>
  <c r="AK236" i="53" s="1"/>
  <c r="AK149" i="53"/>
  <c r="AK197" i="53" s="1"/>
  <c r="AK243" i="53" s="1"/>
  <c r="AK148" i="53"/>
  <c r="AK196" i="53" s="1"/>
  <c r="AK242" i="53" s="1"/>
  <c r="AK147" i="53"/>
  <c r="AK195" i="53" s="1"/>
  <c r="AK241" i="53" s="1"/>
  <c r="AK146" i="53"/>
  <c r="AK194" i="53" s="1"/>
  <c r="AK240" i="53" s="1"/>
  <c r="AK138" i="53"/>
  <c r="AK186" i="53" s="1"/>
  <c r="AK232" i="53" s="1"/>
  <c r="AK144" i="53"/>
  <c r="AK192" i="53" s="1"/>
  <c r="AK238" i="53" s="1"/>
  <c r="AJ15" i="53"/>
  <c r="AK133" i="53"/>
  <c r="AK181" i="53" s="1"/>
  <c r="AK227" i="53" s="1"/>
  <c r="AK135" i="53"/>
  <c r="AK183" i="53" s="1"/>
  <c r="AK229" i="53" s="1"/>
  <c r="AK132" i="53"/>
  <c r="AK180" i="53" s="1"/>
  <c r="AK226" i="53" s="1"/>
  <c r="AQ182" i="51"/>
  <c r="AR182" i="51"/>
  <c r="AO182" i="51"/>
  <c r="AJ125" i="51"/>
  <c r="AM182" i="51"/>
  <c r="AN182" i="51"/>
  <c r="AK182" i="51"/>
  <c r="AK201" i="51" s="1"/>
  <c r="AK87" i="53" s="1"/>
  <c r="AS182" i="51"/>
  <c r="AL182" i="51"/>
  <c r="AT182" i="51"/>
  <c r="AP182" i="51"/>
  <c r="AK12" i="53"/>
  <c r="AK70" i="49"/>
  <c r="AL13" i="54"/>
  <c r="AL104" i="49"/>
  <c r="AL105" i="49" s="1"/>
  <c r="AL106" i="49" s="1"/>
  <c r="AL12" i="63"/>
  <c r="AL13" i="67" s="1"/>
  <c r="AL94" i="47"/>
  <c r="AF162" i="64"/>
  <c r="AF122" i="64"/>
  <c r="W143" i="67"/>
  <c r="AS84" i="51"/>
  <c r="AQ84" i="51"/>
  <c r="AL84" i="51"/>
  <c r="AK84" i="51"/>
  <c r="AN84" i="51"/>
  <c r="AM84" i="51"/>
  <c r="AI28" i="51"/>
  <c r="AJ84" i="51"/>
  <c r="AJ104" i="51" s="1"/>
  <c r="AJ86" i="52" s="1"/>
  <c r="AP84" i="51"/>
  <c r="AR84" i="51"/>
  <c r="AO84" i="51"/>
  <c r="AH194" i="63"/>
  <c r="AH45" i="63"/>
  <c r="AG83" i="67"/>
  <c r="X101" i="67" s="1"/>
  <c r="AG178" i="63"/>
  <c r="AG77" i="64"/>
  <c r="AG171" i="63"/>
  <c r="AH153" i="63"/>
  <c r="AH147" i="63"/>
  <c r="E55" i="64"/>
  <c r="AI29" i="47"/>
  <c r="AI30" i="47"/>
  <c r="AK12" i="67"/>
  <c r="AG120" i="64"/>
  <c r="AG248" i="63"/>
  <c r="AG250" i="63" s="1"/>
  <c r="AG30" i="54"/>
  <c r="AJ147" i="52"/>
  <c r="AJ195" i="52" s="1"/>
  <c r="AJ251" i="52" s="1"/>
  <c r="AI145" i="63" s="1"/>
  <c r="AI169" i="63" s="1"/>
  <c r="AJ137" i="52"/>
  <c r="AJ185" i="52" s="1"/>
  <c r="AJ241" i="52" s="1"/>
  <c r="AI135" i="63" s="1"/>
  <c r="AI159" i="63" s="1"/>
  <c r="AJ148" i="52"/>
  <c r="AJ196" i="52" s="1"/>
  <c r="AJ252" i="52" s="1"/>
  <c r="AI146" i="63" s="1"/>
  <c r="AI170" i="63" s="1"/>
  <c r="AI94" i="64" s="1"/>
  <c r="AI161" i="64" s="1"/>
  <c r="AJ144" i="52"/>
  <c r="AJ192" i="52" s="1"/>
  <c r="AJ248" i="52" s="1"/>
  <c r="AI142" i="63" s="1"/>
  <c r="AI166" i="63" s="1"/>
  <c r="AI90" i="64" s="1"/>
  <c r="AI157" i="64" s="1"/>
  <c r="AJ131" i="52"/>
  <c r="AJ179" i="52" s="1"/>
  <c r="AJ235" i="52" s="1"/>
  <c r="AJ132" i="52"/>
  <c r="AJ180" i="52" s="1"/>
  <c r="AJ236" i="52" s="1"/>
  <c r="AI130" i="63" s="1"/>
  <c r="AI154" i="63" s="1"/>
  <c r="AJ139" i="52"/>
  <c r="AJ187" i="52" s="1"/>
  <c r="AJ243" i="52" s="1"/>
  <c r="AI137" i="63" s="1"/>
  <c r="AI161" i="63" s="1"/>
  <c r="AI85" i="64" s="1"/>
  <c r="AI152" i="64" s="1"/>
  <c r="AJ146" i="52"/>
  <c r="AJ194" i="52" s="1"/>
  <c r="AJ250" i="52" s="1"/>
  <c r="AI144" i="63" s="1"/>
  <c r="AI168" i="63" s="1"/>
  <c r="AJ142" i="52"/>
  <c r="AJ190" i="52" s="1"/>
  <c r="AJ246" i="52" s="1"/>
  <c r="AI140" i="63" s="1"/>
  <c r="AI164" i="63" s="1"/>
  <c r="AI88" i="64" s="1"/>
  <c r="AI155" i="64" s="1"/>
  <c r="AI14" i="52"/>
  <c r="AJ140" i="52"/>
  <c r="AJ188" i="52" s="1"/>
  <c r="AJ244" i="52" s="1"/>
  <c r="AI138" i="63" s="1"/>
  <c r="AI162" i="63" s="1"/>
  <c r="AJ134" i="52"/>
  <c r="AJ182" i="52" s="1"/>
  <c r="AJ238" i="52" s="1"/>
  <c r="AI132" i="63" s="1"/>
  <c r="AI156" i="63" s="1"/>
  <c r="AJ136" i="52"/>
  <c r="AJ184" i="52" s="1"/>
  <c r="AJ240" i="52" s="1"/>
  <c r="AI134" i="63" s="1"/>
  <c r="AI158" i="63" s="1"/>
  <c r="AJ143" i="52"/>
  <c r="AJ191" i="52" s="1"/>
  <c r="AJ247" i="52" s="1"/>
  <c r="AI141" i="63" s="1"/>
  <c r="AI165" i="63" s="1"/>
  <c r="AI89" i="64" s="1"/>
  <c r="AI156" i="64" s="1"/>
  <c r="AJ133" i="52"/>
  <c r="AJ181" i="52" s="1"/>
  <c r="AJ237" i="52" s="1"/>
  <c r="AI131" i="63" s="1"/>
  <c r="AI155" i="63" s="1"/>
  <c r="AJ141" i="52"/>
  <c r="AJ189" i="52" s="1"/>
  <c r="AJ245" i="52" s="1"/>
  <c r="AI139" i="63" s="1"/>
  <c r="AI163" i="63" s="1"/>
  <c r="AI87" i="64" s="1"/>
  <c r="AI154" i="64" s="1"/>
  <c r="AJ138" i="52"/>
  <c r="AJ186" i="52" s="1"/>
  <c r="AJ242" i="52" s="1"/>
  <c r="AI136" i="63" s="1"/>
  <c r="AI160" i="63" s="1"/>
  <c r="AJ135" i="52"/>
  <c r="AJ183" i="52" s="1"/>
  <c r="AJ239" i="52" s="1"/>
  <c r="AI133" i="63" s="1"/>
  <c r="AI157" i="63" s="1"/>
  <c r="AJ145" i="52"/>
  <c r="AJ193" i="52" s="1"/>
  <c r="AJ249" i="52" s="1"/>
  <c r="AI143" i="63" s="1"/>
  <c r="AI167" i="63" s="1"/>
  <c r="Q53" i="64"/>
  <c r="AJ28" i="49"/>
  <c r="AJ92" i="47"/>
  <c r="AJ14" i="54"/>
  <c r="AJ15" i="54" s="1"/>
  <c r="AJ16" i="54" s="1"/>
  <c r="AJ13" i="63"/>
  <c r="AJ14" i="63" s="1"/>
  <c r="AJ37" i="49"/>
  <c r="AH24" i="54"/>
  <c r="AH28" i="54" s="1"/>
  <c r="AH30" i="54" s="1"/>
  <c r="AI256" i="52"/>
  <c r="AH24" i="63"/>
  <c r="AM52" i="50"/>
  <c r="AM59" i="50" s="1"/>
  <c r="AM77" i="50" s="1"/>
  <c r="AO106" i="50"/>
  <c r="AO111" i="50"/>
  <c r="AO113" i="50" s="1"/>
  <c r="AO107" i="50"/>
  <c r="AO99" i="50"/>
  <c r="AO95" i="50"/>
  <c r="AO94" i="50"/>
  <c r="AO130" i="50"/>
  <c r="AO135" i="50"/>
  <c r="AO131" i="50"/>
  <c r="AO68" i="50"/>
  <c r="AP64" i="50" s="1"/>
  <c r="AG48" i="63" l="1"/>
  <c r="AH201" i="63"/>
  <c r="AH179" i="64" s="1"/>
  <c r="AH200" i="63"/>
  <c r="AH177" i="64" s="1"/>
  <c r="D54" i="64"/>
  <c r="H54" i="64" s="1"/>
  <c r="M54" i="64" s="1"/>
  <c r="AH119" i="64"/>
  <c r="AK245" i="53"/>
  <c r="AG41" i="63"/>
  <c r="AG40" i="63"/>
  <c r="AG30" i="63"/>
  <c r="X163" i="67"/>
  <c r="Y163" i="67" s="1"/>
  <c r="AH28" i="63"/>
  <c r="AH40" i="63" s="1"/>
  <c r="AH44" i="63"/>
  <c r="AH47" i="63" s="1"/>
  <c r="AJ15" i="67"/>
  <c r="AJ16" i="63"/>
  <c r="AH148" i="63"/>
  <c r="AF163" i="64"/>
  <c r="AJ11" i="52"/>
  <c r="AK227" i="52" s="1"/>
  <c r="AK228" i="52" s="1"/>
  <c r="AJ38" i="49"/>
  <c r="AI87" i="67"/>
  <c r="Z105" i="67" s="1"/>
  <c r="AI81" i="64"/>
  <c r="AI148" i="64" s="1"/>
  <c r="AI80" i="64"/>
  <c r="AI147" i="64" s="1"/>
  <c r="AI86" i="67"/>
  <c r="AI179" i="63"/>
  <c r="AI191" i="63" s="1"/>
  <c r="AI93" i="67"/>
  <c r="AI92" i="64"/>
  <c r="AI159" i="64" s="1"/>
  <c r="AI84" i="67"/>
  <c r="Z102" i="67" s="1"/>
  <c r="AI78" i="64"/>
  <c r="AI145" i="64" s="1"/>
  <c r="AI83" i="64"/>
  <c r="AI150" i="64" s="1"/>
  <c r="AI89" i="67"/>
  <c r="AI26" i="63"/>
  <c r="AI26" i="54"/>
  <c r="AH83" i="67"/>
  <c r="Y101" i="67" s="1"/>
  <c r="AH77" i="64"/>
  <c r="AH178" i="63"/>
  <c r="AH171" i="63"/>
  <c r="AG144" i="64"/>
  <c r="AG95" i="64"/>
  <c r="X136" i="67"/>
  <c r="X139" i="67" s="1"/>
  <c r="X113" i="67"/>
  <c r="X142" i="67" s="1"/>
  <c r="AH120" i="64"/>
  <c r="AH248" i="63"/>
  <c r="AH250" i="63" s="1"/>
  <c r="AK120" i="52"/>
  <c r="AK110" i="52"/>
  <c r="AK108" i="52"/>
  <c r="AK106" i="52"/>
  <c r="AK117" i="52"/>
  <c r="AK109" i="52"/>
  <c r="AK114" i="52"/>
  <c r="AK116" i="52"/>
  <c r="AK113" i="52"/>
  <c r="AK118" i="52"/>
  <c r="AK122" i="52"/>
  <c r="AK105" i="52"/>
  <c r="AK119" i="52"/>
  <c r="AK112" i="52"/>
  <c r="AK115" i="52"/>
  <c r="AK107" i="52"/>
  <c r="AK111" i="52"/>
  <c r="AK121" i="52"/>
  <c r="AG52" i="63"/>
  <c r="AG50" i="63"/>
  <c r="AK13" i="53"/>
  <c r="AK72" i="49"/>
  <c r="AK116" i="51"/>
  <c r="AK117" i="51" s="1"/>
  <c r="AK124" i="51" s="1"/>
  <c r="AL108" i="53"/>
  <c r="AL116" i="53"/>
  <c r="AL119" i="53"/>
  <c r="AL117" i="53"/>
  <c r="AL120" i="53"/>
  <c r="AL122" i="53"/>
  <c r="AL111" i="53"/>
  <c r="AL114" i="53"/>
  <c r="AL123" i="53"/>
  <c r="AL112" i="53"/>
  <c r="AL109" i="53"/>
  <c r="AL118" i="53"/>
  <c r="AL121" i="53"/>
  <c r="AL110" i="53"/>
  <c r="AL107" i="53"/>
  <c r="AL113" i="53"/>
  <c r="AL115" i="53"/>
  <c r="AL106" i="53"/>
  <c r="AJ22" i="54"/>
  <c r="AK247" i="53"/>
  <c r="AJ22" i="63"/>
  <c r="AL69" i="49"/>
  <c r="AL93" i="47"/>
  <c r="AL12" i="54"/>
  <c r="AL11" i="63"/>
  <c r="AF125" i="64"/>
  <c r="N52" i="64"/>
  <c r="O52" i="64" s="1"/>
  <c r="AM139" i="50"/>
  <c r="AM91" i="49" s="1"/>
  <c r="AM92" i="49" s="1"/>
  <c r="AK83" i="50"/>
  <c r="AK25" i="49" s="1"/>
  <c r="AK26" i="49" s="1"/>
  <c r="AH41" i="63"/>
  <c r="AJ14" i="67"/>
  <c r="AJ288" i="63"/>
  <c r="AJ289" i="63"/>
  <c r="AJ181" i="47"/>
  <c r="AJ182" i="47" s="1"/>
  <c r="AJ219" i="47" s="1"/>
  <c r="AJ220" i="47" s="1"/>
  <c r="AJ19" i="47" s="1"/>
  <c r="AJ104" i="64" s="1"/>
  <c r="AJ96" i="47"/>
  <c r="AJ165" i="47" s="1"/>
  <c r="AJ166" i="47" s="1"/>
  <c r="AJ18" i="47" s="1"/>
  <c r="AB120" i="67" s="1"/>
  <c r="AI92" i="67"/>
  <c r="Z110" i="67" s="1"/>
  <c r="AI91" i="64"/>
  <c r="AI158" i="64" s="1"/>
  <c r="AI84" i="64"/>
  <c r="AI151" i="64" s="1"/>
  <c r="AI181" i="63"/>
  <c r="AI90" i="67"/>
  <c r="Z108" i="67" s="1"/>
  <c r="AI85" i="67"/>
  <c r="Z103" i="67" s="1"/>
  <c r="AI79" i="64"/>
  <c r="AI146" i="64" s="1"/>
  <c r="AI82" i="64"/>
  <c r="AI149" i="64" s="1"/>
  <c r="AI88" i="67"/>
  <c r="Z106" i="67" s="1"/>
  <c r="AI180" i="63"/>
  <c r="AI86" i="64"/>
  <c r="AI153" i="64" s="1"/>
  <c r="AI91" i="67"/>
  <c r="Z109" i="67" s="1"/>
  <c r="AI129" i="63"/>
  <c r="AJ254" i="52"/>
  <c r="AI94" i="67"/>
  <c r="Z112" i="67" s="1"/>
  <c r="AI93" i="64"/>
  <c r="AI160" i="64" s="1"/>
  <c r="AG172" i="63"/>
  <c r="AG173" i="63"/>
  <c r="AG190" i="63"/>
  <c r="AG182" i="63"/>
  <c r="AG183" i="63" s="1"/>
  <c r="AF169" i="64"/>
  <c r="AF170" i="64" s="1"/>
  <c r="AF124" i="64"/>
  <c r="AF123" i="64"/>
  <c r="AK71" i="49"/>
  <c r="AK14" i="53" s="1"/>
  <c r="AK150" i="53"/>
  <c r="AM55" i="50"/>
  <c r="AM54" i="50"/>
  <c r="AM56" i="50" s="1"/>
  <c r="AO115" i="50"/>
  <c r="AP67" i="50"/>
  <c r="AP66" i="50"/>
  <c r="AP71" i="50"/>
  <c r="AP73" i="50" s="1"/>
  <c r="AO110" i="50"/>
  <c r="AO108" i="50"/>
  <c r="AP104" i="50" s="1"/>
  <c r="AO132" i="50"/>
  <c r="AP128" i="50" s="1"/>
  <c r="AO96" i="50"/>
  <c r="AP92" i="50" s="1"/>
  <c r="AH30" i="63" l="1"/>
  <c r="AH48" i="63"/>
  <c r="AH180" i="64"/>
  <c r="AJ290" i="63"/>
  <c r="X143" i="67"/>
  <c r="AJ134" i="64"/>
  <c r="AJ17" i="67"/>
  <c r="Q54" i="64"/>
  <c r="Z111" i="67"/>
  <c r="AA111" i="67"/>
  <c r="Z104" i="67"/>
  <c r="AA104" i="67"/>
  <c r="Z107" i="67"/>
  <c r="AA107" i="67"/>
  <c r="AG118" i="64"/>
  <c r="C53" i="64"/>
  <c r="I53" i="64" s="1"/>
  <c r="N53" i="64" s="1"/>
  <c r="O53" i="64" s="1"/>
  <c r="AG192" i="63"/>
  <c r="AG195" i="63" s="1"/>
  <c r="AG197" i="63"/>
  <c r="AG198" i="63" s="1"/>
  <c r="AI24" i="54"/>
  <c r="AI28" i="54" s="1"/>
  <c r="AI30" i="54" s="1"/>
  <c r="AJ256" i="52"/>
  <c r="AI24" i="63"/>
  <c r="AJ103" i="64"/>
  <c r="AJ111" i="64" s="1"/>
  <c r="AJ27" i="47"/>
  <c r="AK13" i="63"/>
  <c r="AK14" i="63" s="1"/>
  <c r="AK14" i="54"/>
  <c r="AK15" i="54" s="1"/>
  <c r="AK16" i="54" s="1"/>
  <c r="AK92" i="47"/>
  <c r="AK37" i="49"/>
  <c r="AK28" i="49"/>
  <c r="AM12" i="63"/>
  <c r="AM13" i="67" s="1"/>
  <c r="AM13" i="54"/>
  <c r="AM94" i="47"/>
  <c r="AM104" i="49"/>
  <c r="AM105" i="49" s="1"/>
  <c r="AM106" i="49" s="1"/>
  <c r="AL12" i="67"/>
  <c r="AH190" i="63"/>
  <c r="AH182" i="63"/>
  <c r="AH183" i="63" s="1"/>
  <c r="Y113" i="67"/>
  <c r="Y142" i="67" s="1"/>
  <c r="Y136" i="67"/>
  <c r="Y139" i="67" s="1"/>
  <c r="AI194" i="63"/>
  <c r="AI201" i="63" s="1"/>
  <c r="AI179" i="64" s="1"/>
  <c r="AI45" i="63"/>
  <c r="AI119" i="64"/>
  <c r="AI200" i="63"/>
  <c r="AI177" i="64" s="1"/>
  <c r="D55" i="64"/>
  <c r="H55" i="64" s="1"/>
  <c r="M55" i="64" s="1"/>
  <c r="AJ12" i="52"/>
  <c r="AJ14" i="52" s="1"/>
  <c r="AJ19" i="51"/>
  <c r="AJ20" i="51" s="1"/>
  <c r="AJ27" i="51" s="1"/>
  <c r="AJ40" i="49"/>
  <c r="AM119" i="50"/>
  <c r="AM57" i="49" s="1"/>
  <c r="AM58" i="49" s="1"/>
  <c r="AL165" i="53"/>
  <c r="AL213" i="53" s="1"/>
  <c r="AL168" i="53"/>
  <c r="AL216" i="53" s="1"/>
  <c r="AL157" i="53"/>
  <c r="AL205" i="53" s="1"/>
  <c r="AL158" i="53"/>
  <c r="AL206" i="53" s="1"/>
  <c r="AL156" i="53"/>
  <c r="AL204" i="53" s="1"/>
  <c r="AL155" i="53"/>
  <c r="AL203" i="53" s="1"/>
  <c r="AL166" i="53"/>
  <c r="AL214" i="53" s="1"/>
  <c r="AL163" i="53"/>
  <c r="AL211" i="53" s="1"/>
  <c r="AL162" i="53"/>
  <c r="AL210" i="53" s="1"/>
  <c r="AL160" i="53"/>
  <c r="AL208" i="53" s="1"/>
  <c r="AL164" i="53"/>
  <c r="AL212" i="53" s="1"/>
  <c r="AL171" i="53"/>
  <c r="AL219" i="53" s="1"/>
  <c r="AL167" i="53"/>
  <c r="AL215" i="53" s="1"/>
  <c r="AL169" i="53"/>
  <c r="AL217" i="53" s="1"/>
  <c r="AL159" i="53"/>
  <c r="AL207" i="53" s="1"/>
  <c r="AL170" i="53"/>
  <c r="AL218" i="53" s="1"/>
  <c r="AL161" i="53"/>
  <c r="AL209" i="53" s="1"/>
  <c r="AL154" i="53"/>
  <c r="AL202" i="53" s="1"/>
  <c r="AH50" i="63"/>
  <c r="AH52" i="63"/>
  <c r="AG193" i="63"/>
  <c r="AI153" i="63"/>
  <c r="AI147" i="63"/>
  <c r="AI148" i="63" s="1"/>
  <c r="AL70" i="49"/>
  <c r="AL12" i="53"/>
  <c r="AN183" i="51"/>
  <c r="AS183" i="51"/>
  <c r="AT183" i="51"/>
  <c r="AU183" i="51"/>
  <c r="AR183" i="51"/>
  <c r="AL183" i="51"/>
  <c r="AL201" i="51" s="1"/>
  <c r="AL87" i="53" s="1"/>
  <c r="AM183" i="51"/>
  <c r="AK125" i="51"/>
  <c r="AO183" i="51"/>
  <c r="AQ183" i="51"/>
  <c r="AP183" i="51"/>
  <c r="AL140" i="53"/>
  <c r="AL188" i="53" s="1"/>
  <c r="AL147" i="53"/>
  <c r="AL195" i="53" s="1"/>
  <c r="AL141" i="53"/>
  <c r="AL189" i="53" s="1"/>
  <c r="AL145" i="53"/>
  <c r="AL193" i="53" s="1"/>
  <c r="AL149" i="53"/>
  <c r="AL197" i="53" s="1"/>
  <c r="AL139" i="53"/>
  <c r="AL187" i="53" s="1"/>
  <c r="AL144" i="53"/>
  <c r="AL192" i="53" s="1"/>
  <c r="AL132" i="53"/>
  <c r="AL180" i="53" s="1"/>
  <c r="AL143" i="53"/>
  <c r="AL191" i="53" s="1"/>
  <c r="AL237" i="53" s="1"/>
  <c r="AK15" i="53"/>
  <c r="AL133" i="53"/>
  <c r="AL181" i="53" s="1"/>
  <c r="AL146" i="53"/>
  <c r="AL194" i="53" s="1"/>
  <c r="AL134" i="53"/>
  <c r="AL182" i="53" s="1"/>
  <c r="AL137" i="53"/>
  <c r="AL185" i="53" s="1"/>
  <c r="AL136" i="53"/>
  <c r="AL184" i="53" s="1"/>
  <c r="AL148" i="53"/>
  <c r="AL196" i="53" s="1"/>
  <c r="AL142" i="53"/>
  <c r="AL190" i="53" s="1"/>
  <c r="AL135" i="53"/>
  <c r="AL183" i="53" s="1"/>
  <c r="AL138" i="53"/>
  <c r="AL186" i="53" s="1"/>
  <c r="AG162" i="64"/>
  <c r="AG163" i="64" s="1"/>
  <c r="AG122" i="64"/>
  <c r="AH173" i="63"/>
  <c r="AH172" i="63"/>
  <c r="AH193" i="63"/>
  <c r="AH144" i="64"/>
  <c r="AH95" i="64"/>
  <c r="AJ39" i="49"/>
  <c r="AJ13" i="52" s="1"/>
  <c r="AN52" i="50"/>
  <c r="AN55" i="50" s="1"/>
  <c r="AP99" i="50"/>
  <c r="AP95" i="50"/>
  <c r="AP94" i="50"/>
  <c r="AP131" i="50"/>
  <c r="AP130" i="50"/>
  <c r="AP135" i="50"/>
  <c r="AP111" i="50"/>
  <c r="AP113" i="50" s="1"/>
  <c r="AP107" i="50"/>
  <c r="AP106" i="50"/>
  <c r="AP68" i="50"/>
  <c r="AQ64" i="50" s="1"/>
  <c r="AK141" i="52" l="1"/>
  <c r="AK189" i="52" s="1"/>
  <c r="AL226" i="53"/>
  <c r="Q55" i="64"/>
  <c r="AL150" i="53"/>
  <c r="AI44" i="63"/>
  <c r="AI47" i="63" s="1"/>
  <c r="AI28" i="63"/>
  <c r="AK15" i="67"/>
  <c r="AK16" i="63"/>
  <c r="Y143" i="67"/>
  <c r="Z135" i="67"/>
  <c r="Z163" i="67" s="1"/>
  <c r="AK140" i="52"/>
  <c r="AK188" i="52" s="1"/>
  <c r="AK134" i="52"/>
  <c r="AK182" i="52" s="1"/>
  <c r="AK148" i="52"/>
  <c r="AK196" i="52" s="1"/>
  <c r="AL243" i="53"/>
  <c r="AL232" i="53"/>
  <c r="AL235" i="53"/>
  <c r="AL227" i="53"/>
  <c r="AL230" i="53"/>
  <c r="AI180" i="64"/>
  <c r="AH162" i="64"/>
  <c r="AH122" i="64"/>
  <c r="AN139" i="50"/>
  <c r="AN91" i="49" s="1"/>
  <c r="AN92" i="49" s="1"/>
  <c r="AL71" i="49"/>
  <c r="AL14" i="53" s="1"/>
  <c r="AL13" i="53"/>
  <c r="AL72" i="49"/>
  <c r="AL116" i="51"/>
  <c r="AL117" i="51" s="1"/>
  <c r="AL124" i="51" s="1"/>
  <c r="AI77" i="64"/>
  <c r="AI178" i="63"/>
  <c r="AI83" i="67"/>
  <c r="Z101" i="67" s="1"/>
  <c r="AI171" i="63"/>
  <c r="AL242" i="53"/>
  <c r="AL241" i="53"/>
  <c r="AL240" i="53"/>
  <c r="AM11" i="63"/>
  <c r="AM69" i="49"/>
  <c r="AM12" i="54"/>
  <c r="AM93" i="47"/>
  <c r="AI120" i="64"/>
  <c r="AI248" i="63"/>
  <c r="AI250" i="63" s="1"/>
  <c r="AH118" i="64"/>
  <c r="AH192" i="63"/>
  <c r="AH195" i="63" s="1"/>
  <c r="C54" i="64"/>
  <c r="I54" i="64" s="1"/>
  <c r="AH197" i="63"/>
  <c r="AH198" i="63" s="1"/>
  <c r="AK132" i="52"/>
  <c r="AK180" i="52" s="1"/>
  <c r="AK142" i="52"/>
  <c r="AK190" i="52" s="1"/>
  <c r="AK131" i="52"/>
  <c r="AK179" i="52" s="1"/>
  <c r="AK133" i="52"/>
  <c r="AK181" i="52" s="1"/>
  <c r="AK38" i="49"/>
  <c r="AK39" i="49" s="1"/>
  <c r="AK13" i="52" s="1"/>
  <c r="AK11" i="52"/>
  <c r="AL227" i="52" s="1"/>
  <c r="AL228" i="52" s="1"/>
  <c r="E56" i="64"/>
  <c r="AJ30" i="47"/>
  <c r="AJ29" i="47"/>
  <c r="AK160" i="52"/>
  <c r="AK208" i="52" s="1"/>
  <c r="AK154" i="52"/>
  <c r="AK202" i="52" s="1"/>
  <c r="AK169" i="52"/>
  <c r="AK217" i="52" s="1"/>
  <c r="AK170" i="52"/>
  <c r="AK218" i="52" s="1"/>
  <c r="AK167" i="52"/>
  <c r="AK215" i="52" s="1"/>
  <c r="AK166" i="52"/>
  <c r="AK214" i="52" s="1"/>
  <c r="AK158" i="52"/>
  <c r="AK206" i="52" s="1"/>
  <c r="AK161" i="52"/>
  <c r="AK209" i="52" s="1"/>
  <c r="AK168" i="52"/>
  <c r="AK216" i="52" s="1"/>
  <c r="AK162" i="52"/>
  <c r="AK210" i="52" s="1"/>
  <c r="AK244" i="52" s="1"/>
  <c r="AJ138" i="63" s="1"/>
  <c r="AJ162" i="63" s="1"/>
  <c r="AK165" i="52"/>
  <c r="AK213" i="52" s="1"/>
  <c r="AK156" i="52"/>
  <c r="AK204" i="52" s="1"/>
  <c r="AK157" i="52"/>
  <c r="AK205" i="52" s="1"/>
  <c r="AK159" i="52"/>
  <c r="AK207" i="52" s="1"/>
  <c r="AK155" i="52"/>
  <c r="AK203" i="52" s="1"/>
  <c r="AK237" i="52" s="1"/>
  <c r="AJ131" i="63" s="1"/>
  <c r="AJ155" i="63" s="1"/>
  <c r="AK153" i="52"/>
  <c r="AK201" i="52" s="1"/>
  <c r="AK163" i="52"/>
  <c r="AK211" i="52" s="1"/>
  <c r="AK245" i="52" s="1"/>
  <c r="AJ139" i="63" s="1"/>
  <c r="AJ163" i="63" s="1"/>
  <c r="AJ87" i="64" s="1"/>
  <c r="AJ154" i="64" s="1"/>
  <c r="AK164" i="52"/>
  <c r="AK212" i="52" s="1"/>
  <c r="AG169" i="64"/>
  <c r="AG170" i="64" s="1"/>
  <c r="AG124" i="64"/>
  <c r="AG125" i="64"/>
  <c r="AG123" i="64"/>
  <c r="AK146" i="52"/>
  <c r="AK194" i="52" s="1"/>
  <c r="AK143" i="52"/>
  <c r="AK191" i="52" s="1"/>
  <c r="AK139" i="52"/>
  <c r="AK187" i="52" s="1"/>
  <c r="AK145" i="52"/>
  <c r="AK193" i="52" s="1"/>
  <c r="AK137" i="52"/>
  <c r="AK185" i="52" s="1"/>
  <c r="AM114" i="53"/>
  <c r="AM119" i="53"/>
  <c r="AM145" i="53" s="1"/>
  <c r="AM193" i="53" s="1"/>
  <c r="AM108" i="53"/>
  <c r="AM112" i="53"/>
  <c r="AM123" i="53"/>
  <c r="AM149" i="53" s="1"/>
  <c r="AM197" i="53" s="1"/>
  <c r="AM113" i="53"/>
  <c r="AM139" i="53" s="1"/>
  <c r="AM187" i="53" s="1"/>
  <c r="AM109" i="53"/>
  <c r="AM118" i="53"/>
  <c r="AM115" i="53"/>
  <c r="AM141" i="53" s="1"/>
  <c r="AM189" i="53" s="1"/>
  <c r="AM121" i="53"/>
  <c r="AM147" i="53" s="1"/>
  <c r="AM195" i="53" s="1"/>
  <c r="AM111" i="53"/>
  <c r="AM117" i="53"/>
  <c r="AM122" i="53"/>
  <c r="AM148" i="53" s="1"/>
  <c r="AM196" i="53" s="1"/>
  <c r="AM110" i="53"/>
  <c r="AM136" i="53" s="1"/>
  <c r="AM184" i="53" s="1"/>
  <c r="AM106" i="53"/>
  <c r="AM107" i="53"/>
  <c r="AM120" i="53"/>
  <c r="AM146" i="53" s="1"/>
  <c r="AM194" i="53" s="1"/>
  <c r="AM116" i="53"/>
  <c r="AM142" i="53" s="1"/>
  <c r="AM190" i="53" s="1"/>
  <c r="AL233" i="53"/>
  <c r="AL231" i="53"/>
  <c r="AL239" i="53"/>
  <c r="AL236" i="53"/>
  <c r="AL234" i="53"/>
  <c r="AL238" i="53"/>
  <c r="AL228" i="53"/>
  <c r="AL229" i="53"/>
  <c r="AK85" i="51"/>
  <c r="AK104" i="51" s="1"/>
  <c r="AK86" i="52" s="1"/>
  <c r="AQ85" i="51"/>
  <c r="AJ28" i="51"/>
  <c r="AR85" i="51"/>
  <c r="AT85" i="51"/>
  <c r="AN85" i="51"/>
  <c r="AS85" i="51"/>
  <c r="AM85" i="51"/>
  <c r="AL85" i="51"/>
  <c r="AO85" i="51"/>
  <c r="AP85" i="51"/>
  <c r="AI48" i="63"/>
  <c r="AK136" i="52"/>
  <c r="AK184" i="52" s="1"/>
  <c r="AK135" i="52"/>
  <c r="AK183" i="52" s="1"/>
  <c r="AK144" i="52"/>
  <c r="AK192" i="52" s="1"/>
  <c r="AK138" i="52"/>
  <c r="AK186" i="52" s="1"/>
  <c r="AK147" i="52"/>
  <c r="AK195" i="52" s="1"/>
  <c r="AK181" i="47"/>
  <c r="AK182" i="47" s="1"/>
  <c r="AK219" i="47" s="1"/>
  <c r="AK220" i="47" s="1"/>
  <c r="AK19" i="47" s="1"/>
  <c r="AC121" i="67" s="1"/>
  <c r="AK96" i="47"/>
  <c r="AK165" i="47" s="1"/>
  <c r="AK166" i="47" s="1"/>
  <c r="AK18" i="47" s="1"/>
  <c r="AC120" i="67" s="1"/>
  <c r="AK14" i="67"/>
  <c r="AK289" i="63"/>
  <c r="AK288" i="63"/>
  <c r="AN59" i="50"/>
  <c r="AN77" i="50" s="1"/>
  <c r="AN54" i="50"/>
  <c r="AQ67" i="50"/>
  <c r="AQ66" i="50"/>
  <c r="AQ71" i="50"/>
  <c r="AQ73" i="50" s="1"/>
  <c r="AP96" i="50"/>
  <c r="AQ92" i="50" s="1"/>
  <c r="AP108" i="50"/>
  <c r="AQ104" i="50" s="1"/>
  <c r="AP110" i="50"/>
  <c r="AP132" i="50"/>
  <c r="AQ128" i="50" s="1"/>
  <c r="AP115" i="50"/>
  <c r="AM133" i="53" l="1"/>
  <c r="AM181" i="53" s="1"/>
  <c r="AM143" i="53"/>
  <c r="AM191" i="53" s="1"/>
  <c r="AM144" i="53"/>
  <c r="AM192" i="53" s="1"/>
  <c r="AM138" i="53"/>
  <c r="AM186" i="53" s="1"/>
  <c r="AM132" i="53"/>
  <c r="AM180" i="53" s="1"/>
  <c r="AM137" i="53"/>
  <c r="AM185" i="53" s="1"/>
  <c r="AM135" i="53"/>
  <c r="AM183" i="53" s="1"/>
  <c r="AM134" i="53"/>
  <c r="AM182" i="53" s="1"/>
  <c r="AK290" i="63"/>
  <c r="AK246" i="52"/>
  <c r="AJ140" i="63" s="1"/>
  <c r="AJ164" i="63" s="1"/>
  <c r="AJ88" i="64" s="1"/>
  <c r="AJ155" i="64" s="1"/>
  <c r="AK252" i="52"/>
  <c r="AJ146" i="63" s="1"/>
  <c r="AJ170" i="63" s="1"/>
  <c r="AJ94" i="64" s="1"/>
  <c r="AJ161" i="64" s="1"/>
  <c r="AC128" i="67"/>
  <c r="AC137" i="67" s="1"/>
  <c r="AL245" i="53"/>
  <c r="AL247" i="53" s="1"/>
  <c r="AK22" i="63"/>
  <c r="AK22" i="54"/>
  <c r="AI41" i="63"/>
  <c r="AI40" i="63"/>
  <c r="AI30" i="63"/>
  <c r="AK134" i="64"/>
  <c r="AK17" i="67"/>
  <c r="AK235" i="52"/>
  <c r="AK238" i="52"/>
  <c r="AJ132" i="63" s="1"/>
  <c r="AJ156" i="63" s="1"/>
  <c r="AJ86" i="67" s="1"/>
  <c r="AK236" i="52"/>
  <c r="AJ130" i="63" s="1"/>
  <c r="AJ154" i="63" s="1"/>
  <c r="AJ78" i="64" s="1"/>
  <c r="AJ145" i="64" s="1"/>
  <c r="AL83" i="50"/>
  <c r="AL25" i="49" s="1"/>
  <c r="AL26" i="49" s="1"/>
  <c r="AK103" i="64"/>
  <c r="AK27" i="47"/>
  <c r="AL109" i="52"/>
  <c r="AL111" i="52"/>
  <c r="AL122" i="52"/>
  <c r="AL120" i="52"/>
  <c r="AL114" i="52"/>
  <c r="AL119" i="52"/>
  <c r="AL116" i="52"/>
  <c r="AL105" i="52"/>
  <c r="AL115" i="52"/>
  <c r="AL107" i="52"/>
  <c r="AL110" i="52"/>
  <c r="AL117" i="52"/>
  <c r="AL113" i="52"/>
  <c r="AL118" i="52"/>
  <c r="AL108" i="52"/>
  <c r="AL106" i="52"/>
  <c r="AL121" i="52"/>
  <c r="AL112" i="52"/>
  <c r="AJ129" i="63"/>
  <c r="AK241" i="52"/>
  <c r="AJ135" i="63" s="1"/>
  <c r="AJ159" i="63" s="1"/>
  <c r="AJ86" i="64"/>
  <c r="AJ153" i="64" s="1"/>
  <c r="AK243" i="52"/>
  <c r="AJ137" i="63" s="1"/>
  <c r="AJ161" i="63" s="1"/>
  <c r="AJ85" i="64" s="1"/>
  <c r="AJ152" i="64" s="1"/>
  <c r="AK248" i="52"/>
  <c r="AJ142" i="63" s="1"/>
  <c r="AJ166" i="63" s="1"/>
  <c r="AJ90" i="64" s="1"/>
  <c r="AJ157" i="64" s="1"/>
  <c r="AJ84" i="67"/>
  <c r="AA102" i="67" s="1"/>
  <c r="AM12" i="67"/>
  <c r="AI172" i="63"/>
  <c r="AI173" i="63"/>
  <c r="AI190" i="63"/>
  <c r="AI182" i="63"/>
  <c r="AI183" i="63" s="1"/>
  <c r="AQ184" i="51"/>
  <c r="AM184" i="51"/>
  <c r="AM201" i="51" s="1"/>
  <c r="AM87" i="53" s="1"/>
  <c r="AU184" i="51"/>
  <c r="AN184" i="51"/>
  <c r="AV184" i="51"/>
  <c r="AS184" i="51"/>
  <c r="AT184" i="51"/>
  <c r="AP184" i="51"/>
  <c r="AL125" i="51"/>
  <c r="AR184" i="51"/>
  <c r="AO184" i="51"/>
  <c r="AL15" i="53"/>
  <c r="AM140" i="53"/>
  <c r="AM188" i="53" s="1"/>
  <c r="AN12" i="63"/>
  <c r="AN13" i="67" s="1"/>
  <c r="AN104" i="49"/>
  <c r="AN105" i="49" s="1"/>
  <c r="AN106" i="49" s="1"/>
  <c r="AN94" i="47"/>
  <c r="AN13" i="54"/>
  <c r="AH169" i="64"/>
  <c r="AH170" i="64" s="1"/>
  <c r="AH123" i="64"/>
  <c r="AH124" i="64"/>
  <c r="AN119" i="50"/>
  <c r="AN57" i="49" s="1"/>
  <c r="AN58" i="49" s="1"/>
  <c r="AB121" i="67"/>
  <c r="AB128" i="67" s="1"/>
  <c r="AB137" i="67" s="1"/>
  <c r="AK104" i="64"/>
  <c r="AI52" i="63"/>
  <c r="AI50" i="63"/>
  <c r="AJ79" i="64"/>
  <c r="AJ146" i="64" s="1"/>
  <c r="AJ85" i="67"/>
  <c r="AA103" i="67" s="1"/>
  <c r="AK239" i="52"/>
  <c r="AJ133" i="63" s="1"/>
  <c r="AJ157" i="63" s="1"/>
  <c r="AK247" i="52"/>
  <c r="AJ141" i="63" s="1"/>
  <c r="AJ165" i="63" s="1"/>
  <c r="AJ89" i="64" s="1"/>
  <c r="AJ156" i="64" s="1"/>
  <c r="AK250" i="52"/>
  <c r="AJ144" i="63" s="1"/>
  <c r="AJ168" i="63" s="1"/>
  <c r="AK240" i="52"/>
  <c r="AJ134" i="63" s="1"/>
  <c r="AJ158" i="63" s="1"/>
  <c r="AK249" i="52"/>
  <c r="AJ143" i="63" s="1"/>
  <c r="AJ167" i="63" s="1"/>
  <c r="AK251" i="52"/>
  <c r="AJ145" i="63" s="1"/>
  <c r="AJ169" i="63" s="1"/>
  <c r="AK242" i="52"/>
  <c r="AJ136" i="63" s="1"/>
  <c r="AJ160" i="63" s="1"/>
  <c r="AJ26" i="54"/>
  <c r="AJ26" i="63"/>
  <c r="AL155" i="52"/>
  <c r="AL203" i="52" s="1"/>
  <c r="AL153" i="52"/>
  <c r="AL201" i="52" s="1"/>
  <c r="AL160" i="52"/>
  <c r="AL208" i="52" s="1"/>
  <c r="AL162" i="52"/>
  <c r="AL210" i="52" s="1"/>
  <c r="AL158" i="52"/>
  <c r="AL206" i="52" s="1"/>
  <c r="AL166" i="52"/>
  <c r="AL214" i="52" s="1"/>
  <c r="AL170" i="52"/>
  <c r="AL218" i="52" s="1"/>
  <c r="AL168" i="52"/>
  <c r="AL216" i="52" s="1"/>
  <c r="AL164" i="52"/>
  <c r="AL212" i="52" s="1"/>
  <c r="AL157" i="52"/>
  <c r="AL205" i="52" s="1"/>
  <c r="AL161" i="52"/>
  <c r="AL209" i="52" s="1"/>
  <c r="AL154" i="52"/>
  <c r="AL202" i="52" s="1"/>
  <c r="AL165" i="52"/>
  <c r="AL213" i="52" s="1"/>
  <c r="AL159" i="52"/>
  <c r="AL207" i="52" s="1"/>
  <c r="AL167" i="52"/>
  <c r="AL215" i="52" s="1"/>
  <c r="AL156" i="52"/>
  <c r="AL204" i="52" s="1"/>
  <c r="AL169" i="52"/>
  <c r="AL217" i="52" s="1"/>
  <c r="AL163" i="52"/>
  <c r="AL211" i="52" s="1"/>
  <c r="AK40" i="49"/>
  <c r="AK19" i="51"/>
  <c r="AK20" i="51" s="1"/>
  <c r="AK27" i="51" s="1"/>
  <c r="AK12" i="52"/>
  <c r="AH125" i="64"/>
  <c r="N54" i="64"/>
  <c r="O54" i="64" s="1"/>
  <c r="AM12" i="53"/>
  <c r="AM70" i="49"/>
  <c r="Z136" i="67"/>
  <c r="Z139" i="67" s="1"/>
  <c r="Z113" i="67"/>
  <c r="Z142" i="67" s="1"/>
  <c r="AI144" i="64"/>
  <c r="AI95" i="64"/>
  <c r="AM159" i="53"/>
  <c r="AM207" i="53" s="1"/>
  <c r="AM231" i="53" s="1"/>
  <c r="AM163" i="53"/>
  <c r="AM211" i="53" s="1"/>
  <c r="AM235" i="53" s="1"/>
  <c r="AM164" i="53"/>
  <c r="AM212" i="53" s="1"/>
  <c r="AM236" i="53" s="1"/>
  <c r="AM161" i="53"/>
  <c r="AM209" i="53" s="1"/>
  <c r="AM233" i="53" s="1"/>
  <c r="AM157" i="53"/>
  <c r="AM205" i="53" s="1"/>
  <c r="AM229" i="53" s="1"/>
  <c r="AM158" i="53"/>
  <c r="AM206" i="53" s="1"/>
  <c r="AM230" i="53" s="1"/>
  <c r="AM170" i="53"/>
  <c r="AM218" i="53" s="1"/>
  <c r="AM242" i="53" s="1"/>
  <c r="AM156" i="53"/>
  <c r="AM204" i="53" s="1"/>
  <c r="AM228" i="53" s="1"/>
  <c r="AM171" i="53"/>
  <c r="AM219" i="53" s="1"/>
  <c r="AM243" i="53" s="1"/>
  <c r="AM162" i="53"/>
  <c r="AM210" i="53" s="1"/>
  <c r="AM166" i="53"/>
  <c r="AM214" i="53" s="1"/>
  <c r="AM238" i="53" s="1"/>
  <c r="AM167" i="53"/>
  <c r="AM215" i="53" s="1"/>
  <c r="AM239" i="53" s="1"/>
  <c r="AM160" i="53"/>
  <c r="AM208" i="53" s="1"/>
  <c r="AM155" i="53"/>
  <c r="AM203" i="53" s="1"/>
  <c r="AM227" i="53" s="1"/>
  <c r="AM165" i="53"/>
  <c r="AM213" i="53" s="1"/>
  <c r="AM237" i="53" s="1"/>
  <c r="AM168" i="53"/>
  <c r="AM216" i="53" s="1"/>
  <c r="AM240" i="53" s="1"/>
  <c r="AM169" i="53"/>
  <c r="AM217" i="53" s="1"/>
  <c r="AM241" i="53" s="1"/>
  <c r="AM154" i="53"/>
  <c r="AM202" i="53" s="1"/>
  <c r="AM226" i="53" s="1"/>
  <c r="AH163" i="64"/>
  <c r="AN56" i="50"/>
  <c r="AQ131" i="50"/>
  <c r="AQ135" i="50"/>
  <c r="AQ130" i="50"/>
  <c r="AQ94" i="50"/>
  <c r="AQ95" i="50"/>
  <c r="AQ99" i="50"/>
  <c r="AQ107" i="50"/>
  <c r="AQ106" i="50"/>
  <c r="AQ111" i="50"/>
  <c r="AQ113" i="50" s="1"/>
  <c r="AQ68" i="50"/>
  <c r="AR64" i="50" s="1"/>
  <c r="AM232" i="53" l="1"/>
  <c r="AJ179" i="63"/>
  <c r="AJ191" i="63" s="1"/>
  <c r="AJ91" i="67"/>
  <c r="AA109" i="67" s="1"/>
  <c r="AK254" i="52"/>
  <c r="AJ24" i="63" s="1"/>
  <c r="AM150" i="53"/>
  <c r="AK111" i="64"/>
  <c r="AJ80" i="64"/>
  <c r="AJ147" i="64" s="1"/>
  <c r="AO139" i="50"/>
  <c r="AO91" i="49" s="1"/>
  <c r="AO92" i="49" s="1"/>
  <c r="AI122" i="64"/>
  <c r="AI162" i="64"/>
  <c r="AM71" i="49"/>
  <c r="AM14" i="53" s="1"/>
  <c r="AM116" i="51"/>
  <c r="AM117" i="51" s="1"/>
  <c r="AM124" i="51" s="1"/>
  <c r="AM13" i="53"/>
  <c r="AM72" i="49"/>
  <c r="AL86" i="51"/>
  <c r="AL104" i="51" s="1"/>
  <c r="AL86" i="52" s="1"/>
  <c r="AT86" i="51"/>
  <c r="AQ86" i="51"/>
  <c r="AK28" i="51"/>
  <c r="AR86" i="51"/>
  <c r="AS86" i="51"/>
  <c r="AM86" i="51"/>
  <c r="AU86" i="51"/>
  <c r="AO86" i="51"/>
  <c r="AP86" i="51"/>
  <c r="AN86" i="51"/>
  <c r="AJ194" i="63"/>
  <c r="AJ201" i="63" s="1"/>
  <c r="AJ179" i="64" s="1"/>
  <c r="AJ45" i="63"/>
  <c r="AJ90" i="67"/>
  <c r="AA108" i="67" s="1"/>
  <c r="AJ181" i="63"/>
  <c r="AJ84" i="64"/>
  <c r="AJ151" i="64" s="1"/>
  <c r="AJ91" i="64"/>
  <c r="AJ158" i="64" s="1"/>
  <c r="AJ92" i="67"/>
  <c r="AA110" i="67" s="1"/>
  <c r="AJ93" i="67"/>
  <c r="AJ92" i="64"/>
  <c r="AJ159" i="64" s="1"/>
  <c r="AJ81" i="64"/>
  <c r="AJ148" i="64" s="1"/>
  <c r="AJ87" i="67"/>
  <c r="AA105" i="67" s="1"/>
  <c r="AN11" i="63"/>
  <c r="AN69" i="49"/>
  <c r="AN93" i="47"/>
  <c r="AN12" i="54"/>
  <c r="AM234" i="53"/>
  <c r="AM245" i="53" s="1"/>
  <c r="AI118" i="64"/>
  <c r="C55" i="64"/>
  <c r="I55" i="64" s="1"/>
  <c r="AI192" i="63"/>
  <c r="AI195" i="63" s="1"/>
  <c r="AI197" i="63"/>
  <c r="AI198" i="63" s="1"/>
  <c r="AJ119" i="64"/>
  <c r="AJ200" i="63"/>
  <c r="AJ177" i="64" s="1"/>
  <c r="D56" i="64"/>
  <c r="H56" i="64" s="1"/>
  <c r="M56" i="64" s="1"/>
  <c r="AK30" i="47"/>
  <c r="E57" i="64"/>
  <c r="AK29" i="47"/>
  <c r="AL37" i="49"/>
  <c r="AL28" i="49"/>
  <c r="AL92" i="47"/>
  <c r="AL13" i="63"/>
  <c r="AL14" i="63" s="1"/>
  <c r="AL14" i="54"/>
  <c r="AL15" i="54" s="1"/>
  <c r="AL16" i="54" s="1"/>
  <c r="Z143" i="67"/>
  <c r="AL142" i="52"/>
  <c r="AL190" i="52" s="1"/>
  <c r="AL246" i="52" s="1"/>
  <c r="AK140" i="63" s="1"/>
  <c r="AK164" i="63" s="1"/>
  <c r="AK88" i="64" s="1"/>
  <c r="AK155" i="64" s="1"/>
  <c r="AL148" i="52"/>
  <c r="AL196" i="52" s="1"/>
  <c r="AL252" i="52" s="1"/>
  <c r="AK146" i="63" s="1"/>
  <c r="AK170" i="63" s="1"/>
  <c r="AK94" i="64" s="1"/>
  <c r="AK161" i="64" s="1"/>
  <c r="AL139" i="52"/>
  <c r="AL187" i="52" s="1"/>
  <c r="AL243" i="52" s="1"/>
  <c r="AK137" i="63" s="1"/>
  <c r="AK161" i="63" s="1"/>
  <c r="AK85" i="64" s="1"/>
  <c r="AK152" i="64" s="1"/>
  <c r="AL143" i="52"/>
  <c r="AL191" i="52" s="1"/>
  <c r="AL247" i="52" s="1"/>
  <c r="AK141" i="63" s="1"/>
  <c r="AK165" i="63" s="1"/>
  <c r="AK89" i="64" s="1"/>
  <c r="AK156" i="64" s="1"/>
  <c r="AL131" i="52"/>
  <c r="AL179" i="52" s="1"/>
  <c r="AL235" i="52" s="1"/>
  <c r="AL144" i="52"/>
  <c r="AL192" i="52" s="1"/>
  <c r="AL248" i="52" s="1"/>
  <c r="AK142" i="63" s="1"/>
  <c r="AK166" i="63" s="1"/>
  <c r="AK90" i="64" s="1"/>
  <c r="AK157" i="64" s="1"/>
  <c r="AL136" i="52"/>
  <c r="AL184" i="52" s="1"/>
  <c r="AL240" i="52" s="1"/>
  <c r="AK134" i="63" s="1"/>
  <c r="AK158" i="63" s="1"/>
  <c r="AL141" i="52"/>
  <c r="AL189" i="52" s="1"/>
  <c r="AL245" i="52" s="1"/>
  <c r="AK139" i="63" s="1"/>
  <c r="AK163" i="63" s="1"/>
  <c r="AK87" i="64" s="1"/>
  <c r="AK154" i="64" s="1"/>
  <c r="AL140" i="52"/>
  <c r="AL188" i="52" s="1"/>
  <c r="AL244" i="52" s="1"/>
  <c r="AK138" i="63" s="1"/>
  <c r="AK162" i="63" s="1"/>
  <c r="AL137" i="52"/>
  <c r="AL185" i="52" s="1"/>
  <c r="AL241" i="52" s="1"/>
  <c r="AK135" i="63" s="1"/>
  <c r="AK159" i="63" s="1"/>
  <c r="AL135" i="52"/>
  <c r="AL183" i="52" s="1"/>
  <c r="AL239" i="52" s="1"/>
  <c r="AK133" i="63" s="1"/>
  <c r="AK157" i="63" s="1"/>
  <c r="AL132" i="52"/>
  <c r="AL180" i="52" s="1"/>
  <c r="AL236" i="52" s="1"/>
  <c r="AK130" i="63" s="1"/>
  <c r="AK154" i="63" s="1"/>
  <c r="AL145" i="52"/>
  <c r="AL193" i="52" s="1"/>
  <c r="AL249" i="52" s="1"/>
  <c r="AK143" i="63" s="1"/>
  <c r="AK167" i="63" s="1"/>
  <c r="AL134" i="52"/>
  <c r="AL182" i="52" s="1"/>
  <c r="AL238" i="52" s="1"/>
  <c r="AK132" i="63" s="1"/>
  <c r="AK156" i="63" s="1"/>
  <c r="AL133" i="52"/>
  <c r="AL181" i="52" s="1"/>
  <c r="AL237" i="52" s="1"/>
  <c r="AK131" i="63" s="1"/>
  <c r="AK155" i="63" s="1"/>
  <c r="AL138" i="52"/>
  <c r="AL186" i="52" s="1"/>
  <c r="AL242" i="52" s="1"/>
  <c r="AK136" i="63" s="1"/>
  <c r="AK160" i="63" s="1"/>
  <c r="AL146" i="52"/>
  <c r="AL194" i="52" s="1"/>
  <c r="AL250" i="52" s="1"/>
  <c r="AK144" i="63" s="1"/>
  <c r="AK168" i="63" s="1"/>
  <c r="AL147" i="52"/>
  <c r="AL195" i="52" s="1"/>
  <c r="AL251" i="52" s="1"/>
  <c r="AK145" i="63" s="1"/>
  <c r="AK169" i="63" s="1"/>
  <c r="AK14" i="52"/>
  <c r="AJ93" i="64"/>
  <c r="AJ160" i="64" s="1"/>
  <c r="AJ94" i="67"/>
  <c r="AA112" i="67" s="1"/>
  <c r="AJ180" i="63"/>
  <c r="AJ82" i="64"/>
  <c r="AJ149" i="64" s="1"/>
  <c r="AJ88" i="67"/>
  <c r="AA106" i="67" s="1"/>
  <c r="AN107" i="53"/>
  <c r="AN109" i="53"/>
  <c r="AN122" i="53"/>
  <c r="AN112" i="53"/>
  <c r="AN114" i="53"/>
  <c r="AN119" i="53"/>
  <c r="AN108" i="53"/>
  <c r="AN111" i="53"/>
  <c r="AN120" i="53"/>
  <c r="AN116" i="53"/>
  <c r="AN110" i="53"/>
  <c r="AN115" i="53"/>
  <c r="AN123" i="53"/>
  <c r="AN121" i="53"/>
  <c r="AN118" i="53"/>
  <c r="AN106" i="53"/>
  <c r="AN117" i="53"/>
  <c r="AN113" i="53"/>
  <c r="AI193" i="63"/>
  <c r="AJ89" i="67"/>
  <c r="AJ83" i="64"/>
  <c r="AJ150" i="64" s="1"/>
  <c r="AJ153" i="63"/>
  <c r="AJ147" i="63"/>
  <c r="AQ115" i="50"/>
  <c r="AO52" i="50"/>
  <c r="AO59" i="50" s="1"/>
  <c r="AO77" i="50" s="1"/>
  <c r="AQ110" i="50"/>
  <c r="AQ108" i="50"/>
  <c r="AR104" i="50" s="1"/>
  <c r="AQ96" i="50"/>
  <c r="AR92" i="50" s="1"/>
  <c r="AR67" i="50"/>
  <c r="AR66" i="50"/>
  <c r="AR71" i="50"/>
  <c r="AR73" i="50" s="1"/>
  <c r="AQ132" i="50"/>
  <c r="AR128" i="50" s="1"/>
  <c r="AK256" i="52" l="1"/>
  <c r="AJ24" i="54"/>
  <c r="AJ28" i="54" s="1"/>
  <c r="AJ30" i="54" s="1"/>
  <c r="AJ148" i="63"/>
  <c r="AM247" i="53"/>
  <c r="AL22" i="54"/>
  <c r="AL22" i="63"/>
  <c r="AL16" i="63"/>
  <c r="AL15" i="67"/>
  <c r="AA135" i="67"/>
  <c r="AA163" i="67" s="1"/>
  <c r="AJ44" i="63"/>
  <c r="AJ47" i="63" s="1"/>
  <c r="AJ28" i="63"/>
  <c r="AJ180" i="64"/>
  <c r="AO119" i="50"/>
  <c r="AO57" i="49" s="1"/>
  <c r="AO58" i="49" s="1"/>
  <c r="AM83" i="50"/>
  <c r="AM25" i="49" s="1"/>
  <c r="AM26" i="49" s="1"/>
  <c r="AJ83" i="67"/>
  <c r="AJ178" i="63"/>
  <c r="AJ171" i="63"/>
  <c r="AJ77" i="64"/>
  <c r="AK93" i="67"/>
  <c r="AK92" i="64"/>
  <c r="AK159" i="64" s="1"/>
  <c r="AK85" i="67"/>
  <c r="AK79" i="64"/>
  <c r="AK146" i="64" s="1"/>
  <c r="AK91" i="64"/>
  <c r="AK158" i="64" s="1"/>
  <c r="AK92" i="67"/>
  <c r="AK87" i="67"/>
  <c r="AK81" i="64"/>
  <c r="AK148" i="64" s="1"/>
  <c r="AK86" i="64"/>
  <c r="AK153" i="64" s="1"/>
  <c r="AK91" i="67"/>
  <c r="AK180" i="63"/>
  <c r="AK88" i="67"/>
  <c r="AK82" i="64"/>
  <c r="AK149" i="64" s="1"/>
  <c r="AK129" i="63"/>
  <c r="AL254" i="52"/>
  <c r="AL181" i="47"/>
  <c r="AL182" i="47" s="1"/>
  <c r="AL219" i="47" s="1"/>
  <c r="AL220" i="47" s="1"/>
  <c r="AL19" i="47" s="1"/>
  <c r="AL104" i="64" s="1"/>
  <c r="AL96" i="47"/>
  <c r="AL165" i="47" s="1"/>
  <c r="AL166" i="47" s="1"/>
  <c r="AL18" i="47" s="1"/>
  <c r="AD120" i="67" s="1"/>
  <c r="AL38" i="49"/>
  <c r="AL11" i="52"/>
  <c r="AM227" i="52" s="1"/>
  <c r="AM228" i="52" s="1"/>
  <c r="Q56" i="64"/>
  <c r="AN70" i="49"/>
  <c r="AN12" i="53"/>
  <c r="AM110" i="52"/>
  <c r="AM107" i="52"/>
  <c r="AM117" i="52"/>
  <c r="AM118" i="52"/>
  <c r="AM122" i="52"/>
  <c r="AM113" i="52"/>
  <c r="AM119" i="52"/>
  <c r="AM121" i="52"/>
  <c r="AM106" i="52"/>
  <c r="AM112" i="52"/>
  <c r="AM120" i="52"/>
  <c r="AM109" i="52"/>
  <c r="AM108" i="52"/>
  <c r="AM111" i="52"/>
  <c r="AM114" i="52"/>
  <c r="AM115" i="52"/>
  <c r="AM116" i="52"/>
  <c r="AM105" i="52"/>
  <c r="AN140" i="53"/>
  <c r="AN188" i="53" s="1"/>
  <c r="AN146" i="53"/>
  <c r="AN194" i="53" s="1"/>
  <c r="AN142" i="53"/>
  <c r="AN190" i="53" s="1"/>
  <c r="AN149" i="53"/>
  <c r="AN197" i="53" s="1"/>
  <c r="AN139" i="53"/>
  <c r="AN187" i="53" s="1"/>
  <c r="AN147" i="53"/>
  <c r="AN195" i="53" s="1"/>
  <c r="AN145" i="53"/>
  <c r="AN193" i="53" s="1"/>
  <c r="AN136" i="53"/>
  <c r="AN184" i="53" s="1"/>
  <c r="AN143" i="53"/>
  <c r="AN191" i="53" s="1"/>
  <c r="AN135" i="53"/>
  <c r="AN183" i="53" s="1"/>
  <c r="AN148" i="53"/>
  <c r="AN196" i="53" s="1"/>
  <c r="AN134" i="53"/>
  <c r="AN182" i="53" s="1"/>
  <c r="AN144" i="53"/>
  <c r="AN192" i="53" s="1"/>
  <c r="AN132" i="53"/>
  <c r="AN180" i="53" s="1"/>
  <c r="AM15" i="53"/>
  <c r="AN137" i="53"/>
  <c r="AN185" i="53" s="1"/>
  <c r="AN138" i="53"/>
  <c r="AN186" i="53" s="1"/>
  <c r="AN141" i="53"/>
  <c r="AN189" i="53" s="1"/>
  <c r="AN133" i="53"/>
  <c r="AN181" i="53" s="1"/>
  <c r="AN168" i="53"/>
  <c r="AN216" i="53" s="1"/>
  <c r="AN155" i="53"/>
  <c r="AN203" i="53" s="1"/>
  <c r="AN159" i="53"/>
  <c r="AN207" i="53" s="1"/>
  <c r="AN171" i="53"/>
  <c r="AN219" i="53" s="1"/>
  <c r="AN160" i="53"/>
  <c r="AN208" i="53" s="1"/>
  <c r="AN170" i="53"/>
  <c r="AN218" i="53" s="1"/>
  <c r="AN158" i="53"/>
  <c r="AN206" i="53" s="1"/>
  <c r="AN164" i="53"/>
  <c r="AN212" i="53" s="1"/>
  <c r="AN163" i="53"/>
  <c r="AN211" i="53" s="1"/>
  <c r="AN154" i="53"/>
  <c r="AN202" i="53" s="1"/>
  <c r="AN161" i="53"/>
  <c r="AN209" i="53" s="1"/>
  <c r="AN169" i="53"/>
  <c r="AN217" i="53" s="1"/>
  <c r="AN165" i="53"/>
  <c r="AN213" i="53" s="1"/>
  <c r="AN166" i="53"/>
  <c r="AN214" i="53" s="1"/>
  <c r="AN156" i="53"/>
  <c r="AN204" i="53" s="1"/>
  <c r="AN162" i="53"/>
  <c r="AN210" i="53" s="1"/>
  <c r="AN157" i="53"/>
  <c r="AN205" i="53" s="1"/>
  <c r="AN167" i="53"/>
  <c r="AN215" i="53" s="1"/>
  <c r="AI169" i="64"/>
  <c r="AI170" i="64" s="1"/>
  <c r="AI123" i="64"/>
  <c r="AI124" i="64"/>
  <c r="AK94" i="67"/>
  <c r="AK93" i="64"/>
  <c r="AK160" i="64" s="1"/>
  <c r="AK181" i="63"/>
  <c r="AK84" i="64"/>
  <c r="AK151" i="64" s="1"/>
  <c r="AK90" i="67"/>
  <c r="AK179" i="63"/>
  <c r="AK191" i="63" s="1"/>
  <c r="AK86" i="67"/>
  <c r="AK80" i="64"/>
  <c r="AK147" i="64" s="1"/>
  <c r="AK78" i="64"/>
  <c r="AK145" i="64" s="1"/>
  <c r="AK84" i="67"/>
  <c r="AK83" i="64"/>
  <c r="AK150" i="64" s="1"/>
  <c r="AK89" i="67"/>
  <c r="AL289" i="63"/>
  <c r="AL14" i="67"/>
  <c r="AL288" i="63"/>
  <c r="AK26" i="63"/>
  <c r="AK26" i="54"/>
  <c r="AI125" i="64"/>
  <c r="N55" i="64"/>
  <c r="O55" i="64" s="1"/>
  <c r="AN12" i="67"/>
  <c r="AJ120" i="64"/>
  <c r="AJ248" i="63"/>
  <c r="AJ250" i="63" s="1"/>
  <c r="AR185" i="51"/>
  <c r="AN185" i="51"/>
  <c r="AN201" i="51" s="1"/>
  <c r="AN87" i="53" s="1"/>
  <c r="AM125" i="51"/>
  <c r="AT185" i="51"/>
  <c r="AS185" i="51"/>
  <c r="AP185" i="51"/>
  <c r="AU185" i="51"/>
  <c r="AV185" i="51"/>
  <c r="AW185" i="51"/>
  <c r="AO185" i="51"/>
  <c r="AQ185" i="51"/>
  <c r="AI163" i="64"/>
  <c r="AO13" i="54"/>
  <c r="AO12" i="63"/>
  <c r="AO13" i="67" s="1"/>
  <c r="AO94" i="47"/>
  <c r="AO104" i="49"/>
  <c r="AO105" i="49" s="1"/>
  <c r="AO106" i="49" s="1"/>
  <c r="AO55" i="50"/>
  <c r="AO54" i="50"/>
  <c r="AR95" i="50"/>
  <c r="AR99" i="50"/>
  <c r="AR94" i="50"/>
  <c r="AR68" i="50"/>
  <c r="AS64" i="50" s="1"/>
  <c r="AR130" i="50"/>
  <c r="AR131" i="50"/>
  <c r="AR135" i="50"/>
  <c r="AR106" i="50"/>
  <c r="AR111" i="50"/>
  <c r="AR113" i="50" s="1"/>
  <c r="AR107" i="50"/>
  <c r="AL290" i="63" l="1"/>
  <c r="AJ48" i="63"/>
  <c r="AJ50" i="63" s="1"/>
  <c r="AJ41" i="63"/>
  <c r="AJ30" i="63"/>
  <c r="AJ40" i="63"/>
  <c r="AL17" i="67"/>
  <c r="AL134" i="64"/>
  <c r="AN150" i="53"/>
  <c r="AB104" i="67"/>
  <c r="AC104" i="67"/>
  <c r="AB108" i="67"/>
  <c r="AC108" i="67"/>
  <c r="AB112" i="67"/>
  <c r="AC112" i="67"/>
  <c r="AB105" i="67"/>
  <c r="AC105" i="67"/>
  <c r="AB103" i="67"/>
  <c r="AC103" i="67"/>
  <c r="AB111" i="67"/>
  <c r="AC111" i="67"/>
  <c r="AA101" i="67"/>
  <c r="AA113" i="67" s="1"/>
  <c r="AA142" i="67" s="1"/>
  <c r="AB101" i="67"/>
  <c r="AB107" i="67"/>
  <c r="AC107" i="67"/>
  <c r="AB102" i="67"/>
  <c r="AC102" i="67"/>
  <c r="AB106" i="67"/>
  <c r="AC106" i="67"/>
  <c r="AB109" i="67"/>
  <c r="AC109" i="67"/>
  <c r="AB110" i="67"/>
  <c r="AC110" i="67"/>
  <c r="AN235" i="53"/>
  <c r="AN231" i="53"/>
  <c r="AP139" i="50"/>
  <c r="AP91" i="49" s="1"/>
  <c r="AP92" i="49" s="1"/>
  <c r="AO112" i="53"/>
  <c r="AO120" i="53"/>
  <c r="AO115" i="53"/>
  <c r="AO116" i="53"/>
  <c r="AO107" i="53"/>
  <c r="AO111" i="53"/>
  <c r="AO119" i="53"/>
  <c r="AO123" i="53"/>
  <c r="AO114" i="53"/>
  <c r="AO122" i="53"/>
  <c r="AO121" i="53"/>
  <c r="AO117" i="53"/>
  <c r="AO113" i="53"/>
  <c r="AO106" i="53"/>
  <c r="AO110" i="53"/>
  <c r="AO108" i="53"/>
  <c r="AO109" i="53"/>
  <c r="AO118" i="53"/>
  <c r="AK194" i="63"/>
  <c r="AK201" i="63" s="1"/>
  <c r="AK179" i="64" s="1"/>
  <c r="AK45" i="63"/>
  <c r="D57" i="64"/>
  <c r="H57" i="64" s="1"/>
  <c r="M57" i="64" s="1"/>
  <c r="Q57" i="64" s="1"/>
  <c r="AK200" i="63"/>
  <c r="AK177" i="64" s="1"/>
  <c r="AK119" i="64"/>
  <c r="AN227" i="53"/>
  <c r="AN232" i="53"/>
  <c r="AN238" i="53"/>
  <c r="AN242" i="53"/>
  <c r="AN237" i="53"/>
  <c r="AN239" i="53"/>
  <c r="AN233" i="53"/>
  <c r="AN236" i="53"/>
  <c r="AN234" i="53"/>
  <c r="AN71" i="49"/>
  <c r="AN14" i="53" s="1"/>
  <c r="AN13" i="53"/>
  <c r="AN72" i="49"/>
  <c r="AN116" i="51"/>
  <c r="AN117" i="51" s="1"/>
  <c r="AN124" i="51" s="1"/>
  <c r="AL39" i="49"/>
  <c r="AL13" i="52" s="1"/>
  <c r="AL19" i="51"/>
  <c r="AL20" i="51" s="1"/>
  <c r="AL27" i="51" s="1"/>
  <c r="AL12" i="52"/>
  <c r="AL14" i="52" s="1"/>
  <c r="AL40" i="49"/>
  <c r="AK153" i="63"/>
  <c r="AK147" i="63"/>
  <c r="AJ144" i="64"/>
  <c r="AJ95" i="64"/>
  <c r="AJ190" i="63"/>
  <c r="AJ193" i="63" s="1"/>
  <c r="AJ182" i="63"/>
  <c r="AJ183" i="63" s="1"/>
  <c r="AM13" i="63"/>
  <c r="AM14" i="63" s="1"/>
  <c r="AM92" i="47"/>
  <c r="AM37" i="49"/>
  <c r="AM14" i="54"/>
  <c r="AM15" i="54" s="1"/>
  <c r="AM16" i="54" s="1"/>
  <c r="AM28" i="49"/>
  <c r="AO12" i="54"/>
  <c r="AO69" i="49"/>
  <c r="AO11" i="63"/>
  <c r="AO93" i="47"/>
  <c r="AN226" i="53"/>
  <c r="AN228" i="53"/>
  <c r="AN229" i="53"/>
  <c r="AN230" i="53"/>
  <c r="AN241" i="53"/>
  <c r="AN243" i="53"/>
  <c r="AN240" i="53"/>
  <c r="AM141" i="52"/>
  <c r="AM189" i="52" s="1"/>
  <c r="AM135" i="52"/>
  <c r="AM183" i="52" s="1"/>
  <c r="AJ52" i="63"/>
  <c r="AL103" i="64"/>
  <c r="AL111" i="64" s="1"/>
  <c r="AL27" i="47"/>
  <c r="AK24" i="63"/>
  <c r="AK24" i="54"/>
  <c r="AK28" i="54" s="1"/>
  <c r="AK30" i="54" s="1"/>
  <c r="AL256" i="52"/>
  <c r="AJ172" i="63"/>
  <c r="AJ173" i="63"/>
  <c r="AO56" i="50"/>
  <c r="AP52" i="50" s="1"/>
  <c r="AP59" i="50" s="1"/>
  <c r="AP77" i="50" s="1"/>
  <c r="AS66" i="50"/>
  <c r="AS67" i="50"/>
  <c r="AS71" i="50"/>
  <c r="AS73" i="50" s="1"/>
  <c r="AR96" i="50"/>
  <c r="AS92" i="50" s="1"/>
  <c r="AR132" i="50"/>
  <c r="AS128" i="50" s="1"/>
  <c r="AR115" i="50"/>
  <c r="AR108" i="50"/>
  <c r="AS104" i="50" s="1"/>
  <c r="AR110" i="50"/>
  <c r="AA136" i="67" l="1"/>
  <c r="AA139" i="67" s="1"/>
  <c r="AM147" i="52"/>
  <c r="AM195" i="52" s="1"/>
  <c r="AM144" i="52"/>
  <c r="AM192" i="52" s="1"/>
  <c r="AB135" i="67"/>
  <c r="AN245" i="53"/>
  <c r="AM16" i="63"/>
  <c r="AM15" i="67"/>
  <c r="AK44" i="63"/>
  <c r="AK48" i="63" s="1"/>
  <c r="AK28" i="63"/>
  <c r="AK148" i="63"/>
  <c r="AC135" i="67"/>
  <c r="AM133" i="52"/>
  <c r="AM181" i="52" s="1"/>
  <c r="AM237" i="52" s="1"/>
  <c r="AL131" i="63" s="1"/>
  <c r="AL155" i="63" s="1"/>
  <c r="AM139" i="52"/>
  <c r="AM187" i="52" s="1"/>
  <c r="AM138" i="52"/>
  <c r="AM186" i="52" s="1"/>
  <c r="AM137" i="52"/>
  <c r="AM185" i="52" s="1"/>
  <c r="AM131" i="52"/>
  <c r="AM179" i="52" s="1"/>
  <c r="AB113" i="67"/>
  <c r="AB142" i="67" s="1"/>
  <c r="AB136" i="67"/>
  <c r="AA143" i="67"/>
  <c r="AM140" i="52"/>
  <c r="AM188" i="52" s="1"/>
  <c r="AM145" i="52"/>
  <c r="AM193" i="52" s="1"/>
  <c r="AK180" i="64"/>
  <c r="AM143" i="52"/>
  <c r="AM191" i="52" s="1"/>
  <c r="AM146" i="52"/>
  <c r="AM194" i="52" s="1"/>
  <c r="AM250" i="52" s="1"/>
  <c r="AL144" i="63" s="1"/>
  <c r="AL168" i="63" s="1"/>
  <c r="AP119" i="50"/>
  <c r="AP57" i="49" s="1"/>
  <c r="AP58" i="49" s="1"/>
  <c r="AN83" i="50"/>
  <c r="AN25" i="49" s="1"/>
  <c r="AN26" i="49" s="1"/>
  <c r="AM22" i="63"/>
  <c r="AN247" i="53"/>
  <c r="AM22" i="54"/>
  <c r="AO70" i="49"/>
  <c r="AO71" i="49" s="1"/>
  <c r="AO14" i="53" s="1"/>
  <c r="AO12" i="53"/>
  <c r="AM11" i="52"/>
  <c r="AN227" i="52" s="1"/>
  <c r="AN228" i="52" s="1"/>
  <c r="AM38" i="49"/>
  <c r="AM39" i="49" s="1"/>
  <c r="AM13" i="52" s="1"/>
  <c r="AM14" i="67"/>
  <c r="AM289" i="63"/>
  <c r="AM288" i="63"/>
  <c r="AJ118" i="64"/>
  <c r="C56" i="64"/>
  <c r="I56" i="64" s="1"/>
  <c r="AJ192" i="63"/>
  <c r="AJ195" i="63" s="1"/>
  <c r="AJ197" i="63"/>
  <c r="AJ198" i="63" s="1"/>
  <c r="AK77" i="64"/>
  <c r="AK178" i="63"/>
  <c r="AK83" i="67"/>
  <c r="AC101" i="67" s="1"/>
  <c r="AK171" i="63"/>
  <c r="AM155" i="52"/>
  <c r="AM203" i="52" s="1"/>
  <c r="AM167" i="52"/>
  <c r="AM215" i="52" s="1"/>
  <c r="AM249" i="52" s="1"/>
  <c r="AL143" i="63" s="1"/>
  <c r="AL167" i="63" s="1"/>
  <c r="AM169" i="52"/>
  <c r="AM217" i="52" s="1"/>
  <c r="AM251" i="52" s="1"/>
  <c r="AL145" i="63" s="1"/>
  <c r="AL169" i="63" s="1"/>
  <c r="AM162" i="52"/>
  <c r="AM210" i="52" s="1"/>
  <c r="AM156" i="52"/>
  <c r="AM204" i="52" s="1"/>
  <c r="AM157" i="52"/>
  <c r="AM205" i="52" s="1"/>
  <c r="AM239" i="52" s="1"/>
  <c r="AL133" i="63" s="1"/>
  <c r="AL157" i="63" s="1"/>
  <c r="AM153" i="52"/>
  <c r="AM201" i="52" s="1"/>
  <c r="AM159" i="52"/>
  <c r="AM207" i="52" s="1"/>
  <c r="AM168" i="52"/>
  <c r="AM216" i="52" s="1"/>
  <c r="AM165" i="52"/>
  <c r="AM213" i="52" s="1"/>
  <c r="AM154" i="52"/>
  <c r="AM202" i="52" s="1"/>
  <c r="AM158" i="52"/>
  <c r="AM206" i="52" s="1"/>
  <c r="AM161" i="52"/>
  <c r="AM209" i="52" s="1"/>
  <c r="AM170" i="52"/>
  <c r="AM218" i="52" s="1"/>
  <c r="AM160" i="52"/>
  <c r="AM208" i="52" s="1"/>
  <c r="AM242" i="52" s="1"/>
  <c r="AL136" i="63" s="1"/>
  <c r="AL160" i="63" s="1"/>
  <c r="AM166" i="52"/>
  <c r="AM214" i="52" s="1"/>
  <c r="AM248" i="52" s="1"/>
  <c r="AL142" i="63" s="1"/>
  <c r="AL166" i="63" s="1"/>
  <c r="AL90" i="64" s="1"/>
  <c r="AL157" i="64" s="1"/>
  <c r="AM163" i="52"/>
  <c r="AM211" i="52" s="1"/>
  <c r="AM245" i="52" s="1"/>
  <c r="AL139" i="63" s="1"/>
  <c r="AL163" i="63" s="1"/>
  <c r="AL87" i="64" s="1"/>
  <c r="AL154" i="64" s="1"/>
  <c r="AM164" i="52"/>
  <c r="AM212" i="52" s="1"/>
  <c r="AS186" i="51"/>
  <c r="AP186" i="51"/>
  <c r="AX186" i="51"/>
  <c r="AU186" i="51"/>
  <c r="AR186" i="51"/>
  <c r="AO186" i="51"/>
  <c r="AO201" i="51" s="1"/>
  <c r="AO87" i="53" s="1"/>
  <c r="AW186" i="51"/>
  <c r="AT186" i="51"/>
  <c r="AQ186" i="51"/>
  <c r="AN125" i="51"/>
  <c r="AV186" i="51"/>
  <c r="AO138" i="53"/>
  <c r="AO186" i="53" s="1"/>
  <c r="AN15" i="53"/>
  <c r="AM136" i="52"/>
  <c r="AM184" i="52" s="1"/>
  <c r="AM240" i="52" s="1"/>
  <c r="AL134" i="63" s="1"/>
  <c r="AL158" i="63" s="1"/>
  <c r="AM148" i="52"/>
  <c r="AM196" i="52" s="1"/>
  <c r="AM132" i="52"/>
  <c r="AM180" i="52" s="1"/>
  <c r="AM134" i="52"/>
  <c r="AM182" i="52" s="1"/>
  <c r="AM238" i="52" s="1"/>
  <c r="AL132" i="63" s="1"/>
  <c r="AL156" i="63" s="1"/>
  <c r="AM142" i="52"/>
  <c r="AM190" i="52" s="1"/>
  <c r="AO144" i="53"/>
  <c r="AO192" i="53" s="1"/>
  <c r="AO134" i="53"/>
  <c r="AO182" i="53" s="1"/>
  <c r="AO132" i="53"/>
  <c r="AO180" i="53" s="1"/>
  <c r="AO143" i="53"/>
  <c r="AO191" i="53" s="1"/>
  <c r="AO148" i="53"/>
  <c r="AO196" i="53" s="1"/>
  <c r="AO149" i="53"/>
  <c r="AO197" i="53" s="1"/>
  <c r="AO137" i="53"/>
  <c r="AO185" i="53" s="1"/>
  <c r="AO142" i="53"/>
  <c r="AO190" i="53" s="1"/>
  <c r="AO146" i="53"/>
  <c r="AO194" i="53" s="1"/>
  <c r="AP104" i="49"/>
  <c r="AP105" i="49" s="1"/>
  <c r="AP106" i="49" s="1"/>
  <c r="AP94" i="47"/>
  <c r="AL30" i="47"/>
  <c r="AL29" i="47"/>
  <c r="E58" i="64"/>
  <c r="AO12" i="67"/>
  <c r="AM181" i="47"/>
  <c r="AM182" i="47" s="1"/>
  <c r="AM219" i="47" s="1"/>
  <c r="AM220" i="47" s="1"/>
  <c r="AM19" i="47" s="1"/>
  <c r="AM96" i="47"/>
  <c r="AM165" i="47" s="1"/>
  <c r="AM166" i="47" s="1"/>
  <c r="AM18" i="47" s="1"/>
  <c r="AJ162" i="64"/>
  <c r="AJ122" i="64"/>
  <c r="AN87" i="51"/>
  <c r="AV87" i="51"/>
  <c r="AP87" i="51"/>
  <c r="AU87" i="51"/>
  <c r="AS87" i="51"/>
  <c r="AO87" i="51"/>
  <c r="AL28" i="51"/>
  <c r="AT87" i="51"/>
  <c r="AQ87" i="51"/>
  <c r="AR87" i="51"/>
  <c r="AM87" i="51"/>
  <c r="AM104" i="51" s="1"/>
  <c r="AM86" i="52" s="1"/>
  <c r="AO154" i="53"/>
  <c r="AO202" i="53" s="1"/>
  <c r="AO171" i="53"/>
  <c r="AO219" i="53" s="1"/>
  <c r="AO159" i="53"/>
  <c r="AO207" i="53" s="1"/>
  <c r="AO156" i="53"/>
  <c r="AO204" i="53" s="1"/>
  <c r="AO167" i="53"/>
  <c r="AO215" i="53" s="1"/>
  <c r="AO162" i="53"/>
  <c r="AO210" i="53" s="1"/>
  <c r="AO164" i="53"/>
  <c r="AO212" i="53" s="1"/>
  <c r="AO165" i="53"/>
  <c r="AO213" i="53" s="1"/>
  <c r="AO170" i="53"/>
  <c r="AO218" i="53" s="1"/>
  <c r="AO160" i="53"/>
  <c r="AO208" i="53" s="1"/>
  <c r="AO168" i="53"/>
  <c r="AO216" i="53" s="1"/>
  <c r="AO158" i="53"/>
  <c r="AO206" i="53" s="1"/>
  <c r="AO166" i="53"/>
  <c r="AO214" i="53" s="1"/>
  <c r="AO169" i="53"/>
  <c r="AO217" i="53" s="1"/>
  <c r="AO163" i="53"/>
  <c r="AO211" i="53" s="1"/>
  <c r="AO155" i="53"/>
  <c r="AO203" i="53" s="1"/>
  <c r="AO157" i="53"/>
  <c r="AO205" i="53" s="1"/>
  <c r="AO161" i="53"/>
  <c r="AO209" i="53" s="1"/>
  <c r="AK120" i="64"/>
  <c r="AK248" i="63"/>
  <c r="AK250" i="63" s="1"/>
  <c r="AO135" i="53"/>
  <c r="AO183" i="53" s="1"/>
  <c r="AO136" i="53"/>
  <c r="AO184" i="53" s="1"/>
  <c r="AO139" i="53"/>
  <c r="AO187" i="53" s="1"/>
  <c r="AO147" i="53"/>
  <c r="AO195" i="53" s="1"/>
  <c r="AO140" i="53"/>
  <c r="AO188" i="53" s="1"/>
  <c r="AO145" i="53"/>
  <c r="AO193" i="53" s="1"/>
  <c r="AO133" i="53"/>
  <c r="AO181" i="53" s="1"/>
  <c r="AO141" i="53"/>
  <c r="AO189" i="53" s="1"/>
  <c r="AP54" i="50"/>
  <c r="AP56" i="50" s="1"/>
  <c r="AP55" i="50"/>
  <c r="AS95" i="50"/>
  <c r="AS94" i="50"/>
  <c r="AS99" i="50"/>
  <c r="AS107" i="50"/>
  <c r="AS106" i="50"/>
  <c r="AS111" i="50"/>
  <c r="AS113" i="50" s="1"/>
  <c r="AS135" i="50"/>
  <c r="AS131" i="50"/>
  <c r="AS130" i="50"/>
  <c r="AS68" i="50"/>
  <c r="AT64" i="50" s="1"/>
  <c r="AM235" i="52" l="1"/>
  <c r="AK47" i="63"/>
  <c r="AO233" i="53"/>
  <c r="AM247" i="52"/>
  <c r="AL141" i="63" s="1"/>
  <c r="AL165" i="63" s="1"/>
  <c r="AL89" i="64" s="1"/>
  <c r="AL156" i="64" s="1"/>
  <c r="AO234" i="53"/>
  <c r="AM252" i="52"/>
  <c r="AL146" i="63" s="1"/>
  <c r="AL170" i="63" s="1"/>
  <c r="AL94" i="64" s="1"/>
  <c r="AL161" i="64" s="1"/>
  <c r="AM246" i="52"/>
  <c r="AL140" i="63" s="1"/>
  <c r="AL164" i="63" s="1"/>
  <c r="AL88" i="64" s="1"/>
  <c r="AL155" i="64" s="1"/>
  <c r="AM134" i="64"/>
  <c r="AM17" i="67"/>
  <c r="AE120" i="67"/>
  <c r="AK41" i="63"/>
  <c r="AK40" i="63"/>
  <c r="AK30" i="63"/>
  <c r="AE121" i="67"/>
  <c r="AM290" i="63"/>
  <c r="AB163" i="67"/>
  <c r="AC163" i="67" s="1"/>
  <c r="AB139" i="67"/>
  <c r="AB143" i="67" s="1"/>
  <c r="AO227" i="53"/>
  <c r="AO241" i="53"/>
  <c r="AO230" i="53"/>
  <c r="AO229" i="53"/>
  <c r="AM244" i="52"/>
  <c r="AL138" i="63" s="1"/>
  <c r="AL162" i="63" s="1"/>
  <c r="AM241" i="52"/>
  <c r="AL135" i="63" s="1"/>
  <c r="AL159" i="63" s="1"/>
  <c r="AM243" i="52"/>
  <c r="AL137" i="63" s="1"/>
  <c r="AL161" i="63" s="1"/>
  <c r="AL85" i="64" s="1"/>
  <c r="AL152" i="64" s="1"/>
  <c r="AM236" i="52"/>
  <c r="AL130" i="63" s="1"/>
  <c r="AL154" i="63" s="1"/>
  <c r="AL84" i="67" s="1"/>
  <c r="AJ163" i="64"/>
  <c r="AO235" i="53"/>
  <c r="AO239" i="53"/>
  <c r="AC113" i="67"/>
  <c r="AC142" i="67" s="1"/>
  <c r="AC136" i="67"/>
  <c r="AC139" i="67" s="1"/>
  <c r="AL94" i="67"/>
  <c r="AL93" i="64"/>
  <c r="AL160" i="64" s="1"/>
  <c r="AL81" i="64"/>
  <c r="AL148" i="64" s="1"/>
  <c r="AL87" i="67"/>
  <c r="AL92" i="64"/>
  <c r="AL159" i="64" s="1"/>
  <c r="AL93" i="67"/>
  <c r="AN114" i="52"/>
  <c r="AN121" i="52"/>
  <c r="AN108" i="52"/>
  <c r="AN110" i="52"/>
  <c r="AN120" i="52"/>
  <c r="AN115" i="52"/>
  <c r="AN116" i="52"/>
  <c r="AN107" i="52"/>
  <c r="AN109" i="52"/>
  <c r="AN112" i="52"/>
  <c r="AN113" i="52"/>
  <c r="AN105" i="52"/>
  <c r="AN111" i="52"/>
  <c r="AN118" i="52"/>
  <c r="AN117" i="52"/>
  <c r="AN106" i="52"/>
  <c r="AN119" i="52"/>
  <c r="AN122" i="52"/>
  <c r="AD121" i="67"/>
  <c r="AD128" i="67" s="1"/>
  <c r="AD137" i="67" s="1"/>
  <c r="AM104" i="64"/>
  <c r="AL83" i="64"/>
  <c r="AL150" i="64" s="1"/>
  <c r="AL89" i="67"/>
  <c r="AL26" i="63"/>
  <c r="AL26" i="54"/>
  <c r="AO236" i="53"/>
  <c r="AO243" i="53"/>
  <c r="AO237" i="53"/>
  <c r="AO228" i="53"/>
  <c r="AL179" i="63"/>
  <c r="AL191" i="63" s="1"/>
  <c r="AL86" i="67"/>
  <c r="AL80" i="64"/>
  <c r="AL147" i="64" s="1"/>
  <c r="AO150" i="53"/>
  <c r="AO232" i="53"/>
  <c r="AP120" i="53"/>
  <c r="AP122" i="53"/>
  <c r="AP118" i="53"/>
  <c r="AP114" i="53"/>
  <c r="AP108" i="53"/>
  <c r="AP123" i="53"/>
  <c r="AP112" i="53"/>
  <c r="AP113" i="53"/>
  <c r="AP115" i="53"/>
  <c r="AP106" i="53"/>
  <c r="AP109" i="53"/>
  <c r="AP111" i="53"/>
  <c r="AP121" i="53"/>
  <c r="AP119" i="53"/>
  <c r="AP107" i="53"/>
  <c r="AP117" i="53"/>
  <c r="AP116" i="53"/>
  <c r="AP110" i="53"/>
  <c r="AK173" i="63"/>
  <c r="AK172" i="63"/>
  <c r="AK190" i="63"/>
  <c r="AK193" i="63" s="1"/>
  <c r="AK182" i="63"/>
  <c r="AK183" i="63" s="1"/>
  <c r="AJ125" i="64"/>
  <c r="N56" i="64"/>
  <c r="O56" i="64" s="1"/>
  <c r="AM40" i="49"/>
  <c r="AM19" i="51"/>
  <c r="AM20" i="51" s="1"/>
  <c r="AM27" i="51" s="1"/>
  <c r="AM12" i="52"/>
  <c r="AP166" i="53"/>
  <c r="AP214" i="53" s="1"/>
  <c r="AP165" i="53"/>
  <c r="AP213" i="53" s="1"/>
  <c r="AP169" i="53"/>
  <c r="AP217" i="53" s="1"/>
  <c r="AP168" i="53"/>
  <c r="AP216" i="53" s="1"/>
  <c r="AP164" i="53"/>
  <c r="AP212" i="53" s="1"/>
  <c r="AP159" i="53"/>
  <c r="AP207" i="53" s="1"/>
  <c r="AP162" i="53"/>
  <c r="AP210" i="53" s="1"/>
  <c r="AP170" i="53"/>
  <c r="AP218" i="53" s="1"/>
  <c r="AP171" i="53"/>
  <c r="AP219" i="53" s="1"/>
  <c r="AP167" i="53"/>
  <c r="AP215" i="53" s="1"/>
  <c r="AP161" i="53"/>
  <c r="AP209" i="53" s="1"/>
  <c r="AP155" i="53"/>
  <c r="AP203" i="53" s="1"/>
  <c r="AP157" i="53"/>
  <c r="AP205" i="53" s="1"/>
  <c r="AP160" i="53"/>
  <c r="AP208" i="53" s="1"/>
  <c r="AP158" i="53"/>
  <c r="AP206" i="53" s="1"/>
  <c r="AP163" i="53"/>
  <c r="AP211" i="53" s="1"/>
  <c r="AP156" i="53"/>
  <c r="AP204" i="53" s="1"/>
  <c r="AP154" i="53"/>
  <c r="AP202" i="53" s="1"/>
  <c r="AO72" i="49"/>
  <c r="AO116" i="51"/>
  <c r="AO117" i="51" s="1"/>
  <c r="AO124" i="51" s="1"/>
  <c r="AO13" i="53"/>
  <c r="AN14" i="54"/>
  <c r="AN15" i="54" s="1"/>
  <c r="AN16" i="54" s="1"/>
  <c r="AN28" i="49"/>
  <c r="AN92" i="47"/>
  <c r="AN13" i="63"/>
  <c r="AN14" i="63" s="1"/>
  <c r="AN37" i="49"/>
  <c r="AP93" i="47"/>
  <c r="AP69" i="49"/>
  <c r="AQ139" i="50"/>
  <c r="AQ91" i="49" s="1"/>
  <c r="AQ92" i="49" s="1"/>
  <c r="AL86" i="64"/>
  <c r="AL153" i="64" s="1"/>
  <c r="AL92" i="67"/>
  <c r="AL91" i="64"/>
  <c r="AL158" i="64" s="1"/>
  <c r="AJ169" i="64"/>
  <c r="AJ170" i="64" s="1"/>
  <c r="AJ124" i="64"/>
  <c r="AJ123" i="64"/>
  <c r="AM103" i="64"/>
  <c r="AM27" i="47"/>
  <c r="AL129" i="63"/>
  <c r="AL84" i="64"/>
  <c r="AL151" i="64" s="1"/>
  <c r="AL85" i="67"/>
  <c r="AL79" i="64"/>
  <c r="AL146" i="64" s="1"/>
  <c r="AO240" i="53"/>
  <c r="AO231" i="53"/>
  <c r="AO242" i="53"/>
  <c r="AO226" i="53"/>
  <c r="AO238" i="53"/>
  <c r="AK52" i="63"/>
  <c r="AK50" i="63"/>
  <c r="AL88" i="67"/>
  <c r="AL82" i="64"/>
  <c r="AL149" i="64" s="1"/>
  <c r="AK144" i="64"/>
  <c r="AK95" i="64"/>
  <c r="AN160" i="52"/>
  <c r="AN208" i="52" s="1"/>
  <c r="AN165" i="52"/>
  <c r="AN213" i="52" s="1"/>
  <c r="AN162" i="52"/>
  <c r="AN210" i="52" s="1"/>
  <c r="AN170" i="52"/>
  <c r="AN218" i="52" s="1"/>
  <c r="AN153" i="52"/>
  <c r="AN201" i="52" s="1"/>
  <c r="AN166" i="52"/>
  <c r="AN214" i="52" s="1"/>
  <c r="AN169" i="52"/>
  <c r="AN217" i="52" s="1"/>
  <c r="AN163" i="52"/>
  <c r="AN211" i="52" s="1"/>
  <c r="AN164" i="52"/>
  <c r="AN212" i="52" s="1"/>
  <c r="AN155" i="52"/>
  <c r="AN203" i="52" s="1"/>
  <c r="AN156" i="52"/>
  <c r="AN204" i="52" s="1"/>
  <c r="AN161" i="52"/>
  <c r="AN209" i="52" s="1"/>
  <c r="AN157" i="52"/>
  <c r="AN205" i="52" s="1"/>
  <c r="AN158" i="52"/>
  <c r="AN206" i="52" s="1"/>
  <c r="AN159" i="52"/>
  <c r="AN207" i="52" s="1"/>
  <c r="AN167" i="52"/>
  <c r="AN215" i="52" s="1"/>
  <c r="AN154" i="52"/>
  <c r="AN202" i="52" s="1"/>
  <c r="AN168" i="52"/>
  <c r="AN216" i="52" s="1"/>
  <c r="AQ52" i="50"/>
  <c r="AQ59" i="50" s="1"/>
  <c r="AQ77" i="50" s="1"/>
  <c r="AT67" i="50"/>
  <c r="AT66" i="50"/>
  <c r="AT71" i="50"/>
  <c r="AT73" i="50" s="1"/>
  <c r="AS132" i="50"/>
  <c r="AT128" i="50" s="1"/>
  <c r="AS115" i="50"/>
  <c r="AS96" i="50"/>
  <c r="AT92" i="50" s="1"/>
  <c r="AS110" i="50"/>
  <c r="AS108" i="50"/>
  <c r="AT104" i="50" s="1"/>
  <c r="AL180" i="63" l="1"/>
  <c r="AL91" i="67"/>
  <c r="AL181" i="63"/>
  <c r="AM254" i="52"/>
  <c r="AL90" i="67"/>
  <c r="AE128" i="67"/>
  <c r="AE137" i="67" s="1"/>
  <c r="AO245" i="53"/>
  <c r="AN22" i="63" s="1"/>
  <c r="AN15" i="67"/>
  <c r="AN16" i="63"/>
  <c r="AL78" i="64"/>
  <c r="AL145" i="64" s="1"/>
  <c r="AC143" i="67"/>
  <c r="AO83" i="50"/>
  <c r="AO25" i="49" s="1"/>
  <c r="AO26" i="49" s="1"/>
  <c r="AK122" i="64"/>
  <c r="AK162" i="64"/>
  <c r="AN22" i="54"/>
  <c r="AL153" i="63"/>
  <c r="AL147" i="63"/>
  <c r="AN288" i="63"/>
  <c r="AN14" i="67"/>
  <c r="AN289" i="63"/>
  <c r="AP136" i="53"/>
  <c r="AP184" i="53" s="1"/>
  <c r="AP230" i="53" s="1"/>
  <c r="AP145" i="53"/>
  <c r="AP193" i="53" s="1"/>
  <c r="AP239" i="53" s="1"/>
  <c r="AP132" i="53"/>
  <c r="AP180" i="53" s="1"/>
  <c r="AP226" i="53" s="1"/>
  <c r="AP141" i="53"/>
  <c r="AP189" i="53" s="1"/>
  <c r="AP235" i="53" s="1"/>
  <c r="AP134" i="53"/>
  <c r="AP182" i="53" s="1"/>
  <c r="AP228" i="53" s="1"/>
  <c r="AP146" i="53"/>
  <c r="AP194" i="53" s="1"/>
  <c r="AP240" i="53" s="1"/>
  <c r="AP142" i="53"/>
  <c r="AP190" i="53" s="1"/>
  <c r="AP236" i="53" s="1"/>
  <c r="AP147" i="53"/>
  <c r="AP195" i="53" s="1"/>
  <c r="AP241" i="53" s="1"/>
  <c r="AP149" i="53"/>
  <c r="AP197" i="53" s="1"/>
  <c r="AP243" i="53" s="1"/>
  <c r="AP148" i="53"/>
  <c r="AP196" i="53" s="1"/>
  <c r="AP242" i="53" s="1"/>
  <c r="AO15" i="53"/>
  <c r="AP138" i="53"/>
  <c r="AP186" i="53" s="1"/>
  <c r="AP232" i="53" s="1"/>
  <c r="AP135" i="53"/>
  <c r="AP183" i="53" s="1"/>
  <c r="AP229" i="53" s="1"/>
  <c r="AP140" i="53"/>
  <c r="AP188" i="53" s="1"/>
  <c r="AP234" i="53" s="1"/>
  <c r="AP143" i="53"/>
  <c r="AP191" i="53" s="1"/>
  <c r="AP237" i="53" s="1"/>
  <c r="AP137" i="53"/>
  <c r="AP185" i="53" s="1"/>
  <c r="AP231" i="53" s="1"/>
  <c r="AP144" i="53"/>
  <c r="AP192" i="53" s="1"/>
  <c r="AP238" i="53" s="1"/>
  <c r="AP133" i="53"/>
  <c r="AP181" i="53" s="1"/>
  <c r="AP227" i="53" s="1"/>
  <c r="AP139" i="53"/>
  <c r="AP187" i="53" s="1"/>
  <c r="AP233" i="53" s="1"/>
  <c r="AM28" i="51"/>
  <c r="AR88" i="51"/>
  <c r="AQ88" i="51"/>
  <c r="AW88" i="51"/>
  <c r="AV88" i="51"/>
  <c r="AO88" i="51"/>
  <c r="AN88" i="51"/>
  <c r="AN104" i="51" s="1"/>
  <c r="AN86" i="52" s="1"/>
  <c r="AS88" i="51"/>
  <c r="AU88" i="51"/>
  <c r="AT88" i="51"/>
  <c r="AP88" i="51"/>
  <c r="AM111" i="64"/>
  <c r="AQ119" i="50"/>
  <c r="AQ57" i="49" s="1"/>
  <c r="AQ58" i="49" s="1"/>
  <c r="AM256" i="52"/>
  <c r="AL24" i="63"/>
  <c r="AL24" i="54"/>
  <c r="AL28" i="54" s="1"/>
  <c r="AL30" i="54" s="1"/>
  <c r="AM30" i="47"/>
  <c r="AM29" i="47"/>
  <c r="E59" i="64"/>
  <c r="AQ94" i="47"/>
  <c r="AQ104" i="49"/>
  <c r="AQ105" i="49" s="1"/>
  <c r="AQ106" i="49" s="1"/>
  <c r="AP70" i="49"/>
  <c r="AP12" i="53"/>
  <c r="AN11" i="52"/>
  <c r="AO227" i="52" s="1"/>
  <c r="AO228" i="52" s="1"/>
  <c r="AN38" i="49"/>
  <c r="AN181" i="47"/>
  <c r="AN182" i="47" s="1"/>
  <c r="AN219" i="47" s="1"/>
  <c r="AN220" i="47" s="1"/>
  <c r="AN19" i="47" s="1"/>
  <c r="AN96" i="47"/>
  <c r="AN165" i="47" s="1"/>
  <c r="AN166" i="47" s="1"/>
  <c r="AN18" i="47" s="1"/>
  <c r="AW187" i="51"/>
  <c r="AQ187" i="51"/>
  <c r="AX187" i="51"/>
  <c r="AU187" i="51"/>
  <c r="AR187" i="51"/>
  <c r="AS187" i="51"/>
  <c r="AP187" i="51"/>
  <c r="AP201" i="51" s="1"/>
  <c r="AP87" i="53" s="1"/>
  <c r="AV187" i="51"/>
  <c r="AO125" i="51"/>
  <c r="AT187" i="51"/>
  <c r="AY187" i="51"/>
  <c r="AN144" i="52"/>
  <c r="AN192" i="52" s="1"/>
  <c r="AN248" i="52" s="1"/>
  <c r="AM142" i="63" s="1"/>
  <c r="AM166" i="63" s="1"/>
  <c r="AM90" i="64" s="1"/>
  <c r="AM157" i="64" s="1"/>
  <c r="AN137" i="52"/>
  <c r="AN185" i="52" s="1"/>
  <c r="AN241" i="52" s="1"/>
  <c r="AM135" i="63" s="1"/>
  <c r="AM159" i="63" s="1"/>
  <c r="AN132" i="52"/>
  <c r="AN180" i="52" s="1"/>
  <c r="AN236" i="52" s="1"/>
  <c r="AM130" i="63" s="1"/>
  <c r="AM154" i="63" s="1"/>
  <c r="AN141" i="52"/>
  <c r="AN189" i="52" s="1"/>
  <c r="AN245" i="52" s="1"/>
  <c r="AM139" i="63" s="1"/>
  <c r="AM163" i="63" s="1"/>
  <c r="AM87" i="64" s="1"/>
  <c r="AM154" i="64" s="1"/>
  <c r="AN139" i="52"/>
  <c r="AN187" i="52" s="1"/>
  <c r="AN243" i="52" s="1"/>
  <c r="AM137" i="63" s="1"/>
  <c r="AM161" i="63" s="1"/>
  <c r="AM85" i="64" s="1"/>
  <c r="AM152" i="64" s="1"/>
  <c r="AN136" i="52"/>
  <c r="AN184" i="52" s="1"/>
  <c r="AN240" i="52" s="1"/>
  <c r="AM134" i="63" s="1"/>
  <c r="AM158" i="63" s="1"/>
  <c r="AN131" i="52"/>
  <c r="AN179" i="52" s="1"/>
  <c r="AN235" i="52" s="1"/>
  <c r="AN148" i="52"/>
  <c r="AN196" i="52" s="1"/>
  <c r="AN252" i="52" s="1"/>
  <c r="AM146" i="63" s="1"/>
  <c r="AM170" i="63" s="1"/>
  <c r="AM94" i="64" s="1"/>
  <c r="AM161" i="64" s="1"/>
  <c r="AN143" i="52"/>
  <c r="AN191" i="52" s="1"/>
  <c r="AN247" i="52" s="1"/>
  <c r="AM141" i="63" s="1"/>
  <c r="AM165" i="63" s="1"/>
  <c r="AM89" i="64" s="1"/>
  <c r="AM156" i="64" s="1"/>
  <c r="AN147" i="52"/>
  <c r="AN195" i="52" s="1"/>
  <c r="AN251" i="52" s="1"/>
  <c r="AM145" i="63" s="1"/>
  <c r="AM169" i="63" s="1"/>
  <c r="AN133" i="52"/>
  <c r="AN181" i="52" s="1"/>
  <c r="AN237" i="52" s="1"/>
  <c r="AM131" i="63" s="1"/>
  <c r="AM155" i="63" s="1"/>
  <c r="AN142" i="52"/>
  <c r="AN190" i="52" s="1"/>
  <c r="AN246" i="52" s="1"/>
  <c r="AM140" i="63" s="1"/>
  <c r="AM164" i="63" s="1"/>
  <c r="AM88" i="64" s="1"/>
  <c r="AM155" i="64" s="1"/>
  <c r="AN146" i="52"/>
  <c r="AN194" i="52" s="1"/>
  <c r="AN250" i="52" s="1"/>
  <c r="AM144" i="63" s="1"/>
  <c r="AM168" i="63" s="1"/>
  <c r="AN140" i="52"/>
  <c r="AN188" i="52" s="1"/>
  <c r="AN244" i="52" s="1"/>
  <c r="AM138" i="63" s="1"/>
  <c r="AM162" i="63" s="1"/>
  <c r="AM14" i="52"/>
  <c r="AN134" i="52"/>
  <c r="AN182" i="52" s="1"/>
  <c r="AN238" i="52" s="1"/>
  <c r="AM132" i="63" s="1"/>
  <c r="AM156" i="63" s="1"/>
  <c r="AN138" i="52"/>
  <c r="AN186" i="52" s="1"/>
  <c r="AN242" i="52" s="1"/>
  <c r="AM136" i="63" s="1"/>
  <c r="AM160" i="63" s="1"/>
  <c r="AN135" i="52"/>
  <c r="AN183" i="52" s="1"/>
  <c r="AN239" i="52" s="1"/>
  <c r="AM133" i="63" s="1"/>
  <c r="AM157" i="63" s="1"/>
  <c r="AN145" i="52"/>
  <c r="AN193" i="52" s="1"/>
  <c r="AN249" i="52" s="1"/>
  <c r="AM143" i="63" s="1"/>
  <c r="AM167" i="63" s="1"/>
  <c r="AK118" i="64"/>
  <c r="AK192" i="63"/>
  <c r="AK195" i="63" s="1"/>
  <c r="C57" i="64"/>
  <c r="I57" i="64" s="1"/>
  <c r="AK197" i="63"/>
  <c r="AK198" i="63" s="1"/>
  <c r="AL200" i="63"/>
  <c r="AL177" i="64" s="1"/>
  <c r="AL119" i="64"/>
  <c r="D58" i="64"/>
  <c r="H58" i="64" s="1"/>
  <c r="M58" i="64" s="1"/>
  <c r="AL194" i="63"/>
  <c r="AL45" i="63"/>
  <c r="AQ54" i="50"/>
  <c r="AQ55" i="50"/>
  <c r="AT68" i="50"/>
  <c r="AU64" i="50" s="1"/>
  <c r="AT95" i="50"/>
  <c r="AT94" i="50"/>
  <c r="AT99" i="50"/>
  <c r="AT106" i="50"/>
  <c r="AT111" i="50"/>
  <c r="AT113" i="50" s="1"/>
  <c r="AT107" i="50"/>
  <c r="AT131" i="50"/>
  <c r="AT135" i="50"/>
  <c r="AT130" i="50"/>
  <c r="AO247" i="53" l="1"/>
  <c r="AN104" i="64"/>
  <c r="AN17" i="67"/>
  <c r="AN134" i="64"/>
  <c r="AP150" i="53"/>
  <c r="AP245" i="53"/>
  <c r="AL148" i="63"/>
  <c r="AF120" i="67"/>
  <c r="AL28" i="63"/>
  <c r="AL44" i="63"/>
  <c r="AN290" i="63"/>
  <c r="AL120" i="64"/>
  <c r="AL248" i="63"/>
  <c r="AL250" i="63" s="1"/>
  <c r="AK125" i="64"/>
  <c r="N57" i="64"/>
  <c r="O57" i="64" s="1"/>
  <c r="AM87" i="67"/>
  <c r="AM81" i="64"/>
  <c r="AM148" i="64" s="1"/>
  <c r="AM179" i="63"/>
  <c r="AM191" i="63" s="1"/>
  <c r="AM80" i="64"/>
  <c r="AM147" i="64" s="1"/>
  <c r="AM86" i="67"/>
  <c r="AD104" i="67" s="1"/>
  <c r="AM86" i="64"/>
  <c r="AM153" i="64" s="1"/>
  <c r="AM91" i="67"/>
  <c r="AD109" i="67" s="1"/>
  <c r="AM93" i="64"/>
  <c r="AM160" i="64" s="1"/>
  <c r="AM94" i="67"/>
  <c r="AD112" i="67" s="1"/>
  <c r="AM82" i="64"/>
  <c r="AM149" i="64" s="1"/>
  <c r="AM88" i="67"/>
  <c r="AD106" i="67" s="1"/>
  <c r="AM180" i="63"/>
  <c r="AM89" i="67"/>
  <c r="AM83" i="64"/>
  <c r="AM150" i="64" s="1"/>
  <c r="AQ110" i="53"/>
  <c r="AQ108" i="53"/>
  <c r="AQ106" i="53"/>
  <c r="AQ116" i="53"/>
  <c r="AQ118" i="53"/>
  <c r="AQ114" i="53"/>
  <c r="AQ119" i="53"/>
  <c r="AQ123" i="53"/>
  <c r="AQ109" i="53"/>
  <c r="AQ112" i="53"/>
  <c r="AQ113" i="53"/>
  <c r="AQ107" i="53"/>
  <c r="AQ121" i="53"/>
  <c r="AQ117" i="53"/>
  <c r="AQ122" i="53"/>
  <c r="AQ120" i="53"/>
  <c r="AQ115" i="53"/>
  <c r="AQ111" i="53"/>
  <c r="AN19" i="51"/>
  <c r="AN20" i="51" s="1"/>
  <c r="AN27" i="51" s="1"/>
  <c r="AN40" i="49"/>
  <c r="AN12" i="52"/>
  <c r="AM26" i="54"/>
  <c r="AM26" i="63"/>
  <c r="AQ69" i="49"/>
  <c r="AQ93" i="47"/>
  <c r="AL83" i="67"/>
  <c r="AL178" i="63"/>
  <c r="AL77" i="64"/>
  <c r="AL171" i="63"/>
  <c r="AK163" i="64"/>
  <c r="AO37" i="49"/>
  <c r="AO14" i="54"/>
  <c r="AO15" i="54" s="1"/>
  <c r="AO16" i="54" s="1"/>
  <c r="AO13" i="63"/>
  <c r="AO14" i="63" s="1"/>
  <c r="AO28" i="49"/>
  <c r="AO92" i="47"/>
  <c r="AR139" i="50"/>
  <c r="AR91" i="49" s="1"/>
  <c r="AR92" i="49" s="1"/>
  <c r="AL47" i="63"/>
  <c r="AL48" i="63"/>
  <c r="Q58" i="64"/>
  <c r="AL201" i="63"/>
  <c r="AL179" i="64" s="1"/>
  <c r="AL180" i="64" s="1"/>
  <c r="AM91" i="64"/>
  <c r="AM158" i="64" s="1"/>
  <c r="AM92" i="67"/>
  <c r="AD110" i="67" s="1"/>
  <c r="AM90" i="67"/>
  <c r="AD108" i="67" s="1"/>
  <c r="AM181" i="63"/>
  <c r="AM84" i="64"/>
  <c r="AM151" i="64" s="1"/>
  <c r="AM93" i="67"/>
  <c r="AD111" i="67" s="1"/>
  <c r="AM92" i="64"/>
  <c r="AM159" i="64" s="1"/>
  <c r="AM79" i="64"/>
  <c r="AM146" i="64" s="1"/>
  <c r="AM85" i="67"/>
  <c r="AD103" i="67" s="1"/>
  <c r="AM129" i="63"/>
  <c r="AN254" i="52"/>
  <c r="AM78" i="64"/>
  <c r="AM145" i="64" s="1"/>
  <c r="AM84" i="67"/>
  <c r="AD102" i="67" s="1"/>
  <c r="AN27" i="47"/>
  <c r="AN103" i="64"/>
  <c r="AN111" i="64" s="1"/>
  <c r="AN39" i="49"/>
  <c r="AN13" i="52" s="1"/>
  <c r="AP71" i="49"/>
  <c r="AP14" i="53" s="1"/>
  <c r="AP72" i="49"/>
  <c r="AP13" i="53"/>
  <c r="AP116" i="51"/>
  <c r="AP117" i="51" s="1"/>
  <c r="AP124" i="51" s="1"/>
  <c r="AO115" i="52"/>
  <c r="AO118" i="52"/>
  <c r="AO105" i="52"/>
  <c r="AO107" i="52"/>
  <c r="AO113" i="52"/>
  <c r="AO106" i="52"/>
  <c r="AO121" i="52"/>
  <c r="AO116" i="52"/>
  <c r="AO111" i="52"/>
  <c r="AO120" i="52"/>
  <c r="AO117" i="52"/>
  <c r="AO108" i="52"/>
  <c r="AO114" i="52"/>
  <c r="AO112" i="52"/>
  <c r="AO138" i="52" s="1"/>
  <c r="AO186" i="52" s="1"/>
  <c r="AO119" i="52"/>
  <c r="AO109" i="52"/>
  <c r="AO110" i="52"/>
  <c r="AO122" i="52"/>
  <c r="AO148" i="52" s="1"/>
  <c r="AO196" i="52" s="1"/>
  <c r="AO22" i="54"/>
  <c r="AO22" i="63"/>
  <c r="AP247" i="53"/>
  <c r="AK169" i="64"/>
  <c r="AK170" i="64" s="1"/>
  <c r="AK124" i="64"/>
  <c r="AK123" i="64"/>
  <c r="AQ56" i="50"/>
  <c r="AR52" i="50" s="1"/>
  <c r="AR59" i="50" s="1"/>
  <c r="AR77" i="50" s="1"/>
  <c r="AT96" i="50"/>
  <c r="AU92" i="50" s="1"/>
  <c r="AU67" i="50"/>
  <c r="AU66" i="50"/>
  <c r="AU71" i="50"/>
  <c r="AU73" i="50" s="1"/>
  <c r="AT132" i="50"/>
  <c r="AU128" i="50" s="1"/>
  <c r="AT108" i="50"/>
  <c r="AU104" i="50" s="1"/>
  <c r="AT110" i="50"/>
  <c r="AT115" i="50"/>
  <c r="AO135" i="52" l="1"/>
  <c r="AO183" i="52" s="1"/>
  <c r="AL41" i="63"/>
  <c r="AL30" i="63"/>
  <c r="AL40" i="63"/>
  <c r="AO16" i="63"/>
  <c r="AO15" i="67"/>
  <c r="AO143" i="52"/>
  <c r="AO191" i="52" s="1"/>
  <c r="AD107" i="67"/>
  <c r="AE107" i="67"/>
  <c r="AD105" i="67"/>
  <c r="AE105" i="67"/>
  <c r="AP83" i="50"/>
  <c r="AP25" i="49" s="1"/>
  <c r="AP26" i="49" s="1"/>
  <c r="AQ140" i="53"/>
  <c r="AQ188" i="53" s="1"/>
  <c r="AQ132" i="53"/>
  <c r="AQ180" i="53" s="1"/>
  <c r="AQ136" i="53"/>
  <c r="AQ184" i="53" s="1"/>
  <c r="AQ147" i="53"/>
  <c r="AQ195" i="53" s="1"/>
  <c r="AQ135" i="53"/>
  <c r="AQ183" i="53" s="1"/>
  <c r="AQ146" i="53"/>
  <c r="AQ194" i="53" s="1"/>
  <c r="AQ145" i="53"/>
  <c r="AQ193" i="53" s="1"/>
  <c r="AQ139" i="53"/>
  <c r="AQ187" i="53" s="1"/>
  <c r="AQ143" i="53"/>
  <c r="AQ191" i="53" s="1"/>
  <c r="AQ144" i="53"/>
  <c r="AQ192" i="53" s="1"/>
  <c r="AQ133" i="53"/>
  <c r="AQ181" i="53" s="1"/>
  <c r="AP15" i="53"/>
  <c r="AQ148" i="53"/>
  <c r="AQ196" i="53" s="1"/>
  <c r="AQ149" i="53"/>
  <c r="AQ197" i="53" s="1"/>
  <c r="AQ142" i="53"/>
  <c r="AQ190" i="53" s="1"/>
  <c r="AQ137" i="53"/>
  <c r="AQ185" i="53" s="1"/>
  <c r="AQ138" i="53"/>
  <c r="AQ186" i="53" s="1"/>
  <c r="AQ141" i="53"/>
  <c r="AQ189" i="53" s="1"/>
  <c r="AQ134" i="53"/>
  <c r="AQ182" i="53" s="1"/>
  <c r="AQ167" i="53"/>
  <c r="AQ215" i="53" s="1"/>
  <c r="AQ159" i="53"/>
  <c r="AQ207" i="53" s="1"/>
  <c r="AQ163" i="53"/>
  <c r="AQ211" i="53" s="1"/>
  <c r="AQ157" i="53"/>
  <c r="AQ205" i="53" s="1"/>
  <c r="AQ169" i="53"/>
  <c r="AQ217" i="53" s="1"/>
  <c r="AQ155" i="53"/>
  <c r="AQ203" i="53" s="1"/>
  <c r="AQ164" i="53"/>
  <c r="AQ212" i="53" s="1"/>
  <c r="AQ168" i="53"/>
  <c r="AQ216" i="53" s="1"/>
  <c r="AQ162" i="53"/>
  <c r="AQ210" i="53" s="1"/>
  <c r="AQ166" i="53"/>
  <c r="AQ214" i="53" s="1"/>
  <c r="AQ160" i="53"/>
  <c r="AQ208" i="53" s="1"/>
  <c r="AQ161" i="53"/>
  <c r="AQ209" i="53" s="1"/>
  <c r="AQ165" i="53"/>
  <c r="AQ213" i="53" s="1"/>
  <c r="AQ156" i="53"/>
  <c r="AQ204" i="53" s="1"/>
  <c r="AQ171" i="53"/>
  <c r="AQ219" i="53" s="1"/>
  <c r="AQ158" i="53"/>
  <c r="AQ206" i="53" s="1"/>
  <c r="AQ170" i="53"/>
  <c r="AQ218" i="53" s="1"/>
  <c r="AQ154" i="53"/>
  <c r="AQ202" i="53" s="1"/>
  <c r="AM24" i="63"/>
  <c r="AN256" i="52"/>
  <c r="AM24" i="54"/>
  <c r="AM28" i="54" s="1"/>
  <c r="AM30" i="54" s="1"/>
  <c r="AL50" i="63"/>
  <c r="AL52" i="63"/>
  <c r="AR94" i="47"/>
  <c r="AR104" i="49"/>
  <c r="AR105" i="49" s="1"/>
  <c r="AR106" i="49" s="1"/>
  <c r="AO181" i="47"/>
  <c r="AO182" i="47" s="1"/>
  <c r="AO219" i="47" s="1"/>
  <c r="AO220" i="47" s="1"/>
  <c r="AO19" i="47" s="1"/>
  <c r="AO96" i="47"/>
  <c r="AO165" i="47" s="1"/>
  <c r="AO166" i="47" s="1"/>
  <c r="AO18" i="47" s="1"/>
  <c r="C37" i="47" s="1"/>
  <c r="AO14" i="67"/>
  <c r="AO288" i="63"/>
  <c r="AO289" i="63"/>
  <c r="AO11" i="52"/>
  <c r="AP227" i="52" s="1"/>
  <c r="AP228" i="52" s="1"/>
  <c r="AO38" i="49"/>
  <c r="AO39" i="49" s="1"/>
  <c r="AO13" i="52" s="1"/>
  <c r="AL172" i="63"/>
  <c r="AL173" i="63"/>
  <c r="AL190" i="63"/>
  <c r="AL182" i="63"/>
  <c r="AL183" i="63" s="1"/>
  <c r="AM194" i="63"/>
  <c r="AM45" i="63"/>
  <c r="AN14" i="52"/>
  <c r="AO142" i="52"/>
  <c r="AO190" i="52" s="1"/>
  <c r="AO145" i="52"/>
  <c r="AO193" i="52" s="1"/>
  <c r="AO133" i="52"/>
  <c r="AO181" i="52" s="1"/>
  <c r="AO140" i="52"/>
  <c r="AO188" i="52" s="1"/>
  <c r="AO146" i="52"/>
  <c r="AO194" i="52" s="1"/>
  <c r="AO137" i="52"/>
  <c r="AO185" i="52" s="1"/>
  <c r="AO139" i="52"/>
  <c r="AO187" i="52" s="1"/>
  <c r="AO141" i="52"/>
  <c r="AO189" i="52" s="1"/>
  <c r="AO136" i="52"/>
  <c r="AO184" i="52" s="1"/>
  <c r="AO132" i="52"/>
  <c r="AO180" i="52" s="1"/>
  <c r="AO144" i="52"/>
  <c r="AO192" i="52" s="1"/>
  <c r="AO134" i="52"/>
  <c r="AO182" i="52" s="1"/>
  <c r="AO147" i="52"/>
  <c r="AO195" i="52" s="1"/>
  <c r="AO131" i="52"/>
  <c r="AO179" i="52" s="1"/>
  <c r="AR89" i="51"/>
  <c r="AO89" i="51"/>
  <c r="AO104" i="51" s="1"/>
  <c r="AO86" i="52" s="1"/>
  <c r="AW89" i="51"/>
  <c r="AT89" i="51"/>
  <c r="AN28" i="51"/>
  <c r="AU89" i="51"/>
  <c r="AV89" i="51"/>
  <c r="AP89" i="51"/>
  <c r="AX89" i="51"/>
  <c r="AS89" i="51"/>
  <c r="AQ89" i="51"/>
  <c r="D59" i="64"/>
  <c r="H59" i="64" s="1"/>
  <c r="M59" i="64" s="1"/>
  <c r="AM119" i="64"/>
  <c r="AM200" i="63"/>
  <c r="AM177" i="64" s="1"/>
  <c r="AR119" i="50"/>
  <c r="AR57" i="49" s="1"/>
  <c r="AR58" i="49" s="1"/>
  <c r="AW188" i="51"/>
  <c r="AT188" i="51"/>
  <c r="AR188" i="51"/>
  <c r="AY188" i="51"/>
  <c r="AV188" i="51"/>
  <c r="AS188" i="51"/>
  <c r="AP125" i="51"/>
  <c r="AX188" i="51"/>
  <c r="AU188" i="51"/>
  <c r="AQ188" i="51"/>
  <c r="AQ201" i="51" s="1"/>
  <c r="AQ87" i="53" s="1"/>
  <c r="AZ188" i="51"/>
  <c r="AO170" i="52"/>
  <c r="AO218" i="52" s="1"/>
  <c r="AO252" i="52" s="1"/>
  <c r="AN146" i="63" s="1"/>
  <c r="AN170" i="63" s="1"/>
  <c r="AN94" i="64" s="1"/>
  <c r="AN161" i="64" s="1"/>
  <c r="AO158" i="52"/>
  <c r="AO206" i="52" s="1"/>
  <c r="AO164" i="52"/>
  <c r="AO212" i="52" s="1"/>
  <c r="AO161" i="52"/>
  <c r="AO209" i="52" s="1"/>
  <c r="AO155" i="52"/>
  <c r="AO203" i="52" s="1"/>
  <c r="AO160" i="52"/>
  <c r="AO208" i="52" s="1"/>
  <c r="AO242" i="52" s="1"/>
  <c r="AN136" i="63" s="1"/>
  <c r="AN160" i="63" s="1"/>
  <c r="AO159" i="52"/>
  <c r="AO207" i="52" s="1"/>
  <c r="AO241" i="52" s="1"/>
  <c r="AN135" i="63" s="1"/>
  <c r="AN159" i="63" s="1"/>
  <c r="AO163" i="52"/>
  <c r="AO211" i="52" s="1"/>
  <c r="AO153" i="52"/>
  <c r="AO201" i="52" s="1"/>
  <c r="AO156" i="52"/>
  <c r="AO204" i="52" s="1"/>
  <c r="AO166" i="52"/>
  <c r="AO214" i="52" s="1"/>
  <c r="AO167" i="52"/>
  <c r="AO215" i="52" s="1"/>
  <c r="AO169" i="52"/>
  <c r="AO217" i="52" s="1"/>
  <c r="AO165" i="52"/>
  <c r="AO213" i="52" s="1"/>
  <c r="AO247" i="52" s="1"/>
  <c r="AN141" i="63" s="1"/>
  <c r="AN165" i="63" s="1"/>
  <c r="AN89" i="64" s="1"/>
  <c r="AN156" i="64" s="1"/>
  <c r="AO168" i="52"/>
  <c r="AO216" i="52" s="1"/>
  <c r="AO157" i="52"/>
  <c r="AO205" i="52" s="1"/>
  <c r="AO239" i="52" s="1"/>
  <c r="AN133" i="63" s="1"/>
  <c r="AN157" i="63" s="1"/>
  <c r="AO154" i="52"/>
  <c r="AO202" i="52" s="1"/>
  <c r="AO236" i="52" s="1"/>
  <c r="AN130" i="63" s="1"/>
  <c r="AN154" i="63" s="1"/>
  <c r="AO162" i="52"/>
  <c r="AO210" i="52" s="1"/>
  <c r="E60" i="64"/>
  <c r="AN29" i="47"/>
  <c r="AN30" i="47"/>
  <c r="AM153" i="63"/>
  <c r="AM147" i="63"/>
  <c r="AM148" i="63" s="1"/>
  <c r="AL144" i="64"/>
  <c r="AL95" i="64"/>
  <c r="AQ70" i="49"/>
  <c r="AQ71" i="49" s="1"/>
  <c r="AQ14" i="53" s="1"/>
  <c r="AQ12" i="53"/>
  <c r="AR55" i="50"/>
  <c r="AR54" i="50"/>
  <c r="AR56" i="50" s="1"/>
  <c r="AU107" i="50"/>
  <c r="AU111" i="50"/>
  <c r="AU113" i="50" s="1"/>
  <c r="AU106" i="50"/>
  <c r="AU131" i="50"/>
  <c r="AU130" i="50"/>
  <c r="AU135" i="50"/>
  <c r="AU99" i="50"/>
  <c r="AU95" i="50"/>
  <c r="AU94" i="50"/>
  <c r="AU68" i="50"/>
  <c r="AV64" i="50" s="1"/>
  <c r="AO290" i="63" l="1"/>
  <c r="D293" i="63" s="1"/>
  <c r="D174" i="67" s="1"/>
  <c r="AD135" i="67"/>
  <c r="AD163" i="67" s="1"/>
  <c r="G36" i="47"/>
  <c r="AM28" i="63"/>
  <c r="AM44" i="63"/>
  <c r="C293" i="63"/>
  <c r="C174" i="67" s="1"/>
  <c r="AO17" i="67"/>
  <c r="AO134" i="64"/>
  <c r="AL193" i="63"/>
  <c r="AG121" i="67"/>
  <c r="C38" i="47"/>
  <c r="G37" i="47" s="1"/>
  <c r="AM201" i="63"/>
  <c r="AM179" i="64" s="1"/>
  <c r="AQ150" i="53"/>
  <c r="AO251" i="52"/>
  <c r="AN145" i="63" s="1"/>
  <c r="AN169" i="63" s="1"/>
  <c r="AP155" i="52"/>
  <c r="AP203" i="52" s="1"/>
  <c r="AP153" i="52"/>
  <c r="AP201" i="52" s="1"/>
  <c r="AP157" i="52"/>
  <c r="AP205" i="52" s="1"/>
  <c r="AP160" i="52"/>
  <c r="AP208" i="52" s="1"/>
  <c r="AP170" i="52"/>
  <c r="AP218" i="52" s="1"/>
  <c r="AP156" i="52"/>
  <c r="AP204" i="52" s="1"/>
  <c r="AP169" i="52"/>
  <c r="AP217" i="52" s="1"/>
  <c r="AP167" i="52"/>
  <c r="AP215" i="52" s="1"/>
  <c r="AP164" i="52"/>
  <c r="AP212" i="52" s="1"/>
  <c r="AP159" i="52"/>
  <c r="AP207" i="52" s="1"/>
  <c r="AP161" i="52"/>
  <c r="AP209" i="52" s="1"/>
  <c r="AP162" i="52"/>
  <c r="AP210" i="52" s="1"/>
  <c r="AP154" i="52"/>
  <c r="AP202" i="52" s="1"/>
  <c r="AP165" i="52"/>
  <c r="AP213" i="52" s="1"/>
  <c r="AP158" i="52"/>
  <c r="AP206" i="52" s="1"/>
  <c r="AP166" i="52"/>
  <c r="AP214" i="52" s="1"/>
  <c r="AP163" i="52"/>
  <c r="AP211" i="52" s="1"/>
  <c r="AP168" i="52"/>
  <c r="AP216" i="52" s="1"/>
  <c r="AS139" i="50"/>
  <c r="AS91" i="49" s="1"/>
  <c r="AS92" i="49" s="1"/>
  <c r="AR155" i="53"/>
  <c r="AR203" i="53" s="1"/>
  <c r="AR166" i="53"/>
  <c r="AR214" i="53" s="1"/>
  <c r="AR159" i="53"/>
  <c r="AR207" i="53" s="1"/>
  <c r="AR161" i="53"/>
  <c r="AR209" i="53" s="1"/>
  <c r="AR169" i="53"/>
  <c r="AR217" i="53" s="1"/>
  <c r="AR154" i="53"/>
  <c r="AR202" i="53" s="1"/>
  <c r="AR164" i="53"/>
  <c r="AR212" i="53" s="1"/>
  <c r="AR158" i="53"/>
  <c r="AR206" i="53" s="1"/>
  <c r="AR167" i="53"/>
  <c r="AR215" i="53" s="1"/>
  <c r="AR160" i="53"/>
  <c r="AR208" i="53" s="1"/>
  <c r="AR171" i="53"/>
  <c r="AR219" i="53" s="1"/>
  <c r="AR157" i="53"/>
  <c r="AR205" i="53" s="1"/>
  <c r="AR168" i="53"/>
  <c r="AR216" i="53" s="1"/>
  <c r="AR156" i="53"/>
  <c r="AR204" i="53" s="1"/>
  <c r="AR170" i="53"/>
  <c r="AR218" i="53" s="1"/>
  <c r="AR165" i="53"/>
  <c r="AR213" i="53" s="1"/>
  <c r="AR163" i="53"/>
  <c r="AR211" i="53" s="1"/>
  <c r="AR162" i="53"/>
  <c r="AR210" i="53" s="1"/>
  <c r="AQ13" i="53"/>
  <c r="AQ72" i="49"/>
  <c r="AQ116" i="51"/>
  <c r="AQ117" i="51" s="1"/>
  <c r="AQ124" i="51" s="1"/>
  <c r="AM77" i="64"/>
  <c r="AM178" i="63"/>
  <c r="AM83" i="67"/>
  <c r="AD101" i="67" s="1"/>
  <c r="AM171" i="63"/>
  <c r="AN81" i="64"/>
  <c r="AN148" i="64" s="1"/>
  <c r="AN87" i="67"/>
  <c r="AN84" i="64"/>
  <c r="AN151" i="64" s="1"/>
  <c r="AR93" i="47"/>
  <c r="AR69" i="49"/>
  <c r="AM180" i="64"/>
  <c r="AO248" i="52"/>
  <c r="AN142" i="63" s="1"/>
  <c r="AN166" i="63" s="1"/>
  <c r="AN90" i="64" s="1"/>
  <c r="AN157" i="64" s="1"/>
  <c r="AO240" i="52"/>
  <c r="AN134" i="63" s="1"/>
  <c r="AN158" i="63" s="1"/>
  <c r="AO243" i="52"/>
  <c r="AN137" i="63" s="1"/>
  <c r="AN161" i="63" s="1"/>
  <c r="AN85" i="64" s="1"/>
  <c r="AN152" i="64" s="1"/>
  <c r="AO250" i="52"/>
  <c r="AN144" i="63" s="1"/>
  <c r="AN168" i="63" s="1"/>
  <c r="AO237" i="52"/>
  <c r="AN131" i="63" s="1"/>
  <c r="AN155" i="63" s="1"/>
  <c r="AO246" i="52"/>
  <c r="AN140" i="63" s="1"/>
  <c r="AN164" i="63" s="1"/>
  <c r="AN88" i="64" s="1"/>
  <c r="AN155" i="64" s="1"/>
  <c r="AM48" i="63"/>
  <c r="AM47" i="63"/>
  <c r="AO103" i="64"/>
  <c r="AO27" i="47"/>
  <c r="Q59" i="64"/>
  <c r="AQ235" i="53"/>
  <c r="AQ231" i="53"/>
  <c r="AQ243" i="53"/>
  <c r="AQ238" i="53"/>
  <c r="AQ233" i="53"/>
  <c r="AQ240" i="53"/>
  <c r="AQ241" i="53"/>
  <c r="AQ226" i="53"/>
  <c r="AP37" i="49"/>
  <c r="AP28" i="49"/>
  <c r="AP92" i="47"/>
  <c r="AL162" i="64"/>
  <c r="AL122" i="64"/>
  <c r="AN26" i="63"/>
  <c r="AN26" i="54"/>
  <c r="AN78" i="64"/>
  <c r="AN145" i="64" s="1"/>
  <c r="AN84" i="67"/>
  <c r="AE102" i="67" s="1"/>
  <c r="AN94" i="67"/>
  <c r="AE112" i="67" s="1"/>
  <c r="AN93" i="64"/>
  <c r="AN160" i="64" s="1"/>
  <c r="AN89" i="67"/>
  <c r="AN83" i="64"/>
  <c r="AN150" i="64" s="1"/>
  <c r="AR114" i="53"/>
  <c r="AR113" i="53"/>
  <c r="AR120" i="53"/>
  <c r="AR115" i="53"/>
  <c r="AR112" i="53"/>
  <c r="AR122" i="53"/>
  <c r="AR121" i="53"/>
  <c r="AR123" i="53"/>
  <c r="AR109" i="53"/>
  <c r="AR118" i="53"/>
  <c r="AR119" i="53"/>
  <c r="AR111" i="53"/>
  <c r="AR117" i="53"/>
  <c r="AR108" i="53"/>
  <c r="AR107" i="53"/>
  <c r="AR106" i="53"/>
  <c r="AR110" i="53"/>
  <c r="AR116" i="53"/>
  <c r="AP111" i="52"/>
  <c r="AP122" i="52"/>
  <c r="AP113" i="52"/>
  <c r="AP115" i="52"/>
  <c r="AP110" i="52"/>
  <c r="AP120" i="52"/>
  <c r="AP107" i="52"/>
  <c r="AP108" i="52"/>
  <c r="AP119" i="52"/>
  <c r="AP109" i="52"/>
  <c r="AP106" i="52"/>
  <c r="AP114" i="52"/>
  <c r="AP118" i="52"/>
  <c r="AP105" i="52"/>
  <c r="AP117" i="52"/>
  <c r="AP112" i="52"/>
  <c r="AP121" i="52"/>
  <c r="AP116" i="52"/>
  <c r="AO235" i="52"/>
  <c r="AO238" i="52"/>
  <c r="AN132" i="63" s="1"/>
  <c r="AN156" i="63" s="1"/>
  <c r="AO245" i="52"/>
  <c r="AN139" i="63" s="1"/>
  <c r="AN163" i="63" s="1"/>
  <c r="AN87" i="64" s="1"/>
  <c r="AN154" i="64" s="1"/>
  <c r="AO244" i="52"/>
  <c r="AN138" i="63" s="1"/>
  <c r="AN162" i="63" s="1"/>
  <c r="AO249" i="52"/>
  <c r="AN143" i="63" s="1"/>
  <c r="AN167" i="63" s="1"/>
  <c r="AM120" i="64"/>
  <c r="AM248" i="63"/>
  <c r="AM250" i="63" s="1"/>
  <c r="AL118" i="64"/>
  <c r="C58" i="64"/>
  <c r="AL192" i="63"/>
  <c r="AL197" i="63"/>
  <c r="AL198" i="63" s="1"/>
  <c r="AO19" i="51"/>
  <c r="AO20" i="51" s="1"/>
  <c r="AO27" i="51" s="1"/>
  <c r="AO12" i="52"/>
  <c r="AO40" i="49"/>
  <c r="AF121" i="67"/>
  <c r="AF128" i="67" s="1"/>
  <c r="AF137" i="67" s="1"/>
  <c r="AO104" i="64"/>
  <c r="AQ228" i="53"/>
  <c r="AQ232" i="53"/>
  <c r="AQ236" i="53"/>
  <c r="AQ242" i="53"/>
  <c r="AQ227" i="53"/>
  <c r="AQ237" i="53"/>
  <c r="AQ239" i="53"/>
  <c r="AQ229" i="53"/>
  <c r="AQ230" i="53"/>
  <c r="AQ234" i="53"/>
  <c r="E180" i="64"/>
  <c r="E125" i="64"/>
  <c r="F125" i="64"/>
  <c r="BC75" i="64"/>
  <c r="BC77" i="64" s="1"/>
  <c r="AU115" i="50"/>
  <c r="AV67" i="50"/>
  <c r="AV66" i="50"/>
  <c r="AV71" i="50"/>
  <c r="AV73" i="50" s="1"/>
  <c r="AS52" i="50"/>
  <c r="AU108" i="50"/>
  <c r="AV104" i="50" s="1"/>
  <c r="AU110" i="50"/>
  <c r="AU96" i="50"/>
  <c r="AV92" i="50" s="1"/>
  <c r="AU132" i="50"/>
  <c r="AV128" i="50" s="1"/>
  <c r="I58" i="64" l="1"/>
  <c r="AN181" i="63"/>
  <c r="AQ245" i="53"/>
  <c r="AQ247" i="53" s="1"/>
  <c r="AM40" i="63"/>
  <c r="AM30" i="63"/>
  <c r="AM41" i="63"/>
  <c r="AL195" i="63"/>
  <c r="C45" i="47"/>
  <c r="AO111" i="64"/>
  <c r="AN90" i="67"/>
  <c r="AE108" i="67" s="1"/>
  <c r="G42" i="47"/>
  <c r="AP136" i="52"/>
  <c r="AP184" i="52" s="1"/>
  <c r="AP240" i="52" s="1"/>
  <c r="AO134" i="63" s="1"/>
  <c r="AO158" i="63" s="1"/>
  <c r="AP132" i="52"/>
  <c r="AP180" i="52" s="1"/>
  <c r="AP236" i="52" s="1"/>
  <c r="AO130" i="63" s="1"/>
  <c r="AO154" i="63" s="1"/>
  <c r="AP142" i="52"/>
  <c r="AP190" i="52" s="1"/>
  <c r="AP246" i="52" s="1"/>
  <c r="AO140" i="63" s="1"/>
  <c r="AO164" i="63" s="1"/>
  <c r="AO88" i="64" s="1"/>
  <c r="AO155" i="64" s="1"/>
  <c r="AP143" i="52"/>
  <c r="AP191" i="52" s="1"/>
  <c r="AP247" i="52" s="1"/>
  <c r="AO141" i="63" s="1"/>
  <c r="AO165" i="63" s="1"/>
  <c r="AO89" i="64" s="1"/>
  <c r="AO156" i="64" s="1"/>
  <c r="AP135" i="52"/>
  <c r="AP183" i="52" s="1"/>
  <c r="AP239" i="52" s="1"/>
  <c r="AO133" i="63" s="1"/>
  <c r="AO157" i="63" s="1"/>
  <c r="AP147" i="52"/>
  <c r="AP195" i="52" s="1"/>
  <c r="AP251" i="52" s="1"/>
  <c r="AO145" i="63" s="1"/>
  <c r="AO169" i="63" s="1"/>
  <c r="AP145" i="52"/>
  <c r="AP193" i="52" s="1"/>
  <c r="AP249" i="52" s="1"/>
  <c r="AO143" i="63" s="1"/>
  <c r="AO167" i="63" s="1"/>
  <c r="AP141" i="52"/>
  <c r="AP189" i="52" s="1"/>
  <c r="AP245" i="52" s="1"/>
  <c r="AO139" i="63" s="1"/>
  <c r="AO163" i="63" s="1"/>
  <c r="AO87" i="64" s="1"/>
  <c r="AO154" i="64" s="1"/>
  <c r="AP133" i="52"/>
  <c r="AP181" i="52" s="1"/>
  <c r="AP237" i="52" s="1"/>
  <c r="AO131" i="63" s="1"/>
  <c r="AO155" i="63" s="1"/>
  <c r="AP139" i="52"/>
  <c r="AP187" i="52" s="1"/>
  <c r="AP243" i="52" s="1"/>
  <c r="AO137" i="63" s="1"/>
  <c r="AO161" i="63" s="1"/>
  <c r="AO85" i="64" s="1"/>
  <c r="AO152" i="64" s="1"/>
  <c r="AP137" i="52"/>
  <c r="AP185" i="52" s="1"/>
  <c r="AP241" i="52" s="1"/>
  <c r="AO135" i="63" s="1"/>
  <c r="AO159" i="63" s="1"/>
  <c r="AP134" i="52"/>
  <c r="AP182" i="52" s="1"/>
  <c r="AP238" i="52" s="1"/>
  <c r="AO132" i="63" s="1"/>
  <c r="AO156" i="63" s="1"/>
  <c r="AP140" i="52"/>
  <c r="AP188" i="52" s="1"/>
  <c r="AP244" i="52" s="1"/>
  <c r="AO138" i="63" s="1"/>
  <c r="AO162" i="63" s="1"/>
  <c r="AP131" i="52"/>
  <c r="AP179" i="52" s="1"/>
  <c r="AP235" i="52" s="1"/>
  <c r="AP138" i="52"/>
  <c r="AP186" i="52" s="1"/>
  <c r="AP242" i="52" s="1"/>
  <c r="AO136" i="63" s="1"/>
  <c r="AO160" i="63" s="1"/>
  <c r="AP146" i="52"/>
  <c r="AP194" i="52" s="1"/>
  <c r="AP250" i="52" s="1"/>
  <c r="AO144" i="63" s="1"/>
  <c r="AO168" i="63" s="1"/>
  <c r="AP144" i="52"/>
  <c r="AP192" i="52" s="1"/>
  <c r="AP248" i="52" s="1"/>
  <c r="AO142" i="63" s="1"/>
  <c r="AO166" i="63" s="1"/>
  <c r="AO90" i="64" s="1"/>
  <c r="AO157" i="64" s="1"/>
  <c r="AP148" i="52"/>
  <c r="AP196" i="52" s="1"/>
  <c r="AP252" i="52" s="1"/>
  <c r="AO146" i="63" s="1"/>
  <c r="AO170" i="63" s="1"/>
  <c r="AO94" i="64" s="1"/>
  <c r="AO161" i="64" s="1"/>
  <c r="AO14" i="52"/>
  <c r="AL125" i="64"/>
  <c r="N58" i="64"/>
  <c r="AN86" i="64"/>
  <c r="AN153" i="64" s="1"/>
  <c r="AN91" i="67"/>
  <c r="AE109" i="67" s="1"/>
  <c r="AN86" i="67"/>
  <c r="AE104" i="67" s="1"/>
  <c r="AN80" i="64"/>
  <c r="AN147" i="64" s="1"/>
  <c r="AN179" i="63"/>
  <c r="AN191" i="63" s="1"/>
  <c r="AL169" i="64"/>
  <c r="AL170" i="64" s="1"/>
  <c r="AL123" i="64"/>
  <c r="AL124" i="64"/>
  <c r="AM52" i="63"/>
  <c r="AM50" i="63"/>
  <c r="AN79" i="64"/>
  <c r="AN146" i="64" s="1"/>
  <c r="AN85" i="67"/>
  <c r="AE103" i="67" s="1"/>
  <c r="AR12" i="53"/>
  <c r="AR70" i="49"/>
  <c r="AD113" i="67"/>
  <c r="AD142" i="67" s="1"/>
  <c r="AD136" i="67"/>
  <c r="AM144" i="64"/>
  <c r="AM95" i="64"/>
  <c r="AS104" i="49"/>
  <c r="AS105" i="49" s="1"/>
  <c r="AS106" i="49" s="1"/>
  <c r="AS94" i="47"/>
  <c r="AS119" i="50"/>
  <c r="AS57" i="49" s="1"/>
  <c r="AS58" i="49" s="1"/>
  <c r="AP90" i="51"/>
  <c r="AP104" i="51" s="1"/>
  <c r="AP86" i="52" s="1"/>
  <c r="AO28" i="51"/>
  <c r="AY90" i="51"/>
  <c r="AW90" i="51"/>
  <c r="AU90" i="51"/>
  <c r="AT90" i="51"/>
  <c r="AR90" i="51"/>
  <c r="AS90" i="51"/>
  <c r="AQ90" i="51"/>
  <c r="AX90" i="51"/>
  <c r="AV90" i="51"/>
  <c r="AN91" i="64"/>
  <c r="AN158" i="64" s="1"/>
  <c r="AN92" i="67"/>
  <c r="AE110" i="67" s="1"/>
  <c r="AN129" i="63"/>
  <c r="AO254" i="52"/>
  <c r="AN194" i="63"/>
  <c r="AN45" i="63"/>
  <c r="AL163" i="64"/>
  <c r="AP96" i="47"/>
  <c r="AP165" i="47" s="1"/>
  <c r="AP166" i="47" s="1"/>
  <c r="AP18" i="47" s="1"/>
  <c r="AP181" i="47"/>
  <c r="AP182" i="47" s="1"/>
  <c r="AP219" i="47" s="1"/>
  <c r="AP220" i="47" s="1"/>
  <c r="AP19" i="47" s="1"/>
  <c r="AP11" i="52"/>
  <c r="AQ227" i="52" s="1"/>
  <c r="AQ228" i="52" s="1"/>
  <c r="AP38" i="49"/>
  <c r="AO30" i="47"/>
  <c r="AO29" i="47"/>
  <c r="E61" i="64"/>
  <c r="AN93" i="67"/>
  <c r="AE111" i="67" s="1"/>
  <c r="AN92" i="64"/>
  <c r="AN159" i="64" s="1"/>
  <c r="AN82" i="64"/>
  <c r="AN149" i="64" s="1"/>
  <c r="AN88" i="67"/>
  <c r="AE106" i="67" s="1"/>
  <c r="AN180" i="63"/>
  <c r="AM172" i="63"/>
  <c r="AM173" i="63"/>
  <c r="AM190" i="63"/>
  <c r="AM182" i="63"/>
  <c r="AM183" i="63" s="1"/>
  <c r="AR189" i="51"/>
  <c r="AR201" i="51" s="1"/>
  <c r="AR87" i="53" s="1"/>
  <c r="AW189" i="51"/>
  <c r="AQ125" i="51"/>
  <c r="AY189" i="51"/>
  <c r="AV189" i="51"/>
  <c r="AS189" i="51"/>
  <c r="BA189" i="51"/>
  <c r="AX189" i="51"/>
  <c r="AU189" i="51"/>
  <c r="AZ189" i="51"/>
  <c r="AT189" i="51"/>
  <c r="AR145" i="53"/>
  <c r="AR193" i="53" s="1"/>
  <c r="AR239" i="53" s="1"/>
  <c r="AR146" i="53"/>
  <c r="AR194" i="53" s="1"/>
  <c r="AR240" i="53" s="1"/>
  <c r="AR135" i="53"/>
  <c r="AR183" i="53" s="1"/>
  <c r="AR229" i="53" s="1"/>
  <c r="AR149" i="53"/>
  <c r="AR197" i="53" s="1"/>
  <c r="AR243" i="53" s="1"/>
  <c r="AR148" i="53"/>
  <c r="AR196" i="53" s="1"/>
  <c r="AR242" i="53" s="1"/>
  <c r="AQ15" i="53"/>
  <c r="AR136" i="53"/>
  <c r="AR184" i="53" s="1"/>
  <c r="AR230" i="53" s="1"/>
  <c r="AR133" i="53"/>
  <c r="AR181" i="53" s="1"/>
  <c r="AR227" i="53" s="1"/>
  <c r="AR138" i="53"/>
  <c r="AR186" i="53" s="1"/>
  <c r="AR232" i="53" s="1"/>
  <c r="AR137" i="53"/>
  <c r="AR185" i="53" s="1"/>
  <c r="AR231" i="53" s="1"/>
  <c r="AR134" i="53"/>
  <c r="AR182" i="53" s="1"/>
  <c r="AR228" i="53" s="1"/>
  <c r="AR143" i="53"/>
  <c r="AR191" i="53" s="1"/>
  <c r="AR237" i="53" s="1"/>
  <c r="AR141" i="53"/>
  <c r="AR189" i="53" s="1"/>
  <c r="AR235" i="53" s="1"/>
  <c r="AR147" i="53"/>
  <c r="AR195" i="53" s="1"/>
  <c r="AR241" i="53" s="1"/>
  <c r="AR132" i="53"/>
  <c r="AR180" i="53" s="1"/>
  <c r="AR226" i="53" s="1"/>
  <c r="AR142" i="53"/>
  <c r="AR190" i="53" s="1"/>
  <c r="AR236" i="53" s="1"/>
  <c r="AR139" i="53"/>
  <c r="AR187" i="53" s="1"/>
  <c r="AR233" i="53" s="1"/>
  <c r="AR144" i="53"/>
  <c r="AR192" i="53" s="1"/>
  <c r="AR238" i="53" s="1"/>
  <c r="AR140" i="53"/>
  <c r="AR188" i="53" s="1"/>
  <c r="AR234" i="53" s="1"/>
  <c r="AV94" i="50"/>
  <c r="AV99" i="50"/>
  <c r="AV95" i="50"/>
  <c r="AS59" i="50"/>
  <c r="AS77" i="50" s="1"/>
  <c r="AS54" i="50"/>
  <c r="AS55" i="50"/>
  <c r="AV131" i="50"/>
  <c r="AV130" i="50"/>
  <c r="AV135" i="50"/>
  <c r="AV68" i="50"/>
  <c r="AW64" i="50" s="1"/>
  <c r="AV106" i="50"/>
  <c r="AV107" i="50"/>
  <c r="AV111" i="50"/>
  <c r="AV113" i="50" s="1"/>
  <c r="AD139" i="67" l="1"/>
  <c r="AD143" i="67" s="1"/>
  <c r="O58" i="64"/>
  <c r="AE135" i="67"/>
  <c r="H36" i="47"/>
  <c r="H38" i="47"/>
  <c r="H40" i="47"/>
  <c r="H42" i="47"/>
  <c r="H39" i="47"/>
  <c r="G44" i="47"/>
  <c r="H41" i="47"/>
  <c r="AM193" i="63"/>
  <c r="H37" i="47"/>
  <c r="AR245" i="53"/>
  <c r="AR247" i="53" s="1"/>
  <c r="AR150" i="53"/>
  <c r="AO26" i="63"/>
  <c r="AO26" i="54"/>
  <c r="AG120" i="67"/>
  <c r="AG128" i="67" s="1"/>
  <c r="AG137" i="67" s="1"/>
  <c r="AP27" i="47"/>
  <c r="AN24" i="63"/>
  <c r="AN24" i="54"/>
  <c r="AN28" i="54" s="1"/>
  <c r="AN30" i="54" s="1"/>
  <c r="AO256" i="52"/>
  <c r="AQ122" i="52"/>
  <c r="AQ117" i="52"/>
  <c r="AQ110" i="52"/>
  <c r="AQ111" i="52"/>
  <c r="AQ115" i="52"/>
  <c r="AQ109" i="52"/>
  <c r="AQ112" i="52"/>
  <c r="AQ116" i="52"/>
  <c r="AQ105" i="52"/>
  <c r="AQ106" i="52"/>
  <c r="AQ113" i="52"/>
  <c r="AQ119" i="52"/>
  <c r="AQ107" i="52"/>
  <c r="AQ121" i="52"/>
  <c r="AQ114" i="52"/>
  <c r="AQ120" i="52"/>
  <c r="AQ118" i="52"/>
  <c r="AQ108" i="52"/>
  <c r="AN119" i="64"/>
  <c r="AN201" i="63"/>
  <c r="AN179" i="64" s="1"/>
  <c r="AN200" i="63"/>
  <c r="AN177" i="64" s="1"/>
  <c r="D60" i="64"/>
  <c r="H60" i="64" s="1"/>
  <c r="AE163" i="67"/>
  <c r="AO92" i="64"/>
  <c r="AO159" i="64" s="1"/>
  <c r="AO93" i="67"/>
  <c r="AP254" i="52"/>
  <c r="AO129" i="63"/>
  <c r="AO80" i="64"/>
  <c r="AO147" i="64" s="1"/>
  <c r="AO86" i="67"/>
  <c r="AO179" i="63"/>
  <c r="AO191" i="63" s="1"/>
  <c r="C208" i="63" s="1"/>
  <c r="AO94" i="67"/>
  <c r="AO93" i="64"/>
  <c r="AO160" i="64" s="1"/>
  <c r="AO84" i="67"/>
  <c r="AO78" i="64"/>
  <c r="AO145" i="64" s="1"/>
  <c r="AT139" i="50"/>
  <c r="AT91" i="49" s="1"/>
  <c r="AT92" i="49" s="1"/>
  <c r="AQ83" i="50"/>
  <c r="AQ25" i="49" s="1"/>
  <c r="AQ26" i="49" s="1"/>
  <c r="AS114" i="53"/>
  <c r="AS108" i="53"/>
  <c r="AS106" i="53"/>
  <c r="AS121" i="53"/>
  <c r="AS110" i="53"/>
  <c r="AS111" i="53"/>
  <c r="AS113" i="53"/>
  <c r="AS120" i="53"/>
  <c r="AS109" i="53"/>
  <c r="AS115" i="53"/>
  <c r="AS122" i="53"/>
  <c r="AS107" i="53"/>
  <c r="AS123" i="53"/>
  <c r="AS119" i="53"/>
  <c r="AS117" i="53"/>
  <c r="AS118" i="53"/>
  <c r="AS112" i="53"/>
  <c r="AS116" i="53"/>
  <c r="AM118" i="64"/>
  <c r="C59" i="64"/>
  <c r="AM192" i="63"/>
  <c r="AM197" i="63"/>
  <c r="AM198" i="63" s="1"/>
  <c r="AP39" i="49"/>
  <c r="AP13" i="52" s="1"/>
  <c r="AP12" i="52"/>
  <c r="AP14" i="52" s="1"/>
  <c r="AP19" i="51"/>
  <c r="AP20" i="51" s="1"/>
  <c r="AP27" i="51" s="1"/>
  <c r="AP40" i="49"/>
  <c r="AN120" i="64"/>
  <c r="AN248" i="63"/>
  <c r="AN250" i="63" s="1"/>
  <c r="AN153" i="63"/>
  <c r="AN147" i="63"/>
  <c r="AN148" i="63" s="1"/>
  <c r="AS93" i="47"/>
  <c r="AS69" i="49"/>
  <c r="AM162" i="64"/>
  <c r="AM122" i="64"/>
  <c r="AR71" i="49"/>
  <c r="AR14" i="53" s="1"/>
  <c r="AR72" i="49"/>
  <c r="AR116" i="51"/>
  <c r="AR117" i="51" s="1"/>
  <c r="AR124" i="51" s="1"/>
  <c r="AR13" i="53"/>
  <c r="AO84" i="64"/>
  <c r="AO151" i="64" s="1"/>
  <c r="AO90" i="67"/>
  <c r="AO181" i="63"/>
  <c r="AO86" i="64"/>
  <c r="AO153" i="64" s="1"/>
  <c r="AO91" i="67"/>
  <c r="AO89" i="67"/>
  <c r="AO83" i="64"/>
  <c r="AO150" i="64" s="1"/>
  <c r="AO79" i="64"/>
  <c r="AO146" i="64" s="1"/>
  <c r="AO85" i="67"/>
  <c r="AO91" i="64"/>
  <c r="AO158" i="64" s="1"/>
  <c r="AO92" i="67"/>
  <c r="AO87" i="67"/>
  <c r="AO81" i="64"/>
  <c r="AO148" i="64" s="1"/>
  <c r="AO180" i="63"/>
  <c r="AO82" i="64"/>
  <c r="AO149" i="64" s="1"/>
  <c r="AO88" i="67"/>
  <c r="AV115" i="50"/>
  <c r="AW67" i="50"/>
  <c r="AW66" i="50"/>
  <c r="AW71" i="50"/>
  <c r="AW73" i="50" s="1"/>
  <c r="AV96" i="50"/>
  <c r="AW92" i="50" s="1"/>
  <c r="AS56" i="50"/>
  <c r="AT52" i="50" s="1"/>
  <c r="AV108" i="50"/>
  <c r="AW104" i="50" s="1"/>
  <c r="AV110" i="50"/>
  <c r="AV132" i="50"/>
  <c r="AW128" i="50" s="1"/>
  <c r="AM195" i="63" l="1"/>
  <c r="I59" i="64"/>
  <c r="M60" i="64"/>
  <c r="AN44" i="63"/>
  <c r="AN28" i="63"/>
  <c r="AF103" i="67"/>
  <c r="AG103" i="67"/>
  <c r="AF106" i="67"/>
  <c r="AG106" i="67"/>
  <c r="AF105" i="67"/>
  <c r="AG105" i="67"/>
  <c r="AF107" i="67"/>
  <c r="AG107" i="67"/>
  <c r="AF108" i="67"/>
  <c r="AG108" i="67"/>
  <c r="AF110" i="67"/>
  <c r="AG110" i="67"/>
  <c r="AF109" i="67"/>
  <c r="AG109" i="67"/>
  <c r="AF102" i="67"/>
  <c r="AG102" i="67"/>
  <c r="AF112" i="67"/>
  <c r="AG112" i="67"/>
  <c r="AF104" i="67"/>
  <c r="AG104" i="67"/>
  <c r="AF111" i="67"/>
  <c r="AG111" i="67"/>
  <c r="AT119" i="50"/>
  <c r="AT57" i="49" s="1"/>
  <c r="AT58" i="49" s="1"/>
  <c r="BA190" i="51"/>
  <c r="AZ190" i="51"/>
  <c r="AV190" i="51"/>
  <c r="AS190" i="51"/>
  <c r="AS201" i="51" s="1"/>
  <c r="AS87" i="53" s="1"/>
  <c r="AW190" i="51"/>
  <c r="AX190" i="51"/>
  <c r="AR125" i="51"/>
  <c r="AY190" i="51"/>
  <c r="AU190" i="51"/>
  <c r="AT190" i="51"/>
  <c r="AS171" i="53"/>
  <c r="AS219" i="53" s="1"/>
  <c r="AS163" i="53"/>
  <c r="AS211" i="53" s="1"/>
  <c r="AS158" i="53"/>
  <c r="AS206" i="53" s="1"/>
  <c r="AS169" i="53"/>
  <c r="AS217" i="53" s="1"/>
  <c r="AS170" i="53"/>
  <c r="AS218" i="53" s="1"/>
  <c r="AS162" i="53"/>
  <c r="AS210" i="53" s="1"/>
  <c r="AS155" i="53"/>
  <c r="AS203" i="53" s="1"/>
  <c r="AS156" i="53"/>
  <c r="AS204" i="53" s="1"/>
  <c r="AS165" i="53"/>
  <c r="AS213" i="53" s="1"/>
  <c r="AS159" i="53"/>
  <c r="AS207" i="53" s="1"/>
  <c r="AS167" i="53"/>
  <c r="AS215" i="53" s="1"/>
  <c r="AS154" i="53"/>
  <c r="AS202" i="53" s="1"/>
  <c r="AS160" i="53"/>
  <c r="AS208" i="53" s="1"/>
  <c r="AS161" i="53"/>
  <c r="AS209" i="53" s="1"/>
  <c r="AS166" i="53"/>
  <c r="AS214" i="53" s="1"/>
  <c r="AS157" i="53"/>
  <c r="AS205" i="53" s="1"/>
  <c r="AS168" i="53"/>
  <c r="AS216" i="53" s="1"/>
  <c r="AS164" i="53"/>
  <c r="AS212" i="53" s="1"/>
  <c r="AM163" i="64"/>
  <c r="AN171" i="63"/>
  <c r="AN83" i="67"/>
  <c r="AE101" i="67" s="1"/>
  <c r="AN77" i="64"/>
  <c r="AN178" i="63"/>
  <c r="AQ28" i="49"/>
  <c r="AQ37" i="49"/>
  <c r="AQ92" i="47"/>
  <c r="AT94" i="47"/>
  <c r="AT104" i="49"/>
  <c r="AT105" i="49" s="1"/>
  <c r="AT106" i="49" s="1"/>
  <c r="AO119" i="64"/>
  <c r="D61" i="64"/>
  <c r="AO200" i="63"/>
  <c r="AO177" i="64" s="1"/>
  <c r="AO24" i="63"/>
  <c r="AP256" i="52"/>
  <c r="AO24" i="54"/>
  <c r="AO28" i="54" s="1"/>
  <c r="AO30" i="54" s="1"/>
  <c r="AQ144" i="52"/>
  <c r="AQ192" i="52" s="1"/>
  <c r="AQ140" i="52"/>
  <c r="AQ188" i="52" s="1"/>
  <c r="AQ133" i="52"/>
  <c r="AQ181" i="52" s="1"/>
  <c r="AQ139" i="52"/>
  <c r="AQ187" i="52" s="1"/>
  <c r="AQ131" i="52"/>
  <c r="AQ179" i="52" s="1"/>
  <c r="AQ138" i="52"/>
  <c r="AQ186" i="52" s="1"/>
  <c r="AQ141" i="52"/>
  <c r="AQ189" i="52" s="1"/>
  <c r="AQ136" i="52"/>
  <c r="AQ184" i="52" s="1"/>
  <c r="AQ148" i="52"/>
  <c r="AQ196" i="52" s="1"/>
  <c r="AP30" i="47"/>
  <c r="AP29" i="47"/>
  <c r="AS133" i="53"/>
  <c r="AS181" i="53" s="1"/>
  <c r="AR15" i="53"/>
  <c r="AS138" i="53"/>
  <c r="AS186" i="53" s="1"/>
  <c r="AS232" i="53" s="1"/>
  <c r="AS144" i="53"/>
  <c r="AS192" i="53" s="1"/>
  <c r="AS135" i="53"/>
  <c r="AS183" i="53" s="1"/>
  <c r="AS142" i="53"/>
  <c r="AS190" i="53" s="1"/>
  <c r="AS148" i="53"/>
  <c r="AS196" i="53" s="1"/>
  <c r="AS242" i="53" s="1"/>
  <c r="AS137" i="53"/>
  <c r="AS185" i="53" s="1"/>
  <c r="AS143" i="53"/>
  <c r="AS191" i="53" s="1"/>
  <c r="AS237" i="53" s="1"/>
  <c r="AS145" i="53"/>
  <c r="AS193" i="53" s="1"/>
  <c r="AS132" i="53"/>
  <c r="AS180" i="53" s="1"/>
  <c r="AS149" i="53"/>
  <c r="AS197" i="53" s="1"/>
  <c r="AS141" i="53"/>
  <c r="AS189" i="53" s="1"/>
  <c r="AS235" i="53" s="1"/>
  <c r="AS136" i="53"/>
  <c r="AS184" i="53" s="1"/>
  <c r="AS139" i="53"/>
  <c r="AS187" i="53" s="1"/>
  <c r="AS134" i="53"/>
  <c r="AS182" i="53" s="1"/>
  <c r="AS228" i="53" s="1"/>
  <c r="AS146" i="53"/>
  <c r="AS194" i="53" s="1"/>
  <c r="AS240" i="53" s="1"/>
  <c r="AS140" i="53"/>
  <c r="AS188" i="53" s="1"/>
  <c r="AS147" i="53"/>
  <c r="AS195" i="53" s="1"/>
  <c r="AS241" i="53" s="1"/>
  <c r="AM169" i="64"/>
  <c r="AM170" i="64" s="1"/>
  <c r="AM125" i="64"/>
  <c r="AM123" i="64"/>
  <c r="AM124" i="64"/>
  <c r="AS12" i="53"/>
  <c r="AS70" i="49"/>
  <c r="AS91" i="51"/>
  <c r="AQ91" i="51"/>
  <c r="AQ104" i="51" s="1"/>
  <c r="AQ86" i="52" s="1"/>
  <c r="AY91" i="51"/>
  <c r="AU91" i="51"/>
  <c r="AT91" i="51"/>
  <c r="AW91" i="51"/>
  <c r="AV91" i="51"/>
  <c r="AP28" i="51"/>
  <c r="AZ91" i="51"/>
  <c r="AR91" i="51"/>
  <c r="AX91" i="51"/>
  <c r="AQ158" i="52"/>
  <c r="AQ206" i="52" s="1"/>
  <c r="AQ166" i="52"/>
  <c r="AQ214" i="52" s="1"/>
  <c r="AQ160" i="52"/>
  <c r="AQ208" i="52" s="1"/>
  <c r="AQ157" i="52"/>
  <c r="AQ205" i="52" s="1"/>
  <c r="AQ167" i="52"/>
  <c r="AQ215" i="52" s="1"/>
  <c r="AQ155" i="52"/>
  <c r="AQ203" i="52" s="1"/>
  <c r="AQ159" i="52"/>
  <c r="AQ207" i="52" s="1"/>
  <c r="AQ162" i="52"/>
  <c r="AQ210" i="52" s="1"/>
  <c r="AQ168" i="52"/>
  <c r="AQ216" i="52" s="1"/>
  <c r="AQ154" i="52"/>
  <c r="AQ202" i="52" s="1"/>
  <c r="AQ170" i="52"/>
  <c r="AQ218" i="52" s="1"/>
  <c r="AQ156" i="52"/>
  <c r="AQ204" i="52" s="1"/>
  <c r="AQ161" i="52"/>
  <c r="AQ209" i="52" s="1"/>
  <c r="AQ169" i="52"/>
  <c r="AQ217" i="52" s="1"/>
  <c r="AQ165" i="52"/>
  <c r="AQ213" i="52" s="1"/>
  <c r="AQ153" i="52"/>
  <c r="AQ201" i="52" s="1"/>
  <c r="AQ163" i="52"/>
  <c r="AQ211" i="52" s="1"/>
  <c r="AQ164" i="52"/>
  <c r="AQ212" i="52" s="1"/>
  <c r="AO153" i="63"/>
  <c r="AO147" i="63"/>
  <c r="AO148" i="63" s="1"/>
  <c r="Q60" i="64"/>
  <c r="AN180" i="64"/>
  <c r="AQ134" i="52"/>
  <c r="AQ182" i="52" s="1"/>
  <c r="AQ146" i="52"/>
  <c r="AQ194" i="52" s="1"/>
  <c r="AQ147" i="52"/>
  <c r="AQ195" i="52" s="1"/>
  <c r="AQ145" i="52"/>
  <c r="AQ193" i="52" s="1"/>
  <c r="AQ132" i="52"/>
  <c r="AQ180" i="52" s="1"/>
  <c r="AQ142" i="52"/>
  <c r="AQ190" i="52" s="1"/>
  <c r="AQ135" i="52"/>
  <c r="AQ183" i="52" s="1"/>
  <c r="AQ239" i="52" s="1"/>
  <c r="AP133" i="63" s="1"/>
  <c r="AP157" i="63" s="1"/>
  <c r="AP87" i="67" s="1"/>
  <c r="AQ137" i="52"/>
  <c r="AQ185" i="52" s="1"/>
  <c r="AQ143" i="52"/>
  <c r="AQ191" i="52" s="1"/>
  <c r="AQ247" i="52" s="1"/>
  <c r="AP141" i="63" s="1"/>
  <c r="AP165" i="63" s="1"/>
  <c r="AO194" i="63"/>
  <c r="AO45" i="63"/>
  <c r="AW107" i="50"/>
  <c r="AW111" i="50"/>
  <c r="AW113" i="50" s="1"/>
  <c r="AW106" i="50"/>
  <c r="AT55" i="50"/>
  <c r="AT54" i="50"/>
  <c r="AT59" i="50"/>
  <c r="AT77" i="50" s="1"/>
  <c r="AW131" i="50"/>
  <c r="AW130" i="50"/>
  <c r="AW135" i="50"/>
  <c r="AU139" i="50" s="1"/>
  <c r="AU91" i="49" s="1"/>
  <c r="AU92" i="49" s="1"/>
  <c r="AW95" i="50"/>
  <c r="AW94" i="50"/>
  <c r="AW99" i="50"/>
  <c r="AW68" i="50"/>
  <c r="AX64" i="50" s="1"/>
  <c r="AF135" i="67" l="1"/>
  <c r="AS231" i="53"/>
  <c r="AS234" i="53"/>
  <c r="AS236" i="53"/>
  <c r="AN48" i="63"/>
  <c r="AN47" i="63"/>
  <c r="N59" i="64"/>
  <c r="AO28" i="63"/>
  <c r="AO44" i="63"/>
  <c r="C59" i="63" s="1"/>
  <c r="C210" i="63"/>
  <c r="C217" i="63" s="1"/>
  <c r="F63" i="64"/>
  <c r="AG135" i="67"/>
  <c r="AN40" i="63"/>
  <c r="AN30" i="63"/>
  <c r="AN41" i="63"/>
  <c r="AS227" i="53"/>
  <c r="AQ236" i="52"/>
  <c r="AP130" i="63" s="1"/>
  <c r="AP154" i="63" s="1"/>
  <c r="AP84" i="67" s="1"/>
  <c r="AH102" i="67" s="1"/>
  <c r="AQ251" i="52"/>
  <c r="AP145" i="63" s="1"/>
  <c r="AP169" i="63" s="1"/>
  <c r="AP94" i="67" s="1"/>
  <c r="AH112" i="67" s="1"/>
  <c r="AQ238" i="52"/>
  <c r="AP132" i="63" s="1"/>
  <c r="AP156" i="63" s="1"/>
  <c r="AP86" i="67" s="1"/>
  <c r="AF163" i="67"/>
  <c r="AG163" i="67" s="1"/>
  <c r="AQ241" i="52"/>
  <c r="AP135" i="63" s="1"/>
  <c r="AP159" i="63" s="1"/>
  <c r="AP89" i="67" s="1"/>
  <c r="AH107" i="67" s="1"/>
  <c r="AQ249" i="52"/>
  <c r="AP143" i="63" s="1"/>
  <c r="AP167" i="63" s="1"/>
  <c r="AP92" i="67" s="1"/>
  <c r="AH110" i="67" s="1"/>
  <c r="AQ250" i="52"/>
  <c r="AP144" i="63" s="1"/>
  <c r="AP168" i="63" s="1"/>
  <c r="AP93" i="67" s="1"/>
  <c r="AH111" i="67" s="1"/>
  <c r="AS230" i="53"/>
  <c r="AS243" i="53"/>
  <c r="AS239" i="53"/>
  <c r="AS238" i="53"/>
  <c r="AQ246" i="52"/>
  <c r="AP140" i="63" s="1"/>
  <c r="AP164" i="63" s="1"/>
  <c r="AS233" i="53"/>
  <c r="AS226" i="53"/>
  <c r="AS229" i="53"/>
  <c r="AU94" i="47"/>
  <c r="AU104" i="49"/>
  <c r="AU105" i="49" s="1"/>
  <c r="AU106" i="49" s="1"/>
  <c r="AO120" i="64"/>
  <c r="AO248" i="63"/>
  <c r="AO250" i="63" s="1"/>
  <c r="C252" i="63" s="1"/>
  <c r="AR119" i="52"/>
  <c r="AR113" i="52"/>
  <c r="AR121" i="52"/>
  <c r="AR112" i="52"/>
  <c r="AR117" i="52"/>
  <c r="AR110" i="52"/>
  <c r="AR114" i="52"/>
  <c r="AR108" i="52"/>
  <c r="AR115" i="52"/>
  <c r="AR105" i="52"/>
  <c r="AR106" i="52"/>
  <c r="AR107" i="52"/>
  <c r="AR109" i="52"/>
  <c r="AR120" i="52"/>
  <c r="AR111" i="52"/>
  <c r="AR116" i="52"/>
  <c r="AR122" i="52"/>
  <c r="AR118" i="52"/>
  <c r="AQ240" i="52"/>
  <c r="AP134" i="63" s="1"/>
  <c r="AP158" i="63" s="1"/>
  <c r="AQ242" i="52"/>
  <c r="AP136" i="63" s="1"/>
  <c r="AP160" i="63" s="1"/>
  <c r="AQ243" i="52"/>
  <c r="AP137" i="63" s="1"/>
  <c r="AP161" i="63" s="1"/>
  <c r="AQ244" i="52"/>
  <c r="AP138" i="63" s="1"/>
  <c r="AP162" i="63" s="1"/>
  <c r="AO201" i="63"/>
  <c r="AO179" i="64" s="1"/>
  <c r="AQ96" i="47"/>
  <c r="AQ165" i="47" s="1"/>
  <c r="AQ166" i="47" s="1"/>
  <c r="AQ18" i="47" s="1"/>
  <c r="AQ181" i="47"/>
  <c r="AQ182" i="47" s="1"/>
  <c r="AQ219" i="47" s="1"/>
  <c r="AQ220" i="47" s="1"/>
  <c r="AQ19" i="47" s="1"/>
  <c r="AH121" i="67" s="1"/>
  <c r="AN95" i="64"/>
  <c r="AN144" i="64"/>
  <c r="AN173" i="63"/>
  <c r="AN172" i="63"/>
  <c r="AT119" i="53"/>
  <c r="AT109" i="53"/>
  <c r="AT117" i="53"/>
  <c r="AT120" i="53"/>
  <c r="AT108" i="53"/>
  <c r="AT112" i="53"/>
  <c r="AT121" i="53"/>
  <c r="AT110" i="53"/>
  <c r="AT116" i="53"/>
  <c r="AT115" i="53"/>
  <c r="AT122" i="53"/>
  <c r="AT107" i="53"/>
  <c r="AT111" i="53"/>
  <c r="AT114" i="53"/>
  <c r="AT123" i="53"/>
  <c r="AT113" i="53"/>
  <c r="AT118" i="53"/>
  <c r="AT106" i="53"/>
  <c r="AT69" i="49"/>
  <c r="AT93" i="47"/>
  <c r="AR83" i="50"/>
  <c r="AR25" i="49" s="1"/>
  <c r="AR26" i="49" s="1"/>
  <c r="AO77" i="64"/>
  <c r="AO178" i="63"/>
  <c r="AO83" i="67"/>
  <c r="AO171" i="63"/>
  <c r="AS71" i="49"/>
  <c r="AS14" i="53" s="1"/>
  <c r="AS116" i="51"/>
  <c r="AS117" i="51" s="1"/>
  <c r="AS124" i="51" s="1"/>
  <c r="AS13" i="53"/>
  <c r="AS72" i="49"/>
  <c r="AS150" i="53"/>
  <c r="AQ252" i="52"/>
  <c r="AP146" i="63" s="1"/>
  <c r="AP170" i="63" s="1"/>
  <c r="AQ245" i="52"/>
  <c r="AP139" i="63" s="1"/>
  <c r="AP163" i="63" s="1"/>
  <c r="AQ235" i="52"/>
  <c r="AQ237" i="52"/>
  <c r="AP131" i="63" s="1"/>
  <c r="AP155" i="63" s="1"/>
  <c r="AP85" i="67" s="1"/>
  <c r="AH103" i="67" s="1"/>
  <c r="AQ248" i="52"/>
  <c r="AP142" i="63" s="1"/>
  <c r="AP166" i="63" s="1"/>
  <c r="D62" i="64"/>
  <c r="H61" i="64"/>
  <c r="H62" i="64" s="1"/>
  <c r="AQ38" i="49"/>
  <c r="AQ11" i="52"/>
  <c r="AR227" i="52" s="1"/>
  <c r="AR228" i="52" s="1"/>
  <c r="AN190" i="63"/>
  <c r="AN182" i="63"/>
  <c r="AN183" i="63" s="1"/>
  <c r="AE136" i="67"/>
  <c r="AE113" i="67"/>
  <c r="AE142" i="67" s="1"/>
  <c r="AW115" i="50"/>
  <c r="AU119" i="50" s="1"/>
  <c r="AU57" i="49" s="1"/>
  <c r="AU58" i="49" s="1"/>
  <c r="AW132" i="50"/>
  <c r="AX128" i="50" s="1"/>
  <c r="AW110" i="50"/>
  <c r="AW108" i="50"/>
  <c r="AX104" i="50" s="1"/>
  <c r="AX67" i="50"/>
  <c r="AX66" i="50"/>
  <c r="AX71" i="50"/>
  <c r="AX73" i="50" s="1"/>
  <c r="AW96" i="50"/>
  <c r="AX92" i="50" s="1"/>
  <c r="AT56" i="50"/>
  <c r="AU52" i="50" s="1"/>
  <c r="AO47" i="63" l="1"/>
  <c r="AO48" i="63"/>
  <c r="AS245" i="53"/>
  <c r="AS247" i="53" s="1"/>
  <c r="AE139" i="67"/>
  <c r="AE143" i="67" s="1"/>
  <c r="AO41" i="63"/>
  <c r="AO40" i="63"/>
  <c r="AO30" i="63"/>
  <c r="AN52" i="63"/>
  <c r="AN50" i="63"/>
  <c r="AP91" i="67"/>
  <c r="O59" i="64"/>
  <c r="AP179" i="63"/>
  <c r="AF101" i="67"/>
  <c r="AF136" i="67" s="1"/>
  <c r="AF139" i="67" s="1"/>
  <c r="AG101" i="67"/>
  <c r="AU69" i="49"/>
  <c r="AU93" i="47"/>
  <c r="AN118" i="64"/>
  <c r="AN192" i="63"/>
  <c r="C60" i="64"/>
  <c r="AN197" i="63"/>
  <c r="AN198" i="63" s="1"/>
  <c r="AQ39" i="49"/>
  <c r="AQ13" i="52" s="1"/>
  <c r="AQ40" i="49"/>
  <c r="AQ12" i="52"/>
  <c r="AQ19" i="51"/>
  <c r="AQ20" i="51" s="1"/>
  <c r="AQ27" i="51" s="1"/>
  <c r="AO180" i="64"/>
  <c r="M61" i="64"/>
  <c r="C11" i="64" s="1"/>
  <c r="C12" i="64" s="1"/>
  <c r="AP129" i="63"/>
  <c r="AQ254" i="52"/>
  <c r="AQ256" i="52" s="1"/>
  <c r="AW191" i="51"/>
  <c r="AS125" i="51"/>
  <c r="AV191" i="51"/>
  <c r="AY191" i="51"/>
  <c r="AT191" i="51"/>
  <c r="AT201" i="51" s="1"/>
  <c r="AT87" i="53" s="1"/>
  <c r="AZ191" i="51"/>
  <c r="AU191" i="51"/>
  <c r="AX191" i="51"/>
  <c r="BA191" i="51"/>
  <c r="AO172" i="63"/>
  <c r="AO173" i="63"/>
  <c r="AO190" i="63"/>
  <c r="C207" i="63" s="1"/>
  <c r="AO182" i="63"/>
  <c r="AO183" i="63" s="1"/>
  <c r="AR28" i="49"/>
  <c r="AR37" i="49"/>
  <c r="AR92" i="47"/>
  <c r="AN193" i="63"/>
  <c r="AN122" i="64"/>
  <c r="AN162" i="64"/>
  <c r="AH120" i="67"/>
  <c r="AH128" i="67" s="1"/>
  <c r="AH137" i="67" s="1"/>
  <c r="C153" i="67" s="1"/>
  <c r="AQ27" i="47"/>
  <c r="AP90" i="67"/>
  <c r="AH108" i="67" s="1"/>
  <c r="AP181" i="63"/>
  <c r="AT146" i="53"/>
  <c r="AT194" i="53" s="1"/>
  <c r="AT138" i="53"/>
  <c r="AT186" i="53" s="1"/>
  <c r="AT139" i="53"/>
  <c r="AT187" i="53" s="1"/>
  <c r="AT145" i="53"/>
  <c r="AT193" i="53" s="1"/>
  <c r="AT141" i="53"/>
  <c r="AT189" i="53" s="1"/>
  <c r="AT142" i="53"/>
  <c r="AT190" i="53" s="1"/>
  <c r="AT132" i="53"/>
  <c r="AT180" i="53" s="1"/>
  <c r="AT148" i="53"/>
  <c r="AT196" i="53" s="1"/>
  <c r="AT136" i="53"/>
  <c r="AT184" i="53" s="1"/>
  <c r="AT137" i="53"/>
  <c r="AT185" i="53" s="1"/>
  <c r="AT135" i="53"/>
  <c r="AT183" i="53" s="1"/>
  <c r="AT149" i="53"/>
  <c r="AT197" i="53" s="1"/>
  <c r="AT140" i="53"/>
  <c r="AT188" i="53" s="1"/>
  <c r="AT133" i="53"/>
  <c r="AT181" i="53" s="1"/>
  <c r="AS15" i="53"/>
  <c r="AT143" i="53"/>
  <c r="AT191" i="53" s="1"/>
  <c r="AT134" i="53"/>
  <c r="AT182" i="53" s="1"/>
  <c r="AT144" i="53"/>
  <c r="AT192" i="53" s="1"/>
  <c r="AT147" i="53"/>
  <c r="AT195" i="53" s="1"/>
  <c r="AT167" i="53"/>
  <c r="AT215" i="53" s="1"/>
  <c r="AT162" i="53"/>
  <c r="AT210" i="53" s="1"/>
  <c r="AT159" i="53"/>
  <c r="AT207" i="53" s="1"/>
  <c r="AT171" i="53"/>
  <c r="AT219" i="53" s="1"/>
  <c r="AT165" i="53"/>
  <c r="AT213" i="53" s="1"/>
  <c r="AT157" i="53"/>
  <c r="AT205" i="53" s="1"/>
  <c r="AT170" i="53"/>
  <c r="AT218" i="53" s="1"/>
  <c r="AT158" i="53"/>
  <c r="AT206" i="53" s="1"/>
  <c r="AT168" i="53"/>
  <c r="AT216" i="53" s="1"/>
  <c r="AT155" i="53"/>
  <c r="AT203" i="53" s="1"/>
  <c r="AT166" i="53"/>
  <c r="AT214" i="53" s="1"/>
  <c r="AT154" i="53"/>
  <c r="AT202" i="53" s="1"/>
  <c r="AT161" i="53"/>
  <c r="AT209" i="53" s="1"/>
  <c r="AT164" i="53"/>
  <c r="AT212" i="53" s="1"/>
  <c r="AT169" i="53"/>
  <c r="AT217" i="53" s="1"/>
  <c r="AT156" i="53"/>
  <c r="AT204" i="53" s="1"/>
  <c r="AT160" i="53"/>
  <c r="AT208" i="53" s="1"/>
  <c r="AT163" i="53"/>
  <c r="AT211" i="53" s="1"/>
  <c r="AF113" i="67"/>
  <c r="AF142" i="67" s="1"/>
  <c r="AF143" i="67" s="1"/>
  <c r="AO144" i="64"/>
  <c r="AO95" i="64"/>
  <c r="AO50" i="63"/>
  <c r="AO52" i="63"/>
  <c r="C57" i="63" s="1"/>
  <c r="AT70" i="49"/>
  <c r="AT71" i="49" s="1"/>
  <c r="AT14" i="53" s="1"/>
  <c r="AT12" i="53"/>
  <c r="AP180" i="63"/>
  <c r="AP88" i="67"/>
  <c r="AU54" i="50"/>
  <c r="AU55" i="50"/>
  <c r="AU59" i="50"/>
  <c r="AU77" i="50" s="1"/>
  <c r="AX107" i="50"/>
  <c r="AX106" i="50"/>
  <c r="AX111" i="50"/>
  <c r="AX113" i="50" s="1"/>
  <c r="AX68" i="50"/>
  <c r="AY64" i="50" s="1"/>
  <c r="AX130" i="50"/>
  <c r="AX131" i="50"/>
  <c r="AX135" i="50"/>
  <c r="AV139" i="50" s="1"/>
  <c r="AV91" i="49" s="1"/>
  <c r="AV92" i="49" s="1"/>
  <c r="AX95" i="50"/>
  <c r="AX94" i="50"/>
  <c r="AX99" i="50"/>
  <c r="AN163" i="64" l="1"/>
  <c r="I60" i="64"/>
  <c r="AN195" i="63"/>
  <c r="AT150" i="53"/>
  <c r="AG136" i="67"/>
  <c r="AG139" i="67" s="1"/>
  <c r="AG113" i="67"/>
  <c r="AG142" i="67" s="1"/>
  <c r="AV104" i="49"/>
  <c r="AV105" i="49" s="1"/>
  <c r="AV106" i="49" s="1"/>
  <c r="AV94" i="47"/>
  <c r="AS83" i="50"/>
  <c r="AS25" i="49" s="1"/>
  <c r="AS26" i="49" s="1"/>
  <c r="AU169" i="53"/>
  <c r="AU217" i="53" s="1"/>
  <c r="AU167" i="53"/>
  <c r="AU215" i="53" s="1"/>
  <c r="AU162" i="53"/>
  <c r="AU210" i="53" s="1"/>
  <c r="AU166" i="53"/>
  <c r="AU214" i="53" s="1"/>
  <c r="AU154" i="53"/>
  <c r="AU202" i="53" s="1"/>
  <c r="AU170" i="53"/>
  <c r="AU218" i="53" s="1"/>
  <c r="AU157" i="53"/>
  <c r="AU205" i="53" s="1"/>
  <c r="AU163" i="53"/>
  <c r="AU211" i="53" s="1"/>
  <c r="AU155" i="53"/>
  <c r="AU203" i="53" s="1"/>
  <c r="AU171" i="53"/>
  <c r="AU219" i="53" s="1"/>
  <c r="AU158" i="53"/>
  <c r="AU206" i="53" s="1"/>
  <c r="AU165" i="53"/>
  <c r="AU213" i="53" s="1"/>
  <c r="AU160" i="53"/>
  <c r="AU208" i="53" s="1"/>
  <c r="AU161" i="53"/>
  <c r="AU209" i="53" s="1"/>
  <c r="AU168" i="53"/>
  <c r="AU216" i="53" s="1"/>
  <c r="AU159" i="53"/>
  <c r="AU207" i="53" s="1"/>
  <c r="AU164" i="53"/>
  <c r="AU212" i="53" s="1"/>
  <c r="AU156" i="53"/>
  <c r="AU204" i="53" s="1"/>
  <c r="AT72" i="49"/>
  <c r="AT116" i="51"/>
  <c r="AT117" i="51" s="1"/>
  <c r="AT124" i="51" s="1"/>
  <c r="AT13" i="53"/>
  <c r="AT241" i="53"/>
  <c r="AT228" i="53"/>
  <c r="AT234" i="53"/>
  <c r="AT229" i="53"/>
  <c r="AT230" i="53"/>
  <c r="AT226" i="53"/>
  <c r="AT235" i="53"/>
  <c r="AT233" i="53"/>
  <c r="AT240" i="53"/>
  <c r="AN169" i="64"/>
  <c r="AN170" i="64" s="1"/>
  <c r="AN123" i="64"/>
  <c r="AN124" i="64"/>
  <c r="AN125" i="64"/>
  <c r="AR96" i="47"/>
  <c r="AR165" i="47" s="1"/>
  <c r="AR166" i="47" s="1"/>
  <c r="AR18" i="47" s="1"/>
  <c r="AR181" i="47"/>
  <c r="AR182" i="47" s="1"/>
  <c r="AR219" i="47" s="1"/>
  <c r="AR220" i="47" s="1"/>
  <c r="AR19" i="47" s="1"/>
  <c r="AI121" i="67" s="1"/>
  <c r="AO118" i="64"/>
  <c r="C61" i="64"/>
  <c r="C62" i="64" s="1"/>
  <c r="AO192" i="63"/>
  <c r="AO195" i="63" s="1"/>
  <c r="AO197" i="63"/>
  <c r="AO198" i="63" s="1"/>
  <c r="AU120" i="53"/>
  <c r="AU108" i="53"/>
  <c r="AU109" i="53"/>
  <c r="AU135" i="53" s="1"/>
  <c r="AU183" i="53" s="1"/>
  <c r="AU229" i="53" s="1"/>
  <c r="AU116" i="53"/>
  <c r="AU117" i="53"/>
  <c r="AU143" i="53" s="1"/>
  <c r="AU191" i="53" s="1"/>
  <c r="AU112" i="53"/>
  <c r="AU119" i="53"/>
  <c r="AU145" i="53" s="1"/>
  <c r="AU193" i="53" s="1"/>
  <c r="AU115" i="53"/>
  <c r="AU123" i="53"/>
  <c r="AU149" i="53" s="1"/>
  <c r="AU197" i="53" s="1"/>
  <c r="AU114" i="53"/>
  <c r="AU118" i="53"/>
  <c r="AU144" i="53" s="1"/>
  <c r="AU192" i="53" s="1"/>
  <c r="AU110" i="53"/>
  <c r="AU107" i="53"/>
  <c r="AU133" i="53" s="1"/>
  <c r="AU181" i="53" s="1"/>
  <c r="AU227" i="53" s="1"/>
  <c r="AU122" i="53"/>
  <c r="AU121" i="53"/>
  <c r="AU147" i="53" s="1"/>
  <c r="AU195" i="53" s="1"/>
  <c r="AU241" i="53" s="1"/>
  <c r="AU113" i="53"/>
  <c r="AU106" i="53"/>
  <c r="AU132" i="53" s="1"/>
  <c r="AU180" i="53" s="1"/>
  <c r="AU226" i="53" s="1"/>
  <c r="AU245" i="53" s="1"/>
  <c r="AU111" i="53"/>
  <c r="AP153" i="63"/>
  <c r="AP147" i="63"/>
  <c r="Q61" i="64"/>
  <c r="G11" i="64" s="1"/>
  <c r="AT92" i="51"/>
  <c r="AX92" i="51"/>
  <c r="AW92" i="51"/>
  <c r="AV92" i="51"/>
  <c r="AU92" i="51"/>
  <c r="AZ92" i="51"/>
  <c r="AS92" i="51"/>
  <c r="AY92" i="51"/>
  <c r="AR92" i="51"/>
  <c r="AR104" i="51" s="1"/>
  <c r="AR86" i="52" s="1"/>
  <c r="AQ28" i="51"/>
  <c r="BA92" i="51"/>
  <c r="E88" i="63"/>
  <c r="E90" i="63" s="1"/>
  <c r="E92" i="63"/>
  <c r="E57" i="63"/>
  <c r="AO162" i="64"/>
  <c r="AO122" i="64"/>
  <c r="AT238" i="53"/>
  <c r="AT237" i="53"/>
  <c r="AT227" i="53"/>
  <c r="AT243" i="53"/>
  <c r="AT231" i="53"/>
  <c r="AT242" i="53"/>
  <c r="AT236" i="53"/>
  <c r="AT239" i="53"/>
  <c r="AT232" i="53"/>
  <c r="AQ30" i="47"/>
  <c r="AQ29" i="47"/>
  <c r="AR11" i="52"/>
  <c r="AS227" i="52" s="1"/>
  <c r="AS228" i="52" s="1"/>
  <c r="AR38" i="49"/>
  <c r="AO193" i="63"/>
  <c r="AR140" i="52"/>
  <c r="AR188" i="52" s="1"/>
  <c r="AR145" i="52"/>
  <c r="AR193" i="52" s="1"/>
  <c r="AR144" i="52"/>
  <c r="AR192" i="52" s="1"/>
  <c r="AR146" i="52"/>
  <c r="AR194" i="52" s="1"/>
  <c r="AR132" i="52"/>
  <c r="AR180" i="52" s="1"/>
  <c r="AR138" i="52"/>
  <c r="AR186" i="52" s="1"/>
  <c r="AR131" i="52"/>
  <c r="AR179" i="52" s="1"/>
  <c r="AR139" i="52"/>
  <c r="AR187" i="52" s="1"/>
  <c r="AR148" i="52"/>
  <c r="AR196" i="52" s="1"/>
  <c r="AQ14" i="52"/>
  <c r="AR143" i="52"/>
  <c r="AR191" i="52" s="1"/>
  <c r="AR134" i="52"/>
  <c r="AR182" i="52" s="1"/>
  <c r="AR137" i="52"/>
  <c r="AR185" i="52" s="1"/>
  <c r="AR136" i="52"/>
  <c r="AR184" i="52" s="1"/>
  <c r="AR142" i="52"/>
  <c r="AR190" i="52" s="1"/>
  <c r="AR147" i="52"/>
  <c r="AR195" i="52" s="1"/>
  <c r="AR135" i="52"/>
  <c r="AR183" i="52" s="1"/>
  <c r="AR141" i="52"/>
  <c r="AR189" i="52" s="1"/>
  <c r="AR133" i="52"/>
  <c r="AR181" i="52" s="1"/>
  <c r="AR156" i="52"/>
  <c r="AR204" i="52" s="1"/>
  <c r="AR153" i="52"/>
  <c r="AR201" i="52" s="1"/>
  <c r="AR161" i="52"/>
  <c r="AR209" i="52" s="1"/>
  <c r="AR166" i="52"/>
  <c r="AR214" i="52" s="1"/>
  <c r="AR167" i="52"/>
  <c r="AR215" i="52" s="1"/>
  <c r="AR170" i="52"/>
  <c r="AR218" i="52" s="1"/>
  <c r="AR157" i="52"/>
  <c r="AR205" i="52" s="1"/>
  <c r="AR155" i="52"/>
  <c r="AR203" i="52" s="1"/>
  <c r="AR168" i="52"/>
  <c r="AR216" i="52" s="1"/>
  <c r="AR162" i="52"/>
  <c r="AR210" i="52" s="1"/>
  <c r="AR160" i="52"/>
  <c r="AR208" i="52" s="1"/>
  <c r="AR158" i="52"/>
  <c r="AR206" i="52" s="1"/>
  <c r="AR169" i="52"/>
  <c r="AR217" i="52" s="1"/>
  <c r="AR159" i="52"/>
  <c r="AR207" i="52" s="1"/>
  <c r="AR154" i="52"/>
  <c r="AR202" i="52" s="1"/>
  <c r="AR165" i="52"/>
  <c r="AR213" i="52" s="1"/>
  <c r="AR163" i="52"/>
  <c r="AR211" i="52" s="1"/>
  <c r="AR164" i="52"/>
  <c r="AR212" i="52" s="1"/>
  <c r="J60" i="64"/>
  <c r="N60" i="64"/>
  <c r="AU12" i="53"/>
  <c r="AU70" i="49"/>
  <c r="AU71" i="49" s="1"/>
  <c r="AU14" i="53" s="1"/>
  <c r="AY67" i="50"/>
  <c r="AY66" i="50"/>
  <c r="AY71" i="50"/>
  <c r="AY73" i="50" s="1"/>
  <c r="AX115" i="50"/>
  <c r="AV119" i="50" s="1"/>
  <c r="AV57" i="49" s="1"/>
  <c r="AV58" i="49" s="1"/>
  <c r="AX96" i="50"/>
  <c r="AY92" i="50" s="1"/>
  <c r="AX132" i="50"/>
  <c r="AY128" i="50" s="1"/>
  <c r="AX110" i="50"/>
  <c r="AX108" i="50"/>
  <c r="AY104" i="50" s="1"/>
  <c r="AU56" i="50"/>
  <c r="O60" i="64" l="1"/>
  <c r="AT245" i="53"/>
  <c r="AT247" i="53" s="1"/>
  <c r="AG143" i="67"/>
  <c r="C209" i="63"/>
  <c r="C212" i="63" s="1"/>
  <c r="C213" i="63" s="1"/>
  <c r="AU238" i="53"/>
  <c r="AU243" i="53"/>
  <c r="AU239" i="53"/>
  <c r="AU237" i="53"/>
  <c r="AU137" i="53"/>
  <c r="AU185" i="53" s="1"/>
  <c r="AU231" i="53" s="1"/>
  <c r="AU139" i="53"/>
  <c r="AU187" i="53" s="1"/>
  <c r="AU233" i="53" s="1"/>
  <c r="AU148" i="53"/>
  <c r="AU196" i="53" s="1"/>
  <c r="AU242" i="53" s="1"/>
  <c r="AU136" i="53"/>
  <c r="AU184" i="53" s="1"/>
  <c r="AU230" i="53" s="1"/>
  <c r="AU140" i="53"/>
  <c r="AU188" i="53" s="1"/>
  <c r="AU234" i="53" s="1"/>
  <c r="AU141" i="53"/>
  <c r="AU189" i="53" s="1"/>
  <c r="AU235" i="53" s="1"/>
  <c r="AU138" i="53"/>
  <c r="AU186" i="53" s="1"/>
  <c r="AU232" i="53" s="1"/>
  <c r="AU142" i="53"/>
  <c r="AU190" i="53" s="1"/>
  <c r="AU236" i="53" s="1"/>
  <c r="AU134" i="53"/>
  <c r="AU182" i="53" s="1"/>
  <c r="AU228" i="53" s="1"/>
  <c r="AO163" i="64"/>
  <c r="AV164" i="53"/>
  <c r="AV212" i="53" s="1"/>
  <c r="AV159" i="53"/>
  <c r="AV207" i="53" s="1"/>
  <c r="AV161" i="53"/>
  <c r="AV209" i="53" s="1"/>
  <c r="AV170" i="53"/>
  <c r="AV218" i="53" s="1"/>
  <c r="AV156" i="53"/>
  <c r="AV204" i="53" s="1"/>
  <c r="AV165" i="53"/>
  <c r="AV213" i="53" s="1"/>
  <c r="AV163" i="53"/>
  <c r="AV211" i="53" s="1"/>
  <c r="AV171" i="53"/>
  <c r="AV219" i="53" s="1"/>
  <c r="AV162" i="53"/>
  <c r="AV210" i="53" s="1"/>
  <c r="AV166" i="53"/>
  <c r="AV214" i="53" s="1"/>
  <c r="AV155" i="53"/>
  <c r="AV203" i="53" s="1"/>
  <c r="AV169" i="53"/>
  <c r="AV217" i="53" s="1"/>
  <c r="AV168" i="53"/>
  <c r="AV216" i="53" s="1"/>
  <c r="AV154" i="53"/>
  <c r="AV202" i="53" s="1"/>
  <c r="AV158" i="53"/>
  <c r="AV206" i="53" s="1"/>
  <c r="AV167" i="53"/>
  <c r="AV215" i="53" s="1"/>
  <c r="AV157" i="53"/>
  <c r="AV205" i="53" s="1"/>
  <c r="AV160" i="53"/>
  <c r="AV208" i="53" s="1"/>
  <c r="AR245" i="52"/>
  <c r="AQ139" i="63" s="1"/>
  <c r="AQ163" i="63" s="1"/>
  <c r="AR251" i="52"/>
  <c r="AQ145" i="63" s="1"/>
  <c r="AQ169" i="63" s="1"/>
  <c r="AQ94" i="67" s="1"/>
  <c r="AR240" i="52"/>
  <c r="AQ134" i="63" s="1"/>
  <c r="AQ158" i="63" s="1"/>
  <c r="AR238" i="52"/>
  <c r="AQ132" i="63" s="1"/>
  <c r="AQ156" i="63" s="1"/>
  <c r="AR243" i="52"/>
  <c r="AQ137" i="63" s="1"/>
  <c r="AQ161" i="63" s="1"/>
  <c r="AR242" i="52"/>
  <c r="AQ136" i="63" s="1"/>
  <c r="AQ160" i="63" s="1"/>
  <c r="AR250" i="52"/>
  <c r="AQ144" i="63" s="1"/>
  <c r="AQ168" i="63" s="1"/>
  <c r="AQ93" i="67" s="1"/>
  <c r="AR249" i="52"/>
  <c r="AQ143" i="63" s="1"/>
  <c r="AQ167" i="63" s="1"/>
  <c r="AQ92" i="67" s="1"/>
  <c r="AO169" i="64"/>
  <c r="AO170" i="64" s="1"/>
  <c r="AO123" i="64"/>
  <c r="AO124" i="64"/>
  <c r="AS105" i="52"/>
  <c r="AS113" i="52"/>
  <c r="AS112" i="52"/>
  <c r="AS114" i="52"/>
  <c r="AS106" i="52"/>
  <c r="AS117" i="52"/>
  <c r="AS122" i="52"/>
  <c r="AS119" i="52"/>
  <c r="AS111" i="52"/>
  <c r="AS108" i="52"/>
  <c r="AS107" i="52"/>
  <c r="AS121" i="52"/>
  <c r="AS110" i="52"/>
  <c r="AS115" i="52"/>
  <c r="AS116" i="52"/>
  <c r="AS109" i="52"/>
  <c r="AS120" i="52"/>
  <c r="AS118" i="52"/>
  <c r="AP83" i="67"/>
  <c r="AP178" i="63"/>
  <c r="AP182" i="63" s="1"/>
  <c r="AP171" i="63"/>
  <c r="AP172" i="63" s="1"/>
  <c r="AI120" i="67"/>
  <c r="AI128" i="67" s="1"/>
  <c r="AI137" i="67" s="1"/>
  <c r="AR27" i="47"/>
  <c r="AZ192" i="51"/>
  <c r="AT125" i="51"/>
  <c r="AU192" i="51"/>
  <c r="AU201" i="51" s="1"/>
  <c r="AU87" i="53" s="1"/>
  <c r="AV192" i="51"/>
  <c r="AW192" i="51"/>
  <c r="AX192" i="51"/>
  <c r="AY192" i="51"/>
  <c r="BA192" i="51"/>
  <c r="AS92" i="47"/>
  <c r="AS37" i="49"/>
  <c r="AS28" i="49"/>
  <c r="AV93" i="47"/>
  <c r="AV69" i="49"/>
  <c r="AU72" i="49"/>
  <c r="AU116" i="51"/>
  <c r="AU117" i="51" s="1"/>
  <c r="AU124" i="51" s="1"/>
  <c r="AU13" i="53"/>
  <c r="AR237" i="52"/>
  <c r="AQ131" i="63" s="1"/>
  <c r="AQ155" i="63" s="1"/>
  <c r="AQ85" i="67" s="1"/>
  <c r="AR239" i="52"/>
  <c r="AQ133" i="63" s="1"/>
  <c r="AQ157" i="63" s="1"/>
  <c r="AQ87" i="67" s="1"/>
  <c r="AR246" i="52"/>
  <c r="AQ140" i="63" s="1"/>
  <c r="AQ164" i="63" s="1"/>
  <c r="AR241" i="52"/>
  <c r="AQ135" i="63" s="1"/>
  <c r="AQ159" i="63" s="1"/>
  <c r="AQ89" i="67" s="1"/>
  <c r="AR247" i="52"/>
  <c r="AQ141" i="63" s="1"/>
  <c r="AQ165" i="63" s="1"/>
  <c r="AR252" i="52"/>
  <c r="AQ146" i="63" s="1"/>
  <c r="AQ170" i="63" s="1"/>
  <c r="AR235" i="52"/>
  <c r="AR236" i="52"/>
  <c r="AQ130" i="63" s="1"/>
  <c r="AQ154" i="63" s="1"/>
  <c r="AQ84" i="67" s="1"/>
  <c r="AR248" i="52"/>
  <c r="AQ142" i="63" s="1"/>
  <c r="AQ166" i="63" s="1"/>
  <c r="AR244" i="52"/>
  <c r="AQ138" i="63" s="1"/>
  <c r="AQ162" i="63" s="1"/>
  <c r="AR39" i="49"/>
  <c r="AR13" i="52" s="1"/>
  <c r="AR12" i="52"/>
  <c r="AR40" i="49"/>
  <c r="AR19" i="51"/>
  <c r="AR20" i="51" s="1"/>
  <c r="AR27" i="51" s="1"/>
  <c r="I61" i="64"/>
  <c r="N61" i="64" s="1"/>
  <c r="O61" i="64" s="1"/>
  <c r="E11" i="64" s="1"/>
  <c r="AT15" i="53"/>
  <c r="AU146" i="53"/>
  <c r="AU194" i="53" s="1"/>
  <c r="AU240" i="53" s="1"/>
  <c r="AV52" i="50"/>
  <c r="AV59" i="50" s="1"/>
  <c r="AV77" i="50" s="1"/>
  <c r="AY95" i="50"/>
  <c r="AY99" i="50"/>
  <c r="AY94" i="50"/>
  <c r="AY130" i="50"/>
  <c r="AY135" i="50"/>
  <c r="AW139" i="50" s="1"/>
  <c r="AW91" i="49" s="1"/>
  <c r="AW92" i="49" s="1"/>
  <c r="AY131" i="50"/>
  <c r="AY106" i="50"/>
  <c r="AY107" i="50"/>
  <c r="AY111" i="50"/>
  <c r="AY113" i="50" s="1"/>
  <c r="AY68" i="50"/>
  <c r="AZ64" i="50" s="1"/>
  <c r="AU150" i="53" l="1"/>
  <c r="D11" i="64"/>
  <c r="D12" i="64" s="1"/>
  <c r="AU247" i="53"/>
  <c r="AQ91" i="67"/>
  <c r="AH109" i="67" s="1"/>
  <c r="I62" i="64"/>
  <c r="J61" i="64"/>
  <c r="AH105" i="67"/>
  <c r="AI105" i="67"/>
  <c r="AP183" i="63"/>
  <c r="AW94" i="47"/>
  <c r="AW104" i="49"/>
  <c r="AW105" i="49" s="1"/>
  <c r="AW106" i="49" s="1"/>
  <c r="AT83" i="50"/>
  <c r="AT25" i="49" s="1"/>
  <c r="AT26" i="49" s="1"/>
  <c r="AS156" i="52"/>
  <c r="AS204" i="52" s="1"/>
  <c r="AS158" i="52"/>
  <c r="AS206" i="52" s="1"/>
  <c r="AS160" i="52"/>
  <c r="AS208" i="52" s="1"/>
  <c r="AS166" i="52"/>
  <c r="AS214" i="52" s="1"/>
  <c r="AS157" i="52"/>
  <c r="AS205" i="52" s="1"/>
  <c r="AS159" i="52"/>
  <c r="AS207" i="52" s="1"/>
  <c r="AS154" i="52"/>
  <c r="AS202" i="52" s="1"/>
  <c r="AS153" i="52"/>
  <c r="AS201" i="52" s="1"/>
  <c r="AS168" i="52"/>
  <c r="AS216" i="52" s="1"/>
  <c r="AS161" i="52"/>
  <c r="AS209" i="52" s="1"/>
  <c r="AS167" i="52"/>
  <c r="AS215" i="52" s="1"/>
  <c r="AS162" i="52"/>
  <c r="AS210" i="52" s="1"/>
  <c r="AS170" i="52"/>
  <c r="AS218" i="52" s="1"/>
  <c r="AS169" i="52"/>
  <c r="AS217" i="52" s="1"/>
  <c r="AS165" i="52"/>
  <c r="AS213" i="52" s="1"/>
  <c r="AS155" i="52"/>
  <c r="AS203" i="52" s="1"/>
  <c r="AS163" i="52"/>
  <c r="AS211" i="52" s="1"/>
  <c r="AS164" i="52"/>
  <c r="AS212" i="52" s="1"/>
  <c r="AQ129" i="63"/>
  <c r="AR254" i="52"/>
  <c r="AR256" i="52" s="1"/>
  <c r="BA193" i="51"/>
  <c r="AU125" i="51"/>
  <c r="AV193" i="51"/>
  <c r="AV201" i="51" s="1"/>
  <c r="AV87" i="53" s="1"/>
  <c r="AW193" i="51"/>
  <c r="AX193" i="51"/>
  <c r="AY193" i="51"/>
  <c r="AZ193" i="51"/>
  <c r="AV12" i="53"/>
  <c r="AV70" i="49"/>
  <c r="AV71" i="49" s="1"/>
  <c r="AV14" i="53" s="1"/>
  <c r="AS96" i="47"/>
  <c r="AS165" i="47" s="1"/>
  <c r="AS166" i="47" s="1"/>
  <c r="AS18" i="47" s="1"/>
  <c r="AS181" i="47"/>
  <c r="AS182" i="47" s="1"/>
  <c r="AS219" i="47" s="1"/>
  <c r="AS220" i="47" s="1"/>
  <c r="AS19" i="47" s="1"/>
  <c r="AV109" i="53"/>
  <c r="AV135" i="53" s="1"/>
  <c r="AV183" i="53" s="1"/>
  <c r="AV229" i="53" s="1"/>
  <c r="AV122" i="53"/>
  <c r="AV113" i="53"/>
  <c r="AV114" i="53"/>
  <c r="AV115" i="53"/>
  <c r="AV141" i="53" s="1"/>
  <c r="AV189" i="53" s="1"/>
  <c r="AV235" i="53" s="1"/>
  <c r="AV118" i="53"/>
  <c r="AV112" i="53"/>
  <c r="AV138" i="53" s="1"/>
  <c r="AV186" i="53" s="1"/>
  <c r="AV232" i="53" s="1"/>
  <c r="AV119" i="53"/>
  <c r="AV145" i="53" s="1"/>
  <c r="AV193" i="53" s="1"/>
  <c r="AV239" i="53" s="1"/>
  <c r="AV110" i="53"/>
  <c r="AV136" i="53" s="1"/>
  <c r="AV184" i="53" s="1"/>
  <c r="AV230" i="53" s="1"/>
  <c r="AV107" i="53"/>
  <c r="AV133" i="53" s="1"/>
  <c r="AV181" i="53" s="1"/>
  <c r="AV227" i="53" s="1"/>
  <c r="AV120" i="53"/>
  <c r="AV106" i="53"/>
  <c r="AV132" i="53" s="1"/>
  <c r="AV117" i="53"/>
  <c r="AV143" i="53" s="1"/>
  <c r="AV191" i="53" s="1"/>
  <c r="AV237" i="53" s="1"/>
  <c r="AV123" i="53"/>
  <c r="AV149" i="53" s="1"/>
  <c r="AV197" i="53" s="1"/>
  <c r="AV243" i="53" s="1"/>
  <c r="AV111" i="53"/>
  <c r="AV116" i="53"/>
  <c r="AV142" i="53" s="1"/>
  <c r="AV190" i="53" s="1"/>
  <c r="AV236" i="53" s="1"/>
  <c r="AV108" i="53"/>
  <c r="AV134" i="53" s="1"/>
  <c r="AV182" i="53" s="1"/>
  <c r="AV228" i="53" s="1"/>
  <c r="AV121" i="53"/>
  <c r="AV147" i="53" s="1"/>
  <c r="AV195" i="53" s="1"/>
  <c r="AV241" i="53" s="1"/>
  <c r="AO125" i="64"/>
  <c r="AQ181" i="63"/>
  <c r="AQ90" i="67"/>
  <c r="AQ86" i="67"/>
  <c r="AH104" i="67" s="1"/>
  <c r="AQ179" i="63"/>
  <c r="AS93" i="51"/>
  <c r="AS104" i="51" s="1"/>
  <c r="AS86" i="52" s="1"/>
  <c r="AW93" i="51"/>
  <c r="BA93" i="51"/>
  <c r="AZ93" i="51"/>
  <c r="AX93" i="51"/>
  <c r="AY93" i="51"/>
  <c r="AT93" i="51"/>
  <c r="AR28" i="51"/>
  <c r="AV93" i="51"/>
  <c r="AU93" i="51"/>
  <c r="AR14" i="52"/>
  <c r="AS135" i="52"/>
  <c r="AS183" i="52" s="1"/>
  <c r="AS131" i="52"/>
  <c r="AS179" i="52" s="1"/>
  <c r="AS147" i="52"/>
  <c r="AS195" i="52" s="1"/>
  <c r="AS251" i="52" s="1"/>
  <c r="AR145" i="63" s="1"/>
  <c r="AR169" i="63" s="1"/>
  <c r="AR94" i="67" s="1"/>
  <c r="AS142" i="52"/>
  <c r="AS190" i="52" s="1"/>
  <c r="AS138" i="52"/>
  <c r="AS186" i="52" s="1"/>
  <c r="AS141" i="52"/>
  <c r="AS189" i="52" s="1"/>
  <c r="AS143" i="52"/>
  <c r="AS191" i="52" s="1"/>
  <c r="AS145" i="52"/>
  <c r="AS193" i="52" s="1"/>
  <c r="AS249" i="52" s="1"/>
  <c r="AR143" i="63" s="1"/>
  <c r="AR167" i="63" s="1"/>
  <c r="AR92" i="67" s="1"/>
  <c r="AS136" i="52"/>
  <c r="AS184" i="52" s="1"/>
  <c r="AS240" i="52" s="1"/>
  <c r="AR134" i="63" s="1"/>
  <c r="AR158" i="63" s="1"/>
  <c r="AS133" i="52"/>
  <c r="AS181" i="52" s="1"/>
  <c r="AS132" i="52"/>
  <c r="AS180" i="52" s="1"/>
  <c r="AS140" i="52"/>
  <c r="AS188" i="52" s="1"/>
  <c r="AS137" i="52"/>
  <c r="AS185" i="52" s="1"/>
  <c r="AS241" i="52" s="1"/>
  <c r="AR135" i="63" s="1"/>
  <c r="AR159" i="63" s="1"/>
  <c r="AR89" i="67" s="1"/>
  <c r="AS134" i="52"/>
  <c r="AS182" i="52" s="1"/>
  <c r="AS146" i="52"/>
  <c r="AS194" i="52" s="1"/>
  <c r="AS144" i="52"/>
  <c r="AS192" i="52" s="1"/>
  <c r="AS139" i="52"/>
  <c r="AS187" i="52" s="1"/>
  <c r="AS243" i="52" s="1"/>
  <c r="AR137" i="63" s="1"/>
  <c r="AR161" i="63" s="1"/>
  <c r="AS148" i="52"/>
  <c r="AS196" i="52" s="1"/>
  <c r="AU15" i="53"/>
  <c r="AV146" i="53"/>
  <c r="AV194" i="53" s="1"/>
  <c r="AV240" i="53" s="1"/>
  <c r="AV148" i="53"/>
  <c r="AV196" i="53" s="1"/>
  <c r="AV242" i="53" s="1"/>
  <c r="AV144" i="53"/>
  <c r="AV192" i="53" s="1"/>
  <c r="AV238" i="53" s="1"/>
  <c r="AV139" i="53"/>
  <c r="AV187" i="53" s="1"/>
  <c r="AV233" i="53" s="1"/>
  <c r="AV140" i="53"/>
  <c r="AV188" i="53" s="1"/>
  <c r="AV234" i="53" s="1"/>
  <c r="AV137" i="53"/>
  <c r="AV185" i="53" s="1"/>
  <c r="AV231" i="53" s="1"/>
  <c r="AS11" i="52"/>
  <c r="AT227" i="52" s="1"/>
  <c r="AT228" i="52" s="1"/>
  <c r="AS38" i="49"/>
  <c r="AR29" i="47"/>
  <c r="AR30" i="47"/>
  <c r="AQ88" i="67"/>
  <c r="AH106" i="67" s="1"/>
  <c r="AQ180" i="63"/>
  <c r="AV55" i="50"/>
  <c r="AV54" i="50"/>
  <c r="AY132" i="50"/>
  <c r="AZ128" i="50" s="1"/>
  <c r="AZ66" i="50"/>
  <c r="AZ67" i="50"/>
  <c r="AZ71" i="50"/>
  <c r="AZ73" i="50" s="1"/>
  <c r="AY108" i="50"/>
  <c r="AZ104" i="50" s="1"/>
  <c r="AY110" i="50"/>
  <c r="AY96" i="50"/>
  <c r="AZ92" i="50" s="1"/>
  <c r="AY115" i="50"/>
  <c r="AW119" i="50" s="1"/>
  <c r="AW57" i="49" s="1"/>
  <c r="AW58" i="49" s="1"/>
  <c r="AS252" i="52" l="1"/>
  <c r="AR146" i="63" s="1"/>
  <c r="AR170" i="63" s="1"/>
  <c r="AS238" i="52"/>
  <c r="AR132" i="63" s="1"/>
  <c r="AR156" i="63" s="1"/>
  <c r="AS245" i="52"/>
  <c r="AR139" i="63" s="1"/>
  <c r="AR163" i="63" s="1"/>
  <c r="E12" i="64"/>
  <c r="AH135" i="67"/>
  <c r="C151" i="67" s="1"/>
  <c r="AV180" i="53"/>
  <c r="AV226" i="53" s="1"/>
  <c r="AV245" i="53" s="1"/>
  <c r="AV247" i="53" s="1"/>
  <c r="AV150" i="53"/>
  <c r="AS250" i="52"/>
  <c r="AR144" i="63" s="1"/>
  <c r="AR168" i="63" s="1"/>
  <c r="AR93" i="67" s="1"/>
  <c r="AS236" i="52"/>
  <c r="AR130" i="63" s="1"/>
  <c r="AR154" i="63" s="1"/>
  <c r="AR84" i="67" s="1"/>
  <c r="AS247" i="52"/>
  <c r="AR141" i="63" s="1"/>
  <c r="AR165" i="63" s="1"/>
  <c r="AS242" i="52"/>
  <c r="AR136" i="63" s="1"/>
  <c r="AR160" i="63" s="1"/>
  <c r="AR90" i="67" s="1"/>
  <c r="AS239" i="52"/>
  <c r="AR133" i="63" s="1"/>
  <c r="AR157" i="63" s="1"/>
  <c r="AR87" i="67" s="1"/>
  <c r="AJ105" i="67" s="1"/>
  <c r="AS248" i="52"/>
  <c r="AR142" i="63" s="1"/>
  <c r="AR166" i="63" s="1"/>
  <c r="AS244" i="52"/>
  <c r="AR138" i="63" s="1"/>
  <c r="AR162" i="63" s="1"/>
  <c r="AS237" i="52"/>
  <c r="AR131" i="63" s="1"/>
  <c r="AR155" i="63" s="1"/>
  <c r="AR85" i="67" s="1"/>
  <c r="AS246" i="52"/>
  <c r="AR140" i="63" s="1"/>
  <c r="AR164" i="63" s="1"/>
  <c r="AS235" i="52"/>
  <c r="AI111" i="67"/>
  <c r="AJ111" i="67"/>
  <c r="AI107" i="67"/>
  <c r="AJ107" i="67"/>
  <c r="AI102" i="67"/>
  <c r="AJ102" i="67"/>
  <c r="AI112" i="67"/>
  <c r="AJ112" i="67"/>
  <c r="AI109" i="67"/>
  <c r="AJ109" i="67"/>
  <c r="AI103" i="67"/>
  <c r="AJ103" i="67"/>
  <c r="AI110" i="67"/>
  <c r="AJ110" i="67"/>
  <c r="AJ121" i="67"/>
  <c r="AK121" i="67"/>
  <c r="AW158" i="53"/>
  <c r="AW206" i="53" s="1"/>
  <c r="AW162" i="53"/>
  <c r="AW210" i="53" s="1"/>
  <c r="AW168" i="53"/>
  <c r="AW216" i="53" s="1"/>
  <c r="AW159" i="53"/>
  <c r="AW207" i="53" s="1"/>
  <c r="AW170" i="53"/>
  <c r="AW218" i="53" s="1"/>
  <c r="AW167" i="53"/>
  <c r="AW215" i="53" s="1"/>
  <c r="AW169" i="53"/>
  <c r="AW217" i="53" s="1"/>
  <c r="AW171" i="53"/>
  <c r="AW219" i="53" s="1"/>
  <c r="AW156" i="53"/>
  <c r="AW204" i="53" s="1"/>
  <c r="AW157" i="53"/>
  <c r="AW205" i="53" s="1"/>
  <c r="AW160" i="53"/>
  <c r="AW208" i="53" s="1"/>
  <c r="AW166" i="53"/>
  <c r="AW214" i="53" s="1"/>
  <c r="AW164" i="53"/>
  <c r="AW212" i="53" s="1"/>
  <c r="AW161" i="53"/>
  <c r="AW209" i="53" s="1"/>
  <c r="AW165" i="53"/>
  <c r="AW213" i="53" s="1"/>
  <c r="AW163" i="53"/>
  <c r="AW211" i="53" s="1"/>
  <c r="AW154" i="53"/>
  <c r="AW202" i="53" s="1"/>
  <c r="AW155" i="53"/>
  <c r="AW203" i="53" s="1"/>
  <c r="AS19" i="51"/>
  <c r="AS20" i="51" s="1"/>
  <c r="AS27" i="51" s="1"/>
  <c r="AS40" i="49"/>
  <c r="AS12" i="52"/>
  <c r="AR86" i="67"/>
  <c r="AR129" i="63"/>
  <c r="AT106" i="52"/>
  <c r="AT118" i="52"/>
  <c r="AT113" i="52"/>
  <c r="AT112" i="52"/>
  <c r="AT107" i="52"/>
  <c r="AT115" i="52"/>
  <c r="AT116" i="52"/>
  <c r="AT122" i="52"/>
  <c r="AT111" i="52"/>
  <c r="AT109" i="52"/>
  <c r="AT110" i="52"/>
  <c r="AT105" i="52"/>
  <c r="AT108" i="52"/>
  <c r="AT120" i="52"/>
  <c r="AT117" i="52"/>
  <c r="AT119" i="52"/>
  <c r="AT121" i="52"/>
  <c r="AT114" i="52"/>
  <c r="AT92" i="47"/>
  <c r="AT37" i="49"/>
  <c r="AT28" i="49"/>
  <c r="AW93" i="47"/>
  <c r="AW69" i="49"/>
  <c r="AS39" i="49"/>
  <c r="AS13" i="52" s="1"/>
  <c r="AR88" i="67"/>
  <c r="AJ120" i="67"/>
  <c r="AS27" i="47"/>
  <c r="AV72" i="49"/>
  <c r="AV13" i="53"/>
  <c r="AV116" i="51"/>
  <c r="AV117" i="51" s="1"/>
  <c r="AV124" i="51" s="1"/>
  <c r="AW112" i="53"/>
  <c r="AW119" i="53"/>
  <c r="AW108" i="53"/>
  <c r="AW111" i="53"/>
  <c r="AW118" i="53"/>
  <c r="AW115" i="53"/>
  <c r="AW120" i="53"/>
  <c r="AW123" i="53"/>
  <c r="AW113" i="53"/>
  <c r="AW109" i="53"/>
  <c r="AW116" i="53"/>
  <c r="AW107" i="53"/>
  <c r="AW114" i="53"/>
  <c r="AW110" i="53"/>
  <c r="AW121" i="53"/>
  <c r="AW122" i="53"/>
  <c r="AW106" i="53"/>
  <c r="AW117" i="53"/>
  <c r="AQ153" i="63"/>
  <c r="AQ147" i="63"/>
  <c r="AV56" i="50"/>
  <c r="AW52" i="50" s="1"/>
  <c r="AW59" i="50" s="1"/>
  <c r="AW77" i="50" s="1"/>
  <c r="AU83" i="50" s="1"/>
  <c r="AU25" i="49" s="1"/>
  <c r="AU26" i="49" s="1"/>
  <c r="AZ99" i="50"/>
  <c r="AZ95" i="50"/>
  <c r="AZ94" i="50"/>
  <c r="AZ131" i="50"/>
  <c r="AZ135" i="50"/>
  <c r="AX139" i="50" s="1"/>
  <c r="AX91" i="49" s="1"/>
  <c r="AX92" i="49" s="1"/>
  <c r="AZ130" i="50"/>
  <c r="AZ68" i="50"/>
  <c r="BA64" i="50" s="1"/>
  <c r="AZ111" i="50"/>
  <c r="AZ113" i="50" s="1"/>
  <c r="AZ107" i="50"/>
  <c r="AZ106" i="50"/>
  <c r="AH163" i="67" l="1"/>
  <c r="C165" i="67" s="1"/>
  <c r="AR180" i="63"/>
  <c r="AR179" i="63"/>
  <c r="AJ128" i="67"/>
  <c r="AJ137" i="67" s="1"/>
  <c r="AR91" i="67"/>
  <c r="AS254" i="52"/>
  <c r="AS256" i="52" s="1"/>
  <c r="AR181" i="63"/>
  <c r="AI108" i="67"/>
  <c r="AJ108" i="67"/>
  <c r="AI106" i="67"/>
  <c r="AJ106" i="67"/>
  <c r="AI104" i="67"/>
  <c r="AJ104" i="67"/>
  <c r="AU28" i="49"/>
  <c r="AU37" i="49"/>
  <c r="AU92" i="47"/>
  <c r="AQ83" i="67"/>
  <c r="AH101" i="67" s="1"/>
  <c r="AQ178" i="63"/>
  <c r="AQ182" i="63" s="1"/>
  <c r="AQ171" i="63"/>
  <c r="AQ172" i="63" s="1"/>
  <c r="AW147" i="53"/>
  <c r="AW195" i="53" s="1"/>
  <c r="AW241" i="53" s="1"/>
  <c r="AW142" i="53"/>
  <c r="AW190" i="53" s="1"/>
  <c r="AW236" i="53" s="1"/>
  <c r="AW137" i="53"/>
  <c r="AW185" i="53" s="1"/>
  <c r="AW231" i="53" s="1"/>
  <c r="AW134" i="53"/>
  <c r="AW182" i="53" s="1"/>
  <c r="AW228" i="53" s="1"/>
  <c r="AW139" i="53"/>
  <c r="AW187" i="53" s="1"/>
  <c r="AW233" i="53" s="1"/>
  <c r="AW148" i="53"/>
  <c r="AW196" i="53" s="1"/>
  <c r="AW242" i="53" s="1"/>
  <c r="AW146" i="53"/>
  <c r="AW194" i="53" s="1"/>
  <c r="AW240" i="53" s="1"/>
  <c r="AW145" i="53"/>
  <c r="AW193" i="53" s="1"/>
  <c r="AW239" i="53" s="1"/>
  <c r="AW140" i="53"/>
  <c r="AW188" i="53" s="1"/>
  <c r="AW234" i="53" s="1"/>
  <c r="AW136" i="53"/>
  <c r="AW184" i="53" s="1"/>
  <c r="AW230" i="53" s="1"/>
  <c r="AV15" i="53"/>
  <c r="AW144" i="53"/>
  <c r="AW192" i="53" s="1"/>
  <c r="AW238" i="53" s="1"/>
  <c r="AW138" i="53"/>
  <c r="AW186" i="53" s="1"/>
  <c r="AW232" i="53" s="1"/>
  <c r="AW133" i="53"/>
  <c r="AW181" i="53" s="1"/>
  <c r="AW227" i="53" s="1"/>
  <c r="AW135" i="53"/>
  <c r="AW183" i="53" s="1"/>
  <c r="AW229" i="53" s="1"/>
  <c r="AW141" i="53"/>
  <c r="AW189" i="53" s="1"/>
  <c r="AW235" i="53" s="1"/>
  <c r="AW149" i="53"/>
  <c r="AW197" i="53" s="1"/>
  <c r="AW243" i="53" s="1"/>
  <c r="AW132" i="53"/>
  <c r="AW180" i="53" s="1"/>
  <c r="AW226" i="53" s="1"/>
  <c r="AW245" i="53" s="1"/>
  <c r="AW247" i="53" s="1"/>
  <c r="AW143" i="53"/>
  <c r="AW191" i="53" s="1"/>
  <c r="AW237" i="53" s="1"/>
  <c r="AS30" i="47"/>
  <c r="AS29" i="47"/>
  <c r="AW70" i="49"/>
  <c r="AW12" i="53"/>
  <c r="AT96" i="47"/>
  <c r="AT165" i="47" s="1"/>
  <c r="AT166" i="47" s="1"/>
  <c r="AT18" i="47" s="1"/>
  <c r="AT181" i="47"/>
  <c r="AT182" i="47" s="1"/>
  <c r="AT219" i="47" s="1"/>
  <c r="AT220" i="47" s="1"/>
  <c r="AT19" i="47" s="1"/>
  <c r="AR147" i="63"/>
  <c r="AR153" i="63"/>
  <c r="AX104" i="49"/>
  <c r="AX105" i="49" s="1"/>
  <c r="AX106" i="49" s="1"/>
  <c r="AX94" i="47"/>
  <c r="AV125" i="51"/>
  <c r="AW194" i="51"/>
  <c r="AW201" i="51" s="1"/>
  <c r="AW87" i="53" s="1"/>
  <c r="BA194" i="51"/>
  <c r="AY194" i="51"/>
  <c r="AZ194" i="51"/>
  <c r="AX194" i="51"/>
  <c r="AT162" i="52"/>
  <c r="AT210" i="52" s="1"/>
  <c r="AT160" i="52"/>
  <c r="AT208" i="52" s="1"/>
  <c r="AT164" i="52"/>
  <c r="AT212" i="52" s="1"/>
  <c r="AT154" i="52"/>
  <c r="AT202" i="52" s="1"/>
  <c r="AT170" i="52"/>
  <c r="AT218" i="52" s="1"/>
  <c r="AT165" i="52"/>
  <c r="AT213" i="52" s="1"/>
  <c r="AT157" i="52"/>
  <c r="AT205" i="52" s="1"/>
  <c r="AT166" i="52"/>
  <c r="AT214" i="52" s="1"/>
  <c r="AT161" i="52"/>
  <c r="AT209" i="52" s="1"/>
  <c r="AT156" i="52"/>
  <c r="AT204" i="52" s="1"/>
  <c r="AT169" i="52"/>
  <c r="AT217" i="52" s="1"/>
  <c r="AT163" i="52"/>
  <c r="AT211" i="52" s="1"/>
  <c r="AT159" i="52"/>
  <c r="AT207" i="52" s="1"/>
  <c r="AT158" i="52"/>
  <c r="AT206" i="52" s="1"/>
  <c r="AT153" i="52"/>
  <c r="AT201" i="52" s="1"/>
  <c r="AT155" i="52"/>
  <c r="AT203" i="52" s="1"/>
  <c r="AT167" i="52"/>
  <c r="AT215" i="52" s="1"/>
  <c r="AT168" i="52"/>
  <c r="AT216" i="52" s="1"/>
  <c r="AT11" i="52"/>
  <c r="AU227" i="52" s="1"/>
  <c r="AU228" i="52" s="1"/>
  <c r="AT38" i="49"/>
  <c r="AT39" i="49" s="1"/>
  <c r="AT13" i="52" s="1"/>
  <c r="AT142" i="52"/>
  <c r="AT190" i="52" s="1"/>
  <c r="AT131" i="52"/>
  <c r="AT179" i="52" s="1"/>
  <c r="AT134" i="52"/>
  <c r="AT182" i="52" s="1"/>
  <c r="AS14" i="52"/>
  <c r="AT136" i="52"/>
  <c r="AT184" i="52" s="1"/>
  <c r="AT132" i="52"/>
  <c r="AT180" i="52" s="1"/>
  <c r="AT140" i="52"/>
  <c r="AT188" i="52" s="1"/>
  <c r="AT244" i="52" s="1"/>
  <c r="AS138" i="63" s="1"/>
  <c r="AS162" i="63" s="1"/>
  <c r="AT135" i="52"/>
  <c r="AT183" i="52" s="1"/>
  <c r="AT133" i="52"/>
  <c r="AT181" i="52" s="1"/>
  <c r="AT138" i="52"/>
  <c r="AT186" i="52" s="1"/>
  <c r="AT242" i="52" s="1"/>
  <c r="AS136" i="63" s="1"/>
  <c r="AS160" i="63" s="1"/>
  <c r="AT144" i="52"/>
  <c r="AT192" i="52" s="1"/>
  <c r="AT143" i="52"/>
  <c r="AT191" i="52" s="1"/>
  <c r="AT145" i="52"/>
  <c r="AT193" i="52" s="1"/>
  <c r="AT249" i="52" s="1"/>
  <c r="AS143" i="63" s="1"/>
  <c r="AS167" i="63" s="1"/>
  <c r="AS92" i="67" s="1"/>
  <c r="AK110" i="67" s="1"/>
  <c r="AT148" i="52"/>
  <c r="AT196" i="52" s="1"/>
  <c r="AT141" i="52"/>
  <c r="AT189" i="52" s="1"/>
  <c r="AT137" i="52"/>
  <c r="AT185" i="52" s="1"/>
  <c r="AT147" i="52"/>
  <c r="AT195" i="52" s="1"/>
  <c r="AT251" i="52" s="1"/>
  <c r="AS145" i="63" s="1"/>
  <c r="AS169" i="63" s="1"/>
  <c r="AS94" i="67" s="1"/>
  <c r="AK112" i="67" s="1"/>
  <c r="AT139" i="52"/>
  <c r="AT187" i="52" s="1"/>
  <c r="AT146" i="52"/>
  <c r="AT194" i="52" s="1"/>
  <c r="AY94" i="51"/>
  <c r="AV94" i="51"/>
  <c r="AZ94" i="51"/>
  <c r="AT94" i="51"/>
  <c r="AT104" i="51" s="1"/>
  <c r="AT86" i="52" s="1"/>
  <c r="AX94" i="51"/>
  <c r="AW94" i="51"/>
  <c r="BA94" i="51"/>
  <c r="AU94" i="51"/>
  <c r="AS28" i="51"/>
  <c r="AW54" i="50"/>
  <c r="AW55" i="50"/>
  <c r="AZ115" i="50"/>
  <c r="AX119" i="50" s="1"/>
  <c r="AX57" i="49" s="1"/>
  <c r="AX58" i="49" s="1"/>
  <c r="AZ108" i="50"/>
  <c r="BA104" i="50" s="1"/>
  <c r="AZ110" i="50"/>
  <c r="AZ132" i="50"/>
  <c r="BA128" i="50" s="1"/>
  <c r="BA71" i="50"/>
  <c r="BA73" i="50" s="1"/>
  <c r="BA67" i="50"/>
  <c r="BA66" i="50"/>
  <c r="AZ96" i="50"/>
  <c r="BA92" i="50" s="1"/>
  <c r="AJ135" i="67" l="1"/>
  <c r="AT236" i="52"/>
  <c r="AS130" i="63" s="1"/>
  <c r="AS154" i="63" s="1"/>
  <c r="AS84" i="67" s="1"/>
  <c r="AK102" i="67" s="1"/>
  <c r="AI135" i="67"/>
  <c r="AT247" i="52"/>
  <c r="AS141" i="63" s="1"/>
  <c r="AS165" i="63" s="1"/>
  <c r="AW150" i="53"/>
  <c r="AT243" i="52"/>
  <c r="AS137" i="63" s="1"/>
  <c r="AS161" i="63" s="1"/>
  <c r="AS90" i="67" s="1"/>
  <c r="AK108" i="67" s="1"/>
  <c r="AT241" i="52"/>
  <c r="AS135" i="63" s="1"/>
  <c r="AS159" i="63" s="1"/>
  <c r="AS89" i="67" s="1"/>
  <c r="AK107" i="67" s="1"/>
  <c r="AT252" i="52"/>
  <c r="AS146" i="63" s="1"/>
  <c r="AS170" i="63" s="1"/>
  <c r="AT250" i="52"/>
  <c r="AS144" i="63" s="1"/>
  <c r="AS168" i="63" s="1"/>
  <c r="AS93" i="67" s="1"/>
  <c r="AK111" i="67" s="1"/>
  <c r="AT245" i="52"/>
  <c r="AS139" i="63" s="1"/>
  <c r="AS163" i="63" s="1"/>
  <c r="AT237" i="52"/>
  <c r="AS131" i="63" s="1"/>
  <c r="AS155" i="63" s="1"/>
  <c r="AS85" i="67" s="1"/>
  <c r="AK103" i="67" s="1"/>
  <c r="AT240" i="52"/>
  <c r="AS134" i="63" s="1"/>
  <c r="AS158" i="63" s="1"/>
  <c r="AT238" i="52"/>
  <c r="AS132" i="63" s="1"/>
  <c r="AS156" i="63" s="1"/>
  <c r="AT235" i="52"/>
  <c r="AS129" i="63" s="1"/>
  <c r="AX93" i="47"/>
  <c r="AX69" i="49"/>
  <c r="AU113" i="52"/>
  <c r="AU118" i="52"/>
  <c r="AU115" i="52"/>
  <c r="AU121" i="52"/>
  <c r="AU114" i="52"/>
  <c r="AU108" i="52"/>
  <c r="AU109" i="52"/>
  <c r="AU120" i="52"/>
  <c r="AU112" i="52"/>
  <c r="AU122" i="52"/>
  <c r="AU105" i="52"/>
  <c r="AU110" i="52"/>
  <c r="AU117" i="52"/>
  <c r="AU107" i="52"/>
  <c r="AU119" i="52"/>
  <c r="AU106" i="52"/>
  <c r="AU116" i="52"/>
  <c r="AU111" i="52"/>
  <c r="AU155" i="52"/>
  <c r="AU203" i="52" s="1"/>
  <c r="AU154" i="52"/>
  <c r="AU202" i="52" s="1"/>
  <c r="AU157" i="52"/>
  <c r="AU205" i="52" s="1"/>
  <c r="AU156" i="52"/>
  <c r="AU204" i="52" s="1"/>
  <c r="AU159" i="52"/>
  <c r="AU207" i="52" s="1"/>
  <c r="AU162" i="52"/>
  <c r="AU210" i="52" s="1"/>
  <c r="AU165" i="52"/>
  <c r="AU213" i="52" s="1"/>
  <c r="AU170" i="52"/>
  <c r="AU218" i="52" s="1"/>
  <c r="AU168" i="52"/>
  <c r="AU216" i="52" s="1"/>
  <c r="AU158" i="52"/>
  <c r="AU206" i="52" s="1"/>
  <c r="AU153" i="52"/>
  <c r="AU201" i="52" s="1"/>
  <c r="AU160" i="52"/>
  <c r="AU208" i="52" s="1"/>
  <c r="AU167" i="52"/>
  <c r="AU215" i="52" s="1"/>
  <c r="AU161" i="52"/>
  <c r="AU209" i="52" s="1"/>
  <c r="AU166" i="52"/>
  <c r="AU214" i="52" s="1"/>
  <c r="AU169" i="52"/>
  <c r="AU217" i="52" s="1"/>
  <c r="AU163" i="52"/>
  <c r="AU211" i="52" s="1"/>
  <c r="AU164" i="52"/>
  <c r="AU212" i="52" s="1"/>
  <c r="AT239" i="52"/>
  <c r="AS133" i="63" s="1"/>
  <c r="AS157" i="63" s="1"/>
  <c r="AS87" i="67" s="1"/>
  <c r="AK105" i="67" s="1"/>
  <c r="AT246" i="52"/>
  <c r="AS140" i="63" s="1"/>
  <c r="AS164" i="63" s="1"/>
  <c r="AH136" i="67"/>
  <c r="AH113" i="67"/>
  <c r="AH142" i="67" s="1"/>
  <c r="AU38" i="49"/>
  <c r="AU11" i="52"/>
  <c r="AV227" i="52" s="1"/>
  <c r="AV228" i="52" s="1"/>
  <c r="AS181" i="63"/>
  <c r="AT19" i="51"/>
  <c r="AT20" i="51" s="1"/>
  <c r="AT27" i="51" s="1"/>
  <c r="AT12" i="52"/>
  <c r="AT40" i="49"/>
  <c r="AT248" i="52"/>
  <c r="AS142" i="63" s="1"/>
  <c r="AS166" i="63" s="1"/>
  <c r="AX123" i="53"/>
  <c r="AX112" i="53"/>
  <c r="AX117" i="53"/>
  <c r="AX121" i="53"/>
  <c r="AX107" i="53"/>
  <c r="AX114" i="53"/>
  <c r="AX118" i="53"/>
  <c r="AX113" i="53"/>
  <c r="AX106" i="53"/>
  <c r="AX108" i="53"/>
  <c r="AX109" i="53"/>
  <c r="AX120" i="53"/>
  <c r="AX122" i="53"/>
  <c r="AX110" i="53"/>
  <c r="AX111" i="53"/>
  <c r="AX116" i="53"/>
  <c r="AX119" i="53"/>
  <c r="AX115" i="53"/>
  <c r="AR83" i="67"/>
  <c r="AR171" i="63"/>
  <c r="AR172" i="63" s="1"/>
  <c r="AR178" i="63"/>
  <c r="AR182" i="63" s="1"/>
  <c r="AK120" i="67"/>
  <c r="AK128" i="67" s="1"/>
  <c r="AK137" i="67" s="1"/>
  <c r="AT27" i="47"/>
  <c r="AW71" i="49"/>
  <c r="AW14" i="53" s="1"/>
  <c r="AW13" i="53"/>
  <c r="AW72" i="49"/>
  <c r="AW116" i="51"/>
  <c r="AW117" i="51" s="1"/>
  <c r="AW124" i="51" s="1"/>
  <c r="AQ183" i="63"/>
  <c r="AU96" i="47"/>
  <c r="AU165" i="47" s="1"/>
  <c r="AU166" i="47" s="1"/>
  <c r="AU18" i="47" s="1"/>
  <c r="AU181" i="47"/>
  <c r="AU182" i="47" s="1"/>
  <c r="AU219" i="47" s="1"/>
  <c r="AU220" i="47" s="1"/>
  <c r="AU19" i="47" s="1"/>
  <c r="AW56" i="50"/>
  <c r="AX52" i="50" s="1"/>
  <c r="BA130" i="50"/>
  <c r="BA135" i="50"/>
  <c r="AY139" i="50" s="1"/>
  <c r="AY91" i="49" s="1"/>
  <c r="AY92" i="49" s="1"/>
  <c r="BA131" i="50"/>
  <c r="BA94" i="50"/>
  <c r="BA95" i="50"/>
  <c r="BA99" i="50"/>
  <c r="BA68" i="50"/>
  <c r="BB64" i="50" s="1"/>
  <c r="BA107" i="50"/>
  <c r="BA106" i="50"/>
  <c r="BA111" i="50"/>
  <c r="BA113" i="50" s="1"/>
  <c r="AS91" i="67" l="1"/>
  <c r="AK109" i="67" s="1"/>
  <c r="AS180" i="63"/>
  <c r="C152" i="67"/>
  <c r="AH139" i="67"/>
  <c r="C155" i="67" s="1"/>
  <c r="AT254" i="52"/>
  <c r="AT256" i="52" s="1"/>
  <c r="AS179" i="63"/>
  <c r="AS88" i="67"/>
  <c r="AK106" i="67" s="1"/>
  <c r="AS86" i="67"/>
  <c r="AK104" i="67" s="1"/>
  <c r="AI101" i="67"/>
  <c r="AJ101" i="67"/>
  <c r="AR183" i="63"/>
  <c r="AT30" i="47"/>
  <c r="AT29" i="47"/>
  <c r="AU27" i="47"/>
  <c r="AX164" i="53"/>
  <c r="AX212" i="53" s="1"/>
  <c r="AX159" i="53"/>
  <c r="AX207" i="53" s="1"/>
  <c r="AX168" i="53"/>
  <c r="AX216" i="53" s="1"/>
  <c r="AX160" i="53"/>
  <c r="AX208" i="53" s="1"/>
  <c r="AX171" i="53"/>
  <c r="AX219" i="53" s="1"/>
  <c r="AX155" i="53"/>
  <c r="AX203" i="53" s="1"/>
  <c r="AX166" i="53"/>
  <c r="AX214" i="53" s="1"/>
  <c r="AX170" i="53"/>
  <c r="AX218" i="53" s="1"/>
  <c r="AX156" i="53"/>
  <c r="AX204" i="53" s="1"/>
  <c r="AX165" i="53"/>
  <c r="AX213" i="53" s="1"/>
  <c r="AX167" i="53"/>
  <c r="AX215" i="53" s="1"/>
  <c r="AX161" i="53"/>
  <c r="AX209" i="53" s="1"/>
  <c r="AX169" i="53"/>
  <c r="AX217" i="53" s="1"/>
  <c r="AX154" i="53"/>
  <c r="AX202" i="53" s="1"/>
  <c r="AX163" i="53"/>
  <c r="AX211" i="53" s="1"/>
  <c r="AX157" i="53"/>
  <c r="AX205" i="53" s="1"/>
  <c r="AX162" i="53"/>
  <c r="AX210" i="53" s="1"/>
  <c r="AX158" i="53"/>
  <c r="AX206" i="53" s="1"/>
  <c r="AX141" i="53"/>
  <c r="AX189" i="53" s="1"/>
  <c r="AX235" i="53" s="1"/>
  <c r="AX142" i="53"/>
  <c r="AX190" i="53" s="1"/>
  <c r="AX136" i="53"/>
  <c r="AX184" i="53" s="1"/>
  <c r="AX146" i="53"/>
  <c r="AX194" i="53" s="1"/>
  <c r="AX240" i="53" s="1"/>
  <c r="AX134" i="53"/>
  <c r="AX182" i="53" s="1"/>
  <c r="AX139" i="53"/>
  <c r="AX187" i="53" s="1"/>
  <c r="AX233" i="53" s="1"/>
  <c r="AX140" i="53"/>
  <c r="AX188" i="53" s="1"/>
  <c r="AX234" i="53" s="1"/>
  <c r="AX147" i="53"/>
  <c r="AX195" i="53" s="1"/>
  <c r="AX138" i="53"/>
  <c r="AX186" i="53" s="1"/>
  <c r="AU136" i="52"/>
  <c r="AU184" i="52" s="1"/>
  <c r="AU240" i="52" s="1"/>
  <c r="AU148" i="52"/>
  <c r="AU196" i="52" s="1"/>
  <c r="AU252" i="52" s="1"/>
  <c r="AU144" i="52"/>
  <c r="AU192" i="52" s="1"/>
  <c r="AU248" i="52" s="1"/>
  <c r="AU138" i="52"/>
  <c r="AU186" i="52" s="1"/>
  <c r="AU242" i="52" s="1"/>
  <c r="AU134" i="52"/>
  <c r="AU182" i="52" s="1"/>
  <c r="AU238" i="52" s="1"/>
  <c r="AU143" i="52"/>
  <c r="AU191" i="52" s="1"/>
  <c r="AU247" i="52" s="1"/>
  <c r="AU145" i="52"/>
  <c r="AU193" i="52" s="1"/>
  <c r="AU249" i="52" s="1"/>
  <c r="AU137" i="52"/>
  <c r="AU185" i="52" s="1"/>
  <c r="AU241" i="52" s="1"/>
  <c r="AU146" i="52"/>
  <c r="AU194" i="52" s="1"/>
  <c r="AU250" i="52" s="1"/>
  <c r="AT14" i="52"/>
  <c r="AU131" i="52"/>
  <c r="AU179" i="52" s="1"/>
  <c r="AU235" i="52" s="1"/>
  <c r="AU254" i="52" s="1"/>
  <c r="AU256" i="52" s="1"/>
  <c r="AU132" i="52"/>
  <c r="AU180" i="52" s="1"/>
  <c r="AU236" i="52" s="1"/>
  <c r="AU135" i="52"/>
  <c r="AU183" i="52" s="1"/>
  <c r="AU239" i="52" s="1"/>
  <c r="AU133" i="52"/>
  <c r="AU181" i="52" s="1"/>
  <c r="AU237" i="52" s="1"/>
  <c r="AU147" i="52"/>
  <c r="AU195" i="52" s="1"/>
  <c r="AU251" i="52" s="1"/>
  <c r="AU139" i="52"/>
  <c r="AU187" i="52" s="1"/>
  <c r="AU243" i="52" s="1"/>
  <c r="AU141" i="52"/>
  <c r="AU189" i="52" s="1"/>
  <c r="AU245" i="52" s="1"/>
  <c r="AU140" i="52"/>
  <c r="AU188" i="52" s="1"/>
  <c r="AU244" i="52" s="1"/>
  <c r="AU142" i="52"/>
  <c r="AU190" i="52" s="1"/>
  <c r="AU246" i="52" s="1"/>
  <c r="AX12" i="53"/>
  <c r="AX70" i="49"/>
  <c r="AY104" i="49"/>
  <c r="AY105" i="49" s="1"/>
  <c r="AY106" i="49" s="1"/>
  <c r="AY94" i="47"/>
  <c r="AW125" i="51"/>
  <c r="AY195" i="51"/>
  <c r="AX195" i="51"/>
  <c r="AX201" i="51" s="1"/>
  <c r="AX87" i="53" s="1"/>
  <c r="BA195" i="51"/>
  <c r="AZ195" i="51"/>
  <c r="AX149" i="53"/>
  <c r="AX197" i="53" s="1"/>
  <c r="AW15" i="53"/>
  <c r="AI136" i="67"/>
  <c r="AI139" i="67" s="1"/>
  <c r="AI113" i="67"/>
  <c r="AI142" i="67" s="1"/>
  <c r="AX145" i="53"/>
  <c r="AX193" i="53" s="1"/>
  <c r="AX239" i="53" s="1"/>
  <c r="AX137" i="53"/>
  <c r="AX185" i="53" s="1"/>
  <c r="AX148" i="53"/>
  <c r="AX196" i="53" s="1"/>
  <c r="AX242" i="53" s="1"/>
  <c r="AX135" i="53"/>
  <c r="AX183" i="53" s="1"/>
  <c r="AX132" i="53"/>
  <c r="AX180" i="53" s="1"/>
  <c r="AX144" i="53"/>
  <c r="AX192" i="53" s="1"/>
  <c r="AX238" i="53" s="1"/>
  <c r="AX133" i="53"/>
  <c r="AX181" i="53" s="1"/>
  <c r="AX227" i="53" s="1"/>
  <c r="AX143" i="53"/>
  <c r="AX191" i="53" s="1"/>
  <c r="AZ95" i="51"/>
  <c r="AX95" i="51"/>
  <c r="AW95" i="51"/>
  <c r="AV95" i="51"/>
  <c r="BA95" i="51"/>
  <c r="AY95" i="51"/>
  <c r="AU95" i="51"/>
  <c r="AU104" i="51" s="1"/>
  <c r="AU86" i="52" s="1"/>
  <c r="AT28" i="51"/>
  <c r="AS153" i="63"/>
  <c r="AS147" i="63"/>
  <c r="AU39" i="49"/>
  <c r="AU13" i="52" s="1"/>
  <c r="AU40" i="49"/>
  <c r="AU12" i="52"/>
  <c r="AU14" i="52" s="1"/>
  <c r="AU19" i="51"/>
  <c r="AU20" i="51" s="1"/>
  <c r="AU27" i="51" s="1"/>
  <c r="AX54" i="50"/>
  <c r="AX56" i="50" s="1"/>
  <c r="AX59" i="50"/>
  <c r="AX77" i="50" s="1"/>
  <c r="AV83" i="50" s="1"/>
  <c r="AV25" i="49" s="1"/>
  <c r="AV26" i="49" s="1"/>
  <c r="AX55" i="50"/>
  <c r="BB67" i="50"/>
  <c r="BB71" i="50"/>
  <c r="BB73" i="50" s="1"/>
  <c r="BB66" i="50"/>
  <c r="BA132" i="50"/>
  <c r="BB128" i="50" s="1"/>
  <c r="BA115" i="50"/>
  <c r="AY119" i="50" s="1"/>
  <c r="AY57" i="49" s="1"/>
  <c r="AY58" i="49" s="1"/>
  <c r="BA110" i="50"/>
  <c r="BA108" i="50"/>
  <c r="BB104" i="50" s="1"/>
  <c r="BA96" i="50"/>
  <c r="BB92" i="50" s="1"/>
  <c r="AX243" i="53" l="1"/>
  <c r="C156" i="67"/>
  <c r="AK135" i="67"/>
  <c r="AX236" i="53"/>
  <c r="AX226" i="53"/>
  <c r="AX245" i="53" s="1"/>
  <c r="AX247" i="53" s="1"/>
  <c r="AX228" i="53"/>
  <c r="AI143" i="67"/>
  <c r="AH143" i="67"/>
  <c r="AX241" i="53"/>
  <c r="AX237" i="53"/>
  <c r="AX229" i="53"/>
  <c r="AX231" i="53"/>
  <c r="AX232" i="53"/>
  <c r="AX230" i="53"/>
  <c r="AJ113" i="67"/>
  <c r="AJ142" i="67" s="1"/>
  <c r="AJ136" i="67"/>
  <c r="AJ139" i="67" s="1"/>
  <c r="AY69" i="49"/>
  <c r="AY93" i="47"/>
  <c r="AV159" i="52"/>
  <c r="AV207" i="52" s="1"/>
  <c r="AV157" i="52"/>
  <c r="AV205" i="52" s="1"/>
  <c r="AV165" i="52"/>
  <c r="AV213" i="52" s="1"/>
  <c r="AV167" i="52"/>
  <c r="AV215" i="52" s="1"/>
  <c r="AV170" i="52"/>
  <c r="AV218" i="52" s="1"/>
  <c r="AV156" i="52"/>
  <c r="AV204" i="52" s="1"/>
  <c r="AV153" i="52"/>
  <c r="AV201" i="52" s="1"/>
  <c r="AV169" i="52"/>
  <c r="AV217" i="52" s="1"/>
  <c r="AV168" i="52"/>
  <c r="AV216" i="52" s="1"/>
  <c r="AV166" i="52"/>
  <c r="AV214" i="52" s="1"/>
  <c r="AV155" i="52"/>
  <c r="AV203" i="52" s="1"/>
  <c r="AV154" i="52"/>
  <c r="AV202" i="52" s="1"/>
  <c r="AV158" i="52"/>
  <c r="AV206" i="52" s="1"/>
  <c r="AV162" i="52"/>
  <c r="AV210" i="52" s="1"/>
  <c r="AV160" i="52"/>
  <c r="AV208" i="52" s="1"/>
  <c r="AV161" i="52"/>
  <c r="AV209" i="52" s="1"/>
  <c r="AV163" i="52"/>
  <c r="AV211" i="52" s="1"/>
  <c r="AV164" i="52"/>
  <c r="AV212" i="52" s="1"/>
  <c r="AS83" i="67"/>
  <c r="AK101" i="67" s="1"/>
  <c r="AS171" i="63"/>
  <c r="AS172" i="63" s="1"/>
  <c r="AS178" i="63"/>
  <c r="AS182" i="63" s="1"/>
  <c r="AV119" i="52"/>
  <c r="AV145" i="52" s="1"/>
  <c r="AV193" i="52" s="1"/>
  <c r="AV121" i="52"/>
  <c r="AV147" i="52" s="1"/>
  <c r="AV195" i="52" s="1"/>
  <c r="AV115" i="52"/>
  <c r="AV141" i="52" s="1"/>
  <c r="AV189" i="52" s="1"/>
  <c r="AV107" i="52"/>
  <c r="AV133" i="52" s="1"/>
  <c r="AV181" i="52" s="1"/>
  <c r="AV237" i="52" s="1"/>
  <c r="AV113" i="52"/>
  <c r="AV139" i="52" s="1"/>
  <c r="AV187" i="52" s="1"/>
  <c r="AV108" i="52"/>
  <c r="AV134" i="52" s="1"/>
  <c r="AV182" i="52" s="1"/>
  <c r="AV111" i="52"/>
  <c r="AV137" i="52" s="1"/>
  <c r="AV185" i="52" s="1"/>
  <c r="AV120" i="52"/>
  <c r="AV146" i="52" s="1"/>
  <c r="AV194" i="52" s="1"/>
  <c r="AV250" i="52" s="1"/>
  <c r="AV117" i="52"/>
  <c r="AV143" i="52" s="1"/>
  <c r="AV191" i="52" s="1"/>
  <c r="AV106" i="52"/>
  <c r="AV132" i="52" s="1"/>
  <c r="AV180" i="52" s="1"/>
  <c r="AV112" i="52"/>
  <c r="AV138" i="52" s="1"/>
  <c r="AV186" i="52" s="1"/>
  <c r="AV114" i="52"/>
  <c r="AV140" i="52" s="1"/>
  <c r="AV188" i="52" s="1"/>
  <c r="AV109" i="52"/>
  <c r="AV135" i="52" s="1"/>
  <c r="AV183" i="52" s="1"/>
  <c r="AV239" i="52" s="1"/>
  <c r="AV122" i="52"/>
  <c r="AV148" i="52" s="1"/>
  <c r="AV196" i="52" s="1"/>
  <c r="AV118" i="52"/>
  <c r="AV144" i="52" s="1"/>
  <c r="AV192" i="52" s="1"/>
  <c r="AV248" i="52" s="1"/>
  <c r="AV116" i="52"/>
  <c r="AV142" i="52" s="1"/>
  <c r="AV190" i="52" s="1"/>
  <c r="AV105" i="52"/>
  <c r="AV131" i="52" s="1"/>
  <c r="AV179" i="52" s="1"/>
  <c r="AV110" i="52"/>
  <c r="AV136" i="52" s="1"/>
  <c r="AV184" i="52" s="1"/>
  <c r="AY106" i="53"/>
  <c r="AY121" i="53"/>
  <c r="AY108" i="53"/>
  <c r="AY117" i="53"/>
  <c r="AY115" i="53"/>
  <c r="AY118" i="53"/>
  <c r="AY112" i="53"/>
  <c r="AY110" i="53"/>
  <c r="AY109" i="53"/>
  <c r="AY114" i="53"/>
  <c r="AY123" i="53"/>
  <c r="AY116" i="53"/>
  <c r="AY119" i="53"/>
  <c r="AY120" i="53"/>
  <c r="AY111" i="53"/>
  <c r="AY113" i="53"/>
  <c r="AY107" i="53"/>
  <c r="AY122" i="53"/>
  <c r="AV37" i="49"/>
  <c r="AV92" i="47"/>
  <c r="AV28" i="49"/>
  <c r="AU28" i="51"/>
  <c r="AV96" i="51"/>
  <c r="AV104" i="51" s="1"/>
  <c r="AV86" i="52" s="1"/>
  <c r="AW96" i="51"/>
  <c r="AZ96" i="51"/>
  <c r="AY96" i="51"/>
  <c r="AX96" i="51"/>
  <c r="BA96" i="51"/>
  <c r="AX150" i="53"/>
  <c r="AX71" i="49"/>
  <c r="AX14" i="53" s="1"/>
  <c r="AX116" i="51"/>
  <c r="AX117" i="51" s="1"/>
  <c r="AX124" i="51" s="1"/>
  <c r="AX72" i="49"/>
  <c r="AX13" i="53"/>
  <c r="AU29" i="47"/>
  <c r="AU30" i="47"/>
  <c r="AY52" i="50"/>
  <c r="AY59" i="50" s="1"/>
  <c r="AY77" i="50" s="1"/>
  <c r="BB94" i="50"/>
  <c r="BB99" i="50"/>
  <c r="BB95" i="50"/>
  <c r="BB135" i="50"/>
  <c r="AZ139" i="50" s="1"/>
  <c r="AZ91" i="49" s="1"/>
  <c r="AZ92" i="49" s="1"/>
  <c r="BB131" i="50"/>
  <c r="BB130" i="50"/>
  <c r="BB107" i="50"/>
  <c r="BB106" i="50"/>
  <c r="BB111" i="50"/>
  <c r="BB113" i="50" s="1"/>
  <c r="BB68" i="50"/>
  <c r="BC64" i="50" s="1"/>
  <c r="AV243" i="52" l="1"/>
  <c r="AV249" i="52"/>
  <c r="AV240" i="52"/>
  <c r="AV252" i="52"/>
  <c r="AV235" i="52"/>
  <c r="AV254" i="52" s="1"/>
  <c r="AV256" i="52" s="1"/>
  <c r="AV242" i="52"/>
  <c r="AV247" i="52"/>
  <c r="AV241" i="52"/>
  <c r="AV245" i="52"/>
  <c r="AJ143" i="67"/>
  <c r="AK136" i="67"/>
  <c r="AK139" i="67" s="1"/>
  <c r="AK113" i="67"/>
  <c r="AK142" i="67" s="1"/>
  <c r="AV246" i="52"/>
  <c r="AV244" i="52"/>
  <c r="AV236" i="52"/>
  <c r="AV238" i="52"/>
  <c r="AV251" i="52"/>
  <c r="AS183" i="63"/>
  <c r="AZ104" i="49"/>
  <c r="AZ105" i="49" s="1"/>
  <c r="AZ106" i="49" s="1"/>
  <c r="AZ94" i="47"/>
  <c r="AW83" i="50"/>
  <c r="AW25" i="49" s="1"/>
  <c r="AW26" i="49" s="1"/>
  <c r="AY145" i="53"/>
  <c r="AY193" i="53" s="1"/>
  <c r="AY134" i="53"/>
  <c r="AY182" i="53" s="1"/>
  <c r="AY138" i="53"/>
  <c r="AY186" i="53" s="1"/>
  <c r="AY144" i="53"/>
  <c r="AY192" i="53" s="1"/>
  <c r="AY149" i="53"/>
  <c r="AY197" i="53" s="1"/>
  <c r="AY135" i="53"/>
  <c r="AY183" i="53" s="1"/>
  <c r="AY132" i="53"/>
  <c r="AY180" i="53" s="1"/>
  <c r="AY143" i="53"/>
  <c r="AY191" i="53" s="1"/>
  <c r="AX15" i="53"/>
  <c r="AY146" i="53"/>
  <c r="AY194" i="53" s="1"/>
  <c r="AY136" i="53"/>
  <c r="AY184" i="53" s="1"/>
  <c r="AY140" i="53"/>
  <c r="AY188" i="53" s="1"/>
  <c r="AY137" i="53"/>
  <c r="AY185" i="53" s="1"/>
  <c r="AY142" i="53"/>
  <c r="AY190" i="53" s="1"/>
  <c r="AY133" i="53"/>
  <c r="AY181" i="53" s="1"/>
  <c r="AY141" i="53"/>
  <c r="AY189" i="53" s="1"/>
  <c r="AY148" i="53"/>
  <c r="AY196" i="53" s="1"/>
  <c r="AY139" i="53"/>
  <c r="AY187" i="53" s="1"/>
  <c r="AY147" i="53"/>
  <c r="AY195" i="53" s="1"/>
  <c r="AX125" i="51"/>
  <c r="BA196" i="51"/>
  <c r="AZ196" i="51"/>
  <c r="AY196" i="51"/>
  <c r="AY201" i="51" s="1"/>
  <c r="AY87" i="53" s="1"/>
  <c r="AW112" i="52"/>
  <c r="AW122" i="52"/>
  <c r="AW108" i="52"/>
  <c r="AW111" i="52"/>
  <c r="AW117" i="52"/>
  <c r="AW107" i="52"/>
  <c r="AW119" i="52"/>
  <c r="AW116" i="52"/>
  <c r="AW109" i="52"/>
  <c r="AW120" i="52"/>
  <c r="AW106" i="52"/>
  <c r="AW105" i="52"/>
  <c r="AW115" i="52"/>
  <c r="AW118" i="52"/>
  <c r="AW113" i="52"/>
  <c r="AW114" i="52"/>
  <c r="AW121" i="52"/>
  <c r="AW110" i="52"/>
  <c r="AV11" i="52"/>
  <c r="AW227" i="52" s="1"/>
  <c r="AW228" i="52" s="1"/>
  <c r="AV38" i="49"/>
  <c r="AY165" i="53"/>
  <c r="AY213" i="53" s="1"/>
  <c r="AY161" i="53"/>
  <c r="AY209" i="53" s="1"/>
  <c r="AY157" i="53"/>
  <c r="AY205" i="53" s="1"/>
  <c r="AY159" i="53"/>
  <c r="AY207" i="53" s="1"/>
  <c r="AY167" i="53"/>
  <c r="AY215" i="53" s="1"/>
  <c r="AY154" i="53"/>
  <c r="AY202" i="53" s="1"/>
  <c r="AY168" i="53"/>
  <c r="AY216" i="53" s="1"/>
  <c r="AY171" i="53"/>
  <c r="AY219" i="53" s="1"/>
  <c r="AY158" i="53"/>
  <c r="AY206" i="53" s="1"/>
  <c r="AY156" i="53"/>
  <c r="AY204" i="53" s="1"/>
  <c r="AY166" i="53"/>
  <c r="AY214" i="53" s="1"/>
  <c r="AY160" i="53"/>
  <c r="AY208" i="53" s="1"/>
  <c r="AY155" i="53"/>
  <c r="AY203" i="53" s="1"/>
  <c r="AY170" i="53"/>
  <c r="AY218" i="53" s="1"/>
  <c r="AY163" i="53"/>
  <c r="AY211" i="53" s="1"/>
  <c r="AY162" i="53"/>
  <c r="AY210" i="53" s="1"/>
  <c r="AY164" i="53"/>
  <c r="AY212" i="53" s="1"/>
  <c r="AY169" i="53"/>
  <c r="AY217" i="53" s="1"/>
  <c r="AV96" i="47"/>
  <c r="AV165" i="47" s="1"/>
  <c r="AV166" i="47" s="1"/>
  <c r="AV18" i="47" s="1"/>
  <c r="AV181" i="47"/>
  <c r="AV182" i="47" s="1"/>
  <c r="AV219" i="47" s="1"/>
  <c r="AV220" i="47" s="1"/>
  <c r="AV19" i="47" s="1"/>
  <c r="AY12" i="53"/>
  <c r="AY70" i="49"/>
  <c r="AY71" i="49" s="1"/>
  <c r="AY14" i="53" s="1"/>
  <c r="AY55" i="50"/>
  <c r="AY54" i="50"/>
  <c r="AY56" i="50" s="1"/>
  <c r="BB96" i="50"/>
  <c r="BC92" i="50" s="1"/>
  <c r="BB108" i="50"/>
  <c r="BC104" i="50" s="1"/>
  <c r="BB110" i="50"/>
  <c r="BC67" i="50"/>
  <c r="BC71" i="50"/>
  <c r="BC73" i="50" s="1"/>
  <c r="BC66" i="50"/>
  <c r="BB132" i="50"/>
  <c r="BC128" i="50" s="1"/>
  <c r="BB115" i="50"/>
  <c r="AZ119" i="50" s="1"/>
  <c r="AZ57" i="49" s="1"/>
  <c r="AZ58" i="49" s="1"/>
  <c r="AK143" i="67" l="1"/>
  <c r="AV27" i="47"/>
  <c r="AV29" i="47" s="1"/>
  <c r="AY150" i="53"/>
  <c r="AZ166" i="53"/>
  <c r="AZ214" i="53" s="1"/>
  <c r="AZ164" i="53"/>
  <c r="AZ212" i="53" s="1"/>
  <c r="AZ159" i="53"/>
  <c r="AZ207" i="53" s="1"/>
  <c r="AZ171" i="53"/>
  <c r="AZ219" i="53" s="1"/>
  <c r="AZ155" i="53"/>
  <c r="AZ203" i="53" s="1"/>
  <c r="AZ165" i="53"/>
  <c r="AZ213" i="53" s="1"/>
  <c r="AZ158" i="53"/>
  <c r="AZ206" i="53" s="1"/>
  <c r="AZ169" i="53"/>
  <c r="AZ217" i="53" s="1"/>
  <c r="AZ168" i="53"/>
  <c r="AZ216" i="53" s="1"/>
  <c r="AZ156" i="53"/>
  <c r="AZ204" i="53" s="1"/>
  <c r="AZ154" i="53"/>
  <c r="AZ202" i="53" s="1"/>
  <c r="AZ162" i="53"/>
  <c r="AZ210" i="53" s="1"/>
  <c r="AZ170" i="53"/>
  <c r="AZ218" i="53" s="1"/>
  <c r="AZ163" i="53"/>
  <c r="AZ211" i="53" s="1"/>
  <c r="AZ157" i="53"/>
  <c r="AZ205" i="53" s="1"/>
  <c r="AZ167" i="53"/>
  <c r="AZ215" i="53" s="1"/>
  <c r="AZ161" i="53"/>
  <c r="AZ209" i="53" s="1"/>
  <c r="AZ160" i="53"/>
  <c r="AZ208" i="53" s="1"/>
  <c r="AZ69" i="49"/>
  <c r="AZ93" i="47"/>
  <c r="AV12" i="52"/>
  <c r="AV40" i="49"/>
  <c r="AV19" i="51"/>
  <c r="AV20" i="51" s="1"/>
  <c r="AV27" i="51" s="1"/>
  <c r="AZ112" i="53"/>
  <c r="AZ107" i="53"/>
  <c r="AZ106" i="53"/>
  <c r="AZ123" i="53"/>
  <c r="AZ109" i="53"/>
  <c r="AZ108" i="53"/>
  <c r="AZ115" i="53"/>
  <c r="AZ119" i="53"/>
  <c r="AZ120" i="53"/>
  <c r="AZ110" i="53"/>
  <c r="AZ122" i="53"/>
  <c r="AZ116" i="53"/>
  <c r="AZ114" i="53"/>
  <c r="AZ113" i="53"/>
  <c r="AZ118" i="53"/>
  <c r="AZ111" i="53"/>
  <c r="AZ117" i="53"/>
  <c r="AZ121" i="53"/>
  <c r="AY233" i="53"/>
  <c r="AY235" i="53"/>
  <c r="AY236" i="53"/>
  <c r="AY234" i="53"/>
  <c r="AY240" i="53"/>
  <c r="AY237" i="53"/>
  <c r="AY229" i="53"/>
  <c r="AY238" i="53"/>
  <c r="AY228" i="53"/>
  <c r="AW28" i="49"/>
  <c r="AW92" i="47"/>
  <c r="AW37" i="49"/>
  <c r="AY72" i="49"/>
  <c r="AY13" i="53"/>
  <c r="AY116" i="51"/>
  <c r="AY117" i="51" s="1"/>
  <c r="AY124" i="51" s="1"/>
  <c r="AV39" i="49"/>
  <c r="AV13" i="52" s="1"/>
  <c r="AY241" i="53"/>
  <c r="AY242" i="53"/>
  <c r="AY227" i="53"/>
  <c r="AY231" i="53"/>
  <c r="AY230" i="53"/>
  <c r="AY226" i="53"/>
  <c r="AY245" i="53" s="1"/>
  <c r="AY247" i="53" s="1"/>
  <c r="AY243" i="53"/>
  <c r="AY232" i="53"/>
  <c r="AY239" i="53"/>
  <c r="AZ52" i="50"/>
  <c r="AZ59" i="50" s="1"/>
  <c r="AZ77" i="50" s="1"/>
  <c r="AX83" i="50" s="1"/>
  <c r="AX25" i="49" s="1"/>
  <c r="AX26" i="49" s="1"/>
  <c r="BC135" i="50"/>
  <c r="BC130" i="50"/>
  <c r="BC131" i="50"/>
  <c r="BC95" i="50"/>
  <c r="BC99" i="50"/>
  <c r="BC94" i="50"/>
  <c r="BC111" i="50"/>
  <c r="BC113" i="50" s="1"/>
  <c r="BC106" i="50"/>
  <c r="BC107" i="50"/>
  <c r="BC68" i="50"/>
  <c r="BD64" i="50" s="1"/>
  <c r="AV30" i="47" l="1"/>
  <c r="BA139" i="50"/>
  <c r="BA91" i="49" s="1"/>
  <c r="BA92" i="49" s="1"/>
  <c r="AZ197" i="51"/>
  <c r="AZ201" i="51" s="1"/>
  <c r="AZ87" i="53" s="1"/>
  <c r="BA197" i="51"/>
  <c r="AY125" i="51"/>
  <c r="AW96" i="47"/>
  <c r="AW165" i="47" s="1"/>
  <c r="AW166" i="47" s="1"/>
  <c r="AW18" i="47" s="1"/>
  <c r="AW181" i="47"/>
  <c r="AW182" i="47" s="1"/>
  <c r="AW219" i="47" s="1"/>
  <c r="AW220" i="47" s="1"/>
  <c r="AW19" i="47" s="1"/>
  <c r="AZ143" i="53"/>
  <c r="AZ191" i="53" s="1"/>
  <c r="AZ237" i="53" s="1"/>
  <c r="AZ144" i="53"/>
  <c r="AZ192" i="53" s="1"/>
  <c r="AZ238" i="53" s="1"/>
  <c r="AX28" i="49"/>
  <c r="AX92" i="47"/>
  <c r="AX37" i="49"/>
  <c r="AW160" i="52"/>
  <c r="AW208" i="52" s="1"/>
  <c r="AW170" i="52"/>
  <c r="AW218" i="52" s="1"/>
  <c r="AW166" i="52"/>
  <c r="AW214" i="52" s="1"/>
  <c r="AW154" i="52"/>
  <c r="AW202" i="52" s="1"/>
  <c r="AW157" i="52"/>
  <c r="AW205" i="52" s="1"/>
  <c r="AW169" i="52"/>
  <c r="AW217" i="52" s="1"/>
  <c r="AW158" i="52"/>
  <c r="AW206" i="52" s="1"/>
  <c r="AW161" i="52"/>
  <c r="AW209" i="52" s="1"/>
  <c r="AW168" i="52"/>
  <c r="AW216" i="52" s="1"/>
  <c r="AW159" i="52"/>
  <c r="AW207" i="52" s="1"/>
  <c r="AW153" i="52"/>
  <c r="AW201" i="52" s="1"/>
  <c r="AW165" i="52"/>
  <c r="AW213" i="52" s="1"/>
  <c r="AW162" i="52"/>
  <c r="AW210" i="52" s="1"/>
  <c r="AW167" i="52"/>
  <c r="AW215" i="52" s="1"/>
  <c r="AW156" i="52"/>
  <c r="AW204" i="52" s="1"/>
  <c r="AW155" i="52"/>
  <c r="AW203" i="52" s="1"/>
  <c r="AW163" i="52"/>
  <c r="AW211" i="52" s="1"/>
  <c r="AW164" i="52"/>
  <c r="AW212" i="52" s="1"/>
  <c r="AY15" i="53"/>
  <c r="AZ146" i="53"/>
  <c r="AZ194" i="53" s="1"/>
  <c r="AZ240" i="53" s="1"/>
  <c r="AZ135" i="53"/>
  <c r="AZ183" i="53" s="1"/>
  <c r="AZ229" i="53" s="1"/>
  <c r="AZ138" i="53"/>
  <c r="AZ186" i="53" s="1"/>
  <c r="AZ232" i="53" s="1"/>
  <c r="AZ147" i="53"/>
  <c r="AZ195" i="53" s="1"/>
  <c r="AZ241" i="53" s="1"/>
  <c r="AZ148" i="53"/>
  <c r="AZ196" i="53" s="1"/>
  <c r="AZ242" i="53" s="1"/>
  <c r="AZ134" i="53"/>
  <c r="AZ182" i="53" s="1"/>
  <c r="AZ228" i="53" s="1"/>
  <c r="AZ133" i="53"/>
  <c r="AZ181" i="53" s="1"/>
  <c r="AZ227" i="53" s="1"/>
  <c r="AZ141" i="53"/>
  <c r="AZ189" i="53" s="1"/>
  <c r="AZ235" i="53" s="1"/>
  <c r="AZ132" i="53"/>
  <c r="AZ180" i="53" s="1"/>
  <c r="AZ226" i="53" s="1"/>
  <c r="AZ245" i="53" s="1"/>
  <c r="AZ247" i="53" s="1"/>
  <c r="AZ137" i="53"/>
  <c r="AZ185" i="53" s="1"/>
  <c r="AZ231" i="53" s="1"/>
  <c r="AZ140" i="53"/>
  <c r="AZ188" i="53" s="1"/>
  <c r="AZ234" i="53" s="1"/>
  <c r="AZ145" i="53"/>
  <c r="AZ193" i="53" s="1"/>
  <c r="AZ239" i="53" s="1"/>
  <c r="AZ149" i="53"/>
  <c r="AZ197" i="53" s="1"/>
  <c r="AZ243" i="53" s="1"/>
  <c r="AW11" i="52"/>
  <c r="AX227" i="52" s="1"/>
  <c r="AX228" i="52" s="1"/>
  <c r="AW38" i="49"/>
  <c r="AZ139" i="53"/>
  <c r="AZ187" i="53" s="1"/>
  <c r="AZ233" i="53" s="1"/>
  <c r="AZ142" i="53"/>
  <c r="AZ190" i="53" s="1"/>
  <c r="AZ236" i="53" s="1"/>
  <c r="AZ136" i="53"/>
  <c r="AZ184" i="53" s="1"/>
  <c r="AZ230" i="53" s="1"/>
  <c r="AZ97" i="51"/>
  <c r="AX97" i="51"/>
  <c r="BA97" i="51"/>
  <c r="AY97" i="51"/>
  <c r="AV28" i="51"/>
  <c r="AW97" i="51"/>
  <c r="AW104" i="51" s="1"/>
  <c r="AW86" i="52" s="1"/>
  <c r="AW133" i="52"/>
  <c r="AW181" i="52" s="1"/>
  <c r="AW237" i="52" s="1"/>
  <c r="AW140" i="52"/>
  <c r="AW188" i="52" s="1"/>
  <c r="AW244" i="52" s="1"/>
  <c r="AW138" i="52"/>
  <c r="AW186" i="52" s="1"/>
  <c r="AW137" i="52"/>
  <c r="AW185" i="52" s="1"/>
  <c r="AW241" i="52" s="1"/>
  <c r="AW136" i="52"/>
  <c r="AW184" i="52" s="1"/>
  <c r="AW147" i="52"/>
  <c r="AW195" i="52" s="1"/>
  <c r="AW141" i="52"/>
  <c r="AW189" i="52" s="1"/>
  <c r="AW146" i="52"/>
  <c r="AW194" i="52" s="1"/>
  <c r="AW250" i="52" s="1"/>
  <c r="AW134" i="52"/>
  <c r="AW182" i="52" s="1"/>
  <c r="AV14" i="52"/>
  <c r="AW132" i="52"/>
  <c r="AW180" i="52" s="1"/>
  <c r="AW142" i="52"/>
  <c r="AW190" i="52" s="1"/>
  <c r="AW246" i="52" s="1"/>
  <c r="AW143" i="52"/>
  <c r="AW191" i="52" s="1"/>
  <c r="AW247" i="52" s="1"/>
  <c r="AW139" i="52"/>
  <c r="AW187" i="52" s="1"/>
  <c r="AW144" i="52"/>
  <c r="AW192" i="52" s="1"/>
  <c r="AW145" i="52"/>
  <c r="AW193" i="52" s="1"/>
  <c r="AW249" i="52" s="1"/>
  <c r="AW148" i="52"/>
  <c r="AW196" i="52" s="1"/>
  <c r="AW131" i="52"/>
  <c r="AW179" i="52" s="1"/>
  <c r="AW135" i="52"/>
  <c r="AW183" i="52" s="1"/>
  <c r="AZ70" i="49"/>
  <c r="AZ71" i="49" s="1"/>
  <c r="AZ14" i="53" s="1"/>
  <c r="AZ12" i="53"/>
  <c r="AZ54" i="50"/>
  <c r="AZ56" i="50" s="1"/>
  <c r="AZ55" i="50"/>
  <c r="BD67" i="50"/>
  <c r="BD66" i="50"/>
  <c r="BD71" i="50"/>
  <c r="BD73" i="50" s="1"/>
  <c r="BC110" i="50"/>
  <c r="BC108" i="50"/>
  <c r="BD104" i="50" s="1"/>
  <c r="BC96" i="50"/>
  <c r="BD92" i="50" s="1"/>
  <c r="BC115" i="50"/>
  <c r="BC132" i="50"/>
  <c r="BD128" i="50" s="1"/>
  <c r="AW236" i="52" l="1"/>
  <c r="AW243" i="52"/>
  <c r="AW235" i="52"/>
  <c r="AW254" i="52" s="1"/>
  <c r="AW256" i="52" s="1"/>
  <c r="AW251" i="52"/>
  <c r="AW252" i="52"/>
  <c r="AW239" i="52"/>
  <c r="AW248" i="52"/>
  <c r="AW238" i="52"/>
  <c r="AW245" i="52"/>
  <c r="AW240" i="52"/>
  <c r="AW242" i="52"/>
  <c r="AZ150" i="53"/>
  <c r="AW27" i="47"/>
  <c r="AW29" i="47" s="1"/>
  <c r="BA162" i="53"/>
  <c r="BA210" i="53" s="1"/>
  <c r="BA154" i="53"/>
  <c r="BA202" i="53" s="1"/>
  <c r="BA170" i="53"/>
  <c r="BA218" i="53" s="1"/>
  <c r="BA168" i="53"/>
  <c r="BA216" i="53" s="1"/>
  <c r="BA155" i="53"/>
  <c r="BA203" i="53" s="1"/>
  <c r="BA164" i="53"/>
  <c r="BA212" i="53" s="1"/>
  <c r="BA158" i="53"/>
  <c r="BA206" i="53" s="1"/>
  <c r="BA156" i="53"/>
  <c r="BA204" i="53" s="1"/>
  <c r="BA159" i="53"/>
  <c r="BA207" i="53" s="1"/>
  <c r="BA167" i="53"/>
  <c r="BA215" i="53" s="1"/>
  <c r="BA166" i="53"/>
  <c r="BA214" i="53" s="1"/>
  <c r="BA169" i="53"/>
  <c r="BA217" i="53" s="1"/>
  <c r="BA161" i="53"/>
  <c r="BA209" i="53" s="1"/>
  <c r="BA171" i="53"/>
  <c r="BA219" i="53" s="1"/>
  <c r="BA157" i="53"/>
  <c r="BA205" i="53" s="1"/>
  <c r="BA163" i="53"/>
  <c r="BA211" i="53" s="1"/>
  <c r="BA165" i="53"/>
  <c r="BA213" i="53" s="1"/>
  <c r="BA160" i="53"/>
  <c r="BA208" i="53" s="1"/>
  <c r="AZ72" i="49"/>
  <c r="AZ13" i="53"/>
  <c r="AZ116" i="51"/>
  <c r="AZ117" i="51" s="1"/>
  <c r="AZ124" i="51" s="1"/>
  <c r="AX117" i="52"/>
  <c r="AX114" i="52"/>
  <c r="AX112" i="52"/>
  <c r="AX105" i="52"/>
  <c r="AX118" i="52"/>
  <c r="AX109" i="52"/>
  <c r="AX116" i="52"/>
  <c r="AX122" i="52"/>
  <c r="AX106" i="52"/>
  <c r="AX119" i="52"/>
  <c r="AX115" i="52"/>
  <c r="AX121" i="52"/>
  <c r="AX111" i="52"/>
  <c r="AX107" i="52"/>
  <c r="AX110" i="52"/>
  <c r="AX120" i="52"/>
  <c r="AX113" i="52"/>
  <c r="AX108" i="52"/>
  <c r="AX11" i="52"/>
  <c r="AY227" i="52" s="1"/>
  <c r="AY228" i="52" s="1"/>
  <c r="AX38" i="49"/>
  <c r="AX39" i="49" s="1"/>
  <c r="AX13" i="52" s="1"/>
  <c r="BA104" i="49"/>
  <c r="BA105" i="49" s="1"/>
  <c r="BA106" i="49" s="1"/>
  <c r="BA94" i="47"/>
  <c r="BA119" i="50"/>
  <c r="BA57" i="49" s="1"/>
  <c r="BA58" i="49" s="1"/>
  <c r="AW39" i="49"/>
  <c r="AW13" i="52" s="1"/>
  <c r="AW12" i="52"/>
  <c r="AW40" i="49"/>
  <c r="AW19" i="51"/>
  <c r="AW20" i="51" s="1"/>
  <c r="AW27" i="51" s="1"/>
  <c r="AX96" i="47"/>
  <c r="AX165" i="47" s="1"/>
  <c r="AX166" i="47" s="1"/>
  <c r="AX18" i="47" s="1"/>
  <c r="AX27" i="47" s="1"/>
  <c r="AX181" i="47"/>
  <c r="AX182" i="47" s="1"/>
  <c r="AX219" i="47" s="1"/>
  <c r="AX220" i="47" s="1"/>
  <c r="AX19" i="47" s="1"/>
  <c r="BA112" i="53"/>
  <c r="BA110" i="53"/>
  <c r="BA108" i="53"/>
  <c r="BA114" i="53"/>
  <c r="BA116" i="53"/>
  <c r="BA115" i="53"/>
  <c r="BA120" i="53"/>
  <c r="BA107" i="53"/>
  <c r="BA118" i="53"/>
  <c r="BA117" i="53"/>
  <c r="BA122" i="53"/>
  <c r="BA119" i="53"/>
  <c r="BA109" i="53"/>
  <c r="BA113" i="53"/>
  <c r="BA121" i="53"/>
  <c r="BA111" i="53"/>
  <c r="BA123" i="53"/>
  <c r="BA106" i="53"/>
  <c r="BD94" i="50"/>
  <c r="BD95" i="50"/>
  <c r="BD99" i="50"/>
  <c r="BD131" i="50"/>
  <c r="BD135" i="50"/>
  <c r="BB139" i="50" s="1"/>
  <c r="BD130" i="50"/>
  <c r="BA52" i="50"/>
  <c r="BD68" i="50"/>
  <c r="BE64" i="50" s="1"/>
  <c r="BD107" i="50"/>
  <c r="BD111" i="50"/>
  <c r="BD113" i="50" s="1"/>
  <c r="BD106" i="50"/>
  <c r="AW30" i="47" l="1"/>
  <c r="AY158" i="52"/>
  <c r="AY206" i="52" s="1"/>
  <c r="AY161" i="52"/>
  <c r="AY209" i="52" s="1"/>
  <c r="AY157" i="52"/>
  <c r="AY205" i="52" s="1"/>
  <c r="AY167" i="52"/>
  <c r="AY215" i="52" s="1"/>
  <c r="AY162" i="52"/>
  <c r="AY210" i="52" s="1"/>
  <c r="AY166" i="52"/>
  <c r="AY214" i="52" s="1"/>
  <c r="AY153" i="52"/>
  <c r="AY201" i="52" s="1"/>
  <c r="AY169" i="52"/>
  <c r="AY217" i="52" s="1"/>
  <c r="AY155" i="52"/>
  <c r="AY203" i="52" s="1"/>
  <c r="AY170" i="52"/>
  <c r="AY218" i="52" s="1"/>
  <c r="AY168" i="52"/>
  <c r="AY216" i="52" s="1"/>
  <c r="AY165" i="52"/>
  <c r="AY213" i="52" s="1"/>
  <c r="AY154" i="52"/>
  <c r="AY202" i="52" s="1"/>
  <c r="AY160" i="52"/>
  <c r="AY208" i="52" s="1"/>
  <c r="AY159" i="52"/>
  <c r="AY207" i="52" s="1"/>
  <c r="AY156" i="52"/>
  <c r="AY204" i="52" s="1"/>
  <c r="AY163" i="52"/>
  <c r="AY211" i="52" s="1"/>
  <c r="AY164" i="52"/>
  <c r="AY212" i="52" s="1"/>
  <c r="AX98" i="51"/>
  <c r="AX104" i="51" s="1"/>
  <c r="AX86" i="52" s="1"/>
  <c r="AW28" i="51"/>
  <c r="BA98" i="51"/>
  <c r="AZ98" i="51"/>
  <c r="AY98" i="51"/>
  <c r="AW14" i="52"/>
  <c r="AX135" i="52"/>
  <c r="AX183" i="52" s="1"/>
  <c r="AX140" i="52"/>
  <c r="AX188" i="52" s="1"/>
  <c r="AX132" i="52"/>
  <c r="AX180" i="52" s="1"/>
  <c r="AX137" i="52"/>
  <c r="AX185" i="52" s="1"/>
  <c r="AX136" i="52"/>
  <c r="AX184" i="52" s="1"/>
  <c r="AX146" i="52"/>
  <c r="AX194" i="52" s="1"/>
  <c r="AX139" i="52"/>
  <c r="AX187" i="52" s="1"/>
  <c r="AX148" i="52"/>
  <c r="AX196" i="52" s="1"/>
  <c r="AX134" i="52"/>
  <c r="AX182" i="52" s="1"/>
  <c r="AX145" i="52"/>
  <c r="AX193" i="52" s="1"/>
  <c r="AX133" i="52"/>
  <c r="AX181" i="52" s="1"/>
  <c r="AX138" i="52"/>
  <c r="AX186" i="52" s="1"/>
  <c r="AX147" i="52"/>
  <c r="AX195" i="52" s="1"/>
  <c r="AX143" i="52"/>
  <c r="AX191" i="52" s="1"/>
  <c r="AX131" i="52"/>
  <c r="AX179" i="52" s="1"/>
  <c r="AX141" i="52"/>
  <c r="AX189" i="52" s="1"/>
  <c r="AX144" i="52"/>
  <c r="AX192" i="52" s="1"/>
  <c r="AX142" i="52"/>
  <c r="AX190" i="52" s="1"/>
  <c r="BA93" i="47"/>
  <c r="BA69" i="49"/>
  <c r="BA134" i="53"/>
  <c r="BA182" i="53" s="1"/>
  <c r="BA228" i="53" s="1"/>
  <c r="BA142" i="53"/>
  <c r="BA190" i="53" s="1"/>
  <c r="BA236" i="53" s="1"/>
  <c r="BA149" i="53"/>
  <c r="BA197" i="53" s="1"/>
  <c r="BA243" i="53" s="1"/>
  <c r="BA139" i="53"/>
  <c r="BA187" i="53" s="1"/>
  <c r="BA233" i="53" s="1"/>
  <c r="BA135" i="53"/>
  <c r="BA183" i="53" s="1"/>
  <c r="BA229" i="53" s="1"/>
  <c r="BA137" i="53"/>
  <c r="BA185" i="53" s="1"/>
  <c r="BA231" i="53" s="1"/>
  <c r="BA144" i="53"/>
  <c r="BA192" i="53" s="1"/>
  <c r="BA238" i="53" s="1"/>
  <c r="BA145" i="53"/>
  <c r="BA193" i="53" s="1"/>
  <c r="BA239" i="53" s="1"/>
  <c r="BA146" i="53"/>
  <c r="BA194" i="53" s="1"/>
  <c r="BA240" i="53" s="1"/>
  <c r="BA148" i="53"/>
  <c r="BA196" i="53" s="1"/>
  <c r="BA242" i="53" s="1"/>
  <c r="BA138" i="53"/>
  <c r="BA186" i="53" s="1"/>
  <c r="BA232" i="53" s="1"/>
  <c r="BA147" i="53"/>
  <c r="BA195" i="53" s="1"/>
  <c r="BA241" i="53" s="1"/>
  <c r="BA141" i="53"/>
  <c r="BA189" i="53" s="1"/>
  <c r="BA235" i="53" s="1"/>
  <c r="BA132" i="53"/>
  <c r="BA180" i="53" s="1"/>
  <c r="BA226" i="53" s="1"/>
  <c r="BA245" i="53" s="1"/>
  <c r="BA247" i="53" s="1"/>
  <c r="BA136" i="53"/>
  <c r="BA184" i="53" s="1"/>
  <c r="BA230" i="53" s="1"/>
  <c r="BA143" i="53"/>
  <c r="BA191" i="53" s="1"/>
  <c r="BA237" i="53" s="1"/>
  <c r="AZ15" i="53"/>
  <c r="BA133" i="53"/>
  <c r="BA181" i="53" s="1"/>
  <c r="BA227" i="53" s="1"/>
  <c r="BA140" i="53"/>
  <c r="BA188" i="53" s="1"/>
  <c r="BA234" i="53" s="1"/>
  <c r="AX30" i="47"/>
  <c r="AX29" i="47"/>
  <c r="AX161" i="52"/>
  <c r="AX209" i="52" s="1"/>
  <c r="AX162" i="52"/>
  <c r="AX210" i="52" s="1"/>
  <c r="AX169" i="52"/>
  <c r="AX217" i="52" s="1"/>
  <c r="AX170" i="52"/>
  <c r="AX218" i="52" s="1"/>
  <c r="AX166" i="52"/>
  <c r="AX214" i="52" s="1"/>
  <c r="AX157" i="52"/>
  <c r="AX205" i="52" s="1"/>
  <c r="AX153" i="52"/>
  <c r="AX201" i="52" s="1"/>
  <c r="AX168" i="52"/>
  <c r="AX216" i="52" s="1"/>
  <c r="AX164" i="52"/>
  <c r="AX212" i="52" s="1"/>
  <c r="AX154" i="52"/>
  <c r="AX202" i="52" s="1"/>
  <c r="AX158" i="52"/>
  <c r="AX206" i="52" s="1"/>
  <c r="AX159" i="52"/>
  <c r="AX207" i="52" s="1"/>
  <c r="AX156" i="52"/>
  <c r="AX204" i="52" s="1"/>
  <c r="AX155" i="52"/>
  <c r="AX203" i="52" s="1"/>
  <c r="AX165" i="52"/>
  <c r="AX213" i="52" s="1"/>
  <c r="AX167" i="52"/>
  <c r="AX215" i="52" s="1"/>
  <c r="AX160" i="52"/>
  <c r="AX208" i="52" s="1"/>
  <c r="AX163" i="52"/>
  <c r="AX211" i="52" s="1"/>
  <c r="AX19" i="51"/>
  <c r="AX20" i="51" s="1"/>
  <c r="AX27" i="51" s="1"/>
  <c r="AX12" i="52"/>
  <c r="AX40" i="49"/>
  <c r="AZ125" i="51"/>
  <c r="BA198" i="51"/>
  <c r="BA201" i="51" s="1"/>
  <c r="BA87" i="53" s="1"/>
  <c r="BD115" i="50"/>
  <c r="BB119" i="50" s="1"/>
  <c r="BD108" i="50"/>
  <c r="BE104" i="50" s="1"/>
  <c r="BD110" i="50"/>
  <c r="BD132" i="50"/>
  <c r="BE128" i="50" s="1"/>
  <c r="BA59" i="50"/>
  <c r="BA77" i="50" s="1"/>
  <c r="AY83" i="50" s="1"/>
  <c r="AY25" i="49" s="1"/>
  <c r="AY26" i="49" s="1"/>
  <c r="BA55" i="50"/>
  <c r="BA54" i="50"/>
  <c r="BE66" i="50"/>
  <c r="BE67" i="50"/>
  <c r="BE71" i="50"/>
  <c r="BE73" i="50" s="1"/>
  <c r="BD96" i="50"/>
  <c r="BE92" i="50" s="1"/>
  <c r="BA150" i="53" l="1"/>
  <c r="BB109" i="53"/>
  <c r="BB108" i="53"/>
  <c r="BB110" i="53"/>
  <c r="BB116" i="53"/>
  <c r="BB113" i="53"/>
  <c r="BB123" i="53"/>
  <c r="BB115" i="53"/>
  <c r="BB117" i="53"/>
  <c r="BB120" i="53"/>
  <c r="BB119" i="53"/>
  <c r="BB118" i="53"/>
  <c r="BB107" i="53"/>
  <c r="BB121" i="53"/>
  <c r="BB114" i="53"/>
  <c r="BB112" i="53"/>
  <c r="BB111" i="53"/>
  <c r="BB122" i="53"/>
  <c r="BB106" i="53"/>
  <c r="AX14" i="52"/>
  <c r="BA70" i="49"/>
  <c r="BA71" i="49" s="1"/>
  <c r="BA14" i="53" s="1"/>
  <c r="BA12" i="53"/>
  <c r="AX246" i="52"/>
  <c r="AX245" i="52"/>
  <c r="AX247" i="52"/>
  <c r="AX242" i="52"/>
  <c r="AX249" i="52"/>
  <c r="AX252" i="52"/>
  <c r="AX250" i="52"/>
  <c r="AX241" i="52"/>
  <c r="AX244" i="52"/>
  <c r="AY37" i="49"/>
  <c r="AY28" i="49"/>
  <c r="AY92" i="47"/>
  <c r="AY99" i="51"/>
  <c r="AY104" i="51" s="1"/>
  <c r="AY86" i="52" s="1"/>
  <c r="AZ99" i="51"/>
  <c r="AX28" i="51"/>
  <c r="BA99" i="51"/>
  <c r="AX248" i="52"/>
  <c r="AX235" i="52"/>
  <c r="AX254" i="52" s="1"/>
  <c r="AX256" i="52" s="1"/>
  <c r="AX251" i="52"/>
  <c r="AX237" i="52"/>
  <c r="AX238" i="52"/>
  <c r="AX243" i="52"/>
  <c r="AX240" i="52"/>
  <c r="AX236" i="52"/>
  <c r="AX239" i="52"/>
  <c r="AY112" i="52"/>
  <c r="AY138" i="52" s="1"/>
  <c r="AY186" i="52" s="1"/>
  <c r="AY242" i="52" s="1"/>
  <c r="AY120" i="52"/>
  <c r="AY146" i="52" s="1"/>
  <c r="AY194" i="52" s="1"/>
  <c r="AY250" i="52" s="1"/>
  <c r="AY117" i="52"/>
  <c r="AY143" i="52" s="1"/>
  <c r="AY191" i="52" s="1"/>
  <c r="AY247" i="52" s="1"/>
  <c r="AY122" i="52"/>
  <c r="AY148" i="52" s="1"/>
  <c r="AY196" i="52" s="1"/>
  <c r="AY252" i="52" s="1"/>
  <c r="AY111" i="52"/>
  <c r="AY137" i="52" s="1"/>
  <c r="AY185" i="52" s="1"/>
  <c r="AY241" i="52" s="1"/>
  <c r="AY114" i="52"/>
  <c r="AY140" i="52" s="1"/>
  <c r="AY188" i="52" s="1"/>
  <c r="AY244" i="52" s="1"/>
  <c r="AY110" i="52"/>
  <c r="AY136" i="52" s="1"/>
  <c r="AY184" i="52" s="1"/>
  <c r="AY240" i="52" s="1"/>
  <c r="AY119" i="52"/>
  <c r="AY145" i="52" s="1"/>
  <c r="AY193" i="52" s="1"/>
  <c r="AY249" i="52" s="1"/>
  <c r="AY105" i="52"/>
  <c r="AY131" i="52" s="1"/>
  <c r="AY179" i="52" s="1"/>
  <c r="AY235" i="52" s="1"/>
  <c r="AY254" i="52" s="1"/>
  <c r="AY256" i="52" s="1"/>
  <c r="AY116" i="52"/>
  <c r="AY142" i="52" s="1"/>
  <c r="AY190" i="52" s="1"/>
  <c r="AY246" i="52" s="1"/>
  <c r="AY121" i="52"/>
  <c r="AY147" i="52" s="1"/>
  <c r="AY195" i="52" s="1"/>
  <c r="AY251" i="52" s="1"/>
  <c r="AY113" i="52"/>
  <c r="AY139" i="52" s="1"/>
  <c r="AY187" i="52" s="1"/>
  <c r="AY243" i="52" s="1"/>
  <c r="AY106" i="52"/>
  <c r="AY132" i="52" s="1"/>
  <c r="AY180" i="52" s="1"/>
  <c r="AY236" i="52" s="1"/>
  <c r="AY109" i="52"/>
  <c r="AY135" i="52" s="1"/>
  <c r="AY183" i="52" s="1"/>
  <c r="AY239" i="52" s="1"/>
  <c r="AY118" i="52"/>
  <c r="AY144" i="52" s="1"/>
  <c r="AY192" i="52" s="1"/>
  <c r="AY248" i="52" s="1"/>
  <c r="AY108" i="52"/>
  <c r="AY134" i="52" s="1"/>
  <c r="AY182" i="52" s="1"/>
  <c r="AY238" i="52" s="1"/>
  <c r="AY107" i="52"/>
  <c r="AY133" i="52" s="1"/>
  <c r="AY181" i="52" s="1"/>
  <c r="AY237" i="52" s="1"/>
  <c r="AY115" i="52"/>
  <c r="AY141" i="52" s="1"/>
  <c r="AY189" i="52" s="1"/>
  <c r="AY245" i="52" s="1"/>
  <c r="BE95" i="50"/>
  <c r="BE99" i="50"/>
  <c r="BE94" i="50"/>
  <c r="BE68" i="50"/>
  <c r="BF64" i="50" s="1"/>
  <c r="BE130" i="50"/>
  <c r="BE131" i="50"/>
  <c r="BE135" i="50"/>
  <c r="BC139" i="50" s="1"/>
  <c r="BE106" i="50"/>
  <c r="BE111" i="50"/>
  <c r="BE113" i="50" s="1"/>
  <c r="BE107" i="50"/>
  <c r="BA56" i="50"/>
  <c r="AZ106" i="52" l="1"/>
  <c r="AZ116" i="52"/>
  <c r="AZ111" i="52"/>
  <c r="AZ110" i="52"/>
  <c r="AZ114" i="52"/>
  <c r="AZ120" i="52"/>
  <c r="AZ105" i="52"/>
  <c r="AZ122" i="52"/>
  <c r="AZ121" i="52"/>
  <c r="AZ107" i="52"/>
  <c r="AZ108" i="52"/>
  <c r="AZ118" i="52"/>
  <c r="AZ113" i="52"/>
  <c r="AZ109" i="52"/>
  <c r="AZ115" i="52"/>
  <c r="AZ117" i="52"/>
  <c r="AZ119" i="52"/>
  <c r="AZ112" i="52"/>
  <c r="AY38" i="49"/>
  <c r="AY11" i="52"/>
  <c r="AZ227" i="52" s="1"/>
  <c r="AZ228" i="52" s="1"/>
  <c r="BB171" i="53"/>
  <c r="BB219" i="53" s="1"/>
  <c r="BB170" i="53"/>
  <c r="BB218" i="53" s="1"/>
  <c r="BB164" i="53"/>
  <c r="BB212" i="53" s="1"/>
  <c r="BB154" i="53"/>
  <c r="BB202" i="53" s="1"/>
  <c r="BB168" i="53"/>
  <c r="BB216" i="53" s="1"/>
  <c r="BB163" i="53"/>
  <c r="BB211" i="53" s="1"/>
  <c r="BB165" i="53"/>
  <c r="BB213" i="53" s="1"/>
  <c r="BB167" i="53"/>
  <c r="BB215" i="53" s="1"/>
  <c r="BB169" i="53"/>
  <c r="BB217" i="53" s="1"/>
  <c r="BB161" i="53"/>
  <c r="BB209" i="53" s="1"/>
  <c r="BB162" i="53"/>
  <c r="BB210" i="53" s="1"/>
  <c r="BB159" i="53"/>
  <c r="BB207" i="53" s="1"/>
  <c r="BB158" i="53"/>
  <c r="BB206" i="53" s="1"/>
  <c r="BB157" i="53"/>
  <c r="BB205" i="53" s="1"/>
  <c r="BB155" i="53"/>
  <c r="BB203" i="53" s="1"/>
  <c r="BB156" i="53"/>
  <c r="BB204" i="53" s="1"/>
  <c r="BB166" i="53"/>
  <c r="BB214" i="53" s="1"/>
  <c r="BB160" i="53"/>
  <c r="BB208" i="53" s="1"/>
  <c r="BA72" i="49"/>
  <c r="BA116" i="51"/>
  <c r="BA117" i="51" s="1"/>
  <c r="BA124" i="51" s="1"/>
  <c r="BA125" i="51" s="1"/>
  <c r="BA13" i="53"/>
  <c r="AY96" i="47"/>
  <c r="AY165" i="47" s="1"/>
  <c r="AY166" i="47" s="1"/>
  <c r="AY18" i="47" s="1"/>
  <c r="AY27" i="47" s="1"/>
  <c r="AY181" i="47"/>
  <c r="AY182" i="47" s="1"/>
  <c r="AY219" i="47" s="1"/>
  <c r="AY220" i="47" s="1"/>
  <c r="AY19" i="47" s="1"/>
  <c r="BB52" i="50"/>
  <c r="BB55" i="50" s="1"/>
  <c r="BF67" i="50"/>
  <c r="BF66" i="50"/>
  <c r="BF71" i="50"/>
  <c r="BF73" i="50" s="1"/>
  <c r="BE96" i="50"/>
  <c r="BF92" i="50" s="1"/>
  <c r="BE132" i="50"/>
  <c r="BF128" i="50" s="1"/>
  <c r="BE115" i="50"/>
  <c r="BC119" i="50" s="1"/>
  <c r="BE108" i="50"/>
  <c r="BF104" i="50" s="1"/>
  <c r="BE110" i="50"/>
  <c r="BB143" i="53" l="1"/>
  <c r="BB191" i="53" s="1"/>
  <c r="BB237" i="53" s="1"/>
  <c r="BB149" i="53"/>
  <c r="BB197" i="53" s="1"/>
  <c r="BB243" i="53" s="1"/>
  <c r="BB141" i="53"/>
  <c r="BB189" i="53" s="1"/>
  <c r="BB235" i="53" s="1"/>
  <c r="BB133" i="53"/>
  <c r="BB181" i="53" s="1"/>
  <c r="BB227" i="53" s="1"/>
  <c r="BB144" i="53"/>
  <c r="BB192" i="53" s="1"/>
  <c r="BB238" i="53" s="1"/>
  <c r="BB145" i="53"/>
  <c r="BB193" i="53" s="1"/>
  <c r="BB239" i="53" s="1"/>
  <c r="BB137" i="53"/>
  <c r="BB185" i="53" s="1"/>
  <c r="BB231" i="53" s="1"/>
  <c r="BB146" i="53"/>
  <c r="BB194" i="53" s="1"/>
  <c r="BB240" i="53" s="1"/>
  <c r="BB142" i="53"/>
  <c r="BB190" i="53" s="1"/>
  <c r="BB236" i="53" s="1"/>
  <c r="BB147" i="53"/>
  <c r="BB195" i="53" s="1"/>
  <c r="BB241" i="53" s="1"/>
  <c r="BB139" i="53"/>
  <c r="BB187" i="53" s="1"/>
  <c r="BB233" i="53" s="1"/>
  <c r="BB134" i="53"/>
  <c r="BB182" i="53" s="1"/>
  <c r="BB228" i="53" s="1"/>
  <c r="BA15" i="53"/>
  <c r="BB148" i="53"/>
  <c r="BB196" i="53" s="1"/>
  <c r="BB242" i="53" s="1"/>
  <c r="BB135" i="53"/>
  <c r="BB183" i="53" s="1"/>
  <c r="BB229" i="53" s="1"/>
  <c r="BB140" i="53"/>
  <c r="BB188" i="53" s="1"/>
  <c r="BB234" i="53" s="1"/>
  <c r="BB136" i="53"/>
  <c r="BB184" i="53" s="1"/>
  <c r="BB230" i="53" s="1"/>
  <c r="BB132" i="53"/>
  <c r="BB180" i="53" s="1"/>
  <c r="BB226" i="53" s="1"/>
  <c r="BB245" i="53" s="1"/>
  <c r="BB247" i="53" s="1"/>
  <c r="BB138" i="53"/>
  <c r="BB186" i="53" s="1"/>
  <c r="BB232" i="53" s="1"/>
  <c r="AY29" i="47"/>
  <c r="AY30" i="47"/>
  <c r="AY39" i="49"/>
  <c r="AY13" i="52" s="1"/>
  <c r="AY40" i="49"/>
  <c r="AY12" i="52"/>
  <c r="AY19" i="51"/>
  <c r="AY20" i="51" s="1"/>
  <c r="AY27" i="51" s="1"/>
  <c r="BB54" i="50"/>
  <c r="BB59" i="50"/>
  <c r="BB77" i="50" s="1"/>
  <c r="AZ83" i="50" s="1"/>
  <c r="AZ25" i="49" s="1"/>
  <c r="AZ26" i="49" s="1"/>
  <c r="BF131" i="50"/>
  <c r="BF130" i="50"/>
  <c r="BF135" i="50"/>
  <c r="BD139" i="50" s="1"/>
  <c r="BF111" i="50"/>
  <c r="BF113" i="50" s="1"/>
  <c r="BF106" i="50"/>
  <c r="BF107" i="50"/>
  <c r="BF99" i="50"/>
  <c r="BF95" i="50"/>
  <c r="BF94" i="50"/>
  <c r="BF68" i="50"/>
  <c r="BG64" i="50" s="1"/>
  <c r="BB150" i="53" l="1"/>
  <c r="AY28" i="51"/>
  <c r="AZ100" i="51"/>
  <c r="AZ104" i="51" s="1"/>
  <c r="AZ86" i="52" s="1"/>
  <c r="BA100" i="51"/>
  <c r="AZ92" i="47"/>
  <c r="AZ28" i="49"/>
  <c r="AZ37" i="49"/>
  <c r="AZ140" i="52"/>
  <c r="AZ188" i="52" s="1"/>
  <c r="AZ148" i="52"/>
  <c r="AZ196" i="52" s="1"/>
  <c r="AZ144" i="52"/>
  <c r="AZ192" i="52" s="1"/>
  <c r="AZ139" i="52"/>
  <c r="AZ187" i="52" s="1"/>
  <c r="AZ145" i="52"/>
  <c r="AZ193" i="52" s="1"/>
  <c r="AZ138" i="52"/>
  <c r="AZ186" i="52" s="1"/>
  <c r="AZ131" i="52"/>
  <c r="AZ179" i="52" s="1"/>
  <c r="AZ136" i="52"/>
  <c r="AZ184" i="52" s="1"/>
  <c r="AZ135" i="52"/>
  <c r="AZ183" i="52" s="1"/>
  <c r="AZ147" i="52"/>
  <c r="AZ195" i="52" s="1"/>
  <c r="AZ134" i="52"/>
  <c r="AZ182" i="52" s="1"/>
  <c r="AZ133" i="52"/>
  <c r="AZ181" i="52" s="1"/>
  <c r="AZ142" i="52"/>
  <c r="AZ190" i="52" s="1"/>
  <c r="AZ132" i="52"/>
  <c r="AZ180" i="52" s="1"/>
  <c r="AZ137" i="52"/>
  <c r="AZ185" i="52" s="1"/>
  <c r="AZ146" i="52"/>
  <c r="AZ194" i="52" s="1"/>
  <c r="AZ143" i="52"/>
  <c r="AZ191" i="52" s="1"/>
  <c r="AZ141" i="52"/>
  <c r="AZ189" i="52" s="1"/>
  <c r="AY14" i="52"/>
  <c r="AZ157" i="52"/>
  <c r="AZ205" i="52" s="1"/>
  <c r="AZ160" i="52"/>
  <c r="AZ208" i="52" s="1"/>
  <c r="AZ156" i="52"/>
  <c r="AZ204" i="52" s="1"/>
  <c r="AZ159" i="52"/>
  <c r="AZ207" i="52" s="1"/>
  <c r="AZ155" i="52"/>
  <c r="AZ203" i="52" s="1"/>
  <c r="AZ162" i="52"/>
  <c r="AZ210" i="52" s="1"/>
  <c r="AZ158" i="52"/>
  <c r="AZ206" i="52" s="1"/>
  <c r="AZ170" i="52"/>
  <c r="AZ218" i="52" s="1"/>
  <c r="AZ168" i="52"/>
  <c r="AZ216" i="52" s="1"/>
  <c r="AZ154" i="52"/>
  <c r="AZ202" i="52" s="1"/>
  <c r="AZ161" i="52"/>
  <c r="AZ209" i="52" s="1"/>
  <c r="AZ165" i="52"/>
  <c r="AZ213" i="52" s="1"/>
  <c r="AZ169" i="52"/>
  <c r="AZ217" i="52" s="1"/>
  <c r="AZ167" i="52"/>
  <c r="AZ215" i="52" s="1"/>
  <c r="AZ153" i="52"/>
  <c r="AZ201" i="52" s="1"/>
  <c r="AZ166" i="52"/>
  <c r="AZ214" i="52" s="1"/>
  <c r="AZ163" i="52"/>
  <c r="AZ211" i="52" s="1"/>
  <c r="AZ164" i="52"/>
  <c r="AZ212" i="52" s="1"/>
  <c r="BB56" i="50"/>
  <c r="BG71" i="50"/>
  <c r="BG73" i="50" s="1"/>
  <c r="BG67" i="50"/>
  <c r="BG66" i="50"/>
  <c r="BF115" i="50"/>
  <c r="BD119" i="50" s="1"/>
  <c r="BF132" i="50"/>
  <c r="BG128" i="50" s="1"/>
  <c r="BF96" i="50"/>
  <c r="BG92" i="50" s="1"/>
  <c r="BF110" i="50"/>
  <c r="BF108" i="50"/>
  <c r="BG104" i="50" s="1"/>
  <c r="AZ245" i="52" l="1"/>
  <c r="AZ250" i="52"/>
  <c r="AZ236" i="52"/>
  <c r="AZ237" i="52"/>
  <c r="AZ251" i="52"/>
  <c r="AZ240" i="52"/>
  <c r="AZ242" i="52"/>
  <c r="AZ243" i="52"/>
  <c r="AZ252" i="52"/>
  <c r="AZ38" i="49"/>
  <c r="AZ39" i="49" s="1"/>
  <c r="AZ13" i="52" s="1"/>
  <c r="AZ11" i="52"/>
  <c r="BA227" i="52" s="1"/>
  <c r="BA228" i="52" s="1"/>
  <c r="AZ181" i="47"/>
  <c r="AZ182" i="47" s="1"/>
  <c r="AZ219" i="47" s="1"/>
  <c r="AZ220" i="47" s="1"/>
  <c r="AZ19" i="47" s="1"/>
  <c r="AZ96" i="47"/>
  <c r="AZ165" i="47" s="1"/>
  <c r="AZ166" i="47" s="1"/>
  <c r="AZ18" i="47" s="1"/>
  <c r="AZ27" i="47" s="1"/>
  <c r="BA105" i="52"/>
  <c r="BA119" i="52"/>
  <c r="BA120" i="52"/>
  <c r="BA108" i="52"/>
  <c r="BA113" i="52"/>
  <c r="BA122" i="52"/>
  <c r="BA109" i="52"/>
  <c r="BA114" i="52"/>
  <c r="BA110" i="52"/>
  <c r="BA111" i="52"/>
  <c r="BA121" i="52"/>
  <c r="BA118" i="52"/>
  <c r="BA107" i="52"/>
  <c r="BA112" i="52"/>
  <c r="BA106" i="52"/>
  <c r="BA116" i="52"/>
  <c r="BA115" i="52"/>
  <c r="BA117" i="52"/>
  <c r="AZ247" i="52"/>
  <c r="AZ241" i="52"/>
  <c r="AZ246" i="52"/>
  <c r="AZ238" i="52"/>
  <c r="AZ239" i="52"/>
  <c r="AZ235" i="52"/>
  <c r="AZ254" i="52" s="1"/>
  <c r="AZ256" i="52" s="1"/>
  <c r="AZ249" i="52"/>
  <c r="AZ248" i="52"/>
  <c r="AZ244" i="52"/>
  <c r="BC52" i="50"/>
  <c r="BC59" i="50" s="1"/>
  <c r="BC77" i="50" s="1"/>
  <c r="BG95" i="50"/>
  <c r="BG99" i="50"/>
  <c r="BG94" i="50"/>
  <c r="BG107" i="50"/>
  <c r="BG106" i="50"/>
  <c r="BG111" i="50"/>
  <c r="BG113" i="50" s="1"/>
  <c r="BG131" i="50"/>
  <c r="BG130" i="50"/>
  <c r="BG135" i="50"/>
  <c r="BG68" i="50"/>
  <c r="BH64" i="50" s="1"/>
  <c r="BA83" i="50" l="1"/>
  <c r="BA25" i="49" s="1"/>
  <c r="BA26" i="49" s="1"/>
  <c r="AZ29" i="47"/>
  <c r="AZ30" i="47"/>
  <c r="AZ12" i="52"/>
  <c r="AZ14" i="52" s="1"/>
  <c r="AZ40" i="49"/>
  <c r="AZ19" i="51"/>
  <c r="AZ20" i="51" s="1"/>
  <c r="AZ27" i="51" s="1"/>
  <c r="BA162" i="52"/>
  <c r="BA210" i="52" s="1"/>
  <c r="BA167" i="52"/>
  <c r="BA215" i="52" s="1"/>
  <c r="BA159" i="52"/>
  <c r="BA207" i="52" s="1"/>
  <c r="BA157" i="52"/>
  <c r="BA205" i="52" s="1"/>
  <c r="BA155" i="52"/>
  <c r="BA203" i="52" s="1"/>
  <c r="BA170" i="52"/>
  <c r="BA218" i="52" s="1"/>
  <c r="BA158" i="52"/>
  <c r="BA206" i="52" s="1"/>
  <c r="BA164" i="52"/>
  <c r="BA212" i="52" s="1"/>
  <c r="BA165" i="52"/>
  <c r="BA213" i="52" s="1"/>
  <c r="BA163" i="52"/>
  <c r="BA211" i="52" s="1"/>
  <c r="BA160" i="52"/>
  <c r="BA208" i="52" s="1"/>
  <c r="BA168" i="52"/>
  <c r="BA216" i="52" s="1"/>
  <c r="BA156" i="52"/>
  <c r="BA204" i="52" s="1"/>
  <c r="BA154" i="52"/>
  <c r="BA202" i="52" s="1"/>
  <c r="BA166" i="52"/>
  <c r="BA214" i="52" s="1"/>
  <c r="BA153" i="52"/>
  <c r="BA201" i="52" s="1"/>
  <c r="BA161" i="52"/>
  <c r="BA209" i="52" s="1"/>
  <c r="BA169" i="52"/>
  <c r="BA217" i="52" s="1"/>
  <c r="BC55" i="50"/>
  <c r="BC54" i="50"/>
  <c r="BG115" i="50"/>
  <c r="BG132" i="50"/>
  <c r="BH128" i="50" s="1"/>
  <c r="BH67" i="50"/>
  <c r="BH66" i="50"/>
  <c r="BH71" i="50"/>
  <c r="BH73" i="50" s="1"/>
  <c r="BG96" i="50"/>
  <c r="BH92" i="50" s="1"/>
  <c r="BG110" i="50"/>
  <c r="BG108" i="50"/>
  <c r="BH104" i="50" s="1"/>
  <c r="BA146" i="52" l="1"/>
  <c r="BA194" i="52" s="1"/>
  <c r="BA135" i="52"/>
  <c r="BA183" i="52" s="1"/>
  <c r="BA147" i="52"/>
  <c r="BA195" i="52" s="1"/>
  <c r="BA251" i="52" s="1"/>
  <c r="BA132" i="52"/>
  <c r="BA180" i="52" s="1"/>
  <c r="BA236" i="52" s="1"/>
  <c r="BA131" i="52"/>
  <c r="BA179" i="52" s="1"/>
  <c r="BA235" i="52" s="1"/>
  <c r="BA254" i="52" s="1"/>
  <c r="BA256" i="52" s="1"/>
  <c r="BA139" i="52"/>
  <c r="BA187" i="52" s="1"/>
  <c r="BA136" i="52"/>
  <c r="BA184" i="52" s="1"/>
  <c r="BA240" i="52" s="1"/>
  <c r="BA133" i="52"/>
  <c r="BA181" i="52" s="1"/>
  <c r="BA237" i="52" s="1"/>
  <c r="BA141" i="52"/>
  <c r="BA189" i="52" s="1"/>
  <c r="BA245" i="52" s="1"/>
  <c r="BA145" i="52"/>
  <c r="BA193" i="52" s="1"/>
  <c r="BA249" i="52" s="1"/>
  <c r="BA137" i="52"/>
  <c r="BA185" i="52" s="1"/>
  <c r="BA241" i="52" s="1"/>
  <c r="BA143" i="52"/>
  <c r="BA191" i="52" s="1"/>
  <c r="BA247" i="52" s="1"/>
  <c r="BA148" i="52"/>
  <c r="BA196" i="52" s="1"/>
  <c r="BA252" i="52" s="1"/>
  <c r="BA138" i="52"/>
  <c r="BA186" i="52" s="1"/>
  <c r="BA250" i="52"/>
  <c r="BA239" i="52"/>
  <c r="BA101" i="51"/>
  <c r="BA104" i="51" s="1"/>
  <c r="BA86" i="52" s="1"/>
  <c r="AZ28" i="51"/>
  <c r="BA134" i="52"/>
  <c r="BA182" i="52" s="1"/>
  <c r="BA238" i="52" s="1"/>
  <c r="BA140" i="52"/>
  <c r="BA188" i="52" s="1"/>
  <c r="BA244" i="52" s="1"/>
  <c r="BA144" i="52"/>
  <c r="BA192" i="52" s="1"/>
  <c r="BA248" i="52" s="1"/>
  <c r="BA142" i="52"/>
  <c r="BA190" i="52" s="1"/>
  <c r="BA246" i="52" s="1"/>
  <c r="BA37" i="49"/>
  <c r="BA92" i="47"/>
  <c r="BA28" i="49"/>
  <c r="BA243" i="52"/>
  <c r="BA242" i="52"/>
  <c r="BC56" i="50"/>
  <c r="BD52" i="50" s="1"/>
  <c r="BH131" i="50"/>
  <c r="BH130" i="50"/>
  <c r="BH135" i="50"/>
  <c r="BH99" i="50"/>
  <c r="BH94" i="50"/>
  <c r="BH95" i="50"/>
  <c r="BH106" i="50"/>
  <c r="BH107" i="50"/>
  <c r="BH111" i="50"/>
  <c r="BH113" i="50" s="1"/>
  <c r="BH68" i="50"/>
  <c r="BI64" i="50" s="1"/>
  <c r="BB109" i="52" l="1"/>
  <c r="BB112" i="52"/>
  <c r="BB122" i="52"/>
  <c r="BB116" i="52"/>
  <c r="BB118" i="52"/>
  <c r="BB105" i="52"/>
  <c r="BB111" i="52"/>
  <c r="BB121" i="52"/>
  <c r="BB107" i="52"/>
  <c r="BB117" i="52"/>
  <c r="BB120" i="52"/>
  <c r="BB110" i="52"/>
  <c r="BB108" i="52"/>
  <c r="BB113" i="52"/>
  <c r="BB115" i="52"/>
  <c r="BB119" i="52"/>
  <c r="BB114" i="52"/>
  <c r="BB106" i="52"/>
  <c r="BA181" i="47"/>
  <c r="BA182" i="47" s="1"/>
  <c r="BA219" i="47" s="1"/>
  <c r="BA220" i="47" s="1"/>
  <c r="BA96" i="47"/>
  <c r="BA165" i="47" s="1"/>
  <c r="BA166" i="47" s="1"/>
  <c r="BA11" i="52"/>
  <c r="BB227" i="52" s="1"/>
  <c r="BB228" i="52" s="1"/>
  <c r="BA38" i="49"/>
  <c r="BD59" i="50"/>
  <c r="BD77" i="50" s="1"/>
  <c r="BB83" i="50" s="1"/>
  <c r="BD55" i="50"/>
  <c r="BD54" i="50"/>
  <c r="BI66" i="50"/>
  <c r="BI67" i="50"/>
  <c r="BH115" i="50"/>
  <c r="BH110" i="50"/>
  <c r="BH108" i="50"/>
  <c r="BI104" i="50" s="1"/>
  <c r="BH132" i="50"/>
  <c r="BI128" i="50" s="1"/>
  <c r="BH96" i="50"/>
  <c r="BI92" i="50" s="1"/>
  <c r="BA39" i="49" l="1"/>
  <c r="BA13" i="52" s="1"/>
  <c r="BA12" i="52"/>
  <c r="BA40" i="49"/>
  <c r="BA19" i="51"/>
  <c r="BA20" i="51" s="1"/>
  <c r="BA27" i="51" s="1"/>
  <c r="BA28" i="51" s="1"/>
  <c r="BD56" i="50"/>
  <c r="BI130" i="50"/>
  <c r="BI131" i="50"/>
  <c r="BI94" i="50"/>
  <c r="BI95" i="50"/>
  <c r="BI106" i="50"/>
  <c r="BI107" i="50"/>
  <c r="BI68" i="50"/>
  <c r="BB133" i="52" l="1"/>
  <c r="BB181" i="52" s="1"/>
  <c r="BB140" i="52"/>
  <c r="BB188" i="52" s="1"/>
  <c r="BB135" i="52"/>
  <c r="BB183" i="52" s="1"/>
  <c r="BB147" i="52"/>
  <c r="BB195" i="52" s="1"/>
  <c r="BB134" i="52"/>
  <c r="BB182" i="52" s="1"/>
  <c r="BB136" i="52"/>
  <c r="BB184" i="52" s="1"/>
  <c r="BB141" i="52"/>
  <c r="BB189" i="52" s="1"/>
  <c r="BB142" i="52"/>
  <c r="BB190" i="52" s="1"/>
  <c r="BB137" i="52"/>
  <c r="BB185" i="52" s="1"/>
  <c r="BB132" i="52"/>
  <c r="BB180" i="52" s="1"/>
  <c r="BB146" i="52"/>
  <c r="BB194" i="52" s="1"/>
  <c r="BB143" i="52"/>
  <c r="BB191" i="52" s="1"/>
  <c r="BB139" i="52"/>
  <c r="BB187" i="52" s="1"/>
  <c r="BB148" i="52"/>
  <c r="BB196" i="52" s="1"/>
  <c r="BB138" i="52"/>
  <c r="BB186" i="52" s="1"/>
  <c r="BB145" i="52"/>
  <c r="BB193" i="52" s="1"/>
  <c r="BA14" i="52"/>
  <c r="BB144" i="52"/>
  <c r="BB192" i="52" s="1"/>
  <c r="BB131" i="52"/>
  <c r="BB179" i="52" s="1"/>
  <c r="BB163" i="52"/>
  <c r="BB211" i="52" s="1"/>
  <c r="BB165" i="52"/>
  <c r="BB213" i="52" s="1"/>
  <c r="BB153" i="52"/>
  <c r="BB201" i="52" s="1"/>
  <c r="BB154" i="52"/>
  <c r="BB202" i="52" s="1"/>
  <c r="BB161" i="52"/>
  <c r="BB209" i="52" s="1"/>
  <c r="BB158" i="52"/>
  <c r="BB206" i="52" s="1"/>
  <c r="BB162" i="52"/>
  <c r="BB210" i="52" s="1"/>
  <c r="BB156" i="52"/>
  <c r="BB204" i="52" s="1"/>
  <c r="BB164" i="52"/>
  <c r="BB212" i="52" s="1"/>
  <c r="BB168" i="52"/>
  <c r="BB216" i="52" s="1"/>
  <c r="BB160" i="52"/>
  <c r="BB208" i="52" s="1"/>
  <c r="BB159" i="52"/>
  <c r="BB207" i="52" s="1"/>
  <c r="BB155" i="52"/>
  <c r="BB203" i="52" s="1"/>
  <c r="BB167" i="52"/>
  <c r="BB215" i="52" s="1"/>
  <c r="BB166" i="52"/>
  <c r="BB214" i="52" s="1"/>
  <c r="BB170" i="52"/>
  <c r="BB218" i="52" s="1"/>
  <c r="BB157" i="52"/>
  <c r="BB205" i="52" s="1"/>
  <c r="BB169" i="52"/>
  <c r="BB217" i="52" s="1"/>
  <c r="BE52" i="50"/>
  <c r="BI96" i="50"/>
  <c r="BI110" i="50"/>
  <c r="BI108" i="50"/>
  <c r="BI132" i="50"/>
  <c r="BB248" i="52" l="1"/>
  <c r="BB249" i="52"/>
  <c r="BB252" i="52"/>
  <c r="BB247" i="52"/>
  <c r="BB236" i="52"/>
  <c r="BB246" i="52"/>
  <c r="BB240" i="52"/>
  <c r="BB251" i="52"/>
  <c r="BB244" i="52"/>
  <c r="BB235" i="52"/>
  <c r="BB254" i="52" s="1"/>
  <c r="BB256" i="52" s="1"/>
  <c r="BB242" i="52"/>
  <c r="BB243" i="52"/>
  <c r="BB250" i="52"/>
  <c r="BB241" i="52"/>
  <c r="BB245" i="52"/>
  <c r="BB238" i="52"/>
  <c r="BB239" i="52"/>
  <c r="BB237" i="52"/>
  <c r="BE54" i="50"/>
  <c r="BE55" i="50"/>
  <c r="BE59" i="50"/>
  <c r="BE77" i="50" s="1"/>
  <c r="BC83" i="50" s="1"/>
  <c r="BE56" i="50" l="1"/>
  <c r="BF52" i="50" s="1"/>
  <c r="BF54" i="50" l="1"/>
  <c r="BF55" i="50"/>
  <c r="BF59" i="50"/>
  <c r="BF77" i="50" s="1"/>
  <c r="BD83" i="50" s="1"/>
  <c r="BF56" i="50" l="1"/>
  <c r="BG52" i="50" s="1"/>
  <c r="BG55" i="50" l="1"/>
  <c r="BG59" i="50"/>
  <c r="BG77" i="50" s="1"/>
  <c r="BG54" i="50"/>
  <c r="BG56" i="50" l="1"/>
  <c r="BH52" i="50" s="1"/>
  <c r="BH54" i="50" l="1"/>
  <c r="BH59" i="50"/>
  <c r="BH77" i="50" s="1"/>
  <c r="BH55" i="50"/>
  <c r="BH56" i="50" l="1"/>
  <c r="BI52" i="50" s="1"/>
  <c r="BI55" i="50" l="1"/>
  <c r="BH47" i="50"/>
  <c r="BI54" i="50"/>
  <c r="BI56" i="5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Joanne Taylor</author>
  </authors>
  <commentList>
    <comment ref="J59" authorId="0" shapeId="0" xr:uid="{00000000-0006-0000-0100-000001000000}">
      <text>
        <r>
          <rPr>
            <b/>
            <sz val="9"/>
            <color indexed="81"/>
            <rFont val="Tahoma"/>
            <family val="2"/>
          </rPr>
          <t>Joanne Taylor:</t>
        </r>
        <r>
          <rPr>
            <sz val="9"/>
            <color indexed="81"/>
            <rFont val="Tahoma"/>
            <family val="2"/>
          </rPr>
          <t xml:space="preserve">
I AM NOT SURE HOW WE WOULD GET THIS INFORMATION, POSSIBLY COULD BE OBTAINED FROM THE CCG</t>
        </r>
      </text>
    </comment>
  </commentList>
</comments>
</file>

<file path=xl/sharedStrings.xml><?xml version="1.0" encoding="utf-8"?>
<sst xmlns="http://schemas.openxmlformats.org/spreadsheetml/2006/main" count="11818" uniqueCount="3784">
  <si>
    <t>Source</t>
  </si>
  <si>
    <t>Detail</t>
  </si>
  <si>
    <t>Metric</t>
  </si>
  <si>
    <t>Year</t>
  </si>
  <si>
    <t>Healing rate</t>
  </si>
  <si>
    <t>Prevalence</t>
  </si>
  <si>
    <t>N/A</t>
  </si>
  <si>
    <t xml:space="preserve">Guest, Julian &amp; Ayoub, Nadia &amp; McIlwraith, Tracey &amp; Uchegbu, Ijeoma &amp; Gerrish, Alyson &amp; Weidlich, Diana &amp; Vowden, Kathryn &amp; Vowden, Peter. (2016). Health economic burden that different wound types impose on the UK's National Health Service: Annual NHS cost of managing different wound types in the UK. International Wound Journal. 14. 10.1111/iwj.12603. </t>
  </si>
  <si>
    <t>Guest JF, Ayoub N, McIlwraith T et al. Health economic burden that wounds impose on the National Health Service in the UK. BMJ Open 2015</t>
  </si>
  <si>
    <t>Resource</t>
  </si>
  <si>
    <t>¬</t>
  </si>
  <si>
    <t>GP visits</t>
  </si>
  <si>
    <t>Practice nurse visits</t>
  </si>
  <si>
    <t>Community nurse visits</t>
  </si>
  <si>
    <t>Specialist nurse visits</t>
  </si>
  <si>
    <t>Allied health-care visits</t>
  </si>
  <si>
    <t>Hospital outpatient visits</t>
  </si>
  <si>
    <t>Devices</t>
  </si>
  <si>
    <t>Wound care products</t>
  </si>
  <si>
    <t>Drug prescriptions</t>
  </si>
  <si>
    <t>Baseline</t>
  </si>
  <si>
    <t>Healing</t>
  </si>
  <si>
    <t>Total</t>
  </si>
  <si>
    <t>Difference</t>
  </si>
  <si>
    <t>Total wounds</t>
  </si>
  <si>
    <t>VLU</t>
  </si>
  <si>
    <t>Diabetic foot ulcer</t>
  </si>
  <si>
    <t>Leg ulcer (arterial)</t>
  </si>
  <si>
    <t>Leg ulcer (mixed)</t>
  </si>
  <si>
    <t>Leg ulcer (unspecified)</t>
  </si>
  <si>
    <t>Leg ulcer (venous)</t>
  </si>
  <si>
    <t>Among the adult population (ie, ≥18 years of age) estimated from the THIN database.</t>
  </si>
  <si>
    <t>Prevalence (UK adult pop)</t>
  </si>
  <si>
    <t>Wound type</t>
  </si>
  <si>
    <t>Wound share</t>
  </si>
  <si>
    <t>Annual number and prevalence of different wound types in the UK (2012/13)</t>
  </si>
  <si>
    <t>Healing rates</t>
  </si>
  <si>
    <t>By Wound type</t>
  </si>
  <si>
    <t>Annual amount of National Health Service (NHS) resource use attributable to managing 2⋅2 million wounds and associated comorbidities,
stratified by wound type</t>
  </si>
  <si>
    <t>Total number of wounds</t>
  </si>
  <si>
    <t>Age</t>
  </si>
  <si>
    <t>90+</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</si>
  <si>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</si>
  <si>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</si>
  <si>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</si>
  <si>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</si>
  <si>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</si>
  <si>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</si>
  <si>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</si>
  <si>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</si>
  <si>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</si>
  <si>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</si>
  <si>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</si>
  <si>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</si>
  <si>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</si>
  <si>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</si>
  <si>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</si>
  <si>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</si>
  <si>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</si>
  <si>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</si>
  <si>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</si>
  <si>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</si>
  <si>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</si>
  <si>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</si>
  <si>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</si>
  <si>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</si>
  <si>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</si>
  <si>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</si>
  <si>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</si>
  <si>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</si>
  <si>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</si>
  <si>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</si>
  <si>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</si>
  <si>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</si>
  <si>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</si>
  <si>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</si>
  <si>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</si>
  <si>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</si>
  <si>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</si>
  <si>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</si>
  <si>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</si>
  <si>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</si>
  <si>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</si>
  <si>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</si>
  <si>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Historical population data</t>
  </si>
  <si>
    <t>Population projections</t>
  </si>
  <si>
    <t>Growth</t>
  </si>
  <si>
    <t>|=&gt; projections</t>
  </si>
  <si>
    <t>historical &lt;=|</t>
  </si>
  <si>
    <t>ONS (2019), Estimates of the population for the UK, England and Wales, Scotland and Northern Ireland</t>
  </si>
  <si>
    <t>Adult is assumedto be from 18 years and above</t>
  </si>
  <si>
    <t>Calc total</t>
  </si>
  <si>
    <t>Resource use per wound</t>
  </si>
  <si>
    <t>Recurrance rates</t>
  </si>
  <si>
    <t>No compression</t>
  </si>
  <si>
    <t>Healed is wounds healed in the study year 2012-2013</t>
  </si>
  <si>
    <t>Guest JF, Ayoub N, McIlwraith T, et al. Health economic burden that different wound types impose on the UK’s National Health Service. International Wound Journal. 2017</t>
  </si>
  <si>
    <t>Healed</t>
  </si>
  <si>
    <t>Unhealed</t>
  </si>
  <si>
    <t>Bandages</t>
  </si>
  <si>
    <t>Dressings</t>
  </si>
  <si>
    <t>Compression systems</t>
  </si>
  <si>
    <t>Compression hosiery</t>
  </si>
  <si>
    <t>Hospital admissions</t>
  </si>
  <si>
    <t>Laboratory Tests</t>
  </si>
  <si>
    <t>Practice nurse</t>
  </si>
  <si>
    <t>Prescriptions for analgesics</t>
  </si>
  <si>
    <t>Prescriptions for anti-infectives</t>
  </si>
  <si>
    <t>VLU total</t>
  </si>
  <si>
    <t>Resources per VLU</t>
  </si>
  <si>
    <t>Laboratory tests</t>
  </si>
  <si>
    <t>Topical wound care products</t>
  </si>
  <si>
    <t>Amputations</t>
  </si>
  <si>
    <t>Prescriptions for analgesics and neuroleptics</t>
  </si>
  <si>
    <t>Podiatrist visits</t>
  </si>
  <si>
    <t>Physiotherapist visits</t>
  </si>
  <si>
    <t>Guest JF, Fuller GW, Vowden P. Diabetic foot ulcer management in clinical practice in the UK: costs and outcomes.</t>
  </si>
  <si>
    <t>Wound prevalence</t>
  </si>
  <si>
    <t>Healing rates by wound type</t>
  </si>
  <si>
    <t>Venous leg ulcer</t>
  </si>
  <si>
    <t>Patient share</t>
  </si>
  <si>
    <t>Prevalence 2012/13</t>
  </si>
  <si>
    <t>No. VLUs</t>
  </si>
  <si>
    <t>Rebased</t>
  </si>
  <si>
    <t>Check</t>
  </si>
  <si>
    <t>Item</t>
  </si>
  <si>
    <t>Neuroleptics</t>
  </si>
  <si>
    <t>Absorbent dressing</t>
  </si>
  <si>
    <t>Alginate dressing</t>
  </si>
  <si>
    <t>Antimicrobial dressing</t>
  </si>
  <si>
    <t>Capillary-action dressing</t>
  </si>
  <si>
    <t>Foam dressing</t>
  </si>
  <si>
    <t>Hydrocolloid dressing</t>
  </si>
  <si>
    <t>Hydrogel dressing</t>
  </si>
  <si>
    <t>Low-adherence dressing</t>
  </si>
  <si>
    <t>Odour absorbent dressing</t>
  </si>
  <si>
    <t>Other dressing</t>
  </si>
  <si>
    <t>Permeable dressing</t>
  </si>
  <si>
    <t>Soft polymer dressing</t>
  </si>
  <si>
    <t>1⋅86</t>
  </si>
  <si>
    <t>2⋅16</t>
  </si>
  <si>
    <t>2⋅96</t>
  </si>
  <si>
    <t>2⋅95</t>
  </si>
  <si>
    <t>3⋅64</t>
  </si>
  <si>
    <t>3⋅53</t>
  </si>
  <si>
    <t>Compression alone</t>
  </si>
  <si>
    <t>Mean length of treatment (months)</t>
  </si>
  <si>
    <t>Order of treatment</t>
  </si>
  <si>
    <t>Average</t>
  </si>
  <si>
    <t>Soft Polymer dressing</t>
  </si>
  <si>
    <t>Total cost</t>
  </si>
  <si>
    <t>Unit cost</t>
  </si>
  <si>
    <t>Healed %</t>
  </si>
  <si>
    <t>Unhealed %</t>
  </si>
  <si>
    <t>Total annual resource use</t>
  </si>
  <si>
    <t>Unhealed uplift multiplier</t>
  </si>
  <si>
    <t>Split for drug prescriptions</t>
  </si>
  <si>
    <t>Splits available below</t>
  </si>
  <si>
    <t>Healed/unhealed splits for Devices, specialist nurse and allied healthcare visits</t>
  </si>
  <si>
    <t>Annual amount and corresponding cost of National Health Service (NHS) resource use attributable to managing 2⋅2 million wounds and
associated comorbidities, stratified by healing</t>
  </si>
  <si>
    <t>Healed (thousands)</t>
  </si>
  <si>
    <t>Unhealed (thousands)</t>
  </si>
  <si>
    <t>Assumed uplift is same across all wound types due to lack of data</t>
  </si>
  <si>
    <t>VLU population by healed/unhealed (2012/13)</t>
  </si>
  <si>
    <t>Total annual cost (millions)</t>
  </si>
  <si>
    <t>Cost inflation assumptions</t>
  </si>
  <si>
    <t>Inflation mapping</t>
  </si>
  <si>
    <t>Drugs</t>
  </si>
  <si>
    <t>Element</t>
  </si>
  <si>
    <t>Capital costs</t>
  </si>
  <si>
    <t>Other operating costs</t>
  </si>
  <si>
    <t>Overall</t>
  </si>
  <si>
    <t>Inflation rate</t>
  </si>
  <si>
    <t>Pay and pensions</t>
  </si>
  <si>
    <t>(drop-down)</t>
  </si>
  <si>
    <t>NHSE/I Economic assumptions 2016/17 to 2020/21</t>
  </si>
  <si>
    <t>Assumed all costs are variable</t>
  </si>
  <si>
    <t>Applied inflation</t>
  </si>
  <si>
    <t>Unit cost year</t>
  </si>
  <si>
    <t>Cumlative inflation</t>
  </si>
  <si>
    <t>Cost growth</t>
  </si>
  <si>
    <t>-</t>
  </si>
  <si>
    <t>Total NHS costs (inc. inflation)</t>
  </si>
  <si>
    <t>Mixed LU</t>
  </si>
  <si>
    <t>Mixed</t>
  </si>
  <si>
    <t>Arterial</t>
  </si>
  <si>
    <t>0  - 9</t>
  </si>
  <si>
    <t>10  - 19</t>
  </si>
  <si>
    <t>20  - 29</t>
  </si>
  <si>
    <t>30  - 39</t>
  </si>
  <si>
    <t>40  - 49</t>
  </si>
  <si>
    <t>50  - 59</t>
  </si>
  <si>
    <t>60  - 69</t>
  </si>
  <si>
    <t>70  - 79</t>
  </si>
  <si>
    <t>80  - 89</t>
  </si>
  <si>
    <t>90-99</t>
  </si>
  <si>
    <t>100+</t>
  </si>
  <si>
    <t>Missing</t>
  </si>
  <si>
    <t>% with complex wounds</t>
  </si>
  <si>
    <t>Population growth rate is weighted by share of wounds by age group to capture differences in prevalence across age groups</t>
  </si>
  <si>
    <t>Cullum et al (2016), 'Wounds research for patient benefit: a 5-year programme of research'</t>
  </si>
  <si>
    <t>Assumed adult is 18</t>
  </si>
  <si>
    <t>Wound share by age group</t>
  </si>
  <si>
    <t>Assume share of wounds by age group is constant over time</t>
  </si>
  <si>
    <t>Merge 100+ into 90+</t>
  </si>
  <si>
    <t>UK adult population 2012</t>
  </si>
  <si>
    <t>LU Unspecified wounds redistributed</t>
  </si>
  <si>
    <t>Number of wounds, with LU unspecified</t>
  </si>
  <si>
    <t>VLU cost per wound</t>
  </si>
  <si>
    <t>Paramax_Tab</t>
  </si>
  <si>
    <t>NLA</t>
  </si>
  <si>
    <t>Foam</t>
  </si>
  <si>
    <t>NHS Business Services Authority (2018), Prescription Cost Analysis (PCA) data</t>
  </si>
  <si>
    <t>All but prescriptions are done on a quantity basis, items are per prescription</t>
  </si>
  <si>
    <t>Average unit costs summary</t>
  </si>
  <si>
    <t>Average unit cost</t>
  </si>
  <si>
    <t>Compression system</t>
  </si>
  <si>
    <t>Prescriptions</t>
  </si>
  <si>
    <t>Anti-infectives</t>
  </si>
  <si>
    <t>Analgesics</t>
  </si>
  <si>
    <t>BNF Code</t>
  </si>
  <si>
    <t>Drug Name</t>
  </si>
  <si>
    <t>BNF Chemical Name</t>
  </si>
  <si>
    <t>BNF Chapter Name</t>
  </si>
  <si>
    <t>BNF Sub Paragraph Name</t>
  </si>
  <si>
    <t>BNF Chapter</t>
  </si>
  <si>
    <t>BNF Section</t>
  </si>
  <si>
    <t>BNF Paragraph</t>
  </si>
  <si>
    <t>BNF Sub Paragraph</t>
  </si>
  <si>
    <t>Standard_Quantity_Unit ID</t>
  </si>
  <si>
    <t>Prep_Class_ID</t>
  </si>
  <si>
    <t>Items</t>
  </si>
  <si>
    <t>Of which_Class 2_Items</t>
  </si>
  <si>
    <t>Quantity</t>
  </si>
  <si>
    <t>NIC (£)</t>
  </si>
  <si>
    <t>NIC Per_Item (£)</t>
  </si>
  <si>
    <t>NIC Per_Quantity_(£)</t>
  </si>
  <si>
    <t>Quantity_Per Item</t>
  </si>
  <si>
    <t>Q_share</t>
  </si>
  <si>
    <t>Jobst UlcerCARE Sml Compress Liner</t>
  </si>
  <si>
    <t>Venous Ulcer Compression System</t>
  </si>
  <si>
    <t>Appliances</t>
  </si>
  <si>
    <t>Jobst UlcerCARE Med Compress Liner</t>
  </si>
  <si>
    <t>Jobst UlcerCARE Lge Compress Liner</t>
  </si>
  <si>
    <t>Jobst UlcerCARE Exlge Compress Liner</t>
  </si>
  <si>
    <t>Jobst UlcerCARE Custom Med Stkn</t>
  </si>
  <si>
    <t>Jobst UlcerCARE Custom Compress Liner</t>
  </si>
  <si>
    <t>Jobst UlcerCARE Ex Exlge Compress Liner</t>
  </si>
  <si>
    <t>Jobst UlcerCARE XX Exlge Compress Liner</t>
  </si>
  <si>
    <t>Jobst UlcerCARE XXX Exlge Compress Liner</t>
  </si>
  <si>
    <t>Venosan 8000 Ulcerfit Med Stkn + Compress Liner Pack</t>
  </si>
  <si>
    <t>Venosan 8000 Ulcerfit Closed Toe Compress Liner Pack</t>
  </si>
  <si>
    <t>Ulcer X Med Stkn Open Toe + Compress Liner Pack</t>
  </si>
  <si>
    <t>Ulcer X Med Stkn Open Toe Plus + Compress Liner Pack</t>
  </si>
  <si>
    <t>Ulcer X Closed Toe Compress Liner Pack</t>
  </si>
  <si>
    <t>Activa Leg Ulcer Hose Kit Sml Stkn + Compress Liner</t>
  </si>
  <si>
    <t>Activa Leg Ulcer Hose Kit Med Stkn + Compress Liner</t>
  </si>
  <si>
    <t>Activa Leg Ulcer Hose Kit Lge Stkn + Compress Liner</t>
  </si>
  <si>
    <t>Activa Leg Ulcer Hose Kit Exlge Stkn + Compress Liner</t>
  </si>
  <si>
    <t>Activa Leg Ulcer Hose Kit Ex Exlge Stkn + Compress Liner</t>
  </si>
  <si>
    <t>Activa Leg Ulcer Hose Kit Sml Clsd Toe Compress Liner Pack</t>
  </si>
  <si>
    <t>Activa Leg Ulcer Hose Kit Med Clsd Toe Compress Liner Pack</t>
  </si>
  <si>
    <t>Activa Leg Ulcer Hose Kit Lge Clsd Toe Compress Liner Pack</t>
  </si>
  <si>
    <t>Activa Leg Ulcer Hose Kit Exlge Clsd Toe Compress Liner Pack</t>
  </si>
  <si>
    <t>Activa Leg Ulcer Hose Kit Ex Exlge C/T Compress Liner Pack</t>
  </si>
  <si>
    <t>Activa Leg Ulcer Hose Kit Sml O/T Compress Liner Pack</t>
  </si>
  <si>
    <t>Activa Leg Ulcer Hose Kit Med O/T Compress Liner Pack</t>
  </si>
  <si>
    <t>Activa Leg Ulcer Hose Kit Lge O/T Compress Liner Pack</t>
  </si>
  <si>
    <t>Activa Leg Ulcer Hose Kit Exlge O/T Compress Liner Pack</t>
  </si>
  <si>
    <t>Activa Leg Ulcer Hose Kit Ex Exlge O/T Compress Liner Pack</t>
  </si>
  <si>
    <t>Ulcertec Short Sml Stkn + Compress Liner</t>
  </si>
  <si>
    <t>Ulcertec Short Med Stkn + Compress Liner</t>
  </si>
  <si>
    <t>Ulcertec Short Lge Stkn + Compress Liner</t>
  </si>
  <si>
    <t>Ulcertec Short Ex Sml Stkn + Compress Liner</t>
  </si>
  <si>
    <t>Ulcertec Short Ex Lge Stkn + Compress Liner</t>
  </si>
  <si>
    <t>Ulcertec Long Sml Stkn + Compress Liner</t>
  </si>
  <si>
    <t>Ulcertec Long Med Stkn + Compress Liner</t>
  </si>
  <si>
    <t>Ulcertec Long Lge Stkn + Compress Liner</t>
  </si>
  <si>
    <t>Ulcertec Long Ex Sml Stkn + Compress Liner</t>
  </si>
  <si>
    <t>Ulcertec Long Exlge Stkn + Compress Liner</t>
  </si>
  <si>
    <t>Carolon Size A Graduated Compress System</t>
  </si>
  <si>
    <t>Carolon Size B Graduated Compress System</t>
  </si>
  <si>
    <t>Carolon Size C Graduated Compress System</t>
  </si>
  <si>
    <t>Carolon Size D Graduated Compress System</t>
  </si>
  <si>
    <t>Carolon Size E Graduated Compress System</t>
  </si>
  <si>
    <t>Carolon Size F Graduated Compress System</t>
  </si>
  <si>
    <t>Carolon Size G Graduated Compress System</t>
  </si>
  <si>
    <t>Mediven Ulcer Kit Stnd Stkn + Compress Liner</t>
  </si>
  <si>
    <t>Mediven Ulcer Kit Petite Stkn + Compress Liner</t>
  </si>
  <si>
    <t>Mediven Ulcer Kit Liner Pack</t>
  </si>
  <si>
    <t>Comfipression Hose Kit Sml Stkn + Compress Liner</t>
  </si>
  <si>
    <t>Comfipression Hose Kit Med Stkn + Compress Liner</t>
  </si>
  <si>
    <t>Comfipression Hose Kit Lge Stkn + Compress Liner</t>
  </si>
  <si>
    <t>Comfipression Hose Kit Exlge Stkn + Compress Liner</t>
  </si>
  <si>
    <t>Comfipression Hose Kit Ex Exlge Stkn + Compress Liner</t>
  </si>
  <si>
    <t>Comfipression Liner Kit Sml</t>
  </si>
  <si>
    <t>Comfipression Liner Kit Med</t>
  </si>
  <si>
    <t>Comfipression Liner Kit Lge</t>
  </si>
  <si>
    <t>Comfipression Liner Kit Exlge</t>
  </si>
  <si>
    <t>Comfipression Liner Kit Ex Exlge</t>
  </si>
  <si>
    <t>Altipress 40 Ulcer Kit Short Sml Stkn + Compress Liner</t>
  </si>
  <si>
    <t>Altipress 40 Ulcer Kit Short Med Stkn + Compress Liner</t>
  </si>
  <si>
    <t>Altipress 40 Ulcer Kit Short Lge Stkn + Compress Liner</t>
  </si>
  <si>
    <t>Altipress 40 Ulcer Kit Short Exlge Stkn + Compress Liner</t>
  </si>
  <si>
    <t>Altipress 40 Ulcer Kit Short Ex Exlge Stkn + Compress Liner</t>
  </si>
  <si>
    <t>Altipress 40 Ulcer Kit Regular Sml Stkn + Compress Liner</t>
  </si>
  <si>
    <t>Altipress 40 Ulcer Kit Regular Med Stkn + Compress Liner</t>
  </si>
  <si>
    <t>Altipress 40 Ulcer Kit Regular Lge Stkn + Compress Liner</t>
  </si>
  <si>
    <t>Altipress 40 Ulcer Kit Regular Exlge Stkn + Compress Liner</t>
  </si>
  <si>
    <t>Altipress 40 UlcerKit Regular Ex Exlge Stkn + Compress Liner</t>
  </si>
  <si>
    <t>Altipress 40 Ulcer Kit Long Sml Stkn + Compress Liner</t>
  </si>
  <si>
    <t>Altipress 40 Ulcer Kit Long Med Stkn + Compress Liner</t>
  </si>
  <si>
    <t>Altipress 40 Ulcer Kit Long Lge Stkn + Compress Liner</t>
  </si>
  <si>
    <t>Altipress 40 Ulcer Kit Long Exlge Stkn + Compress Liner</t>
  </si>
  <si>
    <t>Altipress 40 Ulcer Kit Long Ex Exlge Stkn + Compress Liner</t>
  </si>
  <si>
    <t>Altipress Short Sml Compress Liner Pack</t>
  </si>
  <si>
    <t>Altipress Short Med Compress Liner Pack</t>
  </si>
  <si>
    <t>Altipress Short Lge Compress Liner Pack</t>
  </si>
  <si>
    <t>Altipress Short Exlge Compress Liner Pack</t>
  </si>
  <si>
    <t>Altipress Short Ex Exlge Compress Liner Pack</t>
  </si>
  <si>
    <t>Altipress Regular Sml Compress Liner Pack</t>
  </si>
  <si>
    <t>Altipress Regular Med Compress Liner Pack</t>
  </si>
  <si>
    <t>Altipress Regular Lge Compress Liner Pack</t>
  </si>
  <si>
    <t>Altipress Regular Exlge Compress Liner Pack</t>
  </si>
  <si>
    <t>Altipress Regular Ex Exlge Compress Liner Pack</t>
  </si>
  <si>
    <t>Altipress Long Sml Compress Liner Pack</t>
  </si>
  <si>
    <t>Altipress Long Med Compress Liner Pack</t>
  </si>
  <si>
    <t>Altipress Long Lge Compress Liner Pack</t>
  </si>
  <si>
    <t>Altipress Long Exlge Compress Liner Pack</t>
  </si>
  <si>
    <t>Altipress Long Ex Exlge Compress Liner Pack</t>
  </si>
  <si>
    <t>Altipress 40 M/M Ulcer Kit Stkn + Compress Liner</t>
  </si>
  <si>
    <t>Altipress M/M Compress Liner Pack</t>
  </si>
  <si>
    <t>Clini Duo40 Sml Stkn + Compress Liner</t>
  </si>
  <si>
    <t>Clini Duo40 Med Stkn + Compress Liner</t>
  </si>
  <si>
    <t>Clini Duo40 Lge Stkn + Compress Liner</t>
  </si>
  <si>
    <t>Clini Duo40 Exlge Stkn + Compress Liner</t>
  </si>
  <si>
    <t>Clini Duo40 Ex Exlge Stkn + Compress Liner</t>
  </si>
  <si>
    <t>Clini Duo40 Sml Compress Liner Pack</t>
  </si>
  <si>
    <t>Clini Duo40 Med Compress Liner Pack</t>
  </si>
  <si>
    <t>Clini Duo40 Lge Compress Liner Pack</t>
  </si>
  <si>
    <t>Clini Duo40 Exlge Compress Liner Pack</t>
  </si>
  <si>
    <t>Clini Duo40 Ex Exlge Compress Liner Pack</t>
  </si>
  <si>
    <t>ActiLymph Hose Kit Med Stkn + Compress Liner</t>
  </si>
  <si>
    <t>ActiLymph Hose Kit Lge Stkn + Compress Liner</t>
  </si>
  <si>
    <t>ActiLymph Hose Kit Exlge Stkn + Compress Liner</t>
  </si>
  <si>
    <t>ActiLymph Hose Kit Ex Exlge Stkn + Compress Liner</t>
  </si>
  <si>
    <t>Carolon Compression Size A Understocking Pack</t>
  </si>
  <si>
    <t>Carolon Compression Size B Understocking Pack</t>
  </si>
  <si>
    <t>Carolon Compression Size C Understocking Pack</t>
  </si>
  <si>
    <t>Carolon Compression Size D Understocking Pack</t>
  </si>
  <si>
    <t>Carolon Compression Size E Understocking Pack</t>
  </si>
  <si>
    <t>Carolon Compression Size F Understocking Pack</t>
  </si>
  <si>
    <t>Carolon Compression Size G Understocking Pack</t>
  </si>
  <si>
    <t>Jobst UlcerCARE Sml Stkn + 2 x Compress Liner Pack</t>
  </si>
  <si>
    <t>Jobst UlcerCARE Med Stkn + 2 x Compress Liner Pack</t>
  </si>
  <si>
    <t>Jobst UlcerCARE Lge Stkn + 2 x Compress Liner Pack</t>
  </si>
  <si>
    <t>Jobst UlcerCARE Exlge Stkn + 2 x Compress Liner Pack</t>
  </si>
  <si>
    <t>Jobst UlcerCARE Ex Exlge Stkn + 2 x Compress Liner Pack</t>
  </si>
  <si>
    <t>Jobst UlcerCARE XX Exlge Stkn + 2 x Compress Liner Pack</t>
  </si>
  <si>
    <t>Jobst UlcerCARE XXX Exlge Stkn + 2 x Compress Liner Pack</t>
  </si>
  <si>
    <t>Juxta CURES Compress System</t>
  </si>
  <si>
    <t>Juxta CURES Comfort Leg Compress Liner Pack</t>
  </si>
  <si>
    <t>Juxta CURES Comfort Anklet Compress Liner Pack</t>
  </si>
  <si>
    <t>JuxtaLite Compress System</t>
  </si>
  <si>
    <t>UlcerKit Pro 35 Compress System</t>
  </si>
  <si>
    <t>Jobst FarrowHybrid AD1 Compress Liner Pack</t>
  </si>
  <si>
    <t>Jobst FarrowHybrid AD11 Compress Liner Pack</t>
  </si>
  <si>
    <t>Jobst FarrowWrap 4000 Ex Sml Compress System</t>
  </si>
  <si>
    <t>Jobst FarrowWrap 4000 Sml Compress System</t>
  </si>
  <si>
    <t>Jobst FarrowWrap 4000 Med Compress System</t>
  </si>
  <si>
    <t>Jobst FarrowWrap 4000 Lge Compress System</t>
  </si>
  <si>
    <t>Elastic hosiery/Compression hosiery</t>
  </si>
  <si>
    <t>Elastic Hosiery</t>
  </si>
  <si>
    <t>Acti-Glide Compress Hose Applic System</t>
  </si>
  <si>
    <t>Mediven 2in1 Compress Hose Applic</t>
  </si>
  <si>
    <t>Magnide Compress Hose Applic</t>
  </si>
  <si>
    <t>Sigvaris Simon Compress Hose Applic</t>
  </si>
  <si>
    <t>EZY-As Compress Hose Applic</t>
  </si>
  <si>
    <t>EZY-As Compress Hose Applic Handle</t>
  </si>
  <si>
    <t>Neo-Slip Compress Hose Applic</t>
  </si>
  <si>
    <t>Arm Butler Compress Hose Applic</t>
  </si>
  <si>
    <t>Foot Butler Compress Hose Applic</t>
  </si>
  <si>
    <t>Compressana Easy Compress Hose Applic</t>
  </si>
  <si>
    <t>Steve+ easyOn Compress Hose Applic</t>
  </si>
  <si>
    <t>Steve Glide Dolphin Compress Hose Applic For O/Toe</t>
  </si>
  <si>
    <t>Steve+ Handles Compress Hose Applic Handle</t>
  </si>
  <si>
    <t>Steve+ Handles Compress Hose Applic</t>
  </si>
  <si>
    <t>Chapter name: dressings, chemical name: contains the following</t>
  </si>
  <si>
    <t>Share</t>
  </si>
  <si>
    <t>Wound Management &amp; Other Dressings</t>
  </si>
  <si>
    <t>ActivHeal Hydrocolloid Foam 10cm x 10cm Wound Dress H/Coll</t>
  </si>
  <si>
    <t>ActivHeal Hydrocolloid Foam 15cm x 15cm Wound Dress H/Coll</t>
  </si>
  <si>
    <t>ActivHeal Hydrocolloid Foam 15cm x 18cm Wound Dress H/Coll</t>
  </si>
  <si>
    <t>ActivHeal Hydrocolloid Foam 5cm x 7.5cm Wound Dress H/Coll</t>
  </si>
  <si>
    <t>Tielle Essential Heel Foam 12cm x 18cm Wound Dress Polyureth</t>
  </si>
  <si>
    <t>Lyofoam Max T 9cm x 9cm Wound Dress Polyureth</t>
  </si>
  <si>
    <t>Lyofoam Max 10cm x 10cm Wound Dress Polyureth</t>
  </si>
  <si>
    <t>Lyofoam Max 15cm x 15cm Wound Dress Polyureth</t>
  </si>
  <si>
    <t>Lyofoam Max 20cm x 20cm Wound Dress Polyureth</t>
  </si>
  <si>
    <t>Lyofoam Max 7.5cm x 8.5cm Wound Dress Polyureth</t>
  </si>
  <si>
    <t>Lyofoam Max 10cm x 20cm Wound Dress Polyureth</t>
  </si>
  <si>
    <t>Lyofoam Max 15cm x 20cm Wound Dress Polyureth</t>
  </si>
  <si>
    <t>Tegaderm Foam 8.8cm x 8.8cm Wound Dress Polyureth</t>
  </si>
  <si>
    <t>Tegaderm Foam 10cm x 10cm Wound Dress Polyureth</t>
  </si>
  <si>
    <t>Tegaderm Foam 20cm x 20cm Wound Dress Polyureth</t>
  </si>
  <si>
    <t>Tegaderm Foam 10cm x 20cm Wound Dress Polyureth</t>
  </si>
  <si>
    <t>Tegaderm Foam 10cm x 60cm Wound Dress Polyureth</t>
  </si>
  <si>
    <t>ActivHeal Foam Adh 7.5cm x 7.5cm Wound Dress Polyureth</t>
  </si>
  <si>
    <t>ActivHeal Foam Adh 12.5cm x 12.5cm Wound Dress Polyureth</t>
  </si>
  <si>
    <t>ActivHeal Foam Adh 10cm x 10cm Wound Dress Polyureth</t>
  </si>
  <si>
    <t>ActivHeal Foam Adh 15cm x 15cm Wound Dress Polyureth</t>
  </si>
  <si>
    <t>ActivHeal Foam Adh 20cm x 20cm Wound Dress Polyureth</t>
  </si>
  <si>
    <t>ActivHeal 5cm x 5cm Non-Adh Foam Wound Dress Polyureth</t>
  </si>
  <si>
    <t>ActivHeal 10cm x 10cm Non-Adh Foam Wound Dress Polyureth</t>
  </si>
  <si>
    <t>ActivHeal 20cm x 20cm Non-Adh Foam Wound Dress Polyureth</t>
  </si>
  <si>
    <t>ActivHeal 10cm x 20cm Non-Adh Foam Wound Dress Polyureth</t>
  </si>
  <si>
    <t>ActivHeal Foam 18cm x 12cm Wound Dress Polyureth</t>
  </si>
  <si>
    <t>ActivHeal Tracheo 10cmx10cm Non-Adh Foam WoundDressPolyureth</t>
  </si>
  <si>
    <t>Tegaderm Foam Adh Square 14.3cmx14.3cm Wound Dress Polyureth</t>
  </si>
  <si>
    <t>Tegaderm Foam Adh Oval 10cm x 11cm Wound Dress Polyureth</t>
  </si>
  <si>
    <t>Tegaderm Foam Adh Oval 14.3cm x 15.6cm Wound Dress Polyureth</t>
  </si>
  <si>
    <t>Tegaderm Foam Adh Oval 19cm x 22.2cm Wound Dress Polyureth</t>
  </si>
  <si>
    <t>Tegaderm Foam Adh Circ(Heel)13.9cmx13.9cmWoundDressPolyureth</t>
  </si>
  <si>
    <t>Tegaderm Foam Adh Oval 6.9cm x 7.6cm Wound Dress Polyureth</t>
  </si>
  <si>
    <t>Tegaderm Foam Adh Border 6.9cm x 6.9cm Wound Dress Polyureth</t>
  </si>
  <si>
    <t>ComfiHEAL Foam Adh 7.5cm x 7.5cm Wound Dress Polyureth</t>
  </si>
  <si>
    <t>ComfiHEAL Foam Adh 10cm x 10cm Wound Dress Polyureth</t>
  </si>
  <si>
    <t>ComfiHEAL Foam Adh 15cm x 15cm Wound Dress Polyureth</t>
  </si>
  <si>
    <t>PermaFoam Comfort 15cm x 15cm Wound Dress Polyureth</t>
  </si>
  <si>
    <t>PermaFoam Comfort 20cm x 20cm Wound Dress Polyureth</t>
  </si>
  <si>
    <t>PermaFoam Comfort 10cm x 20cm Wound Dress Polyureth</t>
  </si>
  <si>
    <t>PermaFoam Comfort 8cm x 8cm Wound Dress Polyureth</t>
  </si>
  <si>
    <t>PermaFoam 6cm Diam Wound Dress Polyureth</t>
  </si>
  <si>
    <t>PermaFoam 8cm x 8cm Wound Dress Polyureth</t>
  </si>
  <si>
    <t>PermaFoam 10cm x 10cm Wound Dress Polyureth</t>
  </si>
  <si>
    <t>PermaFoam 20cm x 20cm Wound Dress Polyureth</t>
  </si>
  <si>
    <t>PermaFoam Concave 16.5cm x 18cm Wound Dress Polyureth</t>
  </si>
  <si>
    <t>PermaFoam Sacral 18cm x 18cm Wound Dress Polyureth</t>
  </si>
  <si>
    <t>PermaFoam Sacral 22cm x 22cm Wound Dress Polyureth</t>
  </si>
  <si>
    <t>Askina Foam 10cm x 10cm Wound Dress Polyureth</t>
  </si>
  <si>
    <t>Askina Foam 20cm x 20cm Wound Dress Polyureth</t>
  </si>
  <si>
    <t>Askina Foam 10cm x 20cm Wound Dress Polyureth</t>
  </si>
  <si>
    <t>Kendall Foam Island 10cm x 10cm Wound Dress Polyureth</t>
  </si>
  <si>
    <t>Kendall Foam Island 15cm x 15cm Wound Dress Polyureth</t>
  </si>
  <si>
    <t>Kendall Foam Island 20cm x 20cm Wound Dress Polyureth</t>
  </si>
  <si>
    <t>Kendall Foam 5cm x 5cm Wound Dress Polyureth</t>
  </si>
  <si>
    <t>Kendall Foam 7.5cm x 7.5cm Wound Dress Polyureth</t>
  </si>
  <si>
    <t>Kendall Foam 10cm x 10cm Wound Dress Polyureth</t>
  </si>
  <si>
    <t>Kendall Foam 12.5cm x 12.5cm Wound Dress Polyureth</t>
  </si>
  <si>
    <t>Kendall Foam 15cm x 15cm Wound Dress Polyureth</t>
  </si>
  <si>
    <t>Kendall Foam 20cm x 20cm Wound Dress Polyureth</t>
  </si>
  <si>
    <t>Kendall Foam 8.5cm x 7.5cm Wound Dress Polyureth</t>
  </si>
  <si>
    <t>Kendall Foam 10cm x 20cm Wound Dress Polyureth</t>
  </si>
  <si>
    <t>Kendall Foam Plus 5cm x 5cm Wound Dress Polyureth</t>
  </si>
  <si>
    <t>Kendall Foam Plus 7.5cm x 7.5cm Wound Dress Polyureth</t>
  </si>
  <si>
    <t>Kendall Foam Plus 10cm x 10cm Wound Dress Polyureth</t>
  </si>
  <si>
    <t>Kendall Foam Plus 20cm x 20cm Wound Dress Polyureth</t>
  </si>
  <si>
    <t>Kendall Foam Plus 8.5cm x 7.5cm Wound Dress Polyureth</t>
  </si>
  <si>
    <t>Kendall Foam Plus 10cm x 20cm Wound Dress Polyureth</t>
  </si>
  <si>
    <t>Kendall AMD Foam Island 14cm x 14cm Wound Dress Polyureth</t>
  </si>
  <si>
    <t>Kendall AMD Foam Island 19cm x 19cm Wound Dress Polyureth</t>
  </si>
  <si>
    <t>Kendall AMD Foam Island 4.4cm x 8.3cm Wound Dress Polyureth</t>
  </si>
  <si>
    <t>Kendall AMD Foam Island 8.9cm x 8.9cm Wound Dress Polyureth</t>
  </si>
  <si>
    <t>Kendall AMD Foam Island 8.9cm x 14cm Wound Dress Polyureth</t>
  </si>
  <si>
    <t>Xtrasorb Foam Adh Square 8cm x 8cm Wound Dress Polyureth</t>
  </si>
  <si>
    <t>Xtrasorb Foam Adh Square 11.5cmx11.5cm Wound Dress Polyureth</t>
  </si>
  <si>
    <t>Xtrasorb Foam Adh Square 15.5cmx15.5cm Wound Dress Polyureth</t>
  </si>
  <si>
    <t>Xtrasorb Foam Non Adh Square 5cm x 5cm Wound Dress Polyureth</t>
  </si>
  <si>
    <t>Xtrasorb Foam Non Adh Square 20cmx20cm Wound Dress Polyureth</t>
  </si>
  <si>
    <t>Xtrasorb Foam Non Adh 10cm x 12cm Wound Dress Polyureth</t>
  </si>
  <si>
    <t>ActivHeal Foam Contact 7.5cm x 7.5cm Wound Dress Polyureth</t>
  </si>
  <si>
    <t>ActivHeal Foam Contact 10cm x 10cm Wound Dress Polyureth</t>
  </si>
  <si>
    <t>ActivHeal Foam Contact 12.5cm x 12.5cm Wound Dress Polyureth</t>
  </si>
  <si>
    <t>ActivHeal Foam Contact 15cm x 15cm Wound Dress Polyureth</t>
  </si>
  <si>
    <t>ActivHeal Foam Contact 20cm x 20cm Wound Dress Polyureth</t>
  </si>
  <si>
    <t>ActivHeal Foam Contact 10cm x 20cm Wound Dress Polyureth</t>
  </si>
  <si>
    <t>ActivHeal Foam Contact 18cm x 18.5cm Wound Dress Polyureth</t>
  </si>
  <si>
    <t>ActivHeal PHMB Foam Adh 7.5cm x 7.5cm Wound Dress Polyureth</t>
  </si>
  <si>
    <t>ActivHeal PHMB Foam Adh 10cm x 10cm Wound Dress Polyureth</t>
  </si>
  <si>
    <t>ActivHeal PHMB Foam Adh 12.5cmx12.5cm Wound Dress Polyureth</t>
  </si>
  <si>
    <t>ActivHeal PHMB Foam Adh 15cm x 15cm Wound Dress Polyureth</t>
  </si>
  <si>
    <t>ActivHeal PHMB Foam Adh 20cm x 20cm Wound Dress Polyureth</t>
  </si>
  <si>
    <t>ActivHeal PHMB Foam Adh 10cm x 20cm Wound Dress Polyureth</t>
  </si>
  <si>
    <t>ActivHeal PHMB Foam Adh 18cm x 18.5cm Wound Dress Polyureth</t>
  </si>
  <si>
    <t>ActivHeal PHMB Foam Non Adh 5cm x 5cm Wound Dress Polyureth</t>
  </si>
  <si>
    <t>ActivHeal PHMB Foam Non Adh 7.5cmx7.5cmWound Dress Polyureth</t>
  </si>
  <si>
    <t>ActivHeal PHMB Foam Non Adh 10cm x 10cmWound Dress Polyureth</t>
  </si>
  <si>
    <t>ActivHeal PHMB Foam Non Adh 15cm x 15cmWound Dress Polyureth</t>
  </si>
  <si>
    <t>ActivHeal PHMB Foam Non Adh 20cm x 20cmWound Dress Polyureth</t>
  </si>
  <si>
    <t>ActivHeal PHMB Foam Non Adh 10cm x 20cmWound Dress Polyureth</t>
  </si>
  <si>
    <t>CovaWound Non-Adher Foam+Bdr 10cmx10cm Wound Dress Polyureth</t>
  </si>
  <si>
    <t>CovaWound Non-Adher Foam+Bdr 10cmx20cm Wound Dress Polyureth</t>
  </si>
  <si>
    <t>CovaWound Non-Adher Foam+Bdr 15cmx20cm Wound Dress Polyureth</t>
  </si>
  <si>
    <t>CovaWound Non-Adher Foam 5cm x 5cm Wound Dress Polyureth</t>
  </si>
  <si>
    <t>CovaWound Non-Adher Foam 10cm x 10cm Wound Dress Polyureth</t>
  </si>
  <si>
    <t>CovaWound Non-Adher Foam 10cm x 13cm Wound Dress Polyureth</t>
  </si>
  <si>
    <t>PermaFoam Cavity 10cm x 10cm Wound Dress Cavity</t>
  </si>
  <si>
    <t>Askina Foam Cavity 2.4cm x 40cm Wound Dress Cavity</t>
  </si>
  <si>
    <t>KerraFoam Gentle Border 7.5cm x 7.5cm Wound Dress Soft Slc</t>
  </si>
  <si>
    <t>KerraFoam Gentle Border 10cm x 10cm Wound Dress Soft Slc</t>
  </si>
  <si>
    <t>KerraFoam Gentle Border 10cm x 20cm Wound Dress Soft Slc</t>
  </si>
  <si>
    <t>KerraFoam Gentle Border 12.5cm x 12.5cm Wound Dress Soft Slc</t>
  </si>
  <si>
    <t>KerraFoam Gentle Border Heel 23cmx25cm Wound Dress Soft Slc</t>
  </si>
  <si>
    <t>KerraFoam Gentle Border Sacrum 17cmx17.5cm WoundDressSoftSlc</t>
  </si>
  <si>
    <t>kliniderm Foam Slc Border 7.5cm x 7.5cm Wound Dress Soft Slc</t>
  </si>
  <si>
    <t>kliniderm Foam Slc Border 10cm x 10cm Wound Dress Soft Slc</t>
  </si>
  <si>
    <t>kliniderm Foam Slc Border 12.5cmx12.5cm Wound Dress Soft Slc</t>
  </si>
  <si>
    <t>kliniderm Foam Slc Border 15cm x 15cm Wound Dress Soft Slc</t>
  </si>
  <si>
    <t>kliniderm Foam Slc Border 10cm x 20cm Wound Dress Soft Slc</t>
  </si>
  <si>
    <t>kliniderm Foam Slc Border 15cm x 20cm Wound Dress Soft Slc</t>
  </si>
  <si>
    <t>kliniderm Foam Lite Border 4cm x 5cm Wound Dress Soft Slc</t>
  </si>
  <si>
    <t>kliniderm Foam Lite Border 5cm x 12.5cm Wound Dress Soft Slc</t>
  </si>
  <si>
    <t>kliniderm Foam Lite Border 7.5cmx7.5cm Wound Dress Soft Slc</t>
  </si>
  <si>
    <t>kliniderm Foam Lite Border 10cm x 10cm Wound Dress Soft Slc</t>
  </si>
  <si>
    <t>kliniderm Foam Lite Border 15cm x 15cm Wound Dress Soft Slc</t>
  </si>
  <si>
    <t>kliniderm Foam Slc 5cm x 5cm Wound Dress Soft Slc</t>
  </si>
  <si>
    <t>kliniderm Foam Slc 10cm x 10cm Wound Dress Soft Slc</t>
  </si>
  <si>
    <t>KerraFoam Gentle Border Sacrum 23cmx26cm Wound Dress SoftSlc</t>
  </si>
  <si>
    <t>kliniderm Foam Slc Heel 10cm x 17.5cm Wound Dress Soft Slc</t>
  </si>
  <si>
    <t>kliniderm Foam Slc Sacrum Border 18cmx18cm WoundDressSoftSlc</t>
  </si>
  <si>
    <t>Kliniderm Foam Slc 10cm x 20cm Wound Dress Soft Slc</t>
  </si>
  <si>
    <t>Kliniderm Foam Slc 15cm x 15cm Wound Dress Soft Slc</t>
  </si>
  <si>
    <t>Kliniderm Foam Slc 20cm x 20cm Wound Dress Soft Slc</t>
  </si>
  <si>
    <t>Kliniderm Foam Slc Lite 6cm x 8.5cm Wound Dress Soft Slc</t>
  </si>
  <si>
    <t>Kliniderm Foam Slc Lite 10cm x 10cm Wound Dress Soft Slc</t>
  </si>
  <si>
    <t>Kliniderm Foam Slc Lite 15cm x 15cm Wound Dress Soft Slc</t>
  </si>
  <si>
    <t>Kliniderm Foam Slc Lite 20cm x 50cm Wound Dress Soft Slc</t>
  </si>
  <si>
    <t>GentilFoam 7.5cm x 7.5cm Wound Dress Soft Slc</t>
  </si>
  <si>
    <t>GentilFoam 15cm x 20cm Wound Dress Soft Slc</t>
  </si>
  <si>
    <t>GentilFoam Border 7.5cm x 7.5cm Wound Dress Soft Slc</t>
  </si>
  <si>
    <t>GentilFoam Border 10cm x 10cm Wound Dress Soft Slc</t>
  </si>
  <si>
    <t>ActivHeal Slc Foam 5cm x 5cm Wound Dress Soft Slc</t>
  </si>
  <si>
    <t>ActivHeal Slc Foam 7.5cm x 7.5cm Wound Dress Soft Slc</t>
  </si>
  <si>
    <t>ActivHeal Slc Foam 10cm x 10cm Wound Dress Soft Slc</t>
  </si>
  <si>
    <t>ActivHeal Slc Foam 15cm x 15cm Wound Dress Soft Slc</t>
  </si>
  <si>
    <t>ActivHeal Slc Foam 20cm x 20cm Wound Dress Soft Slc</t>
  </si>
  <si>
    <t>ActivHeal Slc Foam 10cm x 20cm Wound Dress Soft Slc</t>
  </si>
  <si>
    <t>ActivHeal Slc Foam Border 7.5cm x 7.5cm Wound Dress Soft Slc</t>
  </si>
  <si>
    <t>ActivHeal Slc Foam Border 10cm x 10cm Wound Dress Soft Slc</t>
  </si>
  <si>
    <t>ActivHeal Slc Foam Border 12.5cm x 12.5cm Wound DressSoftSlc</t>
  </si>
  <si>
    <t>ActivHeal Slc Foam Border 15cm x 15cm Wound Dress Soft Slc</t>
  </si>
  <si>
    <t>ActivHeal Slc Foam Border 20cm x 20cm Wound Dress Soft Slc</t>
  </si>
  <si>
    <t>ActivHeal Slc Foam Border 10cm x 20cm Wound Dress Soft Slc</t>
  </si>
  <si>
    <t>ActivHeal Slc Foam Border Sacral18cmx18.5cmWoundDressSoftSlc</t>
  </si>
  <si>
    <t>C-Foam Silicone 5cm x 5cm Wound Dress Soft Slc</t>
  </si>
  <si>
    <t>C-Foam Silicone 7.5cm x 7.5cm Wound Dress Soft Slc</t>
  </si>
  <si>
    <t>C-Foam Silicone 10cm x 10cm Wound Dress Soft Slc</t>
  </si>
  <si>
    <t>C-Foam Silicone Border 7.5cm x 7.5cm Wound Dress Soft Slc</t>
  </si>
  <si>
    <t>C-Foam Silicone Border 10cm x 10cm Wound Dress Soft Slc</t>
  </si>
  <si>
    <t>C-Foam Silicone Border 10cm x 20cm Wound Dress Soft Slc</t>
  </si>
  <si>
    <t>C-Foam Silicone Border 15cm x 15cm Wound Dress Soft Slc</t>
  </si>
  <si>
    <t>FoamLite 8cm x 8cm Wound Dress Soft Slc</t>
  </si>
  <si>
    <t>FoamLite 10cm x 10cm Wound Dress Soft Slc</t>
  </si>
  <si>
    <t>FoamLite 15cm x 15cm Wound Dress Soft Slc</t>
  </si>
  <si>
    <t>FoamLite 5.5cm x 12cm Wound Dress Soft Slc</t>
  </si>
  <si>
    <t>Kliniderm Foam Slc Border 10cm x 30cm Wound Dress Soft Slc</t>
  </si>
  <si>
    <t>kliniderm Foam Slc Heel Border 20cmx20.8cm WoundDressSoftSlc</t>
  </si>
  <si>
    <t>CovaWound Slc Foam 5cm x 5cm Wound Dress Soft Slc</t>
  </si>
  <si>
    <t>CovaWound Slc Foam 10cm x 10cm Wound Dress Soft Slc</t>
  </si>
  <si>
    <t>CovaWound Slc Foam 15cm x 15cm Wound Dress Soft Slc</t>
  </si>
  <si>
    <t>CovaWound Slc Foam 10cm x 20cm Wound Dress Soft Slc</t>
  </si>
  <si>
    <t>CovaWound Slc Foam Lite 7.5cm x 7.5cm Wound Dress Soft Slc</t>
  </si>
  <si>
    <t>CovaWound Slc Foam Lite 10cm x 10cm Wound Dress Soft Slc</t>
  </si>
  <si>
    <t>CovaWound Slc Foam Lite 15cm x 15cm Wound Dress Soft Slc</t>
  </si>
  <si>
    <t>CovaWound Slc Foam Lite 10cm x 20cm Wound Dress Soft Slc</t>
  </si>
  <si>
    <t>CovaWound Slc Foam Border 7.5cm x 7.5cm Wound Dress Soft Slc</t>
  </si>
  <si>
    <t>CovaWound Slc Foam Border 10cm x 10cm Wound Dress Soft Slc</t>
  </si>
  <si>
    <t>CovaWound Slc Foam Border 15cm x 15cm Wound Dress Soft Slc</t>
  </si>
  <si>
    <t>CovaWound Slc Foam Border 10cm x 20cm Wound Dress Soft Slc</t>
  </si>
  <si>
    <t>CovaWound Slc Foam Bdr Lite 5cm x 5cm Wound Dress Soft Slc</t>
  </si>
  <si>
    <t>CovaWound Slc Foam Bdr Lite 7.5cm x 7.5cm Wound DressSoftSlc</t>
  </si>
  <si>
    <t>CovaWound Slc Foam Bdr Lite 10cm x 10cm Wound Dress Soft Slc</t>
  </si>
  <si>
    <t>CovaWound Slc Foam Bdr Lite 15cm x 15cm Wound Dress Soft Slc</t>
  </si>
  <si>
    <t>Tielle Essential Slc Adh Foam 10cmx10cm Wound Dress Soft Slc</t>
  </si>
  <si>
    <t>Tielle Essential Slc Adh Foam 15cmx15cm Wound Dress Soft Slc</t>
  </si>
  <si>
    <t>FoamLite 5cm x 5cm Wound Dress Soft Slc</t>
  </si>
  <si>
    <t>FoamLite 10cm x 20cm Wound Dress Soft Slc</t>
  </si>
  <si>
    <t>Spirit Slc Foam Bdr 12.5cm x 12.5cm Wound Dress Soft Slc</t>
  </si>
  <si>
    <t>KerraFoam Simple 5cm x 5cm Wound Dress Soft Slc</t>
  </si>
  <si>
    <t>KerraFoam Simple 10cm x 10cm Wound Dress Soft Slc</t>
  </si>
  <si>
    <t>KerraFoam Simple 10cm x 20cm Wound Dress Soft Slc</t>
  </si>
  <si>
    <t>KerraFoam Simple 15cm x 15cm Wound Dress Soft Slc</t>
  </si>
  <si>
    <t>KerraFoam Simple Border 7.5cm x 7.5cm Wound Dress Soft Slc</t>
  </si>
  <si>
    <t>KerraFoam Simple Border 10cm x 10cm Wound Dress Soft Slc</t>
  </si>
  <si>
    <t>KerraFoam Simple Border 10cm x 20cm Wound Dress Soft Slc</t>
  </si>
  <si>
    <t>KerraFoam Simple Border 12.5cm x 12.5cm Wound Dress Soft Slc</t>
  </si>
  <si>
    <t>KerraFoam Simple Border 15cm x 15cm Wound Dress Soft Slc</t>
  </si>
  <si>
    <t>KerraFoam Simple Border 15cm x 20cm Wound Dress Soft Slc</t>
  </si>
  <si>
    <t>Spirit Silicone Adh Border Hydro Foam 10cmx10cm Wound Dress</t>
  </si>
  <si>
    <t>CovaWound Slc Foam Border 12.5cmx12.5cm Wound Dress Soft Slc</t>
  </si>
  <si>
    <t>Aquacel Foam Adhesive 10cm x 10cm Wound Dress Soft Polymer</t>
  </si>
  <si>
    <t>Aquacel Foam Adhesive 12.5cm x 12.5cm Wound DressSoftPolymer</t>
  </si>
  <si>
    <t>Aquacel Foam Adhesive 17.5cm x 17.5cm Wound DressSoftPolymer</t>
  </si>
  <si>
    <t>Aquacel Foam Adhesive 21cm x 21cm Wound Dress Soft Polymer</t>
  </si>
  <si>
    <t>Aquacel Foam Adhesive 25cm x 30cm Wound Dress Soft Polymer</t>
  </si>
  <si>
    <t>Aquacel Foam Adhesive 19.8cm x 14cm Wound Dress Soft Polymer</t>
  </si>
  <si>
    <t>Aquacel Foam Adhesive 20cm x 16.9cm Wound Dress Soft Polymer</t>
  </si>
  <si>
    <t>Aquacel Foam Non-Adhesive 5cm x 5cm Wound Dress Soft Polymer</t>
  </si>
  <si>
    <t>Aquacel Foam Non-Adhesive 10cm x 10cm Wound DressSoftPolymer</t>
  </si>
  <si>
    <t>Aquacel Foam Non-Adhesive 15cm x 15cm Wound DressSoftPolymer</t>
  </si>
  <si>
    <t>Aquacel Foam Non-Adhesive 20cm x 20cm Wound DressSoftPolymer</t>
  </si>
  <si>
    <t>Aquacel Foam Non-Adhesive 15cm x 20cm Wound DressSoftPolymer</t>
  </si>
  <si>
    <t>Aquacel Foam Adhesive 8cm x 8cm Wound Dress Soft Polymer</t>
  </si>
  <si>
    <t>Aquacel Ag Foam Adh 8cm x 8cm Wound Dress Soft Polymer</t>
  </si>
  <si>
    <t>Aquacel Ag Foam Adh 10cm x 10cm Wound Dress Soft Polymer</t>
  </si>
  <si>
    <t>Aquacel Ag Foam Adh 12.5cm x 12.5cm Wound Dress Soft Polymer</t>
  </si>
  <si>
    <t>Aquacel Ag Foam Adh 17.5cm x 17.5cm Wound Dress Soft Polymer</t>
  </si>
  <si>
    <t>Aquacel Ag Foam Adh 21cm x 21cm Wound Dress Soft Polymer</t>
  </si>
  <si>
    <t>Aquacel Ag Foam Adh 25cm x 30cm Wound Dress Soft Polymer</t>
  </si>
  <si>
    <t>Aquacel Ag Foam Adh 19.8cmx14cm Heel Wound Dress SoftPolymer</t>
  </si>
  <si>
    <t>Aquacel Ag Foam Adh 20cmx16.9cm Sacral WoundDressSoftPolymer</t>
  </si>
  <si>
    <t>Aquacel Ag Foam Non-Adh 5cm x 5cm Wound Dress Soft Polymer</t>
  </si>
  <si>
    <t>Aquacel Ag Foam Non-Adh 10cm x 10cm Wound Dress Soft Polymer</t>
  </si>
  <si>
    <t>Aquacel Ag Foam Non-Adh 15cm x 15cm Wound Dress Soft Polymer</t>
  </si>
  <si>
    <t>Aquacel Ag Foam Non-Adh 20cm x 20cm Wound Dress Soft Polymer</t>
  </si>
  <si>
    <t>Aquacel Ag Foam Non-Adh 15cm x 20cm Wound Dress Soft Polymer</t>
  </si>
  <si>
    <t>Aquacel Foam Adhesive 24cm x 21.5cm Wound Dress Soft Polymer</t>
  </si>
  <si>
    <t>Aquacel Foam Adhesive 8cm x 13cm Wound Dress Soft Polymer</t>
  </si>
  <si>
    <t>Aquacel Foam Non-Adhesive 10cmx20cm Wound Dress Soft Polymer</t>
  </si>
  <si>
    <t>Aquacel Foam Adhesive 10cm x 20cm Wound Dress Soft Polymer</t>
  </si>
  <si>
    <t>Aquacel Foam Adhesive 10cm x 30cm Wound Dress Soft Polymer</t>
  </si>
  <si>
    <t>V.A.C. GranuFoam Dress Kit Sml Wound Dress Pack</t>
  </si>
  <si>
    <t>V.A.C. GranuFoam Dress Kit Med Wound Dress Pack</t>
  </si>
  <si>
    <t>V.A.C. GranuFoam Dress Kit Lge Wound Dress Pack</t>
  </si>
  <si>
    <t>V.A.C. GranuFoam Silver + SensaT.R.A.C Sml Wound Dress Pack</t>
  </si>
  <si>
    <t>V.A.C. GranuFoam Silver + SensaT.R.A.C Med Wound Dress Pack</t>
  </si>
  <si>
    <t>V.A.C. GranuFoam Bridge Dress Kit Wound Dress Pack</t>
  </si>
  <si>
    <t>V.A.C. WhiteFoam Dress Sml Wound Dress Pack</t>
  </si>
  <si>
    <t>V.A.C. WhiteFoam Dress Kit Sml Wound Dress Pack</t>
  </si>
  <si>
    <t>V.A.C. WhiteFoam Dress Lge Wound Dress Pack</t>
  </si>
  <si>
    <t>V.A.C. WhiteFoam Dress Kit Lge Wound Dress Pack</t>
  </si>
  <si>
    <t>Avance Foam Dress Kit + ViewPad Sml Wound Dress Pack</t>
  </si>
  <si>
    <t>Avance Foam + Mepitel &amp; ViewPad Med Wound Dress Pack</t>
  </si>
  <si>
    <t>Avance Foam Dress Kit + ViewPad + Safetac Sml WoundDressPack</t>
  </si>
  <si>
    <t>Avance Foam Dress Kit + ViewPad + Safetac Med WoundDressPack</t>
  </si>
  <si>
    <t>Avance Foam Dress Kit + ViewPad + Safetac Lge WoundDressPack</t>
  </si>
  <si>
    <t>Snap Dress Kit Foam 10cm x 10cm Wound Dress Pack</t>
  </si>
  <si>
    <t>Snap Dress Kit Foam 15cm x 15cm Wound Dress Pack</t>
  </si>
  <si>
    <t>Snap Dress Kit Foam 20cm x 20cm Wound Dress Pack</t>
  </si>
  <si>
    <t>Renasys-F Foam Dress Kit + Soft Port Sml Wound Dress Pack</t>
  </si>
  <si>
    <t>Renasys-F Foam Dress Kit + Soft Port Med Wound Dress Pack</t>
  </si>
  <si>
    <t>Renasys-F Foam Dress Kit + Soft Port Lge Wound Dress Pack</t>
  </si>
  <si>
    <t>Venturi Foam Wound Care Set Portal Drain Sml Wound DressPack</t>
  </si>
  <si>
    <t>Venturi Foam Wound Care Set Portal Drain Stnd WoundDressPack</t>
  </si>
  <si>
    <t>Foam Wound Dress 10cm x 12.5cm x 1.5cm TNPS Accessory</t>
  </si>
  <si>
    <t>Ltx Foam Adh (For Cervical Collars) 22.5cm x 45cm x 7mm</t>
  </si>
  <si>
    <t>Kendall Telfa Clr 7.5cmx7.5cm Non-Adher Polyester Film Dress</t>
  </si>
  <si>
    <t>Kendall Telfa Clr 10cmx12.5cm Non-Adher Polyester Film Dress</t>
  </si>
  <si>
    <t>Kendall Telfa Clr 30cm x 30cm Non-Adher Polyester Film Dress</t>
  </si>
  <si>
    <t>Kendall Telfa Clr 30cm x 60cm Non-Adher Polyester Film Dress</t>
  </si>
  <si>
    <t>Eclypse Adherent Sacral 17cm x 19cm Pfa Cellulose Dress</t>
  </si>
  <si>
    <t>Eclypse Adherent Sacral 22cm x 23cm Pfa Cellulose Dress</t>
  </si>
  <si>
    <t>Eclypse Adherent 10cm x 10cm Pfa Cellulose Dress</t>
  </si>
  <si>
    <t>Eclypse Adherent 10cm x 20cm Pfa Cellulose Dress</t>
  </si>
  <si>
    <t>Eclypse Adherent 15cm x 15cm Pfa Cellulose Dress</t>
  </si>
  <si>
    <t>Eclypse Adherent 20cm x 30cm Pfa Cellulose Dress</t>
  </si>
  <si>
    <t>365 Non Adherent 5cm x 5cm Pfa Plas Faced Dress</t>
  </si>
  <si>
    <t>365 Non Adherent 10cm x 10cm Pfa Plas Faced Dress</t>
  </si>
  <si>
    <t>365 Non Adherent 10cm x 20cm Pfa Plas Faced Dress</t>
  </si>
  <si>
    <t>365 Non Adherent 20cm x 30cm Pfa Plas Faced Dress</t>
  </si>
  <si>
    <t>Silvercel Non-Adherent 2.5cm x 30.5cm Wound Dress Cavity</t>
  </si>
  <si>
    <t>Silvercel Non-Adher 5cm x 5cm Wound Dress Protease Matrix</t>
  </si>
  <si>
    <t>Silvercel Non-Adher 11cm x 11cm Wound Dress Protease Matrix</t>
  </si>
  <si>
    <t>Silvercel Non-Adher 10cm x 20cm Wound Dress Protease Matrix</t>
  </si>
  <si>
    <t>Polymer</t>
  </si>
  <si>
    <t>Tielle Plus Hydropolymer 20cm x 26.5cm Wound Dress Polyureth</t>
  </si>
  <si>
    <t>Urgotul 10cm x 10cm Wound Dress Soft Polymer</t>
  </si>
  <si>
    <t>Urgotul 15cm x 20cm Wound Dress Soft Polymer</t>
  </si>
  <si>
    <t>Urgotul 10cm x 40cm Wound Dress Soft Polymer</t>
  </si>
  <si>
    <t>Tegaderm Contact 7.5cm x 10cm Wound Dress Soft Polymer</t>
  </si>
  <si>
    <t>Tegaderm Contact 20cm x 25cm Wound Dress Soft Polymer</t>
  </si>
  <si>
    <t>Physiotulle 10cm x 10cm Wound Dress Soft Polymer</t>
  </si>
  <si>
    <t>Physiotulle 15cm x 20cm Wound Dress Soft Polymer</t>
  </si>
  <si>
    <t>Physiotulle Ag 10cm x 10cm Wound Dress Soft Polymer</t>
  </si>
  <si>
    <t>Urgotul SSD 10cm x 12cm Wound Dress Soft Polymer</t>
  </si>
  <si>
    <t>Urgotul SSD 15cm x 20cm Wound Dress Soft Polymer</t>
  </si>
  <si>
    <t>UrgoCell Silver 6cm x 6cm Wound Dress Soft Polymer</t>
  </si>
  <si>
    <t>UrgoCell Silver 10cm x 10cm Wound Dress Soft Polymer</t>
  </si>
  <si>
    <t>UrgoCell Silver 15cm x 20cm Wound Dress Soft Polymer</t>
  </si>
  <si>
    <t>Atrauman Ag 5cm x 5cm Wound Dress Soft Polymer</t>
  </si>
  <si>
    <t>Atrauman Ag 10cm x 10cm Wound Dress Soft Polymer</t>
  </si>
  <si>
    <t>Atrauman Ag 10cm x 20cm Wound Dress Soft Polymer</t>
  </si>
  <si>
    <t>Urgotul 15cm x 15cm Wound Dress Soft Polymer</t>
  </si>
  <si>
    <t>UrgotulDuo 5cm x 10cm Wound Dress Soft Polymer</t>
  </si>
  <si>
    <t>UrgotulDuo 10cm x 12cm Wound Dress Soft Polymer</t>
  </si>
  <si>
    <t>UrgotulDuo 15cm x 20cm Wound Dress Soft Polymer</t>
  </si>
  <si>
    <t>Urgotul 5cm x 5cm Wound Dress Soft Polymer</t>
  </si>
  <si>
    <t>Urgotul 20cm x 30cm Wound Dress Soft Polymer</t>
  </si>
  <si>
    <t>Urgotul Silver 10cm x 12cm Wound Dress Soft Polymer</t>
  </si>
  <si>
    <t>Urgotul Silver 15cm x 20cm Wound Dress Soft Polymer</t>
  </si>
  <si>
    <t>UrgoSTART Contact 5cm x 7cm Wound Dress Soft Polymer</t>
  </si>
  <si>
    <t>Allevyn Gentle 5cm x 5cm Wound Dress Soft Polymer</t>
  </si>
  <si>
    <t>Allevyn Gentle 10cm x 10cm Wound Dress Soft Polymer</t>
  </si>
  <si>
    <t>Allevyn Gentle 10cm x 20cm Wound Dress Soft Polymer</t>
  </si>
  <si>
    <t>Allevyn Gentle 15cm x 15cm Wound Dress Soft Polymer</t>
  </si>
  <si>
    <t>Allevyn Gentle 20cm x 20cm Wound Dress Soft Polymer</t>
  </si>
  <si>
    <t>Allevyn Ag Gentle 5cm x 5cm Wound Dress Soft Polymer</t>
  </si>
  <si>
    <t>Allevyn Ag Gentle 10cm x 10cm Wound Dress Soft Polymer</t>
  </si>
  <si>
    <t>Allevyn Ag Gentle 10cm x 20cm Wound Dress Soft Polymer</t>
  </si>
  <si>
    <t>Allevyn Ag Gentle 15cm x 15cm Wound Dress Soft Polymer</t>
  </si>
  <si>
    <t>Allevyn Ag Gentle 20cm x 20cm Wound Dress Soft Polymer</t>
  </si>
  <si>
    <t>Allevyn Ag Gentle Border 7.5cmx7.5cm Wound Dress SoftPolymer</t>
  </si>
  <si>
    <t>Allevyn Ag Gentle Border 10cmx10cm Wound Dress Soft Polymer</t>
  </si>
  <si>
    <t>Allevyn Ag Gentle Border 12.5cmx12.5cm WoundDressSoftPolymer</t>
  </si>
  <si>
    <t>Allevyn Ag Gentle Border 17.5cmx17.5cm WoundDressSoftPolymer</t>
  </si>
  <si>
    <t>UrgoSTART 6cm x 6cm Wound Dress Soft Polymer</t>
  </si>
  <si>
    <t>UrgoSTART 10cm x 10cm Wound Dress Soft Polymer</t>
  </si>
  <si>
    <t>UrgoSTART 15cm x 20cm Wound Dress Soft Polymer</t>
  </si>
  <si>
    <t>UrgoSTART 12cm x 19cm Wound Dress Soft Polymer</t>
  </si>
  <si>
    <t>UrgoTul Absorb 6cm x 6cm Wound Dress Soft Polymer</t>
  </si>
  <si>
    <t>UrgoTul Absorb 10cm x 10cm Wound Dress Soft Polymer</t>
  </si>
  <si>
    <t>UrgoTul Absorb 15cm x 20cm Wound Dress Soft Polymer</t>
  </si>
  <si>
    <t>UrgoTul Absorb 12cm x 19cm Wound Dress Soft Polymer</t>
  </si>
  <si>
    <t>Cutimed Sorbact Hydroactive 7cmx8.5cm WoundDress SoftPolymer</t>
  </si>
  <si>
    <t>Cutimed Sorbact Hydroactive 14cmx14cm WoundDress SoftPolymer</t>
  </si>
  <si>
    <t>Cutimed Sorbact Hydroactive 19cmx19cm WoundDress SoftPolymer</t>
  </si>
  <si>
    <t>Cutimed Sorbact Hydroactive 24cmx24cm WoundDress SoftPolymer</t>
  </si>
  <si>
    <t>Cutimed Sorbact Hydroactive 14cmx24cm WoundDress SoftPolymer</t>
  </si>
  <si>
    <t>Cutimed Sorbion Contact 7.5cmx7.5cm Wound Dress Soft Polymer</t>
  </si>
  <si>
    <t>Cutimed Sorbion Contact 10cm x 10cm Wound Dress Soft Polymer</t>
  </si>
  <si>
    <t>Cutimed Sorbion Contact 10cm x 20cm Wound Dress Soft Polymer</t>
  </si>
  <si>
    <t>Cutimed Sorbion Contact 20cm x 20cm Wound Dress Soft Polymer</t>
  </si>
  <si>
    <t>Cutimed Sorbion Contact 20cm x 30cm Wound Dress Soft Polymer</t>
  </si>
  <si>
    <t>Cutimed Sorbact HydroactiveB 5cmx6.5cm WoundDressSoftPolymer</t>
  </si>
  <si>
    <t>Cutimed Sorbact HydroactiveB 10cmx10cm WoundDressSoftPolymer</t>
  </si>
  <si>
    <t>Cutimed Sorbact HydroactiveB 15cmx15cm WoundDressSoftPolymer</t>
  </si>
  <si>
    <t>Cutimed Sorbact HydroactiveB 10cmx20cm WoundDressSoftPolymer</t>
  </si>
  <si>
    <t>Cutimed Siltec Sorbact 7.5cm x 7.5cm Wound Dress SoftPolymer</t>
  </si>
  <si>
    <t>Cutimed Siltec Sorbact 12.5cmx12.5cm Wound Dress SoftPolymer</t>
  </si>
  <si>
    <t>Cutimed Siltec Sorbact 15cm x 15cm Wound Dress Soft Polymer</t>
  </si>
  <si>
    <t>Cutimed Siltec Sorbact 17.5cmx17.5cm Wound Dress SoftPolymer</t>
  </si>
  <si>
    <t>Cutimed Siltec Sorbact 22.5cmx22.5cm Wound Dress SoftPolymer</t>
  </si>
  <si>
    <t>Cutimed Siltec Sorbact 23cm x 23cm Wound Dress Soft Polymer</t>
  </si>
  <si>
    <t>UrgoSTART Contact 10cm x 10cm Wound Dress Soft Polymer</t>
  </si>
  <si>
    <t>UrgoSTART Contact 15cm x 20cm Wound Dress Soft Polymer</t>
  </si>
  <si>
    <t>Kendall AMD Antimicrobial 4.4cmx8.3cm Wound DressSoftPolymer</t>
  </si>
  <si>
    <t>Kendall AMD Antimicrobial 8.9cmx8.9cm Wound DressSoftPolymer</t>
  </si>
  <si>
    <t>Kendall AMD Antimicrobial 8.9cmx14cm Wound Dress SoftPolymer</t>
  </si>
  <si>
    <t>Kendall AMD Antimicrobial 14cmx14cm Wound Dress Soft Polymer</t>
  </si>
  <si>
    <t>Kendall AMD Antimicrobial 19cmx19cm Wound Dress Soft Polymer</t>
  </si>
  <si>
    <t>Lomatuell Pro 5cm x 5cm Wound Dress Soft Polymer</t>
  </si>
  <si>
    <t>Lomatuell Pro 10cm x 10cm Wound Dress Soft Polymer</t>
  </si>
  <si>
    <t>Lomatuell Pro 10cm x 20cm Wound Dress Soft Polymer</t>
  </si>
  <si>
    <t>Lomatuell Pro 10cm x 30cm Wound Dress Soft Polymer</t>
  </si>
  <si>
    <t>HydroTac 10cm x 10cm Wound Dress Soft Polymer</t>
  </si>
  <si>
    <t>HydroTac 12.5cm x 12.5cm Wound Dress Soft Polymer</t>
  </si>
  <si>
    <t>HydroTac 15cm x 15cm Wound Dress Soft Polymer</t>
  </si>
  <si>
    <t>HydroTac 20cm x 20cm Wound Dress Soft Polymer</t>
  </si>
  <si>
    <t>HydroTac 18cm x 18.5cm Heel Wound Dress Soft Polymer</t>
  </si>
  <si>
    <t>HydroTac 6cm Diameter Circular Wound Dress Soft Polymer</t>
  </si>
  <si>
    <t>HydroTac Comfort 8cm x 8cm Wound Dress Soft Polymer</t>
  </si>
  <si>
    <t>HydroTac Comfort 10cm x 20cm Wound Dress Soft Polymer</t>
  </si>
  <si>
    <t>HydroTac Comfort 12.5cm x 12.5cm Wound Dress Soft Polymer</t>
  </si>
  <si>
    <t>HydroTac Comfort 15cm x 15cm Wound Dress Soft Polymer</t>
  </si>
  <si>
    <t>HydroTac Comfort 20cm x 20cm Wound Dress Soft Polymer</t>
  </si>
  <si>
    <t>HydroTac Comfort 18cm x 18cm Sacral Wound Dress Soft Polymer</t>
  </si>
  <si>
    <t>Tielle PHMB Non-Adh 5cm x 5cm Wound Dress Soft Polymer</t>
  </si>
  <si>
    <t>Tielle PHMB Non-Adh 15cm x 15cm Wound Dress Soft Polymer</t>
  </si>
  <si>
    <t>Tielle PHMB Border 10cm x 10cm Wound Dress Soft Polymer</t>
  </si>
  <si>
    <t>Tielle PHMB Border 12.5cm x 12.5cm Wound Dress Soft Polymer</t>
  </si>
  <si>
    <t>Tielle PHMB Border 15cm x 15cm Wound Dress Soft Polymer</t>
  </si>
  <si>
    <t>Tielle PHMB Border 20cm x 20cm Wound Dress Soft Polymer</t>
  </si>
  <si>
    <t>Hydrogel</t>
  </si>
  <si>
    <t>ActivHeal Hydrogel 15g Wound Dress H/Gel Ster</t>
  </si>
  <si>
    <t>ActivHeal Hydrogel 8g Wound Dress H/Gel Ster</t>
  </si>
  <si>
    <t>Silver</t>
  </si>
  <si>
    <t>Sorbsan Silver Flat 5cm x 5cm Wound Dress Algin Ster</t>
  </si>
  <si>
    <t>Sorbsan Silver Flat 10cm x 10cm Wound Dress Algin Ster</t>
  </si>
  <si>
    <t>Sorbsan Silver Flat 10cm x 20cm Wound Dress Algin Ster</t>
  </si>
  <si>
    <t>Urgosorb Silver 5cm x 5cm Wound Dress Algin Ster</t>
  </si>
  <si>
    <t>Urgosorb Silver 10cm x 10cm Wound Dress Algin Ster</t>
  </si>
  <si>
    <t>Urgosorb Silver 10cm x 20cm Wound Dress Algin Ster</t>
  </si>
  <si>
    <t>Sorbsan Silver Plus 7.5cm x 10cm Wound Dress Algin Ster</t>
  </si>
  <si>
    <t>Sorbsan Silver Plus 10cm x 15cm Wound Dress Algin Ster</t>
  </si>
  <si>
    <t>Sorbsan Silver Plus 10cm x 20cm Wound Dress Algin Ster</t>
  </si>
  <si>
    <t>Sorbsan Silver Plus 15cm x 20cm Wound Dress Algin Ster</t>
  </si>
  <si>
    <t>Silvercel 5cm x 5cm Wound Dress H/Coll</t>
  </si>
  <si>
    <t>Silvercel 11cm x 11cm Wound Dress H/Coll</t>
  </si>
  <si>
    <t>Silvercel 2.5cm x 30.5cm Wound Dress H/Coll</t>
  </si>
  <si>
    <t>Silvercel 10cm x 20cm Wound Dress H/Coll</t>
  </si>
  <si>
    <t>PolyMem Silver 10.8cm x 10.8cm Wound Dress Polyureth</t>
  </si>
  <si>
    <t>PolyMem Silver 17cm x 19cm Wound Dress Polyureth</t>
  </si>
  <si>
    <t>PolyMem Silver 5cm x 7.6cm Wound Dress Polyureth</t>
  </si>
  <si>
    <t>PolyMem Silver 12.7cm x 8.8cm Wound Dress Polyureth</t>
  </si>
  <si>
    <t>Sorbsan Silver Packing (+ Probe) 30cm/2g Wound Dress Cavity</t>
  </si>
  <si>
    <t>Sorbsan Silver Ribbon (+ Probe) 40cm/1g Wound Dress Cavity</t>
  </si>
  <si>
    <t>Urgosorb Silver Rope 2.5cm x 30cm Wound Dress Cavity</t>
  </si>
  <si>
    <t>PolyMem Silver WIC 8cm x 8cm Wound Dress Cavity</t>
  </si>
  <si>
    <t>Acticoat 10cm x 10cm Wound Dress Silver Ctd Barrier</t>
  </si>
  <si>
    <t>Acticoat 10cm x 20cm Wound Dress Silver Ctd Barrier</t>
  </si>
  <si>
    <t>Acticoat 7 15cm x 15cm Wound Dress Silver Ctd Barrier</t>
  </si>
  <si>
    <t>Acticoat 7 10cm x 12.5cm Wound Dress Silver Ctd Barrier</t>
  </si>
  <si>
    <t>Acticoat 20cm x 40cm Wound Dress Silver Ctd Barrier</t>
  </si>
  <si>
    <t>Acticoat 7 5cm x 5cm Wound Dress Silver Ctd Barrier</t>
  </si>
  <si>
    <t>Acticoat 5cm x 5cm Wound Dress Silver Ctd Barrier</t>
  </si>
  <si>
    <t>Acticoat Moist Control 5cmx5cm Wound Dress Silver CtdBarrier</t>
  </si>
  <si>
    <t>Acticoat Moist Control 10cmx10cm Wound DressSilverCtdBarrier</t>
  </si>
  <si>
    <t>Acticoat Moist Control 10cmx20cm Wound DressSilverCtdBarrier</t>
  </si>
  <si>
    <t>Acticoat Flex 3 5cm x 5cm Wound Dress Silver Ctd Barrier</t>
  </si>
  <si>
    <t>Acticoat Flex 3 10cm x 10cm Wound Dress Silver Ctd Barrier</t>
  </si>
  <si>
    <t>Acticoat Flex 3 10cm x 20cm Wound Dress Silver Ctd Barrier</t>
  </si>
  <si>
    <t>Acticoat Flex 3 20cm x 40cm Wound Dress Silver Ctd Barrier</t>
  </si>
  <si>
    <t>Acticoat Flex 7 5cm x 5cm Wound Dress Silver Ctd Barrier</t>
  </si>
  <si>
    <t>Acticoat Flex 7 15cm x 15cm Wound Dress Silver Ctd Barrier</t>
  </si>
  <si>
    <t>Acticoat Flex 7 10cm x 12.5cm Wound Dress Silver Ctd Barrier</t>
  </si>
  <si>
    <t>Askina Calgitrol Ag 10cmx10cm Wound Dress Silver Ctd Barrier</t>
  </si>
  <si>
    <t>Askina Calgitrol Ag 15cmx15cm Wound Dress Silver Ctd Barrier</t>
  </si>
  <si>
    <t>Askina Calgitrol Ag 20cmx20cm Wound Dress Silver Ctd Barrier</t>
  </si>
  <si>
    <t>Askina Calgitrol Thin 5cmx5cm Wound Dress Silver Ctd Barrier</t>
  </si>
  <si>
    <t>Askina Calgitrol Thin 10cmx10cm WoundDress SilverCtd Barrier</t>
  </si>
  <si>
    <t>Askina Calgitrol Thin 15cmx15cm WoundDress SilverCtd Barrier</t>
  </si>
  <si>
    <t>Askina Calgitrol Thin 20cmx20cm WoundDress SilverCtd Barrier</t>
  </si>
  <si>
    <t>KerraContact Ag 5cm x 5cm Wound Dress Silver Ctd Barrier</t>
  </si>
  <si>
    <t>KerraContact Ag 15cm x 15cm Wound Dress Silver Ctd Barrier</t>
  </si>
  <si>
    <t>KerraContact Ag 10cm x 12.5cm Wound Dress Silver Ctd Barrier</t>
  </si>
  <si>
    <t>KerraContact Ag 20cm x 40cm Wound Dress Silver Ctd Barrier</t>
  </si>
  <si>
    <t>Silgen Ag Spy 10ml Wound Dress Silver Ctd Barrier</t>
  </si>
  <si>
    <t>Silgen Ag Spy 25ml Wound Dress Silver Ctd Barrier</t>
  </si>
  <si>
    <t>Askina Calgitrol Paste Silver Paste Dressing</t>
  </si>
  <si>
    <t>Alginate</t>
  </si>
  <si>
    <t>Tegaderm Alginate 5cm x 5cm Wound Dress Algin Ster</t>
  </si>
  <si>
    <t>Tegaderm Alginate 10cm x 10cm Wound Dress Algin Ster</t>
  </si>
  <si>
    <t>Tegaderm Alginate Ag 5cm x 5cm Wound Dress Algin Ster</t>
  </si>
  <si>
    <t>Tegaderm Alginate Ag 10cm x 10cm Wound Dress Algin Ster</t>
  </si>
  <si>
    <t>Cutimed Alginate 5cm x 5cm Wound Dress Algin Ster</t>
  </si>
  <si>
    <t>Cutimed Alginate 10cm x 10cm Wound Dress Algin Ster</t>
  </si>
  <si>
    <t>Cutimed Alginate 10cm x 20cm Wound Dress Algin Ster</t>
  </si>
  <si>
    <t>Biatain Alginate 5cm x 5cm Wound Dress Algin Ster</t>
  </si>
  <si>
    <t>Biatain Alginate 10cm x 10cm Wound Dress Algin Ster</t>
  </si>
  <si>
    <t>Biatain Alginate 15cm x 15cm Wound Dress Algin Ster</t>
  </si>
  <si>
    <t>ActivHeal Alginate 5cm x 5cm Wound Dress Algin Ster</t>
  </si>
  <si>
    <t>ActivHeal Alginate 10cm x 10cm Wound Dress Algin Ster</t>
  </si>
  <si>
    <t>ActivHeal Alginate 10cm x 20cm Wound Dress Algin Ster</t>
  </si>
  <si>
    <t>Biatain Alginate Ag 5cm x 5cm Wound Dress Algin Ster</t>
  </si>
  <si>
    <t>Biatain Alginate Ag 10cm x 10cm Wound Dress Algin Ster</t>
  </si>
  <si>
    <t>Biatain Alginate Ag 15cm x 15cm Wound Dress Algin Ster</t>
  </si>
  <si>
    <t>Biatain Alginate Ag 3cm x 44cm Wound Dress Algin Ster</t>
  </si>
  <si>
    <t>CovaWound Alginate 5cm x 5cm Wound Dress Algin Ster</t>
  </si>
  <si>
    <t>CovaWound Alginate 10cm x 10cm Wound Dress Algin Ster</t>
  </si>
  <si>
    <t>CovaWound Alginate 15cm x 20cm Wound Dress Algin Ster</t>
  </si>
  <si>
    <t>Biatain Alginate 44cm Wound Dress Cavity</t>
  </si>
  <si>
    <t>Tegaderm Alginate 2cm x 30.4cm Wound Dress Cavity</t>
  </si>
  <si>
    <t>Tegaderm Alginate Ag 3cm x 30cm Wound Dress Cavity</t>
  </si>
  <si>
    <t>ActivHeal Alginate Rope 2.5cm x 30cm Wound Dress Cavity</t>
  </si>
  <si>
    <t>Cutimed Alginate 2.5cm x 30cm Wound Dress Cavity</t>
  </si>
  <si>
    <t>CovaWound Alginate Rope 2cm x 30cm Wound Dress Cavity</t>
  </si>
  <si>
    <t>Cavity</t>
  </si>
  <si>
    <t>Done on a per item basis - item is prescription</t>
  </si>
  <si>
    <t xml:space="preserve">Analgesics </t>
  </si>
  <si>
    <t>gg</t>
  </si>
  <si>
    <t>0407041A0BBAAAA</t>
  </si>
  <si>
    <t>Migraleve Complete_Tab</t>
  </si>
  <si>
    <t>Analgesics with Anti-Emetics</t>
  </si>
  <si>
    <t>Central nervous system</t>
  </si>
  <si>
    <t>Treatment Of Acute Migraine</t>
  </si>
  <si>
    <t>0407041A0BBABAG</t>
  </si>
  <si>
    <t>Migraleve_Pink Tab</t>
  </si>
  <si>
    <t>0407041A0BDAAAC</t>
  </si>
  <si>
    <t>Paramax_Pdr Sach S/F</t>
  </si>
  <si>
    <t>0407041A0BDABAD</t>
  </si>
  <si>
    <t>0407041A0BIAAAJ</t>
  </si>
  <si>
    <t>Migramax_Pdr Sach</t>
  </si>
  <si>
    <t>antiinfectives (BNF sub para: antibac, BNF chapter name: infections, skin)</t>
  </si>
  <si>
    <t>0501070ABAAABAB</t>
  </si>
  <si>
    <t>Nitazoxanide_Liq Spec 100mg/5ml</t>
  </si>
  <si>
    <t>Nitazoxanide</t>
  </si>
  <si>
    <t>Infections</t>
  </si>
  <si>
    <t>Some Other Antibacterials</t>
  </si>
  <si>
    <t>0501070ACBBAAAA</t>
  </si>
  <si>
    <t>Dificlir_Tab 200mg</t>
  </si>
  <si>
    <t>Fidaxomicin</t>
  </si>
  <si>
    <t>0501070AEAAAAAA</t>
  </si>
  <si>
    <t>Fosfomycin Trometamol_Sach 3g (Old)</t>
  </si>
  <si>
    <t>Fosfomycin Trometamol</t>
  </si>
  <si>
    <t>0501070AEAAADAD</t>
  </si>
  <si>
    <t>Fosfomycin Trometamol_Sach 3g</t>
  </si>
  <si>
    <t>0501070AEBBADAD</t>
  </si>
  <si>
    <t>Monuril_Gran Sach 3g</t>
  </si>
  <si>
    <t>0501070AEBCAAAD</t>
  </si>
  <si>
    <t>Monurol_Gran Sach 3g</t>
  </si>
  <si>
    <t>0501070F0AAAAAA</t>
  </si>
  <si>
    <t>Chloramphen_Cap 250mg</t>
  </si>
  <si>
    <t>Chloramphenicol</t>
  </si>
  <si>
    <t>0501070F0AAACAC</t>
  </si>
  <si>
    <t>Chloramphen Succ_Inj Pdr 1g Vl</t>
  </si>
  <si>
    <t>0501070H0BBAAAE</t>
  </si>
  <si>
    <t>Colomycin_Tab (1,500,000u)</t>
  </si>
  <si>
    <t>Colistin Sulfate</t>
  </si>
  <si>
    <t>0501070I0AAABAB</t>
  </si>
  <si>
    <t>Colistimeth Sod_Inj 1,000,000u Vl</t>
  </si>
  <si>
    <t>Colistimethate Sodium</t>
  </si>
  <si>
    <t>0501070I0BBABAB</t>
  </si>
  <si>
    <t>Colomycin_Inj 1,000,000u Vl (Dry)</t>
  </si>
  <si>
    <t>0501070I0BBACAE</t>
  </si>
  <si>
    <t>Colomycin_Inj 2,000,000u Vl (Dry)</t>
  </si>
  <si>
    <t>0501070I0BCAAAD</t>
  </si>
  <si>
    <t>Promixin_Pdr For Neb 1mega u</t>
  </si>
  <si>
    <t>0501070I0BCABAB</t>
  </si>
  <si>
    <t>Promixin_Inj 1,000,000u Vl (Dry)</t>
  </si>
  <si>
    <t>0501070I0BDAAAG</t>
  </si>
  <si>
    <t>Colobreathe_Pdr For Inh Cap 1.663 mega u</t>
  </si>
  <si>
    <t>0501070I0BEAAAD</t>
  </si>
  <si>
    <t>ColiFin 1 MIU_Neb Pdr</t>
  </si>
  <si>
    <t>0501070I0BEABAH</t>
  </si>
  <si>
    <t>ColiFin 2 MIU_Neb Pdr</t>
  </si>
  <si>
    <t>0501070M0BBAAAA</t>
  </si>
  <si>
    <t>Fucidin_Paed Susp 250mg/5ml</t>
  </si>
  <si>
    <t>Fusidic Acid</t>
  </si>
  <si>
    <t>0501070N0BBAAAD</t>
  </si>
  <si>
    <t>Fucidin_Tab 250mg</t>
  </si>
  <si>
    <t>Sodium Fusidate</t>
  </si>
  <si>
    <t>0501070T0BBAAAA</t>
  </si>
  <si>
    <t>Targocid_Inj 400mg Vl + Dil</t>
  </si>
  <si>
    <t>Teicoplanin</t>
  </si>
  <si>
    <t>0501070T0BBABAB</t>
  </si>
  <si>
    <t>Targocid_Inj 200mg Vl + Dil</t>
  </si>
  <si>
    <t>0501070U0AAAAAA</t>
  </si>
  <si>
    <t>Vancomycin HCl_Cap 125mg</t>
  </si>
  <si>
    <t>Vancomycin Hydrochloride</t>
  </si>
  <si>
    <t>0501070U0AAABAB</t>
  </si>
  <si>
    <t>Vancomycin HCl_Cap 250mg</t>
  </si>
  <si>
    <t>0501070U0AAACAC</t>
  </si>
  <si>
    <t>Vancomycin HCl_I/V Inf 500mg Vl</t>
  </si>
  <si>
    <t>0501070U0AAAFAF</t>
  </si>
  <si>
    <t>Vancomycin HCl_I/V Inf 1g Vl</t>
  </si>
  <si>
    <t>0501070U0AAAHAH</t>
  </si>
  <si>
    <t>Vancomycin HCl_Liq Spec 50mg/5ml</t>
  </si>
  <si>
    <t>0501070U0AAAKAK</t>
  </si>
  <si>
    <t>Vancomycin HCl_Liq Spec 250mg/5ml</t>
  </si>
  <si>
    <t>0501070U0AAALAL</t>
  </si>
  <si>
    <t>Vancomycin HCl_Liq Spec 125mg/5ml</t>
  </si>
  <si>
    <t>0501070U0BBAAAA</t>
  </si>
  <si>
    <t>Vancocin Matrigel_Cap 125mg</t>
  </si>
  <si>
    <t>0501070U0BBADAC</t>
  </si>
  <si>
    <t>Vancocin_I/V Inf 500mg Vl (Dry)</t>
  </si>
  <si>
    <t>0501070U0BBAEAF</t>
  </si>
  <si>
    <t>Vancocin_I/V Inf 1g Vl (Dry)</t>
  </si>
  <si>
    <t>0501070W0AAAAAA</t>
  </si>
  <si>
    <t>Linezolid_Tab 600mg</t>
  </si>
  <si>
    <t>Linezolid</t>
  </si>
  <si>
    <t>0501070W0BBAAAA</t>
  </si>
  <si>
    <t>Zyvox_Tab 600mg</t>
  </si>
  <si>
    <t>0501070W0BBACAB</t>
  </si>
  <si>
    <t>Zyvox_Gran For Oral Susp 100mg/5ml</t>
  </si>
  <si>
    <t>0501070X0AAACAC</t>
  </si>
  <si>
    <t>Rifaximin_Oral Susp 100mg/5ml</t>
  </si>
  <si>
    <t>Rifaximin</t>
  </si>
  <si>
    <t>0501070X0BBABAC</t>
  </si>
  <si>
    <t>Normix_Oral Susp 100mg/5ml</t>
  </si>
  <si>
    <t>0501070X0BCAAAA</t>
  </si>
  <si>
    <t>Xifaxanta_Tab 200mg</t>
  </si>
  <si>
    <t>0501070X0BEAAAB</t>
  </si>
  <si>
    <t>Targaxan_Tab 550mg</t>
  </si>
  <si>
    <t>0501070Y0AAAAAA</t>
  </si>
  <si>
    <t>Daptomycin_I/V Inf 350mg Vl (Dry)</t>
  </si>
  <si>
    <t>Daptomycin</t>
  </si>
  <si>
    <t>0501070Y0BBAAAA</t>
  </si>
  <si>
    <t>Cubicin_I/V Inf 350mg Vl (Dry)</t>
  </si>
  <si>
    <t>0501070Z0AAAAAA</t>
  </si>
  <si>
    <t>Pristinamycin_Tab 500mg</t>
  </si>
  <si>
    <t>Pristinamycin</t>
  </si>
  <si>
    <t>0501070Z0BBAAAA</t>
  </si>
  <si>
    <t>Pyostacine_Tab 500mg</t>
  </si>
  <si>
    <t>1310011AABBAAAA</t>
  </si>
  <si>
    <t>Altargo_Oint 10mg/g</t>
  </si>
  <si>
    <t>Retapamulin</t>
  </si>
  <si>
    <t>Skin</t>
  </si>
  <si>
    <t>Antibacterial Preps Only Used Topically</t>
  </si>
  <si>
    <t>1310011M0AAAAAA</t>
  </si>
  <si>
    <t>Mupirocin_Oint 2%</t>
  </si>
  <si>
    <t>Mupirocin</t>
  </si>
  <si>
    <t>1310011M0BBAAAA</t>
  </si>
  <si>
    <t>Bactroban_Oint 2%</t>
  </si>
  <si>
    <t>1310011M0BBABAB</t>
  </si>
  <si>
    <t>Bactroban_Crm 2%</t>
  </si>
  <si>
    <t>1310011P0AAAAAA</t>
  </si>
  <si>
    <t>Neomycin Sulf_Crm 0.5%</t>
  </si>
  <si>
    <t>Neomycin Sulfate</t>
  </si>
  <si>
    <t>1310011W0BCAAAB</t>
  </si>
  <si>
    <t>Polyfax_Oint</t>
  </si>
  <si>
    <t>Polymyxins</t>
  </si>
  <si>
    <t>1310011Y0BBAAAA</t>
  </si>
  <si>
    <t>Flamazine_Crm 1%</t>
  </si>
  <si>
    <t>Silver Sulfadiazine</t>
  </si>
  <si>
    <t>1310012F0AAABAB</t>
  </si>
  <si>
    <t>Fusidic Acid_Crm 2%</t>
  </si>
  <si>
    <t>Antibac'ial Preps Also Used Systemically</t>
  </si>
  <si>
    <t>1310012F0BBAAAB</t>
  </si>
  <si>
    <t>Fucidin_Crm 20mg/g</t>
  </si>
  <si>
    <t>1310012F0BBABAC</t>
  </si>
  <si>
    <t>Fucidin_Gel 2%</t>
  </si>
  <si>
    <t>1310012I0AAAEAE</t>
  </si>
  <si>
    <t>Gentamicin Sulf_Crm 0.1%</t>
  </si>
  <si>
    <t>Gentamicin Sulfate</t>
  </si>
  <si>
    <t>1310012K0AAAEAE</t>
  </si>
  <si>
    <t>Metronidazole_Crm 2%</t>
  </si>
  <si>
    <t>Metronidazole</t>
  </si>
  <si>
    <t>1310012K0AAARAR</t>
  </si>
  <si>
    <t>Metronidazole_Gel 0.75%</t>
  </si>
  <si>
    <t>1310012K0AAAXAX</t>
  </si>
  <si>
    <t>Metronidazole_Crm 0.75%</t>
  </si>
  <si>
    <t>1310012K0AABIBI</t>
  </si>
  <si>
    <t>Metronidazole_Oint 10%</t>
  </si>
  <si>
    <t>1310012K0AABJBJ</t>
  </si>
  <si>
    <t>Metronidazole_Crm 1%</t>
  </si>
  <si>
    <t>1310012K0BCAAAR</t>
  </si>
  <si>
    <t>Metrogel_Gel 0.75%</t>
  </si>
  <si>
    <t>1310012K0BDAAAR</t>
  </si>
  <si>
    <t>Rozex_Gel 0.75%</t>
  </si>
  <si>
    <t>1310012K0BDABAX</t>
  </si>
  <si>
    <t>Rozex_Crm 0.75%</t>
  </si>
  <si>
    <t>1310012K0BEAAAR</t>
  </si>
  <si>
    <t>Anabact_Gel 0.75%</t>
  </si>
  <si>
    <t>1310012K0BIAAAR</t>
  </si>
  <si>
    <t>Zyomet_Gel 0.75%</t>
  </si>
  <si>
    <t>1310012K0BJAAAR</t>
  </si>
  <si>
    <t>Acea_Gel 0.75%</t>
  </si>
  <si>
    <t>1310012K0BKAAAR</t>
  </si>
  <si>
    <t>Metrosa_Gel 0.75%</t>
  </si>
  <si>
    <t>1310012K0BLAAAX</t>
  </si>
  <si>
    <t>Rosiced_Crm 0.75%</t>
  </si>
  <si>
    <t>1310012Q0BBAAAA</t>
  </si>
  <si>
    <t>Fucidin_Oint 20mg/g</t>
  </si>
  <si>
    <t>Analgeiscs (BNF sub para: analgeiscs)</t>
  </si>
  <si>
    <t>040701000BBAJA0</t>
  </si>
  <si>
    <t>4Head_Top Headache Relief Stick</t>
  </si>
  <si>
    <t>Other Non-Opioid Analgesic Preps</t>
  </si>
  <si>
    <t>Non-Opioid Analgesics And Compound Prep</t>
  </si>
  <si>
    <t>0407010AABCAAAB</t>
  </si>
  <si>
    <t>Anadin Orig_Tab 325mg/15mg</t>
  </si>
  <si>
    <t>Aspirin &amp; Caffeine</t>
  </si>
  <si>
    <t>0407010ABBBAAAA</t>
  </si>
  <si>
    <t>Lemsip_Cold &amp; Flu Lemon Pdr Sach</t>
  </si>
  <si>
    <t>Paracetamol &amp; Phenylephrine HCl</t>
  </si>
  <si>
    <t>0407010ABBBAIAA</t>
  </si>
  <si>
    <t>Lemsip_Cold &amp; Flu Blkcurrant Pdr Sach</t>
  </si>
  <si>
    <t>0407010ABBBAJAD</t>
  </si>
  <si>
    <t>Lemsip_Max Lem Tab</t>
  </si>
  <si>
    <t>0407010ABBCADAB</t>
  </si>
  <si>
    <t>Boots_Cold &amp; Flu Max Relief Lem Pdr Sach</t>
  </si>
  <si>
    <t>0407010ACBBAAAA</t>
  </si>
  <si>
    <t>Midrid_Cap 325mg/65mg</t>
  </si>
  <si>
    <t>Isometheptene Mucate</t>
  </si>
  <si>
    <t>0407010ADBBAAAA</t>
  </si>
  <si>
    <t>Nuromol_Tab 200mg/500mg</t>
  </si>
  <si>
    <t>Paracetamol &amp; Ibuprofen</t>
  </si>
  <si>
    <t>0407010ADBCAAAB</t>
  </si>
  <si>
    <t>Combogesic_Tab 500mg/150mg</t>
  </si>
  <si>
    <t>0407010B0AAA3A3</t>
  </si>
  <si>
    <t>Aspirin_Tab E/C 300mg</t>
  </si>
  <si>
    <t>Aspirin</t>
  </si>
  <si>
    <t>0407010B0AAAEAE</t>
  </si>
  <si>
    <t>Aspirin Disper_Tab 300mg</t>
  </si>
  <si>
    <t>0407010B0AAAFAF</t>
  </si>
  <si>
    <t>Aspirin_Tab 300mg</t>
  </si>
  <si>
    <t>0407010B0AABCBC</t>
  </si>
  <si>
    <t>Aspirin_Suppos 150mg</t>
  </si>
  <si>
    <t>0407010B0AABEBE</t>
  </si>
  <si>
    <t>Aspirin_Suppos 300mg</t>
  </si>
  <si>
    <t>0407010B0AABRBR</t>
  </si>
  <si>
    <t>Aspirin_(S)</t>
  </si>
  <si>
    <t>0407010B0BDAAA3</t>
  </si>
  <si>
    <t>Nu-Seals 300_Tab E/C 300mg</t>
  </si>
  <si>
    <t>0407010F0AAAAAA</t>
  </si>
  <si>
    <t>Co-Codamol_Tab 8mg/500mg</t>
  </si>
  <si>
    <t>Co-Codamol (Codeine Phos/Paracetamol)</t>
  </si>
  <si>
    <t>0407010F0AAABAB</t>
  </si>
  <si>
    <t>Co-Codamol_Cap 8mg/500mg</t>
  </si>
  <si>
    <t>0407010F0AAACAC</t>
  </si>
  <si>
    <t>Co-Codamol Eff_Tab 8mg/500mg</t>
  </si>
  <si>
    <t>0407010F0AAADAD</t>
  </si>
  <si>
    <t>Co-Codamol_Cap 30mg/500mg</t>
  </si>
  <si>
    <t>0407010F0AAAFAF</t>
  </si>
  <si>
    <t>Co-Codamol Eff_Tab 30mg/500mg</t>
  </si>
  <si>
    <t>0407010F0AAAHAH</t>
  </si>
  <si>
    <t>Co-Codamol_Tab 30mg/500mg</t>
  </si>
  <si>
    <t>0407010F0AAAKAK</t>
  </si>
  <si>
    <t>Co-Codamol_Tab 15mg/500mg</t>
  </si>
  <si>
    <t>0407010F0AAAVAV</t>
  </si>
  <si>
    <t>Co-Codamol_Cap 15mg/500mg</t>
  </si>
  <si>
    <t>0407010F0AAAYAY</t>
  </si>
  <si>
    <t>Co-Codamol_Tab 60mg/1000mg</t>
  </si>
  <si>
    <t>0407010F0BBAAAB</t>
  </si>
  <si>
    <t>Paracodol_Cap 8mg/500mg</t>
  </si>
  <si>
    <t>0407010F0BEAAAD</t>
  </si>
  <si>
    <t>Tylex_Cap 30mg/500mg</t>
  </si>
  <si>
    <t>0407010F0BEABAF</t>
  </si>
  <si>
    <t>Tylex_Tab Eff 30mg/500mg</t>
  </si>
  <si>
    <t>0407010F0BGAAAF</t>
  </si>
  <si>
    <t>Solpadol_Tab Eff 30mg/500mg</t>
  </si>
  <si>
    <t>0407010F0BGABAH</t>
  </si>
  <si>
    <t>Solpadol_Capl 30mg/500mg</t>
  </si>
  <si>
    <t>0407010F0BGACAD</t>
  </si>
  <si>
    <t>Solpadol_Cap 30mg/500mg</t>
  </si>
  <si>
    <t>0407010F0BHAAAH</t>
  </si>
  <si>
    <t>Kapake_Tab 30mg/500mg</t>
  </si>
  <si>
    <t>0407010F0BHADAD</t>
  </si>
  <si>
    <t>Kapake_Cap 30mg/500mg</t>
  </si>
  <si>
    <t>0407010F0BHAFAK</t>
  </si>
  <si>
    <t>Kapake_Tab 15mg/500mg</t>
  </si>
  <si>
    <t>0407010F0BIAAAP</t>
  </si>
  <si>
    <t>Panadol Ultra_Tab 12.8mg/500mg</t>
  </si>
  <si>
    <t>0407010F0BPAAAP</t>
  </si>
  <si>
    <t>Solpadeine Max_Tab 12.8mg/500mg</t>
  </si>
  <si>
    <t>0407010F0BSAAAH</t>
  </si>
  <si>
    <t>Zapain_Tab 30mg/500mg</t>
  </si>
  <si>
    <t>0407010F0BSABAD</t>
  </si>
  <si>
    <t>Zapain_Cap 30mg/500mg</t>
  </si>
  <si>
    <t>0407010F0BVAAAK</t>
  </si>
  <si>
    <t>Codipar_Tab 15mg/500mg</t>
  </si>
  <si>
    <t>0407010F0BVABAV</t>
  </si>
  <si>
    <t>Codipar_Cap 15mg/500mg</t>
  </si>
  <si>
    <t>0407010F0BVACAW</t>
  </si>
  <si>
    <t>Codipar_Tab Eff 15mg/500mg</t>
  </si>
  <si>
    <t>0407010F0BXAAAX</t>
  </si>
  <si>
    <t>Migraleve_Yellow Tab</t>
  </si>
  <si>
    <t>0407010F0BYAAAH</t>
  </si>
  <si>
    <t>Emcozin_Tab 30mg/500mg</t>
  </si>
  <si>
    <t>0407010H0AAA5A5</t>
  </si>
  <si>
    <t>Paracet_Oral Susp 500mg/5ml S/F</t>
  </si>
  <si>
    <t>Paracetamol</t>
  </si>
  <si>
    <t>0407010H0AAA7A7</t>
  </si>
  <si>
    <t>Paracet_Oral Soln Paed 120mg/5ml S/F</t>
  </si>
  <si>
    <t>0407010H0AAAAAA</t>
  </si>
  <si>
    <t>Paracet_Cap 500mg</t>
  </si>
  <si>
    <t>0407010H0AAABAB</t>
  </si>
  <si>
    <t>Paracet_Oral Soln Paed 120mg/5ml</t>
  </si>
  <si>
    <t>0407010H0AAACAC</t>
  </si>
  <si>
    <t>Paracet_Oral Susp 250mg/5ml</t>
  </si>
  <si>
    <t>0407010H0AAAIAI</t>
  </si>
  <si>
    <t>Paracet_Oral Susp Paed 120mg/5ml</t>
  </si>
  <si>
    <t>0407010H0AAAMAM</t>
  </si>
  <si>
    <t>Paracet_Tab 500mg</t>
  </si>
  <si>
    <t>0407010H0AAAQAQ</t>
  </si>
  <si>
    <t>Paracet_Tab Solb 500mg</t>
  </si>
  <si>
    <t>0407010H0AAAWAW</t>
  </si>
  <si>
    <t>Paracet_Oral Susp Paed 120mg/5ml S/F</t>
  </si>
  <si>
    <t>0407010H0AABGBG</t>
  </si>
  <si>
    <t>Paracet_Oral Susp 250mg/5ml S/F</t>
  </si>
  <si>
    <t>0407010H0AABNBN</t>
  </si>
  <si>
    <t>Paracet_Suppos 1g</t>
  </si>
  <si>
    <t>0407010H0AABQBQ</t>
  </si>
  <si>
    <t>Paracet_Suppos 120mg</t>
  </si>
  <si>
    <t>0407010H0AABSBS</t>
  </si>
  <si>
    <t>Paracet_Suppos 240mg</t>
  </si>
  <si>
    <t>0407010H0AABUBU</t>
  </si>
  <si>
    <t>Paracet_Suppos 500mg</t>
  </si>
  <si>
    <t>0407010H0AACBCB</t>
  </si>
  <si>
    <t>Paracet_Suppos 250mg</t>
  </si>
  <si>
    <t>0407010H0AACHCH</t>
  </si>
  <si>
    <t>Paracet_Suppos 80mg</t>
  </si>
  <si>
    <t>0407010H0AACMCM</t>
  </si>
  <si>
    <t>Paracet_Suppos 125mg</t>
  </si>
  <si>
    <t>0407010H0AACPCP</t>
  </si>
  <si>
    <t>Paracet_Liq Spec 500mg/5ml</t>
  </si>
  <si>
    <t>0407010H0AADBDB</t>
  </si>
  <si>
    <t>Paracet_Liq Spec 250mg/5ml</t>
  </si>
  <si>
    <t>0407010H0AADIDI</t>
  </si>
  <si>
    <t>Paracet_I/V Inf 10mg/ml 100ml Vl</t>
  </si>
  <si>
    <t>0407010H0AADKDK</t>
  </si>
  <si>
    <t>Paracet_I/V Inf 10mg/ml 50ml Vl</t>
  </si>
  <si>
    <t>0407010H0AADLDL</t>
  </si>
  <si>
    <t>Paracet_Tab 1g</t>
  </si>
  <si>
    <t>0407010H0AADPDP</t>
  </si>
  <si>
    <t>Paracet_Oral Soln 500mg/5ml S/F</t>
  </si>
  <si>
    <t>0407010H0AADRDR</t>
  </si>
  <si>
    <t>Paracet_Pdr Sach 500mg</t>
  </si>
  <si>
    <t>0407010H0AADSDS</t>
  </si>
  <si>
    <t>Paracet_Tab Eff 500mg</t>
  </si>
  <si>
    <t>0407010H0B3AFAM</t>
  </si>
  <si>
    <t>Boots_Paracet Capl 500mg</t>
  </si>
  <si>
    <t>0407010H0B3AIAJ</t>
  </si>
  <si>
    <t>Boots_P/Rel 3 MonPlus 120mg/5ml Sach 5ml</t>
  </si>
  <si>
    <t>0407010H0B4AAAW</t>
  </si>
  <si>
    <t>Medinol_Paed Susp 120mg/5ml C/F S/F</t>
  </si>
  <si>
    <t>0407010H0B4ABBG</t>
  </si>
  <si>
    <t>Medinol Over 6_Paracet Susp 250mg/5ml</t>
  </si>
  <si>
    <t>0407010H0BEAAAI</t>
  </si>
  <si>
    <t>Calpol_Infant Susp 120mg/5ml</t>
  </si>
  <si>
    <t>0407010H0BEADAJ</t>
  </si>
  <si>
    <t>Calpol_Infant Susp 120mg/5ml Sach 5mlS/F</t>
  </si>
  <si>
    <t>0407010H0BEAEAW</t>
  </si>
  <si>
    <t>Calpol_Infant Susp 120mg/5ml S/F</t>
  </si>
  <si>
    <t>0407010H0BEAIAW</t>
  </si>
  <si>
    <t>Calpol_Paed Susp 120mg/5ml S/F</t>
  </si>
  <si>
    <t>0407010H0BEALAC</t>
  </si>
  <si>
    <t>Calpol Six Plus_Susp 250mg/5ml</t>
  </si>
  <si>
    <t>0407010H0BEAMBG</t>
  </si>
  <si>
    <t>Calpol Six Plus_Susp 250mg/5ml C/F S/F</t>
  </si>
  <si>
    <t>0407010H0BEAQDC</t>
  </si>
  <si>
    <t>Calpol Six Plus Fastmelts_Tab 250mg</t>
  </si>
  <si>
    <t>0407010H0BEARDE</t>
  </si>
  <si>
    <t>Calpol Six Plus_Susp 250mg/5mlSach5mlS/F</t>
  </si>
  <si>
    <t>0407010H0BEASDJ</t>
  </si>
  <si>
    <t>Calpol_Infant Susp 120mg/5ml Sach 5ml</t>
  </si>
  <si>
    <t>0407010H0BEATAW</t>
  </si>
  <si>
    <t>Calpol_Infant Susp 120mg/5ml S/F C/F</t>
  </si>
  <si>
    <t>0407010H0BFAGAQ</t>
  </si>
  <si>
    <t>Panadol ActiFast Solb_Tab 500mg</t>
  </si>
  <si>
    <t>0407010H0BFAIAM</t>
  </si>
  <si>
    <t>Panadol Actifast_Tab 500mg/173mg</t>
  </si>
  <si>
    <t>0407010H0BFAJAM</t>
  </si>
  <si>
    <t>Panadol Advan_Tab 500mg</t>
  </si>
  <si>
    <t>0407010H0BFAKDL</t>
  </si>
  <si>
    <t>Panadol OA_Tab 1g</t>
  </si>
  <si>
    <t>0407010H0BJAHAS</t>
  </si>
  <si>
    <t>Disprol_Paracet Tab Solb 120mg</t>
  </si>
  <si>
    <t>0407010H0CDAACM</t>
  </si>
  <si>
    <t>Alvedon_Paed Suppos 125mg</t>
  </si>
  <si>
    <t>0407010H0CDABCW</t>
  </si>
  <si>
    <t>Alvedon_Paed Suppos 60mg</t>
  </si>
  <si>
    <t>0407010H0CDACCB</t>
  </si>
  <si>
    <t>Alvedon_Paed Suppos 250mg</t>
  </si>
  <si>
    <t>0407010H0CFABDG</t>
  </si>
  <si>
    <t>Lemsip_Phcy Non-Decongestant Pdr Sach</t>
  </si>
  <si>
    <t>0407010H0CGAAAM</t>
  </si>
  <si>
    <t>Mandanol_Tab 500mg</t>
  </si>
  <si>
    <t>0407010H0CGABAM</t>
  </si>
  <si>
    <t>Mandanol_Capl 500mg</t>
  </si>
  <si>
    <t>0407010H0CGACAW</t>
  </si>
  <si>
    <t>Mandanol_Infant Oral Susp 120mg/5ml S/F</t>
  </si>
  <si>
    <t>0407010H0CIABAM</t>
  </si>
  <si>
    <t>Lloyds_Paracet Capl 500mg</t>
  </si>
  <si>
    <t>0407010H0CKACAW</t>
  </si>
  <si>
    <t>Junior Parapaed_Susp 120mg/5ml C/F S/F</t>
  </si>
  <si>
    <t>0407010H0CMAADI</t>
  </si>
  <si>
    <t>Perfalgan_I/V Inf 10mg/ml 100ml Vl</t>
  </si>
  <si>
    <t>0407010H0CMABDK</t>
  </si>
  <si>
    <t>Perfalgan_I/V Inf 10mg/ml 50ml Vl</t>
  </si>
  <si>
    <t>0407010H0CNAAAM</t>
  </si>
  <si>
    <t>Anadin_Paracet Tab 500mg</t>
  </si>
  <si>
    <t>0407010H0CSABDG</t>
  </si>
  <si>
    <t>Bell's_Flu Strgh Hot Lem Pdr Sach 1g</t>
  </si>
  <si>
    <t>0407010H0CUAAAM</t>
  </si>
  <si>
    <t>Paravict_Tab 500mg</t>
  </si>
  <si>
    <t>0407010M0AAAAAA</t>
  </si>
  <si>
    <t>Co-Codaprin_Tab 8mg/400mg</t>
  </si>
  <si>
    <t>Co-Codaprin (Codeine Phos/Aspirin)</t>
  </si>
  <si>
    <t>0407010M0AAABAB</t>
  </si>
  <si>
    <t>Co-Codaprin Disper_Tab 8mg/400mg</t>
  </si>
  <si>
    <t>0407010M0BCAAAA</t>
  </si>
  <si>
    <t>Boots_Aspirin &amp; Codeine Tab</t>
  </si>
  <si>
    <t>0407010N0AAAAAA</t>
  </si>
  <si>
    <t>Co-Dydramol_Tab 10mg/500mg</t>
  </si>
  <si>
    <t>Co-Dydramol (Dihydrocodeine/Paracet)</t>
  </si>
  <si>
    <t>0407010N0AAACAC</t>
  </si>
  <si>
    <t>Co-Dydramol_Oral Soln 10mg/500mg/5ml</t>
  </si>
  <si>
    <t>0407010N0AAAGAG</t>
  </si>
  <si>
    <t>Co-Dydramol_Oral Susp 10mg/500mg/5ml</t>
  </si>
  <si>
    <t>0407010N0AAAHAH</t>
  </si>
  <si>
    <t>Co-Dydramol_Tab 20mg/500mg</t>
  </si>
  <si>
    <t>0407010N0AAAIAI</t>
  </si>
  <si>
    <t>Co-Dydramol_Tab 30mg/500mg</t>
  </si>
  <si>
    <t>0407010N0BGAAAH</t>
  </si>
  <si>
    <t>Remedeine_Tab</t>
  </si>
  <si>
    <t>0407010N0BGABAI</t>
  </si>
  <si>
    <t>Remedeine Fte_Tab</t>
  </si>
  <si>
    <t>0407010N0BHABAJ</t>
  </si>
  <si>
    <t>Paramol_Tab 500mg/7.46mg</t>
  </si>
  <si>
    <t>0407010N0BIAAAA</t>
  </si>
  <si>
    <t>Eroset_Tab 500mg/10mg</t>
  </si>
  <si>
    <t>0407010P0AAABAB</t>
  </si>
  <si>
    <t>Nefopam HCl_Tab 30mg</t>
  </si>
  <si>
    <t>Nefopam Hydrochloride</t>
  </si>
  <si>
    <t>0407010P0AAAFAF</t>
  </si>
  <si>
    <t>Nefopam HCl_Liq Spec 30mg/5ml</t>
  </si>
  <si>
    <t>0407010P0BBAAAB</t>
  </si>
  <si>
    <t>Acupan_Tab 30mg</t>
  </si>
  <si>
    <t>0407010Q0AAAAAA</t>
  </si>
  <si>
    <t>Co-Proxamol_Tab 32.5mg/325mg</t>
  </si>
  <si>
    <t>Co-Proxamol (Dextroprop HCl/Paracet)</t>
  </si>
  <si>
    <t>0407010Q0AAADAD</t>
  </si>
  <si>
    <t>Co-Proxamol_Liq Spec 32.5mg/325mg/5ml</t>
  </si>
  <si>
    <t>0407010U0AAACAC</t>
  </si>
  <si>
    <t>Paracet/Caffeine_Tab Eff 500mg/65mg S/F</t>
  </si>
  <si>
    <t>Paracetamol &amp; Caffeine</t>
  </si>
  <si>
    <t>0407010U0BBAAAA</t>
  </si>
  <si>
    <t>Panadol Ex_Tab</t>
  </si>
  <si>
    <t>0407010U0BBABAC</t>
  </si>
  <si>
    <t>Panadol Ex Solb_Tab</t>
  </si>
  <si>
    <t>0407010U0BBACAA</t>
  </si>
  <si>
    <t>Panadol_Ex Advan Tab 500mg/65mg</t>
  </si>
  <si>
    <t>0407010U0BDABAC</t>
  </si>
  <si>
    <t>Solpadeine Headache Solb_Tab</t>
  </si>
  <si>
    <t>0407010U0BFABAC</t>
  </si>
  <si>
    <t>Boots_Paracet Ex Solb Tab</t>
  </si>
  <si>
    <t>0407010U0BIAAAC</t>
  </si>
  <si>
    <t>Beechams_Cold Relief Orange Flav Tab Eff</t>
  </si>
  <si>
    <t>0407010W0BGAAAE</t>
  </si>
  <si>
    <t>Alka-Seltzer XS_Tab</t>
  </si>
  <si>
    <t>Aspirin Combined Preparations</t>
  </si>
  <si>
    <t>0407010W0BHAAAD</t>
  </si>
  <si>
    <t>Codis 500_Tab 500mg/8mg</t>
  </si>
  <si>
    <t>0407010W0BMAAA0</t>
  </si>
  <si>
    <t>Anadin Ex_Tab</t>
  </si>
  <si>
    <t>0407010W0BMABA0</t>
  </si>
  <si>
    <t>Anadin Ex Solb_Tab</t>
  </si>
  <si>
    <t>0407010X0BEACAJ</t>
  </si>
  <si>
    <t>Syndol_Head Relief Tab</t>
  </si>
  <si>
    <t>Paracetamol Combined Preparations</t>
  </si>
  <si>
    <t>0407010X0BMAAAJ</t>
  </si>
  <si>
    <t>Solpadeine Plus_Tab</t>
  </si>
  <si>
    <t>0407010X0BMABA0</t>
  </si>
  <si>
    <t>Solpadeine Plus_Tab Solb</t>
  </si>
  <si>
    <t>0407010X0BMACA0</t>
  </si>
  <si>
    <t>Solpadeine Plus_Cap</t>
  </si>
  <si>
    <t>0407010X0BMADA0</t>
  </si>
  <si>
    <t>Solpadeine Max Solb_Tab</t>
  </si>
  <si>
    <t>0407010X0BTACBA</t>
  </si>
  <si>
    <t>Beechams_All-In-One Syr</t>
  </si>
  <si>
    <t>0407010X0BTAFBI</t>
  </si>
  <si>
    <t>Beechams_All-In-One Tab</t>
  </si>
  <si>
    <t>0407010X0BTAHBC</t>
  </si>
  <si>
    <t>Beechams_Cold&amp;Flu Hot Blkcurrant PdrSach</t>
  </si>
  <si>
    <t>0407010X0BTAJA0</t>
  </si>
  <si>
    <t>Beechams_Flu-Plus Hot Lemon Pdr Sach</t>
  </si>
  <si>
    <t>0407010X0BTALA0</t>
  </si>
  <si>
    <t>Beechams_Max All in One Hot L/M Pdr Sach</t>
  </si>
  <si>
    <t>0407010X0BTAMA0</t>
  </si>
  <si>
    <t>Beechams_Max Strength All in One Cap</t>
  </si>
  <si>
    <t>0407010X0BVAAAT</t>
  </si>
  <si>
    <t>Panadol NightPain_Tab</t>
  </si>
  <si>
    <t>0407010X0BYABBM</t>
  </si>
  <si>
    <t>Dozol_Liq</t>
  </si>
  <si>
    <t>0407010X0BZAAAY</t>
  </si>
  <si>
    <t>Ultramol_Solb Tab</t>
  </si>
  <si>
    <t>0407010X0CFACA0</t>
  </si>
  <si>
    <t>Lemsip_Max Cold &amp; Flu Cap</t>
  </si>
  <si>
    <t>0407010X0CFADBK</t>
  </si>
  <si>
    <t>Lemsip_Max Flu Lemon Pdr Sach</t>
  </si>
  <si>
    <t>0407010X0CFAHA0</t>
  </si>
  <si>
    <t>Lemsip_Max Day&amp;Night Cold&amp;Flu Relief Cap</t>
  </si>
  <si>
    <t>0407010X0CFANA0</t>
  </si>
  <si>
    <t>Lemsip_Max All in One Cold &amp; Flu Cap</t>
  </si>
  <si>
    <t>0407010X0CKAABJ</t>
  </si>
  <si>
    <t>Covonia_Cold &amp; Flu For Oral Soln S/F</t>
  </si>
  <si>
    <t>0407010X0CLABA0</t>
  </si>
  <si>
    <t>Day Nurse_Cap</t>
  </si>
  <si>
    <t>0407010X0CMAAA0</t>
  </si>
  <si>
    <t>Night Nurse_Oral Soln</t>
  </si>
  <si>
    <t>0407010X0CMABA0</t>
  </si>
  <si>
    <t>Night Nurse_Cap</t>
  </si>
  <si>
    <t>0407010X0CRADBI</t>
  </si>
  <si>
    <t>Benylin_MucusCough&amp;ColdAllInOneReliefTab</t>
  </si>
  <si>
    <t>0407010X0CRAEBI</t>
  </si>
  <si>
    <t>Benylin_Chesty Cough &amp; Cold Tab</t>
  </si>
  <si>
    <t>0407010X0CWAAA0</t>
  </si>
  <si>
    <t>Day &amp; Night Nurse_Cap</t>
  </si>
  <si>
    <t>0407010X0CYAAA0</t>
  </si>
  <si>
    <t>Sudafed_Day &amp; Night Cap</t>
  </si>
  <si>
    <t>0407010X0CYABA0</t>
  </si>
  <si>
    <t>Sudafed_Sinus Max Strength Cap</t>
  </si>
  <si>
    <t>0407010X0CYADBI</t>
  </si>
  <si>
    <t>Sudafed_Mucus Relief T/Act Cold&amp;Flu Tab</t>
  </si>
  <si>
    <t>0407010X0CYAEA0</t>
  </si>
  <si>
    <t>Sudafed_Mucus Relief Day &amp; Night Cap</t>
  </si>
  <si>
    <t>0407010X0CYAFA0</t>
  </si>
  <si>
    <t>Sudafed_Congest&amp;HeadReliefDay &amp; NightCap</t>
  </si>
  <si>
    <t>0407010X0CYAGA0</t>
  </si>
  <si>
    <t>Sudafed_Congest&amp;HeadRelief Max Strgh Cap</t>
  </si>
  <si>
    <t>040702020AAAAAA</t>
  </si>
  <si>
    <t>Morph/Cyclizine_Inj 10mg/50mg 1ml Amp</t>
  </si>
  <si>
    <t>Morphine Tartrate &amp; Cyclizine Tartrate</t>
  </si>
  <si>
    <t>Opioid Analgesics</t>
  </si>
  <si>
    <t>040702020BBAAAA</t>
  </si>
  <si>
    <t>Cyclimorph 10_Inj 1ml Amp</t>
  </si>
  <si>
    <t>040702020BBABAB</t>
  </si>
  <si>
    <t>Cyclimorph 15_Inj 1ml Amp</t>
  </si>
  <si>
    <t>040702040AAAAAA</t>
  </si>
  <si>
    <t>Tramadol HCl_Cap 50mg</t>
  </si>
  <si>
    <t>Tramadol Hydrochloride</t>
  </si>
  <si>
    <t>040702040AAABAB</t>
  </si>
  <si>
    <t>Tramadol HCl_Inj 50mg/ml 2ml Amp</t>
  </si>
  <si>
    <t>040702040AAACAC</t>
  </si>
  <si>
    <t>Tramadol HCl_Tab 100mg M/R</t>
  </si>
  <si>
    <t>040702040AAADAD</t>
  </si>
  <si>
    <t>Tramadol HCl_Tab 150mg M/R</t>
  </si>
  <si>
    <t>040702040AAAEAE</t>
  </si>
  <si>
    <t>Tramadol HCl_Tab 200mg M/R</t>
  </si>
  <si>
    <t>040702040AAAGAG</t>
  </si>
  <si>
    <t>Tramadol HCl_Cap 50mg M/R</t>
  </si>
  <si>
    <t>040702040AAAHAH</t>
  </si>
  <si>
    <t>Tramadol HCl_Cap 100mg M/R</t>
  </si>
  <si>
    <t>040702040AAAIAI</t>
  </si>
  <si>
    <t>Tramadol HCl_Cap 150mg M/R</t>
  </si>
  <si>
    <t>040702040AAAJAJ</t>
  </si>
  <si>
    <t>Tramadol HCl_Cap 200mg M/R</t>
  </si>
  <si>
    <t>040702040AAAMAM</t>
  </si>
  <si>
    <t>Tramadol HCl_Tab 300mg M/R</t>
  </si>
  <si>
    <t>040702040AAANAN</t>
  </si>
  <si>
    <t>Tramadol HCl_Tab 400mg M/R</t>
  </si>
  <si>
    <t>040702040AAATAT</t>
  </si>
  <si>
    <t>Tramadol HCl_Orodisper Tab 50mg S/F</t>
  </si>
  <si>
    <t>040702040AAAUAU</t>
  </si>
  <si>
    <t>Tramadol HCl/Paracet_Tab 37.5mg/325mg</t>
  </si>
  <si>
    <t>040702040AAAYAY</t>
  </si>
  <si>
    <t>Tramadol HCl_Tab 50mg M/R</t>
  </si>
  <si>
    <t>040702040AAAZAZ</t>
  </si>
  <si>
    <t>Tramadol HCl_Oral Susp 50mg/5ml</t>
  </si>
  <si>
    <t>040702040AABBBB</t>
  </si>
  <si>
    <t>Tramadol HCl_Oral Dps 100mg/ml</t>
  </si>
  <si>
    <t>040702040AABCBC</t>
  </si>
  <si>
    <t>Tramadol HCl/Paracet_Tab 75mg/650mg</t>
  </si>
  <si>
    <t>040702040BBAAAA</t>
  </si>
  <si>
    <t>Zydol_Cap 50mg</t>
  </si>
  <si>
    <t>040702040BBABAB</t>
  </si>
  <si>
    <t>Zydol_Inj 100mg/2ml Amp</t>
  </si>
  <si>
    <t>040702040BBACAC</t>
  </si>
  <si>
    <t>Zydol SR_Tab 100mg</t>
  </si>
  <si>
    <t>040702040BBADAD</t>
  </si>
  <si>
    <t>Zydol SR_Tab 150mg</t>
  </si>
  <si>
    <t>040702040BBAEAE</t>
  </si>
  <si>
    <t>Zydol SR_Tab 200mg</t>
  </si>
  <si>
    <t>040702040BBAFAF</t>
  </si>
  <si>
    <t>Zydol_Tab Solb 50mg</t>
  </si>
  <si>
    <t>040702040BBAGAD</t>
  </si>
  <si>
    <t>Zydol XL_Tab 150mg</t>
  </si>
  <si>
    <t>040702040BBAHAE</t>
  </si>
  <si>
    <t>Zydol XL_Tab 200mg</t>
  </si>
  <si>
    <t>040702040BBAIAM</t>
  </si>
  <si>
    <t>Zydol XL_Tab 300mg</t>
  </si>
  <si>
    <t>040702040BBAJAN</t>
  </si>
  <si>
    <t>Zydol XL_Tab 400mg</t>
  </si>
  <si>
    <t>040702040BBAKAY</t>
  </si>
  <si>
    <t>Zydol SR_Tab 50mg</t>
  </si>
  <si>
    <t>040702040BDAAAA</t>
  </si>
  <si>
    <t>Zamadol_Cap 50mg</t>
  </si>
  <si>
    <t>040702040BDABAG</t>
  </si>
  <si>
    <t>Zamadol SR_Cap 50mg</t>
  </si>
  <si>
    <t>040702040BDACAH</t>
  </si>
  <si>
    <t>Zamadol SR_Cap 100mg</t>
  </si>
  <si>
    <t>040702040BDADAI</t>
  </si>
  <si>
    <t>Zamadol SR_Cap 150mg</t>
  </si>
  <si>
    <t>040702040BDAEAJ</t>
  </si>
  <si>
    <t>Zamadol SR_Cap 200mg</t>
  </si>
  <si>
    <t>040702040BDAFAB</t>
  </si>
  <si>
    <t>Zamadol_Inj 50mg/ml 2ml Amp</t>
  </si>
  <si>
    <t>040702040BDAGAT</t>
  </si>
  <si>
    <t>Zamadol Melt_Orodisper Tab 50mg</t>
  </si>
  <si>
    <t>040702040BDAHAD</t>
  </si>
  <si>
    <t>Zamadol 24hr_Tab 150mg</t>
  </si>
  <si>
    <t>040702040BDAIAE</t>
  </si>
  <si>
    <t>Zamadol 24hr_Tab 200mg</t>
  </si>
  <si>
    <t>040702040BDAJAM</t>
  </si>
  <si>
    <t>Zamadol 24hr_Tab 300mg</t>
  </si>
  <si>
    <t>040702040BDAKAN</t>
  </si>
  <si>
    <t>Zamadol 24hr_Tab 400mg</t>
  </si>
  <si>
    <t>040702040BEABAC</t>
  </si>
  <si>
    <t>Dromadol SR_Tab 100mg</t>
  </si>
  <si>
    <t>040702040BEADAE</t>
  </si>
  <si>
    <t>Dromadol SR_Tab 200mg</t>
  </si>
  <si>
    <t>040702040BFAAAU</t>
  </si>
  <si>
    <t>Tramacet_Tab 37.5mg/325mg</t>
  </si>
  <si>
    <t>040702040BFABBA</t>
  </si>
  <si>
    <t>Tramacet_Tab Eff 37.5mg/325mg</t>
  </si>
  <si>
    <t>040702040BGAAAC</t>
  </si>
  <si>
    <t>Larapam SR_Tab 100mg</t>
  </si>
  <si>
    <t>040702040BGABAI</t>
  </si>
  <si>
    <t>Larapam SR_Tab 150mg</t>
  </si>
  <si>
    <t>040702040BGACAJ</t>
  </si>
  <si>
    <t>Larapam SR_Tab 200mg</t>
  </si>
  <si>
    <t>040702040BHAAAC</t>
  </si>
  <si>
    <t>Mabron_Tab 100mg M/R (Morningside)</t>
  </si>
  <si>
    <t>040702040BHABAD</t>
  </si>
  <si>
    <t>Mabron_Tab 150mg M/R (Morningside)</t>
  </si>
  <si>
    <t>040702040BHACAE</t>
  </si>
  <si>
    <t>Mabron_Tab 200mg M/R (Morningside)</t>
  </si>
  <si>
    <t>040702040BHADAC</t>
  </si>
  <si>
    <t>Mabron_Tab 100mg M/R (Teva)</t>
  </si>
  <si>
    <t>040702040BHAEAD</t>
  </si>
  <si>
    <t>Mabron_Tab 150mg M/R (Teva)</t>
  </si>
  <si>
    <t>040702040BHAFAE</t>
  </si>
  <si>
    <t>Mabron_Tab 200mg M/R (Teva)</t>
  </si>
  <si>
    <t>040702040BIAAAC</t>
  </si>
  <si>
    <t>Tradorec XL_Tab 100mg</t>
  </si>
  <si>
    <t>040702040BIABAE</t>
  </si>
  <si>
    <t>Tradorec XL_Tab 200mg</t>
  </si>
  <si>
    <t>040702040BIACAM</t>
  </si>
  <si>
    <t>Tradorec XL_Tab 300mg</t>
  </si>
  <si>
    <t>040702040BJAAAG</t>
  </si>
  <si>
    <t>Tramquel SR_Cap 50mg</t>
  </si>
  <si>
    <t>040702040BJABAH</t>
  </si>
  <si>
    <t>Tramquel SR_Cap 100mg</t>
  </si>
  <si>
    <t>040702040BJACAI</t>
  </si>
  <si>
    <t>Tramquel SR_Cap 150mg</t>
  </si>
  <si>
    <t>040702040BJADAJ</t>
  </si>
  <si>
    <t>Tramquel SR_Cap 200mg</t>
  </si>
  <si>
    <t>040702040BKAAAC</t>
  </si>
  <si>
    <t>Tramulief SR_Tab 100mg</t>
  </si>
  <si>
    <t>040702040BKABAD</t>
  </si>
  <si>
    <t>Tramulief SR_Tab 150mg</t>
  </si>
  <si>
    <t>040702040BKACAE</t>
  </si>
  <si>
    <t>Tramulief SR_Tab 200mg</t>
  </si>
  <si>
    <t>040702040BLAAAC</t>
  </si>
  <si>
    <t>Zeridame SR_Tab 100mg</t>
  </si>
  <si>
    <t>040702040BLABAD</t>
  </si>
  <si>
    <t>Zeridame SR_Tab 150mg</t>
  </si>
  <si>
    <t>040702040BLACAE</t>
  </si>
  <si>
    <t>Zeridame SR_Tab 200mg</t>
  </si>
  <si>
    <t>040702040BNAAAC</t>
  </si>
  <si>
    <t>Marol_Tab 100mg M/R</t>
  </si>
  <si>
    <t>040702040BNABAD</t>
  </si>
  <si>
    <t>Marol_Tab 150mg M/R</t>
  </si>
  <si>
    <t>040702040BNACAE</t>
  </si>
  <si>
    <t>Marol_Tab 200mg M/R</t>
  </si>
  <si>
    <t>040702040BNADAE</t>
  </si>
  <si>
    <t>Marol_Tab 200mg M/R (Teva)</t>
  </si>
  <si>
    <t>040702040BNAEAD</t>
  </si>
  <si>
    <t>Marol_Tab 150mg M/R (Teva)</t>
  </si>
  <si>
    <t>040702040BNAFAC</t>
  </si>
  <si>
    <t>Marol_Tab 100mg M/R (Teva)</t>
  </si>
  <si>
    <t>040702040BPAAAG</t>
  </si>
  <si>
    <t>Maxitram SR_Cap 50mg</t>
  </si>
  <si>
    <t>040702040BPABAH</t>
  </si>
  <si>
    <t>Maxitram SR_Cap 100mg</t>
  </si>
  <si>
    <t>040702040BPACAI</t>
  </si>
  <si>
    <t>Maxitram SR_Cap 150mg</t>
  </si>
  <si>
    <t>040702040BPADAJ</t>
  </si>
  <si>
    <t>Maxitram SR_Cap 200mg</t>
  </si>
  <si>
    <t>040702040BQAAAC</t>
  </si>
  <si>
    <t>Oldaram_Tab 100mg M/R</t>
  </si>
  <si>
    <t>040702040BQABAD</t>
  </si>
  <si>
    <t>Oldaram_Tab 150mg M/R</t>
  </si>
  <si>
    <t>040702040BQACAE</t>
  </si>
  <si>
    <t>Oldaram_Tab 200mg M/R</t>
  </si>
  <si>
    <t>040702040BSAAAC</t>
  </si>
  <si>
    <t>Tilodol SR_Tab 100mg</t>
  </si>
  <si>
    <t>040702040BSABAD</t>
  </si>
  <si>
    <t>Tilodol SR_Tab 150mg</t>
  </si>
  <si>
    <t>040702040BSACAE</t>
  </si>
  <si>
    <t>Tilodol SR_Tab 200mg</t>
  </si>
  <si>
    <t>040702040BTAAAV</t>
  </si>
  <si>
    <t>Invodol SR_Tab 100mg</t>
  </si>
  <si>
    <t>040702040BTABAW</t>
  </si>
  <si>
    <t>Invodol SR_Tab 150mg</t>
  </si>
  <si>
    <t>040702040BTACAX</t>
  </si>
  <si>
    <t>Invodol SR_Tab 200mg</t>
  </si>
  <si>
    <t>040702040BUAAAC</t>
  </si>
  <si>
    <t>Maneo_Tab 100mg M/R</t>
  </si>
  <si>
    <t>040702040BUABAD</t>
  </si>
  <si>
    <t>Maneo_Tab 150mg M/R</t>
  </si>
  <si>
    <t>040702040BUACAE</t>
  </si>
  <si>
    <t>Maneo_Tab 200mg M/R</t>
  </si>
  <si>
    <t>040702040BVAAAD</t>
  </si>
  <si>
    <t>Zytram SR_Tab 150mg</t>
  </si>
  <si>
    <t>040702040BVABAP</t>
  </si>
  <si>
    <t>Zytram SR_Tab 75mg</t>
  </si>
  <si>
    <t>040702040BVACAC</t>
  </si>
  <si>
    <t>Zytram SR_Tab 100mg</t>
  </si>
  <si>
    <t>040702040BVADAE</t>
  </si>
  <si>
    <t>Zytram SR_Tab 200mg</t>
  </si>
  <si>
    <t>040702040BWAAAC</t>
  </si>
  <si>
    <t>Brimisol PR_Tab 100mg</t>
  </si>
  <si>
    <t>040702040BXAABD</t>
  </si>
  <si>
    <t>Skudexa_Tab 75mg/25mg</t>
  </si>
  <si>
    <t>040702050BBAAAE</t>
  </si>
  <si>
    <t>Palladone_Cap 1.3mg</t>
  </si>
  <si>
    <t>Hydromorphone Hydrochloride</t>
  </si>
  <si>
    <t>040702050BBABAD</t>
  </si>
  <si>
    <t>Palladone_Cap 2.6mg</t>
  </si>
  <si>
    <t>040702050BBACAF</t>
  </si>
  <si>
    <t>Palladone-SR_Cap 2mg</t>
  </si>
  <si>
    <t>040702050BBADAG</t>
  </si>
  <si>
    <t>Palladone-SR_Cap 4mg</t>
  </si>
  <si>
    <t>040702050BBAEAC</t>
  </si>
  <si>
    <t>Palladone-SR_Cap 8mg</t>
  </si>
  <si>
    <t>040702050BBAFAA</t>
  </si>
  <si>
    <t>Palladone-SR_Cap 16mg</t>
  </si>
  <si>
    <t>040702050BBAGAB</t>
  </si>
  <si>
    <t>Palladone-SR_Cap 24mg</t>
  </si>
  <si>
    <t>040702050BBAHAL</t>
  </si>
  <si>
    <t>Palladone_Inj 2mg/ml 1ml Amp</t>
  </si>
  <si>
    <t>040702050BBAJAN</t>
  </si>
  <si>
    <t>Palladone_Inj 10mg/ml 1ml Amp</t>
  </si>
  <si>
    <t>0407020A0AAAEAE</t>
  </si>
  <si>
    <t>Fentanyl_Transdermal Patch 25mcg/hr</t>
  </si>
  <si>
    <t>Fentanyl</t>
  </si>
  <si>
    <t>0407020A0AAAFAF</t>
  </si>
  <si>
    <t>Fentanyl_Transdermal Patch 50mcg/hr</t>
  </si>
  <si>
    <t>0407020A0AAAGAG</t>
  </si>
  <si>
    <t>Fentanyl_Transdermal Patch 75mcg/hr</t>
  </si>
  <si>
    <t>0407020A0AAAHAH</t>
  </si>
  <si>
    <t>Fentanyl_Transdermal Patch 100mcg/hr</t>
  </si>
  <si>
    <t>0407020A0BBAAAE</t>
  </si>
  <si>
    <t>Durogesic_Transdermal Patch 25mcg</t>
  </si>
  <si>
    <t>0407020A0BBABAF</t>
  </si>
  <si>
    <t>Durogesic_Transdermal Patch 50mcg</t>
  </si>
  <si>
    <t>0407020A0BBACAG</t>
  </si>
  <si>
    <t>Durogesic_Transdermal Patch 75mcg</t>
  </si>
  <si>
    <t>0407020A0BBADAH</t>
  </si>
  <si>
    <t>Durogesic_Transdermal Patch 100mcg</t>
  </si>
  <si>
    <t>0407020A0BBAIAE</t>
  </si>
  <si>
    <t>Durogesic DTrans_T/Derm Patch 25mcg</t>
  </si>
  <si>
    <t>0407020A0BBAJAF</t>
  </si>
  <si>
    <t>Durogesic DTrans_T/Derm Patch 50mcg</t>
  </si>
  <si>
    <t>0407020A0BBAKAG</t>
  </si>
  <si>
    <t>Durogesic DTrans_T/Derm Patch 75mcg</t>
  </si>
  <si>
    <t>0407020A0BBALAH</t>
  </si>
  <si>
    <t>Durogesic DTrans_T/Derm Patch 100mcg</t>
  </si>
  <si>
    <t>0407020A0BBAMAU</t>
  </si>
  <si>
    <t>Durogesic DTrans_T/Derm Patch 12mcg</t>
  </si>
  <si>
    <t>0407020A0BCAAAI</t>
  </si>
  <si>
    <t>Actiq_Loz 200mcg</t>
  </si>
  <si>
    <t>0407020A0BCABAJ</t>
  </si>
  <si>
    <t>Actiq_Loz 400mcg</t>
  </si>
  <si>
    <t>0407020A0BCACAK</t>
  </si>
  <si>
    <t>Actiq_Loz 600mcg</t>
  </si>
  <si>
    <t>0407020A0BCADAL</t>
  </si>
  <si>
    <t>Actiq_Loz 800mcg</t>
  </si>
  <si>
    <t>0407020A0BCAEAN</t>
  </si>
  <si>
    <t>Actiq_Loz 1.2mg</t>
  </si>
  <si>
    <t>0407020A0BCAFAP</t>
  </si>
  <si>
    <t>Actiq_Loz 1.6mg</t>
  </si>
  <si>
    <t>0407020A0BEAAAU</t>
  </si>
  <si>
    <t>Matrifen_Patch 12mcg/hr</t>
  </si>
  <si>
    <t>0407020A0BEABAE</t>
  </si>
  <si>
    <t>Matrifen_Patch 25mcg/hr</t>
  </si>
  <si>
    <t>0407020A0BEACAF</t>
  </si>
  <si>
    <t>Matrifen_Patch 50mcg/hr</t>
  </si>
  <si>
    <t>0407020A0BEADAG</t>
  </si>
  <si>
    <t>Matrifen_Patch 75mcg/hr</t>
  </si>
  <si>
    <t>0407020A0BEAEAH</t>
  </si>
  <si>
    <t>Matrifen_Patch 100mcg/hr</t>
  </si>
  <si>
    <t>0407020A0BFAAAU</t>
  </si>
  <si>
    <t>Mezolar Matrix_TransdermalPatch 12mcg/hr</t>
  </si>
  <si>
    <t>0407020A0BFABAE</t>
  </si>
  <si>
    <t>Mezolar Matrix_TransdermalPatch 25mcg/hr</t>
  </si>
  <si>
    <t>0407020A0BFACAF</t>
  </si>
  <si>
    <t>Mezolar Matrix_TransdermalPatch 50mcg/hr</t>
  </si>
  <si>
    <t>0407020A0BFADAG</t>
  </si>
  <si>
    <t>Mezolar Matrix_TransdermalPatch 75mcg/hr</t>
  </si>
  <si>
    <t>0407020A0BFAEAH</t>
  </si>
  <si>
    <t>Mezolar Matrix_TransdermalPatch100mcg/hr</t>
  </si>
  <si>
    <t>0407020A0BFAFBW</t>
  </si>
  <si>
    <t>Mezolar Matrix_T/Derm Patch 37.5mcg/hr</t>
  </si>
  <si>
    <t>0407020A0BGAAAE</t>
  </si>
  <si>
    <t>Fentalis Reservoir_T/Derm Patch 25mcg/hr</t>
  </si>
  <si>
    <t>0407020A0BGABAF</t>
  </si>
  <si>
    <t>Fentalis Reservoir_T/Derm Patch 50mcg/hr</t>
  </si>
  <si>
    <t>0407020A0BGACAG</t>
  </si>
  <si>
    <t>Fentalis Reservoir_T/Derm Patch 75mcg/hr</t>
  </si>
  <si>
    <t>0407020A0BGADAH</t>
  </si>
  <si>
    <t>Fentalis Reservoir_T/Derm Patch100mcg/hr</t>
  </si>
  <si>
    <t>0407020A0BJAAAW</t>
  </si>
  <si>
    <t>Abstral_Tab Sublingual 100mcg</t>
  </si>
  <si>
    <t>0407020A0BJABAX</t>
  </si>
  <si>
    <t>Abstral_Tab Sublingual 200mcg</t>
  </si>
  <si>
    <t>0407020A0BJACAY</t>
  </si>
  <si>
    <t>Abstral_Tab Sublingual 300mcg</t>
  </si>
  <si>
    <t>0407020A0BJADAZ</t>
  </si>
  <si>
    <t>Abstral_Tab Sublingual 400mcg</t>
  </si>
  <si>
    <t>0407020A0BJAEBA</t>
  </si>
  <si>
    <t>Abstral_Tab Sublingual 600mcg</t>
  </si>
  <si>
    <t>0407020A0BJAFBB</t>
  </si>
  <si>
    <t>Abstral_Tab Sublingual 800mcg</t>
  </si>
  <si>
    <t>0407020A0BKAABC</t>
  </si>
  <si>
    <t>Effentora_Tab Buccal 100mcg</t>
  </si>
  <si>
    <t>0407020A0BKABBD</t>
  </si>
  <si>
    <t>Effentora_Tab Buccal 200mcg</t>
  </si>
  <si>
    <t>0407020A0BKACBE</t>
  </si>
  <si>
    <t>Effentora_Tab Buccal 400mcg</t>
  </si>
  <si>
    <t>0407020A0BKADBF</t>
  </si>
  <si>
    <t>Effentora_Tab Buccal 600mcg</t>
  </si>
  <si>
    <t>0407020A0BKAEBG</t>
  </si>
  <si>
    <t>Effentora_Tab Buccal 800mcg</t>
  </si>
  <si>
    <t>0407020A0BLAAAE</t>
  </si>
  <si>
    <t>Osmanil_Transdermal Patch 25mcg/hr</t>
  </si>
  <si>
    <t>0407020A0BLABAF</t>
  </si>
  <si>
    <t>Osmanil_Transdermal Patch 50mcg/hr</t>
  </si>
  <si>
    <t>0407020A0BLADAH</t>
  </si>
  <si>
    <t>Osmanil_Transdermal Patch 100mcg/hr</t>
  </si>
  <si>
    <t>0407020A0BMAAAE</t>
  </si>
  <si>
    <t>Victanyl_Transdermal Patch 25mcg/hr</t>
  </si>
  <si>
    <t>0407020A0BMABAF</t>
  </si>
  <si>
    <t>Victanyl_Transdermal Patch 50mcg/hr</t>
  </si>
  <si>
    <t>0407020A0BMACAG</t>
  </si>
  <si>
    <t>Victanyl_Transdermal Patch 75mcg/hr</t>
  </si>
  <si>
    <t>0407020A0BMADAH</t>
  </si>
  <si>
    <t>Victanyl_Transdermal Patch 100mcg/hr</t>
  </si>
  <si>
    <t>0407020A0BMAEAU</t>
  </si>
  <si>
    <t>Victanyl_Transdermal Patch 12mcg/hr</t>
  </si>
  <si>
    <t>0407020A0BNAABH</t>
  </si>
  <si>
    <t>Instanyl_Nsl Spy 50mcg (10D)</t>
  </si>
  <si>
    <t>0407020A0BNABBI</t>
  </si>
  <si>
    <t>Instanyl_Nsl Spy 50mcg (20D)</t>
  </si>
  <si>
    <t>0407020A0BNACBJ</t>
  </si>
  <si>
    <t>Instanyl_Nsl Spy 100mcg (10D)</t>
  </si>
  <si>
    <t>0407020A0BNADBK</t>
  </si>
  <si>
    <t>Instanyl_Nsl Spy 100mcg (20D)</t>
  </si>
  <si>
    <t>0407020A0BNAEBL</t>
  </si>
  <si>
    <t>Instanyl_Nsl Spy 200mcg (10D)</t>
  </si>
  <si>
    <t>0407020A0BNAFBM</t>
  </si>
  <si>
    <t>Instanyl_Nsl Spy 200mcg (20D)</t>
  </si>
  <si>
    <t>0407020A0BNAGBQ</t>
  </si>
  <si>
    <t>Instanyl_Nsl Spy 200mcg/0.1ml Ud (6D)</t>
  </si>
  <si>
    <t>0407020A0BNAHBR</t>
  </si>
  <si>
    <t>Instanyl_Nsl Spy 100mcg/0.1ml Ud (6D)</t>
  </si>
  <si>
    <t>0407020A0BNAIBS</t>
  </si>
  <si>
    <t>Instanyl_Nsl Spy 50mcg/0.1ml Ud (6D)</t>
  </si>
  <si>
    <t>0407020A0BPAABN</t>
  </si>
  <si>
    <t>PecFent_Nsl Spy 100mcg (8D)</t>
  </si>
  <si>
    <t>0407020A0BPABBP</t>
  </si>
  <si>
    <t>PecFent_Nsl Spy 400mcg (8D)</t>
  </si>
  <si>
    <t>0407020A0BQAAAU</t>
  </si>
  <si>
    <t>Fencino_Transdermal Patch 12mcg/hr</t>
  </si>
  <si>
    <t>0407020A0BQABAE</t>
  </si>
  <si>
    <t>Fencino_Transdermal Patch 25mcg/hr</t>
  </si>
  <si>
    <t>0407020A0BQACAF</t>
  </si>
  <si>
    <t>Fencino_Transdermal Patch 50mcg/hr</t>
  </si>
  <si>
    <t>0407020A0BQADAG</t>
  </si>
  <si>
    <t>Fencino_Transdermal Patch 75mcg/hr</t>
  </si>
  <si>
    <t>0407020A0BQAEAH</t>
  </si>
  <si>
    <t>Fencino_Transdermal Patch 100mcg/hr</t>
  </si>
  <si>
    <t>0407020A0BRAAAU</t>
  </si>
  <si>
    <t>Opiodur_T/Derm Patch 12mcg/hr (Pfizer)</t>
  </si>
  <si>
    <t>0407020A0BRABAE</t>
  </si>
  <si>
    <t>Opiodur_T/Derm Patch 25mcg/hr (Pfizer)</t>
  </si>
  <si>
    <t>0407020A0BRACAG</t>
  </si>
  <si>
    <t>Opiodur_T/Derm Patch 75mcg/hr (Pfizer)</t>
  </si>
  <si>
    <t>0407020A0BRAEAF</t>
  </si>
  <si>
    <t>Opiodur_T/Derm Patch 50mcg/hr (Pfizer)</t>
  </si>
  <si>
    <t>0407020A0BRAFAU</t>
  </si>
  <si>
    <t>Opiodur_Transdermal Patch 12mcg/hr</t>
  </si>
  <si>
    <t>0407020A0BRAGAE</t>
  </si>
  <si>
    <t>Opiodur_Transdermal Patch 25mcg/hr</t>
  </si>
  <si>
    <t>0407020A0BRAHAF</t>
  </si>
  <si>
    <t>Opiodur_Transdermal Patch 50mcg/hr</t>
  </si>
  <si>
    <t>0407020A0BRAIAG</t>
  </si>
  <si>
    <t>Opiodur_Transdermal Patch 75mcg/hr</t>
  </si>
  <si>
    <t>0407020A0BRAJAH</t>
  </si>
  <si>
    <t>Opiodur_Transdermal Patch 100mcg/hr</t>
  </si>
  <si>
    <t>0407020A0BTABAZ</t>
  </si>
  <si>
    <t>Recivit_Tab Sublingual 400mcg</t>
  </si>
  <si>
    <t>0407020A0BUAAAU</t>
  </si>
  <si>
    <t>Mylafent_Transdermal Patch 12mcg/hr</t>
  </si>
  <si>
    <t>0407020A0BUABAE</t>
  </si>
  <si>
    <t>Mylafent_Transdermal Patch 25mcg/hr</t>
  </si>
  <si>
    <t>0407020A0BUACAF</t>
  </si>
  <si>
    <t>Mylafent_Transdermal Patch 50mcg/hr</t>
  </si>
  <si>
    <t>0407020A0BVAAAU</t>
  </si>
  <si>
    <t>Yemex_Transdermal Patch 12mcg/hr</t>
  </si>
  <si>
    <t>0407020A0BVABAE</t>
  </si>
  <si>
    <t>Yemex_Transdermal Patch 25mcg/hr</t>
  </si>
  <si>
    <t>0407020A0BVACAF</t>
  </si>
  <si>
    <t>Yemex_Transdermal Patch 50mcg/hr</t>
  </si>
  <si>
    <t>0407020A0BVADAG</t>
  </si>
  <si>
    <t>Yemex_Transdermal Patch 75mcg/hr</t>
  </si>
  <si>
    <t>0407020A0BVAEAH</t>
  </si>
  <si>
    <t>Yemex_Transdermal Patch 100mcg/hr</t>
  </si>
  <si>
    <t>0407020ABAAAPAP</t>
  </si>
  <si>
    <t>Papaveretum_Inj 30mg/ml 1ml Amp</t>
  </si>
  <si>
    <t>Papaveretum</t>
  </si>
  <si>
    <t>0407020ADAAAAAA</t>
  </si>
  <si>
    <t>Oxycodone HCl_Oral Soln 5mg/5ml S/F</t>
  </si>
  <si>
    <t>Oxycodone Hydrochloride</t>
  </si>
  <si>
    <t>0407020ADAAABAB</t>
  </si>
  <si>
    <t>Oxycodone HCl_Oral Soln 10mg/1ml S/F</t>
  </si>
  <si>
    <t>0407020ADAAAFAF</t>
  </si>
  <si>
    <t>Oxycodone HCl_Tab 10mg M/R</t>
  </si>
  <si>
    <t>0407020ADAAAJAJ</t>
  </si>
  <si>
    <t>Oxycodone HCl_Liq Spec 5mg/5ml</t>
  </si>
  <si>
    <t>0407020ADAAAKAK</t>
  </si>
  <si>
    <t>Oxycodone HCl_Tab 5mg M/R</t>
  </si>
  <si>
    <t>0407020ADAAALAL</t>
  </si>
  <si>
    <t>Oxycodone HCl_Inj 10mg/ml 1ml Amp</t>
  </si>
  <si>
    <t>0407020ADAAAMAM</t>
  </si>
  <si>
    <t>Oxycodone HCl_Inj 10mg/ml 2ml Amp</t>
  </si>
  <si>
    <t>0407020ADAAANAN</t>
  </si>
  <si>
    <t>Oxycodone HCl_Inj 50mg/ml 1ml Amp</t>
  </si>
  <si>
    <t>0407020ADBBAAAA</t>
  </si>
  <si>
    <t>OxyNorm_Oral Soln 5mg/5ml S/F</t>
  </si>
  <si>
    <t>0407020ADBBABAB</t>
  </si>
  <si>
    <t>OxyNorm_Liq Conc 10mg/1ml S/F</t>
  </si>
  <si>
    <t>0407020ADBBACAC</t>
  </si>
  <si>
    <t>OxyNorm_Cap 5mg</t>
  </si>
  <si>
    <t>0407020ADBBADAD</t>
  </si>
  <si>
    <t>OxyNorm_Cap 10mg</t>
  </si>
  <si>
    <t>0407020ADBBAEAE</t>
  </si>
  <si>
    <t>OxyNorm_Cap 20mg</t>
  </si>
  <si>
    <t>0407020ADBBAFAL</t>
  </si>
  <si>
    <t>OxyNorm_Inj 10mg/ml 1ml Amp</t>
  </si>
  <si>
    <t>0407020ADBBAGAM</t>
  </si>
  <si>
    <t>OxyNorm_Inj 10mg/ml 2ml Amp</t>
  </si>
  <si>
    <t>0407020ADBBAHAN</t>
  </si>
  <si>
    <t>OxyNorm_Inj 50mg/ml 1ml Amp</t>
  </si>
  <si>
    <t>0407020ADBCAAAF</t>
  </si>
  <si>
    <t>OxyContin_Tab 10mg M/R</t>
  </si>
  <si>
    <t>0407020ADBCABAG</t>
  </si>
  <si>
    <t>OxyContin_Tab 20mg M/R</t>
  </si>
  <si>
    <t>0407020ADBCACAH</t>
  </si>
  <si>
    <t>OxyContin_Tab 40mg M/R</t>
  </si>
  <si>
    <t>0407020ADBCADAI</t>
  </si>
  <si>
    <t>OxyContin_Tab 80mg M/R</t>
  </si>
  <si>
    <t>0407020ADBCAEAK</t>
  </si>
  <si>
    <t>OxyContin_Tab 5mg M/R</t>
  </si>
  <si>
    <t>0407020ADBCAFAP</t>
  </si>
  <si>
    <t>OxyContin_Tab 120mg M/R</t>
  </si>
  <si>
    <t>0407020ADBCAGAQ</t>
  </si>
  <si>
    <t>OxyContin_Tab 60mg M/R</t>
  </si>
  <si>
    <t>0407020ADBCAHAR</t>
  </si>
  <si>
    <t>OxyContin_Tab 30mg M/R</t>
  </si>
  <si>
    <t>0407020ADBCAIAS</t>
  </si>
  <si>
    <t>OxyContin_Tab 15mg M/R</t>
  </si>
  <si>
    <t>0407020ADBDAAAK</t>
  </si>
  <si>
    <t>Carexil_Tab 5mg M/R</t>
  </si>
  <si>
    <t>0407020ADBDABAF</t>
  </si>
  <si>
    <t>Carexil_Tab 10mg M/R</t>
  </si>
  <si>
    <t>0407020ADBDACAG</t>
  </si>
  <si>
    <t>Carexil_Tab 20mg M/R</t>
  </si>
  <si>
    <t>0407020ADBDADAH</t>
  </si>
  <si>
    <t>Carexil_Tab 40mg M/R</t>
  </si>
  <si>
    <t>0407020ADBDAEAI</t>
  </si>
  <si>
    <t>Carexil_Tab 80mg M/R</t>
  </si>
  <si>
    <t>0407020ADBEAAAK</t>
  </si>
  <si>
    <t>Longtec_Tab 5mg M/R</t>
  </si>
  <si>
    <t>0407020ADBEABAF</t>
  </si>
  <si>
    <t>Longtec_Tab 10mg M/R</t>
  </si>
  <si>
    <t>0407020ADBEACAG</t>
  </si>
  <si>
    <t>Longtec_Tab 20mg M/R</t>
  </si>
  <si>
    <t>0407020ADBEADAH</t>
  </si>
  <si>
    <t>Longtec_Tab 40mg M/R</t>
  </si>
  <si>
    <t>0407020ADBEAEAI</t>
  </si>
  <si>
    <t>Longtec_Tab 80mg M/R</t>
  </si>
  <si>
    <t>0407020ADBEAFAP</t>
  </si>
  <si>
    <t>Longtec_Tab 120mg M/R</t>
  </si>
  <si>
    <t>0407020ADBEAGAS</t>
  </si>
  <si>
    <t>Longtec_Tab 15mg M/R</t>
  </si>
  <si>
    <t>0407020ADBEAHAR</t>
  </si>
  <si>
    <t>Longtec_Tab 30mg M/R</t>
  </si>
  <si>
    <t>0407020ADBEAIAQ</t>
  </si>
  <si>
    <t>Longtec_Tab 60mg M/R</t>
  </si>
  <si>
    <t>0407020ADBFAAAK</t>
  </si>
  <si>
    <t>Oxylan_Tab 5mg M/R</t>
  </si>
  <si>
    <t>0407020ADBFABAF</t>
  </si>
  <si>
    <t>Oxylan_Tab 10mg M/R</t>
  </si>
  <si>
    <t>0407020ADBFACAG</t>
  </si>
  <si>
    <t>Oxylan_Tab 20mg M/R</t>
  </si>
  <si>
    <t>0407020ADBFADAH</t>
  </si>
  <si>
    <t>Oxylan_Tab 40mg M/R</t>
  </si>
  <si>
    <t>0407020ADBFAEAI</t>
  </si>
  <si>
    <t>Oxylan_Tab 80mg M/R</t>
  </si>
  <si>
    <t>0407020ADBHAAAC</t>
  </si>
  <si>
    <t>Lynlor_Cap 5mg</t>
  </si>
  <si>
    <t>0407020ADBHABAD</t>
  </si>
  <si>
    <t>Lynlor_Cap 10mg</t>
  </si>
  <si>
    <t>0407020ADBHACAE</t>
  </si>
  <si>
    <t>Lynlor_Cap 20mg</t>
  </si>
  <si>
    <t>0407020ADBJAAAC</t>
  </si>
  <si>
    <t>Shortec_Cap 5mg</t>
  </si>
  <si>
    <t>0407020ADBJABAD</t>
  </si>
  <si>
    <t>Shortec_Cap 10mg</t>
  </si>
  <si>
    <t>0407020ADBJACAE</t>
  </si>
  <si>
    <t>Shortec_Cap 20mg</t>
  </si>
  <si>
    <t>0407020ADBJADAL</t>
  </si>
  <si>
    <t>Shortec_Inj 10mg/ml 1ml Amp</t>
  </si>
  <si>
    <t>0407020ADBJAEAM</t>
  </si>
  <si>
    <t>Shortec_Inj 10mg/ml 2ml Amp</t>
  </si>
  <si>
    <t>0407020ADBJAFAN</t>
  </si>
  <si>
    <t>Shortec_Inj 50mg/ml 1ml Amp</t>
  </si>
  <si>
    <t>0407020ADBJAGAA</t>
  </si>
  <si>
    <t>Shortec_Oral Soln 5mg/5ml</t>
  </si>
  <si>
    <t>0407020ADBJAHAB</t>
  </si>
  <si>
    <t>Shortec_Oral Soln Conc 10mg/1ml</t>
  </si>
  <si>
    <t>0407020ADBKAAAK</t>
  </si>
  <si>
    <t>Reltebon_Tab 5mg M/R</t>
  </si>
  <si>
    <t>0407020ADBKABAF</t>
  </si>
  <si>
    <t>Reltebon_Tab 10mg M/R</t>
  </si>
  <si>
    <t>0407020ADBKACAG</t>
  </si>
  <si>
    <t>Reltebon_Tab 20mg M/R</t>
  </si>
  <si>
    <t>0407020ADBKADAH</t>
  </si>
  <si>
    <t>Reltebon_Tab 40mg M/R</t>
  </si>
  <si>
    <t>0407020ADBKAEAI</t>
  </si>
  <si>
    <t>Reltebon_Tab 80mg M/R</t>
  </si>
  <si>
    <t>0407020ADBKAFAS</t>
  </si>
  <si>
    <t>Reltebon_Tab 15mg M/R</t>
  </si>
  <si>
    <t>0407020ADBKAGAR</t>
  </si>
  <si>
    <t>Reltebon_Tab 30mg M/R</t>
  </si>
  <si>
    <t>0407020ADBKAHAQ</t>
  </si>
  <si>
    <t>Reltebon_Tab 60mg M/R</t>
  </si>
  <si>
    <t>0407020ADBLAAAK</t>
  </si>
  <si>
    <t>Oxeltra_Tab 5mg M/R</t>
  </si>
  <si>
    <t>0407020ADBLABAI</t>
  </si>
  <si>
    <t>Oxeltra_Tab 80mg M/R</t>
  </si>
  <si>
    <t>0407020ADBLACAR</t>
  </si>
  <si>
    <t>Oxeltra_Tab 30mg M/R</t>
  </si>
  <si>
    <t>0407020ADBLADAQ</t>
  </si>
  <si>
    <t>Oxeltra_Tab 60mg M/R</t>
  </si>
  <si>
    <t>0407020ADBLAEAH</t>
  </si>
  <si>
    <t>Oxeltra_Tab 40mg M/R</t>
  </si>
  <si>
    <t>0407020ADBLAFAF</t>
  </si>
  <si>
    <t>Oxeltra_Tab 10mg M/R</t>
  </si>
  <si>
    <t>0407020ADBLAGAS</t>
  </si>
  <si>
    <t>Oxeltra_Tab 15mg M/R</t>
  </si>
  <si>
    <t>0407020ADBLAHAG</t>
  </si>
  <si>
    <t>Oxeltra_Tab 20mg M/R</t>
  </si>
  <si>
    <t>0407020ADBMAAAK</t>
  </si>
  <si>
    <t>Abtard_Tab 5mg M/R</t>
  </si>
  <si>
    <t>0407020ADBMABAF</t>
  </si>
  <si>
    <t>Abtard_Tab 10mg M/R</t>
  </si>
  <si>
    <t>0407020ADBMACAS</t>
  </si>
  <si>
    <t>Abtard_Tab 15mg M/R</t>
  </si>
  <si>
    <t>0407020ADBMADAG</t>
  </si>
  <si>
    <t>Abtard_Tab 20mg M/R</t>
  </si>
  <si>
    <t>0407020ADBMAEAH</t>
  </si>
  <si>
    <t>Abtard_Tab 40mg M/R</t>
  </si>
  <si>
    <t>0407020ADBMAFAR</t>
  </si>
  <si>
    <t>Abtard_Tab 30mg M/R</t>
  </si>
  <si>
    <t>0407020ADBMAGAQ</t>
  </si>
  <si>
    <t>Abtard_Tab 60mg M/R</t>
  </si>
  <si>
    <t>0407020ADBMAHAI</t>
  </si>
  <si>
    <t>Abtard_Tab 80mg M/R</t>
  </si>
  <si>
    <t>0407020ADBNAAAI</t>
  </si>
  <si>
    <t>Zomestine_Tab 80mg M/R</t>
  </si>
  <si>
    <t>0407020ADBNABAH</t>
  </si>
  <si>
    <t>Zomestine_Tab 40mg M/R</t>
  </si>
  <si>
    <t>0407020ADBNACAK</t>
  </si>
  <si>
    <t>Zomestine_Tab 5mg M/R</t>
  </si>
  <si>
    <t>0407020ADBNADAF</t>
  </si>
  <si>
    <t>Zomestine_Tab 10mg M/R</t>
  </si>
  <si>
    <t>0407020ADBNAEAG</t>
  </si>
  <si>
    <t>Zomestine_Tab 20mg M/R</t>
  </si>
  <si>
    <t>0407020ADBPAAAK</t>
  </si>
  <si>
    <t>Leveraxo_Tab 5mg M/R</t>
  </si>
  <si>
    <t>0407020ADBPABAF</t>
  </si>
  <si>
    <t>Leveraxo_Tab 10mg M/R</t>
  </si>
  <si>
    <t>0407020ADBPACAG</t>
  </si>
  <si>
    <t>Leveraxo_Tab 20mg M/R</t>
  </si>
  <si>
    <t>0407020ADBPADAR</t>
  </si>
  <si>
    <t>Leveraxo_Tab 30mg M/R</t>
  </si>
  <si>
    <t>0407020ADBPAEAH</t>
  </si>
  <si>
    <t>Leveraxo_Tab 40mg M/R</t>
  </si>
  <si>
    <t>0407020ADBQAAAF</t>
  </si>
  <si>
    <t>Onexila XL_Tab 10mg</t>
  </si>
  <si>
    <t>0407020ADBQABAG</t>
  </si>
  <si>
    <t>Onexila XL_Tab 20mg</t>
  </si>
  <si>
    <t>0407020ADBQACAH</t>
  </si>
  <si>
    <t>Onexila XL_Tab 40mg</t>
  </si>
  <si>
    <t>0407020ADBQADAI</t>
  </si>
  <si>
    <t>Onexila XL_Tab 80mg</t>
  </si>
  <si>
    <t>0407020ADBRADAG</t>
  </si>
  <si>
    <t>Renocontin_Tab 20mg M/R</t>
  </si>
  <si>
    <t>0407020ADBSAAAK</t>
  </si>
  <si>
    <t>Oxypro_Tab 5mg M/R</t>
  </si>
  <si>
    <t>0407020ADBSABAF</t>
  </si>
  <si>
    <t>Oxypro_Tab 10mg M/R</t>
  </si>
  <si>
    <t>0407020ADBSADAG</t>
  </si>
  <si>
    <t>Oxypro_Tab 20mg M/R</t>
  </si>
  <si>
    <t>0407020ADBSAFAH</t>
  </si>
  <si>
    <t>Oxypro_Tab 40mg M/R</t>
  </si>
  <si>
    <t>0407020ADBSAGAQ</t>
  </si>
  <si>
    <t>Oxypro_Tab 60mg M/R</t>
  </si>
  <si>
    <t>0407020AFBBAAAA</t>
  </si>
  <si>
    <t>Targinact_Tab 10mg/5mg M/R</t>
  </si>
  <si>
    <t>Oxycodone HCl/Naloxone HCl</t>
  </si>
  <si>
    <t>0407020AFBBABAB</t>
  </si>
  <si>
    <t>Targinact_Tab 20mg/10mg M/R</t>
  </si>
  <si>
    <t>0407020AFBBACAC</t>
  </si>
  <si>
    <t>Targinact_Tab 5mg/2.5mg M/R</t>
  </si>
  <si>
    <t>0407020AFBBADAD</t>
  </si>
  <si>
    <t>Targinact_Tab 40mg/20mg M/R</t>
  </si>
  <si>
    <t>0407020AGBBAAAA</t>
  </si>
  <si>
    <t>Palexia_Tab 50mg</t>
  </si>
  <si>
    <t>Tapentadol Hydrochloride</t>
  </si>
  <si>
    <t>0407020AGBBABAB</t>
  </si>
  <si>
    <t>Palexia_Tab 75mg</t>
  </si>
  <si>
    <t>0407020AGBBACAC</t>
  </si>
  <si>
    <t>Palexia_SR Tab 50mg</t>
  </si>
  <si>
    <t>0407020AGBBADAD</t>
  </si>
  <si>
    <t>Palexia_SR Tab 100mg</t>
  </si>
  <si>
    <t>0407020AGBBAEAE</t>
  </si>
  <si>
    <t>Palexia_SR Tab 150mg</t>
  </si>
  <si>
    <t>0407020AGBBAFAF</t>
  </si>
  <si>
    <t>Palexia_SR Tab 200mg</t>
  </si>
  <si>
    <t>0407020AGBBAGAG</t>
  </si>
  <si>
    <t>Palexia_SR Tab 250mg</t>
  </si>
  <si>
    <t>0407020AGBBAHAH</t>
  </si>
  <si>
    <t>Palexia_Oral Soln 20mg/ml</t>
  </si>
  <si>
    <t>0407020B0AAADAD</t>
  </si>
  <si>
    <t>Buprenorphine_Tab Subling 400mcg S/F</t>
  </si>
  <si>
    <t>Buprenorphine</t>
  </si>
  <si>
    <t>0407020B0BBAAAB</t>
  </si>
  <si>
    <t>Temgesic_Tab Subling 200mcg</t>
  </si>
  <si>
    <t>0407020B0BBABAA</t>
  </si>
  <si>
    <t>Temgesic_Inj 300mcg/ml 1ml Amp</t>
  </si>
  <si>
    <t>0407020B0BBADAD</t>
  </si>
  <si>
    <t>Temgesic_Tab Subling 400mcg</t>
  </si>
  <si>
    <t>0407020B0BDAAAE</t>
  </si>
  <si>
    <t>Transtec_T/Derm Patch 35mcg/hr (20mg)</t>
  </si>
  <si>
    <t>0407020B0BDABAF</t>
  </si>
  <si>
    <t>Transtec_T/Derm Patch 52.5mcg/hr (30mg)</t>
  </si>
  <si>
    <t>0407020B0BDACAG</t>
  </si>
  <si>
    <t>Transtec_T/Derm Patch 70mcg/hr (40mg)</t>
  </si>
  <si>
    <t>0407020B0BEAAAH</t>
  </si>
  <si>
    <t>BuTrans_Transdermal Patch 5mcg/hr</t>
  </si>
  <si>
    <t>0407020B0BEABAI</t>
  </si>
  <si>
    <t>BuTrans_Transdermal Patch 10mcg/hr</t>
  </si>
  <si>
    <t>0407020B0BEACAJ</t>
  </si>
  <si>
    <t>BuTrans_Transdermal Patch 20mcg/hr</t>
  </si>
  <si>
    <t>0407020B0BEADAK</t>
  </si>
  <si>
    <t>BuTrans_Transdermal Patch 15mcg/hr</t>
  </si>
  <si>
    <t>0407020B0BFAAAB</t>
  </si>
  <si>
    <t>Tephine_Tab Subling 200mcg</t>
  </si>
  <si>
    <t>0407020B0BFABAD</t>
  </si>
  <si>
    <t>Tephine_Tab Subling 400mcg</t>
  </si>
  <si>
    <t>0407020B0BGAAAE</t>
  </si>
  <si>
    <t>Hapoctasin_Patch 35mcg/hr</t>
  </si>
  <si>
    <t>0407020B0BGABAF</t>
  </si>
  <si>
    <t>Hapoctasin_Patch 52.5mcg/hr</t>
  </si>
  <si>
    <t>0407020B0BGACAG</t>
  </si>
  <si>
    <t>Hapoctasin_Patch 70mcg/hr</t>
  </si>
  <si>
    <t>0407020B0BHAAAH</t>
  </si>
  <si>
    <t>Butec_Transdermal Patch 5mcg/hr</t>
  </si>
  <si>
    <t>0407020B0BHABAI</t>
  </si>
  <si>
    <t>Butec_Transdermal Patch 10mcg/hr</t>
  </si>
  <si>
    <t>0407020B0BHACAJ</t>
  </si>
  <si>
    <t>Butec_Transdermal Patch 20mcg/hr</t>
  </si>
  <si>
    <t>0407020B0BHADAK</t>
  </si>
  <si>
    <t>Butec_Transdermal Patch 15mcg/hr</t>
  </si>
  <si>
    <t>0407020B0BIAAAE</t>
  </si>
  <si>
    <t>Bupeaze_Transdermal Patch 35mcg/hr(96hr)</t>
  </si>
  <si>
    <t>0407020B0BIABAF</t>
  </si>
  <si>
    <t>Bupeaze_TransdermalPatch52.5mcg/hr(96hr)</t>
  </si>
  <si>
    <t>0407020B0BIACAG</t>
  </si>
  <si>
    <t>Bupeaze_Transdermal Patch 70mcg/hr(96hr)</t>
  </si>
  <si>
    <t>0407020B0BJAAAE</t>
  </si>
  <si>
    <t>Prenotrix_T/Derm Patch 35mcg/hr</t>
  </si>
  <si>
    <t>0407020B0BJABAF</t>
  </si>
  <si>
    <t>Prenotrix_T/Derm Patch 52.5mcg/hr</t>
  </si>
  <si>
    <t>0407020B0BJACAG</t>
  </si>
  <si>
    <t>Prenotrix_T/Derm Patch 70mcg/hr</t>
  </si>
  <si>
    <t>0407020B0BKAAAH</t>
  </si>
  <si>
    <t>Reletrans_Transdermal Patch 5mcg/hr</t>
  </si>
  <si>
    <t>0407020B0BKABAI</t>
  </si>
  <si>
    <t>Reletrans_Transdermal Patch 10mcg/hr</t>
  </si>
  <si>
    <t>0407020B0BKACAK</t>
  </si>
  <si>
    <t>Reletrans_Transdermal Patch 15mcg/hr</t>
  </si>
  <si>
    <t>0407020B0BKADAJ</t>
  </si>
  <si>
    <t>Reletrans_Transdermal Patch 20mcg/hr</t>
  </si>
  <si>
    <t>0407020B0BLAAAH</t>
  </si>
  <si>
    <t>Panitaz_Transdermal Patch 5mcg/hr</t>
  </si>
  <si>
    <t>0407020B0BLABAI</t>
  </si>
  <si>
    <t>Panitaz_Transdermal Patch 10mcg/hr</t>
  </si>
  <si>
    <t>0407020B0BLACAJ</t>
  </si>
  <si>
    <t>Panitaz_Transdermal Patch 20mcg/hr</t>
  </si>
  <si>
    <t>0407020B0BMAAAH</t>
  </si>
  <si>
    <t>Sevodyne_Transdermal Patch 5mcg/hr</t>
  </si>
  <si>
    <t>0407020B0BMABAI</t>
  </si>
  <si>
    <t>Sevodyne_Transdermal Patch 10mcg/hr</t>
  </si>
  <si>
    <t>0407020B0BMACAJ</t>
  </si>
  <si>
    <t>Sevodyne_Transdermal Patch 20mcg/hr</t>
  </si>
  <si>
    <t>0407020B0BNAAAE</t>
  </si>
  <si>
    <t>Buplast_Transdermal Patch 35mcg/hr</t>
  </si>
  <si>
    <t>0407020B0BNABAF</t>
  </si>
  <si>
    <t>Buplast_Transdermal Patch 52.5mcg/hr</t>
  </si>
  <si>
    <t>0407020B0BNACAG</t>
  </si>
  <si>
    <t>Buplast_Transdermal Patch 70mcg/hr</t>
  </si>
  <si>
    <t>0407020B0BPAAAE</t>
  </si>
  <si>
    <t>Relevtec_Transdermal Patch 35mcg/hr</t>
  </si>
  <si>
    <t>0407020B0BPABAF</t>
  </si>
  <si>
    <t>Relevtec_Transdermal Patch 52.5mcg/hr</t>
  </si>
  <si>
    <t>0407020B0BPACAG</t>
  </si>
  <si>
    <t>Relevtec_Transdermal Patch 70mcg/hr</t>
  </si>
  <si>
    <t>0407020B0BQAAAH</t>
  </si>
  <si>
    <t>Bupramyl_Transdermal Patch 5mcg/hr</t>
  </si>
  <si>
    <t>0407020B0BQABAI</t>
  </si>
  <si>
    <t>Bupramyl_Transdermal Patch 10mcg/hr</t>
  </si>
  <si>
    <t>0407020B0BQACAJ</t>
  </si>
  <si>
    <t>Bupramyl_Transdermal Patch 20mcg/hr</t>
  </si>
  <si>
    <t>0407020B0BRAAAH</t>
  </si>
  <si>
    <t>Busiete_Transdermal Patch 5mcg/hr</t>
  </si>
  <si>
    <t>0407020B0BRABAI</t>
  </si>
  <si>
    <t>Busiete_Transdermal Patch 10mcg/hr</t>
  </si>
  <si>
    <t>0407020B0BRACAJ</t>
  </si>
  <si>
    <t>Busiete_Transdermal Patch 20mcg/hr</t>
  </si>
  <si>
    <t>0407020B0BSAAAE</t>
  </si>
  <si>
    <t>Turgeon_Transdermal Patch 35mcg/hr</t>
  </si>
  <si>
    <t>0407020B0BSABAF</t>
  </si>
  <si>
    <t>Turgeon_Transdermal Patch 52.5mcg/hr</t>
  </si>
  <si>
    <t>0407020B0BSACAG</t>
  </si>
  <si>
    <t>Turgeon_Transdermal Patch 70mcg/hr</t>
  </si>
  <si>
    <t>0407020B0BTAAAE</t>
  </si>
  <si>
    <t>Carlosafine_Transdermal Patch 35mcg/hr</t>
  </si>
  <si>
    <t>0407020B0BTABAF</t>
  </si>
  <si>
    <t>Carlosafine_Transdermal Patch 52.5mcg/hr</t>
  </si>
  <si>
    <t>0407020B0BUAAAH</t>
  </si>
  <si>
    <t>Bunov_Transdermal Patch 5mcg/hr</t>
  </si>
  <si>
    <t>0407020B0BUABAI</t>
  </si>
  <si>
    <t>Bunov_Transdermal Patch 10mcg/hr</t>
  </si>
  <si>
    <t>0407020B0BUACAJ</t>
  </si>
  <si>
    <t>Bunov_Transdermal Patch 20mcg/hr</t>
  </si>
  <si>
    <t>0407020C0AAAAAA</t>
  </si>
  <si>
    <t>Codeine Phos_Inj 60mg/ml 1ml Amp</t>
  </si>
  <si>
    <t>Codeine Phosphate</t>
  </si>
  <si>
    <t>0407020C0AAABAB</t>
  </si>
  <si>
    <t>Codeine Phos_Oral Soln 25mg/5ml</t>
  </si>
  <si>
    <t>0407020C0AAADAD</t>
  </si>
  <si>
    <t>Codeine Phos_Tab 15mg</t>
  </si>
  <si>
    <t>0407020C0AAAEAE</t>
  </si>
  <si>
    <t>Codeine Phos_Tab 30mg</t>
  </si>
  <si>
    <t>0407020C0AAAFAF</t>
  </si>
  <si>
    <t>Codeine Phos_Tab 60mg</t>
  </si>
  <si>
    <t>0407020C0AAAQAQ</t>
  </si>
  <si>
    <t>Codeine Phos_Suppos 15mg</t>
  </si>
  <si>
    <t>0407020C0AAAYAY</t>
  </si>
  <si>
    <t>Codeine Phos_Liq Spec 10mg/5ml</t>
  </si>
  <si>
    <t>0407020G0AAAAAA</t>
  </si>
  <si>
    <t>Dihydrocodeine Tart_Oral Soln 10mg/5ml</t>
  </si>
  <si>
    <t>Dihydrocodeine Tartrate</t>
  </si>
  <si>
    <t>0407020G0AAABAB</t>
  </si>
  <si>
    <t>Dihydrocodeine Tart_Inj 50mg/ml 1ml Amp</t>
  </si>
  <si>
    <t>0407020G0AAACAC</t>
  </si>
  <si>
    <t>Dihydrocodeine Tart_Tab 30mg</t>
  </si>
  <si>
    <t>0407020G0AAAMAM</t>
  </si>
  <si>
    <t>Dihydrocodeine Tart_Liq Spec 30mg/5ml</t>
  </si>
  <si>
    <t>0407020G0AAANAN</t>
  </si>
  <si>
    <t>Dihydrocodeine Tart_Liq Spec 15mg/5ml</t>
  </si>
  <si>
    <t>0407020G0AAAPAP</t>
  </si>
  <si>
    <t>Dihydrocodeine Tart_Liq Spec 10mg/5ml</t>
  </si>
  <si>
    <t>0407020G0BBAAAD</t>
  </si>
  <si>
    <t>Dhc Continus_Tab 60mg</t>
  </si>
  <si>
    <t>0407020G0BBABAE</t>
  </si>
  <si>
    <t>Dhc Continus_Tab 90mg</t>
  </si>
  <si>
    <t>0407020G0BBACAF</t>
  </si>
  <si>
    <t>Dhc Continus_Tab 120mg</t>
  </si>
  <si>
    <t>0407020G0BCADAI</t>
  </si>
  <si>
    <t>DF 118 Fte_Tab 40mg</t>
  </si>
  <si>
    <t>0407020H0AAABAB</t>
  </si>
  <si>
    <t>Dipipanone HCl/Cyclizine HCl_Tab 10/30mg</t>
  </si>
  <si>
    <t>Dipipanone Hydrochloride</t>
  </si>
  <si>
    <t>0407020K0AAAAAA</t>
  </si>
  <si>
    <t>Diamorph HCl_Inj 5mg Amp</t>
  </si>
  <si>
    <t>Diamorphine Hydrochloride (Systemic)</t>
  </si>
  <si>
    <t>0407020K0AAABAB</t>
  </si>
  <si>
    <t>Diamorph HCl_Inj 10mg Amp</t>
  </si>
  <si>
    <t>0407020K0AAAEAE</t>
  </si>
  <si>
    <t>Diamorph HCl_Inj 30mg Amp</t>
  </si>
  <si>
    <t>0407020K0AAAFAF</t>
  </si>
  <si>
    <t>Diamorph HCl_Inj 100mg Amp</t>
  </si>
  <si>
    <t>0407020K0AAAGAG</t>
  </si>
  <si>
    <t>Diamorph HCl_Inj 500mg Amp</t>
  </si>
  <si>
    <t>0407020K0AABQBQ</t>
  </si>
  <si>
    <t>Diamorph HCl_(S)</t>
  </si>
  <si>
    <t>0407020K0AACBCB</t>
  </si>
  <si>
    <t>Diamorph HCl_Tab 10mg</t>
  </si>
  <si>
    <t>0407020K0AACZCZ</t>
  </si>
  <si>
    <t>Diamorph HCl_Cap 100mg</t>
  </si>
  <si>
    <t>0407020K0AADKDK</t>
  </si>
  <si>
    <t>Diamorph HCl_Liq Spec 5mg/5ml</t>
  </si>
  <si>
    <t>0407020K0AADXDX</t>
  </si>
  <si>
    <t>Diamorph HCl_Liq Spec 100mg/5ml</t>
  </si>
  <si>
    <t>0407020K0AAEFEF</t>
  </si>
  <si>
    <t>Diamorph HCl_Inj 5mg Vl (Dry)</t>
  </si>
  <si>
    <t>0407020K0AAEGEG</t>
  </si>
  <si>
    <t>Diamorph HCl_Inj 10mg Vl (Dry)</t>
  </si>
  <si>
    <t>0407020K0AAEHEH</t>
  </si>
  <si>
    <t>Diamorph HCl_Inj 100mg Vl (Dry)</t>
  </si>
  <si>
    <t>0407020K0AAEIEI</t>
  </si>
  <si>
    <t>Diamorph HCl_Inj 500mg Vl (Dry)</t>
  </si>
  <si>
    <t>0407020K0AAEMEM</t>
  </si>
  <si>
    <t>Diamorph HCl_Inj 30mg Vl (Dry)</t>
  </si>
  <si>
    <t>0407020L0BBAAAB</t>
  </si>
  <si>
    <t>Meptid_Tab 200mg</t>
  </si>
  <si>
    <t>Meptazinol Hydrochloride</t>
  </si>
  <si>
    <t>0407020L0BBABAA</t>
  </si>
  <si>
    <t>Meptid_Inj 100mg/ml 1ml Amp</t>
  </si>
  <si>
    <t>0407020M0AAA3A3</t>
  </si>
  <si>
    <t>Methadone HCl_Inj 10mg/ml 2ml Amp</t>
  </si>
  <si>
    <t>Methadone Hydrochloride</t>
  </si>
  <si>
    <t>0407020M0AAA6A6</t>
  </si>
  <si>
    <t>Methadone HCl_Inj 25mg/ml 2ml Amp</t>
  </si>
  <si>
    <t>0407020M0AAACAC</t>
  </si>
  <si>
    <t>Methadone HCl_Inj 50mg/ml 1ml Amp</t>
  </si>
  <si>
    <t>0407020M0AAAFAF</t>
  </si>
  <si>
    <t>Methadone HCl_(S)</t>
  </si>
  <si>
    <t>0407020M0AAANAN</t>
  </si>
  <si>
    <t>Methadone HCl_Inj 10mg/ml 5ml Amp</t>
  </si>
  <si>
    <t>0407020M0AAATAT</t>
  </si>
  <si>
    <t>Methadone HCl_Inj 10mg/ml 3.5ml Amp</t>
  </si>
  <si>
    <t>0407020M0AAAVAV</t>
  </si>
  <si>
    <t>Methadone HCl_Inj 10mg/ml 1ml Amp</t>
  </si>
  <si>
    <t>0407020M0AABIBI</t>
  </si>
  <si>
    <t>Methadone HCl_Cap 30mg</t>
  </si>
  <si>
    <t>0407020M0AABMBM</t>
  </si>
  <si>
    <t>Methadone HCl_Cap 100mg</t>
  </si>
  <si>
    <t>0407020M0BBAAAE</t>
  </si>
  <si>
    <t>Physeptone_Tab 5mg</t>
  </si>
  <si>
    <t>0407020M0BBABAV</t>
  </si>
  <si>
    <t>Physeptone_Inj 10mg/ml 1ml Amp</t>
  </si>
  <si>
    <t>0407020M0BBACA3</t>
  </si>
  <si>
    <t>Physeptone_Inj 10mg/ml 2ml Amp</t>
  </si>
  <si>
    <t>0407020M0BBAEAN</t>
  </si>
  <si>
    <t>Physeptone_Inj 10mg/ml 5ml Amp</t>
  </si>
  <si>
    <t>0407020M0BBAHA6</t>
  </si>
  <si>
    <t>Physeptone_Inj 25mg/ml 2ml Amp</t>
  </si>
  <si>
    <t>0407020M0BBAIAC</t>
  </si>
  <si>
    <t>Physeptone_Inj 50mg/ml 1ml Amp</t>
  </si>
  <si>
    <t>0407020M0BCABAC</t>
  </si>
  <si>
    <t>Synastone_Inj 50mg/ml 1ml Amp</t>
  </si>
  <si>
    <t>0407020P0AAASAS</t>
  </si>
  <si>
    <t>Morph HCl_Liq Spec 10mg/5ml</t>
  </si>
  <si>
    <t>Morphine Hydrochloride</t>
  </si>
  <si>
    <t>0407020P0AABBBB</t>
  </si>
  <si>
    <t>Morph HCl_Inj 1mg/1ml Amp</t>
  </si>
  <si>
    <t>0407020P0AABCBC</t>
  </si>
  <si>
    <t>Morph HCl_Inj 5mg/5ml Amp</t>
  </si>
  <si>
    <t>0407020Q0AAA1A1</t>
  </si>
  <si>
    <t>Morph Sulf_Inj 10mg/10ml Amp (Old)</t>
  </si>
  <si>
    <t>Morphine Sulfate</t>
  </si>
  <si>
    <t>0407020Q0AAA4A4</t>
  </si>
  <si>
    <t>Morph Sulf_Inj 1mg/1ml Amp</t>
  </si>
  <si>
    <t>0407020Q0AAA9A9</t>
  </si>
  <si>
    <t>Morph Sulf_Inj 5mg/5ml Amp (Old)</t>
  </si>
  <si>
    <t>0407020Q0AAAAAA</t>
  </si>
  <si>
    <t>Morph Sulf_Inj 2mg/10ml Amp</t>
  </si>
  <si>
    <t>0407020Q0AAABAB</t>
  </si>
  <si>
    <t>Morph Sulf_Inj 10mg/1ml Amp</t>
  </si>
  <si>
    <t>0407020Q0AAACAC</t>
  </si>
  <si>
    <t>Morph Sulf_Inj 15mg/1ml Amp</t>
  </si>
  <si>
    <t>0407020Q0AAADAD</t>
  </si>
  <si>
    <t>Morph Sulf_Inj 30mg/1ml Amp</t>
  </si>
  <si>
    <t>0407020Q0AAAFAF</t>
  </si>
  <si>
    <t>Morph Sulf_Inj 20mg/1ml Amp</t>
  </si>
  <si>
    <t>0407020Q0AAAGAG</t>
  </si>
  <si>
    <t>Morph Sulf_Tab 200mg M/R</t>
  </si>
  <si>
    <t>0407020Q0AAAMAM</t>
  </si>
  <si>
    <t>Morph Sulf_Inj 60mg/2ml Amp</t>
  </si>
  <si>
    <t>0407020Q0AABLBL</t>
  </si>
  <si>
    <t>Morph Sulf_Suppos 15mg (Old)</t>
  </si>
  <si>
    <t>0407020Q0AABMBM</t>
  </si>
  <si>
    <t>Morph Sulf_Suppos 30mg (Old)</t>
  </si>
  <si>
    <t>0407020Q0AACNCN</t>
  </si>
  <si>
    <t>Morph Sulf_Oral Soln 10mg/5ml</t>
  </si>
  <si>
    <t>0407020Q0AACQCQ</t>
  </si>
  <si>
    <t>Morph Sulf_Suppos 10mg</t>
  </si>
  <si>
    <t>0407020Q0AADNDN</t>
  </si>
  <si>
    <t>Morph Sulf_Liq Spec 5mg/5ml</t>
  </si>
  <si>
    <t>0407020Q0AAELEL</t>
  </si>
  <si>
    <t>Morph Sulf_Inj 100mg/50ml Vl</t>
  </si>
  <si>
    <t>0407020Q0AAENEN</t>
  </si>
  <si>
    <t>Morph Sulf_Inj 50mg/50ml Vl</t>
  </si>
  <si>
    <t>0407020Q0AAFCFC</t>
  </si>
  <si>
    <t>Morph Sulf_Inj 10mg/ml 1ml Pfs</t>
  </si>
  <si>
    <t>0407020Q0AAFDFD</t>
  </si>
  <si>
    <t>Morph Sulf_Liq Spec 500mcg/5ml</t>
  </si>
  <si>
    <t>0407020Q0AAFFFF</t>
  </si>
  <si>
    <t>Morph Sulf_Liq Spec 2mg/5ml</t>
  </si>
  <si>
    <t>0407020Q0AAFWFW</t>
  </si>
  <si>
    <t>Morph Sulf_Inj 50mg/5ml Amp</t>
  </si>
  <si>
    <t>0407020Q0AAFXFX</t>
  </si>
  <si>
    <t>Morph Sulf_Intrasite Gel 0.1%</t>
  </si>
  <si>
    <t>0407020Q0AAFYFY</t>
  </si>
  <si>
    <t>Morph Sulf_Intrasite Gel 0.2%</t>
  </si>
  <si>
    <t>0407020Q0AAFZFZ</t>
  </si>
  <si>
    <t>Morph Sulf_Inj 5mg/5ml Amp</t>
  </si>
  <si>
    <t>0407020Q0AAGAGA</t>
  </si>
  <si>
    <t>Morph Sulf_Inj 10mg/10ml Amp</t>
  </si>
  <si>
    <t>0407020Q0AAGDGD</t>
  </si>
  <si>
    <t>Morph Sulf_Suppos 15mg</t>
  </si>
  <si>
    <t>0407020Q0BBAAAK</t>
  </si>
  <si>
    <t>MST Continus_Tab 10mg</t>
  </si>
  <si>
    <t>0407020Q0BBABAL</t>
  </si>
  <si>
    <t>MST Continus_Tab 30mg</t>
  </si>
  <si>
    <t>0407020Q0BBACAI</t>
  </si>
  <si>
    <t>MST Continus_Tab 60mg</t>
  </si>
  <si>
    <t>0407020Q0BBADAH</t>
  </si>
  <si>
    <t>MST Continus_Tab 100mg</t>
  </si>
  <si>
    <t>0407020Q0BBAEAG</t>
  </si>
  <si>
    <t>MST Continus_Tab 200mg</t>
  </si>
  <si>
    <t>0407020Q0BBAFCV</t>
  </si>
  <si>
    <t>MST Continus_Susp Gran Sach 20mg</t>
  </si>
  <si>
    <t>0407020Q0BBAGCP</t>
  </si>
  <si>
    <t>MST Continus_Susp Gran Sach 30mg</t>
  </si>
  <si>
    <t>0407020Q0BBAHDC</t>
  </si>
  <si>
    <t>MST Continus_Susp Gran Sach 60mg</t>
  </si>
  <si>
    <t>0407020Q0BBAIDD</t>
  </si>
  <si>
    <t>MST Continus_Susp Gran Sach 100mg</t>
  </si>
  <si>
    <t>0407020Q0BBAJDE</t>
  </si>
  <si>
    <t>MST Continus_Susp Gran Sach 200mg</t>
  </si>
  <si>
    <t>0407020Q0BBAKCG</t>
  </si>
  <si>
    <t>MST Continus_Tab 5mg</t>
  </si>
  <si>
    <t>0407020Q0BBALCF</t>
  </si>
  <si>
    <t>MST Continus_Tab 15mg</t>
  </si>
  <si>
    <t>0407020Q0BCABA6</t>
  </si>
  <si>
    <t>Oramorph_Oral Soln Conc 20mg/ml S/F</t>
  </si>
  <si>
    <t>0407020Q0BCAGCN</t>
  </si>
  <si>
    <t>Oramorph_Oral Soln 10mg/5ml</t>
  </si>
  <si>
    <t>0407020Q0BEABFJ</t>
  </si>
  <si>
    <t>Minjet_Morph Sulf 1mg/ml 10ml Pfs</t>
  </si>
  <si>
    <t>0407020Q0BHACCD</t>
  </si>
  <si>
    <t>Sevredol_Tab 10mg</t>
  </si>
  <si>
    <t>0407020Q0BHADCE</t>
  </si>
  <si>
    <t>Sevredol_Tab 20mg</t>
  </si>
  <si>
    <t>0407020Q0BHAFDR</t>
  </si>
  <si>
    <t>Sevredol_Tab 50mg</t>
  </si>
  <si>
    <t>0407020Q0BIAAEG</t>
  </si>
  <si>
    <t>MXL_Cap 30mg</t>
  </si>
  <si>
    <t>0407020Q0BIABEH</t>
  </si>
  <si>
    <t>MXL_Cap 60mg</t>
  </si>
  <si>
    <t>0407020Q0BIACDU</t>
  </si>
  <si>
    <t>MXL_Cap 90mg</t>
  </si>
  <si>
    <t>0407020Q0BIADDV</t>
  </si>
  <si>
    <t>MXL_Cap 120mg</t>
  </si>
  <si>
    <t>0407020Q0BIAEDW</t>
  </si>
  <si>
    <t>MXL_Cap 150mg</t>
  </si>
  <si>
    <t>0407020Q0BIAFEI</t>
  </si>
  <si>
    <t>MXL_Cap 200mg</t>
  </si>
  <si>
    <t>0407020Q0BKAAEF</t>
  </si>
  <si>
    <t>Zomorph_Cap 10mg</t>
  </si>
  <si>
    <t>0407020Q0BKABEG</t>
  </si>
  <si>
    <t>Zomorph_Cap 30mg</t>
  </si>
  <si>
    <t>0407020Q0BKACEH</t>
  </si>
  <si>
    <t>Zomorph_Cap 60mg</t>
  </si>
  <si>
    <t>0407020Q0BKADEB</t>
  </si>
  <si>
    <t>Zomorph_Cap 100mg</t>
  </si>
  <si>
    <t>0407020Q0BKAEEI</t>
  </si>
  <si>
    <t>Zomorph_Cap 200mg</t>
  </si>
  <si>
    <t>0407020Q0BNAAAK</t>
  </si>
  <si>
    <t>Morphgesic SR_Tab 10mg</t>
  </si>
  <si>
    <t>0407020Q0BNABAL</t>
  </si>
  <si>
    <t>Morphgesic SR_Tab 30mg</t>
  </si>
  <si>
    <t>0407020Q0BNACAI</t>
  </si>
  <si>
    <t>Morphgesic SR_Tab 60mg</t>
  </si>
  <si>
    <t>0407020Q0BNADAH</t>
  </si>
  <si>
    <t>Morphgesic SR_Tab 100mg</t>
  </si>
  <si>
    <t>0407020T0AAAAAA</t>
  </si>
  <si>
    <t>Pentazocine HCl_Cap 50mg</t>
  </si>
  <si>
    <t>Pentazocine Hydrochloride</t>
  </si>
  <si>
    <t>0407020T0AAABAB</t>
  </si>
  <si>
    <t>Pentazocine HCl_Tab 25mg</t>
  </si>
  <si>
    <t>0407020V0AAAAAA</t>
  </si>
  <si>
    <t>Pethidine HCl_Inj 50mg/ml 1ml Amp</t>
  </si>
  <si>
    <t>Pethidine Hydrochloride</t>
  </si>
  <si>
    <t>0407020V0AAACAC</t>
  </si>
  <si>
    <t>Pethidine HCl_Tab 50mg</t>
  </si>
  <si>
    <t>0407020V0AAAEAE</t>
  </si>
  <si>
    <t>Pethidine HCl_Inj 50mg/ml 2ml Amp</t>
  </si>
  <si>
    <t>0407020V0AAAPAP</t>
  </si>
  <si>
    <t>Pethidine HCl_Inj 10mg/ml 5ml Amp</t>
  </si>
  <si>
    <t>Easifix Crinx 5cm x 3.5m Cott Conform Type A Band</t>
  </si>
  <si>
    <t>Arm Sling/Bandages</t>
  </si>
  <si>
    <t>Easifix Crinx 7.5cm x 3.5m Cott Conform Type A Band</t>
  </si>
  <si>
    <t>Easifix Crinx 10cm x 3.5m Cott Conform Type A Band</t>
  </si>
  <si>
    <t>Easifix Crinx 15cm 3.5m Cott Conform Type A Band</t>
  </si>
  <si>
    <t>Cott Crepe 7.5cm x 4.5m Band BP 1988</t>
  </si>
  <si>
    <t>Cott Crepe 10cm x 4.5m Band BP 1988</t>
  </si>
  <si>
    <t>Crepe 5cm x 4.5m BP 1988 Band</t>
  </si>
  <si>
    <t>Crepe 7.5cm x 4.5m BP 1988 Band</t>
  </si>
  <si>
    <t>Crepe 10cm x 4.5m BP 1988 Band</t>
  </si>
  <si>
    <t>Crepe 15cm x 4.5m BP 1988 Band</t>
  </si>
  <si>
    <t>Soffcrepe 5cm x 4.5m Cott Polyam &amp; Elastane Band</t>
  </si>
  <si>
    <t>Soffcrepe 7.5cm x 4.5m Cott Polyam &amp; Elastane Band</t>
  </si>
  <si>
    <t>Soffcrepe 10cm x 4.5m Cott Polyam &amp; Elastane Band</t>
  </si>
  <si>
    <t>Soffcrepe 15cm x 4.5m Cott Polyam &amp; Elastane Band</t>
  </si>
  <si>
    <t>Neosport 7.5cm x 4.5m Cott Polyam &amp; Elastane Band</t>
  </si>
  <si>
    <t>Neosport 10cm x 4.5m Cott Polyam &amp; Elastane Band</t>
  </si>
  <si>
    <t>Elas Adh 5cm x 4.5m Plain Or Porous Band</t>
  </si>
  <si>
    <t>Elas Adh 7.5cm x 4.5m Plain Or Porous Band</t>
  </si>
  <si>
    <t>Elas Adh 10cm x 4.5m Plain Or Porous Band</t>
  </si>
  <si>
    <t>Hospilite 5cm x 4.5m Cott Polyam &amp; Elastane Band</t>
  </si>
  <si>
    <t>Hospilite 7.5cm x 4.5m Cott Polyam &amp; Elastane Band</t>
  </si>
  <si>
    <t>Hospilite 10cm x 4.5m Cott Polyam &amp; Elastane Band</t>
  </si>
  <si>
    <t>Hospilite 15cm x 4.5m Cott Polyam &amp; Elastane Band</t>
  </si>
  <si>
    <t>Knit Fix 5cm x 4m Ktd Polyam &amp; Cellulose Contr Band</t>
  </si>
  <si>
    <t>Knit Fix 10cm x 4m Ktd Polyam &amp; Cellulose Contr Band</t>
  </si>
  <si>
    <t>Knit Fix 15cm x 4m Ktd Polyam &amp; Cellulose Contr Band</t>
  </si>
  <si>
    <t>Easifix 5cm x 4m Polyam &amp; Cellulose Contr Band</t>
  </si>
  <si>
    <t>Easifix 7.5cm x 4m Polyam &amp; Cellulose Contr Band</t>
  </si>
  <si>
    <t>Easifix 10cm x 4m Polyam &amp; Cellulose Contr Band</t>
  </si>
  <si>
    <t>Easifix 15cm x 4m Polyam &amp; Cellulose Contr Band</t>
  </si>
  <si>
    <t>Acti-Wrap Ltx Free 6cm x 4m Polyam &amp; Cellulose Contr Band</t>
  </si>
  <si>
    <t>Acti-Wrap Ltx Free 8cm x 4m Polyam &amp; Cellulose Contr Band</t>
  </si>
  <si>
    <t>Acti-Wrap Ltx Free 10cm x 4m Polyam &amp; Cellulose Contr Band</t>
  </si>
  <si>
    <t>Slinky 7.5cm x 4m Polyam &amp; Cellulose Contr Band</t>
  </si>
  <si>
    <t>Slinky 10cm x 4m Polyam &amp; Cellulose Contr Band</t>
  </si>
  <si>
    <t>Slinky 15cm x 4m Polyam &amp; Cellulose Contr Band</t>
  </si>
  <si>
    <t>Mollelast 4cm x 4m Polyam &amp; Cellulose Contr Band</t>
  </si>
  <si>
    <t>Stayform 5cm x 4m Polyam &amp; Cellulose Contr Band</t>
  </si>
  <si>
    <t>Stayform 7.5cm x 4m Polyam &amp; Cellulose Contr Band</t>
  </si>
  <si>
    <t>Stayform 10cm x 4m Polyam &amp; Cellulose Contr Band</t>
  </si>
  <si>
    <t>Stayform 15cm x 4m Polyam &amp; Cellulose Contr Band</t>
  </si>
  <si>
    <t>Kontour 5cm x 4m Polyam &amp; Cellulose Contr Band</t>
  </si>
  <si>
    <t>Kontour 7.5cm x 4m Polyam &amp; Cellulose Contr Band</t>
  </si>
  <si>
    <t>Kontour 10cm x 4m Polyam &amp; Cellulose Contr Band</t>
  </si>
  <si>
    <t>Kontour 15cm x 4m Polyam &amp; Cellulose Contr Band</t>
  </si>
  <si>
    <t>O/Wov 2.5cm x 5m Type 1 Band</t>
  </si>
  <si>
    <t>O/Wov 5cm x 5m Type 1 Band</t>
  </si>
  <si>
    <t>O/Wov 7.5cm x 5m Type 1 Band</t>
  </si>
  <si>
    <t>O/Wov 10cm x 5m Type 1 Band</t>
  </si>
  <si>
    <t>Plas Of Paris (Gypsona) 7.5cm x 2.7m Band</t>
  </si>
  <si>
    <t>Plas Of Paris (Gypsona) 10cm x 2.7m Band</t>
  </si>
  <si>
    <t>Susp Band Type 1 Sml/Med/Lge</t>
  </si>
  <si>
    <t>Susp Band Type 1 Exlge</t>
  </si>
  <si>
    <t>Susp Band Type 2 Med</t>
  </si>
  <si>
    <t>Susp Band Type 2 Lge</t>
  </si>
  <si>
    <t>Susp Band Type 2 Exlge</t>
  </si>
  <si>
    <t>Susp Band Type 3 Sml/Med/Lge</t>
  </si>
  <si>
    <t>Susp Band Type 3 Exlge</t>
  </si>
  <si>
    <t>Triangular Calico 90cm x 127cm Band</t>
  </si>
  <si>
    <t>Viscopaste Pb7 10% 7.5cm x 6m Zn Paste Band</t>
  </si>
  <si>
    <t>Ichthopaste (6/2%) 7.5cm x 6m Zn Paste &amp; Ichthammol Band</t>
  </si>
  <si>
    <t>PremierBand 5cm x 4m Polyam &amp; Cellulose Contr Band</t>
  </si>
  <si>
    <t>PremierBand 7.5cm x 4m Polyam &amp; Cellulose Contr Band</t>
  </si>
  <si>
    <t>PremierBand 10cm x 4m Polyam &amp; Cellulose Contr Band</t>
  </si>
  <si>
    <t>PremierBand 15cm x 4m Polyam &amp; Cellulose Contr Band</t>
  </si>
  <si>
    <t>Peha-haft 2.5cm x 4m Polyam &amp; Cellulose Contr Band</t>
  </si>
  <si>
    <t>Peha-haft 4cm x 4m Polyam &amp; Cellulose Contr Band</t>
  </si>
  <si>
    <t>Peha-haft 6cm x 4m Polyam &amp; Cellulose Contr Band</t>
  </si>
  <si>
    <t>Peha-haft 8cm x 4m Polyam &amp; Cellulose Contr Band</t>
  </si>
  <si>
    <t>Peha-haft 10cm x 4m Polyam &amp; Cellulose Contr Band</t>
  </si>
  <si>
    <t>Peha-haft 12cm x 4m Polyam &amp; Cellulose Contr Band</t>
  </si>
  <si>
    <t>K-Band 5cm x 4m Ktd Polyam &amp; Cellulose Contr Band</t>
  </si>
  <si>
    <t>K-Band 7cm x 4m Ktd Polyam &amp; Cellulose Contr Band</t>
  </si>
  <si>
    <t>K-Band 10cm x 4m Ktd Polyam &amp; Cellulose Contr Band</t>
  </si>
  <si>
    <t>K-Band 15cm x 4m Ktd Polyam &amp; Cellulose Contr Band</t>
  </si>
  <si>
    <t>Knit-Band 5cm x 4m Ktd Polyam &amp; Cellulose Contr Band</t>
  </si>
  <si>
    <t>Knit-Band 7cm x 4m Ktd Polyam &amp; Cellulose Contr Band</t>
  </si>
  <si>
    <t>Knit-Band 10cm x 4m Ktd Polyam &amp; Cellulose Contr Band</t>
  </si>
  <si>
    <t>Knit-Band 15cm x 4m Ktd Polyam &amp; Cellulose Contr Band</t>
  </si>
  <si>
    <t>Easifix K 2.5cm x 4m Ktd Polyam &amp; Cellulose Contr Band</t>
  </si>
  <si>
    <t>Easifix K 5cm x 4m Ktd Polyam &amp; Cellulose Contr Band</t>
  </si>
  <si>
    <t>Easifix K 7.5cm x 4m Ktd Polyam &amp; Cellulose Contr Band</t>
  </si>
  <si>
    <t>Easifix K 10cm x 4m Ktd Polyam &amp; Cellulose Contr Band</t>
  </si>
  <si>
    <t>Easifix K 15cm x 4m Ktd Polyam &amp; Cellulose Contr Band</t>
  </si>
  <si>
    <t>K-Lite 5cm x 4.5m Ktd Elastomer &amp; Viscose Band</t>
  </si>
  <si>
    <t>K-Lite 7cm x 4.5m Ktd Elastomer &amp; Viscose Band</t>
  </si>
  <si>
    <t>K-Lite 15cm x 4.5m Ktd Elastomer &amp; Viscose Band</t>
  </si>
  <si>
    <t>Ultra Soft 10cm x 3.5m Wadding Band</t>
  </si>
  <si>
    <t>Hospicrepe 239 5cm x 4.5m Cott Crepe Band</t>
  </si>
  <si>
    <t>Hospicrepe 239 7.5cm x 4.5m Cott Crepe Band</t>
  </si>
  <si>
    <t>Hospicrepe 239 10cm x 4.5m Cott Crepe Band</t>
  </si>
  <si>
    <t>Hospicrepe 239 15cm x 4.5m Cott Crepe Band</t>
  </si>
  <si>
    <t>Hospicrepe 233 5cm x 4.5m Cott Stch Band BP 1988</t>
  </si>
  <si>
    <t>Hospicrepe 233 7.5cm x 4.5m Cott Stch Band BP 1988</t>
  </si>
  <si>
    <t>Hospicrepe 233 10cm x 4.5m Cott Stch Band BP 1988</t>
  </si>
  <si>
    <t>Hospicrepe 233 15cm x 4.5m Cott Stch Band BP 1988</t>
  </si>
  <si>
    <t>CliniPlus 10cm x 8.7m Ktd Elastomer &amp; Viscose Band</t>
  </si>
  <si>
    <t>Elset 15cm x 6m Ktd Elastomer &amp; Viscose Band</t>
  </si>
  <si>
    <t>Elset S 15cm x 12m Ktd Elastomer &amp; Viscose Band</t>
  </si>
  <si>
    <t>CliniLite 5cm x 4.5m Ktd Elastomer &amp; Viscose Band</t>
  </si>
  <si>
    <t>CliniLite 7.5cm x 4.5m Ktd Elastomer &amp; Viscose Band</t>
  </si>
  <si>
    <t>CliniLite 10cm x 4.5m Ktd Elastomer &amp; Viscose Band</t>
  </si>
  <si>
    <t>CliniLite 15cm x 4.5m Ktd Elastomer &amp; Viscose Band</t>
  </si>
  <si>
    <t>Knit-Firm 7cm x 4.5m Ktd Elastomer &amp; Viscose Band</t>
  </si>
  <si>
    <t>Knit-Firm 10cm x 4.5m Ktd Elastomer &amp; Viscose Band</t>
  </si>
  <si>
    <t>Knit-Firm 15cm x 4.5m Ktd Elastomer &amp; Viscose Band</t>
  </si>
  <si>
    <t>L3 10cm x 8.6m Ktd Elastomer &amp; Viscose Band</t>
  </si>
  <si>
    <t>Hospiform 6cm x 4m Conform Syn Band</t>
  </si>
  <si>
    <t>Hospiform 8cm x 4m Conform Syn Band</t>
  </si>
  <si>
    <t>Hospiform 10cm x 4m Conform Syn Band</t>
  </si>
  <si>
    <t>Hospiform 12cm x 4m Conform Syn Band</t>
  </si>
  <si>
    <t>Ultra Four 18-25cm M/Layer Compress Bandaging Kit</t>
  </si>
  <si>
    <t>Ultra Four RC M/Layer Compress Bandaging Kit</t>
  </si>
  <si>
    <t>Ultra Four Up To 18cm M/Layer Compress Bandaging Kit</t>
  </si>
  <si>
    <t>K-Four 18-25cm M/Layer Compress Bandaging Kit</t>
  </si>
  <si>
    <t>K-Four Less Than 18cm M/Layer Compress Bandaging Kit</t>
  </si>
  <si>
    <t>K-Four 25cm-30cm M/Layer Compress Bandaging Kit</t>
  </si>
  <si>
    <t>K-Four Greater Than 30cm M/Layer Compress Bandaging Kit</t>
  </si>
  <si>
    <t>K-Four Reduced Compress 18cm+ M/Layer Compress Bandaging Kit</t>
  </si>
  <si>
    <t>PremierBand 5cm x 4.5m Cott Stch Band BP 1988</t>
  </si>
  <si>
    <t>PremierBand 7.5cm x 4.5m Cott Stch Band BP 1988</t>
  </si>
  <si>
    <t>PremierBand 10cm x 4.5m Cott Stch Band BP 1988</t>
  </si>
  <si>
    <t>PremierBand 15cm x 4.5m Cott Stch Band BP 1988</t>
  </si>
  <si>
    <t>PSSRU (2019) Unit Costs of Health and Social Care 2019</t>
  </si>
  <si>
    <t>Value</t>
  </si>
  <si>
    <t>Assumed OP</t>
  </si>
  <si>
    <t>Assumed Nursing (community)</t>
  </si>
  <si>
    <t>Unit cost (2018)</t>
  </si>
  <si>
    <t>Unit cost (2014)</t>
  </si>
  <si>
    <t>Inflation rate (other operating costs)</t>
  </si>
  <si>
    <t>Step</t>
  </si>
  <si>
    <t xml:space="preserve">¬ </t>
  </si>
  <si>
    <t>VLU inflation</t>
  </si>
  <si>
    <t>¬¬</t>
  </si>
  <si>
    <t>Mixed and arterial inflation</t>
  </si>
  <si>
    <t>Equipment</t>
  </si>
  <si>
    <t>Staff</t>
  </si>
  <si>
    <t>Admissions</t>
  </si>
  <si>
    <t>GP unit cost calculations</t>
  </si>
  <si>
    <t>Average clinic visit (mins)</t>
  </si>
  <si>
    <t>Table 6, VenUS IV HEALTH TECHNOLOGY ASSESSMENT 2014</t>
  </si>
  <si>
    <t>VenUS I: a randomised controlled trial
of two types of bandage for treating
venous leg ulcers</t>
  </si>
  <si>
    <t>Unit cost (per min)</t>
  </si>
  <si>
    <t>Average home visit (mins)</t>
  </si>
  <si>
    <t>8a</t>
  </si>
  <si>
    <t>Home share</t>
  </si>
  <si>
    <t>Rebased share</t>
  </si>
  <si>
    <t>Salary bands</t>
  </si>
  <si>
    <t>Cost per hour</t>
  </si>
  <si>
    <t xml:space="preserve">Unit cost </t>
  </si>
  <si>
    <t>Guest, J.F., Fuller, G.W. and Vowden, P. (2017), Venous leg ulcer management in clinical practice in the UK: costs and outcomes</t>
  </si>
  <si>
    <t>2019 total cost (£m)</t>
  </si>
  <si>
    <t xml:space="preserve">Wound </t>
  </si>
  <si>
    <t>Total NHS wound care cost</t>
  </si>
  <si>
    <t>Group</t>
  </si>
  <si>
    <t>2019 total cost, by recource group</t>
  </si>
  <si>
    <t>Breakdown by resource item</t>
  </si>
  <si>
    <t>Baseline total cost (2019, £m)</t>
  </si>
  <si>
    <t>Bridge total check</t>
  </si>
  <si>
    <t>Other staff (Allied and specialist)</t>
  </si>
  <si>
    <t>Aligned resource items</t>
  </si>
  <si>
    <t>Total cost, 2019</t>
  </si>
  <si>
    <t>Acute</t>
  </si>
  <si>
    <t>Care setting</t>
  </si>
  <si>
    <t>2019 total cost by care setting</t>
  </si>
  <si>
    <t>Cullum et al (2016), Wounds research for patient benefit: a 5-year programme of research</t>
  </si>
  <si>
    <t>Wound</t>
  </si>
  <si>
    <t>Assumed LU unspecified is proportionally distributed to other LUs</t>
  </si>
  <si>
    <t>Number of wounds (UK, 2012/13)</t>
  </si>
  <si>
    <t>Diabetic foot ulcers</t>
  </si>
  <si>
    <t>Arterial leg ulcer</t>
  </si>
  <si>
    <t>Mixed (arterial/venous) leg ulcer</t>
  </si>
  <si>
    <t>Point prevalence per 1,000</t>
  </si>
  <si>
    <t>Guest et al.</t>
  </si>
  <si>
    <t>Cullum et al.</t>
  </si>
  <si>
    <t>Source of prevalence rates</t>
  </si>
  <si>
    <t>Chosen prevalence rates</t>
  </si>
  <si>
    <t>Chosen rates</t>
  </si>
  <si>
    <t>VLUs (2012/13)</t>
  </si>
  <si>
    <t>VLUs</t>
  </si>
  <si>
    <t>Total VLUs</t>
  </si>
  <si>
    <t>Total VLUs cost</t>
  </si>
  <si>
    <t>Assumed NELIP, as per NHS Rightcare and West herts Needs assessment</t>
  </si>
  <si>
    <t>Table 33, Cullum et al (2016), Wounds research for patient benefit:
a 5-year programme of research</t>
  </si>
  <si>
    <t>Recurrence rates</t>
  </si>
  <si>
    <t>12 month rate, Kapp S, Sayers V (2008) Preventing venous leg ulcer
recurrence: a review.</t>
  </si>
  <si>
    <t>Chosen value</t>
  </si>
  <si>
    <t>Midpoint</t>
  </si>
  <si>
    <t>Lower bound</t>
  </si>
  <si>
    <t>Upper bound</t>
  </si>
  <si>
    <t>Choose recurrance rate</t>
  </si>
  <si>
    <t>All</t>
  </si>
  <si>
    <t>Recurrance rate</t>
  </si>
  <si>
    <t>Share of wounds that are new</t>
  </si>
  <si>
    <t>New</t>
  </si>
  <si>
    <t>Recur</t>
  </si>
  <si>
    <t>Old wounds</t>
  </si>
  <si>
    <t>Apply demographic growth to new wounds</t>
  </si>
  <si>
    <t>Growth in new wounds</t>
  </si>
  <si>
    <t>Filter for compress</t>
  </si>
  <si>
    <t>Bandages (non compression)</t>
  </si>
  <si>
    <t>Delete compress mentions</t>
  </si>
  <si>
    <t>Bandages (compress)</t>
  </si>
  <si>
    <t>Steady state growth rates</t>
  </si>
  <si>
    <t>VLU wound growth</t>
  </si>
  <si>
    <t>VLU wounds</t>
  </si>
  <si>
    <t>Total wound growth</t>
  </si>
  <si>
    <t>Mixed wound growth</t>
  </si>
  <si>
    <t>Arterial wound growth</t>
  </si>
  <si>
    <t>Arterial wounds</t>
  </si>
  <si>
    <t>Mixed  wounds</t>
  </si>
  <si>
    <t>VLU growth</t>
  </si>
  <si>
    <t>Mixed growth</t>
  </si>
  <si>
    <t>Arterial growth</t>
  </si>
  <si>
    <t>Annual prevalence</t>
  </si>
  <si>
    <t>Annual prevalence for VLUs from https://bmjopen.bmj.com/content/5/12/e009283.responses. Annual prevalence for other wounds have been proportionally scaled</t>
  </si>
  <si>
    <t>Arterial LU</t>
  </si>
  <si>
    <t>Venous LU</t>
  </si>
  <si>
    <t>Primary and Community</t>
  </si>
  <si>
    <t xml:space="preserve">Gohel, M. S., Heatley, F., Liu, X. et al. (2018) A Randomized Trial of Early Endovenous Ablation in Venous Ulceration. New England Journal of Medicine. </t>
  </si>
  <si>
    <t>Benefits</t>
  </si>
  <si>
    <t xml:space="preserve">Detail </t>
  </si>
  <si>
    <t>RCT on the impact of endovenous ablation on healing, relative to compression therapy</t>
  </si>
  <si>
    <t>Context detail</t>
  </si>
  <si>
    <t xml:space="preserve">Early intervention group: venous leg ulcers to receive compression therapy and undergo early endovenous ablation of superficial venous reflux within 2 weeks after randomization.
Deferred-intervention group: or to receive compression therapy alone, with consideration of endovenous ablation deferred until after the ulcer was healed or until 6 months after randomization if the ulcer was unhealed </t>
  </si>
  <si>
    <t>Eligibility scope</t>
  </si>
  <si>
    <t>568 Did not have ulcer</t>
  </si>
  <si>
    <t>496 Were withdrawn by clinician</t>
  </si>
  <si>
    <t>434 Declined to participate</t>
  </si>
  <si>
    <t>378 Did not have venous disease</t>
  </si>
  <si>
    <t>873 Had ABI &lt;0.8 or arterial ulcer or both</t>
  </si>
  <si>
    <t>610 Had ulcer healed by the time of randomization</t>
  </si>
  <si>
    <t>393 Had other type of ulcer: dermatologic, diabetic foot, or mixed</t>
  </si>
  <si>
    <t>267 Had insufficient superficial venous reflux to warrant ablation</t>
  </si>
  <si>
    <t>199 Had deep venous occlusive disease precluding superficial venous intervention</t>
  </si>
  <si>
    <t>71 Were unable to provide consent</t>
  </si>
  <si>
    <t>35 Were unable to adhere to compression therapy 9 Had other reason</t>
  </si>
  <si>
    <t>6555 Patients were assessed for eligibility</t>
  </si>
  <si>
    <t>were included in analysis, post drop out during treatment</t>
  </si>
  <si>
    <t>Recurrence</t>
  </si>
  <si>
    <t>Cost of intervention</t>
  </si>
  <si>
    <t>Review of evidence</t>
  </si>
  <si>
    <t>Core</t>
  </si>
  <si>
    <t>Source/detail</t>
  </si>
  <si>
    <t>Model assumptions</t>
  </si>
  <si>
    <t>1772 Had ulcer duration &gt;6 months</t>
  </si>
  <si>
    <t>Share of eligibility</t>
  </si>
  <si>
    <t>Yes</t>
  </si>
  <si>
    <t>Reason for drop-out</t>
  </si>
  <si>
    <t>Number of drop-out</t>
  </si>
  <si>
    <t>Core eligibility marker</t>
  </si>
  <si>
    <t>Core and Low 1 based on analysis of drop-outs below</t>
  </si>
  <si>
    <t>Core is based on paper. Low 1 assumes half the impact</t>
  </si>
  <si>
    <r>
      <t xml:space="preserve">The median time to ulcer healing was 56 days (95% CI, 49 to 66) in the early-intervention group and 82 days (95% CI, 69 to 92) in the deferred-intervention group. The rate of ulcer healing at 24 weeks was 85.6% in the early-intervention group and 76.3% in the deferred-intervention group. The median ulcer-free time during the first year after trial enrollment was 306 days (interquartile range, 240 to 328) in the early-intervention group and 278 days (interquartile range, 175 to 324) in the deferredintervention group (P = 0.002).
</t>
    </r>
    <r>
      <rPr>
        <b/>
        <sz val="8"/>
        <color theme="1"/>
        <rFont val="Calibri"/>
        <family val="2"/>
        <scheme val="minor"/>
      </rPr>
      <t>Among the 450 patients who underwent randomization, 404 (89.7%) had healed ulcers within 1 year after randomization (210 of 224 [93.8%] in the early intervention group and 194 of 226 [85.8%] in the
deferred-intervention group).</t>
    </r>
  </si>
  <si>
    <t>Healing  improvement (% total patients)</t>
  </si>
  <si>
    <t>Recurrence  improvement (% healed patients)</t>
  </si>
  <si>
    <r>
      <t xml:space="preserve">Among the 404 patients whose ulcers had healed within 1 year after randomization, </t>
    </r>
    <r>
      <rPr>
        <b/>
        <sz val="8"/>
        <color theme="1"/>
        <rFont val="Calibri"/>
        <family val="2"/>
        <scheme val="minor"/>
      </rPr>
      <t>the rate of ulcer recurrence before the end of the 1-year postrandomization follow-up period was 11.4% (24 of 210 patients) in the early-intervention group and 16.5% (32 of 194 patients) in the deferred-intervention group.</t>
    </r>
    <r>
      <rPr>
        <sz val="8"/>
        <color theme="1"/>
        <rFont val="Calibri"/>
        <family val="2"/>
        <scheme val="minor"/>
      </rPr>
      <t xml:space="preserve">
The rate of ulcer recurrence was lower in the early-intervention group than in the deferredintervention group by 0.08 events per person-year (95% CI, −0.02 to 0.18)</t>
    </r>
  </si>
  <si>
    <t>Eligibility analysis</t>
  </si>
  <si>
    <t xml:space="preserve">Nelson E A, Bell-Syer S.  (2014) Compression for preventing recurrence of venous ulcers Cochrane Systematic Review </t>
  </si>
  <si>
    <t>To assess the effects of compression (socks, stockings, tights, bandages) in preventing the recurrence of venous ulcers.</t>
  </si>
  <si>
    <t>Review of trial evidence</t>
  </si>
  <si>
    <t>VLUs only. Improvement is based on those already recieving compression
Patients older than 18 years of age were eligible for inclusion if they had an open venous leg ulcer that had been present for a period of between 6 weeks and 6 months, an ankle–brachial index of 0.8 or higher, and primary or recurrent superficial venous reflux that was deemed by the treating clinician to be clinically significant.Patients were excluded if they had leg ulcers for which the cause was deemed to be nonvenous</t>
  </si>
  <si>
    <t>Eligibility, (% of patients with new VLUs and are receiving compression)</t>
  </si>
  <si>
    <t>To-be</t>
  </si>
  <si>
    <t>State</t>
  </si>
  <si>
    <t xml:space="preserve">Endovenous Ablation </t>
  </si>
  <si>
    <t>To assess the effects of (1) dressings and (2) topical agents for healing venous leg ulcers in any care setting and to rank treatments in order of effectiveness, with assessment of uncertainty and evidence quality</t>
  </si>
  <si>
    <t xml:space="preserve"> Although there was some evidence that silver dressings may increase the probability of venous leg ulcer healing, compared with nonadherent dressings, this needs to be seen in the context of the low certainty of the network as a whole. We do not therefore believe that this evidence is a sufficient basis for treatment decisions.</t>
  </si>
  <si>
    <t>As per baseline calculations</t>
  </si>
  <si>
    <t>SIGN Guidance</t>
  </si>
  <si>
    <t>Simple non-adherent dressings are recommended in the management of venous leg
ulcers</t>
  </si>
  <si>
    <t>Cost-effectiveness of silver dressing (Norman et al)</t>
  </si>
  <si>
    <t>% dressing use that are non-adherant</t>
  </si>
  <si>
    <t>Expensive dressing cost effectivenes</t>
  </si>
  <si>
    <t>Assume consistent application of SIGN guidance</t>
  </si>
  <si>
    <t>SIGN (2010), Management of chronic venous leg ulcers A national clinical guideline</t>
  </si>
  <si>
    <t>Nelson et al, Compression for preventing recurrence of venous ulcers</t>
  </si>
  <si>
    <t>N/A - inferred by removing ineffective dressings</t>
  </si>
  <si>
    <t>VLUs, patients not receiving compression</t>
  </si>
  <si>
    <t>Nelson EA, Adderley U. Venous leg ulcers. Systematic review 1902. BMJ Clinical Evidence. 2016 January</t>
  </si>
  <si>
    <t>Ref (type)</t>
  </si>
  <si>
    <t>Population</t>
  </si>
  <si>
    <t>Outcome, Interventions</t>
  </si>
  <si>
    <t>Results and statistical analysis</t>
  </si>
  <si>
    <t>Effect size</t>
  </si>
  <si>
    <t>[8]</t>
  </si>
  <si>
    <t>Systematic review</t>
  </si>
  <si>
    <t>66 people (69 ulcers)</t>
  </si>
  <si>
    <t>Data from 1 RCT</t>
  </si>
  <si>
    <t>Proportion of ulcers healed</t>
  </si>
  <si>
    <t>21/30 (70%) with compression</t>
  </si>
  <si>
    <t>15/39 (38%) with no compression</t>
  </si>
  <si>
    <t>RR 1.82</t>
  </si>
  <si>
    <t>95% CI 1.15 to 2.89</t>
  </si>
  <si>
    <t>Small effect size</t>
  </si>
  <si>
    <t>compression</t>
  </si>
  <si>
    <t>36 people</t>
  </si>
  <si>
    <t>18/19 (95%) with compression</t>
  </si>
  <si>
    <t>7/17 (41%) with no compression</t>
  </si>
  <si>
    <t>RR 2.30</t>
  </si>
  <si>
    <t>95% CI 1.29 to 4.10</t>
  </si>
  <si>
    <t>Moderate effect size</t>
  </si>
  <si>
    <t>12/18 (67%) with compression</t>
  </si>
  <si>
    <t>4/18 (22%) with no compression</t>
  </si>
  <si>
    <t>RR 3.00</t>
  </si>
  <si>
    <t>95% CI 1.19 to 7.56</t>
  </si>
  <si>
    <t>200 people</t>
  </si>
  <si>
    <t>Proportion of ulcers healed over 12 weeks</t>
  </si>
  <si>
    <t>54% with 4-layer elastomeric high-compression bandaging</t>
  </si>
  <si>
    <t>34% with no compression</t>
  </si>
  <si>
    <t>Absolute numbers not reported</t>
  </si>
  <si>
    <t>P &lt;0.001</t>
  </si>
  <si>
    <t>Effect size not calculated</t>
  </si>
  <si>
    <t>84 people with 87 venous leg ulcers</t>
  </si>
  <si>
    <t>Proportion of ulcers healed 6 months</t>
  </si>
  <si>
    <t>21/42 (50%) with compression</t>
  </si>
  <si>
    <t>15/45 (33%) with no compression (primary dressing)</t>
  </si>
  <si>
    <t>RR 1.50</t>
  </si>
  <si>
    <t>95% CI 0.90 to 2.50</t>
  </si>
  <si>
    <t>P = 0.12</t>
  </si>
  <si>
    <t>Not significant</t>
  </si>
  <si>
    <t>[9]</t>
  </si>
  <si>
    <t>RCT</t>
  </si>
  <si>
    <t>3-armed trial</t>
  </si>
  <si>
    <t>321 people with venous leg ulcers</t>
  </si>
  <si>
    <t>Proportion of ulcers healed 12 weeks</t>
  </si>
  <si>
    <t>71/107 (66%) with compression (short-stretch bandaging)</t>
  </si>
  <si>
    <t>64/107 (60%) with compression (4-layer bandaging)</t>
  </si>
  <si>
    <t>30/107 (28%) with no compression</t>
  </si>
  <si>
    <r>
      <t>P &lt;0.001 for each type of compression </t>
    </r>
    <r>
      <rPr>
        <i/>
        <sz val="9.3000000000000007"/>
        <color rgb="FF000000"/>
        <rFont val="Times New Roman"/>
        <family val="1"/>
      </rPr>
      <t>v</t>
    </r>
    <r>
      <rPr>
        <sz val="9.3000000000000007"/>
        <color rgb="FF000000"/>
        <rFont val="Times New Roman"/>
        <family val="1"/>
      </rPr>
      <t> no compression</t>
    </r>
  </si>
  <si>
    <t>77/107 (72%) with compression (short-stretch bandaging)</t>
  </si>
  <si>
    <t>72/107 (67%) with compression (4-layer bandaging)</t>
  </si>
  <si>
    <t>31/107 (29%) with no compression</t>
  </si>
  <si>
    <t>73 people</t>
  </si>
  <si>
    <t>Mean % reduction in ulcer area (relative to baseline) 7 weeks</t>
  </si>
  <si>
    <t>69% with compression</t>
  </si>
  <si>
    <t>54% with no compression (normal saline dressing plus ultrasound therapy)</t>
  </si>
  <si>
    <t>63% with no compression (normal saline dressing)</t>
  </si>
  <si>
    <t>P &gt;0.05 for difference across all 3 groups</t>
  </si>
  <si>
    <t>Between-group differences not assessed</t>
  </si>
  <si>
    <t>Time to ulcer healing</t>
  </si>
  <si>
    <t>9.8 weeks with compression (short-stretch bandaging)</t>
  </si>
  <si>
    <t>10.4 weeks with compression (4-layer bandaging)</t>
  </si>
  <si>
    <t>18.3 weeks with no compression</t>
  </si>
  <si>
    <t>Compression (bandages and stockings) versus no compression</t>
  </si>
  <si>
    <t>Core based on average rates from table below, Low 1 assumes half the impact</t>
  </si>
  <si>
    <t>See table below</t>
  </si>
  <si>
    <t>To undertake a systematic review of all randomised controlled trials (RCTs) evaluating the effects on venous ulcer healing of compression bandages and stockings.</t>
  </si>
  <si>
    <t>Healing improvement (compression vs no compression bandaging)</t>
  </si>
  <si>
    <t>% patients receiving compression bandaging</t>
  </si>
  <si>
    <t>Assumed near 100% application</t>
  </si>
  <si>
    <t>Inferred from baseline modelling/costing</t>
  </si>
  <si>
    <t>Compression hosiery vs bandages</t>
  </si>
  <si>
    <t>The objectives of this study were to (1) compare the clinical effectiveness and cost-effectiveness of HH with the 4LB in terms of time to complete healing of venous leg ulcers, cost of treatment, health-related quality of life/utility and participant concordance with treatment;</t>
  </si>
  <si>
    <t>Following healing of the reference leg, participants in the HH (Hosiery) group demonstrated fewer ulcer recurrences than those in the 4LB (bandages) group (14.4% vs. 23.3%; p = 0.035).</t>
  </si>
  <si>
    <t>Other benefits</t>
  </si>
  <si>
    <t>Cost effectiveness</t>
  </si>
  <si>
    <t>The mean annual cost of HH per participant was £302.4 (bias corrected 95% CI −£716.3 to £96.5) less than that for the 4LB</t>
  </si>
  <si>
    <t>Drop out due to discomfort</t>
  </si>
  <si>
    <t>Was not eligible due to clinical reasons</t>
  </si>
  <si>
    <t>Other reason</t>
  </si>
  <si>
    <t>Eligibility</t>
  </si>
  <si>
    <t>Y</t>
  </si>
  <si>
    <t>Core from paper, Low 1 assumed half the impact</t>
  </si>
  <si>
    <t>HH - intervention</t>
  </si>
  <si>
    <t>4LB - basecase</t>
  </si>
  <si>
    <t>Cost reduction per year (relative compared to bandages)</t>
  </si>
  <si>
    <t>Core from paper, Low 1 assumed zero as results are not statistically significant</t>
  </si>
  <si>
    <t>Nurse</t>
  </si>
  <si>
    <t>Day case admission</t>
  </si>
  <si>
    <t>Surgery</t>
  </si>
  <si>
    <t>Home visits</t>
  </si>
  <si>
    <t>OP visits</t>
  </si>
  <si>
    <t>Day case</t>
  </si>
  <si>
    <t>GP</t>
  </si>
  <si>
    <t>Doctor</t>
  </si>
  <si>
    <t>Cost reduction</t>
  </si>
  <si>
    <t>QALYS</t>
  </si>
  <si>
    <t>After adjustment for baseline utility scores and stratification covariates, and after accounting for the censored nature of data, individuals in the HH group had, on average, more QALYs than individuals in the 4LB group [annual difference in QALYs of 0.034 (95% CI –0.0006 to 0.0778): Table 36].</t>
  </si>
  <si>
    <t>Calcs below</t>
  </si>
  <si>
    <t>Cost data, over the study period</t>
  </si>
  <si>
    <t>GP time per case</t>
  </si>
  <si>
    <t>Percentage of VLU patients who were treated with the following dressings and compression</t>
  </si>
  <si>
    <t>Type of bandaging</t>
  </si>
  <si>
    <t>Non compression bandage plus wadding</t>
  </si>
  <si>
    <t>Multilayer compression</t>
  </si>
  <si>
    <t>Three layer reduced compression</t>
  </si>
  <si>
    <t>Short stretched compression</t>
  </si>
  <si>
    <t>Two-layer compression</t>
  </si>
  <si>
    <t>Dressing retention bandage</t>
  </si>
  <si>
    <t>three-layer compression</t>
  </si>
  <si>
    <t>short stretch</t>
  </si>
  <si>
    <t>two-layer compression</t>
  </si>
  <si>
    <t>Class 2 hosiery over the counter</t>
  </si>
  <si>
    <t>40mmHg over the counter</t>
  </si>
  <si>
    <t>Class 1 Hosiery over the counter</t>
  </si>
  <si>
    <t>Class 2 hosiery made to measure</t>
  </si>
  <si>
    <t>Class 3 hosiery made to measure</t>
  </si>
  <si>
    <t>Class 3 hoisery over the counter</t>
  </si>
  <si>
    <t>Hosiery</t>
  </si>
  <si>
    <t>40mmHg made to measure</t>
  </si>
  <si>
    <t>Hosiery marker</t>
  </si>
  <si>
    <t>%  compression patients receiving hosiery</t>
  </si>
  <si>
    <t>This is 85% of patients who do not receive hosiery</t>
  </si>
  <si>
    <t>To be share (share of patients receiving compression)</t>
  </si>
  <si>
    <t>Community NHS</t>
  </si>
  <si>
    <t>Acute NHS</t>
  </si>
  <si>
    <t>Nursing Home</t>
  </si>
  <si>
    <t>Hospice</t>
  </si>
  <si>
    <t>Prison</t>
  </si>
  <si>
    <t>Residential home</t>
  </si>
  <si>
    <t>CIC bed</t>
  </si>
  <si>
    <t>ICT bed</t>
  </si>
  <si>
    <t>inpatient</t>
  </si>
  <si>
    <t>Out of hopsital care</t>
  </si>
  <si>
    <t>Private hospital</t>
  </si>
  <si>
    <t>Not specified</t>
  </si>
  <si>
    <t>Rebased to 100%</t>
  </si>
  <si>
    <t>Home vs in-clinic  visits marker</t>
  </si>
  <si>
    <t>Home visit</t>
  </si>
  <si>
    <t>In clinic visit</t>
  </si>
  <si>
    <t>Nurse time</t>
  </si>
  <si>
    <t>3 months</t>
  </si>
  <si>
    <t>6 months</t>
  </si>
  <si>
    <t>9 months</t>
  </si>
  <si>
    <t>12 months</t>
  </si>
  <si>
    <t>0 months</t>
  </si>
  <si>
    <t>% healed patients that have healed in a given month</t>
  </si>
  <si>
    <t>% healed patients that have not healed in a given month</t>
  </si>
  <si>
    <t>% unhealed patients that remain unhealed</t>
  </si>
  <si>
    <t>Optimal care V1</t>
  </si>
  <si>
    <t>Sub-optimal Care</t>
  </si>
  <si>
    <t>Twice weekly dressing change</t>
  </si>
  <si>
    <t>Dressing and bandage cost</t>
  </si>
  <si>
    <t>Home</t>
  </si>
  <si>
    <t>Clinic</t>
  </si>
  <si>
    <t>Table 6, Ashby et al (2014), VenUS IV (Venous leg Ulcer Study IV) – compression
hosiery compared with compression bandaging in the treatment of venous leg ulcers: a randomised controlled trial, mixed-treatment comparison and decision-analytic model</t>
  </si>
  <si>
    <t>VenUS IV</t>
  </si>
  <si>
    <t>Bandaging (4LB)</t>
  </si>
  <si>
    <t>Optimal care V2</t>
  </si>
  <si>
    <t>Products being changed twice weekly</t>
  </si>
  <si>
    <t>Products being changed every 12 weeks</t>
  </si>
  <si>
    <t>Compression healing rate</t>
  </si>
  <si>
    <t>VenUS IV finds no improvement in clinical outcomes from hosiery compared to 4LB, so assume the healing rates are the same</t>
  </si>
  <si>
    <t>Hosiery healing rate</t>
  </si>
  <si>
    <t>Compression bandages vs no compression</t>
  </si>
  <si>
    <t>Compression hosiery  vs no compression</t>
  </si>
  <si>
    <t xml:space="preserve">Compression treatment measurs </t>
  </si>
  <si>
    <r>
      <t xml:space="preserve">There was no evidence of a difference between HH and the 4LB in terms of time to ulcer healing. Adjusted health-related quality of life (as measured by the Short Form questionnaire-12 items) over 12 months’ follow-up was also similar in both groups. </t>
    </r>
    <r>
      <rPr>
        <b/>
        <sz val="8"/>
        <rFont val="Calibri"/>
        <family val="2"/>
        <scheme val="minor"/>
      </rPr>
      <t>At the end of follow-up 343 participants’ (76.1%) reference legs were completely healed, representing 72.9% (167/229) in the two-layer group and 79.3% (176/222) in the 4LB group.</t>
    </r>
    <r>
      <rPr>
        <sz val="8"/>
        <rFont val="Calibri"/>
        <family val="2"/>
        <scheme val="minor"/>
      </rPr>
      <t xml:space="preserve">
Participants in the HH group also had higher quality-adjusted life years (QALYs) than those allocated to the
4LB (annual difference in adjusted QALYs of 0.034, 95% bias corrected CI −0.0005 to 0.0778).</t>
    </r>
  </si>
  <si>
    <t>Assumed that a patiant that heals in 12 months will follow the below profile of healing probabilities at a given quarter</t>
  </si>
  <si>
    <t>No compression healing rate</t>
  </si>
  <si>
    <t>s</t>
  </si>
  <si>
    <t>Optimal Care V2</t>
  </si>
  <si>
    <t>Compression bandage</t>
  </si>
  <si>
    <t>Hosiery share of compression</t>
  </si>
  <si>
    <t>Share of patients (baseline)</t>
  </si>
  <si>
    <t>Per week</t>
  </si>
  <si>
    <t>Per quarter</t>
  </si>
  <si>
    <t>Not healed</t>
  </si>
  <si>
    <t>Dressing</t>
  </si>
  <si>
    <t>Nurse time cost</t>
  </si>
  <si>
    <t>Dressing changes per week</t>
  </si>
  <si>
    <t>Hosiery changes per week</t>
  </si>
  <si>
    <t>Antibacterial</t>
  </si>
  <si>
    <t>Note % don't equal to 100%</t>
  </si>
  <si>
    <t>Prevalence rates from Srinivasaiah, A point prevalence survey of wounds in north-east England</t>
  </si>
  <si>
    <t>Cumulative wound prevalence</t>
  </si>
  <si>
    <t>Leg and foot ulcers proportion</t>
  </si>
  <si>
    <t>% of leg and foot ulcers that are….</t>
  </si>
  <si>
    <t>Point prevalence</t>
  </si>
  <si>
    <t>As per emial from Laura Hallas</t>
  </si>
  <si>
    <t>Caseload</t>
  </si>
  <si>
    <t>NHSI (2019), 2018/19 National Cost Collection data highlights, analysis and introduction to the data</t>
  </si>
  <si>
    <t>This will be inferred from the rebalancing of shares patient receiving compression treatment as per baseline modelling</t>
  </si>
  <si>
    <t>Ashby et al (2014), VenUS IV (Venous leg Ulcer Study IV) – compression hosiery compared with compression bandaging in the treatment of venous leg ulcers: a randomised controlled trial, mixed-treatment comparison and decision-analytic model</t>
  </si>
  <si>
    <t>%  patients receiving hosiery</t>
  </si>
  <si>
    <t xml:space="preserve"> HRG: YR31Z Percutaneous Transluminal, Laser or Radiofrequency Ablation, of Unilateral Varicose Veins. NHSE/I,  '2019/20 National Tariff Payment System: national prices and prices for emergency care services'</t>
  </si>
  <si>
    <t>Nurse cost per minute</t>
  </si>
  <si>
    <t>Community nurse</t>
  </si>
  <si>
    <t>Nurse share</t>
  </si>
  <si>
    <t>Assumed without qualification</t>
  </si>
  <si>
    <t>Community nurses in woundcare by band</t>
  </si>
  <si>
    <t>Travel time uplift</t>
  </si>
  <si>
    <t>Nurse time per appointment (mins)</t>
  </si>
  <si>
    <t>Nurse time per appointment inc travel time (mins)</t>
  </si>
  <si>
    <t xml:space="preserve">Nurse time </t>
  </si>
  <si>
    <t>Nurse unit cost (cost per appointment)</t>
  </si>
  <si>
    <t>Setting</t>
  </si>
  <si>
    <t xml:space="preserve">Hoisery </t>
  </si>
  <si>
    <t>Compression bandages</t>
  </si>
  <si>
    <t>Share of total patients</t>
  </si>
  <si>
    <t>All treatments</t>
  </si>
  <si>
    <t>Community nurses</t>
  </si>
  <si>
    <t>Practice nurses</t>
  </si>
  <si>
    <t>Cost per appointment</t>
  </si>
  <si>
    <t>Weekly compression bandage change</t>
  </si>
  <si>
    <t>Appointments per week</t>
  </si>
  <si>
    <t>Quantity per appointment</t>
  </si>
  <si>
    <t>Sterac Ster Water Top Irrig 150ml</t>
  </si>
  <si>
    <t>Irrigation Solutions</t>
  </si>
  <si>
    <t>Sterac Sod Chlor Top Irrig 0.9% 150ml</t>
  </si>
  <si>
    <t>Stericlens Sod Chlor Top Irrig A/Spy 100ml</t>
  </si>
  <si>
    <t>Stericlens Sod Chlor Top Irrig A/Spy 240ml</t>
  </si>
  <si>
    <t>Fresenius Sod Chlor Top Irrig 0.9% 1L</t>
  </si>
  <si>
    <t>Fresenius Ster Water Top Irrig 1L</t>
  </si>
  <si>
    <t>Irripod Sod Chlor Top Irrig 20ml</t>
  </si>
  <si>
    <t>Clinipod Sod Chlor Top Irrig 0.9% 20ml</t>
  </si>
  <si>
    <t>Bell's Sod Chlor Top Irrig 0.9% 20ml</t>
  </si>
  <si>
    <t>Crest Medical Ltd Sod Chlor Top Irrig 0.9% 20ml</t>
  </si>
  <si>
    <t>Flowfusor Sod Chlor Top Irrig 0.9% 120ml Bellows</t>
  </si>
  <si>
    <t>Irriclens Sod Chlor Top Irrig A/Spy 240ml</t>
  </si>
  <si>
    <t>Normasol Sod Chlor Top Irrig 0.9% 25ml Sach</t>
  </si>
  <si>
    <t>Normasol Sod Chlor Top Irrig 0.9% 100ml Sach</t>
  </si>
  <si>
    <t>Sal-e Pods Sod Chlor Top Irrig 0.9% 20ml Ud</t>
  </si>
  <si>
    <t>Steripod Sod Chlor Top Irrig 0.9% 20ml</t>
  </si>
  <si>
    <t>Prontosan Top Irrig 40ml</t>
  </si>
  <si>
    <t>Prontosan Top Irrig 350ml Btl</t>
  </si>
  <si>
    <t>Generics UK Sod Chlor Top Irrig 0.9% 20ml</t>
  </si>
  <si>
    <t>Octenilin Top Irrig 350ml Btl</t>
  </si>
  <si>
    <t>Alissa Sod Chlor Top Irrig 0.9% 20ml</t>
  </si>
  <si>
    <t>Sterowash Sod Chlor Top Irrig 0.9% 20ml</t>
  </si>
  <si>
    <t>ISO-POD Sod Chlor Top Irrig 0.9% 20ml Ud</t>
  </si>
  <si>
    <t>Salipod Sod Chlor Top Irrig 0.9% 20ml Ud</t>
  </si>
  <si>
    <t>Saline</t>
  </si>
  <si>
    <t>Dressing pack</t>
  </si>
  <si>
    <t>Based on Atrauman 10 x 20 cm</t>
  </si>
  <si>
    <t>Provided by NWCSP</t>
  </si>
  <si>
    <t>*ActiveHeal Foam Adhesive 15 x 15 cm ( Cheap) costs £2.15. Allevyn Ag Adhesive 17.5 x 17.5cm (Expensive) costs £14.27. Therefore cost cited is average of these two dressings</t>
  </si>
  <si>
    <t>Community nurses (mins)</t>
  </si>
  <si>
    <t>Practice nurses (mins)</t>
  </si>
  <si>
    <t>Foam Adhesive dressing (sub-optimal)</t>
  </si>
  <si>
    <t>Compression bandaging 4-layer</t>
  </si>
  <si>
    <t>Wound Contact Layer</t>
  </si>
  <si>
    <t>Optimal Care V1</t>
  </si>
  <si>
    <t>Sub-optimal care</t>
  </si>
  <si>
    <t>Not Healed</t>
  </si>
  <si>
    <t>Share of patients by care type</t>
  </si>
  <si>
    <t>Expensive dressings used in sub-optimal practice. ActiveHeal Foam Adhesive 15 x 15 cm ( Cheap) costs £2.15
Allevyn Ag Adhesive 17.5 x 17.5cm (Expensive) costs £14.27
Therefore cost cited is average of these two dressings</t>
  </si>
  <si>
    <t>Average annual cost per wound</t>
  </si>
  <si>
    <t>Annual cost per wound (baseline)</t>
  </si>
  <si>
    <t>Annual resource consumption per wound (baseline)</t>
  </si>
  <si>
    <t>From Guest et al</t>
  </si>
  <si>
    <t>From care type modelling</t>
  </si>
  <si>
    <t>Inflated cost from Guest JF, Fuller GW, Vowden P. Diabetic foot ulcer management in clinical practice in the UK: costs and outcomes.</t>
  </si>
  <si>
    <t>Per min, See calculations below, cost per min</t>
  </si>
  <si>
    <t>Guest's cost per VLU</t>
  </si>
  <si>
    <t>Cost per VLU 2012</t>
  </si>
  <si>
    <t>Dressings and bandages</t>
  </si>
  <si>
    <t>Indicative volume of wounds</t>
  </si>
  <si>
    <t>Year of prevalence</t>
  </si>
  <si>
    <t>Year to report</t>
  </si>
  <si>
    <t>Baseline year</t>
  </si>
  <si>
    <t>Projected costs (before inflation, 2018/19 prices)</t>
  </si>
  <si>
    <t>Annual average consumption per wound</t>
  </si>
  <si>
    <t>This is the annual cost of nurse time and wound care products until the wound has healed. It does not include cost of review once wound has healed</t>
  </si>
  <si>
    <t>Compression hosiery or wraps*</t>
  </si>
  <si>
    <t>Duration of review appointment (mins)</t>
  </si>
  <si>
    <t>During first year of wound</t>
  </si>
  <si>
    <t>*Wraps are replaced once a year at a cost of c.£90, hosiery is replaced every 6 months but at a cost of c. £45 over 2 legs. The costs are therefore assumed costant over a year.</t>
  </si>
  <si>
    <t>Average age of death 2019</t>
  </si>
  <si>
    <t>Males</t>
  </si>
  <si>
    <t>Female</t>
  </si>
  <si>
    <t>ONS (2019), Life expectancy in selected countries, 2015 to 2017</t>
  </si>
  <si>
    <t>Average age of person with wound</t>
  </si>
  <si>
    <t>Average number of years receiving 6 monthly review, post healing year</t>
  </si>
  <si>
    <t>Healed wounds that do not recur</t>
  </si>
  <si>
    <t>Average number of years receiving 6 monthly review, post healing year (rounded)</t>
  </si>
  <si>
    <t>Year of review</t>
  </si>
  <si>
    <t>Cohort year</t>
  </si>
  <si>
    <t>Total VLUs that receive 6 monthly review</t>
  </si>
  <si>
    <t>Optimal post treatment care</t>
  </si>
  <si>
    <t>No post care treatment if unhealed</t>
  </si>
  <si>
    <t>Optimal post treatment care (within year)</t>
  </si>
  <si>
    <t>Per year following first year of wound</t>
  </si>
  <si>
    <t>Sub-optimal post treatment care</t>
  </si>
  <si>
    <t>Care type</t>
  </si>
  <si>
    <t>Share receiving post optimal treatment care, by care type</t>
  </si>
  <si>
    <t>Projected total resource demand for wound care</t>
  </si>
  <si>
    <t>Treatment resources</t>
  </si>
  <si>
    <t>Total annual resource consumption per wound</t>
  </si>
  <si>
    <t>Optimal Post treatment (within same year) resources</t>
  </si>
  <si>
    <t xml:space="preserve">Average annual resource consumption per wound, by pathway </t>
  </si>
  <si>
    <t>Recurrance rate (Baseline)</t>
  </si>
  <si>
    <t>This treatment stops either when the patient passes away or the wound recurs</t>
  </si>
  <si>
    <t>Baseline, average annual  resource consumption</t>
  </si>
  <si>
    <t xml:space="preserve">*only healed wounds that do not recur will receive optimal post treatment care   </t>
  </si>
  <si>
    <t>Annual treatment resources per wound (combined table)</t>
  </si>
  <si>
    <t>Resource consumption per wound receiving post healing treatment</t>
  </si>
  <si>
    <t>Total resource consumption for post healing treatment</t>
  </si>
  <si>
    <t>Annual resource consumption per wound treated</t>
  </si>
  <si>
    <t>Annual resource requirements for post healing maintenance (optimal care)</t>
  </si>
  <si>
    <t>Under optimal care, healed wounds will be reviewed every 6 monhts, either until wound recurs or patient dies</t>
  </si>
  <si>
    <t>Total healed VLUs</t>
  </si>
  <si>
    <t>Volume of VLUs receiving 6 monthly optimal wound maintenance post healing</t>
  </si>
  <si>
    <t xml:space="preserve">Healed wounds that do not recur within 12 months </t>
  </si>
  <si>
    <t>Volume of eligible wounds that will receive wound maintenance</t>
  </si>
  <si>
    <t>Volume of wounds healed each year that will receive wound maintenance</t>
  </si>
  <si>
    <t>Total VLUs receiving mainenance each year</t>
  </si>
  <si>
    <t>Split of patients</t>
  </si>
  <si>
    <t>A wound that heals in year 1 will receive maintenance for the next 10 years. Exclude maintenance care in the first year as the this is accounted for in the treatment costs</t>
  </si>
  <si>
    <t>Basleine share of total wounds that will recieve 6 monthly review once wound healed</t>
  </si>
  <si>
    <t>% of healed patients receiving 6 monthy review (baseline)</t>
  </si>
  <si>
    <t>VLU wound prevalence  projections</t>
  </si>
  <si>
    <t>Mixed LU wound prevalence  projections</t>
  </si>
  <si>
    <t>Mixed wounds  by healed/unhealed</t>
  </si>
  <si>
    <t>VLU Healed splits</t>
  </si>
  <si>
    <t>Projecting VLU wound prevalence</t>
  </si>
  <si>
    <t>Projecting Mixed LU prevalence</t>
  </si>
  <si>
    <t>Mixed LUs (2012/13)</t>
  </si>
  <si>
    <t>No. Mixed Lus</t>
  </si>
  <si>
    <t>Mixed Lus</t>
  </si>
  <si>
    <t>Total Mixed Lus</t>
  </si>
  <si>
    <t>Arterial LU wound prevalence  projections</t>
  </si>
  <si>
    <t>Arterial LUs (2012/13)</t>
  </si>
  <si>
    <t>Projecting Arterial LU prevalence</t>
  </si>
  <si>
    <t>Arterial LUs</t>
  </si>
  <si>
    <t>No. Arterial LUs</t>
  </si>
  <si>
    <t>Total Arterial Lus</t>
  </si>
  <si>
    <t>Prevalence projections</t>
  </si>
  <si>
    <t>Healed/unhealed split</t>
  </si>
  <si>
    <t xml:space="preserve"> </t>
  </si>
  <si>
    <t xml:space="preserve">Sub-optimal Care </t>
  </si>
  <si>
    <t>In the absense of data, assume half of the 12 month healing rate at 6 months</t>
  </si>
  <si>
    <t>Mixed LUs</t>
  </si>
  <si>
    <t>Approach</t>
  </si>
  <si>
    <t>Healing rate calculations</t>
  </si>
  <si>
    <t>Healing rate under optimal care (compression)</t>
  </si>
  <si>
    <t>Healing rate under suboptimal care (no compression)</t>
  </si>
  <si>
    <t>Healing improvement</t>
  </si>
  <si>
    <t>Suboptimal healing rates</t>
  </si>
  <si>
    <t>Optimal healing rates</t>
  </si>
  <si>
    <t>Baseline healing rates</t>
  </si>
  <si>
    <t>Same as VLU, but with slightly lower healing rates</t>
  </si>
  <si>
    <t>Same as VLUs but change is review is done every 3 months rather than every 6 months</t>
  </si>
  <si>
    <t>Optimal care</t>
  </si>
  <si>
    <t>In the absense of data, this will be assumed to be the same as VLU</t>
  </si>
  <si>
    <t>Optimal Care</t>
  </si>
  <si>
    <t>Mixed cost per wound</t>
  </si>
  <si>
    <t>Assuming suboptimal healing rate is not higher than than optimal care healing</t>
  </si>
  <si>
    <t xml:space="preserve">Optimal Care </t>
  </si>
  <si>
    <t>Optimal care would include revascularisation surgery and then dressing changes (as per suboptimal care). However as we lack data on both the cost, effectiveness and prevalence of revascularisation surgery, we have excluded it from the model</t>
  </si>
  <si>
    <t>Total healed Mixed LUs</t>
  </si>
  <si>
    <t>Number of years healed wounds will receive post treatment care</t>
  </si>
  <si>
    <t>Total Mixed LUs that receive 6 monthly review</t>
  </si>
  <si>
    <t>Total Mixed LUs receiving mainenance each year</t>
  </si>
  <si>
    <t>Mixed LU population by healed/unhealed (2012/13)</t>
  </si>
  <si>
    <t>Total Mixed LUs</t>
  </si>
  <si>
    <t>Total Mixed LUs cost</t>
  </si>
  <si>
    <t>Cost per Mixed LU 2012</t>
  </si>
  <si>
    <t>Guest's cost per Mixed LU</t>
  </si>
  <si>
    <t>Arterial LU population by healed/unhealed (2012/13)</t>
  </si>
  <si>
    <t>Total Arterial LUs</t>
  </si>
  <si>
    <t>Arterial wounds do not heal so there is no post healing care</t>
  </si>
  <si>
    <t>Cost per Arterial LU 2012</t>
  </si>
  <si>
    <t>Guest's cost per Arterial LU</t>
  </si>
  <si>
    <t>Total Arterial LUs that receive 6 monthly review</t>
  </si>
  <si>
    <t>Total Arterial LUs cost</t>
  </si>
  <si>
    <t>Travel time (mins)</t>
  </si>
  <si>
    <t>Wound care clinic</t>
  </si>
  <si>
    <t>Nurse type</t>
  </si>
  <si>
    <t>Community nurse (travel)</t>
  </si>
  <si>
    <t>Community nurse (no travel)</t>
  </si>
  <si>
    <t>Scenario</t>
  </si>
  <si>
    <t>Mapping of nurse types to care setting</t>
  </si>
  <si>
    <t>Share of treatment completed by each nurse</t>
  </si>
  <si>
    <t>Community nurses, with travel (mins)</t>
  </si>
  <si>
    <t>Community nurses, no travel (mins)</t>
  </si>
  <si>
    <t>Only community nurses treating patients at home are assumed to travel</t>
  </si>
  <si>
    <t>Home care</t>
  </si>
  <si>
    <t>Activity</t>
  </si>
  <si>
    <t>Timings are assumed to be the same if patients are treated in a clinic, for both practice nurses and community nurses</t>
  </si>
  <si>
    <t>Same as VLU optimcal care 1, but bandages changed twice a week and slightly lower healing rates</t>
  </si>
  <si>
    <t>Post treatment share</t>
  </si>
  <si>
    <t>Same as VLU suboptimal, but with  lower healing rates</t>
  </si>
  <si>
    <t>Default</t>
  </si>
  <si>
    <t>Manual</t>
  </si>
  <si>
    <t>Chosen baseline Care setting mix</t>
  </si>
  <si>
    <t>Chosen To-be Care setting mix</t>
  </si>
  <si>
    <t>Care setting mix</t>
  </si>
  <si>
    <t>Baseline care setting</t>
  </si>
  <si>
    <t>To be care setting</t>
  </si>
  <si>
    <t>Nurse mix</t>
  </si>
  <si>
    <t>Chosen share of patients (baseline)</t>
  </si>
  <si>
    <t>Chosen share of patients (to-be)</t>
  </si>
  <si>
    <t>Benefit type</t>
  </si>
  <si>
    <t>New wound growth</t>
  </si>
  <si>
    <t>Assumptions</t>
  </si>
  <si>
    <t>Wound stock and flow model</t>
  </si>
  <si>
    <t>Indicative new wounds</t>
  </si>
  <si>
    <t>New wound growth rates</t>
  </si>
  <si>
    <t>Growth in wounds driven by demographic growth</t>
  </si>
  <si>
    <t>Wound shares</t>
  </si>
  <si>
    <t>Inferred healing rate</t>
  </si>
  <si>
    <t>To-be VLU healing rate</t>
  </si>
  <si>
    <t>Baseline VLU healing rate</t>
  </si>
  <si>
    <t>Improvement delta from care pathway mix improvement</t>
  </si>
  <si>
    <t>Number of patients</t>
  </si>
  <si>
    <t>Total VLU compression patients considered for HH</t>
  </si>
  <si>
    <t>Eligibility share (% VLUs treated with compression that are eligible for hoisery)</t>
  </si>
  <si>
    <t>To-be Patient share</t>
  </si>
  <si>
    <t>Default To-be share</t>
  </si>
  <si>
    <t>Chosen To-be</t>
  </si>
  <si>
    <t>Healing improvement from Care Pathway Mix</t>
  </si>
  <si>
    <t>Assume negligible number of patients receive ablation in the baseline</t>
  </si>
  <si>
    <t>Healing  improvement delta (% total patients)</t>
  </si>
  <si>
    <t>Effective healing improvement delta (taking into account eligibility)</t>
  </si>
  <si>
    <t>Overall To-be healing delta</t>
  </si>
  <si>
    <t>Delta from care pathway mix improvement</t>
  </si>
  <si>
    <t>Delta from endovenous ablation</t>
  </si>
  <si>
    <t>On</t>
  </si>
  <si>
    <t>Off</t>
  </si>
  <si>
    <t>Baseline Mixed healing rate</t>
  </si>
  <si>
    <t>Chosen Baseline</t>
  </si>
  <si>
    <t>Baseline Mixed LU healing rate</t>
  </si>
  <si>
    <t>To-be Mixed LU healing rate</t>
  </si>
  <si>
    <t>Recurrence  improvement HH Vs 4LB (% total treated patients)</t>
  </si>
  <si>
    <t>Recurrence rate</t>
  </si>
  <si>
    <t>HH</t>
  </si>
  <si>
    <t>4LB</t>
  </si>
  <si>
    <t>Detai</t>
  </si>
  <si>
    <t>Based on VenUS IV paper</t>
  </si>
  <si>
    <t>Baseline VLU recurence rate</t>
  </si>
  <si>
    <t>Inferred recurrence rate</t>
  </si>
  <si>
    <t>Improvement from Care Pathway Mix</t>
  </si>
  <si>
    <t>Healing rate improvement delta from care pathway mix improvement</t>
  </si>
  <si>
    <t>Recurrence rate improvement delta from care pathway mix improvement</t>
  </si>
  <si>
    <t>Improvement from Endovenous Ablation</t>
  </si>
  <si>
    <t>Recurrence  improvement delta (% total patients)</t>
  </si>
  <si>
    <t>Effective recurrence improvement delta (taking into account eligibility)</t>
  </si>
  <si>
    <t>Overall To-be recurrence delta</t>
  </si>
  <si>
    <t>Baseline VLU recurrence rate</t>
  </si>
  <si>
    <t>To-be VLU recurrence rate</t>
  </si>
  <si>
    <t>Band 7</t>
  </si>
  <si>
    <t>Band 5</t>
  </si>
  <si>
    <t>Band 6</t>
  </si>
  <si>
    <t>Band 3 support worker</t>
  </si>
  <si>
    <t>Band 3 clerical worker</t>
  </si>
  <si>
    <t>WTE</t>
  </si>
  <si>
    <t>Nurse band</t>
  </si>
  <si>
    <t>Set-up costs</t>
  </si>
  <si>
    <t>Cost</t>
  </si>
  <si>
    <t>Facility costs</t>
  </si>
  <si>
    <t>Facility running costs</t>
  </si>
  <si>
    <t>Costs</t>
  </si>
  <si>
    <t>Band 4</t>
  </si>
  <si>
    <t>Total set-up costs per clinic</t>
  </si>
  <si>
    <t>Running costs (annual)</t>
  </si>
  <si>
    <t>Annual rental costs (including most equipment, IT, maintenance costs)</t>
  </si>
  <si>
    <t>Caseload patients per week</t>
  </si>
  <si>
    <t>New patients in the week</t>
  </si>
  <si>
    <t>Training staff costs</t>
  </si>
  <si>
    <t>The cost of training is the staff time spent on the training course</t>
  </si>
  <si>
    <t>It is assumed each nurse will only need to be trained once</t>
  </si>
  <si>
    <t>Band 8</t>
  </si>
  <si>
    <t>Training is delivered by a Band 8 nurse, 10-15 nurses at a time</t>
  </si>
  <si>
    <t>Days</t>
  </si>
  <si>
    <t>Nurse time spent on training (over 8 weeks)</t>
  </si>
  <si>
    <t>Nurse oversight (band 8)</t>
  </si>
  <si>
    <t>Service provision per training nurse</t>
  </si>
  <si>
    <t>Total cost of time</t>
  </si>
  <si>
    <t>Working hours a year</t>
  </si>
  <si>
    <t>Split</t>
  </si>
  <si>
    <t>Training cost by staff band</t>
  </si>
  <si>
    <t>Training cost per nurse trained</t>
  </si>
  <si>
    <t>Other provision costs</t>
  </si>
  <si>
    <t>Days per trainee</t>
  </si>
  <si>
    <t>Cost per trainee</t>
  </si>
  <si>
    <t>Average trainee cost of time, by band</t>
  </si>
  <si>
    <t>Provision cost per trainee</t>
  </si>
  <si>
    <t>Total training cost per trainee</t>
  </si>
  <si>
    <t>Assume each WTE nurse in the year recieves training</t>
  </si>
  <si>
    <t>Hours (7 hours a day)</t>
  </si>
  <si>
    <t>Working mins a year</t>
  </si>
  <si>
    <t>Assumed 8 hour working day, 30 days holiday, 261 working days a year.</t>
  </si>
  <si>
    <t>We have assumed specialised clinics are staffed by community nurses, although they could also be staffed by practice nurses</t>
  </si>
  <si>
    <t>Average Leg Club session (mins)</t>
  </si>
  <si>
    <t>Average nurse time per session (mins)</t>
  </si>
  <si>
    <t>Share of time</t>
  </si>
  <si>
    <t>Total time (mins)</t>
  </si>
  <si>
    <t xml:space="preserve">Cost per hour </t>
  </si>
  <si>
    <t>Community nurse band</t>
  </si>
  <si>
    <t>Assumed same as Band 4 as this is not available in PSSRU</t>
  </si>
  <si>
    <t>Total cost per session</t>
  </si>
  <si>
    <t>Average members per session</t>
  </si>
  <si>
    <t>Average cost per member per session</t>
  </si>
  <si>
    <t>There are no facility costs</t>
  </si>
  <si>
    <t>Treatment</t>
  </si>
  <si>
    <t>Changes per week</t>
  </si>
  <si>
    <t>Changes per year</t>
  </si>
  <si>
    <t>Healing rate at 6 months</t>
  </si>
  <si>
    <t>Average annual cost per member</t>
  </si>
  <si>
    <t>Assume attendance is reflective of weekly as per changes optimal treatment pathways</t>
  </si>
  <si>
    <t>Share of total wounds treated by wound clinics</t>
  </si>
  <si>
    <t>Annual total cost</t>
  </si>
  <si>
    <t>Dopplers</t>
  </si>
  <si>
    <t>Wounds treated in wc clinic</t>
  </si>
  <si>
    <t>Estimated caseload patients per year</t>
  </si>
  <si>
    <t>Inferred clinic volume</t>
  </si>
  <si>
    <t>Share of total wounds treated by social leg clubs</t>
  </si>
  <si>
    <t>Wounds treated in social leg club</t>
  </si>
  <si>
    <t>Weekly dressing change plus hosiery changed every 12 weeks</t>
  </si>
  <si>
    <t>Products being changed  weekly</t>
  </si>
  <si>
    <t>Endovenous ablation surgery</t>
  </si>
  <si>
    <t>% all VLU patients eligible (optimal care only)</t>
  </si>
  <si>
    <t>Volume of endovenous surgeries</t>
  </si>
  <si>
    <t xml:space="preserve">Chosen: % all VLU patients eligible </t>
  </si>
  <si>
    <t>% all VLU patients</t>
  </si>
  <si>
    <t>Share of all VLU patients</t>
  </si>
  <si>
    <t>Cost per surgery</t>
  </si>
  <si>
    <t>Annual cost of ablation surgery (hospital admissions)</t>
  </si>
  <si>
    <t>Inc ablation cost</t>
  </si>
  <si>
    <r>
      <t xml:space="preserve">We identified one study that compared ulcer recurrence in people with and without compression.. Trial 1: It found that compression with high compression </t>
    </r>
    <r>
      <rPr>
        <b/>
        <sz val="8"/>
        <rFont val="Calibri"/>
        <family val="2"/>
        <scheme val="minor"/>
      </rPr>
      <t>hosiery</t>
    </r>
    <r>
      <rPr>
        <sz val="8"/>
        <rFont val="Calibri"/>
        <family val="2"/>
        <scheme val="minor"/>
      </rPr>
      <t xml:space="preserve"> (class 3: Venosan 2003) significantly reduced ulcer recurrence compared with no compression at six months follow up (RR 0.46, 95% CI 0.27 to 0.76, p=0.003, Analysis 1.1). </t>
    </r>
  </si>
  <si>
    <t xml:space="preserve">6 month rate, assumed 12 months. Nelson E A, Bell-Syer S.  (2014) Compression for preventing recurrence of venous ulcers Cochrane Systematic Review </t>
  </si>
  <si>
    <t>Iglesias et al (2004), VenUS I: A randomised controlled trial of two types of bandage for treating
venous leg ulcers</t>
  </si>
  <si>
    <t>More than 70% of patients who had healed in both bandage groups remained so after
the first year of follow-up [point at which wound healed].  After 12 months of treatment, 13.1% of ulcers had reoccurred in the 4LB group and the SSB group, respectively.</t>
  </si>
  <si>
    <t>This paper looked at the the use of 4LB compression therapy in improving healing and recurrence rates.</t>
  </si>
  <si>
    <t>Recurrence rate (12 months), 4LB</t>
  </si>
  <si>
    <t>Average of VenUS IV and VenUS I</t>
  </si>
  <si>
    <t>Nelson E A, Bell-Syer S.  (2014)</t>
  </si>
  <si>
    <t>Nelson, Adderley  (2016)</t>
  </si>
  <si>
    <t>Reason for exclusion</t>
  </si>
  <si>
    <t>Healing rate not assessed</t>
  </si>
  <si>
    <t>Only 12 weeks considered</t>
  </si>
  <si>
    <t>Average compression healing rate</t>
  </si>
  <si>
    <t>Average no compression healing rate</t>
  </si>
  <si>
    <t>Data 2: Srinivasaiah et al (2007), A point prevalence survey of wounds in north-east England</t>
  </si>
  <si>
    <t>Share of total patients (VLU)</t>
  </si>
  <si>
    <t>Compression</t>
  </si>
  <si>
    <t>Care setting of wound care</t>
  </si>
  <si>
    <t>Data 3: Guest et al (2017) Venous leg ulcer management in clinical practice in the UK: costs and outcomes</t>
  </si>
  <si>
    <t>Programme management costs</t>
  </si>
  <si>
    <t>WTE per CCG,  by year of implementation</t>
  </si>
  <si>
    <t>Assume each CGG implementing recommendations will require a programme managament team</t>
  </si>
  <si>
    <t>Salary</t>
  </si>
  <si>
    <t>Annual Cost per CCG,  by year of implementation</t>
  </si>
  <si>
    <t>Number of CCGs implementing change</t>
  </si>
  <si>
    <t>*Nurse 7 and 8 do not receive training</t>
  </si>
  <si>
    <t>Share of community nurses</t>
  </si>
  <si>
    <t>Full 4 day training courses will be given to those who spends a significant part of their time on woundcare (e.g.those in leg club and wound care clinic). All others will receive 1 day.</t>
  </si>
  <si>
    <t>Assume only wound care clinic and leg club nurses will receive full training</t>
  </si>
  <si>
    <t>Full compression training</t>
  </si>
  <si>
    <t>Compression Therapy Training costs</t>
  </si>
  <si>
    <t>Training on compression therapy will be delivered for all community nurses providing wound care</t>
  </si>
  <si>
    <t>1 day compression training course</t>
  </si>
  <si>
    <t>Total training cost (at start of implementation)</t>
  </si>
  <si>
    <t>Share of all community nurses receiving refresher courses every year</t>
  </si>
  <si>
    <t>Average nurse time spent on training (hours)</t>
  </si>
  <si>
    <t>Total training cost per annum</t>
  </si>
  <si>
    <t>Total one-off training cost</t>
  </si>
  <si>
    <t>Total annual refresher training cost</t>
  </si>
  <si>
    <t>Total community nurse time on woundcare (mins)</t>
  </si>
  <si>
    <t>Total community nurses delivering woundcare</t>
  </si>
  <si>
    <t>Total community staff going on training per annum</t>
  </si>
  <si>
    <t>1 day refresher training courses delivered every yearh</t>
  </si>
  <si>
    <t>1) Initial one-off training cost</t>
  </si>
  <si>
    <t>2) Ongoing annual training cost</t>
  </si>
  <si>
    <t>Training is provided for free by pharma companies</t>
  </si>
  <si>
    <t>*Most equipment is included in rental costs</t>
  </si>
  <si>
    <t>Intervention</t>
  </si>
  <si>
    <t>First year of benefit</t>
  </si>
  <si>
    <t>New epidomology assumptions</t>
  </si>
  <si>
    <t>Interventions</t>
  </si>
  <si>
    <t>Total wound growth, with intervention</t>
  </si>
  <si>
    <t>VLU wound growth (with intervention)</t>
  </si>
  <si>
    <t>Mixed wound growth (with intervention)</t>
  </si>
  <si>
    <t>Arterial wound growth (with intervention)</t>
  </si>
  <si>
    <t>New wounds</t>
  </si>
  <si>
    <t>Year before benefits (baseline assumptions)</t>
  </si>
  <si>
    <t>Year after benefits (intervention assumptions)</t>
  </si>
  <si>
    <t>Mixed LU wounds</t>
  </si>
  <si>
    <t>Mixed LU growth</t>
  </si>
  <si>
    <t>Arterial LU wounds</t>
  </si>
  <si>
    <t>Arterial LU growth</t>
  </si>
  <si>
    <t>Share of total wounds that will recieve 6 monthly review once wound healed</t>
  </si>
  <si>
    <t>Interventions, average annual  resource consumption</t>
  </si>
  <si>
    <t>Share of patients</t>
  </si>
  <si>
    <t>Annual resource consumption per wound (intervention)</t>
  </si>
  <si>
    <t>Intervention, average annual  resource consumption</t>
  </si>
  <si>
    <t>Wound volume</t>
  </si>
  <si>
    <t>Total annual cost across all wound care patients treated in clinics (£m)</t>
  </si>
  <si>
    <t>Average annual running cost per patient</t>
  </si>
  <si>
    <t>Assume inflation is related to staff as this is the main cost</t>
  </si>
  <si>
    <t>Total annual clinic cost, inc inflation (£m)</t>
  </si>
  <si>
    <t>Annual leg club cost</t>
  </si>
  <si>
    <t>Total annual cost across all wound care patients treated in leg clubs (£m)</t>
  </si>
  <si>
    <t>Total annual leg club cost, inc inflation (£m)</t>
  </si>
  <si>
    <t>Baseline average annual resource consumption (mins)</t>
  </si>
  <si>
    <t>Total set-up costs (based on all wound care patients at baseline treated by clinics)</t>
  </si>
  <si>
    <t>Total set-up costs with inflation (£m)</t>
  </si>
  <si>
    <t>Year costs are incurred</t>
  </si>
  <si>
    <t>Total programme management cost, w. inflation (£m)</t>
  </si>
  <si>
    <t>Annual training cost</t>
  </si>
  <si>
    <t>Annual training cost, w. inflation (£m)</t>
  </si>
  <si>
    <t>Cost (£m)</t>
  </si>
  <si>
    <t>Clinic running costs</t>
  </si>
  <si>
    <t>Leg club running costs</t>
  </si>
  <si>
    <t>Clinic set-up costs</t>
  </si>
  <si>
    <t>One-off training cost</t>
  </si>
  <si>
    <t>Assuming baseline assumptions</t>
  </si>
  <si>
    <t>Total wound growth, without intervention</t>
  </si>
  <si>
    <t xml:space="preserve">Baseline growth </t>
  </si>
  <si>
    <t>Difference (correction factor)</t>
  </si>
  <si>
    <t>Total VLU growth with intervention, inc correction</t>
  </si>
  <si>
    <t>Correction factor</t>
  </si>
  <si>
    <t>Total Mixed growth with intervention, inc correction</t>
  </si>
  <si>
    <t>Cost growth (%)</t>
  </si>
  <si>
    <t>Total cost (£)</t>
  </si>
  <si>
    <t>Baseline total cost (£)</t>
  </si>
  <si>
    <t>Total cost (m)</t>
  </si>
  <si>
    <t>Discount rate</t>
  </si>
  <si>
    <t>Green book guidance</t>
  </si>
  <si>
    <t>Applied discount rate</t>
  </si>
  <si>
    <t>Discounted to…</t>
  </si>
  <si>
    <t>Cumulative discount multiplier</t>
  </si>
  <si>
    <t>NPV (£m)</t>
  </si>
  <si>
    <t>Optimism bias</t>
  </si>
  <si>
    <t>Benefit (savings)</t>
  </si>
  <si>
    <t>Net benefit (with O.B)</t>
  </si>
  <si>
    <t>Net benefit</t>
  </si>
  <si>
    <t>One-off training delivery, by year of implementation</t>
  </si>
  <si>
    <t>Phased one-off training costs, w. inflation (£m)</t>
  </si>
  <si>
    <t>Training cost</t>
  </si>
  <si>
    <t>Number trainees per year</t>
  </si>
  <si>
    <t>WTE being trained, by band</t>
  </si>
  <si>
    <t>Post healing wound maintenance</t>
  </si>
  <si>
    <t>Treatment share, baseline</t>
  </si>
  <si>
    <t>Under optimal care, healed wounds will be reviewed every 6 months with wraps/hosiery applied (in clinic only) to reduce the recurrance of wounds</t>
  </si>
  <si>
    <t>Under optimal care, healed wounds will be reviewed every 3 months with wraps/hosiery applied (in clinic only) to reduce the recurrance of wounds</t>
  </si>
  <si>
    <t>Treatment share, To-be</t>
  </si>
  <si>
    <t>Delivery of care is same regardless of setting, so moving patients to clinics will not affect staff volumes</t>
  </si>
  <si>
    <t>NPV (£bn)</t>
  </si>
  <si>
    <t>Epidomology assumptions</t>
  </si>
  <si>
    <t>1) Guest prevalence rates</t>
  </si>
  <si>
    <t>Prevalence rates are available from a number of sources.</t>
  </si>
  <si>
    <t>Unspecified leg ulcers are likely to consistent of venous, mixed and arterial leg ulcers. To ensure these are captured in the mode, unspecified Lus will be redistributed into venous, mixed and arterial wounds.</t>
  </si>
  <si>
    <t>Revised Guest wound prevalence, with unspecified LUs redistributed</t>
  </si>
  <si>
    <t>To convert point prevalence to annual prevalence, academics suggest to proportionately scale the point prevalence estimates relative to the VLU annual estimate</t>
  </si>
  <si>
    <t>3) Prevalence rates from Srinivasaiah</t>
  </si>
  <si>
    <t>4) Prevalence rates from Laura Hallas</t>
  </si>
  <si>
    <t>Healing rates by wound type (12 months)</t>
  </si>
  <si>
    <t>Demographic growth</t>
  </si>
  <si>
    <t>It is assumed that new wounds are grown accoding to demographic growth (growth in population by age band).</t>
  </si>
  <si>
    <t>Population growth, by age band</t>
  </si>
  <si>
    <t>Total population, by age band</t>
  </si>
  <si>
    <t>Total population, by band</t>
  </si>
  <si>
    <t>Population growth, by band</t>
  </si>
  <si>
    <t>Combined population growth, by age band (historical and projection)</t>
  </si>
  <si>
    <t>It is assumed that new wounds are grown by demographic growth</t>
  </si>
  <si>
    <t>Growth in  new wounds driven by demographic growth</t>
  </si>
  <si>
    <t>Prescription Cost Analysis data</t>
  </si>
  <si>
    <t>Used to inform unit costs</t>
  </si>
  <si>
    <t>Inflation assumptions</t>
  </si>
  <si>
    <t>Assumed inflation before 2016 is the average of 2016/17 to 2020/21</t>
  </si>
  <si>
    <t>Assumed inflation after 2020 is the average of 2016/17 to 2020/21</t>
  </si>
  <si>
    <t>Map inflation rates to items</t>
  </si>
  <si>
    <t>Arterial cost per wound</t>
  </si>
  <si>
    <t>Resource assumptions from Guest et al</t>
  </si>
  <si>
    <t>Annual cost (£million) of National Health Service (NHS) resource use attributable to managing 2⋅2millionwounds</t>
  </si>
  <si>
    <t>Healed/unhealed resource uplifts</t>
  </si>
  <si>
    <t>This is used to capture the difference in resource consumption between healed and unhealed wounds</t>
  </si>
  <si>
    <t>Dressing splits</t>
  </si>
  <si>
    <t>Reference cost year</t>
  </si>
  <si>
    <t>Clinical time estimates</t>
  </si>
  <si>
    <t>Assumed for simplicity due to lack of data</t>
  </si>
  <si>
    <t>Nurse unit costs</t>
  </si>
  <si>
    <t>Share of leg ulcer bandages, with no compression</t>
  </si>
  <si>
    <t>Compression therapy splits</t>
  </si>
  <si>
    <t>Patient care pathway shares</t>
  </si>
  <si>
    <t>Calculate the share of patients receiving compression (hosiery, compression bandages), versus no compression at all</t>
  </si>
  <si>
    <t>Calculate share of patients being treated in difference care settings</t>
  </si>
  <si>
    <t>Share of patient wound care by clinical setting</t>
  </si>
  <si>
    <t>Resource and cost assumptions</t>
  </si>
  <si>
    <t>This doesn't affect the results as only the growth rates will be of interest</t>
  </si>
  <si>
    <t>New wound growth growth</t>
  </si>
  <si>
    <t>Inc. ablation cost</t>
  </si>
  <si>
    <t>Data capture costs</t>
  </si>
  <si>
    <t>Assume each clinic room will require hardware, as a one-off cost</t>
  </si>
  <si>
    <t>Software costings</t>
  </si>
  <si>
    <t>Annual software cost (£)</t>
  </si>
  <si>
    <t>Hardware cost</t>
  </si>
  <si>
    <t>Hardware volume per clinic</t>
  </si>
  <si>
    <t>Total initial hardware cost</t>
  </si>
  <si>
    <t>Initial Hardware cost, 2D imaging, per clinic room</t>
  </si>
  <si>
    <t xml:space="preserve">Number of clinics </t>
  </si>
  <si>
    <t>Assume inflation is related to devices</t>
  </si>
  <si>
    <t>Annual Data capture costs</t>
  </si>
  <si>
    <t>One-off Data capture costs</t>
  </si>
  <si>
    <t>Note</t>
  </si>
  <si>
    <t>Discount rates</t>
  </si>
  <si>
    <t>Notes</t>
  </si>
  <si>
    <t>Incremental QALYs, HH vs 4LB</t>
  </si>
  <si>
    <t>VenUS IV estmates, annual difference in adjusted QALYs</t>
  </si>
  <si>
    <t xml:space="preserve">In the absence of data on the QALY improvement between evidence-based (compression) care and (non-compression) standard care, assume the incremental QALY improvement is the same as HH vs 4LB. </t>
  </si>
  <si>
    <t>Incremental QALYs, therapy vs no compression</t>
  </si>
  <si>
    <t>This is likely to be highly conservative given the healing and recurrance rate improvement between HH/4LB versus standard care is significantly higher than between HH and 4LB</t>
  </si>
  <si>
    <t>QALY improvements, baseline versus to-be (VLUs only)</t>
  </si>
  <si>
    <t>Baseline share of VLU patients receiving compression</t>
  </si>
  <si>
    <t>To-be share of VLU patients receiving compression</t>
  </si>
  <si>
    <t>Difference (swing)</t>
  </si>
  <si>
    <t>This is the incremental share of all VLU patients that will receive QALY benefits from going to evidence-based care</t>
  </si>
  <si>
    <t>Assumptions, HH vs 4LB</t>
  </si>
  <si>
    <t>Assumptions, compression vs no compression</t>
  </si>
  <si>
    <t>Department of Health (2010),  Quantifying health impacts of government policies</t>
  </si>
  <si>
    <t>Assume overall 2.5% inflation rate</t>
  </si>
  <si>
    <t>Annual QALY improvements</t>
  </si>
  <si>
    <t>Baseline share of all  patients receiving hosiery</t>
  </si>
  <si>
    <t>To-be share of all  patients receiving hosiery</t>
  </si>
  <si>
    <t xml:space="preserve">This is likely to be highly conservative given the healing and recurrance rate improvement between HH/4LB versus standard care is significantly higher than between HH and 4LB </t>
  </si>
  <si>
    <t>In the absence of data on the QALY improvement between evidence-based (compression) care and (non-compression) standard care, assume the incremental QALY improvement is the same as HH vs 4LB (i.e. Venus IV)</t>
  </si>
  <si>
    <t>VenUS IV HH vs 4LB estimates, annual difference in adjusted QALYs</t>
  </si>
  <si>
    <t>This is the incremental share of all VLU  patients that will receive QALY benefits from going from 4LB to HH</t>
  </si>
  <si>
    <t>Total QALYs, Compression vs no compression</t>
  </si>
  <si>
    <t>Total QALYs, HH vs 4LB</t>
  </si>
  <si>
    <t>Total QALY improvement</t>
  </si>
  <si>
    <t>Total QALY benefits, Present value (£m)</t>
  </si>
  <si>
    <t>DH Monetary value of QALY (2009 prices)</t>
  </si>
  <si>
    <t>DH Monetary value of QALY (2019 prices)</t>
  </si>
  <si>
    <t>NICE (2013) How NICE measures value for money in relation
to public health interventions</t>
  </si>
  <si>
    <t>NICE Willingness to Pay Monetary value of QALY (2013 prices)</t>
  </si>
  <si>
    <t>NicE WIP Monetary value of QALY (2019 prices)</t>
  </si>
  <si>
    <t>NICE's WIP estimate</t>
  </si>
  <si>
    <t>Department of Health estimate</t>
  </si>
  <si>
    <t>Data capture</t>
  </si>
  <si>
    <t>Programme management</t>
  </si>
  <si>
    <t>Present value</t>
  </si>
  <si>
    <t>Bucket</t>
  </si>
  <si>
    <t>Social care model</t>
  </si>
  <si>
    <t>VLU clinical improvements</t>
  </si>
  <si>
    <t>Mixed clinical improvements</t>
  </si>
  <si>
    <t>To-be healing and recurrence rares</t>
  </si>
  <si>
    <t>Summary, baseline vs To-be</t>
  </si>
  <si>
    <t>Benefits are based on those receiving compression versus no compression</t>
  </si>
  <si>
    <t>Benefit is based on those not receiving any compression hosiery or bandages</t>
  </si>
  <si>
    <t>Benefits of hoisery is in relation to patients wearing bandaging</t>
  </si>
  <si>
    <t>Recurrence %</t>
  </si>
  <si>
    <t>VLU Intervention assumptions</t>
  </si>
  <si>
    <t>Mixed LU intervention assumptions</t>
  </si>
  <si>
    <t>In the abcense of evidence on healing rates, it is assumed that the healing rates for mixed LUs  (for both optimal and suboptimal care) is a scaling of the relative baseline healing rates between Mixed and VLUs</t>
  </si>
  <si>
    <t>*same as baseline</t>
  </si>
  <si>
    <t>Assume near-zero due to improvement</t>
  </si>
  <si>
    <t>Apply eligibility shares for hosiery on the remaining share of patients receiving compression</t>
  </si>
  <si>
    <t>Implementation costs</t>
  </si>
  <si>
    <t>Present value of implementation costs</t>
  </si>
  <si>
    <t>Wound care clinic costs</t>
  </si>
  <si>
    <t>Wounds treated in clinics</t>
  </si>
  <si>
    <t>Clinic case load</t>
  </si>
  <si>
    <t>Costs provided by are based on 2 clinics, provided by Brenda King</t>
  </si>
  <si>
    <t>Provided by Alison Schofield</t>
  </si>
  <si>
    <t>V1</t>
  </si>
  <si>
    <t>V2</t>
  </si>
  <si>
    <t>Average cost per patient in yr1</t>
  </si>
  <si>
    <t xml:space="preserve">Set-up cost per patient in yr1 </t>
  </si>
  <si>
    <t>Total annual running cost per clinic</t>
  </si>
  <si>
    <t>Data provided by a social care model organisation</t>
  </si>
  <si>
    <t>To-be share of members (VLU)</t>
  </si>
  <si>
    <t>Assume nurse training is based on baseline number of nurses for simplicity of modelling training costs</t>
  </si>
  <si>
    <t>PSSRU Unit costs 19/20</t>
  </si>
  <si>
    <t>Assume each community nurse who delivers woundcare will require an app to record data</t>
  </si>
  <si>
    <t>Assume starts year 1 of benefits</t>
  </si>
  <si>
    <t>Annual software cost, w. inflation (£m)</t>
  </si>
  <si>
    <t>This doesn't affect the results, these volumes are just for illistration</t>
  </si>
  <si>
    <t>VLUs receiving post healing therapy</t>
  </si>
  <si>
    <t>Mixed LUs receiving post healing therapy</t>
  </si>
  <si>
    <t>Post healing wound maintenance, To-be</t>
  </si>
  <si>
    <t>% healed patients that have healed in a given quarter</t>
  </si>
  <si>
    <t>% healed patients that have not healed in a given quarter</t>
  </si>
  <si>
    <t>Band 8c</t>
  </si>
  <si>
    <t>Cost per monitoring and evaluation process</t>
  </si>
  <si>
    <t>Years after first year of benefits E&amp;M will take place</t>
  </si>
  <si>
    <t>Phasing, spread over 3 years</t>
  </si>
  <si>
    <t>Total initial hardware cost (w. inflation), £m</t>
  </si>
  <si>
    <t>Monitoring and evaluation costs</t>
  </si>
  <si>
    <t>Monitor and evaluation costs</t>
  </si>
  <si>
    <t xml:space="preserve">In the absence of data on wound growth over time, the stock and flow model is assumed to begin from 2005. This is because the stock-and-flow model will spend a few initial years adjusting to reach steady state. </t>
  </si>
  <si>
    <t>Convert inflation rates into multipliers based on whether the year is before or after the the unit cost year</t>
  </si>
  <si>
    <t>In effect, it is assumed that from 2012, there are no major changes to the system assumptions (i.e. the model is converging to steady state)</t>
  </si>
  <si>
    <t>In practice social care models may require much less nurse time, given multiple patients are seen per nurse at a given time, however this cannot be modelled due to a lack of data</t>
  </si>
  <si>
    <t xml:space="preserve">A patient’s demand for clinical time and resources is assumed constant across all the different care settings. </t>
  </si>
  <si>
    <t>The costs presented here relate to the cost of providing the service, not the total cost of delivering wound care by this setting</t>
  </si>
  <si>
    <t>Rebased to exclude counts where data isn't provided</t>
  </si>
  <si>
    <t xml:space="preserve">Note that this still uses the baseline healing rates as the uplift multiplier is based on baseline data. </t>
  </si>
  <si>
    <t>Improved healing will not affect the average resource consumption for an unahealed wound</t>
  </si>
  <si>
    <t xml:space="preserve">  Ages</t>
  </si>
  <si>
    <t xml:space="preserve">  0-4</t>
  </si>
  <si>
    <t xml:space="preserve">  5-9</t>
  </si>
  <si>
    <t xml:space="preserve"> 10-14</t>
  </si>
  <si>
    <t xml:space="preserve"> 15-19</t>
  </si>
  <si>
    <t xml:space="preserve"> 20-24</t>
  </si>
  <si>
    <t xml:space="preserve"> 25-29</t>
  </si>
  <si>
    <t xml:space="preserve"> 30-34</t>
  </si>
  <si>
    <t xml:space="preserve"> 35-39</t>
  </si>
  <si>
    <t xml:space="preserve"> 40-44</t>
  </si>
  <si>
    <t xml:space="preserve"> 45-49</t>
  </si>
  <si>
    <t xml:space="preserve"> 50-54</t>
  </si>
  <si>
    <t xml:space="preserve"> 55-59</t>
  </si>
  <si>
    <t xml:space="preserve"> 60-64</t>
  </si>
  <si>
    <t xml:space="preserve"> 65-69</t>
  </si>
  <si>
    <t xml:space="preserve"> 70-74</t>
  </si>
  <si>
    <t xml:space="preserve"> 75-79</t>
  </si>
  <si>
    <t xml:space="preserve"> 80-84</t>
  </si>
  <si>
    <t>80 - 89</t>
  </si>
  <si>
    <t xml:space="preserve"> 85-89</t>
  </si>
  <si>
    <t xml:space="preserve"> 90-94</t>
  </si>
  <si>
    <t xml:space="preserve"> 95-99</t>
  </si>
  <si>
    <t xml:space="preserve"> 100 &amp; over</t>
  </si>
  <si>
    <t>Thousands</t>
  </si>
  <si>
    <t>Collated age bands</t>
  </si>
  <si>
    <t>Post wound  healing treatment share, to-be</t>
  </si>
  <si>
    <t>Under optimal care, healed wounds will be reviewed every 3 months, either until wound recurs or patient dies</t>
  </si>
  <si>
    <t>NPV bridging</t>
  </si>
  <si>
    <t>Estimates based on existing rental costs, £110/day, weekdays, inc cleaning costs</t>
  </si>
  <si>
    <t>Treatment pathway mix (financial impact only)</t>
  </si>
  <si>
    <t>Treatment pathway mix (inc healing improvement)</t>
  </si>
  <si>
    <t>Treatment pathway mix (inc recurrence improvement)</t>
  </si>
  <si>
    <t>Education</t>
  </si>
  <si>
    <t>Mixed leg ulcer</t>
  </si>
  <si>
    <t>About CCGs, https://www.nhscc.org/ccgs/</t>
  </si>
  <si>
    <t>Savings (exc implementation costs)</t>
  </si>
  <si>
    <t>Clinical time</t>
  </si>
  <si>
    <t>Non-cash releasing</t>
  </si>
  <si>
    <t>Cash releasing</t>
  </si>
  <si>
    <t>Savings by group</t>
  </si>
  <si>
    <t>Savings by benefit type (with optimism bias)</t>
  </si>
  <si>
    <t>Annual savings (with OB)</t>
  </si>
  <si>
    <t>Total benefits</t>
  </si>
  <si>
    <t>NPV</t>
  </si>
  <si>
    <t>Payback period</t>
  </si>
  <si>
    <t>Net cashflow</t>
  </si>
  <si>
    <t>Cumulative cashflow</t>
  </si>
  <si>
    <t>Applied to costs and benefits</t>
  </si>
  <si>
    <t>Implementation cost (inc OB)</t>
  </si>
  <si>
    <t>Cost (implementation), already with OB</t>
  </si>
  <si>
    <t>Costs are already with OB</t>
  </si>
  <si>
    <t>Discount rate for non-QALYS</t>
  </si>
  <si>
    <t>Discount rate for QALYS</t>
  </si>
  <si>
    <t>Wound volumes (To-be)</t>
  </si>
  <si>
    <t>Total NHS wound care cost (To-be)</t>
  </si>
  <si>
    <t xml:space="preserve">To-be VLU healing rate 
</t>
  </si>
  <si>
    <t>Net present value</t>
  </si>
  <si>
    <t xml:space="preserve">Savings breakdowns (cash releasing and non-cash releasing) </t>
  </si>
  <si>
    <t>Baseline total cost</t>
  </si>
  <si>
    <t>To-be total cost (exc implementation costs)</t>
  </si>
  <si>
    <t>Benefit-cost ratio</t>
  </si>
  <si>
    <t>Non-recurrent</t>
  </si>
  <si>
    <t>Non-cash releasing benefits</t>
  </si>
  <si>
    <t>Recurrent</t>
  </si>
  <si>
    <t>Summary of implementation costs (£m)</t>
  </si>
  <si>
    <t>Implementation costs (inc. optimism bias), £m</t>
  </si>
  <si>
    <t>Total implementation cost (£m)</t>
  </si>
  <si>
    <t>*NCF is Cash releasing benefits, recurrent and non-recurrent costs</t>
  </si>
  <si>
    <t>Cumulative Discount factor</t>
  </si>
  <si>
    <t>Present value (£m)</t>
  </si>
  <si>
    <t>Financial Benefits (£m)</t>
  </si>
  <si>
    <t>Implementation costs (£m)</t>
  </si>
  <si>
    <t>Discounted net cash flow (£m)</t>
  </si>
  <si>
    <t>Discounted non-cash releasing benefits (£m)</t>
  </si>
  <si>
    <t>Non-cash releasing benefits (£m)</t>
  </si>
  <si>
    <t>Net Cashflow (£m)</t>
  </si>
  <si>
    <t>Discounted total net benefits (£m)</t>
  </si>
  <si>
    <t>£m, with optimism bias</t>
  </si>
  <si>
    <t>Payback period (years)</t>
  </si>
  <si>
    <t>Cumulative DCF</t>
  </si>
  <si>
    <t>Chosen assumptions</t>
  </si>
  <si>
    <t>%  compression treatment patients receiving post healing compression therapy</t>
  </si>
  <si>
    <t>Switch</t>
  </si>
  <si>
    <t>Valid entry check</t>
  </si>
  <si>
    <t>2) Prevalence rates from Cullum et al</t>
  </si>
  <si>
    <t>Prevalence rate</t>
  </si>
  <si>
    <t>Years NPV is calculated over (from first year of implementation)</t>
  </si>
  <si>
    <t>First year of implementation</t>
  </si>
  <si>
    <t>NPV is calculated up to 30 years after the first year of implementation</t>
  </si>
  <si>
    <t>PV is calculated up to 30 years after the first year of implementation</t>
  </si>
  <si>
    <t>Years of implementation</t>
  </si>
  <si>
    <t>Wound growth</t>
  </si>
  <si>
    <t>Projects growth in leg ulcer volunes using a stokc and flow model</t>
  </si>
  <si>
    <t>Projects leg ulcer volumes using estimated growth rates</t>
  </si>
  <si>
    <t>Wound maintenance volumes</t>
  </si>
  <si>
    <t>Estimates volume of leg ulcers that are being treated with post healing compression therapy</t>
  </si>
  <si>
    <t>Wound growth (post intervention)</t>
  </si>
  <si>
    <t>Projects growth in leg ulcer prevalence following intervention implementation, using stock and flow model</t>
  </si>
  <si>
    <t>Prevalence projectsions (post intervention)</t>
  </si>
  <si>
    <t>Projects leg ulcer prevalence using estimated growth rate, post intervention</t>
  </si>
  <si>
    <t>Estimates volume of leg ulcers that are being treated with post healing compression therapy, post intervention</t>
  </si>
  <si>
    <t>Wound maintenance volumes (post intervention)</t>
  </si>
  <si>
    <t>VLU care pathways</t>
  </si>
  <si>
    <t>Estimates average annual amount of resources required to treat a venous leg ulcer,  by care pathway</t>
  </si>
  <si>
    <t>Covers demand for nurses, dressings and wound care products only</t>
  </si>
  <si>
    <t>Mixed LU care pathways</t>
  </si>
  <si>
    <t>Estimates average annual amount of resources required to treat a mixed leg ulcer,  by care pathway</t>
  </si>
  <si>
    <t>Arterial LU care pathways</t>
  </si>
  <si>
    <t>Estimates average annual amount of resources required to treat an arterial leg ulcer,  by care pathway</t>
  </si>
  <si>
    <t>VLU care pathways (post intervention)</t>
  </si>
  <si>
    <t>Mixed LU care pathways (post intervention)</t>
  </si>
  <si>
    <t>Mixed LU cost</t>
  </si>
  <si>
    <t>Estimates total annual cost of treating mixed leg ulcers in the UK</t>
  </si>
  <si>
    <t>Arterial LU cost</t>
  </si>
  <si>
    <t>Estimates total annual cost of treating arterial leg ulcers in the UK</t>
  </si>
  <si>
    <t>Venous LU cost</t>
  </si>
  <si>
    <t>Estimates total annual cost of treating venous leg ulcers in the UK</t>
  </si>
  <si>
    <t>Venous LU cost (post intervention)</t>
  </si>
  <si>
    <t>Estimates total annual cost of treating venous leg ulcers in the UK, post intervention</t>
  </si>
  <si>
    <t>Mixed LU cost (post intervention)</t>
  </si>
  <si>
    <t>Estimates total annual cost of treating mixed leg ulcers in the UK, post intervention</t>
  </si>
  <si>
    <t>Estimates the cost of implementing the NWCSP recommendations (intervention), including set-up and ongoing costs</t>
  </si>
  <si>
    <t>This does not include the cost of care</t>
  </si>
  <si>
    <t>To-be clinical improvements</t>
  </si>
  <si>
    <t xml:space="preserve">Estimates the clinical benefits from implementing the NWCSP recommendations. </t>
  </si>
  <si>
    <t>This  includes improvements in terms of healing and recurrence, and the assoicated patient elgibility</t>
  </si>
  <si>
    <t>Baseline summary</t>
  </si>
  <si>
    <t>To-be summary</t>
  </si>
  <si>
    <t>Summarises the cost of leg ulcer care, post intervention</t>
  </si>
  <si>
    <t>Provides calculations and breakdowns of the impact of the NWCSP recommendations</t>
  </si>
  <si>
    <t>Summarises the impact of the NWCSP recommendations</t>
  </si>
  <si>
    <t>Control assumptions</t>
  </si>
  <si>
    <t>Collates key assumptions the user can customise</t>
  </si>
  <si>
    <t>Provides assumptions relating to the consumption of resources for treating leg ulcers</t>
  </si>
  <si>
    <t>Assumptions relating to the prevalence, healing and recurrence of leg ulcers</t>
  </si>
  <si>
    <t>1 months</t>
  </si>
  <si>
    <t>2 months</t>
  </si>
  <si>
    <t>4 months</t>
  </si>
  <si>
    <t>5 months</t>
  </si>
  <si>
    <t>7 months</t>
  </si>
  <si>
    <t>8 months</t>
  </si>
  <si>
    <t>10 months</t>
  </si>
  <si>
    <t>11 months</t>
  </si>
  <si>
    <t>In the absense of data, assume the same profile as for VLUs</t>
  </si>
  <si>
    <t>Royal College of Nursing (2013), Survey of district and community nurses in 2013</t>
  </si>
  <si>
    <t>Based on data above and feedback from peer review that it should be lower</t>
  </si>
  <si>
    <t>Net savings (£)</t>
  </si>
  <si>
    <t>Annual % net saving</t>
  </si>
  <si>
    <t>Compression bandaging</t>
  </si>
  <si>
    <t>Savings</t>
  </si>
  <si>
    <t>baseline</t>
  </si>
  <si>
    <t>%</t>
  </si>
  <si>
    <t>% without clinical benefits</t>
  </si>
  <si>
    <t>Average sessions per year</t>
  </si>
  <si>
    <t>One-off Data capture costs (hardware)</t>
  </si>
  <si>
    <t>Annual Data capture costs (software)</t>
  </si>
  <si>
    <t>Lower limb wound clinic</t>
  </si>
  <si>
    <t>Present value (£ 000s)</t>
  </si>
  <si>
    <t>NPV summary</t>
  </si>
  <si>
    <t>Annual benefit summary</t>
  </si>
  <si>
    <t>Timing assumptions</t>
  </si>
  <si>
    <t>Adult population</t>
  </si>
  <si>
    <t>Delivery of evidence-based care</t>
  </si>
  <si>
    <t>Venous leg ulcers, delivery of evidence-based care</t>
  </si>
  <si>
    <t>Post healing leg ulcer maintenance</t>
  </si>
  <si>
    <t>Mixed leg ulcers, delivery of evidence-based care</t>
  </si>
  <si>
    <t>Leg ulcer prevalence rate</t>
  </si>
  <si>
    <t xml:space="preserve">Leg ulcer prevalence </t>
  </si>
  <si>
    <t>Source of adult population</t>
  </si>
  <si>
    <t>Prevalence is annual prevalence of leg ulcers among the specified adult population</t>
  </si>
  <si>
    <t>By default, the prevalence is applied over the UK adult population (18+) to produce total UK cost of leg ulcer care</t>
  </si>
  <si>
    <t>Leg ulcer clinic</t>
  </si>
  <si>
    <t>To-be Patient share (manual)</t>
  </si>
  <si>
    <t>Manual 1</t>
  </si>
  <si>
    <t>Manual 2</t>
  </si>
  <si>
    <t>Evidence-based care V1</t>
  </si>
  <si>
    <t>Evidence-based care V2</t>
  </si>
  <si>
    <t>Other care</t>
  </si>
  <si>
    <t>Venous leg ulcer patients are allocated (as a share of patients) to either Other care, Evidence-based care v1, Evidence-based care v2</t>
  </si>
  <si>
    <t>Mixed leg ulcer patients are allocated (as a share of patients) to either Other care and Evidence-based care</t>
  </si>
  <si>
    <t>Evidence-based care</t>
  </si>
  <si>
    <t>Baseline and to-be assumptions</t>
  </si>
  <si>
    <t>Assumed endovenous ablation surgery only applies to VLU patients</t>
  </si>
  <si>
    <t>Number of CCGs</t>
  </si>
  <si>
    <t xml:space="preserve">Number of CCGs </t>
  </si>
  <si>
    <t xml:space="preserve">This is the number of CCGs covered by the implementation </t>
  </si>
  <si>
    <t>Rank</t>
  </si>
  <si>
    <t>ReadMe</t>
  </si>
  <si>
    <t>Indicates cells containing values which the user can change</t>
  </si>
  <si>
    <t>Indicates drop-down lists which the users can select options for which assumptions to select. By default, the ‘Default’ assumptions are selected, which is used to produce the analysis for the national implementation case</t>
  </si>
  <si>
    <t xml:space="preserve">Customisable cells – users can change </t>
  </si>
  <si>
    <t xml:space="preserve">Non-customisable cells </t>
  </si>
  <si>
    <t>Cells containing raw data. These cells should not be changed by the user.</t>
  </si>
  <si>
    <t>Cells containing calculations/formula. These cells should not be changed by the user.</t>
  </si>
  <si>
    <t>Users must not change the contents of these cells</t>
  </si>
  <si>
    <t>Colour coding of cells</t>
  </si>
  <si>
    <t xml:space="preserve">
The model was created by PA Consulting Group for the NWCSP under the terms of the Contract. PA Consulting accepts no responsibility or liability or duty of care to any party whatsoever in respect of the contents of this model.  This report has been prepared by PA Consulting Group on the basis of information supplied by the client, third parties, and that which is available in the public domain. No representation or warranty is given as to the achievability or reasonableness of future projections, or the assumptions underlying them, targets, valuations, opinions, prospects or returns, if any, which have not been independently verified. </t>
  </si>
  <si>
    <t>Worksheet name</t>
  </si>
  <si>
    <t>Description</t>
  </si>
  <si>
    <r>
      <t xml:space="preserve">Contains all the assumptions which users can customise and change. </t>
    </r>
    <r>
      <rPr>
        <b/>
        <sz val="10"/>
        <color theme="1"/>
        <rFont val="Arial"/>
        <family val="2"/>
      </rPr>
      <t>Users should not amend any of the other worksheets.</t>
    </r>
  </si>
  <si>
    <t>This contains the main outputs of the model. This provided a detailed breakdown of the impact of the NWCSP recommendations, including savings by resource type, cash releasing and non-cash releasing benefits, and QALY benefits.</t>
  </si>
  <si>
    <t>Summary tables</t>
  </si>
  <si>
    <t>Presents a summary of outputs of the leg ulcer volume and cost projections under the To-be scenario (i.e. the implementation of the NWCSP recommendations)</t>
  </si>
  <si>
    <t>Presents a summary of outputs of the leg ulcer volume and cost projections under the baseline (i.e. the current status quo, without implementation of the NWCSP recommendations)</t>
  </si>
  <si>
    <t>Intervention assumptions</t>
  </si>
  <si>
    <t>To-be clinical improvement</t>
  </si>
  <si>
    <t>Estimates the healing and recurrence improvements from the NWCSP recommendations, taking into account patients allocated to evidence-based care and patient eligibility. The resulting healing and recurrence improvements are included to project leg ulcer volumes under the To-be</t>
  </si>
  <si>
    <t>Estimates the cost of implementing the NWCSP recommendations</t>
  </si>
  <si>
    <t>Cost calcs</t>
  </si>
  <si>
    <t>Mixed costs, VLU costs, Arterial costs</t>
  </si>
  <si>
    <t>Estimates the cost of leg ulcer care under baseline (i.e. without intervention), for each leg ulcer type: venous, mixed, arterial leg ulcers.</t>
  </si>
  <si>
    <t>Mixed costs INT, VLU costs INT</t>
  </si>
  <si>
    <t>Estimates the cost of leg ulcer care under the To-be (i.e. implementation of NWCSP recommendations), for each leg ulcer type: venous and mixed leg ulcers. An equivalent sheet for arterial leg ulcers has not been created as there is no improvement in arterial leg ulcers under To-be, so cost is the same as under Baseline.</t>
  </si>
  <si>
    <t>Resource assumptions</t>
  </si>
  <si>
    <t>Arterial care pathways, mixed care pathways, VLU care pathways</t>
  </si>
  <si>
    <t>Estimates the average amount of clinical time and wound care products required to treat a given leg ulcer each year, under baseline. This uses a bottom-up approach in which the resource requirements are specified for each type of care pathway captured.</t>
  </si>
  <si>
    <t>Wound vol calcs</t>
  </si>
  <si>
    <t>Projects leg ulcer volume growth using a stock-and-flow model, using baseline assumptions.</t>
  </si>
  <si>
    <t>Wound growth INT</t>
  </si>
  <si>
    <t>Projects leg ulcer volume growth using a stock-and-flow model, using To-be assumptions.</t>
  </si>
  <si>
    <t>Prevalence projection</t>
  </si>
  <si>
    <t>Applies the leg ulcer volume growth estimates from ‘Wound Growth’ to estimate the total volume of leg ulcers</t>
  </si>
  <si>
    <t>Prevalence projection INT</t>
  </si>
  <si>
    <t>Applies the leg ulcer volume growth estimates from ‘Wound Growth INT’ to estimate the total volume of leg ulcers</t>
  </si>
  <si>
    <t>Wound maintenance vols</t>
  </si>
  <si>
    <t>Estimates the volume of leg ulcers that will receive compression therapy after they have healed, using baseline assumptions.</t>
  </si>
  <si>
    <t>Wound maintenance vols INT</t>
  </si>
  <si>
    <t>Estimates the volume of leg ulcers that will receive compression therapy after they have healed, using To-be assumptions.</t>
  </si>
  <si>
    <t>Resource costs</t>
  </si>
  <si>
    <t xml:space="preserve">States assumptions relating to the consumption of resources and associated unit costs. Note that resource consumption relating to clinical time and wound care products are estimated in “resource assumptions” above but all other resources are specified here. Assumptions on the duration of clinical appointments and the allocation of patients to different care pathways and care settings are stated here as well. </t>
  </si>
  <si>
    <t>Inflation</t>
  </si>
  <si>
    <t>States cost inflation assumptions</t>
  </si>
  <si>
    <t>PCA data</t>
  </si>
  <si>
    <t>Derives some of the unit cost assumptions from prescription cost data</t>
  </si>
  <si>
    <t xml:space="preserve">Estimates demographic growth over time, which is underpin the growth in new leg ulcer volumes. </t>
  </si>
  <si>
    <t>Epidemiology</t>
  </si>
  <si>
    <t>States core assumptions relating to the prevalence of leg ulcers, baseline healing rates, baseline recurrence rates.</t>
  </si>
  <si>
    <t>Model contents</t>
  </si>
  <si>
    <t>Estimates the average amount of clinical time and wound care products required to treat a given leg ulcer each year, under To-be. This uses a bottom-up approach in which the resource requirements are specified for each type of care pathway captured.The estimates and assumptions are largely the same as that under baseline, however the To-be assumptions on patient allocation across the care pathways is used.</t>
  </si>
  <si>
    <t>Introduction to this model, including purpose and structure</t>
  </si>
  <si>
    <t>The calculation sheets in the model are colour coded as follows:</t>
  </si>
  <si>
    <r>
      <rPr>
        <sz val="7"/>
        <color theme="1"/>
        <rFont val="Times New Roman"/>
        <family val="1"/>
      </rPr>
      <t xml:space="preserve"> </t>
    </r>
    <r>
      <rPr>
        <b/>
        <sz val="10"/>
        <color rgb="FFFF0000"/>
        <rFont val="Arial"/>
        <family val="2"/>
      </rPr>
      <t>Results</t>
    </r>
  </si>
  <si>
    <r>
      <rPr>
        <sz val="7"/>
        <color theme="1"/>
        <rFont val="Times New Roman"/>
        <family val="1"/>
      </rPr>
      <t xml:space="preserve"> </t>
    </r>
    <r>
      <rPr>
        <b/>
        <sz val="10"/>
        <color rgb="FF385723"/>
        <rFont val="Arial"/>
        <family val="2"/>
      </rPr>
      <t>Control assumptions</t>
    </r>
    <r>
      <rPr>
        <sz val="10"/>
        <color rgb="FF385723"/>
        <rFont val="Arial"/>
        <family val="2"/>
      </rPr>
      <t xml:space="preserve"> </t>
    </r>
  </si>
  <si>
    <t>Baseline calculations</t>
  </si>
  <si>
    <t>To-be calculations</t>
  </si>
  <si>
    <t>General assumptions</t>
  </si>
  <si>
    <t>this sheet is coloured in green and contains all the assumptions that users can customise/change</t>
  </si>
  <si>
    <t>these sheets are coloured in red and contain results of the analysis, the impact of the NWCSP recommendations</t>
  </si>
  <si>
    <t>these tabs are coloured in blue and are related to the baseline (i.e. state of the world without intervention, the status quo)</t>
  </si>
  <si>
    <r>
      <t>these tabs are coloured in light orange</t>
    </r>
    <r>
      <rPr>
        <sz val="10"/>
        <color rgb="FFF4B083"/>
        <rFont val="Arial"/>
        <family val="2"/>
      </rPr>
      <t xml:space="preserve"> </t>
    </r>
    <r>
      <rPr>
        <sz val="10"/>
        <color theme="1"/>
        <rFont val="Arial"/>
        <family val="2"/>
      </rPr>
      <t>and are related to the To-be (i.e. state of the world with intervention, implementation of NWCSP recommendations). Many of these sheets are structured in the same way to the baseline calculations but uses To-be assumptions. The names of these sheets end with the suffix ‘INT’.</t>
    </r>
  </si>
  <si>
    <t>these tabs are coloured in purple and contain general modelling assumptions</t>
  </si>
  <si>
    <t>Colour coding of sheets</t>
  </si>
  <si>
    <t>Discounted annual benefits</t>
  </si>
  <si>
    <t>Annual % benefits (w. OB)</t>
  </si>
  <si>
    <t>Total  cost</t>
  </si>
  <si>
    <t>England adult population</t>
  </si>
  <si>
    <t>ONS (2019), Principal projection - England population in age groups</t>
  </si>
  <si>
    <t>Prevalence (England adult pop)</t>
  </si>
  <si>
    <t>England adult population 2012</t>
  </si>
  <si>
    <t>England population projections</t>
  </si>
  <si>
    <t>Weighted average growth rate of new wounds (adults)</t>
  </si>
  <si>
    <t>NHS reference costs (2018/19)</t>
  </si>
  <si>
    <t>Chosen</t>
  </si>
  <si>
    <t>Adult wound share by age group</t>
  </si>
  <si>
    <t>%, collated adult age bands  (rebased)</t>
  </si>
  <si>
    <t>Assumed 18-19 is distributed in the same way to 20-29</t>
  </si>
  <si>
    <t>Prevalence rates UK</t>
  </si>
  <si>
    <t>% change relative to baseline</t>
  </si>
  <si>
    <t>Cash releasing benefit % of baseline cost</t>
  </si>
  <si>
    <t>Cash releasing benefit % of baseline cost, with implementation costs</t>
  </si>
  <si>
    <t>ONS (2020), Estimates of the population for the UK, England and Wales, Scotland and Northern Ireland</t>
  </si>
  <si>
    <t>Endovenous Ablation</t>
  </si>
  <si>
    <t>Endovenous Ablation surgery</t>
  </si>
  <si>
    <t>These assumptions are not customisable, but have been included here to enable users to switch all To-be assumptions to baseline</t>
  </si>
  <si>
    <t>Summarises the baseline cost of leg ulcer care in England</t>
  </si>
  <si>
    <t>Leg ulcer social care model</t>
  </si>
  <si>
    <t>Total implementation cost</t>
  </si>
  <si>
    <t>Benefits (£m)</t>
  </si>
  <si>
    <t>Total net benefits, as a % of baseline costs</t>
  </si>
  <si>
    <t>Total Net benefits (£m)</t>
  </si>
  <si>
    <t>Total Benefits</t>
  </si>
  <si>
    <t>With optimism bias</t>
  </si>
  <si>
    <t>Cash releasing savings, as a % of baseline cost, with implementation costs</t>
  </si>
  <si>
    <t>Cash releasing benefit, as a % of baseline cost</t>
  </si>
  <si>
    <t>Detailed cost and benefit breakdowns</t>
  </si>
  <si>
    <t>Excludes implementation costs</t>
  </si>
  <si>
    <t>Percent improvements on the cost of leg ulcer care</t>
  </si>
  <si>
    <t>Towards the bottom of this sheet, percentage savings are given which can be applied to existing budget amounts to provide a quick calculation of £ savings</t>
  </si>
  <si>
    <t>This contains the main outputs of the model. This summarises the annual benefits of the impact of the NWCSP and reports the estimated net present value. Towards the bottom of this sheet, percentage savings are given which can be applied to existing budget amounts to provide a quick calculation of £ savings</t>
  </si>
  <si>
    <t>Cash releasing benefit, with implementation costs, as a % of baseline cost</t>
  </si>
  <si>
    <t>Cash releasing savings %</t>
  </si>
  <si>
    <t>Cash releasing savings are savings on woundcare equipment, devices, testing and hospital admissions</t>
  </si>
  <si>
    <t>Cash releasing, non-cash releasing benefuts and implementation costs from To-be implementation</t>
  </si>
  <si>
    <t>Woundcare products</t>
  </si>
  <si>
    <t>Change in leg ulcer volumes (To-be vs baseline)</t>
  </si>
  <si>
    <t>Net benefits (%)</t>
  </si>
  <si>
    <t>Total benefits, as a % of baseline  cost</t>
  </si>
  <si>
    <t>Benefit calculations</t>
  </si>
  <si>
    <t>Estimated  benefits (% baseline cost)</t>
  </si>
  <si>
    <t>Cost of leg ulcer care</t>
  </si>
  <si>
    <t>Annual total cost growth, baseline</t>
  </si>
  <si>
    <t>Calculated by model</t>
  </si>
  <si>
    <t>Baseline total cost, by grouping</t>
  </si>
  <si>
    <t>Year of cost</t>
  </si>
  <si>
    <t>Implementation cost</t>
  </si>
  <si>
    <t>Net benefits</t>
  </si>
  <si>
    <t>Total net benefits % (compared to baseline cost)</t>
  </si>
  <si>
    <t>Present value of benefits, £m</t>
  </si>
  <si>
    <t>Cumualtive net cashflow</t>
  </si>
  <si>
    <t>Net benefits (NPV)</t>
  </si>
  <si>
    <t>QALY benefits (present value, £m)</t>
  </si>
  <si>
    <t>Baseline costs</t>
  </si>
  <si>
    <t>Estimated  benefits (£)</t>
  </si>
  <si>
    <t>Implementation cost (£)</t>
  </si>
  <si>
    <t>Net benefits (£)</t>
  </si>
  <si>
    <t>Includes 30% optimism bias adjustment</t>
  </si>
  <si>
    <t>Clinical time is assumed non-cash releasing (nruses and GPs), everything else is cash releasing</t>
  </si>
  <si>
    <t>PV, £m</t>
  </si>
  <si>
    <t>Cost (£)</t>
  </si>
  <si>
    <t>The annual cost of leg ulcer care</t>
  </si>
  <si>
    <t>Local model results</t>
  </si>
  <si>
    <t>National model results summary</t>
  </si>
  <si>
    <t>Detailed benefits breakdown (national model)</t>
  </si>
  <si>
    <t>National model results detailed</t>
  </si>
  <si>
    <t>National model results</t>
  </si>
  <si>
    <t>Calculates the savings/benefits based on leg ulcer costs users input into the model. The naitonal model estimates the total cost of leg ulcer care, however local organisations using the model may have this data available to input. The savings are based on the % savings calculated from the national model</t>
  </si>
  <si>
    <r>
      <rPr>
        <b/>
        <sz val="11"/>
        <color theme="0" tint="-0.499984740745262"/>
        <rFont val="Calibri"/>
        <family val="2"/>
        <scheme val="minor"/>
      </rPr>
      <t>Note</t>
    </r>
    <r>
      <rPr>
        <sz val="11"/>
        <color theme="0" tint="-0.499984740745262"/>
        <rFont val="Calibri"/>
        <family val="2"/>
        <scheme val="minor"/>
      </rPr>
      <t>: If users change any of the switches to 'Manual', users should only look at the 'local model results' worksheet for cost and benefit estimates</t>
    </r>
  </si>
  <si>
    <r>
      <rPr>
        <b/>
        <sz val="11"/>
        <color theme="1"/>
        <rFont val="Calibri"/>
        <family val="2"/>
        <scheme val="minor"/>
      </rPr>
      <t xml:space="preserve">This model is confidential and may not be reproduced, stored in a retrieval system, or transmitted in any form or by any means without the prior permission of the National Wound Care Strategy Programme. No liability will be accepted whatsoever should an unauthorised recipient of this report act on its contents.
</t>
    </r>
    <r>
      <rPr>
        <sz val="11"/>
        <color theme="1"/>
        <rFont val="Calibri"/>
        <family val="2"/>
        <scheme val="minor"/>
      </rPr>
      <t xml:space="preserve">This model has been prepared by the National Wound Care Stratgey Programme. This model seeks to estimates the impact of implementing the NWCSP recommendations and accompanies the NWCSP Implementation Case. The model attempts to:
 1. Estimate current and future leg ulcer prevalence
2. Estimate the current and future cost of leg ulcer care to the NHS, without any further intervention (the baseline)
3. The potential impact of implementing the NWCSP recommendations, in terms of clinical patient outcomes (healing and                                                                      recurrence), the prevalence of leg ulcers and the the cost of providing leg ulcer care
4. The potential cost and timelines required to implement the NWCSP recommendations and realise benefits
5. The overall financial economic and health impact of the NWCSP recommendations
This model is composed of a 'national' model which estimates the cost of leg ulcer care and associated savings across England. Users are able to customise assumptions of the model in the 'Control sheet to develop their own estimates. Users are able to input their own cost assumptions, rather than using those the model estimates.
</t>
    </r>
  </si>
  <si>
    <t>This sheet is blank</t>
  </si>
  <si>
    <t>A user guide on changing these assumptions is located alongside the NWCSP Implementation Case.</t>
  </si>
  <si>
    <t>Annual prevalence of leg ulcers over the adult population. Prevalence rate is effectively volume of leg ulcers divided by adult population covered</t>
  </si>
  <si>
    <t>Cost of software, per 300,000 population</t>
  </si>
  <si>
    <t>Poplation covered by single app</t>
  </si>
  <si>
    <t>England population 2020</t>
  </si>
  <si>
    <t>Phasing assumptions until implementation (additional phasing per year)</t>
  </si>
  <si>
    <t>Years of implementation period</t>
  </si>
  <si>
    <t>Additional phasing of benefits per year</t>
  </si>
  <si>
    <t>Phasing assumptions</t>
  </si>
  <si>
    <t>Some costs will not be incurred until patients begin getting treated (e.g. wound care clinics. Software)</t>
  </si>
  <si>
    <t>These costs are assumed to ramp up over the implementation period based on early adoption by some parts of the country</t>
  </si>
  <si>
    <t xml:space="preserve">Assumed costs are phased in </t>
  </si>
  <si>
    <t>Assumed costs are phased in</t>
  </si>
  <si>
    <t>Annual total clinic running cost</t>
  </si>
  <si>
    <t>Some costs will only be incurred during the implementation period (e.g. hardware costs, one-off training</t>
  </si>
  <si>
    <t>These costs will be evenly distributed across the implementation period</t>
  </si>
  <si>
    <t>Annual programme management cost, national</t>
  </si>
  <si>
    <t>Implementation period cost phasing (non recurrent costs)</t>
  </si>
  <si>
    <t>Assume set up costs incurred first year of implementation</t>
  </si>
  <si>
    <t>Years cost is incurred</t>
  </si>
  <si>
    <t>Total cost over implementation period</t>
  </si>
  <si>
    <t>Post implementation costs phasing (recurrent costs)</t>
  </si>
  <si>
    <t>Delivery of care is same regardless of setting, so moving patients to clinics will not affect staff volumes. Existing staff will be redeployed so no additional cost incurred</t>
  </si>
  <si>
    <t>It is assumed existing clinical staff will be redeployed so no additional staffing costs will be incurred</t>
  </si>
  <si>
    <t>This sheet uses the cost information users manually enter in the Control Assumptions to estimate the benefits.</t>
  </si>
  <si>
    <r>
      <rPr>
        <b/>
        <sz val="11"/>
        <color theme="0" tint="-0.499984740745262"/>
        <rFont val="Calibri"/>
        <family val="2"/>
        <scheme val="minor"/>
      </rPr>
      <t>Note:</t>
    </r>
    <r>
      <rPr>
        <sz val="11"/>
        <color theme="0" tint="-0.499984740745262"/>
        <rFont val="Calibri"/>
        <family val="2"/>
        <scheme val="minor"/>
      </rPr>
      <t xml:space="preserve"> setting any of the switches to 'Manual' will change the results of the 'Local model' versus the 'national model. </t>
    </r>
  </si>
  <si>
    <t>Users may wish to enter their own local cost of leg ulcer care in 'Manual', rather than using the model's default estimates</t>
  </si>
  <si>
    <t>The national model estimates the cost savings using estimated treatment costs at a national level. However, local organisations may have their own data on the cost of leg ulcer care, which uses can enter in the Control Assumptions sheet</t>
  </si>
  <si>
    <t>INCLUDES 48 PATIENTS WHO HAVE NOT HAD A DOPPLER SO DIAGNOSIS CANNOT BE DETERMINED</t>
  </si>
  <si>
    <t xml:space="preserve">BASED ON 488 ASSESSMENTS BY THE TV/LYMPHOEDEMA TEAM. </t>
  </si>
  <si>
    <t>370 OUT PATIENT APPOINTMENTS ATTENDED, THIS WILL BE LOWER THAN NORMAL GIVEN THE COVID-19 PANDEMIC</t>
  </si>
  <si>
    <t>418 HOSPITAL DAYS DUE TO ISSUES RELATED TO LEG ULCERS</t>
  </si>
  <si>
    <t>NO PRACTICE NURSES DOING LEG ULCER DRESSINGS</t>
  </si>
  <si>
    <t>THIS PERCENTAGE IS ACTUALLY 64% HOME VISITS, 36% TREATMENT ROOM APPOINTMENTS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</si>
</sst>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6" formatCode="&quot;£&quot;#,##0;[Red]\-&quot;£&quot;#,##0"/>
    <numFmt numFmtId="8" formatCode="&quot;£&quot;#,##0.00;[Red]\-&quot;£&quot;#,##0.00"/>
    <numFmt numFmtId="44" formatCode="_-&quot;£&quot;* #,##0.00_-;\-&quot;£&quot;* #,##0.00_-;_-&quot;£&quot;* &quot;-&quot;??_-;_-@_-"/>
    <numFmt numFmtId="43" formatCode="_-* #,##0.00_-;\-* #,##0.00_-;_-* &quot;-&quot;??_-;_-@_-"/>
    <numFmt numFmtId="164" formatCode="&quot;£&quot;#,##0.00"/>
    <numFmt numFmtId="165" formatCode="&quot;£&quot;#,##0.0"/>
    <numFmt numFmtId="166" formatCode="&quot;£&quot;#,##0"/>
    <numFmt numFmtId="167" formatCode="_-* #,##0.0_-;\-* #,##0.0_-;_-* &quot;-&quot;??_-;_-@_-"/>
    <numFmt numFmtId="168" formatCode="_-* #,##0_-;\-* #,##0_-;_-* &quot;-&quot;??_-;_-@_-"/>
    <numFmt numFmtId="169" formatCode="0.000%"/>
    <numFmt numFmtId="170" formatCode="0.0%"/>
    <numFmt numFmtId="171" formatCode="_-* #,##0.0000_-;\-* #,##0.0000_-;_-* &quot;-&quot;??_-;_-@_-"/>
    <numFmt numFmtId="172" formatCode="0.000000000000000%"/>
    <numFmt numFmtId="173" formatCode="0.0"/>
    <numFmt numFmtId="174" formatCode="0.0000%"/>
    <numFmt numFmtId="175" formatCode="&quot;£&quot;#,##0.0000"/>
    <numFmt numFmtId="176" formatCode="0.0000"/>
    <numFmt numFmtId="177" formatCode="0.00000000%"/>
    <numFmt numFmtId="178" formatCode="_-[$£-809]* #,##0.00_-;\-[$£-809]* #,##0.00_-;_-[$£-809]* &quot;-&quot;??_-;_-@_-"/>
    <numFmt numFmtId="179" formatCode="0.00000"/>
    <numFmt numFmtId="180" formatCode="_-[$£-809]* #,##0.000_-;\-[$£-809]* #,##0.000_-;_-[$£-809]* &quot;-&quot;??_-;_-@_-"/>
    <numFmt numFmtId="181" formatCode="0.00000000000000%"/>
    <numFmt numFmtId="182" formatCode="_-* #,##0.000_-;\-* #,##0.000_-;_-* &quot;-&quot;??_-;_-@_-"/>
    <numFmt numFmtId="183" formatCode="&quot;£&quot;#,##0.000"/>
    <numFmt numFmtId="184" formatCode="&quot;£&quot;#,##0.000000"/>
  </numFmts>
  <fonts count="72">
    <font>
      <sz val="11"/>
      <color theme="1"/>
      <name val="Calibri"/>
      <family val="2"/>
      <scheme val="minor"/>
    </font>
    <font>
      <sz val="8"/>
      <name val="Calibri"/>
      <family val="2"/>
      <scheme val="minor"/>
    </font>
    <font>
      <u/>
      <sz val="11"/>
      <color theme="10"/>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rgb="FF000000"/>
      <name val="Calibri"/>
      <family val="2"/>
      <scheme val="minor"/>
    </font>
    <font>
      <b/>
      <sz val="11"/>
      <color rgb="FF000000"/>
      <name val="Calibri"/>
      <family val="2"/>
      <scheme val="minor"/>
    </font>
    <font>
      <i/>
      <sz val="11"/>
      <color theme="1"/>
      <name val="Calibri"/>
      <family val="2"/>
      <scheme val="minor"/>
    </font>
    <font>
      <b/>
      <i/>
      <sz val="11"/>
      <color theme="1"/>
      <name val="Calibri"/>
      <family val="2"/>
      <scheme val="minor"/>
    </font>
    <font>
      <sz val="11"/>
      <color theme="0" tint="-0.249977111117893"/>
      <name val="Calibri"/>
      <family val="2"/>
      <scheme val="minor"/>
    </font>
    <font>
      <sz val="11"/>
      <name val="Calibri"/>
      <family val="2"/>
      <scheme val="minor"/>
    </font>
    <font>
      <b/>
      <sz val="14"/>
      <color theme="1"/>
      <name val="Calibri"/>
      <family val="2"/>
      <scheme val="minor"/>
    </font>
    <font>
      <b/>
      <sz val="16"/>
      <color theme="1"/>
      <name val="Calibri"/>
      <family val="2"/>
      <scheme val="minor"/>
    </font>
    <font>
      <sz val="11"/>
      <color theme="0" tint="-0.14999847407452621"/>
      <name val="Calibri"/>
      <family val="2"/>
      <scheme val="minor"/>
    </font>
    <font>
      <b/>
      <strike/>
      <sz val="11"/>
      <color theme="1"/>
      <name val="Calibri"/>
      <family val="2"/>
      <scheme val="minor"/>
    </font>
    <font>
      <strike/>
      <sz val="11"/>
      <color theme="1"/>
      <name val="Calibri"/>
      <family val="2"/>
      <scheme val="minor"/>
    </font>
    <font>
      <i/>
      <strike/>
      <sz val="11"/>
      <color theme="1"/>
      <name val="Calibri"/>
      <family val="2"/>
      <scheme val="minor"/>
    </font>
    <font>
      <b/>
      <sz val="11"/>
      <name val="Calibri"/>
      <family val="2"/>
      <scheme val="minor"/>
    </font>
    <font>
      <strike/>
      <sz val="11"/>
      <color rgb="FF000000"/>
      <name val="Calibri"/>
      <family val="2"/>
      <scheme val="minor"/>
    </font>
    <font>
      <b/>
      <sz val="11"/>
      <color theme="0" tint="-0.14999847407452621"/>
      <name val="Calibri"/>
      <family val="2"/>
      <scheme val="minor"/>
    </font>
    <font>
      <i/>
      <sz val="11"/>
      <color theme="0" tint="-0.249977111117893"/>
      <name val="Calibri"/>
      <family val="2"/>
      <scheme val="minor"/>
    </font>
    <font>
      <b/>
      <sz val="11"/>
      <color rgb="FFFF0000"/>
      <name val="Calibri"/>
      <family val="2"/>
      <scheme val="minor"/>
    </font>
    <font>
      <sz val="11"/>
      <color theme="0" tint="-0.34998626667073579"/>
      <name val="Calibri"/>
      <family val="2"/>
      <scheme val="minor"/>
    </font>
    <font>
      <i/>
      <sz val="11"/>
      <color theme="0" tint="-0.34998626667073579"/>
      <name val="Calibri"/>
      <family val="2"/>
      <scheme val="minor"/>
    </font>
    <font>
      <b/>
      <i/>
      <sz val="11"/>
      <color rgb="FF000000"/>
      <name val="Calibri"/>
      <family val="2"/>
      <scheme val="minor"/>
    </font>
    <font>
      <i/>
      <sz val="11"/>
      <color theme="0" tint="-0.14999847407452621"/>
      <name val="Calibri"/>
      <family val="2"/>
      <scheme val="minor"/>
    </font>
    <font>
      <sz val="11"/>
      <color rgb="FF000000"/>
      <name val="Arial"/>
      <family val="2"/>
    </font>
    <font>
      <sz val="11"/>
      <color theme="0" tint="-0.499984740745262"/>
      <name val="Calibri"/>
      <family val="2"/>
      <scheme val="minor"/>
    </font>
    <font>
      <i/>
      <sz val="11"/>
      <color theme="0" tint="-0.499984740745262"/>
      <name val="Calibri"/>
      <family val="2"/>
      <scheme val="minor"/>
    </font>
    <font>
      <b/>
      <sz val="11"/>
      <color theme="0" tint="-0.499984740745262"/>
      <name val="Calibri"/>
      <family val="2"/>
      <scheme val="minor"/>
    </font>
    <font>
      <strike/>
      <sz val="11"/>
      <color theme="0" tint="-0.499984740745262"/>
      <name val="Calibri"/>
      <family val="2"/>
      <scheme val="minor"/>
    </font>
    <font>
      <b/>
      <i/>
      <sz val="11"/>
      <name val="Calibri"/>
      <family val="2"/>
      <scheme val="minor"/>
    </font>
    <font>
      <sz val="7"/>
      <color theme="1"/>
      <name val="OTNEJMScalaSansLF"/>
    </font>
    <font>
      <sz val="8"/>
      <color theme="1"/>
      <name val="Calibri"/>
      <family val="2"/>
      <scheme val="minor"/>
    </font>
    <font>
      <b/>
      <sz val="8"/>
      <color theme="1"/>
      <name val="Calibri"/>
      <family val="2"/>
      <scheme val="minor"/>
    </font>
    <font>
      <b/>
      <sz val="8"/>
      <name val="Calibri"/>
      <family val="2"/>
      <scheme val="minor"/>
    </font>
    <font>
      <i/>
      <sz val="11"/>
      <color rgb="FFFF0000"/>
      <name val="Calibri"/>
      <family val="2"/>
      <scheme val="minor"/>
    </font>
    <font>
      <sz val="9.3000000000000007"/>
      <color rgb="FF000000"/>
      <name val="Times New Roman"/>
      <family val="1"/>
    </font>
    <font>
      <b/>
      <sz val="9.3000000000000007"/>
      <color rgb="FF000000"/>
      <name val="Times New Roman"/>
      <family val="1"/>
    </font>
    <font>
      <i/>
      <sz val="9.3000000000000007"/>
      <color rgb="FF000000"/>
      <name val="Times New Roman"/>
      <family val="1"/>
    </font>
    <font>
      <b/>
      <sz val="14"/>
      <color rgb="FFC00000"/>
      <name val="Calibri"/>
      <family val="2"/>
      <scheme val="minor"/>
    </font>
    <font>
      <u/>
      <sz val="11"/>
      <color theme="1"/>
      <name val="Calibri"/>
      <family val="2"/>
      <scheme val="minor"/>
    </font>
    <font>
      <i/>
      <sz val="11"/>
      <color rgb="FF000000"/>
      <name val="Calibri"/>
      <family val="2"/>
      <scheme val="minor"/>
    </font>
    <font>
      <sz val="10"/>
      <color theme="1"/>
      <name val="Calibri"/>
      <family val="2"/>
      <scheme val="minor"/>
    </font>
    <font>
      <sz val="11"/>
      <color rgb="FFC00000"/>
      <name val="Calibri"/>
      <family val="2"/>
      <scheme val="minor"/>
    </font>
    <font>
      <b/>
      <strike/>
      <sz val="14"/>
      <color theme="1"/>
      <name val="Calibri"/>
      <family val="2"/>
      <scheme val="minor"/>
    </font>
    <font>
      <sz val="9"/>
      <color theme="1"/>
      <name val="Calibri"/>
      <family val="2"/>
      <scheme val="minor"/>
    </font>
    <font>
      <i/>
      <sz val="9"/>
      <color theme="0" tint="-0.14999847407452621"/>
      <name val="Calibri"/>
      <family val="2"/>
      <scheme val="minor"/>
    </font>
    <font>
      <b/>
      <sz val="14"/>
      <color rgb="FF000000"/>
      <name val="Calibri"/>
      <family val="2"/>
      <scheme val="minor"/>
    </font>
    <font>
      <sz val="14"/>
      <color rgb="FF000000"/>
      <name val="Calibri"/>
      <family val="2"/>
      <scheme val="minor"/>
    </font>
    <font>
      <sz val="14"/>
      <color theme="1"/>
      <name val="Calibri"/>
      <family val="2"/>
      <scheme val="minor"/>
    </font>
    <font>
      <sz val="11"/>
      <color rgb="FFFFF9E7"/>
      <name val="Calibri"/>
      <family val="2"/>
      <scheme val="minor"/>
    </font>
    <font>
      <sz val="11"/>
      <color theme="5"/>
      <name val="Calibri"/>
      <family val="2"/>
      <scheme val="minor"/>
    </font>
    <font>
      <i/>
      <sz val="11"/>
      <name val="Calibri"/>
      <family val="2"/>
      <scheme val="minor"/>
    </font>
    <font>
      <sz val="12"/>
      <color theme="1"/>
      <name val="Calibri"/>
      <family val="2"/>
      <scheme val="minor"/>
    </font>
    <font>
      <b/>
      <sz val="12"/>
      <color theme="1"/>
      <name val="Calibri"/>
      <family val="2"/>
      <scheme val="minor"/>
    </font>
    <font>
      <sz val="8"/>
      <color theme="0" tint="-0.499984740745262"/>
      <name val="Calibri"/>
      <family val="2"/>
      <scheme val="minor"/>
    </font>
    <font>
      <sz val="10"/>
      <color theme="1"/>
      <name val="Arial"/>
      <family val="2"/>
    </font>
    <font>
      <sz val="10"/>
      <color theme="1"/>
      <name val="Symbol"/>
      <family val="1"/>
      <charset val="2"/>
    </font>
    <font>
      <sz val="7"/>
      <color theme="1"/>
      <name val="Times New Roman"/>
      <family val="1"/>
    </font>
    <font>
      <b/>
      <sz val="10"/>
      <color rgb="FF385723"/>
      <name val="Arial"/>
      <family val="2"/>
    </font>
    <font>
      <sz val="10"/>
      <color rgb="FF385723"/>
      <name val="Arial"/>
      <family val="2"/>
    </font>
    <font>
      <b/>
      <sz val="10"/>
      <color rgb="FFFF0000"/>
      <name val="Arial"/>
      <family val="2"/>
    </font>
    <font>
      <b/>
      <sz val="10"/>
      <color rgb="FF2F5597"/>
      <name val="Arial"/>
      <family val="2"/>
    </font>
    <font>
      <b/>
      <sz val="10"/>
      <color rgb="FFF4B183"/>
      <name val="Arial"/>
      <family val="2"/>
    </font>
    <font>
      <sz val="10"/>
      <color rgb="FFF4B083"/>
      <name val="Arial"/>
      <family val="2"/>
    </font>
    <font>
      <b/>
      <sz val="10"/>
      <color rgb="FF7030A0"/>
      <name val="Arial"/>
      <family val="2"/>
    </font>
    <font>
      <b/>
      <sz val="10"/>
      <color theme="1"/>
      <name val="Arial"/>
      <family val="2"/>
    </font>
    <font>
      <sz val="11"/>
      <color theme="0"/>
      <name val="Calibri"/>
      <family val="2"/>
      <scheme val="minor"/>
    </font>
    <font>
      <sz val="9"/>
      <color indexed="81"/>
      <name val="Tahoma"/>
      <family val="2"/>
    </font>
    <font>
      <b/>
      <sz val="9"/>
      <color indexed="81"/>
      <name val="Tahoma"/>
      <family val="2"/>
    </font>
  </fonts>
  <fills count="18">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9E7"/>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FCF0"/>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9" tint="0.79998168889431442"/>
        <bgColor indexed="64"/>
      </patternFill>
    </fill>
    <fill>
      <patternFill patternType="solid">
        <fgColor theme="4"/>
        <bgColor indexed="64"/>
      </patternFill>
    </fill>
    <fill>
      <patternFill patternType="solid">
        <fgColor theme="7"/>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0" tint="-0.249977111117893"/>
        <bgColor indexed="64"/>
      </patternFill>
    </fill>
  </fills>
  <borders count="20">
    <border>
      <left/>
      <right/>
      <top/>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dotted">
        <color indexed="64"/>
      </right>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dotted">
        <color indexed="64"/>
      </left>
      <right/>
      <top style="dotted">
        <color indexed="64"/>
      </top>
      <bottom/>
      <diagonal/>
    </border>
    <border>
      <left/>
      <right style="dotted">
        <color indexed="64"/>
      </right>
      <top/>
      <bottom/>
      <diagonal/>
    </border>
    <border>
      <left/>
      <right/>
      <top style="medium">
        <color rgb="FF000000"/>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dotted">
        <color indexed="64"/>
      </left>
      <right style="dotted">
        <color indexed="64"/>
      </right>
      <top style="dotted">
        <color indexed="64"/>
      </top>
      <bottom style="thin">
        <color indexed="64"/>
      </bottom>
      <diagonal/>
    </border>
    <border>
      <left/>
      <right style="dotted">
        <color indexed="64"/>
      </right>
      <top style="dotted">
        <color indexed="64"/>
      </top>
      <bottom/>
      <diagonal/>
    </border>
    <border>
      <left/>
      <right style="dotted">
        <color indexed="64"/>
      </right>
      <top/>
      <bottom style="dotted">
        <color indexed="64"/>
      </bottom>
      <diagonal/>
    </border>
    <border>
      <left style="medium">
        <color indexed="64"/>
      </left>
      <right style="medium">
        <color indexed="64"/>
      </right>
      <top style="medium">
        <color indexed="64"/>
      </top>
      <bottom style="medium">
        <color indexed="64"/>
      </bottom>
      <diagonal/>
    </border>
    <border>
      <left style="medium">
        <color theme="4"/>
      </left>
      <right style="medium">
        <color theme="4"/>
      </right>
      <top style="medium">
        <color theme="4"/>
      </top>
      <bottom style="medium">
        <color theme="4"/>
      </bottom>
      <diagonal/>
    </border>
  </borders>
  <cellStyleXfs count="5">
    <xf numFmtId="0" fontId="0" fillId="0" borderId="0"/>
    <xf numFmtId="0" fontId="2"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cellStyleXfs>
  <cellXfs count="938">
    <xf numFmtId="0" fontId="0" fillId="0" borderId="0" xfId="0"/>
    <xf numFmtId="0" fontId="0" fillId="0" borderId="0" xfId="0" applyAlignment="1"/>
    <xf numFmtId="0" fontId="0" fillId="2" borderId="0" xfId="0" applyFill="1"/>
    <xf numFmtId="0" fontId="0" fillId="0" borderId="0" xfId="0" applyFill="1"/>
    <xf numFmtId="0" fontId="0" fillId="0" borderId="0" xfId="0" applyFont="1"/>
    <xf numFmtId="0" fontId="7" fillId="0" borderId="1" xfId="0" applyFont="1" applyBorder="1" applyAlignment="1">
      <alignment vertical="center" wrapText="1"/>
    </xf>
    <xf numFmtId="0" fontId="6" fillId="0" borderId="1" xfId="0" applyFont="1" applyBorder="1" applyAlignment="1">
      <alignment vertical="center" wrapText="1"/>
    </xf>
    <xf numFmtId="0" fontId="0" fillId="3" borderId="1" xfId="0" applyFont="1" applyFill="1" applyBorder="1"/>
    <xf numFmtId="0" fontId="5" fillId="3" borderId="1" xfId="0" applyFont="1" applyFill="1" applyBorder="1"/>
    <xf numFmtId="0" fontId="5" fillId="0" borderId="0" xfId="0" applyFont="1"/>
    <xf numFmtId="0" fontId="6" fillId="5" borderId="1" xfId="0" applyFont="1" applyFill="1" applyBorder="1" applyAlignment="1">
      <alignment vertical="center" wrapText="1"/>
    </xf>
    <xf numFmtId="0" fontId="5" fillId="0" borderId="0" xfId="0" applyFont="1" applyAlignment="1">
      <alignment vertical="center"/>
    </xf>
    <xf numFmtId="168" fontId="6" fillId="0" borderId="1" xfId="2" applyNumberFormat="1" applyFont="1" applyFill="1" applyBorder="1" applyAlignment="1">
      <alignment vertical="center" wrapText="1"/>
    </xf>
    <xf numFmtId="0" fontId="10" fillId="0" borderId="0" xfId="0" applyFont="1"/>
    <xf numFmtId="168" fontId="7" fillId="0" borderId="1" xfId="2" applyNumberFormat="1" applyFont="1" applyFill="1" applyBorder="1" applyAlignment="1">
      <alignment vertical="center" wrapText="1"/>
    </xf>
    <xf numFmtId="164" fontId="0" fillId="0" borderId="0" xfId="0" applyNumberFormat="1"/>
    <xf numFmtId="0" fontId="9" fillId="0" borderId="0" xfId="0" applyFont="1"/>
    <xf numFmtId="10" fontId="0" fillId="0" borderId="0" xfId="0" applyNumberFormat="1"/>
    <xf numFmtId="168" fontId="0" fillId="0" borderId="0" xfId="2" applyNumberFormat="1" applyFont="1"/>
    <xf numFmtId="9" fontId="0" fillId="0" borderId="0" xfId="3" applyFont="1"/>
    <xf numFmtId="10" fontId="0" fillId="0" borderId="0" xfId="3" applyNumberFormat="1" applyFont="1"/>
    <xf numFmtId="168" fontId="6" fillId="5" borderId="1" xfId="2" applyNumberFormat="1" applyFont="1" applyFill="1" applyBorder="1" applyAlignment="1">
      <alignment vertical="center" wrapText="1"/>
    </xf>
    <xf numFmtId="168" fontId="7" fillId="5" borderId="1" xfId="2" applyNumberFormat="1" applyFont="1" applyFill="1" applyBorder="1" applyAlignment="1">
      <alignment vertical="center" wrapText="1"/>
    </xf>
    <xf numFmtId="168" fontId="0" fillId="0" borderId="0" xfId="0" applyNumberFormat="1"/>
    <xf numFmtId="9" fontId="6" fillId="0" borderId="1" xfId="3" applyFont="1" applyFill="1" applyBorder="1" applyAlignment="1">
      <alignment vertical="center" wrapText="1"/>
    </xf>
    <xf numFmtId="9" fontId="7" fillId="0" borderId="1" xfId="3" applyFont="1" applyFill="1" applyBorder="1" applyAlignment="1">
      <alignment vertical="center" wrapText="1"/>
    </xf>
    <xf numFmtId="0" fontId="11" fillId="0" borderId="1" xfId="0" applyFont="1" applyBorder="1" applyAlignment="1">
      <alignment vertical="center" wrapText="1"/>
    </xf>
    <xf numFmtId="168" fontId="11" fillId="5" borderId="1" xfId="2" applyNumberFormat="1" applyFont="1" applyFill="1" applyBorder="1" applyAlignment="1">
      <alignment vertical="center" wrapText="1"/>
    </xf>
    <xf numFmtId="9" fontId="11" fillId="0" borderId="1" xfId="3" applyFont="1" applyFill="1" applyBorder="1" applyAlignment="1">
      <alignment vertical="center" wrapText="1"/>
    </xf>
    <xf numFmtId="0" fontId="8" fillId="0" borderId="0" xfId="0" applyFont="1"/>
    <xf numFmtId="0" fontId="5" fillId="0" borderId="0" xfId="0" applyFont="1" applyAlignment="1"/>
    <xf numFmtId="0" fontId="12" fillId="0" borderId="0" xfId="0" applyFont="1"/>
    <xf numFmtId="0" fontId="6" fillId="3" borderId="1" xfId="0" applyFont="1" applyFill="1" applyBorder="1" applyAlignment="1">
      <alignment vertical="center" wrapText="1"/>
    </xf>
    <xf numFmtId="10" fontId="6" fillId="0" borderId="1" xfId="3" applyNumberFormat="1" applyFont="1" applyBorder="1" applyAlignment="1">
      <alignment vertical="center" wrapText="1"/>
    </xf>
    <xf numFmtId="0" fontId="0" fillId="3" borderId="1" xfId="0" applyFont="1" applyFill="1" applyBorder="1" applyAlignment="1"/>
    <xf numFmtId="0" fontId="7" fillId="0" borderId="0" xfId="0" applyFont="1" applyFill="1" applyBorder="1" applyAlignment="1">
      <alignment vertical="center"/>
    </xf>
    <xf numFmtId="168" fontId="6" fillId="0" borderId="1" xfId="0" applyNumberFormat="1" applyFont="1" applyBorder="1" applyAlignment="1">
      <alignment vertical="center" wrapText="1"/>
    </xf>
    <xf numFmtId="0" fontId="13" fillId="0" borderId="0" xfId="0" applyFont="1"/>
    <xf numFmtId="0" fontId="14" fillId="0" borderId="0" xfId="0" applyFont="1"/>
    <xf numFmtId="168" fontId="6" fillId="0" borderId="1" xfId="2" applyNumberFormat="1" applyFont="1" applyBorder="1" applyAlignment="1">
      <alignment vertical="center"/>
    </xf>
    <xf numFmtId="168" fontId="7" fillId="0" borderId="1" xfId="2" applyNumberFormat="1" applyFont="1" applyBorder="1" applyAlignment="1">
      <alignment vertical="center"/>
    </xf>
    <xf numFmtId="0" fontId="6" fillId="0" borderId="1" xfId="0" applyFont="1" applyFill="1" applyBorder="1" applyAlignment="1">
      <alignment vertical="center" wrapText="1"/>
    </xf>
    <xf numFmtId="10" fontId="6" fillId="0" borderId="1" xfId="3" applyNumberFormat="1" applyFont="1" applyFill="1" applyBorder="1" applyAlignment="1">
      <alignment vertical="center" wrapText="1"/>
    </xf>
    <xf numFmtId="2" fontId="6" fillId="5" borderId="1" xfId="0" applyNumberFormat="1" applyFont="1" applyFill="1" applyBorder="1" applyAlignment="1">
      <alignment vertical="center" wrapText="1"/>
    </xf>
    <xf numFmtId="2" fontId="6" fillId="0" borderId="1" xfId="0" applyNumberFormat="1" applyFont="1" applyFill="1" applyBorder="1" applyAlignment="1">
      <alignment vertical="center" wrapText="1"/>
    </xf>
    <xf numFmtId="2" fontId="0" fillId="0" borderId="0" xfId="0" applyNumberFormat="1" applyFont="1"/>
    <xf numFmtId="2" fontId="0" fillId="0" borderId="0" xfId="0" applyNumberFormat="1"/>
    <xf numFmtId="170" fontId="0" fillId="0" borderId="0" xfId="3" applyNumberFormat="1" applyFont="1"/>
    <xf numFmtId="0" fontId="0" fillId="0" borderId="0" xfId="0" applyAlignment="1">
      <alignment wrapText="1"/>
    </xf>
    <xf numFmtId="0" fontId="0" fillId="0" borderId="0" xfId="0" applyFont="1" applyFill="1" applyBorder="1" applyAlignment="1"/>
    <xf numFmtId="9" fontId="11" fillId="5" borderId="1" xfId="3" applyFont="1" applyFill="1" applyBorder="1" applyAlignment="1">
      <alignment vertical="center" wrapText="1"/>
    </xf>
    <xf numFmtId="0" fontId="11" fillId="5" borderId="1" xfId="0" applyNumberFormat="1" applyFont="1" applyFill="1" applyBorder="1" applyAlignment="1">
      <alignment vertical="center" wrapText="1"/>
    </xf>
    <xf numFmtId="0" fontId="6" fillId="0" borderId="0" xfId="0" applyFont="1" applyBorder="1" applyAlignment="1">
      <alignment vertical="center" wrapText="1"/>
    </xf>
    <xf numFmtId="164" fontId="8" fillId="0" borderId="0" xfId="0" applyNumberFormat="1" applyFont="1"/>
    <xf numFmtId="0" fontId="16" fillId="0" borderId="0" xfId="0" applyFont="1"/>
    <xf numFmtId="0" fontId="17" fillId="0" borderId="0" xfId="0" applyFont="1"/>
    <xf numFmtId="9" fontId="11" fillId="5" borderId="1" xfId="0" applyNumberFormat="1" applyFont="1" applyFill="1" applyBorder="1" applyAlignment="1">
      <alignment vertical="center" wrapText="1"/>
    </xf>
    <xf numFmtId="0" fontId="0" fillId="3" borderId="1" xfId="0" applyFont="1" applyFill="1" applyBorder="1" applyAlignment="1">
      <alignment wrapText="1"/>
    </xf>
    <xf numFmtId="0" fontId="0" fillId="3" borderId="1" xfId="0" applyFont="1" applyFill="1" applyBorder="1" applyAlignment="1">
      <alignment horizontal="left"/>
    </xf>
    <xf numFmtId="0" fontId="0" fillId="3" borderId="1" xfId="0" applyFont="1" applyFill="1" applyBorder="1" applyAlignment="1">
      <alignment horizontal="left" vertical="top" wrapText="1"/>
    </xf>
    <xf numFmtId="43" fontId="0" fillId="0" borderId="0" xfId="0" applyNumberFormat="1"/>
    <xf numFmtId="0" fontId="15" fillId="0" borderId="0" xfId="0" applyFont="1"/>
    <xf numFmtId="0" fontId="5" fillId="3" borderId="1" xfId="0" applyFont="1" applyFill="1" applyBorder="1" applyAlignment="1">
      <alignment wrapText="1"/>
    </xf>
    <xf numFmtId="168" fontId="6" fillId="0" borderId="0" xfId="2" applyNumberFormat="1" applyFont="1" applyFill="1" applyBorder="1" applyAlignment="1">
      <alignment vertical="center" wrapText="1"/>
    </xf>
    <xf numFmtId="168" fontId="6" fillId="0" borderId="0" xfId="2" applyNumberFormat="1" applyFont="1" applyBorder="1" applyAlignment="1">
      <alignment vertical="center"/>
    </xf>
    <xf numFmtId="168" fontId="6" fillId="0" borderId="0" xfId="2" applyNumberFormat="1" applyFont="1" applyFill="1" applyBorder="1" applyAlignment="1">
      <alignment vertical="center"/>
    </xf>
    <xf numFmtId="168" fontId="7" fillId="0" borderId="0" xfId="2" applyNumberFormat="1" applyFont="1" applyFill="1" applyBorder="1" applyAlignment="1">
      <alignment vertical="center"/>
    </xf>
    <xf numFmtId="168" fontId="7" fillId="0" borderId="0" xfId="2" applyNumberFormat="1" applyFont="1" applyFill="1" applyBorder="1" applyAlignment="1">
      <alignment vertical="center" wrapText="1"/>
    </xf>
    <xf numFmtId="173" fontId="11" fillId="0" borderId="1" xfId="0" applyNumberFormat="1" applyFont="1" applyFill="1" applyBorder="1" applyAlignment="1">
      <alignment vertical="center" wrapText="1"/>
    </xf>
    <xf numFmtId="9" fontId="14" fillId="0" borderId="0" xfId="0" applyNumberFormat="1" applyFont="1"/>
    <xf numFmtId="172" fontId="14" fillId="0" borderId="0" xfId="0" applyNumberFormat="1" applyFont="1"/>
    <xf numFmtId="9" fontId="11" fillId="0" borderId="0" xfId="0" applyNumberFormat="1" applyFont="1"/>
    <xf numFmtId="9" fontId="6" fillId="0" borderId="0" xfId="3" applyFont="1" applyFill="1" applyBorder="1" applyAlignment="1">
      <alignment vertical="center" wrapText="1"/>
    </xf>
    <xf numFmtId="0" fontId="11" fillId="0" borderId="0" xfId="0" applyFont="1"/>
    <xf numFmtId="172" fontId="11" fillId="0" borderId="0" xfId="0" applyNumberFormat="1" applyFont="1"/>
    <xf numFmtId="170" fontId="14" fillId="0" borderId="0" xfId="3" applyNumberFormat="1" applyFont="1"/>
    <xf numFmtId="0" fontId="5" fillId="0" borderId="0" xfId="0" applyFont="1" applyAlignment="1">
      <alignment wrapText="1"/>
    </xf>
    <xf numFmtId="43" fontId="11" fillId="0" borderId="1" xfId="2" applyFont="1" applyFill="1" applyBorder="1" applyAlignment="1">
      <alignment vertical="center" wrapText="1"/>
    </xf>
    <xf numFmtId="2" fontId="14" fillId="0" borderId="0" xfId="0" applyNumberFormat="1" applyFont="1"/>
    <xf numFmtId="2" fontId="14" fillId="0" borderId="0" xfId="0" applyNumberFormat="1" applyFont="1" applyAlignment="1">
      <alignment horizontal="center"/>
    </xf>
    <xf numFmtId="166" fontId="14" fillId="0" borderId="0" xfId="0" applyNumberFormat="1" applyFont="1"/>
    <xf numFmtId="166" fontId="0" fillId="0" borderId="0" xfId="0" applyNumberFormat="1"/>
    <xf numFmtId="43" fontId="11" fillId="0" borderId="1" xfId="2" applyFont="1" applyFill="1" applyBorder="1" applyAlignment="1">
      <alignment horizontal="center" vertical="center" wrapText="1"/>
    </xf>
    <xf numFmtId="9" fontId="11" fillId="0" borderId="1" xfId="3" applyFont="1" applyFill="1" applyBorder="1" applyAlignment="1">
      <alignment horizontal="center" vertical="center" wrapText="1"/>
    </xf>
    <xf numFmtId="0" fontId="0" fillId="3" borderId="1" xfId="0" applyFont="1" applyFill="1" applyBorder="1" applyAlignment="1">
      <alignment horizontal="center"/>
    </xf>
    <xf numFmtId="164" fontId="6" fillId="0" borderId="1" xfId="0" applyNumberFormat="1" applyFont="1" applyBorder="1" applyAlignment="1">
      <alignment vertical="center" wrapText="1"/>
    </xf>
    <xf numFmtId="0" fontId="6" fillId="0" borderId="1" xfId="0" applyFont="1" applyBorder="1" applyAlignment="1">
      <alignment horizontal="left" vertical="top" wrapText="1"/>
    </xf>
    <xf numFmtId="9" fontId="6" fillId="0" borderId="1" xfId="3" applyFont="1" applyBorder="1" applyAlignment="1">
      <alignment vertical="center" wrapText="1"/>
    </xf>
    <xf numFmtId="9" fontId="6" fillId="5" borderId="1" xfId="3" applyFont="1" applyFill="1" applyBorder="1" applyAlignment="1">
      <alignment vertical="center" wrapText="1"/>
    </xf>
    <xf numFmtId="168" fontId="11" fillId="0" borderId="1" xfId="2" applyNumberFormat="1" applyFont="1" applyFill="1" applyBorder="1" applyAlignment="1">
      <alignment horizontal="center" vertical="center" wrapText="1"/>
    </xf>
    <xf numFmtId="166" fontId="11" fillId="0" borderId="1" xfId="2" applyNumberFormat="1" applyFont="1" applyFill="1" applyBorder="1" applyAlignment="1">
      <alignment horizontal="center" vertical="center" wrapText="1"/>
    </xf>
    <xf numFmtId="0" fontId="7" fillId="0" borderId="1" xfId="0" applyFont="1" applyBorder="1" applyAlignment="1">
      <alignment horizontal="left" vertical="top" wrapText="1"/>
    </xf>
    <xf numFmtId="166" fontId="18" fillId="0" borderId="1" xfId="2" applyNumberFormat="1" applyFont="1" applyFill="1" applyBorder="1" applyAlignment="1">
      <alignment horizontal="center" vertical="center" wrapText="1"/>
    </xf>
    <xf numFmtId="43" fontId="0" fillId="0" borderId="0" xfId="0" applyNumberFormat="1" applyFont="1"/>
    <xf numFmtId="0" fontId="0" fillId="7" borderId="0" xfId="0" applyFill="1"/>
    <xf numFmtId="0" fontId="0" fillId="0" borderId="0" xfId="0" applyBorder="1"/>
    <xf numFmtId="43" fontId="0" fillId="0" borderId="0" xfId="2" applyFont="1"/>
    <xf numFmtId="0" fontId="4" fillId="0" borderId="0" xfId="0" applyFont="1"/>
    <xf numFmtId="0" fontId="0" fillId="3" borderId="1" xfId="0" applyFont="1" applyFill="1" applyBorder="1" applyAlignment="1">
      <alignment vertical="top" wrapText="1"/>
    </xf>
    <xf numFmtId="0" fontId="8" fillId="0" borderId="0" xfId="0" applyFont="1" applyAlignment="1"/>
    <xf numFmtId="168" fontId="6" fillId="0" borderId="1" xfId="2" applyNumberFormat="1" applyFont="1" applyFill="1" applyBorder="1" applyAlignment="1">
      <alignment vertical="top" wrapText="1"/>
    </xf>
    <xf numFmtId="167" fontId="11" fillId="0" borderId="1" xfId="2" applyNumberFormat="1" applyFont="1" applyFill="1" applyBorder="1" applyAlignment="1">
      <alignment horizontal="center" vertical="center" wrapText="1"/>
    </xf>
    <xf numFmtId="43" fontId="6" fillId="0" borderId="1" xfId="0" applyNumberFormat="1" applyFont="1" applyBorder="1" applyAlignment="1">
      <alignment vertical="center" wrapText="1"/>
    </xf>
    <xf numFmtId="43" fontId="6" fillId="0" borderId="1" xfId="2" applyFont="1" applyFill="1" applyBorder="1" applyAlignment="1">
      <alignment vertical="center" wrapText="1"/>
    </xf>
    <xf numFmtId="168" fontId="23" fillId="0" borderId="1" xfId="2" applyNumberFormat="1" applyFont="1" applyFill="1" applyBorder="1" applyAlignment="1">
      <alignment vertical="top" wrapText="1"/>
    </xf>
    <xf numFmtId="167" fontId="23" fillId="0" borderId="1" xfId="2" applyNumberFormat="1" applyFont="1" applyFill="1" applyBorder="1" applyAlignment="1">
      <alignment horizontal="center" vertical="center" wrapText="1"/>
    </xf>
    <xf numFmtId="0" fontId="23" fillId="0" borderId="0" xfId="0" applyFont="1"/>
    <xf numFmtId="43" fontId="23" fillId="0" borderId="1" xfId="2" applyFont="1" applyFill="1" applyBorder="1" applyAlignment="1">
      <alignment horizontal="center" vertical="center" wrapText="1"/>
    </xf>
    <xf numFmtId="0" fontId="24" fillId="0" borderId="0" xfId="0" applyFont="1"/>
    <xf numFmtId="166" fontId="23" fillId="0" borderId="0" xfId="0" applyNumberFormat="1" applyFont="1"/>
    <xf numFmtId="0" fontId="24" fillId="0" borderId="0" xfId="0" applyFont="1" applyAlignment="1"/>
    <xf numFmtId="43" fontId="6" fillId="0" borderId="0" xfId="0" applyNumberFormat="1" applyFont="1" applyBorder="1" applyAlignment="1">
      <alignment vertical="center" wrapText="1"/>
    </xf>
    <xf numFmtId="43" fontId="11" fillId="0" borderId="0" xfId="2" applyFont="1" applyFill="1" applyBorder="1" applyAlignment="1">
      <alignment horizontal="center" vertical="center" wrapText="1"/>
    </xf>
    <xf numFmtId="0" fontId="7" fillId="0" borderId="0" xfId="0" applyFont="1" applyBorder="1" applyAlignment="1">
      <alignment vertical="center" wrapText="1"/>
    </xf>
    <xf numFmtId="0" fontId="7" fillId="0" borderId="0" xfId="0" applyFont="1" applyBorder="1" applyAlignment="1">
      <alignment vertical="center"/>
    </xf>
    <xf numFmtId="168" fontId="11" fillId="0" borderId="0" xfId="2" applyNumberFormat="1" applyFont="1" applyFill="1" applyBorder="1" applyAlignment="1">
      <alignment horizontal="center" vertical="center" wrapText="1"/>
    </xf>
    <xf numFmtId="168" fontId="23" fillId="0" borderId="0" xfId="2" applyNumberFormat="1" applyFont="1" applyFill="1" applyBorder="1" applyAlignment="1">
      <alignment horizontal="center" vertical="center" wrapText="1"/>
    </xf>
    <xf numFmtId="164" fontId="6" fillId="0" borderId="1" xfId="0" applyNumberFormat="1" applyFont="1" applyFill="1" applyBorder="1" applyAlignment="1">
      <alignment vertical="center" wrapText="1"/>
    </xf>
    <xf numFmtId="9" fontId="6" fillId="0" borderId="0" xfId="3" applyFont="1" applyBorder="1" applyAlignment="1">
      <alignment vertical="center" wrapText="1"/>
    </xf>
    <xf numFmtId="166" fontId="11" fillId="0" borderId="0" xfId="2" applyNumberFormat="1" applyFont="1" applyFill="1" applyBorder="1" applyAlignment="1">
      <alignment horizontal="center" vertical="center" wrapText="1"/>
    </xf>
    <xf numFmtId="0" fontId="5" fillId="4" borderId="0" xfId="0" applyFont="1" applyFill="1"/>
    <xf numFmtId="0" fontId="26" fillId="0" borderId="0" xfId="0" applyFont="1"/>
    <xf numFmtId="0" fontId="27" fillId="0" borderId="0" xfId="0" applyFont="1" applyAlignment="1">
      <alignment vertical="center"/>
    </xf>
    <xf numFmtId="170" fontId="6" fillId="5" borderId="1" xfId="3" applyNumberFormat="1" applyFont="1" applyFill="1" applyBorder="1" applyAlignment="1">
      <alignment vertical="center" wrapText="1"/>
    </xf>
    <xf numFmtId="170" fontId="0" fillId="5" borderId="1" xfId="3" applyNumberFormat="1" applyFont="1" applyFill="1" applyBorder="1"/>
    <xf numFmtId="0" fontId="6" fillId="5" borderId="1" xfId="0" applyFont="1" applyFill="1" applyBorder="1" applyAlignment="1">
      <alignment vertical="top" wrapText="1"/>
    </xf>
    <xf numFmtId="170" fontId="6" fillId="0" borderId="1" xfId="3" applyNumberFormat="1" applyFont="1" applyBorder="1" applyAlignment="1">
      <alignment vertical="center" wrapText="1"/>
    </xf>
    <xf numFmtId="0" fontId="0" fillId="3" borderId="3" xfId="0" applyFont="1" applyFill="1" applyBorder="1"/>
    <xf numFmtId="0" fontId="0" fillId="3" borderId="2" xfId="0" applyFill="1" applyBorder="1"/>
    <xf numFmtId="0" fontId="0" fillId="3" borderId="4" xfId="0" applyFill="1" applyBorder="1"/>
    <xf numFmtId="170" fontId="6" fillId="0" borderId="1" xfId="3" applyNumberFormat="1" applyFont="1" applyFill="1" applyBorder="1" applyAlignment="1">
      <alignment vertical="center" wrapText="1"/>
    </xf>
    <xf numFmtId="170" fontId="6" fillId="0" borderId="1" xfId="0" applyNumberFormat="1" applyFont="1" applyBorder="1" applyAlignment="1">
      <alignment vertical="center" wrapText="1"/>
    </xf>
    <xf numFmtId="170" fontId="3" fillId="5" borderId="1" xfId="3" applyNumberFormat="1" applyFont="1" applyFill="1" applyBorder="1"/>
    <xf numFmtId="0" fontId="6" fillId="5" borderId="1" xfId="2" applyNumberFormat="1" applyFont="1" applyFill="1" applyBorder="1" applyAlignment="1">
      <alignment vertical="center" wrapText="1"/>
    </xf>
    <xf numFmtId="0" fontId="6" fillId="0" borderId="1" xfId="2" applyNumberFormat="1" applyFont="1" applyFill="1" applyBorder="1" applyAlignment="1">
      <alignment vertical="center" wrapText="1"/>
    </xf>
    <xf numFmtId="0" fontId="0" fillId="3" borderId="2" xfId="0" applyFont="1" applyFill="1" applyBorder="1"/>
    <xf numFmtId="0" fontId="6" fillId="3" borderId="1" xfId="0" applyNumberFormat="1" applyFont="1" applyFill="1" applyBorder="1" applyAlignment="1">
      <alignment vertical="center" wrapText="1"/>
    </xf>
    <xf numFmtId="170" fontId="11" fillId="0" borderId="1" xfId="3" applyNumberFormat="1" applyFont="1" applyFill="1" applyBorder="1" applyAlignment="1">
      <alignment horizontal="center" vertical="center" wrapText="1"/>
    </xf>
    <xf numFmtId="0" fontId="6" fillId="0" borderId="2" xfId="0" applyFont="1" applyBorder="1" applyAlignment="1">
      <alignment vertical="center"/>
    </xf>
    <xf numFmtId="164" fontId="0" fillId="0" borderId="1" xfId="0" applyNumberFormat="1" applyBorder="1"/>
    <xf numFmtId="9" fontId="0" fillId="0" borderId="1" xfId="3" applyFont="1" applyBorder="1"/>
    <xf numFmtId="0" fontId="0" fillId="3" borderId="1" xfId="0" applyFill="1" applyBorder="1"/>
    <xf numFmtId="168" fontId="6" fillId="0" borderId="0" xfId="0" applyNumberFormat="1" applyFont="1" applyBorder="1" applyAlignment="1">
      <alignment vertical="center" wrapText="1"/>
    </xf>
    <xf numFmtId="167" fontId="28" fillId="5" borderId="1" xfId="2" applyNumberFormat="1" applyFont="1" applyFill="1" applyBorder="1" applyAlignment="1">
      <alignment horizontal="center" vertical="center" wrapText="1"/>
    </xf>
    <xf numFmtId="0" fontId="6" fillId="0" borderId="1" xfId="0" applyFont="1" applyBorder="1" applyAlignment="1">
      <alignment vertical="top" wrapText="1"/>
    </xf>
    <xf numFmtId="9" fontId="0" fillId="0" borderId="0" xfId="0" applyNumberFormat="1"/>
    <xf numFmtId="0" fontId="24" fillId="0" borderId="0" xfId="0" applyFont="1" applyFill="1" applyBorder="1" applyAlignment="1"/>
    <xf numFmtId="164" fontId="6" fillId="0" borderId="0" xfId="4" applyNumberFormat="1" applyFont="1" applyBorder="1" applyAlignment="1">
      <alignment vertical="center" wrapText="1"/>
    </xf>
    <xf numFmtId="0" fontId="0" fillId="0" borderId="0" xfId="0" applyAlignment="1">
      <alignment horizontal="left" vertical="top"/>
    </xf>
    <xf numFmtId="49" fontId="0" fillId="0" borderId="0" xfId="0" applyNumberFormat="1"/>
    <xf numFmtId="168" fontId="7" fillId="0" borderId="0" xfId="0" applyNumberFormat="1" applyFont="1" applyFill="1" applyBorder="1" applyAlignment="1">
      <alignment vertical="center"/>
    </xf>
    <xf numFmtId="0" fontId="28" fillId="0" borderId="0" xfId="0" applyFont="1"/>
    <xf numFmtId="0" fontId="29" fillId="0" borderId="0" xfId="0" applyFont="1"/>
    <xf numFmtId="170" fontId="6" fillId="0" borderId="1" xfId="3" applyNumberFormat="1" applyFont="1" applyBorder="1" applyAlignment="1">
      <alignment vertical="center"/>
    </xf>
    <xf numFmtId="164" fontId="0" fillId="0" borderId="0" xfId="2" applyNumberFormat="1" applyFont="1"/>
    <xf numFmtId="168" fontId="11" fillId="0" borderId="1" xfId="2" applyNumberFormat="1" applyFont="1" applyFill="1" applyBorder="1" applyAlignment="1">
      <alignment vertical="center" wrapText="1"/>
    </xf>
    <xf numFmtId="166" fontId="11" fillId="0" borderId="1" xfId="2" applyNumberFormat="1" applyFont="1" applyBorder="1" applyAlignment="1">
      <alignment horizontal="center" vertical="center" wrapText="1"/>
    </xf>
    <xf numFmtId="0" fontId="6" fillId="0" borderId="0" xfId="0" applyFont="1" applyFill="1" applyBorder="1" applyAlignment="1">
      <alignment vertical="center" wrapText="1"/>
    </xf>
    <xf numFmtId="0" fontId="11" fillId="3" borderId="1" xfId="0" applyFont="1" applyFill="1" applyBorder="1"/>
    <xf numFmtId="164" fontId="7" fillId="0" borderId="1" xfId="0" applyNumberFormat="1" applyFont="1" applyBorder="1" applyAlignment="1">
      <alignment vertical="center" wrapText="1"/>
    </xf>
    <xf numFmtId="164" fontId="6" fillId="0" borderId="1" xfId="0" applyNumberFormat="1" applyFont="1" applyBorder="1" applyAlignment="1">
      <alignment horizontal="right" vertical="center" wrapText="1"/>
    </xf>
    <xf numFmtId="0" fontId="0" fillId="0" borderId="1" xfId="0" applyBorder="1"/>
    <xf numFmtId="0" fontId="16" fillId="2" borderId="0" xfId="0" applyFont="1" applyFill="1"/>
    <xf numFmtId="0" fontId="0" fillId="5" borderId="1" xfId="0" applyFill="1" applyBorder="1"/>
    <xf numFmtId="164" fontId="7" fillId="0" borderId="1" xfId="0" applyNumberFormat="1" applyFont="1" applyBorder="1" applyAlignment="1">
      <alignment horizontal="right" vertical="center" wrapText="1"/>
    </xf>
    <xf numFmtId="0" fontId="6" fillId="0" borderId="0" xfId="0" applyFont="1" applyFill="1" applyBorder="1" applyAlignment="1">
      <alignment vertical="center"/>
    </xf>
    <xf numFmtId="0" fontId="6" fillId="0" borderId="2" xfId="0" applyFont="1" applyBorder="1" applyAlignment="1">
      <alignment vertical="center" wrapText="1"/>
    </xf>
    <xf numFmtId="0" fontId="0" fillId="0" borderId="1" xfId="0" applyFont="1" applyBorder="1" applyAlignment="1">
      <alignment wrapText="1"/>
    </xf>
    <xf numFmtId="0" fontId="24" fillId="0" borderId="1" xfId="0" applyFont="1" applyBorder="1"/>
    <xf numFmtId="164" fontId="0" fillId="0" borderId="1" xfId="0" applyNumberFormat="1" applyFont="1" applyBorder="1" applyAlignment="1">
      <alignment horizontal="center"/>
    </xf>
    <xf numFmtId="164" fontId="0" fillId="5" borderId="1" xfId="0" applyNumberFormat="1" applyFont="1" applyFill="1" applyBorder="1" applyAlignment="1">
      <alignment horizontal="center"/>
    </xf>
    <xf numFmtId="164" fontId="0" fillId="0" borderId="1" xfId="0" applyNumberFormat="1" applyFont="1" applyFill="1" applyBorder="1" applyAlignment="1">
      <alignment horizontal="center"/>
    </xf>
    <xf numFmtId="164" fontId="0" fillId="0" borderId="1" xfId="0" applyNumberFormat="1" applyBorder="1" applyAlignment="1">
      <alignment horizontal="center"/>
    </xf>
    <xf numFmtId="0" fontId="0" fillId="0" borderId="0" xfId="0" applyFont="1" applyAlignment="1">
      <alignment horizontal="center"/>
    </xf>
    <xf numFmtId="43" fontId="0" fillId="0" borderId="0" xfId="2" applyFont="1" applyAlignment="1">
      <alignment horizontal="center"/>
    </xf>
    <xf numFmtId="6" fontId="0" fillId="5" borderId="1" xfId="0" applyNumberFormat="1" applyFont="1" applyFill="1" applyBorder="1" applyAlignment="1">
      <alignment horizontal="center"/>
    </xf>
    <xf numFmtId="0" fontId="24" fillId="0" borderId="1" xfId="0" applyFont="1" applyBorder="1" applyAlignment="1"/>
    <xf numFmtId="43" fontId="0" fillId="0" borderId="1" xfId="2" applyFont="1" applyFill="1" applyBorder="1" applyAlignment="1">
      <alignment horizontal="center"/>
    </xf>
    <xf numFmtId="170" fontId="0" fillId="0" borderId="1" xfId="3" applyNumberFormat="1" applyFont="1" applyFill="1" applyBorder="1" applyAlignment="1">
      <alignment horizontal="center"/>
    </xf>
    <xf numFmtId="166" fontId="5" fillId="0" borderId="1" xfId="0" applyNumberFormat="1" applyFont="1" applyBorder="1"/>
    <xf numFmtId="166" fontId="18" fillId="0" borderId="1" xfId="2" applyNumberFormat="1" applyFont="1" applyBorder="1" applyAlignment="1">
      <alignment horizontal="center" vertical="center" wrapText="1"/>
    </xf>
    <xf numFmtId="165" fontId="0" fillId="0" borderId="0" xfId="0" applyNumberFormat="1"/>
    <xf numFmtId="8" fontId="24" fillId="0" borderId="0" xfId="0" applyNumberFormat="1" applyFont="1" applyAlignment="1"/>
    <xf numFmtId="8" fontId="0" fillId="0" borderId="0" xfId="0" applyNumberFormat="1" applyFont="1"/>
    <xf numFmtId="10" fontId="0" fillId="0" borderId="0" xfId="0" applyNumberFormat="1" applyFont="1" applyAlignment="1">
      <alignment horizontal="center"/>
    </xf>
    <xf numFmtId="8" fontId="0" fillId="5" borderId="1" xfId="2" applyNumberFormat="1" applyFont="1" applyFill="1" applyBorder="1" applyAlignment="1">
      <alignment horizontal="center"/>
    </xf>
    <xf numFmtId="9" fontId="0" fillId="0" borderId="1" xfId="3" applyFont="1" applyBorder="1" applyAlignment="1">
      <alignment horizontal="center"/>
    </xf>
    <xf numFmtId="0" fontId="0" fillId="0" borderId="1" xfId="0" applyFont="1" applyBorder="1" applyAlignment="1">
      <alignment horizontal="center"/>
    </xf>
    <xf numFmtId="164" fontId="16" fillId="0" borderId="0" xfId="0" applyNumberFormat="1" applyFont="1"/>
    <xf numFmtId="166" fontId="18" fillId="0" borderId="0" xfId="2" applyNumberFormat="1" applyFont="1" applyFill="1" applyBorder="1" applyAlignment="1">
      <alignment horizontal="center" vertical="center" wrapText="1"/>
    </xf>
    <xf numFmtId="170" fontId="18" fillId="0" borderId="0" xfId="3" applyNumberFormat="1" applyFont="1" applyFill="1" applyBorder="1" applyAlignment="1">
      <alignment horizontal="center" vertical="center" wrapText="1"/>
    </xf>
    <xf numFmtId="0" fontId="30" fillId="0" borderId="0" xfId="0" applyFont="1"/>
    <xf numFmtId="0" fontId="0" fillId="3" borderId="1" xfId="0" applyFill="1" applyBorder="1" applyAlignment="1">
      <alignment horizontal="center"/>
    </xf>
    <xf numFmtId="0" fontId="6" fillId="0" borderId="7" xfId="0" applyFont="1" applyBorder="1" applyAlignment="1">
      <alignment vertical="center"/>
    </xf>
    <xf numFmtId="0" fontId="7" fillId="0" borderId="2" xfId="0" applyFont="1" applyBorder="1" applyAlignment="1">
      <alignment vertical="center"/>
    </xf>
    <xf numFmtId="164" fontId="5" fillId="0" borderId="1" xfId="0" applyNumberFormat="1" applyFont="1" applyBorder="1"/>
    <xf numFmtId="164" fontId="5" fillId="0" borderId="1" xfId="0" applyNumberFormat="1" applyFont="1" applyBorder="1" applyAlignment="1">
      <alignment horizontal="center"/>
    </xf>
    <xf numFmtId="164" fontId="0" fillId="0" borderId="0" xfId="0" applyNumberFormat="1" applyBorder="1"/>
    <xf numFmtId="0" fontId="28" fillId="0" borderId="0" xfId="0" applyFont="1" applyAlignment="1">
      <alignment horizontal="left" vertical="top" wrapText="1"/>
    </xf>
    <xf numFmtId="164" fontId="28" fillId="0" borderId="0" xfId="0" applyNumberFormat="1" applyFont="1"/>
    <xf numFmtId="175" fontId="0" fillId="0" borderId="0" xfId="0" applyNumberFormat="1"/>
    <xf numFmtId="165" fontId="28" fillId="0" borderId="0" xfId="0" applyNumberFormat="1" applyFont="1"/>
    <xf numFmtId="0" fontId="5" fillId="3" borderId="1" xfId="0" applyFont="1" applyFill="1" applyBorder="1" applyAlignment="1">
      <alignment horizontal="center"/>
    </xf>
    <xf numFmtId="9" fontId="5" fillId="0" borderId="1" xfId="3" applyFont="1" applyBorder="1" applyAlignment="1">
      <alignment horizontal="center"/>
    </xf>
    <xf numFmtId="0" fontId="20" fillId="0" borderId="0" xfId="0" applyFont="1"/>
    <xf numFmtId="168" fontId="6" fillId="0" borderId="0" xfId="2" applyNumberFormat="1" applyFont="1" applyBorder="1" applyAlignment="1">
      <alignment vertical="center" wrapText="1"/>
    </xf>
    <xf numFmtId="168" fontId="11" fillId="0" borderId="0" xfId="2" applyNumberFormat="1" applyFont="1" applyFill="1" applyBorder="1" applyAlignment="1">
      <alignment vertical="center" wrapText="1"/>
    </xf>
    <xf numFmtId="169" fontId="6" fillId="0" borderId="0" xfId="3" applyNumberFormat="1" applyFont="1" applyFill="1" applyBorder="1" applyAlignment="1">
      <alignment vertical="center" wrapText="1"/>
    </xf>
    <xf numFmtId="169" fontId="7" fillId="0" borderId="1" xfId="3" applyNumberFormat="1" applyFont="1" applyFill="1" applyBorder="1" applyAlignment="1">
      <alignment vertical="center" wrapText="1"/>
    </xf>
    <xf numFmtId="0" fontId="23" fillId="0" borderId="0" xfId="0" applyFont="1" applyAlignment="1">
      <alignment horizontal="center"/>
    </xf>
    <xf numFmtId="0" fontId="23" fillId="0" borderId="0" xfId="0" applyFont="1" applyAlignment="1">
      <alignment horizontal="center" vertical="center"/>
    </xf>
    <xf numFmtId="0" fontId="24" fillId="0" borderId="0" xfId="0" applyFont="1" applyBorder="1" applyAlignment="1">
      <alignment vertical="center"/>
    </xf>
    <xf numFmtId="169" fontId="0" fillId="0" borderId="0" xfId="3" applyNumberFormat="1" applyFont="1"/>
    <xf numFmtId="0" fontId="0" fillId="0" borderId="0" xfId="0" applyFont="1" applyFill="1" applyBorder="1"/>
    <xf numFmtId="168" fontId="11" fillId="0" borderId="1" xfId="2" applyNumberFormat="1" applyFont="1" applyFill="1" applyBorder="1" applyAlignment="1">
      <alignment horizontal="center" vertical="center"/>
    </xf>
    <xf numFmtId="9" fontId="11" fillId="0" borderId="1" xfId="0" applyNumberFormat="1" applyFont="1" applyFill="1" applyBorder="1" applyAlignment="1">
      <alignment vertical="center" wrapText="1"/>
    </xf>
    <xf numFmtId="0" fontId="0" fillId="3" borderId="1" xfId="0" applyFont="1" applyFill="1" applyBorder="1" applyAlignment="1">
      <alignment horizontal="center" vertical="center"/>
    </xf>
    <xf numFmtId="0" fontId="0" fillId="0" borderId="0" xfId="0" applyAlignment="1">
      <alignment horizontal="center" vertical="center"/>
    </xf>
    <xf numFmtId="0" fontId="0" fillId="3" borderId="1" xfId="0" applyFont="1" applyFill="1" applyBorder="1" applyAlignment="1">
      <alignment horizontal="center" vertical="center" wrapText="1"/>
    </xf>
    <xf numFmtId="168" fontId="11" fillId="0" borderId="0" xfId="2" applyNumberFormat="1" applyFont="1" applyFill="1" applyBorder="1" applyAlignment="1">
      <alignment horizontal="center" vertical="center"/>
    </xf>
    <xf numFmtId="9" fontId="11" fillId="0" borderId="1" xfId="3" applyFont="1" applyFill="1" applyBorder="1" applyAlignment="1">
      <alignment horizontal="center" vertical="center"/>
    </xf>
    <xf numFmtId="9" fontId="11" fillId="0" borderId="0" xfId="0" applyNumberFormat="1" applyFont="1" applyFill="1" applyBorder="1" applyAlignment="1">
      <alignment vertical="center" wrapText="1"/>
    </xf>
    <xf numFmtId="0" fontId="0" fillId="3" borderId="8" xfId="0" applyFont="1" applyFill="1" applyBorder="1"/>
    <xf numFmtId="170" fontId="6" fillId="0" borderId="0" xfId="3" applyNumberFormat="1" applyFont="1" applyFill="1" applyBorder="1" applyAlignment="1">
      <alignment vertical="center" wrapText="1"/>
    </xf>
    <xf numFmtId="168" fontId="18" fillId="0" borderId="1" xfId="2" applyNumberFormat="1" applyFont="1" applyFill="1" applyBorder="1" applyAlignment="1">
      <alignment horizontal="center" vertical="center"/>
    </xf>
    <xf numFmtId="9" fontId="18" fillId="0" borderId="1" xfId="3" applyFont="1" applyFill="1" applyBorder="1" applyAlignment="1">
      <alignment horizontal="center" vertical="center"/>
    </xf>
    <xf numFmtId="9" fontId="18" fillId="0" borderId="0" xfId="3" applyFont="1" applyFill="1" applyBorder="1" applyAlignment="1">
      <alignment horizontal="center" vertical="center"/>
    </xf>
    <xf numFmtId="0" fontId="32" fillId="0" borderId="0" xfId="0" applyFont="1"/>
    <xf numFmtId="176" fontId="0" fillId="0" borderId="0" xfId="0" applyNumberFormat="1"/>
    <xf numFmtId="170" fontId="0" fillId="0" borderId="0" xfId="0" applyNumberFormat="1"/>
    <xf numFmtId="169" fontId="11" fillId="5" borderId="1" xfId="3" applyNumberFormat="1" applyFont="1" applyFill="1" applyBorder="1" applyAlignment="1">
      <alignment vertical="center" wrapText="1"/>
    </xf>
    <xf numFmtId="169" fontId="7" fillId="5" borderId="1" xfId="3" applyNumberFormat="1" applyFont="1" applyFill="1" applyBorder="1" applyAlignment="1">
      <alignment vertical="center" wrapText="1"/>
    </xf>
    <xf numFmtId="0" fontId="6" fillId="0" borderId="2" xfId="0" applyFont="1" applyFill="1" applyBorder="1" applyAlignment="1">
      <alignment vertical="center"/>
    </xf>
    <xf numFmtId="164" fontId="5" fillId="0" borderId="1" xfId="0" applyNumberFormat="1" applyFont="1" applyFill="1" applyBorder="1" applyAlignment="1">
      <alignment horizontal="center"/>
    </xf>
    <xf numFmtId="9" fontId="5" fillId="0" borderId="1" xfId="3" applyFont="1" applyFill="1" applyBorder="1" applyAlignment="1">
      <alignment horizontal="center"/>
    </xf>
    <xf numFmtId="0" fontId="24" fillId="0" borderId="0" xfId="0" applyFont="1" applyAlignment="1">
      <alignment wrapText="1"/>
    </xf>
    <xf numFmtId="177" fontId="0" fillId="0" borderId="0" xfId="0" applyNumberFormat="1"/>
    <xf numFmtId="0" fontId="0" fillId="0" borderId="1" xfId="0" applyFill="1" applyBorder="1"/>
    <xf numFmtId="166" fontId="5" fillId="0" borderId="0" xfId="0" applyNumberFormat="1" applyFont="1" applyBorder="1"/>
    <xf numFmtId="0" fontId="33" fillId="0" borderId="0" xfId="0" applyFont="1" applyAlignment="1">
      <alignment vertical="center"/>
    </xf>
    <xf numFmtId="166" fontId="1" fillId="3" borderId="1" xfId="2" applyNumberFormat="1" applyFont="1" applyFill="1" applyBorder="1" applyAlignment="1">
      <alignment horizontal="left" vertical="center" wrapText="1"/>
    </xf>
    <xf numFmtId="166" fontId="35" fillId="3" borderId="1" xfId="0" applyNumberFormat="1" applyFont="1" applyFill="1" applyBorder="1"/>
    <xf numFmtId="166" fontId="11" fillId="0" borderId="0" xfId="2" applyNumberFormat="1" applyFont="1" applyBorder="1" applyAlignment="1">
      <alignment horizontal="left" vertical="center" wrapText="1"/>
    </xf>
    <xf numFmtId="9" fontId="5" fillId="0" borderId="1" xfId="3" applyFont="1" applyFill="1" applyBorder="1"/>
    <xf numFmtId="9" fontId="0" fillId="0" borderId="1" xfId="0" applyNumberFormat="1" applyFill="1" applyBorder="1"/>
    <xf numFmtId="0" fontId="0" fillId="0" borderId="0" xfId="0" applyFill="1" applyBorder="1"/>
    <xf numFmtId="9" fontId="0" fillId="0" borderId="0" xfId="0" applyNumberFormat="1" applyFill="1" applyBorder="1"/>
    <xf numFmtId="0" fontId="0" fillId="3" borderId="1" xfId="0" applyFill="1" applyBorder="1" applyAlignment="1">
      <alignment wrapText="1"/>
    </xf>
    <xf numFmtId="0" fontId="0" fillId="0" borderId="1" xfId="0" applyFill="1" applyBorder="1" applyAlignment="1">
      <alignment wrapText="1"/>
    </xf>
    <xf numFmtId="9" fontId="11" fillId="0" borderId="0" xfId="3" applyFont="1" applyBorder="1" applyAlignment="1">
      <alignment horizontal="left" vertical="center" wrapText="1"/>
    </xf>
    <xf numFmtId="0" fontId="29" fillId="0" borderId="0" xfId="0" applyFont="1" applyAlignment="1">
      <alignment wrapText="1"/>
    </xf>
    <xf numFmtId="0" fontId="0" fillId="0" borderId="0" xfId="0" applyFill="1" applyBorder="1" applyAlignment="1">
      <alignment wrapText="1"/>
    </xf>
    <xf numFmtId="0" fontId="5" fillId="0" borderId="0" xfId="0" applyFont="1" applyFill="1" applyBorder="1" applyAlignment="1">
      <alignment wrapText="1"/>
    </xf>
    <xf numFmtId="0" fontId="33" fillId="0" borderId="0" xfId="0" applyFont="1" applyAlignment="1">
      <alignment vertical="center" wrapText="1"/>
    </xf>
    <xf numFmtId="0" fontId="29" fillId="0" borderId="0" xfId="0" applyFont="1" applyAlignment="1"/>
    <xf numFmtId="9" fontId="0" fillId="5" borderId="1" xfId="0" applyNumberFormat="1" applyFill="1" applyBorder="1"/>
    <xf numFmtId="170" fontId="0" fillId="5" borderId="1" xfId="0" applyNumberFormat="1" applyFill="1" applyBorder="1"/>
    <xf numFmtId="9" fontId="4" fillId="0" borderId="0" xfId="0" applyNumberFormat="1" applyFont="1" applyFill="1" applyBorder="1"/>
    <xf numFmtId="166" fontId="4" fillId="0" borderId="0" xfId="2" applyNumberFormat="1" applyFont="1" applyBorder="1" applyAlignment="1">
      <alignment horizontal="left" vertical="center"/>
    </xf>
    <xf numFmtId="0" fontId="37" fillId="0" borderId="0" xfId="0" applyFont="1" applyAlignment="1">
      <alignment wrapText="1"/>
    </xf>
    <xf numFmtId="0" fontId="0" fillId="8" borderId="0" xfId="0" applyFill="1"/>
    <xf numFmtId="0" fontId="39" fillId="8" borderId="0" xfId="0" applyFont="1" applyFill="1" applyAlignment="1">
      <alignment vertical="top" wrapText="1"/>
    </xf>
    <xf numFmtId="0" fontId="38" fillId="8" borderId="9" xfId="0" applyFont="1" applyFill="1" applyBorder="1" applyAlignment="1">
      <alignment vertical="top" wrapText="1"/>
    </xf>
    <xf numFmtId="170" fontId="0" fillId="0" borderId="1" xfId="0" applyNumberFormat="1" applyFill="1" applyBorder="1"/>
    <xf numFmtId="9" fontId="11" fillId="0" borderId="1" xfId="0" applyNumberFormat="1" applyFont="1" applyFill="1" applyBorder="1"/>
    <xf numFmtId="170" fontId="5" fillId="0" borderId="1" xfId="3" applyNumberFormat="1" applyFont="1" applyFill="1" applyBorder="1"/>
    <xf numFmtId="0" fontId="5" fillId="0" borderId="1" xfId="0" applyFont="1" applyFill="1" applyBorder="1" applyAlignment="1">
      <alignment wrapText="1"/>
    </xf>
    <xf numFmtId="170" fontId="5" fillId="0" borderId="0" xfId="3" applyNumberFormat="1" applyFont="1" applyFill="1" applyBorder="1"/>
    <xf numFmtId="8" fontId="0" fillId="5" borderId="1" xfId="0" applyNumberFormat="1" applyFill="1" applyBorder="1"/>
    <xf numFmtId="0" fontId="0" fillId="0" borderId="1" xfId="0" applyFont="1" applyFill="1" applyBorder="1" applyAlignment="1">
      <alignment wrapText="1"/>
    </xf>
    <xf numFmtId="8" fontId="0" fillId="3" borderId="1" xfId="0" applyNumberFormat="1" applyFill="1" applyBorder="1" applyAlignment="1">
      <alignment horizontal="center"/>
    </xf>
    <xf numFmtId="9" fontId="0" fillId="3" borderId="1" xfId="3" applyFont="1" applyFill="1" applyBorder="1" applyAlignment="1">
      <alignment horizontal="center"/>
    </xf>
    <xf numFmtId="9" fontId="0" fillId="0" borderId="1" xfId="3" applyFont="1" applyFill="1" applyBorder="1" applyAlignment="1">
      <alignment horizontal="center"/>
    </xf>
    <xf numFmtId="166" fontId="1" fillId="0" borderId="0" xfId="2" applyNumberFormat="1" applyFont="1" applyFill="1" applyBorder="1" applyAlignment="1">
      <alignment horizontal="left" vertical="top" wrapText="1"/>
    </xf>
    <xf numFmtId="0" fontId="8" fillId="0" borderId="0" xfId="0" applyFont="1" applyAlignment="1">
      <alignment wrapText="1"/>
    </xf>
    <xf numFmtId="0" fontId="5" fillId="5" borderId="1" xfId="0" applyFont="1" applyFill="1" applyBorder="1" applyAlignment="1">
      <alignment horizontal="center"/>
    </xf>
    <xf numFmtId="8" fontId="0" fillId="5" borderId="1" xfId="0" applyNumberFormat="1" applyFill="1" applyBorder="1" applyAlignment="1">
      <alignment horizontal="center"/>
    </xf>
    <xf numFmtId="0" fontId="0" fillId="5" borderId="1" xfId="0" applyFill="1" applyBorder="1" applyAlignment="1">
      <alignment horizontal="center"/>
    </xf>
    <xf numFmtId="0" fontId="41" fillId="0" borderId="0" xfId="0" applyFont="1"/>
    <xf numFmtId="0" fontId="41" fillId="0" borderId="0" xfId="0" applyFont="1" applyAlignment="1"/>
    <xf numFmtId="0" fontId="32" fillId="0" borderId="0" xfId="0" applyFont="1" applyFill="1" applyBorder="1" applyAlignment="1">
      <alignment vertical="center"/>
    </xf>
    <xf numFmtId="43" fontId="0" fillId="0" borderId="0" xfId="2" applyFont="1" applyFill="1" applyBorder="1" applyAlignment="1">
      <alignment horizontal="center"/>
    </xf>
    <xf numFmtId="164" fontId="19" fillId="0" borderId="1" xfId="0" applyNumberFormat="1" applyFont="1" applyBorder="1" applyAlignment="1">
      <alignment vertical="center" wrapText="1"/>
    </xf>
    <xf numFmtId="10" fontId="0" fillId="0" borderId="1" xfId="2" applyNumberFormat="1" applyFont="1" applyFill="1" applyBorder="1" applyAlignment="1">
      <alignment horizontal="center"/>
    </xf>
    <xf numFmtId="10" fontId="0" fillId="5" borderId="1" xfId="2" applyNumberFormat="1" applyFont="1" applyFill="1" applyBorder="1" applyAlignment="1">
      <alignment horizontal="center"/>
    </xf>
    <xf numFmtId="178" fontId="0" fillId="0" borderId="0" xfId="0" applyNumberFormat="1" applyAlignment="1">
      <alignment horizontal="right"/>
    </xf>
    <xf numFmtId="178" fontId="0" fillId="0" borderId="0" xfId="0" applyNumberFormat="1"/>
    <xf numFmtId="178" fontId="5" fillId="0" borderId="0" xfId="0" applyNumberFormat="1" applyFont="1" applyAlignment="1">
      <alignment horizontal="center"/>
    </xf>
    <xf numFmtId="43" fontId="0" fillId="0" borderId="0" xfId="2" applyFont="1" applyAlignment="1">
      <alignment horizontal="right"/>
    </xf>
    <xf numFmtId="9" fontId="22" fillId="0" borderId="0" xfId="0" applyNumberFormat="1" applyFont="1"/>
    <xf numFmtId="178" fontId="4" fillId="0" borderId="0" xfId="0" applyNumberFormat="1" applyFont="1"/>
    <xf numFmtId="9" fontId="0" fillId="5" borderId="1" xfId="3" applyFont="1" applyFill="1" applyBorder="1" applyAlignment="1">
      <alignment horizontal="right"/>
    </xf>
    <xf numFmtId="9" fontId="0" fillId="5" borderId="1" xfId="3" applyFont="1" applyFill="1" applyBorder="1"/>
    <xf numFmtId="9" fontId="0" fillId="0" borderId="1" xfId="3" applyFont="1" applyBorder="1" applyAlignment="1">
      <alignment horizontal="right"/>
    </xf>
    <xf numFmtId="178" fontId="0" fillId="9" borderId="1" xfId="0" applyNumberFormat="1" applyFill="1" applyBorder="1" applyAlignment="1">
      <alignment horizontal="right"/>
    </xf>
    <xf numFmtId="0" fontId="0" fillId="9" borderId="1" xfId="0" applyFill="1" applyBorder="1"/>
    <xf numFmtId="178" fontId="0" fillId="9" borderId="1" xfId="0" applyNumberFormat="1" applyFill="1" applyBorder="1"/>
    <xf numFmtId="43" fontId="0" fillId="0" borderId="1" xfId="2" applyFont="1" applyBorder="1" applyAlignment="1">
      <alignment horizontal="right"/>
    </xf>
    <xf numFmtId="0" fontId="7" fillId="0" borderId="2" xfId="0" applyFont="1" applyBorder="1" applyAlignment="1">
      <alignment vertical="center" wrapText="1"/>
    </xf>
    <xf numFmtId="0" fontId="7" fillId="0" borderId="0" xfId="0" applyFont="1" applyFill="1" applyBorder="1" applyAlignment="1">
      <alignment vertical="center" wrapText="1"/>
    </xf>
    <xf numFmtId="0" fontId="24" fillId="0" borderId="0" xfId="0" applyFont="1" applyAlignment="1">
      <alignment horizontal="center"/>
    </xf>
    <xf numFmtId="2" fontId="0" fillId="0" borderId="1" xfId="2" applyNumberFormat="1" applyFont="1" applyFill="1" applyBorder="1" applyAlignment="1">
      <alignment horizontal="center" vertical="center"/>
    </xf>
    <xf numFmtId="2" fontId="0" fillId="5" borderId="1" xfId="2" applyNumberFormat="1" applyFont="1" applyFill="1" applyBorder="1" applyAlignment="1">
      <alignment horizontal="center" vertical="center"/>
    </xf>
    <xf numFmtId="0" fontId="8" fillId="0" borderId="0" xfId="0" applyFont="1" applyAlignment="1">
      <alignment horizontal="left"/>
    </xf>
    <xf numFmtId="43" fontId="0" fillId="5" borderId="1" xfId="2" applyFont="1" applyFill="1" applyBorder="1" applyAlignment="1">
      <alignment horizontal="right"/>
    </xf>
    <xf numFmtId="0" fontId="0" fillId="0" borderId="0" xfId="0" applyAlignment="1">
      <alignment vertical="center"/>
    </xf>
    <xf numFmtId="9" fontId="6" fillId="0" borderId="1" xfId="3" applyFont="1" applyBorder="1" applyAlignment="1">
      <alignment horizontal="center" vertical="center" wrapText="1"/>
    </xf>
    <xf numFmtId="9" fontId="0" fillId="3" borderId="1" xfId="3" applyFont="1" applyFill="1" applyBorder="1" applyAlignment="1"/>
    <xf numFmtId="164" fontId="0" fillId="0" borderId="1" xfId="2" applyNumberFormat="1" applyFont="1" applyFill="1" applyBorder="1" applyAlignment="1">
      <alignment horizontal="right"/>
    </xf>
    <xf numFmtId="43" fontId="0" fillId="0" borderId="1" xfId="2" applyFont="1" applyFill="1" applyBorder="1" applyAlignment="1">
      <alignment horizontal="right"/>
    </xf>
    <xf numFmtId="9" fontId="29" fillId="0" borderId="0" xfId="3" applyFont="1"/>
    <xf numFmtId="0" fontId="28" fillId="0" borderId="0" xfId="0" applyFont="1" applyBorder="1"/>
    <xf numFmtId="178" fontId="28" fillId="0" borderId="0" xfId="0" applyNumberFormat="1" applyFont="1" applyAlignment="1">
      <alignment horizontal="right"/>
    </xf>
    <xf numFmtId="178" fontId="0" fillId="0" borderId="0" xfId="0" applyNumberFormat="1" applyFont="1" applyAlignment="1">
      <alignment horizontal="right"/>
    </xf>
    <xf numFmtId="164" fontId="19" fillId="0" borderId="1" xfId="0" applyNumberFormat="1" applyFont="1" applyBorder="1" applyAlignment="1">
      <alignment horizontal="right" vertical="center" wrapText="1"/>
    </xf>
    <xf numFmtId="0" fontId="4" fillId="0" borderId="0" xfId="0" applyFont="1" applyBorder="1" applyAlignment="1">
      <alignment vertical="center" wrapText="1"/>
    </xf>
    <xf numFmtId="0" fontId="22" fillId="0" borderId="0" xfId="0" applyFont="1" applyBorder="1" applyAlignment="1">
      <alignment vertical="center" wrapText="1"/>
    </xf>
    <xf numFmtId="10" fontId="6" fillId="5" borderId="1" xfId="0" applyNumberFormat="1" applyFont="1" applyFill="1" applyBorder="1" applyAlignment="1">
      <alignment vertical="center" wrapText="1"/>
    </xf>
    <xf numFmtId="0" fontId="23" fillId="0" borderId="0" xfId="0" applyFont="1" applyBorder="1"/>
    <xf numFmtId="170" fontId="6" fillId="0" borderId="1" xfId="0" applyNumberFormat="1" applyFont="1" applyFill="1" applyBorder="1" applyAlignment="1">
      <alignment vertical="center" wrapText="1"/>
    </xf>
    <xf numFmtId="43" fontId="6" fillId="5" borderId="1" xfId="2" applyFont="1" applyFill="1" applyBorder="1" applyAlignment="1">
      <alignment vertical="center" wrapText="1"/>
    </xf>
    <xf numFmtId="169" fontId="6" fillId="0" borderId="1" xfId="0" applyNumberFormat="1" applyFont="1" applyFill="1" applyBorder="1" applyAlignment="1">
      <alignment vertical="center" wrapText="1"/>
    </xf>
    <xf numFmtId="10" fontId="6" fillId="5" borderId="1" xfId="3" applyNumberFormat="1" applyFont="1" applyFill="1" applyBorder="1" applyAlignment="1">
      <alignment vertical="center" wrapText="1"/>
    </xf>
    <xf numFmtId="10" fontId="0" fillId="0" borderId="1" xfId="2" applyNumberFormat="1" applyFont="1" applyFill="1" applyBorder="1" applyAlignment="1">
      <alignment horizontal="left" wrapText="1"/>
    </xf>
    <xf numFmtId="9" fontId="0" fillId="0" borderId="1" xfId="0" applyNumberFormat="1" applyFill="1" applyBorder="1" applyAlignment="1">
      <alignment wrapText="1"/>
    </xf>
    <xf numFmtId="0" fontId="0" fillId="0" borderId="0" xfId="0" applyBorder="1" applyAlignment="1">
      <alignment wrapText="1"/>
    </xf>
    <xf numFmtId="0" fontId="0" fillId="8" borderId="0" xfId="0" applyFill="1" applyAlignment="1">
      <alignment wrapText="1"/>
    </xf>
    <xf numFmtId="0" fontId="0" fillId="0" borderId="0" xfId="0" applyFill="1" applyAlignment="1">
      <alignment wrapText="1"/>
    </xf>
    <xf numFmtId="43" fontId="0" fillId="5" borderId="1" xfId="2" applyFont="1" applyFill="1" applyBorder="1"/>
    <xf numFmtId="164" fontId="0" fillId="5" borderId="1" xfId="0" applyNumberFormat="1" applyFont="1" applyFill="1" applyBorder="1" applyAlignment="1">
      <alignment horizontal="center" vertical="center"/>
    </xf>
    <xf numFmtId="0" fontId="28" fillId="0" borderId="0" xfId="0" applyFont="1" applyAlignment="1"/>
    <xf numFmtId="0" fontId="0" fillId="5" borderId="1" xfId="0" applyFont="1" applyFill="1" applyBorder="1" applyAlignment="1"/>
    <xf numFmtId="0" fontId="0" fillId="5" borderId="1" xfId="0" applyFont="1" applyFill="1" applyBorder="1" applyAlignment="1">
      <alignment horizontal="center"/>
    </xf>
    <xf numFmtId="0" fontId="0" fillId="0" borderId="1" xfId="0" applyFont="1" applyFill="1" applyBorder="1" applyAlignment="1">
      <alignment horizontal="center"/>
    </xf>
    <xf numFmtId="2" fontId="0" fillId="0" borderId="0" xfId="2" applyNumberFormat="1" applyFont="1" applyFill="1" applyBorder="1" applyAlignment="1">
      <alignment horizontal="center" vertical="center"/>
    </xf>
    <xf numFmtId="43" fontId="5" fillId="0" borderId="0" xfId="2" applyFont="1" applyFill="1" applyBorder="1" applyAlignment="1"/>
    <xf numFmtId="164" fontId="5" fillId="0" borderId="1" xfId="2" applyNumberFormat="1" applyFont="1" applyFill="1" applyBorder="1" applyAlignment="1">
      <alignment horizontal="center"/>
    </xf>
    <xf numFmtId="164" fontId="5" fillId="0" borderId="0" xfId="2" applyNumberFormat="1" applyFont="1" applyFill="1" applyBorder="1" applyAlignment="1">
      <alignment horizontal="center"/>
    </xf>
    <xf numFmtId="164" fontId="0" fillId="0" borderId="1" xfId="2" applyNumberFormat="1" applyFont="1" applyFill="1" applyBorder="1" applyAlignment="1">
      <alignment horizontal="center" vertical="center"/>
    </xf>
    <xf numFmtId="164" fontId="0" fillId="0" borderId="0" xfId="2" applyNumberFormat="1" applyFont="1" applyFill="1" applyBorder="1" applyAlignment="1">
      <alignment horizontal="center" vertical="center"/>
    </xf>
    <xf numFmtId="10" fontId="0" fillId="0" borderId="0" xfId="2" applyNumberFormat="1" applyFont="1" applyFill="1" applyBorder="1" applyAlignment="1">
      <alignment horizontal="left" wrapText="1"/>
    </xf>
    <xf numFmtId="43" fontId="22" fillId="0" borderId="0" xfId="2" applyFont="1"/>
    <xf numFmtId="43" fontId="0" fillId="0" borderId="0" xfId="2" applyFont="1" applyFill="1" applyBorder="1" applyAlignment="1">
      <alignment horizontal="right"/>
    </xf>
    <xf numFmtId="0" fontId="28" fillId="0" borderId="0" xfId="0" applyFont="1" applyBorder="1" applyAlignment="1">
      <alignment vertical="center" wrapText="1"/>
    </xf>
    <xf numFmtId="43" fontId="0" fillId="3" borderId="2" xfId="2" applyFont="1" applyFill="1" applyBorder="1"/>
    <xf numFmtId="43" fontId="0" fillId="3" borderId="1" xfId="2" applyFont="1" applyFill="1" applyBorder="1"/>
    <xf numFmtId="43" fontId="42" fillId="0" borderId="0" xfId="2" applyFont="1"/>
    <xf numFmtId="43" fontId="6" fillId="0" borderId="2" xfId="2" applyFont="1" applyBorder="1" applyAlignment="1">
      <alignment vertical="center" wrapText="1"/>
    </xf>
    <xf numFmtId="43" fontId="6" fillId="5" borderId="2" xfId="2" applyFont="1" applyFill="1" applyBorder="1" applyAlignment="1">
      <alignment vertical="center" wrapText="1"/>
    </xf>
    <xf numFmtId="43" fontId="28" fillId="0" borderId="0" xfId="2" applyFont="1"/>
    <xf numFmtId="43" fontId="0" fillId="0" borderId="2" xfId="2" applyFont="1" applyFill="1" applyBorder="1"/>
    <xf numFmtId="43" fontId="4" fillId="0" borderId="0" xfId="2" applyFont="1"/>
    <xf numFmtId="43" fontId="0" fillId="0" borderId="0" xfId="2" applyFont="1" applyFill="1"/>
    <xf numFmtId="43" fontId="5" fillId="0" borderId="0" xfId="2" applyFont="1"/>
    <xf numFmtId="43" fontId="8" fillId="0" borderId="0" xfId="2" applyFont="1"/>
    <xf numFmtId="43" fontId="28" fillId="0" borderId="0" xfId="2" applyFont="1" applyBorder="1" applyAlignment="1">
      <alignment vertical="center" wrapText="1"/>
    </xf>
    <xf numFmtId="43" fontId="0" fillId="0" borderId="0" xfId="2" applyFont="1" applyBorder="1" applyAlignment="1">
      <alignment horizontal="right"/>
    </xf>
    <xf numFmtId="43" fontId="5" fillId="0" borderId="0" xfId="2" applyFont="1" applyAlignment="1">
      <alignment horizontal="right"/>
    </xf>
    <xf numFmtId="43" fontId="5" fillId="0" borderId="0" xfId="2" applyFont="1" applyAlignment="1">
      <alignment horizontal="center"/>
    </xf>
    <xf numFmtId="43" fontId="6" fillId="0" borderId="0" xfId="2" applyFont="1" applyBorder="1" applyAlignment="1">
      <alignment vertical="center" wrapText="1"/>
    </xf>
    <xf numFmtId="43" fontId="5" fillId="0" borderId="0" xfId="2" applyFont="1" applyAlignment="1"/>
    <xf numFmtId="43" fontId="0" fillId="0" borderId="0" xfId="2" applyFont="1" applyAlignment="1">
      <alignment vertical="center"/>
    </xf>
    <xf numFmtId="9" fontId="0" fillId="0" borderId="1" xfId="3" applyFont="1" applyFill="1" applyBorder="1"/>
    <xf numFmtId="12" fontId="0" fillId="0" borderId="0" xfId="2" applyNumberFormat="1" applyFont="1"/>
    <xf numFmtId="43" fontId="0" fillId="0" borderId="0" xfId="2" applyFont="1" applyFill="1" applyBorder="1"/>
    <xf numFmtId="43" fontId="5" fillId="0" borderId="2" xfId="2" applyFont="1" applyFill="1" applyBorder="1"/>
    <xf numFmtId="164" fontId="5" fillId="0" borderId="1" xfId="2" applyNumberFormat="1" applyFont="1" applyFill="1" applyBorder="1" applyAlignment="1">
      <alignment horizontal="right"/>
    </xf>
    <xf numFmtId="43" fontId="5" fillId="0" borderId="1" xfId="2" applyFont="1" applyFill="1" applyBorder="1" applyAlignment="1">
      <alignment horizontal="right"/>
    </xf>
    <xf numFmtId="43" fontId="3" fillId="0" borderId="1" xfId="2" applyFont="1" applyFill="1" applyBorder="1" applyAlignment="1">
      <alignment horizontal="right"/>
    </xf>
    <xf numFmtId="0" fontId="25" fillId="0" borderId="0" xfId="0" applyFont="1" applyBorder="1" applyAlignment="1">
      <alignment vertical="center" wrapText="1"/>
    </xf>
    <xf numFmtId="0" fontId="25" fillId="0" borderId="0" xfId="0" applyFont="1" applyFill="1" applyBorder="1" applyAlignment="1">
      <alignment vertical="center"/>
    </xf>
    <xf numFmtId="168" fontId="43" fillId="0" borderId="0" xfId="2" applyNumberFormat="1" applyFont="1" applyFill="1" applyBorder="1" applyAlignment="1">
      <alignment vertical="top"/>
    </xf>
    <xf numFmtId="0" fontId="9" fillId="0" borderId="0" xfId="0" applyFont="1" applyAlignment="1">
      <alignment wrapText="1"/>
    </xf>
    <xf numFmtId="2" fontId="28" fillId="0" borderId="0" xfId="0" applyNumberFormat="1" applyFont="1"/>
    <xf numFmtId="0" fontId="24" fillId="0" borderId="0" xfId="0" applyFont="1" applyBorder="1"/>
    <xf numFmtId="170" fontId="6" fillId="0" borderId="0" xfId="3" applyNumberFormat="1" applyFont="1" applyBorder="1" applyAlignment="1">
      <alignment vertical="center" wrapText="1"/>
    </xf>
    <xf numFmtId="164" fontId="5" fillId="0" borderId="0" xfId="0" applyNumberFormat="1" applyFont="1" applyBorder="1"/>
    <xf numFmtId="165" fontId="5" fillId="0" borderId="0" xfId="0" applyNumberFormat="1" applyFont="1" applyBorder="1" applyAlignment="1">
      <alignment horizontal="center"/>
    </xf>
    <xf numFmtId="164" fontId="0" fillId="0" borderId="1" xfId="0" applyNumberFormat="1" applyFont="1" applyBorder="1"/>
    <xf numFmtId="164" fontId="30" fillId="0" borderId="0" xfId="0" applyNumberFormat="1" applyFont="1"/>
    <xf numFmtId="9" fontId="5" fillId="0" borderId="1" xfId="3" applyNumberFormat="1" applyFont="1" applyBorder="1" applyAlignment="1">
      <alignment horizontal="center"/>
    </xf>
    <xf numFmtId="179" fontId="0" fillId="0" borderId="0" xfId="0" applyNumberFormat="1"/>
    <xf numFmtId="178" fontId="16" fillId="0" borderId="0" xfId="0" applyNumberFormat="1" applyFont="1" applyAlignment="1">
      <alignment horizontal="right"/>
    </xf>
    <xf numFmtId="164" fontId="7" fillId="5" borderId="1" xfId="0" applyNumberFormat="1" applyFont="1" applyFill="1" applyBorder="1" applyAlignment="1">
      <alignment vertical="center" wrapText="1"/>
    </xf>
    <xf numFmtId="174" fontId="0" fillId="0" borderId="0" xfId="3" applyNumberFormat="1" applyFont="1"/>
    <xf numFmtId="166" fontId="22" fillId="0" borderId="1" xfId="2" applyNumberFormat="1" applyFont="1" applyFill="1" applyBorder="1" applyAlignment="1">
      <alignment horizontal="center" vertical="center" wrapText="1"/>
    </xf>
    <xf numFmtId="0" fontId="0" fillId="10" borderId="1" xfId="0" applyFont="1" applyFill="1" applyBorder="1" applyAlignment="1"/>
    <xf numFmtId="0" fontId="0" fillId="11" borderId="1" xfId="0" applyFont="1" applyFill="1" applyBorder="1" applyAlignment="1"/>
    <xf numFmtId="43" fontId="16" fillId="0" borderId="0" xfId="2" applyFont="1"/>
    <xf numFmtId="43" fontId="21" fillId="0" borderId="0" xfId="2" applyFont="1"/>
    <xf numFmtId="10" fontId="0" fillId="5" borderId="1" xfId="2" applyNumberFormat="1" applyFont="1" applyFill="1" applyBorder="1" applyAlignment="1">
      <alignment horizontal="right"/>
    </xf>
    <xf numFmtId="10" fontId="0" fillId="0" borderId="1" xfId="2" applyNumberFormat="1" applyFont="1" applyFill="1" applyBorder="1" applyAlignment="1">
      <alignment horizontal="right"/>
    </xf>
    <xf numFmtId="0" fontId="6" fillId="0" borderId="0" xfId="0" applyFont="1" applyBorder="1" applyAlignment="1">
      <alignment vertical="center"/>
    </xf>
    <xf numFmtId="168" fontId="11" fillId="0" borderId="0" xfId="3" applyNumberFormat="1" applyFont="1" applyFill="1" applyBorder="1" applyAlignment="1">
      <alignment horizontal="center" vertical="center"/>
    </xf>
    <xf numFmtId="167" fontId="18" fillId="0" borderId="1" xfId="2" applyNumberFormat="1" applyFont="1" applyFill="1" applyBorder="1" applyAlignment="1">
      <alignment horizontal="center" vertical="center"/>
    </xf>
    <xf numFmtId="167" fontId="0" fillId="0" borderId="0" xfId="0" applyNumberFormat="1"/>
    <xf numFmtId="10" fontId="0" fillId="0" borderId="0" xfId="2" applyNumberFormat="1" applyFont="1" applyFill="1" applyBorder="1" applyAlignment="1">
      <alignment horizontal="right"/>
    </xf>
    <xf numFmtId="167" fontId="11" fillId="0" borderId="1" xfId="3" applyNumberFormat="1" applyFont="1" applyFill="1" applyBorder="1" applyAlignment="1">
      <alignment horizontal="center" vertical="center"/>
    </xf>
    <xf numFmtId="0" fontId="11" fillId="0" borderId="1" xfId="3" applyNumberFormat="1" applyFont="1" applyFill="1" applyBorder="1" applyAlignment="1">
      <alignment horizontal="center" vertical="center"/>
    </xf>
    <xf numFmtId="0" fontId="6" fillId="0" borderId="0" xfId="0" applyNumberFormat="1" applyFont="1" applyBorder="1" applyAlignment="1">
      <alignment vertical="center" wrapText="1"/>
    </xf>
    <xf numFmtId="9" fontId="6" fillId="0" borderId="1" xfId="3" applyFont="1" applyFill="1" applyBorder="1" applyAlignment="1">
      <alignment horizontal="center" vertical="center" wrapText="1"/>
    </xf>
    <xf numFmtId="9" fontId="6" fillId="0" borderId="0" xfId="3" applyFont="1" applyBorder="1" applyAlignment="1">
      <alignment horizontal="center" vertical="center" wrapText="1"/>
    </xf>
    <xf numFmtId="164" fontId="18" fillId="0" borderId="0" xfId="2" applyNumberFormat="1" applyFont="1" applyFill="1" applyBorder="1" applyAlignment="1">
      <alignment horizontal="center" vertical="center" wrapText="1"/>
    </xf>
    <xf numFmtId="43" fontId="5" fillId="3" borderId="2" xfId="2" applyFont="1" applyFill="1" applyBorder="1"/>
    <xf numFmtId="43" fontId="3" fillId="3" borderId="2" xfId="2" applyFont="1" applyFill="1" applyBorder="1"/>
    <xf numFmtId="9" fontId="0" fillId="0" borderId="1" xfId="2" applyNumberFormat="1" applyFont="1" applyFill="1" applyBorder="1" applyAlignment="1">
      <alignment horizontal="right"/>
    </xf>
    <xf numFmtId="178" fontId="28" fillId="0" borderId="0" xfId="0" applyNumberFormat="1" applyFont="1" applyAlignment="1"/>
    <xf numFmtId="43" fontId="3" fillId="5" borderId="1" xfId="2" applyFont="1" applyFill="1" applyBorder="1" applyAlignment="1">
      <alignment horizontal="right"/>
    </xf>
    <xf numFmtId="0" fontId="11" fillId="0" borderId="0" xfId="3" applyNumberFormat="1" applyFont="1" applyFill="1" applyBorder="1" applyAlignment="1">
      <alignment horizontal="center" vertical="center" wrapText="1"/>
    </xf>
    <xf numFmtId="167" fontId="11" fillId="0" borderId="0" xfId="3" applyNumberFormat="1" applyFont="1" applyFill="1" applyBorder="1" applyAlignment="1">
      <alignment horizontal="center" vertical="center"/>
    </xf>
    <xf numFmtId="2" fontId="29" fillId="0" borderId="0" xfId="0" applyNumberFormat="1" applyFont="1"/>
    <xf numFmtId="0" fontId="11" fillId="0" borderId="1" xfId="3" applyNumberFormat="1" applyFont="1" applyFill="1" applyBorder="1" applyAlignment="1">
      <alignment vertical="center" wrapText="1"/>
    </xf>
    <xf numFmtId="0" fontId="18" fillId="0" borderId="1" xfId="3" applyNumberFormat="1" applyFont="1" applyFill="1" applyBorder="1" applyAlignment="1">
      <alignment horizontal="center" vertical="center" wrapText="1"/>
    </xf>
    <xf numFmtId="167" fontId="18" fillId="0" borderId="1" xfId="3" applyNumberFormat="1" applyFont="1" applyFill="1" applyBorder="1" applyAlignment="1">
      <alignment horizontal="center" vertical="center"/>
    </xf>
    <xf numFmtId="180" fontId="28" fillId="0" borderId="0" xfId="0" applyNumberFormat="1" applyFont="1" applyAlignment="1">
      <alignment horizontal="right"/>
    </xf>
    <xf numFmtId="43" fontId="0" fillId="0" borderId="2" xfId="2" applyFont="1" applyFill="1" applyBorder="1" applyAlignment="1">
      <alignment wrapText="1"/>
    </xf>
    <xf numFmtId="43" fontId="28" fillId="0" borderId="0" xfId="2" applyFont="1" applyBorder="1" applyAlignment="1">
      <alignment vertical="center"/>
    </xf>
    <xf numFmtId="9" fontId="4" fillId="0" borderId="1" xfId="3" applyFont="1" applyBorder="1" applyAlignment="1">
      <alignment vertical="center" wrapText="1"/>
    </xf>
    <xf numFmtId="9" fontId="37" fillId="0" borderId="0" xfId="3" applyFont="1"/>
    <xf numFmtId="9" fontId="0" fillId="0" borderId="0" xfId="3" applyFont="1" applyBorder="1" applyAlignment="1">
      <alignment horizontal="right"/>
    </xf>
    <xf numFmtId="178" fontId="29" fillId="0" borderId="0" xfId="0" applyNumberFormat="1" applyFont="1" applyAlignment="1"/>
    <xf numFmtId="167" fontId="11" fillId="5" borderId="1" xfId="3" applyNumberFormat="1" applyFont="1" applyFill="1" applyBorder="1" applyAlignment="1">
      <alignment horizontal="center" vertical="center"/>
    </xf>
    <xf numFmtId="9" fontId="3" fillId="0" borderId="0" xfId="3" applyFont="1"/>
    <xf numFmtId="166" fontId="3" fillId="0" borderId="0" xfId="2" applyNumberFormat="1" applyFont="1" applyFill="1" applyBorder="1" applyAlignment="1">
      <alignment horizontal="center" vertical="center" wrapText="1"/>
    </xf>
    <xf numFmtId="166" fontId="4" fillId="0" borderId="0" xfId="2" applyNumberFormat="1" applyFont="1" applyFill="1" applyBorder="1" applyAlignment="1">
      <alignment horizontal="center" vertical="center" wrapText="1"/>
    </xf>
    <xf numFmtId="9" fontId="5" fillId="0" borderId="0" xfId="3" applyFont="1" applyFill="1" applyBorder="1" applyAlignment="1">
      <alignment horizontal="center" vertical="center" wrapText="1"/>
    </xf>
    <xf numFmtId="9" fontId="3" fillId="0" borderId="0" xfId="3" applyFont="1" applyFill="1" applyBorder="1" applyAlignment="1">
      <alignment horizontal="center" vertical="center" wrapText="1"/>
    </xf>
    <xf numFmtId="43" fontId="0" fillId="5" borderId="1" xfId="2" applyFont="1" applyFill="1" applyBorder="1" applyAlignment="1">
      <alignment vertical="center"/>
    </xf>
    <xf numFmtId="43" fontId="0" fillId="0" borderId="1" xfId="2" applyFont="1" applyFill="1" applyBorder="1" applyAlignment="1"/>
    <xf numFmtId="43" fontId="23" fillId="0" borderId="0" xfId="2" applyFont="1" applyFill="1" applyBorder="1" applyAlignment="1">
      <alignment horizontal="left" vertical="top"/>
    </xf>
    <xf numFmtId="168" fontId="0" fillId="5" borderId="1" xfId="2" applyNumberFormat="1" applyFont="1" applyFill="1" applyBorder="1" applyAlignment="1">
      <alignment horizontal="center"/>
    </xf>
    <xf numFmtId="0" fontId="0" fillId="0" borderId="1" xfId="0" applyFont="1" applyFill="1" applyBorder="1" applyAlignment="1"/>
    <xf numFmtId="0" fontId="0" fillId="3" borderId="1" xfId="0" applyFont="1" applyFill="1" applyBorder="1" applyAlignment="1">
      <alignment horizontal="left" vertical="center" wrapText="1"/>
    </xf>
    <xf numFmtId="0" fontId="0" fillId="0" borderId="1" xfId="0" applyFont="1" applyFill="1" applyBorder="1" applyAlignment="1">
      <alignment horizontal="left" vertical="center" wrapText="1"/>
    </xf>
    <xf numFmtId="9" fontId="3" fillId="0" borderId="1" xfId="2" applyNumberFormat="1" applyFont="1" applyFill="1" applyBorder="1" applyAlignment="1">
      <alignment horizontal="center"/>
    </xf>
    <xf numFmtId="0" fontId="0" fillId="0" borderId="0" xfId="0" applyFont="1" applyFill="1" applyBorder="1" applyAlignment="1">
      <alignment horizontal="left" vertical="center" wrapText="1"/>
    </xf>
    <xf numFmtId="9" fontId="3" fillId="0" borderId="0" xfId="2" applyNumberFormat="1" applyFont="1" applyFill="1" applyBorder="1" applyAlignment="1">
      <alignment horizontal="center"/>
    </xf>
    <xf numFmtId="43" fontId="3" fillId="0" borderId="0" xfId="2" applyFont="1" applyFill="1" applyBorder="1" applyAlignment="1">
      <alignment horizontal="right"/>
    </xf>
    <xf numFmtId="0" fontId="8" fillId="3" borderId="1" xfId="0" applyFont="1" applyFill="1" applyBorder="1" applyAlignment="1">
      <alignment wrapText="1"/>
    </xf>
    <xf numFmtId="9" fontId="0" fillId="3" borderId="1" xfId="3" applyFont="1" applyFill="1" applyBorder="1" applyAlignment="1">
      <alignment wrapText="1"/>
    </xf>
    <xf numFmtId="9" fontId="6" fillId="5" borderId="1" xfId="3" applyFont="1" applyFill="1" applyBorder="1" applyAlignment="1">
      <alignment horizontal="center" vertical="center" wrapText="1"/>
    </xf>
    <xf numFmtId="165" fontId="22" fillId="0" borderId="1" xfId="2" applyNumberFormat="1" applyFont="1" applyFill="1" applyBorder="1" applyAlignment="1">
      <alignment horizontal="center" vertical="center" wrapText="1"/>
    </xf>
    <xf numFmtId="0" fontId="43" fillId="0" borderId="0" xfId="0" applyFont="1" applyBorder="1" applyAlignment="1">
      <alignment vertical="center"/>
    </xf>
    <xf numFmtId="0" fontId="18" fillId="0" borderId="0" xfId="0" applyFont="1"/>
    <xf numFmtId="170" fontId="16" fillId="0" borderId="0" xfId="0" applyNumberFormat="1" applyFont="1"/>
    <xf numFmtId="170" fontId="0" fillId="0" borderId="1" xfId="2" applyNumberFormat="1" applyFont="1" applyFill="1" applyBorder="1" applyAlignment="1">
      <alignment horizontal="center"/>
    </xf>
    <xf numFmtId="9" fontId="5" fillId="0" borderId="1" xfId="2" applyNumberFormat="1" applyFont="1" applyFill="1" applyBorder="1" applyAlignment="1">
      <alignment horizontal="center"/>
    </xf>
    <xf numFmtId="43" fontId="0" fillId="0" borderId="0" xfId="2" applyFont="1" applyFill="1" applyBorder="1" applyAlignment="1">
      <alignment wrapText="1"/>
    </xf>
    <xf numFmtId="43" fontId="5" fillId="0" borderId="2" xfId="2" applyFont="1" applyFill="1" applyBorder="1" applyAlignment="1">
      <alignment wrapText="1"/>
    </xf>
    <xf numFmtId="172" fontId="0" fillId="0" borderId="0" xfId="0" applyNumberFormat="1"/>
    <xf numFmtId="43" fontId="3" fillId="0" borderId="0" xfId="2" applyFont="1" applyFill="1" applyBorder="1" applyAlignment="1"/>
    <xf numFmtId="43" fontId="3" fillId="0" borderId="2" xfId="2" applyFont="1" applyFill="1" applyBorder="1"/>
    <xf numFmtId="43" fontId="3" fillId="0" borderId="0" xfId="2" applyFont="1" applyFill="1" applyBorder="1"/>
    <xf numFmtId="9" fontId="5" fillId="0" borderId="0" xfId="2" applyNumberFormat="1" applyFont="1" applyFill="1" applyBorder="1" applyAlignment="1">
      <alignment horizontal="center"/>
    </xf>
    <xf numFmtId="43" fontId="5" fillId="0" borderId="0" xfId="2" applyFont="1" applyFill="1" applyBorder="1" applyAlignment="1">
      <alignment wrapText="1"/>
    </xf>
    <xf numFmtId="9" fontId="6" fillId="5" borderId="1" xfId="2" applyNumberFormat="1" applyFont="1" applyFill="1" applyBorder="1" applyAlignment="1">
      <alignment horizontal="center" vertical="center" wrapText="1"/>
    </xf>
    <xf numFmtId="10" fontId="0" fillId="5" borderId="1" xfId="0" applyNumberFormat="1" applyFill="1" applyBorder="1" applyAlignment="1">
      <alignment wrapText="1"/>
    </xf>
    <xf numFmtId="9" fontId="5" fillId="0" borderId="2" xfId="3" applyFont="1" applyFill="1" applyBorder="1"/>
    <xf numFmtId="0" fontId="5" fillId="0" borderId="1" xfId="0" applyFont="1" applyFill="1" applyBorder="1" applyAlignment="1"/>
    <xf numFmtId="0" fontId="0" fillId="0" borderId="1" xfId="0" applyNumberFormat="1" applyFont="1" applyFill="1" applyBorder="1" applyAlignment="1"/>
    <xf numFmtId="9" fontId="0" fillId="0" borderId="1" xfId="0" applyNumberFormat="1" applyFont="1" applyFill="1" applyBorder="1" applyAlignment="1"/>
    <xf numFmtId="10" fontId="0" fillId="0" borderId="1" xfId="0" applyNumberFormat="1" applyFont="1" applyFill="1" applyBorder="1" applyAlignment="1"/>
    <xf numFmtId="0" fontId="0" fillId="5" borderId="1" xfId="0" applyNumberFormat="1" applyFont="1" applyFill="1" applyBorder="1" applyAlignment="1"/>
    <xf numFmtId="6" fontId="0" fillId="5" borderId="1" xfId="0" applyNumberFormat="1" applyFont="1" applyFill="1" applyBorder="1" applyAlignment="1"/>
    <xf numFmtId="6" fontId="0" fillId="0" borderId="1" xfId="0" applyNumberFormat="1" applyFont="1" applyFill="1" applyBorder="1" applyAlignment="1"/>
    <xf numFmtId="8" fontId="0" fillId="0" borderId="1" xfId="0" applyNumberFormat="1" applyFont="1" applyFill="1" applyBorder="1" applyAlignment="1"/>
    <xf numFmtId="8" fontId="0" fillId="0" borderId="0" xfId="0" applyNumberFormat="1" applyFont="1" applyFill="1" applyBorder="1" applyAlignment="1"/>
    <xf numFmtId="168" fontId="0" fillId="0" borderId="1" xfId="2" applyNumberFormat="1" applyFont="1" applyFill="1" applyBorder="1" applyAlignment="1"/>
    <xf numFmtId="166" fontId="0" fillId="0" borderId="1" xfId="3" applyNumberFormat="1" applyFont="1" applyFill="1" applyBorder="1" applyAlignment="1"/>
    <xf numFmtId="166" fontId="5" fillId="0" borderId="1" xfId="3" applyNumberFormat="1" applyFont="1" applyFill="1" applyBorder="1" applyAlignment="1"/>
    <xf numFmtId="168" fontId="0" fillId="0" borderId="1" xfId="0" applyNumberFormat="1" applyFont="1" applyFill="1" applyBorder="1" applyAlignment="1"/>
    <xf numFmtId="10" fontId="0" fillId="0" borderId="0" xfId="2" applyNumberFormat="1" applyFont="1" applyFill="1" applyBorder="1" applyAlignment="1">
      <alignment horizontal="center"/>
    </xf>
    <xf numFmtId="0" fontId="28" fillId="0" borderId="0" xfId="0" applyFont="1" applyFill="1" applyBorder="1" applyAlignment="1"/>
    <xf numFmtId="6" fontId="0" fillId="0" borderId="0" xfId="0" applyNumberFormat="1" applyFont="1" applyFill="1" applyBorder="1" applyAlignment="1"/>
    <xf numFmtId="6" fontId="5" fillId="0" borderId="1" xfId="0" applyNumberFormat="1" applyFont="1" applyFill="1" applyBorder="1" applyAlignment="1"/>
    <xf numFmtId="168" fontId="0" fillId="5" borderId="1" xfId="2" applyNumberFormat="1" applyFont="1" applyFill="1" applyBorder="1" applyAlignment="1"/>
    <xf numFmtId="0" fontId="0" fillId="3" borderId="1" xfId="0" applyFont="1" applyFill="1" applyBorder="1" applyAlignment="1">
      <alignment horizontal="center" wrapText="1"/>
    </xf>
    <xf numFmtId="168" fontId="0" fillId="0" borderId="1" xfId="2" applyNumberFormat="1" applyFont="1" applyFill="1" applyBorder="1" applyAlignment="1">
      <alignment horizontal="center"/>
    </xf>
    <xf numFmtId="9" fontId="0" fillId="5" borderId="1" xfId="0" applyNumberFormat="1" applyFont="1" applyFill="1" applyBorder="1" applyAlignment="1">
      <alignment horizontal="center"/>
    </xf>
    <xf numFmtId="166" fontId="0" fillId="0" borderId="1" xfId="2" applyNumberFormat="1" applyFont="1" applyFill="1" applyBorder="1" applyAlignment="1">
      <alignment horizontal="center"/>
    </xf>
    <xf numFmtId="168" fontId="0" fillId="0" borderId="0" xfId="2" applyNumberFormat="1" applyFont="1" applyFill="1" applyBorder="1" applyAlignment="1">
      <alignment horizontal="center"/>
    </xf>
    <xf numFmtId="43" fontId="0" fillId="5" borderId="1" xfId="2" applyFont="1" applyFill="1" applyBorder="1" applyAlignment="1">
      <alignment horizontal="center"/>
    </xf>
    <xf numFmtId="9" fontId="0" fillId="5" borderId="1" xfId="3" applyFont="1" applyFill="1" applyBorder="1" applyAlignment="1">
      <alignment horizontal="center"/>
    </xf>
    <xf numFmtId="9" fontId="0" fillId="0" borderId="1" xfId="2" applyNumberFormat="1" applyFont="1" applyFill="1" applyBorder="1" applyAlignment="1">
      <alignment horizontal="center"/>
    </xf>
    <xf numFmtId="166" fontId="5" fillId="0" borderId="1" xfId="2" applyNumberFormat="1" applyFont="1" applyFill="1" applyBorder="1" applyAlignment="1">
      <alignment horizontal="center"/>
    </xf>
    <xf numFmtId="164" fontId="5" fillId="0" borderId="1" xfId="0" applyNumberFormat="1" applyFont="1" applyFill="1" applyBorder="1" applyAlignment="1"/>
    <xf numFmtId="164" fontId="0" fillId="0" borderId="1" xfId="0" applyNumberFormat="1" applyFont="1" applyFill="1" applyBorder="1" applyAlignment="1"/>
    <xf numFmtId="166" fontId="5" fillId="0" borderId="0" xfId="2" applyNumberFormat="1" applyFont="1" applyFill="1" applyBorder="1" applyAlignment="1">
      <alignment horizontal="center"/>
    </xf>
    <xf numFmtId="178" fontId="45" fillId="0" borderId="0" xfId="0" applyNumberFormat="1" applyFont="1"/>
    <xf numFmtId="9" fontId="0" fillId="0" borderId="0" xfId="2" applyNumberFormat="1" applyFont="1"/>
    <xf numFmtId="164" fontId="0" fillId="0" borderId="1" xfId="2" applyNumberFormat="1" applyFont="1" applyFill="1" applyBorder="1" applyAlignment="1">
      <alignment horizontal="center"/>
    </xf>
    <xf numFmtId="9" fontId="6" fillId="0" borderId="1" xfId="0" applyNumberFormat="1" applyFont="1" applyBorder="1" applyAlignment="1">
      <alignment vertical="center" wrapText="1"/>
    </xf>
    <xf numFmtId="0" fontId="45" fillId="0" borderId="0" xfId="0" applyFont="1"/>
    <xf numFmtId="9" fontId="0" fillId="5" borderId="1" xfId="3" applyNumberFormat="1" applyFont="1" applyFill="1" applyBorder="1"/>
    <xf numFmtId="0" fontId="39" fillId="8" borderId="11" xfId="0" applyFont="1" applyFill="1" applyBorder="1" applyAlignment="1">
      <alignment vertical="top" wrapText="1"/>
    </xf>
    <xf numFmtId="0" fontId="0" fillId="8" borderId="11" xfId="0" applyFill="1" applyBorder="1" applyAlignment="1">
      <alignment vertical="top" wrapText="1"/>
    </xf>
    <xf numFmtId="0" fontId="38" fillId="8" borderId="12" xfId="0" applyFont="1" applyFill="1" applyBorder="1" applyAlignment="1">
      <alignment vertical="top" wrapText="1"/>
    </xf>
    <xf numFmtId="0" fontId="38" fillId="8" borderId="0" xfId="0" applyFont="1" applyFill="1" applyBorder="1" applyAlignment="1">
      <alignment vertical="top" wrapText="1"/>
    </xf>
    <xf numFmtId="0" fontId="38" fillId="8" borderId="13" xfId="0" applyFont="1" applyFill="1" applyBorder="1" applyAlignment="1">
      <alignment vertical="top" wrapText="1"/>
    </xf>
    <xf numFmtId="0" fontId="38" fillId="8" borderId="14" xfId="0" applyFont="1" applyFill="1" applyBorder="1" applyAlignment="1">
      <alignment vertical="top" wrapText="1"/>
    </xf>
    <xf numFmtId="0" fontId="2" fillId="8" borderId="10" xfId="1" applyFill="1" applyBorder="1" applyAlignment="1">
      <alignment vertical="top" wrapText="1"/>
    </xf>
    <xf numFmtId="0" fontId="38" fillId="8" borderId="11" xfId="0" applyFont="1" applyFill="1" applyBorder="1" applyAlignment="1">
      <alignment vertical="top" wrapText="1"/>
    </xf>
    <xf numFmtId="0" fontId="39" fillId="8" borderId="12" xfId="0" applyFont="1" applyFill="1" applyBorder="1" applyAlignment="1">
      <alignment vertical="top" wrapText="1"/>
    </xf>
    <xf numFmtId="0" fontId="39" fillId="8" borderId="13" xfId="0" applyFont="1" applyFill="1" applyBorder="1" applyAlignment="1">
      <alignment vertical="top" wrapText="1"/>
    </xf>
    <xf numFmtId="0" fontId="43" fillId="0" borderId="0" xfId="0" applyFont="1" applyFill="1" applyBorder="1" applyAlignment="1">
      <alignment vertical="center"/>
    </xf>
    <xf numFmtId="9" fontId="0" fillId="0" borderId="0" xfId="2" applyNumberFormat="1" applyFont="1" applyFill="1" applyBorder="1" applyAlignment="1">
      <alignment horizontal="center"/>
    </xf>
    <xf numFmtId="164" fontId="0" fillId="5" borderId="1" xfId="2" applyNumberFormat="1" applyFont="1" applyFill="1" applyBorder="1" applyAlignment="1">
      <alignment horizontal="center"/>
    </xf>
    <xf numFmtId="168" fontId="0" fillId="0" borderId="0" xfId="2" applyNumberFormat="1" applyFont="1" applyFill="1" applyBorder="1" applyAlignment="1"/>
    <xf numFmtId="0" fontId="0" fillId="0" borderId="0" xfId="0" applyFont="1" applyFill="1" applyBorder="1" applyAlignment="1">
      <alignment wrapText="1"/>
    </xf>
    <xf numFmtId="0" fontId="0" fillId="0" borderId="0" xfId="0" applyNumberFormat="1" applyFont="1" applyFill="1" applyBorder="1" applyAlignment="1"/>
    <xf numFmtId="173" fontId="0" fillId="0" borderId="1" xfId="0" applyNumberFormat="1" applyFont="1" applyFill="1" applyBorder="1" applyAlignment="1"/>
    <xf numFmtId="9" fontId="0" fillId="0" borderId="1" xfId="3" applyFont="1" applyFill="1" applyBorder="1" applyAlignment="1"/>
    <xf numFmtId="166" fontId="0" fillId="0" borderId="0" xfId="3" applyNumberFormat="1" applyFont="1" applyFill="1" applyBorder="1" applyAlignment="1"/>
    <xf numFmtId="9" fontId="0" fillId="5" borderId="1" xfId="3" applyFont="1" applyFill="1" applyBorder="1" applyAlignment="1"/>
    <xf numFmtId="9" fontId="0" fillId="0" borderId="0" xfId="0" applyNumberFormat="1" applyFont="1" applyFill="1" applyBorder="1" applyAlignment="1"/>
    <xf numFmtId="173" fontId="0" fillId="0" borderId="0" xfId="0" applyNumberFormat="1" applyFont="1" applyFill="1" applyBorder="1" applyAlignment="1"/>
    <xf numFmtId="166" fontId="5" fillId="0" borderId="0" xfId="3" applyNumberFormat="1" applyFont="1" applyFill="1" applyBorder="1" applyAlignment="1"/>
    <xf numFmtId="10" fontId="11" fillId="0" borderId="0" xfId="3" applyNumberFormat="1" applyFont="1" applyFill="1" applyBorder="1" applyAlignment="1">
      <alignment vertical="center" wrapText="1"/>
    </xf>
    <xf numFmtId="181" fontId="0" fillId="0" borderId="0" xfId="0" applyNumberFormat="1"/>
    <xf numFmtId="165" fontId="11" fillId="0" borderId="0" xfId="2" applyNumberFormat="1" applyFont="1" applyFill="1" applyBorder="1" applyAlignment="1">
      <alignment horizontal="center" vertical="center" wrapText="1"/>
    </xf>
    <xf numFmtId="0" fontId="0" fillId="12" borderId="1" xfId="0" applyFont="1" applyFill="1" applyBorder="1"/>
    <xf numFmtId="0" fontId="0" fillId="0" borderId="1" xfId="2" applyNumberFormat="1" applyFont="1" applyFill="1" applyBorder="1" applyAlignment="1">
      <alignment horizontal="center"/>
    </xf>
    <xf numFmtId="10" fontId="5" fillId="0" borderId="0" xfId="3" applyNumberFormat="1" applyFont="1"/>
    <xf numFmtId="10" fontId="7" fillId="0" borderId="1" xfId="3" applyNumberFormat="1" applyFont="1" applyBorder="1" applyAlignment="1">
      <alignment vertical="center" wrapText="1"/>
    </xf>
    <xf numFmtId="10" fontId="18" fillId="0" borderId="1" xfId="3" applyNumberFormat="1" applyFont="1" applyFill="1" applyBorder="1" applyAlignment="1">
      <alignment horizontal="center" vertical="center"/>
    </xf>
    <xf numFmtId="169" fontId="11" fillId="0" borderId="1" xfId="3" applyNumberFormat="1" applyFont="1" applyFill="1" applyBorder="1" applyAlignment="1">
      <alignment horizontal="center" vertical="center"/>
    </xf>
    <xf numFmtId="10" fontId="6" fillId="0" borderId="1" xfId="3" applyNumberFormat="1" applyFont="1" applyBorder="1" applyAlignment="1">
      <alignment vertical="center"/>
    </xf>
    <xf numFmtId="0" fontId="0" fillId="12" borderId="1" xfId="0" applyFont="1" applyFill="1" applyBorder="1" applyAlignment="1">
      <alignment horizontal="left" vertical="top" wrapText="1"/>
    </xf>
    <xf numFmtId="0" fontId="0" fillId="12" borderId="1" xfId="0" applyFont="1" applyFill="1" applyBorder="1" applyAlignment="1">
      <alignment vertical="top" wrapText="1"/>
    </xf>
    <xf numFmtId="9" fontId="11" fillId="0" borderId="0" xfId="3" applyFont="1" applyFill="1" applyBorder="1" applyAlignment="1">
      <alignment horizontal="center" vertical="center"/>
    </xf>
    <xf numFmtId="170" fontId="11" fillId="0" borderId="0" xfId="3" applyNumberFormat="1" applyFont="1" applyFill="1" applyBorder="1" applyAlignment="1">
      <alignment horizontal="center" vertical="center"/>
    </xf>
    <xf numFmtId="168" fontId="22" fillId="0" borderId="1" xfId="2" applyNumberFormat="1" applyFont="1" applyFill="1" applyBorder="1" applyAlignment="1">
      <alignment horizontal="center" vertical="center"/>
    </xf>
    <xf numFmtId="9" fontId="28" fillId="0" borderId="0" xfId="3" applyFont="1" applyFill="1" applyBorder="1" applyAlignment="1">
      <alignment horizontal="center" vertical="center"/>
    </xf>
    <xf numFmtId="174" fontId="18" fillId="0" borderId="0" xfId="3" applyNumberFormat="1" applyFont="1" applyFill="1" applyBorder="1" applyAlignment="1">
      <alignment horizontal="center" vertical="center"/>
    </xf>
    <xf numFmtId="0" fontId="0" fillId="13" borderId="1" xfId="0" applyFont="1" applyFill="1" applyBorder="1" applyAlignment="1"/>
    <xf numFmtId="168" fontId="18" fillId="6" borderId="1" xfId="2" applyNumberFormat="1" applyFont="1" applyFill="1" applyBorder="1" applyAlignment="1">
      <alignment horizontal="center" vertical="center"/>
    </xf>
    <xf numFmtId="168" fontId="11" fillId="6" borderId="1" xfId="2" applyNumberFormat="1" applyFont="1" applyFill="1" applyBorder="1" applyAlignment="1">
      <alignment horizontal="center" vertical="center"/>
    </xf>
    <xf numFmtId="9" fontId="6" fillId="12" borderId="1" xfId="3" applyFont="1" applyFill="1" applyBorder="1" applyAlignment="1">
      <alignment vertical="center" wrapText="1"/>
    </xf>
    <xf numFmtId="170" fontId="6" fillId="0" borderId="0" xfId="3" applyNumberFormat="1" applyFont="1" applyBorder="1" applyAlignment="1">
      <alignment vertical="center"/>
    </xf>
    <xf numFmtId="9" fontId="6" fillId="0" borderId="0" xfId="3" applyFont="1" applyFill="1" applyBorder="1" applyAlignment="1">
      <alignment horizontal="center" vertical="center" wrapText="1"/>
    </xf>
    <xf numFmtId="170" fontId="23" fillId="0" borderId="0" xfId="3" applyNumberFormat="1" applyFont="1" applyFill="1" applyBorder="1" applyAlignment="1">
      <alignment horizontal="center" vertical="center"/>
    </xf>
    <xf numFmtId="9" fontId="0" fillId="12" borderId="1" xfId="3" applyFont="1" applyFill="1" applyBorder="1" applyAlignment="1"/>
    <xf numFmtId="43" fontId="3" fillId="12" borderId="2" xfId="2" applyFont="1" applyFill="1" applyBorder="1"/>
    <xf numFmtId="43" fontId="0" fillId="12" borderId="2" xfId="2" applyFont="1" applyFill="1" applyBorder="1"/>
    <xf numFmtId="43" fontId="5" fillId="12" borderId="2" xfId="2" applyFont="1" applyFill="1" applyBorder="1"/>
    <xf numFmtId="0" fontId="0" fillId="12" borderId="0" xfId="0" applyFont="1" applyFill="1"/>
    <xf numFmtId="43" fontId="7" fillId="0" borderId="0" xfId="0" applyNumberFormat="1" applyFont="1" applyBorder="1" applyAlignment="1">
      <alignment vertical="center" wrapText="1"/>
    </xf>
    <xf numFmtId="173" fontId="11" fillId="0" borderId="3" xfId="0" applyNumberFormat="1" applyFont="1" applyFill="1" applyBorder="1" applyAlignment="1">
      <alignment vertical="center" wrapText="1"/>
    </xf>
    <xf numFmtId="173" fontId="11" fillId="0" borderId="15" xfId="0" applyNumberFormat="1" applyFont="1" applyFill="1" applyBorder="1" applyAlignment="1">
      <alignment vertical="center" wrapText="1"/>
    </xf>
    <xf numFmtId="9" fontId="6" fillId="12" borderId="1" xfId="0" applyNumberFormat="1" applyFont="1" applyFill="1" applyBorder="1" applyAlignment="1">
      <alignment vertical="center" wrapText="1"/>
    </xf>
    <xf numFmtId="0" fontId="5" fillId="12" borderId="1" xfId="0" applyFont="1" applyFill="1" applyBorder="1" applyAlignment="1">
      <alignment wrapText="1"/>
    </xf>
    <xf numFmtId="170" fontId="0" fillId="0" borderId="0" xfId="2" applyNumberFormat="1" applyFont="1" applyFill="1" applyBorder="1" applyAlignment="1">
      <alignment horizontal="center"/>
    </xf>
    <xf numFmtId="0" fontId="0" fillId="0" borderId="0" xfId="2" applyNumberFormat="1" applyFont="1" applyFill="1" applyBorder="1" applyAlignment="1">
      <alignment horizontal="center"/>
    </xf>
    <xf numFmtId="164" fontId="0" fillId="0" borderId="1" xfId="2" applyNumberFormat="1" applyFont="1" applyFill="1" applyBorder="1" applyAlignment="1"/>
    <xf numFmtId="164" fontId="5" fillId="0" borderId="1" xfId="2" applyNumberFormat="1" applyFont="1" applyFill="1" applyBorder="1" applyAlignment="1"/>
    <xf numFmtId="166" fontId="0" fillId="0" borderId="1" xfId="0" applyNumberFormat="1" applyFont="1" applyFill="1" applyBorder="1" applyAlignment="1"/>
    <xf numFmtId="164" fontId="5" fillId="0" borderId="1" xfId="3" applyNumberFormat="1" applyFont="1" applyFill="1" applyBorder="1" applyAlignment="1"/>
    <xf numFmtId="165" fontId="0" fillId="0" borderId="1" xfId="2" applyNumberFormat="1" applyFont="1" applyFill="1" applyBorder="1" applyAlignment="1">
      <alignment horizontal="center"/>
    </xf>
    <xf numFmtId="166" fontId="0" fillId="0" borderId="1" xfId="2" applyNumberFormat="1" applyFont="1" applyFill="1" applyBorder="1" applyAlignment="1"/>
    <xf numFmtId="0" fontId="5" fillId="0" borderId="1" xfId="0" applyFont="1" applyFill="1" applyBorder="1" applyAlignment="1">
      <alignment horizontal="center"/>
    </xf>
    <xf numFmtId="165" fontId="5" fillId="0" borderId="1" xfId="2" applyNumberFormat="1" applyFont="1" applyFill="1" applyBorder="1" applyAlignment="1"/>
    <xf numFmtId="10" fontId="11" fillId="0" borderId="1" xfId="3" applyNumberFormat="1" applyFont="1" applyFill="1" applyBorder="1" applyAlignment="1">
      <alignment horizontal="center" vertical="center" wrapText="1"/>
    </xf>
    <xf numFmtId="9" fontId="18" fillId="0" borderId="0" xfId="3" applyFont="1" applyFill="1" applyBorder="1" applyAlignment="1">
      <alignment horizontal="center" vertical="center" wrapText="1"/>
    </xf>
    <xf numFmtId="171" fontId="14" fillId="0" borderId="0" xfId="0" applyNumberFormat="1" applyFont="1"/>
    <xf numFmtId="10" fontId="18" fillId="0" borderId="0" xfId="3" applyNumberFormat="1" applyFont="1" applyFill="1" applyBorder="1" applyAlignment="1">
      <alignment horizontal="center" vertical="center"/>
    </xf>
    <xf numFmtId="169" fontId="18" fillId="0" borderId="0" xfId="3" applyNumberFormat="1" applyFont="1" applyFill="1" applyBorder="1" applyAlignment="1">
      <alignment horizontal="center" vertical="center"/>
    </xf>
    <xf numFmtId="10" fontId="11" fillId="0" borderId="1" xfId="3" applyNumberFormat="1" applyFont="1" applyFill="1" applyBorder="1" applyAlignment="1">
      <alignment horizontal="center" vertical="center"/>
    </xf>
    <xf numFmtId="10" fontId="11" fillId="0" borderId="0" xfId="3" applyNumberFormat="1" applyFont="1" applyFill="1" applyBorder="1" applyAlignment="1">
      <alignment horizontal="center" vertical="center"/>
    </xf>
    <xf numFmtId="9" fontId="5" fillId="0" borderId="0" xfId="3" applyFont="1"/>
    <xf numFmtId="10" fontId="7" fillId="0" borderId="0" xfId="3" applyNumberFormat="1" applyFont="1" applyBorder="1" applyAlignment="1">
      <alignment vertical="center" wrapText="1"/>
    </xf>
    <xf numFmtId="0" fontId="22" fillId="0" borderId="1" xfId="0" applyFont="1" applyFill="1" applyBorder="1" applyAlignment="1">
      <alignment horizontal="center"/>
    </xf>
    <xf numFmtId="9" fontId="18" fillId="0" borderId="1" xfId="3" applyFont="1" applyFill="1" applyBorder="1" applyAlignment="1">
      <alignment horizontal="center" vertical="center" wrapText="1"/>
    </xf>
    <xf numFmtId="166" fontId="11" fillId="0" borderId="1" xfId="2" applyNumberFormat="1" applyFont="1" applyFill="1" applyBorder="1" applyAlignment="1">
      <alignment vertical="center" wrapText="1"/>
    </xf>
    <xf numFmtId="166" fontId="22" fillId="0" borderId="0" xfId="2" applyNumberFormat="1" applyFont="1" applyFill="1" applyBorder="1" applyAlignment="1">
      <alignment horizontal="center" vertical="center" wrapText="1"/>
    </xf>
    <xf numFmtId="165" fontId="22" fillId="0" borderId="0" xfId="2" applyNumberFormat="1" applyFont="1" applyFill="1" applyBorder="1" applyAlignment="1">
      <alignment horizontal="center" vertical="center" wrapText="1"/>
    </xf>
    <xf numFmtId="10" fontId="0" fillId="5" borderId="1" xfId="3" applyNumberFormat="1" applyFont="1" applyFill="1" applyBorder="1"/>
    <xf numFmtId="166" fontId="18" fillId="0" borderId="0" xfId="2" applyNumberFormat="1" applyFont="1" applyFill="1" applyBorder="1" applyAlignment="1">
      <alignment horizontal="center" vertical="center"/>
    </xf>
    <xf numFmtId="9" fontId="28" fillId="0" borderId="0" xfId="3" applyFont="1" applyFill="1" applyBorder="1" applyAlignment="1">
      <alignment horizontal="center" vertical="center" wrapText="1"/>
    </xf>
    <xf numFmtId="165" fontId="18" fillId="0" borderId="1" xfId="2" applyNumberFormat="1" applyFont="1" applyFill="1" applyBorder="1" applyAlignment="1">
      <alignment horizontal="center" vertical="center" wrapText="1"/>
    </xf>
    <xf numFmtId="168" fontId="18" fillId="0" borderId="0" xfId="2" applyNumberFormat="1" applyFont="1" applyFill="1" applyBorder="1" applyAlignment="1">
      <alignment horizontal="center" vertical="center" wrapText="1"/>
    </xf>
    <xf numFmtId="0" fontId="0" fillId="12" borderId="1" xfId="0" applyFont="1" applyFill="1" applyBorder="1" applyAlignment="1">
      <alignment horizontal="center" wrapText="1"/>
    </xf>
    <xf numFmtId="9" fontId="3" fillId="5" borderId="1" xfId="2" applyNumberFormat="1" applyFont="1" applyFill="1" applyBorder="1" applyAlignment="1">
      <alignment horizontal="center"/>
    </xf>
    <xf numFmtId="0" fontId="46" fillId="0" borderId="0" xfId="0" applyFont="1"/>
    <xf numFmtId="178" fontId="16" fillId="0" borderId="0" xfId="0" applyNumberFormat="1" applyFont="1"/>
    <xf numFmtId="43" fontId="31" fillId="0" borderId="0" xfId="2" applyFont="1"/>
    <xf numFmtId="43" fontId="5" fillId="0" borderId="0" xfId="2" applyFont="1" applyFill="1" applyBorder="1" applyAlignment="1">
      <alignment horizontal="right"/>
    </xf>
    <xf numFmtId="9" fontId="18" fillId="2" borderId="0" xfId="3" applyFont="1" applyFill="1" applyBorder="1" applyAlignment="1">
      <alignment horizontal="center" vertical="center" wrapText="1"/>
    </xf>
    <xf numFmtId="0" fontId="12" fillId="3" borderId="0" xfId="0" applyFont="1" applyFill="1"/>
    <xf numFmtId="0" fontId="0" fillId="3" borderId="0" xfId="0" applyFill="1"/>
    <xf numFmtId="10" fontId="0" fillId="3" borderId="0" xfId="0" applyNumberFormat="1" applyFill="1"/>
    <xf numFmtId="0" fontId="29" fillId="0" borderId="0" xfId="0" applyFont="1" applyFill="1" applyBorder="1" applyAlignment="1"/>
    <xf numFmtId="170" fontId="6" fillId="0" borderId="0" xfId="0" applyNumberFormat="1" applyFont="1" applyFill="1" applyBorder="1" applyAlignment="1">
      <alignment vertical="center" wrapText="1"/>
    </xf>
    <xf numFmtId="0" fontId="13" fillId="3" borderId="0" xfId="0" applyFont="1" applyFill="1"/>
    <xf numFmtId="0" fontId="5" fillId="3" borderId="0" xfId="0" applyFont="1" applyFill="1"/>
    <xf numFmtId="0" fontId="13" fillId="0" borderId="0" xfId="0" applyFont="1" applyFill="1"/>
    <xf numFmtId="0" fontId="5" fillId="0" borderId="0" xfId="0" applyFont="1" applyFill="1"/>
    <xf numFmtId="168" fontId="7" fillId="0" borderId="1" xfId="0" applyNumberFormat="1" applyFont="1" applyBorder="1" applyAlignment="1">
      <alignment vertical="center" wrapText="1"/>
    </xf>
    <xf numFmtId="0" fontId="7" fillId="0" borderId="1" xfId="0" applyFont="1" applyFill="1" applyBorder="1" applyAlignment="1">
      <alignment vertical="center" wrapText="1"/>
    </xf>
    <xf numFmtId="170" fontId="7" fillId="0" borderId="1" xfId="3" applyNumberFormat="1" applyFont="1" applyFill="1" applyBorder="1" applyAlignment="1">
      <alignment vertical="center" wrapText="1"/>
    </xf>
    <xf numFmtId="164" fontId="18" fillId="2" borderId="0" xfId="2" applyNumberFormat="1" applyFont="1" applyFill="1" applyBorder="1" applyAlignment="1">
      <alignment horizontal="center" vertical="center" wrapText="1"/>
    </xf>
    <xf numFmtId="0" fontId="0" fillId="3" borderId="0" xfId="0" applyFont="1" applyFill="1"/>
    <xf numFmtId="0" fontId="47" fillId="3" borderId="0" xfId="0" applyFont="1" applyFill="1"/>
    <xf numFmtId="0" fontId="48" fillId="3" borderId="0" xfId="0" applyFont="1" applyFill="1"/>
    <xf numFmtId="8" fontId="29" fillId="0" borderId="1" xfId="2" applyNumberFormat="1" applyFont="1" applyFill="1" applyBorder="1" applyAlignment="1">
      <alignment horizontal="left"/>
    </xf>
    <xf numFmtId="9" fontId="29" fillId="0" borderId="1" xfId="3" applyFont="1" applyFill="1" applyBorder="1" applyAlignment="1">
      <alignment horizontal="left"/>
    </xf>
    <xf numFmtId="0" fontId="29" fillId="0" borderId="0" xfId="0" applyFont="1" applyAlignment="1">
      <alignment horizontal="left"/>
    </xf>
    <xf numFmtId="0" fontId="0" fillId="0" borderId="1" xfId="0" applyFont="1" applyFill="1" applyBorder="1" applyAlignment="1">
      <alignment horizontal="left"/>
    </xf>
    <xf numFmtId="43" fontId="29" fillId="0" borderId="0" xfId="2" applyFont="1" applyFill="1" applyBorder="1" applyAlignment="1">
      <alignment horizontal="left"/>
    </xf>
    <xf numFmtId="0" fontId="7" fillId="3" borderId="0" xfId="0" applyFont="1" applyFill="1" applyBorder="1" applyAlignment="1">
      <alignment vertical="center"/>
    </xf>
    <xf numFmtId="0" fontId="16" fillId="3" borderId="0" xfId="0" applyFont="1" applyFill="1"/>
    <xf numFmtId="10" fontId="5" fillId="5" borderId="1" xfId="2" applyNumberFormat="1" applyFont="1" applyFill="1" applyBorder="1" applyAlignment="1">
      <alignment horizontal="center"/>
    </xf>
    <xf numFmtId="10" fontId="5" fillId="0" borderId="1" xfId="2" applyNumberFormat="1" applyFont="1" applyFill="1" applyBorder="1" applyAlignment="1">
      <alignment horizontal="center"/>
    </xf>
    <xf numFmtId="0" fontId="28" fillId="0" borderId="2" xfId="0" applyFont="1" applyBorder="1" applyAlignment="1">
      <alignment vertical="center" wrapText="1"/>
    </xf>
    <xf numFmtId="10" fontId="28" fillId="5" borderId="1" xfId="2" applyNumberFormat="1" applyFont="1" applyFill="1" applyBorder="1" applyAlignment="1">
      <alignment horizontal="center"/>
    </xf>
    <xf numFmtId="10" fontId="28" fillId="0" borderId="1" xfId="2" applyNumberFormat="1" applyFont="1" applyFill="1" applyBorder="1" applyAlignment="1">
      <alignment horizontal="center"/>
    </xf>
    <xf numFmtId="10" fontId="28" fillId="0" borderId="0" xfId="2" applyNumberFormat="1" applyFont="1" applyFill="1" applyBorder="1" applyAlignment="1">
      <alignment horizontal="left" wrapText="1"/>
    </xf>
    <xf numFmtId="0" fontId="28" fillId="3" borderId="1" xfId="0" applyFont="1" applyFill="1" applyBorder="1" applyAlignment="1">
      <alignment horizontal="center"/>
    </xf>
    <xf numFmtId="10" fontId="28" fillId="0" borderId="1" xfId="2" applyNumberFormat="1" applyFont="1" applyFill="1" applyBorder="1" applyAlignment="1">
      <alignment horizontal="left" wrapText="1"/>
    </xf>
    <xf numFmtId="9" fontId="28" fillId="5" borderId="1" xfId="2" applyNumberFormat="1" applyFont="1" applyFill="1" applyBorder="1" applyAlignment="1">
      <alignment horizontal="center"/>
    </xf>
    <xf numFmtId="9" fontId="28" fillId="0" borderId="1" xfId="2" applyNumberFormat="1" applyFont="1" applyFill="1" applyBorder="1" applyAlignment="1">
      <alignment horizontal="center"/>
    </xf>
    <xf numFmtId="9" fontId="28" fillId="0" borderId="0" xfId="2" applyNumberFormat="1" applyFont="1" applyFill="1" applyBorder="1" applyAlignment="1">
      <alignment horizontal="center"/>
    </xf>
    <xf numFmtId="10" fontId="5" fillId="0" borderId="1" xfId="2" applyNumberFormat="1" applyFont="1" applyFill="1" applyBorder="1" applyAlignment="1">
      <alignment horizontal="left" wrapText="1"/>
    </xf>
    <xf numFmtId="0" fontId="12" fillId="0" borderId="0" xfId="0" applyFont="1" applyFill="1"/>
    <xf numFmtId="0" fontId="0" fillId="0" borderId="0" xfId="0" applyFont="1" applyFill="1"/>
    <xf numFmtId="0" fontId="29" fillId="0" borderId="0" xfId="0" applyFont="1" applyFill="1"/>
    <xf numFmtId="0" fontId="6" fillId="3" borderId="0" xfId="0" applyFont="1" applyFill="1" applyBorder="1" applyAlignment="1">
      <alignment vertical="center" wrapText="1"/>
    </xf>
    <xf numFmtId="0" fontId="50" fillId="3" borderId="0" xfId="0" applyFont="1" applyFill="1" applyBorder="1" applyAlignment="1">
      <alignment vertical="center" wrapText="1"/>
    </xf>
    <xf numFmtId="0" fontId="51" fillId="3" borderId="0" xfId="0" applyFont="1" applyFill="1"/>
    <xf numFmtId="0" fontId="49" fillId="3" borderId="0" xfId="0" applyFont="1" applyFill="1" applyBorder="1" applyAlignment="1">
      <alignment vertical="center"/>
    </xf>
    <xf numFmtId="178" fontId="0" fillId="3" borderId="0" xfId="0" applyNumberFormat="1" applyFill="1" applyAlignment="1">
      <alignment horizontal="right"/>
    </xf>
    <xf numFmtId="178" fontId="0" fillId="3" borderId="0" xfId="0" applyNumberFormat="1" applyFill="1"/>
    <xf numFmtId="43" fontId="5" fillId="3" borderId="0" xfId="2" applyFont="1" applyFill="1"/>
    <xf numFmtId="43" fontId="0" fillId="3" borderId="0" xfId="2" applyFont="1" applyFill="1" applyAlignment="1">
      <alignment horizontal="right"/>
    </xf>
    <xf numFmtId="43" fontId="0" fillId="3" borderId="0" xfId="2" applyFont="1" applyFill="1"/>
    <xf numFmtId="43" fontId="16" fillId="3" borderId="0" xfId="2" applyFont="1" applyFill="1"/>
    <xf numFmtId="43" fontId="5" fillId="3" borderId="0" xfId="2" applyFont="1" applyFill="1" applyAlignment="1">
      <alignment horizontal="center"/>
    </xf>
    <xf numFmtId="43" fontId="22" fillId="3" borderId="0" xfId="2" applyFont="1" applyFill="1"/>
    <xf numFmtId="178" fontId="5" fillId="3" borderId="0" xfId="0" applyNumberFormat="1" applyFont="1" applyFill="1" applyAlignment="1">
      <alignment horizontal="center"/>
    </xf>
    <xf numFmtId="9" fontId="22" fillId="3" borderId="0" xfId="0" applyNumberFormat="1" applyFont="1" applyFill="1"/>
    <xf numFmtId="168" fontId="7" fillId="3" borderId="0" xfId="2" applyNumberFormat="1" applyFont="1" applyFill="1" applyBorder="1" applyAlignment="1">
      <alignment vertical="center"/>
    </xf>
    <xf numFmtId="0" fontId="14" fillId="3" borderId="0" xfId="0" applyFont="1" applyFill="1"/>
    <xf numFmtId="43" fontId="0" fillId="3" borderId="0" xfId="0" applyNumberFormat="1" applyFill="1"/>
    <xf numFmtId="2" fontId="14" fillId="3" borderId="0" xfId="0" applyNumberFormat="1" applyFont="1" applyFill="1"/>
    <xf numFmtId="43" fontId="6" fillId="3" borderId="0" xfId="0" applyNumberFormat="1" applyFont="1" applyFill="1" applyBorder="1" applyAlignment="1">
      <alignment vertical="center" wrapText="1"/>
    </xf>
    <xf numFmtId="43" fontId="11" fillId="3" borderId="0" xfId="2" applyFont="1" applyFill="1" applyBorder="1" applyAlignment="1">
      <alignment horizontal="center" vertical="center" wrapText="1"/>
    </xf>
    <xf numFmtId="168" fontId="0" fillId="3" borderId="0" xfId="0" applyNumberFormat="1" applyFill="1"/>
    <xf numFmtId="0" fontId="7" fillId="3" borderId="0" xfId="0" applyFont="1" applyFill="1" applyBorder="1" applyAlignment="1">
      <alignment horizontal="left" vertical="top"/>
    </xf>
    <xf numFmtId="168" fontId="23" fillId="3" borderId="0" xfId="2" applyNumberFormat="1" applyFont="1" applyFill="1" applyBorder="1" applyAlignment="1">
      <alignment horizontal="center" vertical="center" wrapText="1"/>
    </xf>
    <xf numFmtId="9" fontId="0" fillId="3" borderId="0" xfId="3" applyFont="1" applyFill="1"/>
    <xf numFmtId="166" fontId="0" fillId="3" borderId="0" xfId="0" applyNumberFormat="1" applyFill="1"/>
    <xf numFmtId="1" fontId="0" fillId="0" borderId="1" xfId="0" applyNumberFormat="1" applyFont="1" applyFill="1" applyBorder="1" applyAlignment="1"/>
    <xf numFmtId="0" fontId="16" fillId="0" borderId="0" xfId="0" applyFont="1" applyAlignment="1">
      <alignment vertical="center"/>
    </xf>
    <xf numFmtId="0" fontId="15" fillId="0" borderId="0" xfId="0" applyFont="1" applyAlignment="1">
      <alignment vertical="center"/>
    </xf>
    <xf numFmtId="166" fontId="11" fillId="0" borderId="1" xfId="2" applyNumberFormat="1" applyFont="1" applyBorder="1" applyAlignment="1">
      <alignment vertical="center" wrapText="1"/>
    </xf>
    <xf numFmtId="182" fontId="11" fillId="5" borderId="1" xfId="2" applyNumberFormat="1" applyFont="1" applyFill="1" applyBorder="1" applyAlignment="1">
      <alignment vertical="center" wrapText="1"/>
    </xf>
    <xf numFmtId="9" fontId="11" fillId="0" borderId="0" xfId="3" applyFont="1" applyFill="1" applyBorder="1" applyAlignment="1">
      <alignment vertical="center" wrapText="1"/>
    </xf>
    <xf numFmtId="166" fontId="11" fillId="0" borderId="0" xfId="2" applyNumberFormat="1" applyFont="1" applyBorder="1" applyAlignment="1">
      <alignment vertical="center" wrapText="1"/>
    </xf>
    <xf numFmtId="168" fontId="18" fillId="0" borderId="1" xfId="2" applyNumberFormat="1" applyFont="1" applyFill="1" applyBorder="1" applyAlignment="1">
      <alignment horizontal="center" vertical="center" wrapText="1"/>
    </xf>
    <xf numFmtId="167" fontId="0" fillId="0" borderId="0" xfId="2" applyNumberFormat="1" applyFont="1"/>
    <xf numFmtId="166" fontId="11" fillId="5" borderId="1" xfId="2" applyNumberFormat="1" applyFont="1" applyFill="1" applyBorder="1" applyAlignment="1">
      <alignment vertical="center" wrapText="1"/>
    </xf>
    <xf numFmtId="166" fontId="11" fillId="0" borderId="0" xfId="2" applyNumberFormat="1" applyFont="1" applyFill="1" applyBorder="1" applyAlignment="1">
      <alignment vertical="center" wrapText="1"/>
    </xf>
    <xf numFmtId="0" fontId="0" fillId="3" borderId="0" xfId="0" applyFill="1" applyAlignment="1">
      <alignment wrapText="1"/>
    </xf>
    <xf numFmtId="0" fontId="5" fillId="3" borderId="0" xfId="0" applyFont="1" applyFill="1" applyAlignment="1">
      <alignment wrapText="1"/>
    </xf>
    <xf numFmtId="0" fontId="5" fillId="3" borderId="0" xfId="0" applyFont="1" applyFill="1" applyAlignment="1"/>
    <xf numFmtId="43" fontId="0" fillId="3" borderId="0" xfId="2" applyFont="1" applyFill="1" applyBorder="1"/>
    <xf numFmtId="9" fontId="3" fillId="3" borderId="0" xfId="2" applyNumberFormat="1" applyFont="1" applyFill="1" applyBorder="1" applyAlignment="1">
      <alignment horizontal="center"/>
    </xf>
    <xf numFmtId="9" fontId="0" fillId="0" borderId="0" xfId="0" applyNumberFormat="1" applyFill="1" applyBorder="1" applyAlignment="1">
      <alignment wrapText="1"/>
    </xf>
    <xf numFmtId="0" fontId="5" fillId="0" borderId="1" xfId="0" applyFont="1" applyFill="1" applyBorder="1"/>
    <xf numFmtId="166" fontId="28" fillId="0" borderId="0" xfId="2" applyNumberFormat="1" applyFont="1" applyBorder="1" applyAlignment="1">
      <alignment horizontal="left" vertical="center"/>
    </xf>
    <xf numFmtId="170" fontId="0" fillId="0" borderId="1" xfId="3" applyNumberFormat="1" applyFont="1" applyFill="1" applyBorder="1"/>
    <xf numFmtId="170" fontId="0" fillId="0" borderId="1" xfId="3" applyNumberFormat="1" applyFont="1" applyFill="1" applyBorder="1" applyAlignment="1">
      <alignment wrapText="1"/>
    </xf>
    <xf numFmtId="43" fontId="0" fillId="3" borderId="1" xfId="2" applyFont="1" applyFill="1" applyBorder="1" applyAlignment="1">
      <alignment wrapText="1"/>
    </xf>
    <xf numFmtId="9" fontId="0" fillId="0" borderId="1" xfId="3" applyNumberFormat="1" applyFont="1" applyFill="1" applyBorder="1" applyAlignment="1">
      <alignment wrapText="1"/>
    </xf>
    <xf numFmtId="9" fontId="0" fillId="0" borderId="1" xfId="3" applyNumberFormat="1" applyFont="1" applyFill="1" applyBorder="1"/>
    <xf numFmtId="9" fontId="6" fillId="0" borderId="1" xfId="3" applyFont="1" applyBorder="1" applyAlignment="1">
      <alignment horizontal="left" vertical="center" wrapText="1"/>
    </xf>
    <xf numFmtId="9" fontId="28" fillId="0" borderId="0" xfId="3" applyFont="1" applyBorder="1" applyAlignment="1">
      <alignment horizontal="center" vertical="center" wrapText="1"/>
    </xf>
    <xf numFmtId="9" fontId="5" fillId="0" borderId="1" xfId="0" applyNumberFormat="1" applyFont="1" applyFill="1" applyBorder="1" applyAlignment="1">
      <alignment horizontal="center"/>
    </xf>
    <xf numFmtId="9" fontId="0" fillId="0" borderId="1" xfId="0" applyNumberFormat="1" applyFill="1" applyBorder="1" applyAlignment="1">
      <alignment horizontal="center" vertical="center"/>
    </xf>
    <xf numFmtId="9" fontId="0" fillId="0" borderId="1" xfId="0" applyNumberFormat="1" applyFont="1" applyFill="1" applyBorder="1" applyAlignment="1">
      <alignment horizontal="center" vertical="center"/>
    </xf>
    <xf numFmtId="9" fontId="5" fillId="0" borderId="1" xfId="0" applyNumberFormat="1" applyFont="1" applyFill="1" applyBorder="1" applyAlignment="1">
      <alignment horizontal="center" vertical="center"/>
    </xf>
    <xf numFmtId="9" fontId="3" fillId="0" borderId="0" xfId="2" applyNumberFormat="1" applyFont="1" applyFill="1" applyBorder="1" applyAlignment="1">
      <alignment horizontal="center" vertical="center"/>
    </xf>
    <xf numFmtId="9" fontId="28" fillId="0" borderId="1" xfId="0" applyNumberFormat="1" applyFont="1" applyFill="1" applyBorder="1" applyAlignment="1">
      <alignment vertical="center" wrapText="1"/>
    </xf>
    <xf numFmtId="170" fontId="0" fillId="3" borderId="0" xfId="2" applyNumberFormat="1" applyFont="1" applyFill="1" applyBorder="1" applyAlignment="1">
      <alignment horizontal="center"/>
    </xf>
    <xf numFmtId="0" fontId="0" fillId="3" borderId="0" xfId="2" applyNumberFormat="1" applyFont="1" applyFill="1" applyBorder="1" applyAlignment="1">
      <alignment horizontal="center"/>
    </xf>
    <xf numFmtId="170" fontId="5" fillId="0" borderId="0" xfId="2" applyNumberFormat="1" applyFont="1" applyFill="1" applyBorder="1" applyAlignment="1">
      <alignment horizontal="left"/>
    </xf>
    <xf numFmtId="0" fontId="5" fillId="0" borderId="0" xfId="0" applyFont="1" applyFill="1" applyBorder="1" applyAlignment="1"/>
    <xf numFmtId="164" fontId="5" fillId="0" borderId="0" xfId="2" applyNumberFormat="1" applyFont="1" applyFill="1" applyBorder="1" applyAlignment="1"/>
    <xf numFmtId="0" fontId="52" fillId="5" borderId="1" xfId="0" applyNumberFormat="1" applyFont="1" applyFill="1" applyBorder="1" applyAlignment="1"/>
    <xf numFmtId="164" fontId="0" fillId="0" borderId="1" xfId="0" applyNumberFormat="1" applyFont="1" applyFill="1" applyBorder="1" applyAlignment="1">
      <alignment wrapText="1"/>
    </xf>
    <xf numFmtId="0" fontId="0" fillId="0" borderId="1" xfId="0" applyFont="1" applyFill="1" applyBorder="1" applyAlignment="1">
      <alignment horizontal="left" vertical="top" wrapText="1"/>
    </xf>
    <xf numFmtId="168" fontId="0" fillId="0" borderId="1" xfId="2" applyNumberFormat="1" applyFont="1" applyFill="1" applyBorder="1" applyAlignment="1">
      <alignment horizontal="center" vertical="center"/>
    </xf>
    <xf numFmtId="168" fontId="5" fillId="0" borderId="1" xfId="2" applyNumberFormat="1" applyFont="1" applyFill="1" applyBorder="1" applyAlignment="1">
      <alignment horizontal="center"/>
    </xf>
    <xf numFmtId="2" fontId="0" fillId="0" borderId="1" xfId="0" applyNumberFormat="1" applyFont="1" applyFill="1" applyBorder="1" applyAlignment="1"/>
    <xf numFmtId="183" fontId="5" fillId="0" borderId="0" xfId="0" applyNumberFormat="1" applyFont="1"/>
    <xf numFmtId="183" fontId="5" fillId="0" borderId="1" xfId="0" applyNumberFormat="1" applyFont="1" applyFill="1" applyBorder="1" applyAlignment="1">
      <alignment wrapText="1"/>
    </xf>
    <xf numFmtId="183" fontId="5" fillId="0" borderId="1" xfId="2" applyNumberFormat="1" applyFont="1" applyFill="1" applyBorder="1" applyAlignment="1"/>
    <xf numFmtId="0" fontId="7" fillId="3" borderId="0" xfId="0" applyFont="1" applyFill="1" applyBorder="1" applyAlignment="1">
      <alignment vertical="center" wrapText="1"/>
    </xf>
    <xf numFmtId="0" fontId="29" fillId="0" borderId="0" xfId="0" applyFont="1" applyBorder="1" applyAlignment="1">
      <alignment vertical="center"/>
    </xf>
    <xf numFmtId="0" fontId="32" fillId="3" borderId="0" xfId="0" applyFont="1" applyFill="1"/>
    <xf numFmtId="0" fontId="18" fillId="3" borderId="0" xfId="0" applyFont="1" applyFill="1"/>
    <xf numFmtId="169" fontId="0" fillId="3" borderId="0" xfId="3" applyNumberFormat="1" applyFont="1" applyFill="1"/>
    <xf numFmtId="168" fontId="28" fillId="0" borderId="0" xfId="2" applyNumberFormat="1" applyFont="1" applyBorder="1" applyAlignment="1">
      <alignment vertical="center"/>
    </xf>
    <xf numFmtId="43" fontId="18" fillId="0" borderId="0" xfId="2" applyFont="1" applyFill="1" applyBorder="1" applyAlignment="1">
      <alignment horizontal="center" vertical="center"/>
    </xf>
    <xf numFmtId="168" fontId="5" fillId="0" borderId="0" xfId="0" applyNumberFormat="1" applyFont="1"/>
    <xf numFmtId="9" fontId="28" fillId="0" borderId="0" xfId="0" applyNumberFormat="1" applyFont="1"/>
    <xf numFmtId="9" fontId="6" fillId="3" borderId="1" xfId="3" applyFont="1" applyFill="1" applyBorder="1" applyAlignment="1">
      <alignment vertical="center" wrapText="1"/>
    </xf>
    <xf numFmtId="9" fontId="6" fillId="0" borderId="0" xfId="3" applyFont="1" applyBorder="1" applyAlignment="1">
      <alignment vertical="center"/>
    </xf>
    <xf numFmtId="43" fontId="29" fillId="0" borderId="0" xfId="2" applyFont="1"/>
    <xf numFmtId="0" fontId="44" fillId="3" borderId="0" xfId="0" applyFont="1" applyFill="1"/>
    <xf numFmtId="166" fontId="0" fillId="5" borderId="1" xfId="2" applyNumberFormat="1" applyFont="1" applyFill="1" applyBorder="1" applyAlignment="1">
      <alignment horizontal="center"/>
    </xf>
    <xf numFmtId="9" fontId="0" fillId="0" borderId="0" xfId="3" applyFont="1" applyFill="1" applyBorder="1" applyAlignment="1">
      <alignment horizontal="center"/>
    </xf>
    <xf numFmtId="0" fontId="6" fillId="13" borderId="1" xfId="0" applyFont="1" applyFill="1" applyBorder="1" applyAlignment="1">
      <alignment vertical="center" wrapText="1"/>
    </xf>
    <xf numFmtId="10" fontId="18" fillId="5" borderId="1" xfId="3" applyNumberFormat="1" applyFont="1" applyFill="1" applyBorder="1" applyAlignment="1">
      <alignment horizontal="center" vertical="center"/>
    </xf>
    <xf numFmtId="9" fontId="18" fillId="5" borderId="1" xfId="3" applyFont="1" applyFill="1" applyBorder="1" applyAlignment="1">
      <alignment horizontal="center" vertical="center"/>
    </xf>
    <xf numFmtId="9" fontId="4" fillId="0" borderId="0" xfId="3" applyFont="1" applyFill="1" applyBorder="1" applyAlignment="1">
      <alignment horizontal="center" vertical="center" wrapText="1"/>
    </xf>
    <xf numFmtId="10" fontId="11" fillId="0" borderId="0" xfId="2" applyNumberFormat="1" applyFont="1" applyFill="1" applyBorder="1" applyAlignment="1">
      <alignment horizontal="left" wrapText="1"/>
    </xf>
    <xf numFmtId="0" fontId="11" fillId="3" borderId="1" xfId="0" applyFont="1" applyFill="1" applyBorder="1" applyAlignment="1">
      <alignment horizontal="center"/>
    </xf>
    <xf numFmtId="10" fontId="11" fillId="0" borderId="1" xfId="2" applyNumberFormat="1" applyFont="1" applyFill="1" applyBorder="1" applyAlignment="1">
      <alignment horizontal="left" wrapText="1"/>
    </xf>
    <xf numFmtId="9" fontId="11" fillId="5" borderId="1" xfId="2" applyNumberFormat="1" applyFont="1" applyFill="1" applyBorder="1" applyAlignment="1">
      <alignment horizontal="center"/>
    </xf>
    <xf numFmtId="9" fontId="11" fillId="0" borderId="1" xfId="2" applyNumberFormat="1" applyFont="1" applyFill="1" applyBorder="1" applyAlignment="1">
      <alignment horizontal="center"/>
    </xf>
    <xf numFmtId="168" fontId="6" fillId="0" borderId="1" xfId="0" applyNumberFormat="1" applyFont="1" applyFill="1" applyBorder="1" applyAlignment="1">
      <alignment vertical="center" wrapText="1"/>
    </xf>
    <xf numFmtId="168" fontId="6" fillId="0" borderId="0" xfId="0" applyNumberFormat="1" applyFont="1" applyFill="1" applyBorder="1" applyAlignment="1">
      <alignment vertical="center" wrapText="1"/>
    </xf>
    <xf numFmtId="168" fontId="28" fillId="0" borderId="0" xfId="0" applyNumberFormat="1" applyFont="1" applyFill="1" applyBorder="1" applyAlignment="1">
      <alignment vertical="center" wrapText="1"/>
    </xf>
    <xf numFmtId="164" fontId="0" fillId="0" borderId="0" xfId="2" applyNumberFormat="1" applyFont="1" applyFill="1" applyBorder="1" applyAlignment="1">
      <alignment horizontal="center"/>
    </xf>
    <xf numFmtId="0" fontId="0" fillId="12" borderId="1" xfId="0" applyFont="1" applyFill="1" applyBorder="1" applyAlignment="1">
      <alignment wrapText="1"/>
    </xf>
    <xf numFmtId="9" fontId="6" fillId="3" borderId="1" xfId="0" applyNumberFormat="1" applyFont="1" applyFill="1" applyBorder="1" applyAlignment="1">
      <alignment vertical="center" wrapText="1"/>
    </xf>
    <xf numFmtId="166" fontId="18" fillId="3" borderId="0" xfId="2" applyNumberFormat="1" applyFont="1" applyFill="1" applyBorder="1" applyAlignment="1">
      <alignment horizontal="center" vertical="center"/>
    </xf>
    <xf numFmtId="166" fontId="18" fillId="3" borderId="0" xfId="2" applyNumberFormat="1" applyFont="1" applyFill="1" applyBorder="1" applyAlignment="1">
      <alignment horizontal="center" vertical="center" wrapText="1"/>
    </xf>
    <xf numFmtId="170" fontId="18" fillId="3" borderId="0" xfId="3" applyNumberFormat="1" applyFont="1" applyFill="1" applyBorder="1" applyAlignment="1">
      <alignment horizontal="center" vertical="center" wrapText="1"/>
    </xf>
    <xf numFmtId="166" fontId="0" fillId="0" borderId="1" xfId="0" applyNumberFormat="1" applyFont="1" applyBorder="1"/>
    <xf numFmtId="167" fontId="22" fillId="0" borderId="1" xfId="2" applyNumberFormat="1" applyFont="1" applyFill="1" applyBorder="1" applyAlignment="1">
      <alignment horizontal="center" vertical="center" wrapText="1"/>
    </xf>
    <xf numFmtId="9" fontId="0" fillId="0" borderId="0" xfId="3" applyFont="1" applyFill="1" applyBorder="1"/>
    <xf numFmtId="164" fontId="11" fillId="0" borderId="1" xfId="2" applyNumberFormat="1" applyFont="1" applyFill="1" applyBorder="1" applyAlignment="1">
      <alignment horizontal="center" vertical="center" wrapText="1"/>
    </xf>
    <xf numFmtId="164" fontId="18" fillId="0" borderId="1" xfId="2" applyNumberFormat="1" applyFont="1" applyFill="1" applyBorder="1" applyAlignment="1">
      <alignment horizontal="center" vertical="center" wrapText="1"/>
    </xf>
    <xf numFmtId="166" fontId="0" fillId="0" borderId="0" xfId="3" applyNumberFormat="1" applyFont="1"/>
    <xf numFmtId="166" fontId="0" fillId="0" borderId="0" xfId="0" applyNumberFormat="1" applyFont="1"/>
    <xf numFmtId="184" fontId="0" fillId="0" borderId="0" xfId="0" applyNumberFormat="1"/>
    <xf numFmtId="164" fontId="0" fillId="5" borderId="1" xfId="0" applyNumberFormat="1" applyFont="1" applyFill="1" applyBorder="1"/>
    <xf numFmtId="164" fontId="0" fillId="5" borderId="1" xfId="0" applyNumberFormat="1" applyFill="1" applyBorder="1"/>
    <xf numFmtId="164" fontId="5" fillId="0" borderId="0" xfId="0" applyNumberFormat="1" applyFont="1" applyBorder="1" applyAlignment="1">
      <alignment horizontal="center"/>
    </xf>
    <xf numFmtId="164" fontId="28" fillId="0" borderId="0" xfId="0" applyNumberFormat="1" applyFont="1" applyBorder="1" applyAlignment="1">
      <alignment horizontal="center"/>
    </xf>
    <xf numFmtId="166" fontId="6" fillId="0" borderId="1" xfId="0" applyNumberFormat="1" applyFont="1" applyBorder="1" applyAlignment="1">
      <alignment vertical="center" wrapText="1"/>
    </xf>
    <xf numFmtId="166" fontId="0" fillId="0" borderId="1" xfId="0" applyNumberFormat="1" applyFont="1" applyBorder="1" applyAlignment="1">
      <alignment horizontal="center"/>
    </xf>
    <xf numFmtId="166" fontId="7" fillId="0" borderId="1" xfId="0" applyNumberFormat="1" applyFont="1" applyBorder="1" applyAlignment="1">
      <alignment vertical="center" wrapText="1"/>
    </xf>
    <xf numFmtId="166" fontId="5" fillId="0" borderId="1" xfId="0" applyNumberFormat="1" applyFont="1" applyBorder="1" applyAlignment="1">
      <alignment horizontal="center"/>
    </xf>
    <xf numFmtId="170" fontId="28" fillId="0" borderId="0" xfId="3" applyNumberFormat="1" applyFont="1" applyFill="1" applyBorder="1" applyAlignment="1">
      <alignment horizontal="center" vertical="center" wrapText="1"/>
    </xf>
    <xf numFmtId="0" fontId="28" fillId="0" borderId="0" xfId="0" applyFont="1" applyFill="1" applyBorder="1" applyAlignment="1">
      <alignment vertical="center" wrapText="1"/>
    </xf>
    <xf numFmtId="9" fontId="11" fillId="0" borderId="0" xfId="3" applyFont="1" applyFill="1" applyBorder="1" applyAlignment="1">
      <alignment horizontal="center" vertical="center" wrapText="1"/>
    </xf>
    <xf numFmtId="164" fontId="5" fillId="3" borderId="0" xfId="0" applyNumberFormat="1" applyFont="1" applyFill="1" applyBorder="1" applyAlignment="1">
      <alignment horizontal="center"/>
    </xf>
    <xf numFmtId="164" fontId="5" fillId="0" borderId="0" xfId="0" applyNumberFormat="1" applyFont="1" applyFill="1" applyBorder="1" applyAlignment="1">
      <alignment horizontal="center"/>
    </xf>
    <xf numFmtId="0" fontId="22" fillId="0" borderId="1" xfId="0" applyFont="1" applyBorder="1" applyAlignment="1">
      <alignment vertical="center" wrapText="1"/>
    </xf>
    <xf numFmtId="164" fontId="22" fillId="0" borderId="1" xfId="0" applyNumberFormat="1" applyFont="1" applyBorder="1" applyAlignment="1">
      <alignment horizontal="center"/>
    </xf>
    <xf numFmtId="166" fontId="22" fillId="0" borderId="1" xfId="0" applyNumberFormat="1" applyFont="1" applyBorder="1" applyAlignment="1">
      <alignment vertical="center" wrapText="1"/>
    </xf>
    <xf numFmtId="168" fontId="22" fillId="0" borderId="1" xfId="2" applyNumberFormat="1" applyFont="1" applyBorder="1" applyAlignment="1">
      <alignment horizontal="center"/>
    </xf>
    <xf numFmtId="164" fontId="0" fillId="0" borderId="0" xfId="0" applyNumberFormat="1" applyFont="1" applyBorder="1" applyAlignment="1">
      <alignment horizontal="center"/>
    </xf>
    <xf numFmtId="0" fontId="6" fillId="3" borderId="3" xfId="0" applyFont="1" applyFill="1" applyBorder="1" applyAlignment="1">
      <alignment vertical="center" wrapText="1"/>
    </xf>
    <xf numFmtId="0" fontId="5" fillId="3" borderId="5" xfId="0" applyFont="1" applyFill="1" applyBorder="1"/>
    <xf numFmtId="164" fontId="3" fillId="0" borderId="1" xfId="2" applyNumberFormat="1" applyFont="1" applyFill="1" applyBorder="1" applyAlignment="1"/>
    <xf numFmtId="0" fontId="28" fillId="0" borderId="0" xfId="2" applyNumberFormat="1" applyFont="1" applyFill="1" applyBorder="1" applyAlignment="1">
      <alignment horizontal="center"/>
    </xf>
    <xf numFmtId="165" fontId="0" fillId="0" borderId="1" xfId="0" applyNumberFormat="1" applyFont="1" applyFill="1" applyBorder="1" applyAlignment="1"/>
    <xf numFmtId="0" fontId="0" fillId="3" borderId="5" xfId="0" applyFont="1" applyFill="1" applyBorder="1"/>
    <xf numFmtId="165" fontId="0" fillId="0" borderId="1" xfId="2" applyNumberFormat="1" applyFont="1" applyFill="1" applyBorder="1" applyAlignment="1"/>
    <xf numFmtId="167" fontId="28" fillId="0" borderId="0" xfId="2" applyNumberFormat="1" applyFont="1"/>
    <xf numFmtId="167" fontId="0" fillId="0" borderId="1" xfId="2" applyNumberFormat="1" applyFont="1" applyFill="1" applyBorder="1" applyAlignment="1"/>
    <xf numFmtId="0" fontId="28" fillId="3" borderId="0" xfId="0" applyFont="1" applyFill="1"/>
    <xf numFmtId="167" fontId="28" fillId="3" borderId="0" xfId="2" applyNumberFormat="1" applyFont="1" applyFill="1"/>
    <xf numFmtId="165" fontId="0" fillId="3" borderId="0" xfId="0" applyNumberFormat="1" applyFill="1"/>
    <xf numFmtId="165" fontId="28" fillId="3" borderId="0" xfId="0" applyNumberFormat="1" applyFont="1" applyFill="1"/>
    <xf numFmtId="0" fontId="28" fillId="0" borderId="0" xfId="0" applyFont="1" applyFill="1"/>
    <xf numFmtId="167" fontId="28" fillId="0" borderId="0" xfId="2" applyNumberFormat="1" applyFont="1" applyFill="1"/>
    <xf numFmtId="9" fontId="0" fillId="5" borderId="1" xfId="2" applyNumberFormat="1" applyFont="1" applyFill="1" applyBorder="1" applyAlignment="1">
      <alignment horizontal="center"/>
    </xf>
    <xf numFmtId="0" fontId="51" fillId="0" borderId="0" xfId="0" applyFont="1" applyFill="1"/>
    <xf numFmtId="0" fontId="0" fillId="14" borderId="18" xfId="0" applyFill="1" applyBorder="1"/>
    <xf numFmtId="43" fontId="28" fillId="0" borderId="0" xfId="2" applyFont="1" applyFill="1" applyBorder="1" applyAlignment="1">
      <alignment horizontal="right"/>
    </xf>
    <xf numFmtId="0" fontId="53" fillId="0" borderId="0" xfId="0" applyFont="1"/>
    <xf numFmtId="0" fontId="28" fillId="0" borderId="0" xfId="0" applyFont="1" applyBorder="1" applyAlignment="1">
      <alignment vertical="center"/>
    </xf>
    <xf numFmtId="166" fontId="11" fillId="0" borderId="0" xfId="2" applyNumberFormat="1" applyFont="1" applyFill="1" applyBorder="1" applyAlignment="1">
      <alignment horizontal="left" vertical="center"/>
    </xf>
    <xf numFmtId="0" fontId="0" fillId="3" borderId="0" xfId="0" applyFill="1" applyBorder="1"/>
    <xf numFmtId="0" fontId="0" fillId="3" borderId="2" xfId="0" applyFill="1" applyBorder="1" applyAlignment="1"/>
    <xf numFmtId="0" fontId="0" fillId="3" borderId="5" xfId="0" applyFill="1" applyBorder="1" applyAlignment="1"/>
    <xf numFmtId="0" fontId="12" fillId="3" borderId="0" xfId="0" applyFont="1" applyFill="1" applyBorder="1"/>
    <xf numFmtId="0" fontId="0" fillId="3" borderId="14" xfId="0" applyFill="1" applyBorder="1"/>
    <xf numFmtId="0" fontId="0" fillId="3" borderId="0" xfId="0" applyFont="1" applyFill="1" applyBorder="1"/>
    <xf numFmtId="0" fontId="0" fillId="3" borderId="14" xfId="0" applyFont="1" applyFill="1" applyBorder="1"/>
    <xf numFmtId="170" fontId="0" fillId="0" borderId="3" xfId="2" applyNumberFormat="1" applyFont="1" applyFill="1" applyBorder="1" applyAlignment="1">
      <alignment horizontal="center"/>
    </xf>
    <xf numFmtId="0" fontId="0" fillId="0" borderId="3" xfId="2" applyNumberFormat="1" applyFont="1" applyFill="1" applyBorder="1" applyAlignment="1">
      <alignment horizontal="center"/>
    </xf>
    <xf numFmtId="0" fontId="29" fillId="3" borderId="0" xfId="0" applyFont="1" applyFill="1" applyBorder="1"/>
    <xf numFmtId="0" fontId="22" fillId="0" borderId="0" xfId="0" applyFont="1"/>
    <xf numFmtId="10" fontId="0" fillId="0" borderId="0" xfId="0" applyNumberFormat="1" applyFont="1"/>
    <xf numFmtId="0" fontId="0" fillId="0" borderId="0" xfId="0" applyAlignment="1">
      <alignment horizontal="center"/>
    </xf>
    <xf numFmtId="173" fontId="0" fillId="0" borderId="0" xfId="0" applyNumberFormat="1"/>
    <xf numFmtId="9" fontId="5" fillId="0" borderId="0" xfId="0" applyNumberFormat="1" applyFont="1"/>
    <xf numFmtId="178" fontId="0" fillId="9" borderId="1" xfId="0" applyNumberFormat="1" applyFill="1" applyBorder="1" applyAlignment="1">
      <alignment horizontal="left"/>
    </xf>
    <xf numFmtId="0" fontId="0" fillId="0" borderId="0" xfId="0" applyAlignment="1">
      <alignment horizontal="left"/>
    </xf>
    <xf numFmtId="0" fontId="0" fillId="3" borderId="2" xfId="0" applyFont="1" applyFill="1" applyBorder="1" applyAlignment="1">
      <alignment horizontal="left"/>
    </xf>
    <xf numFmtId="9" fontId="0" fillId="0" borderId="1" xfId="3" applyFont="1" applyFill="1" applyBorder="1" applyAlignment="1">
      <alignment horizontal="right"/>
    </xf>
    <xf numFmtId="9" fontId="11" fillId="0" borderId="1" xfId="3" applyFont="1" applyBorder="1" applyAlignment="1">
      <alignment vertical="center" wrapText="1"/>
    </xf>
    <xf numFmtId="9" fontId="0" fillId="0" borderId="1" xfId="0" applyNumberFormat="1" applyFont="1" applyBorder="1" applyAlignment="1">
      <alignment horizontal="center"/>
    </xf>
    <xf numFmtId="6" fontId="0" fillId="0" borderId="0" xfId="0" applyNumberFormat="1" applyFont="1"/>
    <xf numFmtId="9" fontId="54" fillId="0" borderId="0" xfId="3" applyFont="1"/>
    <xf numFmtId="166" fontId="11" fillId="0" borderId="0" xfId="0" applyNumberFormat="1" applyFont="1"/>
    <xf numFmtId="166" fontId="11" fillId="0" borderId="1" xfId="0" applyNumberFormat="1" applyFont="1" applyBorder="1" applyAlignment="1">
      <alignment vertical="center" wrapText="1"/>
    </xf>
    <xf numFmtId="9" fontId="11" fillId="0" borderId="0" xfId="3" applyFont="1"/>
    <xf numFmtId="164" fontId="11" fillId="0" borderId="1" xfId="0" applyNumberFormat="1" applyFont="1" applyBorder="1" applyAlignment="1">
      <alignment horizontal="center"/>
    </xf>
    <xf numFmtId="164" fontId="11" fillId="5" borderId="1" xfId="0" applyNumberFormat="1" applyFont="1" applyFill="1" applyBorder="1"/>
    <xf numFmtId="166" fontId="5" fillId="0" borderId="1" xfId="2" applyNumberFormat="1" applyFont="1" applyFill="1" applyBorder="1" applyAlignment="1"/>
    <xf numFmtId="0" fontId="5" fillId="3" borderId="0" xfId="0" applyFont="1" applyFill="1" applyBorder="1"/>
    <xf numFmtId="0" fontId="5" fillId="3" borderId="14" xfId="0" applyFont="1" applyFill="1" applyBorder="1"/>
    <xf numFmtId="165" fontId="30" fillId="3" borderId="0" xfId="0" applyNumberFormat="1" applyFont="1" applyFill="1"/>
    <xf numFmtId="165" fontId="30" fillId="0" borderId="0" xfId="0" applyNumberFormat="1" applyFont="1"/>
    <xf numFmtId="165" fontId="5" fillId="0" borderId="0" xfId="0" applyNumberFormat="1" applyFont="1"/>
    <xf numFmtId="1" fontId="11" fillId="5" borderId="1" xfId="2" applyNumberFormat="1" applyFont="1" applyFill="1" applyBorder="1" applyAlignment="1">
      <alignment horizontal="center" vertical="center" wrapText="1"/>
    </xf>
    <xf numFmtId="1" fontId="11" fillId="0" borderId="1" xfId="2" applyNumberFormat="1" applyFont="1" applyFill="1" applyBorder="1" applyAlignment="1">
      <alignment horizontal="center" vertical="center" wrapText="1"/>
    </xf>
    <xf numFmtId="165" fontId="0" fillId="0" borderId="0" xfId="0" applyNumberFormat="1" applyFill="1"/>
    <xf numFmtId="165" fontId="28" fillId="0" borderId="0" xfId="0" applyNumberFormat="1" applyFont="1" applyFill="1"/>
    <xf numFmtId="165" fontId="30" fillId="0" borderId="0" xfId="0" applyNumberFormat="1" applyFont="1" applyFill="1"/>
    <xf numFmtId="166" fontId="5" fillId="0" borderId="1" xfId="2" applyNumberFormat="1" applyFont="1" applyFill="1" applyBorder="1" applyAlignment="1">
      <alignment horizontal="right" vertical="center"/>
    </xf>
    <xf numFmtId="168" fontId="5" fillId="0" borderId="1" xfId="2" applyNumberFormat="1" applyFont="1" applyFill="1" applyBorder="1" applyAlignment="1">
      <alignment horizontal="right" vertical="center"/>
    </xf>
    <xf numFmtId="166" fontId="3" fillId="0" borderId="1" xfId="2" applyNumberFormat="1" applyFont="1" applyFill="1" applyBorder="1" applyAlignment="1">
      <alignment horizontal="right" vertical="center"/>
    </xf>
    <xf numFmtId="165" fontId="0" fillId="0" borderId="0" xfId="0" applyNumberFormat="1" applyFont="1" applyAlignment="1">
      <alignment horizontal="right" vertical="center"/>
    </xf>
    <xf numFmtId="165" fontId="3" fillId="3" borderId="1" xfId="2" applyNumberFormat="1" applyFont="1" applyFill="1" applyBorder="1" applyAlignment="1">
      <alignment vertical="top" wrapText="1"/>
    </xf>
    <xf numFmtId="165" fontId="0" fillId="0" borderId="0" xfId="0" applyNumberFormat="1" applyFont="1"/>
    <xf numFmtId="165" fontId="3" fillId="3" borderId="1" xfId="2" applyNumberFormat="1" applyFont="1" applyFill="1" applyBorder="1" applyAlignment="1"/>
    <xf numFmtId="165" fontId="3" fillId="3" borderId="1" xfId="2" applyNumberFormat="1" applyFont="1" applyFill="1" applyBorder="1" applyAlignment="1">
      <alignment horizontal="right" vertical="center"/>
    </xf>
    <xf numFmtId="9" fontId="28" fillId="0" borderId="0" xfId="3" applyFont="1" applyFill="1" applyBorder="1" applyAlignment="1">
      <alignment horizontal="left" vertical="center"/>
    </xf>
    <xf numFmtId="10" fontId="0" fillId="15" borderId="1" xfId="2" applyNumberFormat="1" applyFont="1" applyFill="1" applyBorder="1" applyAlignment="1">
      <alignment horizontal="center"/>
    </xf>
    <xf numFmtId="9" fontId="6" fillId="15" borderId="1" xfId="3" applyFont="1" applyFill="1" applyBorder="1" applyAlignment="1">
      <alignment horizontal="center" vertical="center" wrapText="1"/>
    </xf>
    <xf numFmtId="10" fontId="6" fillId="15" borderId="1" xfId="3" applyNumberFormat="1" applyFont="1" applyFill="1" applyBorder="1" applyAlignment="1">
      <alignment vertical="center" wrapText="1"/>
    </xf>
    <xf numFmtId="0" fontId="6" fillId="15" borderId="1" xfId="2" applyNumberFormat="1" applyFont="1" applyFill="1" applyBorder="1" applyAlignment="1">
      <alignment vertical="center" wrapText="1"/>
    </xf>
    <xf numFmtId="0" fontId="0" fillId="15" borderId="1" xfId="2" applyNumberFormat="1" applyFont="1" applyFill="1" applyBorder="1" applyAlignment="1">
      <alignment horizontal="center"/>
    </xf>
    <xf numFmtId="9" fontId="11" fillId="5" borderId="1" xfId="3" applyFont="1" applyFill="1" applyBorder="1" applyAlignment="1">
      <alignment horizontal="center" vertical="center" wrapText="1"/>
    </xf>
    <xf numFmtId="170" fontId="28" fillId="0" borderId="0" xfId="3" applyNumberFormat="1" applyFont="1" applyFill="1" applyBorder="1" applyAlignment="1">
      <alignment horizontal="left" vertical="center"/>
    </xf>
    <xf numFmtId="1" fontId="6" fillId="15" borderId="1" xfId="2" applyNumberFormat="1" applyFont="1" applyFill="1" applyBorder="1" applyAlignment="1">
      <alignment vertical="center" wrapText="1"/>
    </xf>
    <xf numFmtId="9" fontId="6" fillId="0" borderId="1" xfId="2" applyNumberFormat="1" applyFont="1" applyFill="1" applyBorder="1" applyAlignment="1">
      <alignment horizontal="center" vertical="center" wrapText="1"/>
    </xf>
    <xf numFmtId="0" fontId="0" fillId="16" borderId="18" xfId="0" applyFill="1" applyBorder="1"/>
    <xf numFmtId="168" fontId="6" fillId="0" borderId="1" xfId="2" applyNumberFormat="1" applyFont="1" applyFill="1" applyBorder="1" applyAlignment="1">
      <alignment horizontal="center" vertical="center" wrapText="1"/>
    </xf>
    <xf numFmtId="168" fontId="6" fillId="15" borderId="1" xfId="2" applyNumberFormat="1" applyFont="1" applyFill="1" applyBorder="1" applyAlignment="1">
      <alignment horizontal="center" vertical="center" wrapText="1"/>
    </xf>
    <xf numFmtId="9" fontId="0" fillId="15" borderId="1" xfId="2" applyNumberFormat="1" applyFont="1" applyFill="1" applyBorder="1" applyAlignment="1">
      <alignment horizontal="center"/>
    </xf>
    <xf numFmtId="166" fontId="3" fillId="0" borderId="1" xfId="2" applyNumberFormat="1" applyFont="1" applyFill="1" applyBorder="1" applyAlignment="1">
      <alignment horizontal="right" vertical="center" wrapText="1"/>
    </xf>
    <xf numFmtId="166" fontId="3" fillId="0" borderId="1" xfId="2" applyNumberFormat="1" applyFont="1" applyFill="1" applyBorder="1" applyAlignment="1">
      <alignment horizontal="left" vertical="center" wrapText="1"/>
    </xf>
    <xf numFmtId="166" fontId="3" fillId="14" borderId="1" xfId="2" applyNumberFormat="1" applyFont="1" applyFill="1" applyBorder="1" applyAlignment="1">
      <alignment horizontal="right" vertical="center" wrapText="1"/>
    </xf>
    <xf numFmtId="166" fontId="3" fillId="5" borderId="1" xfId="2" applyNumberFormat="1" applyFont="1" applyFill="1" applyBorder="1" applyAlignment="1">
      <alignment horizontal="right" vertical="center" wrapText="1"/>
    </xf>
    <xf numFmtId="166" fontId="3" fillId="0" borderId="0" xfId="2" applyNumberFormat="1" applyFont="1" applyFill="1" applyBorder="1" applyAlignment="1">
      <alignment horizontal="left" vertical="center" wrapText="1"/>
    </xf>
    <xf numFmtId="0" fontId="0" fillId="0" borderId="19" xfId="0" applyBorder="1" applyAlignment="1">
      <alignment horizontal="left" vertical="top" wrapText="1" indent="1"/>
    </xf>
    <xf numFmtId="0" fontId="34" fillId="0" borderId="0" xfId="0" applyFont="1" applyAlignment="1">
      <alignment wrapText="1"/>
    </xf>
    <xf numFmtId="0" fontId="57" fillId="0" borderId="0" xfId="0" applyFont="1" applyAlignment="1">
      <alignment wrapText="1"/>
    </xf>
    <xf numFmtId="0" fontId="58" fillId="0" borderId="0" xfId="0" applyFont="1" applyAlignment="1">
      <alignment vertical="center"/>
    </xf>
    <xf numFmtId="0" fontId="59" fillId="0" borderId="0" xfId="0" applyFont="1" applyAlignment="1">
      <alignment horizontal="left" vertical="center" indent="3"/>
    </xf>
    <xf numFmtId="170" fontId="0" fillId="0" borderId="1" xfId="2" applyNumberFormat="1" applyFont="1" applyFill="1" applyBorder="1" applyAlignment="1">
      <alignment vertical="top" wrapText="1"/>
    </xf>
    <xf numFmtId="170" fontId="5" fillId="3" borderId="1" xfId="2" applyNumberFormat="1" applyFont="1" applyFill="1" applyBorder="1" applyAlignment="1">
      <alignment horizontal="left" vertical="top" wrapText="1"/>
    </xf>
    <xf numFmtId="170" fontId="0" fillId="3" borderId="1" xfId="2" applyNumberFormat="1" applyFont="1" applyFill="1" applyBorder="1" applyAlignment="1">
      <alignment horizontal="left" vertical="top" wrapText="1"/>
    </xf>
    <xf numFmtId="170" fontId="5" fillId="3" borderId="1" xfId="2" applyNumberFormat="1" applyFont="1" applyFill="1" applyBorder="1" applyAlignment="1">
      <alignment horizontal="left" vertical="top"/>
    </xf>
    <xf numFmtId="0" fontId="55" fillId="3" borderId="0" xfId="0" applyFont="1" applyFill="1"/>
    <xf numFmtId="0" fontId="56" fillId="3" borderId="0" xfId="0" applyFont="1" applyFill="1"/>
    <xf numFmtId="0" fontId="59" fillId="0" borderId="1" xfId="0" applyFont="1" applyBorder="1" applyAlignment="1">
      <alignment horizontal="left" vertical="center" wrapText="1"/>
    </xf>
    <xf numFmtId="0" fontId="58" fillId="0" borderId="1" xfId="0" applyFont="1" applyBorder="1" applyAlignment="1">
      <alignment horizontal="left" vertical="center" wrapText="1"/>
    </xf>
    <xf numFmtId="0" fontId="64" fillId="0" borderId="1" xfId="0" applyFont="1" applyBorder="1" applyAlignment="1">
      <alignment horizontal="left" vertical="center" wrapText="1"/>
    </xf>
    <xf numFmtId="0" fontId="65" fillId="0" borderId="1" xfId="0" applyFont="1" applyBorder="1" applyAlignment="1">
      <alignment horizontal="left" vertical="center" wrapText="1"/>
    </xf>
    <xf numFmtId="0" fontId="67" fillId="0" borderId="1" xfId="0" applyFont="1" applyBorder="1" applyAlignment="1">
      <alignment horizontal="left" vertical="center" wrapText="1"/>
    </xf>
    <xf numFmtId="9" fontId="28" fillId="0" borderId="0" xfId="3" applyFont="1" applyBorder="1" applyAlignment="1">
      <alignment horizontal="center"/>
    </xf>
    <xf numFmtId="0" fontId="69" fillId="0" borderId="0" xfId="0" applyFont="1"/>
    <xf numFmtId="183" fontId="0" fillId="0" borderId="0" xfId="0" applyNumberFormat="1"/>
    <xf numFmtId="165" fontId="6" fillId="0" borderId="2" xfId="0" applyNumberFormat="1" applyFont="1" applyFill="1" applyBorder="1" applyAlignment="1">
      <alignment horizontal="left" vertical="center"/>
    </xf>
    <xf numFmtId="170" fontId="6" fillId="0" borderId="2" xfId="3" applyNumberFormat="1" applyFont="1" applyFill="1" applyBorder="1" applyAlignment="1">
      <alignment horizontal="left" vertical="center"/>
    </xf>
    <xf numFmtId="165" fontId="5" fillId="0" borderId="1" xfId="0" applyNumberFormat="1" applyFont="1" applyBorder="1" applyAlignment="1">
      <alignment horizontal="left"/>
    </xf>
    <xf numFmtId="9" fontId="5" fillId="0" borderId="1" xfId="3" applyFont="1" applyBorder="1" applyAlignment="1">
      <alignment horizontal="left"/>
    </xf>
    <xf numFmtId="168" fontId="7" fillId="0" borderId="0" xfId="2" applyNumberFormat="1" applyFont="1" applyBorder="1" applyAlignment="1">
      <alignment vertical="center"/>
    </xf>
    <xf numFmtId="9" fontId="7" fillId="0" borderId="1" xfId="3" applyFont="1" applyBorder="1" applyAlignment="1">
      <alignment vertical="center"/>
    </xf>
    <xf numFmtId="9" fontId="3" fillId="0" borderId="1" xfId="3" applyNumberFormat="1" applyFont="1" applyBorder="1" applyAlignment="1">
      <alignment horizontal="center"/>
    </xf>
    <xf numFmtId="0" fontId="0" fillId="17" borderId="18" xfId="0" applyFill="1" applyBorder="1"/>
    <xf numFmtId="166" fontId="28" fillId="0" borderId="0" xfId="3" applyNumberFormat="1" applyFont="1" applyFill="1" applyBorder="1" applyAlignment="1">
      <alignment horizontal="center" vertical="center" wrapText="1"/>
    </xf>
    <xf numFmtId="44" fontId="28" fillId="0" borderId="0" xfId="4" applyFont="1"/>
    <xf numFmtId="0" fontId="18" fillId="0" borderId="0" xfId="0" applyFont="1" applyFill="1" applyBorder="1" applyAlignment="1">
      <alignment vertical="center"/>
    </xf>
    <xf numFmtId="165" fontId="5" fillId="0" borderId="0" xfId="2" applyNumberFormat="1" applyFont="1" applyFill="1" applyBorder="1" applyAlignment="1"/>
    <xf numFmtId="9" fontId="5" fillId="0" borderId="0" xfId="3" applyFont="1" applyFill="1" applyBorder="1" applyAlignment="1"/>
    <xf numFmtId="9" fontId="3" fillId="0" borderId="1" xfId="3" applyFont="1" applyFill="1" applyBorder="1" applyAlignment="1"/>
    <xf numFmtId="10" fontId="28" fillId="0" borderId="0" xfId="3" applyNumberFormat="1" applyFont="1"/>
    <xf numFmtId="9" fontId="5" fillId="0" borderId="0" xfId="3" applyNumberFormat="1" applyFont="1"/>
    <xf numFmtId="9" fontId="7" fillId="0" borderId="1" xfId="0" applyNumberFormat="1" applyFont="1" applyBorder="1" applyAlignment="1">
      <alignment vertical="center" wrapText="1"/>
    </xf>
    <xf numFmtId="0" fontId="28" fillId="0" borderId="0" xfId="0" applyFont="1" applyAlignment="1">
      <alignment vertical="top"/>
    </xf>
    <xf numFmtId="0" fontId="0" fillId="0" borderId="0" xfId="0" applyAlignment="1">
      <alignment vertical="top"/>
    </xf>
    <xf numFmtId="0" fontId="28" fillId="0" borderId="0" xfId="0" applyFont="1" applyAlignment="1">
      <alignment vertical="top" wrapText="1"/>
    </xf>
    <xf numFmtId="167" fontId="28" fillId="0" borderId="0" xfId="2" applyNumberFormat="1" applyFont="1" applyAlignment="1">
      <alignment vertical="top"/>
    </xf>
    <xf numFmtId="165" fontId="28" fillId="0" borderId="0" xfId="0" applyNumberFormat="1" applyFont="1" applyAlignment="1">
      <alignment vertical="top"/>
    </xf>
    <xf numFmtId="165" fontId="30" fillId="0" borderId="0" xfId="0" applyNumberFormat="1" applyFont="1" applyAlignment="1">
      <alignment vertical="top"/>
    </xf>
    <xf numFmtId="9" fontId="0" fillId="0" borderId="1" xfId="0" applyNumberFormat="1" applyFont="1" applyFill="1" applyBorder="1" applyAlignment="1">
      <alignment wrapText="1"/>
    </xf>
    <xf numFmtId="9" fontId="28" fillId="0" borderId="0" xfId="3" applyNumberFormat="1" applyFont="1"/>
    <xf numFmtId="0" fontId="11" fillId="0" borderId="0" xfId="0" applyFont="1" applyBorder="1" applyAlignment="1">
      <alignment vertical="center" wrapText="1"/>
    </xf>
    <xf numFmtId="166" fontId="0" fillId="0" borderId="1" xfId="3" applyNumberFormat="1" applyFont="1" applyBorder="1" applyAlignment="1">
      <alignment horizontal="center"/>
    </xf>
    <xf numFmtId="9" fontId="18" fillId="0" borderId="0" xfId="3" applyFont="1"/>
    <xf numFmtId="0" fontId="18" fillId="0" borderId="1" xfId="0" applyFont="1" applyBorder="1" applyAlignment="1">
      <alignment vertical="center" wrapText="1"/>
    </xf>
    <xf numFmtId="166" fontId="5" fillId="0" borderId="1" xfId="3" applyNumberFormat="1" applyFont="1" applyBorder="1" applyAlignment="1">
      <alignment horizontal="center"/>
    </xf>
    <xf numFmtId="164" fontId="5" fillId="0" borderId="0" xfId="0" applyNumberFormat="1" applyFont="1"/>
    <xf numFmtId="9" fontId="7" fillId="0" borderId="1" xfId="3" applyFont="1" applyBorder="1" applyAlignment="1">
      <alignment vertical="center" wrapText="1"/>
    </xf>
    <xf numFmtId="0" fontId="18" fillId="0" borderId="0" xfId="0" applyFont="1" applyFill="1" applyBorder="1" applyAlignment="1">
      <alignment vertical="center" wrapText="1"/>
    </xf>
    <xf numFmtId="166" fontId="0" fillId="0" borderId="0" xfId="2" applyNumberFormat="1" applyFont="1"/>
    <xf numFmtId="166" fontId="28" fillId="0" borderId="0" xfId="2" applyNumberFormat="1" applyFont="1"/>
    <xf numFmtId="166" fontId="5" fillId="0" borderId="0" xfId="2" applyNumberFormat="1" applyFont="1"/>
    <xf numFmtId="166" fontId="30" fillId="0" borderId="0" xfId="2" applyNumberFormat="1" applyFont="1"/>
    <xf numFmtId="166" fontId="28" fillId="0" borderId="0" xfId="2" applyNumberFormat="1" applyFont="1" applyFill="1" applyBorder="1"/>
    <xf numFmtId="166" fontId="18" fillId="0" borderId="1" xfId="0" applyNumberFormat="1" applyFont="1" applyBorder="1" applyAlignment="1">
      <alignment vertical="center" wrapText="1"/>
    </xf>
    <xf numFmtId="168" fontId="18" fillId="0" borderId="1" xfId="2" applyNumberFormat="1" applyFont="1" applyBorder="1" applyAlignment="1">
      <alignment horizontal="center"/>
    </xf>
    <xf numFmtId="0" fontId="18" fillId="0" borderId="0" xfId="0" applyFont="1" applyBorder="1" applyAlignment="1">
      <alignment vertical="center" wrapText="1"/>
    </xf>
    <xf numFmtId="166" fontId="5" fillId="0" borderId="0" xfId="3" applyNumberFormat="1" applyFont="1" applyBorder="1" applyAlignment="1">
      <alignment horizontal="center"/>
    </xf>
    <xf numFmtId="9" fontId="0" fillId="0" borderId="0" xfId="3" applyFont="1" applyBorder="1" applyAlignment="1">
      <alignment horizontal="center"/>
    </xf>
    <xf numFmtId="9" fontId="28" fillId="0" borderId="0" xfId="3" applyFont="1" applyFill="1" applyBorder="1" applyAlignment="1">
      <alignment vertical="center"/>
    </xf>
    <xf numFmtId="9" fontId="28" fillId="0" borderId="0" xfId="3" applyFont="1" applyFill="1" applyBorder="1" applyAlignment="1">
      <alignment vertical="center" wrapText="1"/>
    </xf>
    <xf numFmtId="166" fontId="0" fillId="15" borderId="1" xfId="2" applyNumberFormat="1" applyFont="1" applyFill="1" applyBorder="1" applyAlignment="1">
      <alignment horizontal="center"/>
    </xf>
    <xf numFmtId="0" fontId="0" fillId="15" borderId="1" xfId="3" applyNumberFormat="1" applyFont="1" applyFill="1" applyBorder="1" applyAlignment="1">
      <alignment horizontal="center"/>
    </xf>
    <xf numFmtId="9" fontId="5" fillId="0" borderId="1" xfId="3" applyFont="1" applyFill="1" applyBorder="1" applyAlignment="1"/>
    <xf numFmtId="168" fontId="5" fillId="0" borderId="1" xfId="2" applyNumberFormat="1" applyFont="1" applyFill="1" applyBorder="1" applyAlignment="1"/>
    <xf numFmtId="165" fontId="0" fillId="0" borderId="0" xfId="2" applyNumberFormat="1" applyFont="1" applyFill="1" applyBorder="1" applyAlignment="1">
      <alignment horizontal="center"/>
    </xf>
    <xf numFmtId="165" fontId="5" fillId="0" borderId="1" xfId="2" applyNumberFormat="1" applyFont="1" applyFill="1" applyBorder="1" applyAlignment="1">
      <alignment horizontal="center"/>
    </xf>
    <xf numFmtId="8" fontId="0" fillId="0" borderId="0" xfId="0" applyNumberFormat="1"/>
    <xf numFmtId="9" fontId="4" fillId="0" borderId="0" xfId="3" applyFont="1" applyFill="1" applyBorder="1" applyAlignment="1">
      <alignment horizontal="left" vertical="center"/>
    </xf>
    <xf numFmtId="165" fontId="0" fillId="3" borderId="6" xfId="0" applyNumberFormat="1" applyFont="1" applyFill="1" applyBorder="1" applyAlignment="1">
      <alignment horizontal="left" vertical="top" wrapText="1"/>
    </xf>
    <xf numFmtId="165" fontId="0" fillId="3" borderId="3" xfId="0" applyNumberFormat="1" applyFont="1" applyFill="1" applyBorder="1" applyAlignment="1">
      <alignment horizontal="left" vertical="top" wrapText="1"/>
    </xf>
    <xf numFmtId="0" fontId="0" fillId="3" borderId="16" xfId="0" applyFont="1" applyFill="1" applyBorder="1" applyAlignment="1">
      <alignment horizontal="left" vertical="top" wrapText="1"/>
    </xf>
    <xf numFmtId="0" fontId="0" fillId="3" borderId="17" xfId="0" applyFont="1" applyFill="1" applyBorder="1" applyAlignment="1">
      <alignment horizontal="left" vertical="top" wrapText="1"/>
    </xf>
    <xf numFmtId="0" fontId="0" fillId="3" borderId="6" xfId="0" applyFont="1" applyFill="1" applyBorder="1" applyAlignment="1">
      <alignment horizontal="left" vertical="top" wrapText="1"/>
    </xf>
    <xf numFmtId="0" fontId="0" fillId="3" borderId="3" xfId="0" applyFont="1" applyFill="1" applyBorder="1" applyAlignment="1">
      <alignment horizontal="left" vertical="top" wrapText="1"/>
    </xf>
    <xf numFmtId="167" fontId="0" fillId="3" borderId="6" xfId="2" applyNumberFormat="1" applyFont="1" applyFill="1" applyBorder="1" applyAlignment="1">
      <alignment horizontal="left" vertical="top" wrapText="1"/>
    </xf>
    <xf numFmtId="167" fontId="0" fillId="3" borderId="3" xfId="2" applyNumberFormat="1" applyFont="1" applyFill="1" applyBorder="1" applyAlignment="1">
      <alignment horizontal="left" vertical="top" wrapText="1"/>
    </xf>
    <xf numFmtId="165" fontId="5" fillId="3" borderId="6" xfId="0" applyNumberFormat="1" applyFont="1" applyFill="1" applyBorder="1" applyAlignment="1">
      <alignment horizontal="left" vertical="top" wrapText="1"/>
    </xf>
    <xf numFmtId="165" fontId="5" fillId="3" borderId="3" xfId="0" applyNumberFormat="1" applyFont="1" applyFill="1" applyBorder="1" applyAlignment="1">
      <alignment horizontal="left" vertical="top" wrapText="1"/>
    </xf>
    <xf numFmtId="166" fontId="34" fillId="0" borderId="2" xfId="0" applyNumberFormat="1" applyFont="1" applyBorder="1" applyAlignment="1">
      <alignment horizontal="left" vertical="top" wrapText="1"/>
    </xf>
    <xf numFmtId="166" fontId="34" fillId="0" borderId="5" xfId="0" applyNumberFormat="1" applyFont="1" applyBorder="1" applyAlignment="1">
      <alignment horizontal="left" vertical="top" wrapText="1"/>
    </xf>
    <xf numFmtId="0" fontId="34" fillId="0" borderId="2" xfId="0" applyFont="1" applyFill="1" applyBorder="1" applyAlignment="1">
      <alignment horizontal="left" wrapText="1"/>
    </xf>
    <xf numFmtId="0" fontId="34" fillId="0" borderId="5" xfId="0" applyFont="1" applyFill="1" applyBorder="1" applyAlignment="1">
      <alignment horizontal="left" wrapText="1"/>
    </xf>
    <xf numFmtId="166" fontId="1" fillId="0" borderId="2" xfId="2" applyNumberFormat="1" applyFont="1" applyFill="1" applyBorder="1" applyAlignment="1">
      <alignment horizontal="left" vertical="top" wrapText="1"/>
    </xf>
    <xf numFmtId="166" fontId="1" fillId="0" borderId="5" xfId="2" applyNumberFormat="1" applyFont="1" applyFill="1" applyBorder="1" applyAlignment="1">
      <alignment horizontal="left" vertical="top" wrapText="1"/>
    </xf>
    <xf numFmtId="9" fontId="6" fillId="0" borderId="6" xfId="3" applyFont="1" applyBorder="1" applyAlignment="1">
      <alignment horizontal="left" vertical="center" wrapText="1"/>
    </xf>
    <xf numFmtId="9" fontId="6" fillId="0" borderId="3" xfId="3" applyFont="1" applyBorder="1" applyAlignment="1">
      <alignment horizontal="left" vertical="center" wrapText="1"/>
    </xf>
    <xf numFmtId="0" fontId="38" fillId="8" borderId="11" xfId="0" applyFont="1" applyFill="1" applyBorder="1" applyAlignment="1">
      <alignment vertical="top" wrapText="1"/>
    </xf>
    <xf numFmtId="0" fontId="38" fillId="8" borderId="0" xfId="0" applyFont="1" applyFill="1" applyBorder="1" applyAlignment="1">
      <alignment vertical="top" wrapText="1"/>
    </xf>
    <xf numFmtId="0" fontId="38" fillId="8" borderId="14" xfId="0" applyFont="1" applyFill="1" applyBorder="1" applyAlignment="1">
      <alignment vertical="top" wrapText="1"/>
    </xf>
    <xf numFmtId="0" fontId="0" fillId="0" borderId="6" xfId="0" applyFill="1" applyBorder="1" applyAlignment="1">
      <alignment horizontal="center" vertical="center" wrapText="1"/>
    </xf>
    <xf numFmtId="0" fontId="0" fillId="0" borderId="3" xfId="0" applyFill="1" applyBorder="1" applyAlignment="1">
      <alignment horizontal="center" vertical="center" wrapText="1"/>
    </xf>
  </cellXfs>
  <cellStyles count="5">
    <cellStyle name="Comma" xfId="2" builtinId="3"/>
    <cellStyle name="Currency" xfId="4" builtinId="4"/>
    <cellStyle name="Hyperlink" xfId="1" builtinId="8"/>
    <cellStyle name="Normal" xfId="0" builtinId="0"/>
    <cellStyle name="Percent" xfId="3" builtinId="5"/>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B01010"/>
      <color rgb="FFFFF9E7"/>
      <color rgb="FFFF8989"/>
      <color rgb="FF9CD3E0"/>
      <color rgb="FF6488FC"/>
      <color rgb="FFA4A2FA"/>
      <color rgb="FFFFFFFF"/>
      <color rgb="FFFF9933"/>
      <color rgb="FFFF8409"/>
      <color rgb="FF0B1E2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3.xml"/><Relationship Id="rId1" Type="http://schemas.microsoft.com/office/2011/relationships/chartStyle" Target="style13.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8.xml"/><Relationship Id="rId1" Type="http://schemas.microsoft.com/office/2011/relationships/chartStyle" Target="style18.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Ex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Annual benefits, by cash releasing and non-cash releasing (£bn)</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0168692672393848"/>
          <c:y val="0.11976972404660588"/>
          <c:w val="0.85742807646469532"/>
          <c:h val="0.68439946633692361"/>
        </c:manualLayout>
      </c:layout>
      <c:areaChart>
        <c:grouping val="standard"/>
        <c:varyColors val="0"/>
        <c:ser>
          <c:idx val="0"/>
          <c:order val="0"/>
          <c:tx>
            <c:strRef>
              <c:f>'National model results detailed'!$B$190</c:f>
              <c:strCache>
                <c:ptCount val="1"/>
                <c:pt idx="0">
                  <c:v>Non-cash releasing</c:v>
                </c:pt>
              </c:strCache>
            </c:strRef>
          </c:tx>
          <c:spPr>
            <a:solidFill>
              <a:srgbClr val="4472C4">
                <a:lumMod val="40000"/>
                <a:lumOff val="60000"/>
              </a:srgbClr>
            </a:solidFill>
            <a:ln w="25400">
              <a:noFill/>
            </a:ln>
            <a:effectLst/>
          </c:spPr>
          <c:cat>
            <c:numRef>
              <c:extLst>
                <c:ext xmlns:c15="http://schemas.microsoft.com/office/drawing/2012/chart" uri="{02D57815-91ED-43cb-92C2-25804820EDAC}">
                  <c15:fullRef>
                    <c15:sqref>'National model results detailed'!$C$104:$AO$104</c15:sqref>
                  </c15:fullRef>
                </c:ext>
              </c:extLst>
              <c:f>'National model results detailed'!$J$104:$AO$104</c:f>
              <c:numCache>
                <c:formatCode>General</c:formatCode>
                <c:ptCount val="32"/>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pt idx="20">
                  <c:v>2047</c:v>
                </c:pt>
                <c:pt idx="21">
                  <c:v>2048</c:v>
                </c:pt>
                <c:pt idx="22">
                  <c:v>2049</c:v>
                </c:pt>
                <c:pt idx="23">
                  <c:v>2050</c:v>
                </c:pt>
                <c:pt idx="24">
                  <c:v>2051</c:v>
                </c:pt>
                <c:pt idx="25">
                  <c:v>2052</c:v>
                </c:pt>
                <c:pt idx="26">
                  <c:v>2053</c:v>
                </c:pt>
                <c:pt idx="27">
                  <c:v>2054</c:v>
                </c:pt>
                <c:pt idx="28">
                  <c:v>2055</c:v>
                </c:pt>
                <c:pt idx="29">
                  <c:v>2056</c:v>
                </c:pt>
                <c:pt idx="30">
                  <c:v>2057</c:v>
                </c:pt>
                <c:pt idx="31">
                  <c:v>2058</c:v>
                </c:pt>
              </c:numCache>
            </c:numRef>
          </c:cat>
          <c:val>
            <c:numRef>
              <c:extLst>
                <c:ext xmlns:c15="http://schemas.microsoft.com/office/drawing/2012/chart" uri="{02D57815-91ED-43cb-92C2-25804820EDAC}">
                  <c15:fullRef>
                    <c15:sqref>'National model results detailed'!$C$192:$AO$192</c15:sqref>
                  </c15:fullRef>
                </c:ext>
              </c:extLst>
              <c:f>'National model results detailed'!$J$192:$AO$192</c:f>
              <c:numCache>
                <c:formatCode>"£"#,##0.00</c:formatCode>
                <c:ptCount val="32"/>
                <c:pt idx="0">
                  <c:v>414435.70902312233</c:v>
                </c:pt>
                <c:pt idx="1">
                  <c:v>468004.07566664461</c:v>
                </c:pt>
                <c:pt idx="2">
                  <c:v>507570.53089724481</c:v>
                </c:pt>
                <c:pt idx="3">
                  <c:v>537729.38592956436</c:v>
                </c:pt>
                <c:pt idx="4">
                  <c:v>560602.50305537554</c:v>
                </c:pt>
                <c:pt idx="5">
                  <c:v>579196.80441922345</c:v>
                </c:pt>
                <c:pt idx="6">
                  <c:v>595440.95865352964</c:v>
                </c:pt>
                <c:pt idx="7">
                  <c:v>610531.50159261085</c:v>
                </c:pt>
                <c:pt idx="8">
                  <c:v>647236.19940303836</c:v>
                </c:pt>
                <c:pt idx="9">
                  <c:v>681677.71210174274</c:v>
                </c:pt>
                <c:pt idx="10">
                  <c:v>714747.93940569041</c:v>
                </c:pt>
                <c:pt idx="11">
                  <c:v>747779.4515538977</c:v>
                </c:pt>
                <c:pt idx="12">
                  <c:v>781123.08203614678</c:v>
                </c:pt>
                <c:pt idx="13">
                  <c:v>814920.03473134688</c:v>
                </c:pt>
                <c:pt idx="14">
                  <c:v>848835.25922564627</c:v>
                </c:pt>
                <c:pt idx="15">
                  <c:v>883894.29354639677</c:v>
                </c:pt>
                <c:pt idx="16">
                  <c:v>920242.60750034696</c:v>
                </c:pt>
                <c:pt idx="17">
                  <c:v>957807.98366946401</c:v>
                </c:pt>
                <c:pt idx="18">
                  <c:v>996287.62401918997</c:v>
                </c:pt>
                <c:pt idx="19">
                  <c:v>1035741.6756623721</c:v>
                </c:pt>
                <c:pt idx="20">
                  <c:v>1076254.0991822416</c:v>
                </c:pt>
                <c:pt idx="21">
                  <c:v>1117854.0517676845</c:v>
                </c:pt>
                <c:pt idx="22">
                  <c:v>1160680.5977032131</c:v>
                </c:pt>
                <c:pt idx="23">
                  <c:v>1205056.6750556836</c:v>
                </c:pt>
                <c:pt idx="24">
                  <c:v>1251059.2065136833</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60E2-41CA-84DC-B584B33481A5}"/>
            </c:ext>
          </c:extLst>
        </c:ser>
        <c:ser>
          <c:idx val="1"/>
          <c:order val="1"/>
          <c:tx>
            <c:strRef>
              <c:f>'National model results detailed'!$B$191</c:f>
              <c:strCache>
                <c:ptCount val="1"/>
                <c:pt idx="0">
                  <c:v>Cash releasing</c:v>
                </c:pt>
              </c:strCache>
            </c:strRef>
          </c:tx>
          <c:spPr>
            <a:solidFill>
              <a:schemeClr val="accent1">
                <a:lumMod val="25000"/>
                <a:lumOff val="75000"/>
              </a:schemeClr>
            </a:solidFill>
            <a:ln>
              <a:noFill/>
            </a:ln>
            <a:effectLst/>
          </c:spPr>
          <c:cat>
            <c:numRef>
              <c:extLst>
                <c:ext xmlns:c15="http://schemas.microsoft.com/office/drawing/2012/chart" uri="{02D57815-91ED-43cb-92C2-25804820EDAC}">
                  <c15:fullRef>
                    <c15:sqref>'National model results detailed'!$C$104:$AO$104</c15:sqref>
                  </c15:fullRef>
                </c:ext>
              </c:extLst>
              <c:f>'National model results detailed'!$J$104:$AO$104</c:f>
              <c:numCache>
                <c:formatCode>General</c:formatCode>
                <c:ptCount val="32"/>
                <c:pt idx="0">
                  <c:v>2027</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pt idx="20">
                  <c:v>2047</c:v>
                </c:pt>
                <c:pt idx="21">
                  <c:v>2048</c:v>
                </c:pt>
                <c:pt idx="22">
                  <c:v>2049</c:v>
                </c:pt>
                <c:pt idx="23">
                  <c:v>2050</c:v>
                </c:pt>
                <c:pt idx="24">
                  <c:v>2051</c:v>
                </c:pt>
                <c:pt idx="25">
                  <c:v>2052</c:v>
                </c:pt>
                <c:pt idx="26">
                  <c:v>2053</c:v>
                </c:pt>
                <c:pt idx="27">
                  <c:v>2054</c:v>
                </c:pt>
                <c:pt idx="28">
                  <c:v>2055</c:v>
                </c:pt>
                <c:pt idx="29">
                  <c:v>2056</c:v>
                </c:pt>
                <c:pt idx="30">
                  <c:v>2057</c:v>
                </c:pt>
                <c:pt idx="31">
                  <c:v>2058</c:v>
                </c:pt>
              </c:numCache>
            </c:numRef>
          </c:cat>
          <c:val>
            <c:numRef>
              <c:extLst>
                <c:ext xmlns:c15="http://schemas.microsoft.com/office/drawing/2012/chart" uri="{02D57815-91ED-43cb-92C2-25804820EDAC}">
                  <c15:fullRef>
                    <c15:sqref>'National model results detailed'!$C$191:$AO$191</c15:sqref>
                  </c15:fullRef>
                </c:ext>
              </c:extLst>
              <c:f>'National model results detailed'!$J$191:$AO$191</c:f>
              <c:numCache>
                <c:formatCode>"£"#,##0.00</c:formatCode>
                <c:ptCount val="32"/>
                <c:pt idx="0">
                  <c:v>241257.5644309691</c:v>
                </c:pt>
                <c:pt idx="1">
                  <c:v>281312.2020329333</c:v>
                </c:pt>
                <c:pt idx="2">
                  <c:v>310960.93187334714</c:v>
                </c:pt>
                <c:pt idx="3">
                  <c:v>333720.97325259697</c:v>
                </c:pt>
                <c:pt idx="4">
                  <c:v>351224.03339464602</c:v>
                </c:pt>
                <c:pt idx="5">
                  <c:v>365751.28401308181</c:v>
                </c:pt>
                <c:pt idx="6">
                  <c:v>378729.31730459054</c:v>
                </c:pt>
                <c:pt idx="7">
                  <c:v>391030.18751231761</c:v>
                </c:pt>
                <c:pt idx="8">
                  <c:v>415158.38287120819</c:v>
                </c:pt>
                <c:pt idx="9">
                  <c:v>438102.607322747</c:v>
                </c:pt>
                <c:pt idx="10">
                  <c:v>460361.50028936396</c:v>
                </c:pt>
                <c:pt idx="11">
                  <c:v>482755.04517308943</c:v>
                </c:pt>
                <c:pt idx="12">
                  <c:v>505529.11164765037</c:v>
                </c:pt>
                <c:pt idx="13">
                  <c:v>528760.33646011713</c:v>
                </c:pt>
                <c:pt idx="14">
                  <c:v>552173.41481409303</c:v>
                </c:pt>
                <c:pt idx="15">
                  <c:v>576488.23955341429</c:v>
                </c:pt>
                <c:pt idx="16">
                  <c:v>601813.27918001998</c:v>
                </c:pt>
                <c:pt idx="17">
                  <c:v>628104.73265594314</c:v>
                </c:pt>
                <c:pt idx="18">
                  <c:v>655145.34767664678</c:v>
                </c:pt>
                <c:pt idx="19">
                  <c:v>682992.57685084315</c:v>
                </c:pt>
                <c:pt idx="20">
                  <c:v>711720.51423708245</c:v>
                </c:pt>
                <c:pt idx="21">
                  <c:v>741361.23503735848</c:v>
                </c:pt>
                <c:pt idx="22">
                  <c:v>772013.56590544432</c:v>
                </c:pt>
                <c:pt idx="23">
                  <c:v>803892.78862379107</c:v>
                </c:pt>
                <c:pt idx="24">
                  <c:v>837059.48913507804</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1-60E2-41CA-84DC-B584B33481A5}"/>
            </c:ext>
          </c:extLst>
        </c:ser>
        <c:dLbls>
          <c:showLegendKey val="0"/>
          <c:showVal val="0"/>
          <c:showCatName val="0"/>
          <c:showSerName val="0"/>
          <c:showPercent val="0"/>
          <c:showBubbleSize val="0"/>
        </c:dLbls>
        <c:axId val="93818240"/>
        <c:axId val="93828224"/>
      </c:areaChart>
      <c:catAx>
        <c:axId val="938182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3828224"/>
        <c:crosses val="autoZero"/>
        <c:auto val="1"/>
        <c:lblAlgn val="ctr"/>
        <c:lblOffset val="100"/>
        <c:tickLblSkip val="2"/>
        <c:noMultiLvlLbl val="0"/>
      </c:catAx>
      <c:valAx>
        <c:axId val="9382822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 sourceLinked="0"/>
        <c:majorTickMark val="none"/>
        <c:minorTickMark val="none"/>
        <c:tickLblPos val="low"/>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3818240"/>
        <c:crosses val="autoZero"/>
        <c:crossBetween val="midCat"/>
        <c:dispUnits>
          <c:builtInUnit val="b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083230832308324"/>
          <c:y val="0.11579457364341085"/>
          <c:w val="0.44198441984419845"/>
          <c:h val="0.88420542635658916"/>
        </c:manualLayout>
      </c:layout>
      <c:pieChart>
        <c:varyColors val="1"/>
        <c:ser>
          <c:idx val="0"/>
          <c:order val="0"/>
          <c:tx>
            <c:strRef>
              <c:f>'To-be Summary'!$H$97</c:f>
              <c:strCache>
                <c:ptCount val="1"/>
                <c:pt idx="0">
                  <c:v>Share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349-42C2-9527-39F674078239}"/>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B349-42C2-9527-39F674078239}"/>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B349-42C2-9527-39F674078239}"/>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5ED5-4CD0-A2EC-96B5DCF02251}"/>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6-7BAA-4921-98C5-5362F471F82D}"/>
              </c:ext>
            </c:extLst>
          </c:dPt>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'To-be Summary'!$B$22:$B$26</c:f>
              <c:strCache>
                <c:ptCount val="5"/>
                <c:pt idx="0">
                  <c:v>Mixed</c:v>
                </c:pt>
                <c:pt idx="1">
                  <c:v>Arterial</c:v>
                </c:pt>
                <c:pt idx="2">
                  <c:v>VLU</c:v>
                </c:pt>
                <c:pt idx="4">
                  <c:v>Implementation cost (inc OB)</c:v>
                </c:pt>
              </c:strCache>
            </c:strRef>
          </c:cat>
          <c:val>
            <c:numRef>
              <c:f>'To-be Summary'!$R$22:$R$26</c:f>
              <c:numCache>
                <c:formatCode>"£"#,##0</c:formatCode>
                <c:ptCount val="5"/>
                <c:pt idx="0">
                  <c:v>724894.69971397927</c:v>
                </c:pt>
                <c:pt idx="1">
                  <c:v>749239.76530490338</c:v>
                </c:pt>
                <c:pt idx="2">
                  <c:v>1611574.5686352327</c:v>
                </c:pt>
                <c:pt idx="4">
                  <c:v>99652.442908159239</c:v>
                </c:pt>
              </c:numCache>
            </c:numRef>
          </c:val>
          <c:extLst>
            <c:ext xmlns:c16="http://schemas.microsoft.com/office/drawing/2014/chart" uri="{C3380CC4-5D6E-409C-BE32-E72D297353CC}">
              <c16:uniqueId val="{00000006-B349-42C2-9527-39F674078239}"/>
            </c:ext>
          </c:extLst>
        </c:ser>
        <c:dLbls>
          <c:showLegendKey val="0"/>
          <c:showVal val="1"/>
          <c:showCatName val="1"/>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chemeClr val="bg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Total cost of wound care (£bn)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9943175853018372"/>
          <c:y val="0.13138430748104538"/>
          <c:w val="0.85609757858672064"/>
          <c:h val="0.67158244829785885"/>
        </c:manualLayout>
      </c:layout>
      <c:lineChart>
        <c:grouping val="standard"/>
        <c:varyColors val="0"/>
        <c:ser>
          <c:idx val="0"/>
          <c:order val="0"/>
          <c:tx>
            <c:strRef>
              <c:f>'To-be Summary'!$B$24</c:f>
              <c:strCache>
                <c:ptCount val="1"/>
                <c:pt idx="0">
                  <c:v>VLU</c:v>
                </c:pt>
              </c:strCache>
            </c:strRef>
          </c:tx>
          <c:spPr>
            <a:ln w="28575" cap="rnd">
              <a:solidFill>
                <a:srgbClr val="4472C4"/>
              </a:solidFill>
              <a:round/>
            </a:ln>
            <a:effectLst/>
          </c:spPr>
          <c:marker>
            <c:symbol val="none"/>
          </c:marker>
          <c:cat>
            <c:numRef>
              <c:f>'To-be Summary'!$C$21:$AO$21</c:f>
              <c:numCache>
                <c:formatCode>General</c:formatCode>
                <c:ptCount val="39"/>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numCache>
            </c:numRef>
          </c:cat>
          <c:val>
            <c:numRef>
              <c:f>'To-be Summary'!$C$24:$AO$24</c:f>
              <c:numCache>
                <c:formatCode>"£"#,##0</c:formatCode>
                <c:ptCount val="39"/>
                <c:pt idx="0">
                  <c:v>1130977.0239964989</c:v>
                </c:pt>
                <c:pt idx="1">
                  <c:v>1198095.5030719512</c:v>
                </c:pt>
                <c:pt idx="2">
                  <c:v>1262006.6628994222</c:v>
                </c:pt>
                <c:pt idx="3">
                  <c:v>1324338.9683280014</c:v>
                </c:pt>
                <c:pt idx="4">
                  <c:v>1380835.1548930227</c:v>
                </c:pt>
                <c:pt idx="5">
                  <c:v>1272986.1519019313</c:v>
                </c:pt>
                <c:pt idx="6">
                  <c:v>1224114.7833222845</c:v>
                </c:pt>
                <c:pt idx="7">
                  <c:v>1214069.0927439444</c:v>
                </c:pt>
                <c:pt idx="8">
                  <c:v>1231884.8371521158</c:v>
                </c:pt>
                <c:pt idx="9">
                  <c:v>1267327.4119768955</c:v>
                </c:pt>
                <c:pt idx="10">
                  <c:v>1314383.4602356958</c:v>
                </c:pt>
                <c:pt idx="11">
                  <c:v>1369257.6444317841</c:v>
                </c:pt>
                <c:pt idx="12">
                  <c:v>1429476.5847152271</c:v>
                </c:pt>
                <c:pt idx="13">
                  <c:v>1493677.4391429797</c:v>
                </c:pt>
                <c:pt idx="14">
                  <c:v>1561440.4119791423</c:v>
                </c:pt>
                <c:pt idx="15">
                  <c:v>1611574.5686352327</c:v>
                </c:pt>
                <c:pt idx="16">
                  <c:v>1666236.7296518474</c:v>
                </c:pt>
                <c:pt idx="17">
                  <c:v>1724661.3040596449</c:v>
                </c:pt>
                <c:pt idx="18">
                  <c:v>1787091.9701811126</c:v>
                </c:pt>
                <c:pt idx="19">
                  <c:v>1851995.6263573703</c:v>
                </c:pt>
                <c:pt idx="20">
                  <c:v>1918953.4217790507</c:v>
                </c:pt>
                <c:pt idx="21">
                  <c:v>1988350.4215908172</c:v>
                </c:pt>
                <c:pt idx="22">
                  <c:v>2059871.6997019819</c:v>
                </c:pt>
                <c:pt idx="23">
                  <c:v>2133329.4300548434</c:v>
                </c:pt>
                <c:pt idx="24">
                  <c:v>2208617.9957315484</c:v>
                </c:pt>
                <c:pt idx="25">
                  <c:v>2285917.6196471793</c:v>
                </c:pt>
                <c:pt idx="26">
                  <c:v>2364998.6404063399</c:v>
                </c:pt>
                <c:pt idx="27">
                  <c:v>2445654.3499687416</c:v>
                </c:pt>
                <c:pt idx="28">
                  <c:v>2527739.0278100641</c:v>
                </c:pt>
                <c:pt idx="29">
                  <c:v>2611301.9550382718</c:v>
                </c:pt>
                <c:pt idx="30">
                  <c:v>2696838.2369652661</c:v>
                </c:pt>
                <c:pt idx="31">
                  <c:v>2784446.7024878147</c:v>
                </c:pt>
                <c:pt idx="32">
                  <c:v>2874470.5687504131</c:v>
                </c:pt>
                <c:pt idx="33">
                  <c:v>2966680.4417014206</c:v>
                </c:pt>
                <c:pt idx="34">
                  <c:v>3060600.8785609379</c:v>
                </c:pt>
                <c:pt idx="35">
                  <c:v>3155966.8899403787</c:v>
                </c:pt>
                <c:pt idx="36">
                  <c:v>3252543.7174885934</c:v>
                </c:pt>
                <c:pt idx="37">
                  <c:v>3350169.6050849929</c:v>
                </c:pt>
                <c:pt idx="38">
                  <c:v>3448698.8365921993</c:v>
                </c:pt>
              </c:numCache>
            </c:numRef>
          </c:val>
          <c:smooth val="0"/>
          <c:extLst>
            <c:ext xmlns:c16="http://schemas.microsoft.com/office/drawing/2014/chart" uri="{C3380CC4-5D6E-409C-BE32-E72D297353CC}">
              <c16:uniqueId val="{00000000-0D30-4D2C-A84D-DE54B1087493}"/>
            </c:ext>
          </c:extLst>
        </c:ser>
        <c:ser>
          <c:idx val="1"/>
          <c:order val="1"/>
          <c:tx>
            <c:strRef>
              <c:f>'To-be Summary'!$B$22</c:f>
              <c:strCache>
                <c:ptCount val="1"/>
                <c:pt idx="0">
                  <c:v>Mixed</c:v>
                </c:pt>
              </c:strCache>
            </c:strRef>
          </c:tx>
          <c:spPr>
            <a:ln w="28575" cap="rnd">
              <a:solidFill>
                <a:srgbClr val="70AD47">
                  <a:lumMod val="75000"/>
                </a:srgbClr>
              </a:solidFill>
              <a:round/>
            </a:ln>
            <a:effectLst/>
          </c:spPr>
          <c:marker>
            <c:symbol val="none"/>
          </c:marker>
          <c:cat>
            <c:numRef>
              <c:f>'To-be Summary'!$C$21:$AO$21</c:f>
              <c:numCache>
                <c:formatCode>General</c:formatCode>
                <c:ptCount val="39"/>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numCache>
            </c:numRef>
          </c:cat>
          <c:val>
            <c:numRef>
              <c:f>'To-be Summary'!$C$22:$AO$22</c:f>
              <c:numCache>
                <c:formatCode>"£"#,##0</c:formatCode>
                <c:ptCount val="39"/>
                <c:pt idx="0">
                  <c:v>536954.8714103211</c:v>
                </c:pt>
                <c:pt idx="1">
                  <c:v>571085.41989407956</c:v>
                </c:pt>
                <c:pt idx="2">
                  <c:v>603628.80632325076</c:v>
                </c:pt>
                <c:pt idx="3">
                  <c:v>635298.28805271327</c:v>
                </c:pt>
                <c:pt idx="4">
                  <c:v>572546.55418855313</c:v>
                </c:pt>
                <c:pt idx="5">
                  <c:v>546266.17094235949</c:v>
                </c:pt>
                <c:pt idx="6">
                  <c:v>536139.84774685407</c:v>
                </c:pt>
                <c:pt idx="7">
                  <c:v>537660.79798059491</c:v>
                </c:pt>
                <c:pt idx="8">
                  <c:v>548487.09040699725</c:v>
                </c:pt>
                <c:pt idx="9">
                  <c:v>565712.56704067579</c:v>
                </c:pt>
                <c:pt idx="10">
                  <c:v>587531.61830415449</c:v>
                </c:pt>
                <c:pt idx="11">
                  <c:v>612801.60992287484</c:v>
                </c:pt>
                <c:pt idx="12">
                  <c:v>640634.155551965</c:v>
                </c:pt>
                <c:pt idx="13">
                  <c:v>670532.56049160566</c:v>
                </c:pt>
                <c:pt idx="14">
                  <c:v>702308.87121621333</c:v>
                </c:pt>
                <c:pt idx="15">
                  <c:v>724894.69971397927</c:v>
                </c:pt>
                <c:pt idx="16">
                  <c:v>749509.23549931345</c:v>
                </c:pt>
                <c:pt idx="17">
                  <c:v>775871.45854831557</c:v>
                </c:pt>
                <c:pt idx="18">
                  <c:v>804089.9737035369</c:v>
                </c:pt>
                <c:pt idx="19">
                  <c:v>833570.48925623333</c:v>
                </c:pt>
                <c:pt idx="20">
                  <c:v>864120.13472205109</c:v>
                </c:pt>
                <c:pt idx="21">
                  <c:v>895845.70893267042</c:v>
                </c:pt>
                <c:pt idx="22">
                  <c:v>928650.10481740755</c:v>
                </c:pt>
                <c:pt idx="23">
                  <c:v>962447.36644598807</c:v>
                </c:pt>
                <c:pt idx="24">
                  <c:v>997179.02196701826</c:v>
                </c:pt>
                <c:pt idx="25">
                  <c:v>1032893.9441719716</c:v>
                </c:pt>
                <c:pt idx="26">
                  <c:v>1069506.5976395349</c:v>
                </c:pt>
                <c:pt idx="27">
                  <c:v>1106937.4079204567</c:v>
                </c:pt>
                <c:pt idx="28">
                  <c:v>1145124.9741704855</c:v>
                </c:pt>
                <c:pt idx="29">
                  <c:v>1184082.968283528</c:v>
                </c:pt>
                <c:pt idx="30">
                  <c:v>1224004.8942885727</c:v>
                </c:pt>
                <c:pt idx="31">
                  <c:v>1264934.0264410467</c:v>
                </c:pt>
                <c:pt idx="32">
                  <c:v>1307007.9779784363</c:v>
                </c:pt>
                <c:pt idx="33">
                  <c:v>1350133.135716348</c:v>
                </c:pt>
                <c:pt idx="34">
                  <c:v>1394132.9309294599</c:v>
                </c:pt>
                <c:pt idx="35">
                  <c:v>1438902.0254518951</c:v>
                </c:pt>
                <c:pt idx="36">
                  <c:v>1484363.6157130795</c:v>
                </c:pt>
                <c:pt idx="37">
                  <c:v>1530450.983813609</c:v>
                </c:pt>
                <c:pt idx="38">
                  <c:v>1577095.1547508871</c:v>
                </c:pt>
              </c:numCache>
            </c:numRef>
          </c:val>
          <c:smooth val="0"/>
          <c:extLst>
            <c:ext xmlns:c16="http://schemas.microsoft.com/office/drawing/2014/chart" uri="{C3380CC4-5D6E-409C-BE32-E72D297353CC}">
              <c16:uniqueId val="{00000001-0D30-4D2C-A84D-DE54B1087493}"/>
            </c:ext>
          </c:extLst>
        </c:ser>
        <c:ser>
          <c:idx val="2"/>
          <c:order val="2"/>
          <c:tx>
            <c:strRef>
              <c:f>'To-be Summary'!$B$23</c:f>
              <c:strCache>
                <c:ptCount val="1"/>
                <c:pt idx="0">
                  <c:v>Arterial</c:v>
                </c:pt>
              </c:strCache>
            </c:strRef>
          </c:tx>
          <c:spPr>
            <a:ln w="28575" cap="rnd">
              <a:solidFill>
                <a:srgbClr val="7030A0"/>
              </a:solidFill>
              <a:round/>
            </a:ln>
            <a:effectLst/>
          </c:spPr>
          <c:marker>
            <c:symbol val="none"/>
          </c:marker>
          <c:cat>
            <c:numRef>
              <c:f>'To-be Summary'!$C$21:$AO$21</c:f>
              <c:numCache>
                <c:formatCode>General</c:formatCode>
                <c:ptCount val="39"/>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numCache>
            </c:numRef>
          </c:cat>
          <c:val>
            <c:numRef>
              <c:f>'To-be Summary'!$C$23:$AO$23</c:f>
              <c:numCache>
                <c:formatCode>"£"#,##0</c:formatCode>
                <c:ptCount val="39"/>
                <c:pt idx="0">
                  <c:v>189738.99480417746</c:v>
                </c:pt>
                <c:pt idx="1">
                  <c:v>215776.85475394633</c:v>
                </c:pt>
                <c:pt idx="2">
                  <c:v>243076.82452363073</c:v>
                </c:pt>
                <c:pt idx="3">
                  <c:v>271717.73933571781</c:v>
                </c:pt>
                <c:pt idx="4">
                  <c:v>301803.39953763201</c:v>
                </c:pt>
                <c:pt idx="5">
                  <c:v>333418.42009745562</c:v>
                </c:pt>
                <c:pt idx="6">
                  <c:v>366600.90968832519</c:v>
                </c:pt>
                <c:pt idx="7">
                  <c:v>401421.33017180703</c:v>
                </c:pt>
                <c:pt idx="8">
                  <c:v>438132.34801519511</c:v>
                </c:pt>
                <c:pt idx="9">
                  <c:v>476709.23336683976</c:v>
                </c:pt>
                <c:pt idx="10">
                  <c:v>517160.9971278123</c:v>
                </c:pt>
                <c:pt idx="11">
                  <c:v>559517.06475173216</c:v>
                </c:pt>
                <c:pt idx="12">
                  <c:v>603811.30868219747</c:v>
                </c:pt>
                <c:pt idx="13">
                  <c:v>650130.30409412016</c:v>
                </c:pt>
                <c:pt idx="14">
                  <c:v>698579.77268635016</c:v>
                </c:pt>
                <c:pt idx="15">
                  <c:v>749239.76530490338</c:v>
                </c:pt>
                <c:pt idx="16">
                  <c:v>802148.8910498867</c:v>
                </c:pt>
                <c:pt idx="17">
                  <c:v>857382.02903918421</c:v>
                </c:pt>
                <c:pt idx="18">
                  <c:v>915107.34364674171</c:v>
                </c:pt>
                <c:pt idx="19">
                  <c:v>975344.53215539479</c:v>
                </c:pt>
                <c:pt idx="20">
                  <c:v>1038151.5023615843</c:v>
                </c:pt>
                <c:pt idx="21">
                  <c:v>1103601.4287006173</c:v>
                </c:pt>
                <c:pt idx="22">
                  <c:v>1171813.8299672902</c:v>
                </c:pt>
                <c:pt idx="23">
                  <c:v>1242870.6379884686</c:v>
                </c:pt>
                <c:pt idx="24">
                  <c:v>1316845.2859290189</c:v>
                </c:pt>
                <c:pt idx="25">
                  <c:v>1393812.2476189428</c:v>
                </c:pt>
                <c:pt idx="26">
                  <c:v>1473843.7909404612</c:v>
                </c:pt>
                <c:pt idx="27">
                  <c:v>1557013.5070378256</c:v>
                </c:pt>
                <c:pt idx="28">
                  <c:v>1643394.3027839372</c:v>
                </c:pt>
                <c:pt idx="29">
                  <c:v>1733076.5092733167</c:v>
                </c:pt>
                <c:pt idx="30">
                  <c:v>1826191.1136733033</c:v>
                </c:pt>
                <c:pt idx="31">
                  <c:v>1922843.169696914</c:v>
                </c:pt>
                <c:pt idx="32">
                  <c:v>2023154.1863720692</c:v>
                </c:pt>
                <c:pt idx="33">
                  <c:v>2127181.2591789374</c:v>
                </c:pt>
                <c:pt idx="34">
                  <c:v>2234980.7423659503</c:v>
                </c:pt>
                <c:pt idx="35">
                  <c:v>2346611.704671381</c:v>
                </c:pt>
                <c:pt idx="36">
                  <c:v>2462172.8743924294</c:v>
                </c:pt>
                <c:pt idx="37">
                  <c:v>2581754.7200696669</c:v>
                </c:pt>
                <c:pt idx="38">
                  <c:v>2705437.9080994851</c:v>
                </c:pt>
              </c:numCache>
            </c:numRef>
          </c:val>
          <c:smooth val="0"/>
          <c:extLst>
            <c:ext xmlns:c16="http://schemas.microsoft.com/office/drawing/2014/chart" uri="{C3380CC4-5D6E-409C-BE32-E72D297353CC}">
              <c16:uniqueId val="{00000002-0D30-4D2C-A84D-DE54B1087493}"/>
            </c:ext>
          </c:extLst>
        </c:ser>
        <c:ser>
          <c:idx val="3"/>
          <c:order val="3"/>
          <c:tx>
            <c:strRef>
              <c:f>'To-be Summary'!$B$28</c:f>
              <c:strCache>
                <c:ptCount val="1"/>
                <c:pt idx="0">
                  <c:v>Total cost (£)</c:v>
                </c:pt>
              </c:strCache>
            </c:strRef>
          </c:tx>
          <c:spPr>
            <a:ln w="28575" cap="rnd">
              <a:solidFill>
                <a:srgbClr val="FF0000"/>
              </a:solidFill>
              <a:round/>
            </a:ln>
            <a:effectLst/>
          </c:spPr>
          <c:marker>
            <c:symbol val="none"/>
          </c:marker>
          <c:cat>
            <c:numRef>
              <c:f>'To-be Summary'!$C$21:$AO$21</c:f>
              <c:numCache>
                <c:formatCode>General</c:formatCode>
                <c:ptCount val="39"/>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numCache>
            </c:numRef>
          </c:cat>
          <c:val>
            <c:numRef>
              <c:f>'To-be Summary'!$C$28:$AO$28</c:f>
              <c:numCache>
                <c:formatCode>"£"#,##0</c:formatCode>
                <c:ptCount val="39"/>
                <c:pt idx="0">
                  <c:v>1857670.8902109973</c:v>
                </c:pt>
                <c:pt idx="1">
                  <c:v>2140103.7294437285</c:v>
                </c:pt>
                <c:pt idx="2">
                  <c:v>2292749.6801588433</c:v>
                </c:pt>
                <c:pt idx="3">
                  <c:v>2446569.1357297893</c:v>
                </c:pt>
                <c:pt idx="4">
                  <c:v>2336861.3265012451</c:v>
                </c:pt>
                <c:pt idx="5">
                  <c:v>2232154.8240208793</c:v>
                </c:pt>
                <c:pt idx="6">
                  <c:v>2205808.3055444132</c:v>
                </c:pt>
                <c:pt idx="7">
                  <c:v>2232688.049920341</c:v>
                </c:pt>
                <c:pt idx="8">
                  <c:v>2299443.2644884153</c:v>
                </c:pt>
                <c:pt idx="9">
                  <c:v>2392621.8186306763</c:v>
                </c:pt>
                <c:pt idx="10">
                  <c:v>2504244.1177585572</c:v>
                </c:pt>
                <c:pt idx="11">
                  <c:v>2640407.0434757047</c:v>
                </c:pt>
                <c:pt idx="12">
                  <c:v>2775732.7183692842</c:v>
                </c:pt>
                <c:pt idx="13">
                  <c:v>2919281.1544902003</c:v>
                </c:pt>
                <c:pt idx="14">
                  <c:v>3058813.1446302943</c:v>
                </c:pt>
                <c:pt idx="15">
                  <c:v>3185361.4765622746</c:v>
                </c:pt>
                <c:pt idx="16">
                  <c:v>3320825.8025408438</c:v>
                </c:pt>
                <c:pt idx="17">
                  <c:v>3464239.5971472478</c:v>
                </c:pt>
                <c:pt idx="18">
                  <c:v>3616148.0610525482</c:v>
                </c:pt>
                <c:pt idx="19">
                  <c:v>3774411.803123306</c:v>
                </c:pt>
                <c:pt idx="20">
                  <c:v>3938473.1312627303</c:v>
                </c:pt>
                <c:pt idx="21">
                  <c:v>4108914.9302001949</c:v>
                </c:pt>
                <c:pt idx="22">
                  <c:v>4285439.5374971759</c:v>
                </c:pt>
                <c:pt idx="23">
                  <c:v>4467852.1747025056</c:v>
                </c:pt>
                <c:pt idx="24">
                  <c:v>4656061.2237979192</c:v>
                </c:pt>
                <c:pt idx="25">
                  <c:v>4850377.9814555189</c:v>
                </c:pt>
                <c:pt idx="26">
                  <c:v>5050555.0942443712</c:v>
                </c:pt>
                <c:pt idx="27">
                  <c:v>5256375.8175867526</c:v>
                </c:pt>
                <c:pt idx="28">
                  <c:v>5467703.6880774982</c:v>
                </c:pt>
                <c:pt idx="29">
                  <c:v>5684695.5907075936</c:v>
                </c:pt>
                <c:pt idx="30">
                  <c:v>5908186.7434077235</c:v>
                </c:pt>
                <c:pt idx="31">
                  <c:v>6138428.5650241915</c:v>
                </c:pt>
                <c:pt idx="32">
                  <c:v>6376034.939222835</c:v>
                </c:pt>
                <c:pt idx="33">
                  <c:v>6620735.9818894509</c:v>
                </c:pt>
                <c:pt idx="34">
                  <c:v>6871925.0255861757</c:v>
                </c:pt>
                <c:pt idx="35">
                  <c:v>7129286.013937233</c:v>
                </c:pt>
                <c:pt idx="36">
                  <c:v>7392601.4047714137</c:v>
                </c:pt>
                <c:pt idx="37">
                  <c:v>7661730.2439868692</c:v>
                </c:pt>
                <c:pt idx="38">
                  <c:v>7936535.9414736526</c:v>
                </c:pt>
              </c:numCache>
            </c:numRef>
          </c:val>
          <c:smooth val="0"/>
          <c:extLst>
            <c:ext xmlns:c16="http://schemas.microsoft.com/office/drawing/2014/chart" uri="{C3380CC4-5D6E-409C-BE32-E72D297353CC}">
              <c16:uniqueId val="{00000009-DB4F-43B5-8263-CC9E638EE9D9}"/>
            </c:ext>
          </c:extLst>
        </c:ser>
        <c:ser>
          <c:idx val="4"/>
          <c:order val="4"/>
          <c:tx>
            <c:v>Baseline Total cost</c:v>
          </c:tx>
          <c:spPr>
            <a:ln w="28575" cap="rnd">
              <a:solidFill>
                <a:sysClr val="window" lastClr="FFFFFF">
                  <a:lumMod val="50000"/>
                </a:sysClr>
              </a:solidFill>
              <a:prstDash val="sysDot"/>
              <a:round/>
            </a:ln>
            <a:effectLst/>
          </c:spPr>
          <c:marker>
            <c:symbol val="none"/>
          </c:marker>
          <c:cat>
            <c:numRef>
              <c:f>'To-be Summary'!$C$21:$AO$21</c:f>
              <c:numCache>
                <c:formatCode>General</c:formatCode>
                <c:ptCount val="39"/>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numCache>
            </c:numRef>
          </c:cat>
          <c:val>
            <c:numRef>
              <c:f>'Baseline Summary'!$C$25:$AO$25</c:f>
              <c:numCache>
                <c:formatCode>"£"#,##0.00</c:formatCode>
                <c:ptCount val="39"/>
                <c:pt idx="0">
                  <c:v>1857670.8902109973</c:v>
                </c:pt>
                <c:pt idx="1">
                  <c:v>1984957.7777199771</c:v>
                </c:pt>
                <c:pt idx="2">
                  <c:v>2108712.2937463038</c:v>
                </c:pt>
                <c:pt idx="3">
                  <c:v>2231354.9957164326</c:v>
                </c:pt>
                <c:pt idx="4">
                  <c:v>2355327.7576995757</c:v>
                </c:pt>
                <c:pt idx="5">
                  <c:v>2482105.0345807988</c:v>
                </c:pt>
                <c:pt idx="6">
                  <c:v>2611793.0090165683</c:v>
                </c:pt>
                <c:pt idx="7">
                  <c:v>2745202.2337865215</c:v>
                </c:pt>
                <c:pt idx="8">
                  <c:v>2887081.5265266579</c:v>
                </c:pt>
                <c:pt idx="9">
                  <c:v>3034849.9708090462</c:v>
                </c:pt>
                <c:pt idx="10">
                  <c:v>3187260.9127098974</c:v>
                </c:pt>
                <c:pt idx="11">
                  <c:v>3342437.0377569278</c:v>
                </c:pt>
                <c:pt idx="12">
                  <c:v>3501346.0552625656</c:v>
                </c:pt>
                <c:pt idx="13">
                  <c:v>3664970.2446623188</c:v>
                </c:pt>
                <c:pt idx="14">
                  <c:v>3834516.915299722</c:v>
                </c:pt>
                <c:pt idx="15">
                  <c:v>4010332.1756584556</c:v>
                </c:pt>
                <c:pt idx="16">
                  <c:v>4191720.1592035368</c:v>
                </c:pt>
                <c:pt idx="17">
                  <c:v>4378983.2765124161</c:v>
                </c:pt>
                <c:pt idx="18">
                  <c:v>4574545.6468941029</c:v>
                </c:pt>
                <c:pt idx="19">
                  <c:v>4776800.7649634946</c:v>
                </c:pt>
                <c:pt idx="20">
                  <c:v>4985396.5370503254</c:v>
                </c:pt>
                <c:pt idx="21">
                  <c:v>5200419.3581178859</c:v>
                </c:pt>
                <c:pt idx="22">
                  <c:v>5423041.7681243895</c:v>
                </c:pt>
                <c:pt idx="23">
                  <c:v>5653279.7309183674</c:v>
                </c:pt>
                <c:pt idx="24">
                  <c:v>5890939.4231553916</c:v>
                </c:pt>
                <c:pt idx="25">
                  <c:v>6135891.8457512222</c:v>
                </c:pt>
                <c:pt idx="26">
                  <c:v>6387979.9942182954</c:v>
                </c:pt>
                <c:pt idx="27">
                  <c:v>6647111.1209016535</c:v>
                </c:pt>
                <c:pt idx="28">
                  <c:v>6913192.6644326076</c:v>
                </c:pt>
                <c:pt idx="29">
                  <c:v>7186576.5721711349</c:v>
                </c:pt>
                <c:pt idx="30">
                  <c:v>7468543.7807209753</c:v>
                </c:pt>
                <c:pt idx="31">
                  <c:v>7759451.3365024654</c:v>
                </c:pt>
                <c:pt idx="32">
                  <c:v>8059989.3543979926</c:v>
                </c:pt>
                <c:pt idx="33">
                  <c:v>8369076.9174202476</c:v>
                </c:pt>
                <c:pt idx="34">
                  <c:v>8685843.7201354317</c:v>
                </c:pt>
                <c:pt idx="35">
                  <c:v>9009670.6934100762</c:v>
                </c:pt>
                <c:pt idx="36">
                  <c:v>9341078.9424508736</c:v>
                </c:pt>
                <c:pt idx="37">
                  <c:v>9680259.4786935337</c:v>
                </c:pt>
                <c:pt idx="38">
                  <c:v>10027102.872413287</c:v>
                </c:pt>
              </c:numCache>
            </c:numRef>
          </c:val>
          <c:smooth val="0"/>
          <c:extLst>
            <c:ext xmlns:c16="http://schemas.microsoft.com/office/drawing/2014/chart" uri="{C3380CC4-5D6E-409C-BE32-E72D297353CC}">
              <c16:uniqueId val="{0000000A-DB4F-43B5-8263-CC9E638EE9D9}"/>
            </c:ext>
          </c:extLst>
        </c:ser>
        <c:dLbls>
          <c:showLegendKey val="0"/>
          <c:showVal val="0"/>
          <c:showCatName val="0"/>
          <c:showSerName val="0"/>
          <c:showPercent val="0"/>
          <c:showBubbleSize val="0"/>
        </c:dLbls>
        <c:smooth val="0"/>
        <c:axId val="96149504"/>
        <c:axId val="96151040"/>
      </c:lineChart>
      <c:catAx>
        <c:axId val="96149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6151040"/>
        <c:crosses val="autoZero"/>
        <c:auto val="1"/>
        <c:lblAlgn val="ctr"/>
        <c:lblOffset val="100"/>
        <c:noMultiLvlLbl val="0"/>
      </c:catAx>
      <c:valAx>
        <c:axId val="9615104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6149504"/>
        <c:crosses val="autoZero"/>
        <c:crossBetween val="between"/>
        <c:dispUnits>
          <c:builtInUnit val="b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Total cost annual growth rate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39204815594963"/>
          <c:y val="3.3027036370879739E-2"/>
          <c:w val="0.85609757858672064"/>
          <c:h val="0.66870531534435385"/>
        </c:manualLayout>
      </c:layout>
      <c:lineChart>
        <c:grouping val="standard"/>
        <c:varyColors val="0"/>
        <c:ser>
          <c:idx val="0"/>
          <c:order val="0"/>
          <c:tx>
            <c:v>To-be</c:v>
          </c:tx>
          <c:spPr>
            <a:ln w="28575" cap="rnd">
              <a:solidFill>
                <a:srgbClr val="FF0000"/>
              </a:solidFill>
              <a:round/>
            </a:ln>
            <a:effectLst/>
          </c:spPr>
          <c:marker>
            <c:symbol val="none"/>
          </c:marker>
          <c:cat>
            <c:numRef>
              <c:f>'To-be Summary'!$C$21:$AE$21</c:f>
              <c:numCache>
                <c:formatCode>General</c:formatCode>
                <c:ptCount val="29"/>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numCache>
            </c:numRef>
          </c:cat>
          <c:val>
            <c:numRef>
              <c:f>'To-be Summary'!$C$30:$AE$30</c:f>
              <c:numCache>
                <c:formatCode>0.00%</c:formatCode>
                <c:ptCount val="29"/>
                <c:pt idx="1">
                  <c:v>0.15203599341574003</c:v>
                </c:pt>
                <c:pt idx="2" formatCode="0%">
                  <c:v>7.1326426198412118E-2</c:v>
                </c:pt>
                <c:pt idx="3" formatCode="0%">
                  <c:v>6.7089511298193294E-2</c:v>
                </c:pt>
                <c:pt idx="4" formatCode="0%">
                  <c:v>-4.4841491550909884E-2</c:v>
                </c:pt>
                <c:pt idx="5" formatCode="0%">
                  <c:v>-4.4806468100155761E-2</c:v>
                </c:pt>
                <c:pt idx="6" formatCode="0%">
                  <c:v>-1.1803176998720466E-2</c:v>
                </c:pt>
                <c:pt idx="7" formatCode="0%">
                  <c:v>1.2185893175016282E-2</c:v>
                </c:pt>
                <c:pt idx="8" formatCode="0%">
                  <c:v>2.989903339629385E-2</c:v>
                </c:pt>
                <c:pt idx="9" formatCode="0%">
                  <c:v>4.0522223610066632E-2</c:v>
                </c:pt>
                <c:pt idx="10" formatCode="0%">
                  <c:v>4.6652713044205152E-2</c:v>
                </c:pt>
                <c:pt idx="11" formatCode="0%">
                  <c:v>5.4372864351188488E-2</c:v>
                </c:pt>
                <c:pt idx="12" formatCode="0%">
                  <c:v>5.1251823171719391E-2</c:v>
                </c:pt>
                <c:pt idx="13" formatCode="0%">
                  <c:v>5.1715511068821218E-2</c:v>
                </c:pt>
                <c:pt idx="14" formatCode="0%">
                  <c:v>4.7796694718998722E-2</c:v>
                </c:pt>
                <c:pt idx="15" formatCode="0%">
                  <c:v>4.1371710512665416E-2</c:v>
                </c:pt>
                <c:pt idx="16" formatCode="0%">
                  <c:v>4.2527143928658973E-2</c:v>
                </c:pt>
                <c:pt idx="17" formatCode="0%">
                  <c:v>4.3186184140304729E-2</c:v>
                </c:pt>
                <c:pt idx="18" formatCode="0%">
                  <c:v>4.3850449613934028E-2</c:v>
                </c:pt>
                <c:pt idx="19" formatCode="0%">
                  <c:v>4.3765835745313009E-2</c:v>
                </c:pt>
                <c:pt idx="20" formatCode="0%">
                  <c:v>4.3466727187442711E-2</c:v>
                </c:pt>
                <c:pt idx="21" formatCode="0%">
                  <c:v>4.3276110628897024E-2</c:v>
                </c:pt>
                <c:pt idx="22" formatCode="0%">
                  <c:v>4.2961368219025298E-2</c:v>
                </c:pt>
                <c:pt idx="23" formatCode="0%">
                  <c:v>4.2565677478176189E-2</c:v>
                </c:pt>
                <c:pt idx="24" formatCode="0%">
                  <c:v>4.2125173738082777E-2</c:v>
                </c:pt>
                <c:pt idx="25" formatCode="0%">
                  <c:v>4.1734150028872818E-2</c:v>
                </c:pt>
                <c:pt idx="26" formatCode="0%">
                  <c:v>4.1270415121087645E-2</c:v>
                </c:pt>
                <c:pt idx="27" formatCode="0%">
                  <c:v>4.0752099423078336E-2</c:v>
                </c:pt>
                <c:pt idx="28" formatCode="0%">
                  <c:v>4.0204102184567159E-2</c:v>
                </c:pt>
              </c:numCache>
            </c:numRef>
          </c:val>
          <c:smooth val="0"/>
          <c:extLst>
            <c:ext xmlns:c16="http://schemas.microsoft.com/office/drawing/2014/chart" uri="{C3380CC4-5D6E-409C-BE32-E72D297353CC}">
              <c16:uniqueId val="{00000000-0D30-4D2C-A84D-DE54B1087493}"/>
            </c:ext>
          </c:extLst>
        </c:ser>
        <c:ser>
          <c:idx val="1"/>
          <c:order val="1"/>
          <c:tx>
            <c:v>Baseline</c:v>
          </c:tx>
          <c:spPr>
            <a:ln w="28575" cap="rnd">
              <a:solidFill>
                <a:srgbClr val="FF0000"/>
              </a:solidFill>
              <a:round/>
            </a:ln>
            <a:effectLst/>
          </c:spPr>
          <c:marker>
            <c:symbol val="none"/>
          </c:marker>
          <c:cat>
            <c:numRef>
              <c:f>'To-be Summary'!$C$21:$AE$21</c:f>
              <c:numCache>
                <c:formatCode>General</c:formatCode>
                <c:ptCount val="29"/>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numCache>
            </c:numRef>
          </c:cat>
          <c:val>
            <c:numRef>
              <c:f>'Baseline Summary'!$C$27:$AE$27</c:f>
              <c:numCache>
                <c:formatCode>0.00%</c:formatCode>
                <c:ptCount val="29"/>
                <c:pt idx="1">
                  <c:v>6.8519611401415936E-2</c:v>
                </c:pt>
                <c:pt idx="2" formatCode="0%">
                  <c:v>6.2346170490577002E-2</c:v>
                </c:pt>
                <c:pt idx="3" formatCode="0%">
                  <c:v>5.8159997612686976E-2</c:v>
                </c:pt>
                <c:pt idx="4" formatCode="0%">
                  <c:v>5.5559407723619003E-2</c:v>
                </c:pt>
                <c:pt idx="5" formatCode="0%">
                  <c:v>5.3825747379228961E-2</c:v>
                </c:pt>
                <c:pt idx="6" formatCode="0%">
                  <c:v>5.2249188744614372E-2</c:v>
                </c:pt>
                <c:pt idx="7" formatCode="0%">
                  <c:v>5.1079555044902358E-2</c:v>
                </c:pt>
                <c:pt idx="8" formatCode="0%">
                  <c:v>5.1682637801310216E-2</c:v>
                </c:pt>
                <c:pt idx="9" formatCode="0%">
                  <c:v>5.1182636487637767E-2</c:v>
                </c:pt>
                <c:pt idx="10" formatCode="0%">
                  <c:v>5.0220255817199577E-2</c:v>
                </c:pt>
                <c:pt idx="11" formatCode="0%">
                  <c:v>4.8686357752586895E-2</c:v>
                </c:pt>
                <c:pt idx="12" formatCode="0%">
                  <c:v>4.7542860407111753E-2</c:v>
                </c:pt>
                <c:pt idx="13" formatCode="0%">
                  <c:v>4.6731795948539379E-2</c:v>
                </c:pt>
                <c:pt idx="14" formatCode="0%">
                  <c:v>4.6261404409580598E-2</c:v>
                </c:pt>
                <c:pt idx="15" formatCode="0%">
                  <c:v>4.5850693644675422E-2</c:v>
                </c:pt>
                <c:pt idx="16" formatCode="0%">
                  <c:v>4.523016438539762E-2</c:v>
                </c:pt>
                <c:pt idx="17" formatCode="0%">
                  <c:v>4.4674527448526291E-2</c:v>
                </c:pt>
                <c:pt idx="18" formatCode="0%">
                  <c:v>4.465930971479759E-2</c:v>
                </c:pt>
                <c:pt idx="19" formatCode="0%">
                  <c:v>4.4213159881072217E-2</c:v>
                </c:pt>
                <c:pt idx="20" formatCode="0%">
                  <c:v>4.3668510023868512E-2</c:v>
                </c:pt>
                <c:pt idx="21" formatCode="0%">
                  <c:v>4.3130535248211421E-2</c:v>
                </c:pt>
                <c:pt idx="22" formatCode="0%">
                  <c:v>4.2808549594945289E-2</c:v>
                </c:pt>
                <c:pt idx="23" formatCode="0%">
                  <c:v>4.2455502398538236E-2</c:v>
                </c:pt>
                <c:pt idx="24" formatCode="0%">
                  <c:v>4.2039259252861561E-2</c:v>
                </c:pt>
                <c:pt idx="25" formatCode="0%">
                  <c:v>4.1581215660273285E-2</c:v>
                </c:pt>
                <c:pt idx="26" formatCode="0%">
                  <c:v>4.1084190335204607E-2</c:v>
                </c:pt>
                <c:pt idx="27" formatCode="0%">
                  <c:v>4.0565425520727283E-2</c:v>
                </c:pt>
                <c:pt idx="28" formatCode="0%">
                  <c:v>4.0029651782752307E-2</c:v>
                </c:pt>
              </c:numCache>
            </c:numRef>
          </c:val>
          <c:smooth val="0"/>
          <c:extLst>
            <c:ext xmlns:c16="http://schemas.microsoft.com/office/drawing/2014/chart" uri="{C3380CC4-5D6E-409C-BE32-E72D297353CC}">
              <c16:uniqueId val="{00000001-0D30-4D2C-A84D-DE54B1087493}"/>
            </c:ext>
          </c:extLst>
        </c:ser>
        <c:dLbls>
          <c:showLegendKey val="0"/>
          <c:showVal val="0"/>
          <c:showCatName val="0"/>
          <c:showSerName val="0"/>
          <c:showPercent val="0"/>
          <c:showBubbleSize val="0"/>
        </c:dLbls>
        <c:smooth val="0"/>
        <c:axId val="96185728"/>
        <c:axId val="96199808"/>
      </c:lineChart>
      <c:catAx>
        <c:axId val="961857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99808"/>
        <c:crosses val="autoZero"/>
        <c:auto val="1"/>
        <c:lblAlgn val="ctr"/>
        <c:lblOffset val="100"/>
        <c:noMultiLvlLbl val="0"/>
      </c:catAx>
      <c:valAx>
        <c:axId val="96199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1857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noFill/>
    <a:ln w="9525" cap="flat" cmpd="sng" algn="ctr">
      <a:solidFill>
        <a:srgbClr val="70AD47">
          <a:lumMod val="50000"/>
        </a:srgb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Annual savings (%), To-be vs Baseline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1639210504464108"/>
          <c:y val="0.13138440860215056"/>
          <c:w val="0.85609757858672064"/>
          <c:h val="0.73108357675048685"/>
        </c:manualLayout>
      </c:layout>
      <c:areaChart>
        <c:grouping val="standard"/>
        <c:varyColors val="0"/>
        <c:ser>
          <c:idx val="0"/>
          <c:order val="0"/>
          <c:spPr>
            <a:solidFill>
              <a:schemeClr val="accent1"/>
            </a:solidFill>
            <a:ln>
              <a:noFill/>
            </a:ln>
            <a:effectLst/>
          </c:spPr>
          <c:cat>
            <c:numRef>
              <c:f>'To-be Summary'!$C$21:$AO$21</c:f>
              <c:numCache>
                <c:formatCode>General</c:formatCode>
                <c:ptCount val="39"/>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numCache>
            </c:numRef>
          </c:cat>
          <c:val>
            <c:numRef>
              <c:f>'To-be Summary'!#REF!</c:f>
              <c:numCache>
                <c:formatCode>General</c:formatCode>
                <c:ptCount val="1"/>
                <c:pt idx="0">
                  <c:v>1</c:v>
                </c:pt>
              </c:numCache>
            </c:numRef>
          </c:val>
          <c:extLst>
            <c:ext xmlns:c16="http://schemas.microsoft.com/office/drawing/2014/chart" uri="{C3380CC4-5D6E-409C-BE32-E72D297353CC}">
              <c16:uniqueId val="{00000000-0D30-4D2C-A84D-DE54B1087493}"/>
            </c:ext>
          </c:extLst>
        </c:ser>
        <c:dLbls>
          <c:showLegendKey val="0"/>
          <c:showVal val="0"/>
          <c:showCatName val="0"/>
          <c:showSerName val="0"/>
          <c:showPercent val="0"/>
          <c:showBubbleSize val="0"/>
        </c:dLbls>
        <c:axId val="96245248"/>
        <c:axId val="96246784"/>
      </c:areaChart>
      <c:catAx>
        <c:axId val="962452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6246784"/>
        <c:crosses val="autoZero"/>
        <c:auto val="1"/>
        <c:lblAlgn val="ctr"/>
        <c:lblOffset val="100"/>
        <c:tickLblSkip val="2"/>
        <c:noMultiLvlLbl val="0"/>
      </c:catAx>
      <c:valAx>
        <c:axId val="962467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6245248"/>
        <c:crosses val="autoZero"/>
        <c:crossBetween val="midCat"/>
      </c:valAx>
      <c:spPr>
        <a:noFill/>
        <a:ln>
          <a:noFill/>
        </a:ln>
        <a:effectLst/>
      </c:spPr>
    </c:plotArea>
    <c:plotVisOnly val="1"/>
    <c:dispBlanksAs val="gap"/>
    <c:showDLblsOverMax val="0"/>
    <c:extLst/>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Leg ulcer volumes, To-be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2647442735723977"/>
          <c:y val="0.16043606739214092"/>
          <c:w val="0.85609757858672064"/>
          <c:h val="0.67158244829785885"/>
        </c:manualLayout>
      </c:layout>
      <c:lineChart>
        <c:grouping val="standard"/>
        <c:varyColors val="0"/>
        <c:ser>
          <c:idx val="0"/>
          <c:order val="0"/>
          <c:tx>
            <c:strRef>
              <c:f>'To-be Summary'!$B$24</c:f>
              <c:strCache>
                <c:ptCount val="1"/>
                <c:pt idx="0">
                  <c:v>VLU</c:v>
                </c:pt>
              </c:strCache>
            </c:strRef>
          </c:tx>
          <c:spPr>
            <a:ln w="28575" cap="rnd">
              <a:solidFill>
                <a:srgbClr val="4472C4"/>
              </a:solidFill>
              <a:round/>
            </a:ln>
            <a:effectLst/>
          </c:spPr>
          <c:marker>
            <c:symbol val="none"/>
          </c:marker>
          <c:cat>
            <c:numRef>
              <c:f>'To-be Summary'!$C$21:$AO$21</c:f>
              <c:numCache>
                <c:formatCode>General</c:formatCode>
                <c:ptCount val="39"/>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numCache>
            </c:numRef>
          </c:cat>
          <c:val>
            <c:numRef>
              <c:f>'To-be Summary'!$C$14:$AO$14</c:f>
              <c:numCache>
                <c:formatCode>_-* #,##0_-;\-* #,##0_-;_-* "-"??_-;_-@_-</c:formatCode>
                <c:ptCount val="39"/>
                <c:pt idx="0">
                  <c:v>283.5</c:v>
                </c:pt>
                <c:pt idx="1">
                  <c:v>293.19015912843923</c:v>
                </c:pt>
                <c:pt idx="2">
                  <c:v>301.48374143342193</c:v>
                </c:pt>
                <c:pt idx="3">
                  <c:v>308.83682243526221</c:v>
                </c:pt>
                <c:pt idx="4">
                  <c:v>315.66336153104555</c:v>
                </c:pt>
                <c:pt idx="5">
                  <c:v>280.33856384346745</c:v>
                </c:pt>
                <c:pt idx="6">
                  <c:v>259.63630449965746</c:v>
                </c:pt>
                <c:pt idx="7">
                  <c:v>248.14148252763499</c:v>
                </c:pt>
                <c:pt idx="8">
                  <c:v>242.85939581547882</c:v>
                </c:pt>
                <c:pt idx="9">
                  <c:v>241.2153991664303</c:v>
                </c:pt>
                <c:pt idx="10">
                  <c:v>241.71855154653568</c:v>
                </c:pt>
                <c:pt idx="11">
                  <c:v>243.66081825644366</c:v>
                </c:pt>
                <c:pt idx="12">
                  <c:v>246.25395226781214</c:v>
                </c:pt>
                <c:pt idx="13">
                  <c:v>249.17780539158161</c:v>
                </c:pt>
                <c:pt idx="14">
                  <c:v>252.31434755734173</c:v>
                </c:pt>
                <c:pt idx="15">
                  <c:v>255.56074741837355</c:v>
                </c:pt>
                <c:pt idx="16">
                  <c:v>258.83478091381068</c:v>
                </c:pt>
                <c:pt idx="17">
                  <c:v>262.14679438231275</c:v>
                </c:pt>
                <c:pt idx="18">
                  <c:v>265.61958437207431</c:v>
                </c:pt>
                <c:pt idx="19">
                  <c:v>269.04620892921093</c:v>
                </c:pt>
                <c:pt idx="20">
                  <c:v>272.39089844636584</c:v>
                </c:pt>
                <c:pt idx="21">
                  <c:v>275.73080174212112</c:v>
                </c:pt>
                <c:pt idx="22">
                  <c:v>279.02256167212551</c:v>
                </c:pt>
                <c:pt idx="23">
                  <c:v>282.23751089696094</c:v>
                </c:pt>
                <c:pt idx="24">
                  <c:v>285.3583802282584</c:v>
                </c:pt>
                <c:pt idx="25">
                  <c:v>288.40870310516499</c:v>
                </c:pt>
                <c:pt idx="26">
                  <c:v>291.3522635596687</c:v>
                </c:pt>
                <c:pt idx="27">
                  <c:v>294.15882468483863</c:v>
                </c:pt>
                <c:pt idx="28">
                  <c:v>296.80959997325209</c:v>
                </c:pt>
                <c:pt idx="29">
                  <c:v>299.31443210254628</c:v>
                </c:pt>
                <c:pt idx="30">
                  <c:v>301.73564106612992</c:v>
                </c:pt>
                <c:pt idx="31">
                  <c:v>304.08051005093057</c:v>
                </c:pt>
                <c:pt idx="32">
                  <c:v>306.38535542126493</c:v>
                </c:pt>
                <c:pt idx="33">
                  <c:v>308.61577956841728</c:v>
                </c:pt>
                <c:pt idx="34">
                  <c:v>310.71278508482129</c:v>
                </c:pt>
                <c:pt idx="35">
                  <c:v>312.64669120122744</c:v>
                </c:pt>
                <c:pt idx="36">
                  <c:v>314.39476692357863</c:v>
                </c:pt>
                <c:pt idx="37">
                  <c:v>315.94436957924216</c:v>
                </c:pt>
                <c:pt idx="38">
                  <c:v>317.28599657027979</c:v>
                </c:pt>
              </c:numCache>
            </c:numRef>
          </c:val>
          <c:smooth val="0"/>
          <c:extLst>
            <c:ext xmlns:c16="http://schemas.microsoft.com/office/drawing/2014/chart" uri="{C3380CC4-5D6E-409C-BE32-E72D297353CC}">
              <c16:uniqueId val="{00000000-712C-49F6-97A5-BEBA5BDFD302}"/>
            </c:ext>
          </c:extLst>
        </c:ser>
        <c:ser>
          <c:idx val="1"/>
          <c:order val="1"/>
          <c:tx>
            <c:strRef>
              <c:f>'To-be Summary'!$B$22</c:f>
              <c:strCache>
                <c:ptCount val="1"/>
                <c:pt idx="0">
                  <c:v>Mixed</c:v>
                </c:pt>
              </c:strCache>
            </c:strRef>
          </c:tx>
          <c:spPr>
            <a:ln w="28575" cap="rnd">
              <a:solidFill>
                <a:srgbClr val="70AD47"/>
              </a:solidFill>
              <a:round/>
            </a:ln>
            <a:effectLst/>
          </c:spPr>
          <c:marker>
            <c:symbol val="none"/>
          </c:marker>
          <c:cat>
            <c:numRef>
              <c:f>'To-be Summary'!$C$21:$AO$21</c:f>
              <c:numCache>
                <c:formatCode>General</c:formatCode>
                <c:ptCount val="39"/>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numCache>
            </c:numRef>
          </c:cat>
          <c:val>
            <c:numRef>
              <c:f>'To-be Summary'!$C$12:$AO$12</c:f>
              <c:numCache>
                <c:formatCode>_-* #,##0_-;\-* #,##0_-;_-* "-"??_-;_-@_-</c:formatCode>
                <c:ptCount val="39"/>
                <c:pt idx="0">
                  <c:v>82.5</c:v>
                </c:pt>
                <c:pt idx="1">
                  <c:v>85.671252397034777</c:v>
                </c:pt>
                <c:pt idx="2">
                  <c:v>88.409985944913515</c:v>
                </c:pt>
                <c:pt idx="3">
                  <c:v>90.841470209093458</c:v>
                </c:pt>
                <c:pt idx="4">
                  <c:v>93.082241400315425</c:v>
                </c:pt>
                <c:pt idx="5">
                  <c:v>85.286901679364021</c:v>
                </c:pt>
                <c:pt idx="6">
                  <c:v>80.371125267470873</c:v>
                </c:pt>
                <c:pt idx="7">
                  <c:v>77.423024352014167</c:v>
                </c:pt>
                <c:pt idx="8">
                  <c:v>75.937588943370585</c:v>
                </c:pt>
                <c:pt idx="9">
                  <c:v>75.373960841853631</c:v>
                </c:pt>
                <c:pt idx="10">
                  <c:v>75.399002957624646</c:v>
                </c:pt>
                <c:pt idx="11">
                  <c:v>75.843476439524451</c:v>
                </c:pt>
                <c:pt idx="12">
                  <c:v>76.512346222148111</c:v>
                </c:pt>
                <c:pt idx="13">
                  <c:v>77.316706904841794</c:v>
                </c:pt>
                <c:pt idx="14">
                  <c:v>78.215904967552774</c:v>
                </c:pt>
                <c:pt idx="15">
                  <c:v>79.172732163785923</c:v>
                </c:pt>
                <c:pt idx="16">
                  <c:v>80.155030344903821</c:v>
                </c:pt>
                <c:pt idx="17">
                  <c:v>81.159129851206629</c:v>
                </c:pt>
                <c:pt idx="18">
                  <c:v>82.21650286249897</c:v>
                </c:pt>
                <c:pt idx="19">
                  <c:v>83.269470376127629</c:v>
                </c:pt>
                <c:pt idx="20">
                  <c:v>84.304559744743102</c:v>
                </c:pt>
                <c:pt idx="21">
                  <c:v>85.338263741522951</c:v>
                </c:pt>
                <c:pt idx="22">
                  <c:v>86.361751387228182</c:v>
                </c:pt>
                <c:pt idx="23">
                  <c:v>87.365790951214706</c:v>
                </c:pt>
                <c:pt idx="24">
                  <c:v>88.343803133612155</c:v>
                </c:pt>
                <c:pt idx="25">
                  <c:v>89.300002386112538</c:v>
                </c:pt>
                <c:pt idx="26">
                  <c:v>90.224792989119592</c:v>
                </c:pt>
                <c:pt idx="27">
                  <c:v>91.109782246881963</c:v>
                </c:pt>
                <c:pt idx="28">
                  <c:v>91.949173834027292</c:v>
                </c:pt>
                <c:pt idx="29">
                  <c:v>92.745041204404558</c:v>
                </c:pt>
                <c:pt idx="30">
                  <c:v>93.514153714375951</c:v>
                </c:pt>
                <c:pt idx="31">
                  <c:v>94.258561793882748</c:v>
                </c:pt>
                <c:pt idx="32">
                  <c:v>94.988077339954486</c:v>
                </c:pt>
                <c:pt idx="33">
                  <c:v>95.692672677062632</c:v>
                </c:pt>
                <c:pt idx="34">
                  <c:v>96.356771487241119</c:v>
                </c:pt>
                <c:pt idx="35">
                  <c:v>96.971911538641692</c:v>
                </c:pt>
                <c:pt idx="36">
                  <c:v>97.532841782974856</c:v>
                </c:pt>
                <c:pt idx="37">
                  <c:v>98.035625443233315</c:v>
                </c:pt>
                <c:pt idx="38">
                  <c:v>98.476638181047576</c:v>
                </c:pt>
              </c:numCache>
            </c:numRef>
          </c:val>
          <c:smooth val="0"/>
          <c:extLst>
            <c:ext xmlns:c16="http://schemas.microsoft.com/office/drawing/2014/chart" uri="{C3380CC4-5D6E-409C-BE32-E72D297353CC}">
              <c16:uniqueId val="{00000001-712C-49F6-97A5-BEBA5BDFD302}"/>
            </c:ext>
          </c:extLst>
        </c:ser>
        <c:ser>
          <c:idx val="2"/>
          <c:order val="2"/>
          <c:tx>
            <c:strRef>
              <c:f>'To-be Summary'!$B$23</c:f>
              <c:strCache>
                <c:ptCount val="1"/>
                <c:pt idx="0">
                  <c:v>Arterial</c:v>
                </c:pt>
              </c:strCache>
            </c:strRef>
          </c:tx>
          <c:spPr>
            <a:ln w="28575" cap="rnd">
              <a:solidFill>
                <a:srgbClr val="7030A0"/>
              </a:solidFill>
              <a:round/>
            </a:ln>
            <a:effectLst/>
          </c:spPr>
          <c:marker>
            <c:symbol val="none"/>
          </c:marker>
          <c:cat>
            <c:numRef>
              <c:f>'To-be Summary'!$C$21:$AO$21</c:f>
              <c:numCache>
                <c:formatCode>General</c:formatCode>
                <c:ptCount val="39"/>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numCache>
            </c:numRef>
          </c:cat>
          <c:val>
            <c:numRef>
              <c:f>'To-be Summary'!$C$13:$AO$13</c:f>
              <c:numCache>
                <c:formatCode>_-* #,##0_-;\-* #,##0_-;_-* "-"??_-;_-@_-</c:formatCode>
                <c:ptCount val="39"/>
                <c:pt idx="0">
                  <c:v>34.5</c:v>
                </c:pt>
                <c:pt idx="1">
                  <c:v>38.454128917855734</c:v>
                </c:pt>
                <c:pt idx="2">
                  <c:v>42.457630958756774</c:v>
                </c:pt>
                <c:pt idx="3">
                  <c:v>46.516040358715721</c:v>
                </c:pt>
                <c:pt idx="4">
                  <c:v>50.574449758674668</c:v>
                </c:pt>
                <c:pt idx="5">
                  <c:v>54.683534377078708</c:v>
                </c:pt>
                <c:pt idx="6">
                  <c:v>58.848974401883702</c:v>
                </c:pt>
                <c:pt idx="7">
                  <c:v>63.080038440011002</c:v>
                </c:pt>
                <c:pt idx="8">
                  <c:v>67.381744254903779</c:v>
                </c:pt>
                <c:pt idx="9">
                  <c:v>71.750717145199403</c:v>
                </c:pt>
                <c:pt idx="10">
                  <c:v>76.18878189188041</c:v>
                </c:pt>
                <c:pt idx="11">
                  <c:v>80.72626082819346</c:v>
                </c:pt>
                <c:pt idx="12">
                  <c:v>85.347542519177281</c:v>
                </c:pt>
                <c:pt idx="13">
                  <c:v>90.043016274548236</c:v>
                </c:pt>
                <c:pt idx="14">
                  <c:v>94.806531361532308</c:v>
                </c:pt>
                <c:pt idx="15">
                  <c:v>99.632738875445966</c:v>
                </c:pt>
                <c:pt idx="16">
                  <c:v>104.52396023504808</c:v>
                </c:pt>
                <c:pt idx="17">
                  <c:v>109.48470876853897</c:v>
                </c:pt>
                <c:pt idx="18">
                  <c:v>114.51526686613272</c:v>
                </c:pt>
                <c:pt idx="19">
                  <c:v>119.60994680013225</c:v>
                </c:pt>
                <c:pt idx="20">
                  <c:v>124.76797699082415</c:v>
                </c:pt>
                <c:pt idx="21">
                  <c:v>130.00043191024901</c:v>
                </c:pt>
                <c:pt idx="22">
                  <c:v>135.29826085686554</c:v>
                </c:pt>
                <c:pt idx="23">
                  <c:v>140.65753730204207</c:v>
                </c:pt>
                <c:pt idx="24">
                  <c:v>146.07616701849767</c:v>
                </c:pt>
                <c:pt idx="25">
                  <c:v>151.55743569892817</c:v>
                </c:pt>
                <c:pt idx="26">
                  <c:v>157.09961134131828</c:v>
                </c:pt>
                <c:pt idx="27">
                  <c:v>162.69977082648839</c:v>
                </c:pt>
                <c:pt idx="28">
                  <c:v>168.35499186999945</c:v>
                </c:pt>
                <c:pt idx="29">
                  <c:v>174.06199560617938</c:v>
                </c:pt>
                <c:pt idx="30">
                  <c:v>179.81756641650577</c:v>
                </c:pt>
                <c:pt idx="31">
                  <c:v>185.61833582351593</c:v>
                </c:pt>
                <c:pt idx="32">
                  <c:v>191.46268560865505</c:v>
                </c:pt>
                <c:pt idx="33">
                  <c:v>197.35294631828901</c:v>
                </c:pt>
                <c:pt idx="34">
                  <c:v>203.28834429554823</c:v>
                </c:pt>
                <c:pt idx="35">
                  <c:v>209.26944543217613</c:v>
                </c:pt>
                <c:pt idx="36">
                  <c:v>215.29025241352792</c:v>
                </c:pt>
                <c:pt idx="37">
                  <c:v>221.3448391367088</c:v>
                </c:pt>
                <c:pt idx="38">
                  <c:v>227.42767684777934</c:v>
                </c:pt>
              </c:numCache>
            </c:numRef>
          </c:val>
          <c:smooth val="0"/>
          <c:extLst>
            <c:ext xmlns:c16="http://schemas.microsoft.com/office/drawing/2014/chart" uri="{C3380CC4-5D6E-409C-BE32-E72D297353CC}">
              <c16:uniqueId val="{00000002-712C-49F6-97A5-BEBA5BDFD302}"/>
            </c:ext>
          </c:extLst>
        </c:ser>
        <c:ser>
          <c:idx val="3"/>
          <c:order val="3"/>
          <c:tx>
            <c:v>Total LUs</c:v>
          </c:tx>
          <c:spPr>
            <a:ln w="28575" cap="rnd">
              <a:solidFill>
                <a:srgbClr val="C00000"/>
              </a:solidFill>
              <a:round/>
            </a:ln>
            <a:effectLst/>
          </c:spPr>
          <c:marker>
            <c:symbol val="none"/>
          </c:marker>
          <c:cat>
            <c:numRef>
              <c:f>'To-be Summary'!$C$21:$AO$21</c:f>
              <c:numCache>
                <c:formatCode>General</c:formatCode>
                <c:ptCount val="39"/>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numCache>
            </c:numRef>
          </c:cat>
          <c:val>
            <c:numRef>
              <c:f>'To-be Summary'!$C$15:$AO$15</c:f>
              <c:numCache>
                <c:formatCode>_-* #,##0_-;\-* #,##0_-;_-* "-"??_-;_-@_-</c:formatCode>
                <c:ptCount val="39"/>
                <c:pt idx="0">
                  <c:v>400.5</c:v>
                </c:pt>
                <c:pt idx="1">
                  <c:v>417.31554044332972</c:v>
                </c:pt>
                <c:pt idx="2">
                  <c:v>432.35135833709222</c:v>
                </c:pt>
                <c:pt idx="3">
                  <c:v>446.19433300307139</c:v>
                </c:pt>
                <c:pt idx="4">
                  <c:v>459.32005269003565</c:v>
                </c:pt>
                <c:pt idx="5">
                  <c:v>420.30899989991019</c:v>
                </c:pt>
                <c:pt idx="6">
                  <c:v>398.85640416901202</c:v>
                </c:pt>
                <c:pt idx="7">
                  <c:v>388.64454531966015</c:v>
                </c:pt>
                <c:pt idx="8">
                  <c:v>386.17872901375318</c:v>
                </c:pt>
                <c:pt idx="9">
                  <c:v>388.34007715348332</c:v>
                </c:pt>
                <c:pt idx="10">
                  <c:v>393.30633639604071</c:v>
                </c:pt>
                <c:pt idx="11">
                  <c:v>400.23055552416156</c:v>
                </c:pt>
                <c:pt idx="12">
                  <c:v>408.11384100913756</c:v>
                </c:pt>
                <c:pt idx="13">
                  <c:v>416.53752857097163</c:v>
                </c:pt>
                <c:pt idx="14">
                  <c:v>425.33678388642682</c:v>
                </c:pt>
                <c:pt idx="15">
                  <c:v>434.36621845760544</c:v>
                </c:pt>
                <c:pt idx="16">
                  <c:v>443.51377149376259</c:v>
                </c:pt>
                <c:pt idx="17">
                  <c:v>452.79063300205837</c:v>
                </c:pt>
                <c:pt idx="18">
                  <c:v>462.35135410070598</c:v>
                </c:pt>
                <c:pt idx="19">
                  <c:v>471.92562610547083</c:v>
                </c:pt>
                <c:pt idx="20">
                  <c:v>481.46343518193311</c:v>
                </c:pt>
                <c:pt idx="21">
                  <c:v>491.06949739389307</c:v>
                </c:pt>
                <c:pt idx="22">
                  <c:v>500.68257391621921</c:v>
                </c:pt>
                <c:pt idx="23">
                  <c:v>510.26083915021775</c:v>
                </c:pt>
                <c:pt idx="24">
                  <c:v>519.77835038036824</c:v>
                </c:pt>
                <c:pt idx="25">
                  <c:v>529.26614119020564</c:v>
                </c:pt>
                <c:pt idx="26">
                  <c:v>538.6766678901065</c:v>
                </c:pt>
                <c:pt idx="27">
                  <c:v>547.96837775820904</c:v>
                </c:pt>
                <c:pt idx="28">
                  <c:v>557.11376567727882</c:v>
                </c:pt>
                <c:pt idx="29">
                  <c:v>566.12146891313023</c:v>
                </c:pt>
                <c:pt idx="30">
                  <c:v>575.06736119701168</c:v>
                </c:pt>
                <c:pt idx="31">
                  <c:v>583.95740766832932</c:v>
                </c:pt>
                <c:pt idx="32">
                  <c:v>592.83611836987438</c:v>
                </c:pt>
                <c:pt idx="33">
                  <c:v>601.6613985637689</c:v>
                </c:pt>
                <c:pt idx="34">
                  <c:v>610.35790086761062</c:v>
                </c:pt>
                <c:pt idx="35">
                  <c:v>618.88804817204527</c:v>
                </c:pt>
                <c:pt idx="36">
                  <c:v>627.21786112008135</c:v>
                </c:pt>
                <c:pt idx="37">
                  <c:v>635.32483415918432</c:v>
                </c:pt>
                <c:pt idx="38">
                  <c:v>643.19031159910674</c:v>
                </c:pt>
              </c:numCache>
            </c:numRef>
          </c:val>
          <c:smooth val="0"/>
          <c:extLst>
            <c:ext xmlns:c16="http://schemas.microsoft.com/office/drawing/2014/chart" uri="{C3380CC4-5D6E-409C-BE32-E72D297353CC}">
              <c16:uniqueId val="{00000003-712C-49F6-97A5-BEBA5BDFD302}"/>
            </c:ext>
          </c:extLst>
        </c:ser>
        <c:ser>
          <c:idx val="4"/>
          <c:order val="4"/>
          <c:tx>
            <c:v>Baseline Total LUs</c:v>
          </c:tx>
          <c:spPr>
            <a:ln w="28575" cap="rnd">
              <a:solidFill>
                <a:srgbClr val="ED7D31">
                  <a:lumMod val="40000"/>
                  <a:lumOff val="60000"/>
                </a:srgbClr>
              </a:solidFill>
              <a:prstDash val="sysDot"/>
              <a:round/>
            </a:ln>
            <a:effectLst/>
          </c:spPr>
          <c:marker>
            <c:symbol val="none"/>
          </c:marker>
          <c:cat>
            <c:numRef>
              <c:f>'To-be Summary'!$C$21:$AO$21</c:f>
              <c:numCache>
                <c:formatCode>General</c:formatCode>
                <c:ptCount val="39"/>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numCache>
            </c:numRef>
          </c:cat>
          <c:val>
            <c:numRef>
              <c:f>'Baseline Summary'!$C$15:$AO$15</c:f>
              <c:numCache>
                <c:formatCode>_-* #,##0_-;\-* #,##0_-;_-* "-"??_-;_-@_-</c:formatCode>
                <c:ptCount val="39"/>
                <c:pt idx="0">
                  <c:v>400.5</c:v>
                </c:pt>
                <c:pt idx="1">
                  <c:v>417.31554044332972</c:v>
                </c:pt>
                <c:pt idx="2">
                  <c:v>432.35135833709222</c:v>
                </c:pt>
                <c:pt idx="3">
                  <c:v>446.19433300307139</c:v>
                </c:pt>
                <c:pt idx="4">
                  <c:v>459.38399049995354</c:v>
                </c:pt>
                <c:pt idx="5">
                  <c:v>472.2220789383054</c:v>
                </c:pt>
                <c:pt idx="6">
                  <c:v>484.72184388387876</c:v>
                </c:pt>
                <c:pt idx="7">
                  <c:v>497.02716390135004</c:v>
                </c:pt>
                <c:pt idx="8">
                  <c:v>509.98477729337412</c:v>
                </c:pt>
                <c:pt idx="9">
                  <c:v>523.05646387598767</c:v>
                </c:pt>
                <c:pt idx="10">
                  <c:v>535.98552347014402</c:v>
                </c:pt>
                <c:pt idx="11">
                  <c:v>548.66447286577943</c:v>
                </c:pt>
                <c:pt idx="12">
                  <c:v>561.03107650452625</c:v>
                </c:pt>
                <c:pt idx="13">
                  <c:v>573.23523869555413</c:v>
                </c:pt>
                <c:pt idx="14">
                  <c:v>585.44794382094574</c:v>
                </c:pt>
                <c:pt idx="15">
                  <c:v>597.69059266039358</c:v>
                </c:pt>
                <c:pt idx="16">
                  <c:v>609.82512273530051</c:v>
                </c:pt>
                <c:pt idx="17">
                  <c:v>621.87260782194016</c:v>
                </c:pt>
                <c:pt idx="18">
                  <c:v>634.15523242658514</c:v>
                </c:pt>
                <c:pt idx="19">
                  <c:v>646.39959489739022</c:v>
                </c:pt>
                <c:pt idx="20">
                  <c:v>658.5286762835542</c:v>
                </c:pt>
                <c:pt idx="21">
                  <c:v>670.53050160634405</c:v>
                </c:pt>
                <c:pt idx="22">
                  <c:v>682.53462319636196</c:v>
                </c:pt>
                <c:pt idx="23">
                  <c:v>694.51034143835591</c:v>
                </c:pt>
                <c:pt idx="24">
                  <c:v>706.40315873602049</c:v>
                </c:pt>
                <c:pt idx="25">
                  <c:v>718.17106093278312</c:v>
                </c:pt>
                <c:pt idx="26">
                  <c:v>729.77225601771602</c:v>
                </c:pt>
                <c:pt idx="27">
                  <c:v>741.17589066866276</c:v>
                </c:pt>
                <c:pt idx="28">
                  <c:v>752.35383476023515</c:v>
                </c:pt>
                <c:pt idx="29">
                  <c:v>763.32920688676541</c:v>
                </c:pt>
                <c:pt idx="30">
                  <c:v>774.22128287199189</c:v>
                </c:pt>
                <c:pt idx="31">
                  <c:v>785.04082907336806</c:v>
                </c:pt>
                <c:pt idx="32">
                  <c:v>795.8304862367836</c:v>
                </c:pt>
                <c:pt idx="33">
                  <c:v>806.45301091583451</c:v>
                </c:pt>
                <c:pt idx="34">
                  <c:v>816.80470613564307</c:v>
                </c:pt>
                <c:pt idx="35">
                  <c:v>826.81576384148138</c:v>
                </c:pt>
                <c:pt idx="36">
                  <c:v>836.52784811864285</c:v>
                </c:pt>
                <c:pt idx="37">
                  <c:v>845.94910753845579</c:v>
                </c:pt>
                <c:pt idx="38">
                  <c:v>855.06087908380164</c:v>
                </c:pt>
              </c:numCache>
            </c:numRef>
          </c:val>
          <c:smooth val="0"/>
          <c:extLst>
            <c:ext xmlns:c16="http://schemas.microsoft.com/office/drawing/2014/chart" uri="{C3380CC4-5D6E-409C-BE32-E72D297353CC}">
              <c16:uniqueId val="{00000004-712C-49F6-97A5-BEBA5BDFD302}"/>
            </c:ext>
          </c:extLst>
        </c:ser>
        <c:dLbls>
          <c:showLegendKey val="0"/>
          <c:showVal val="0"/>
          <c:showCatName val="0"/>
          <c:showSerName val="0"/>
          <c:showPercent val="0"/>
          <c:showBubbleSize val="0"/>
        </c:dLbls>
        <c:smooth val="0"/>
        <c:axId val="95850496"/>
        <c:axId val="95852032"/>
      </c:lineChart>
      <c:catAx>
        <c:axId val="95850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5852032"/>
        <c:crosses val="autoZero"/>
        <c:auto val="1"/>
        <c:lblAlgn val="ctr"/>
        <c:lblOffset val="100"/>
        <c:noMultiLvlLbl val="0"/>
      </c:catAx>
      <c:valAx>
        <c:axId val="95852032"/>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5850496"/>
        <c:crosses val="autoZero"/>
        <c:crossBetween val="between"/>
      </c:valAx>
      <c:spPr>
        <a:noFill/>
        <a:ln>
          <a:noFill/>
        </a:ln>
        <a:effectLst/>
      </c:spPr>
    </c:plotArea>
    <c:legend>
      <c:legendPos val="b"/>
      <c:layout>
        <c:manualLayout>
          <c:xMode val="edge"/>
          <c:yMode val="edge"/>
          <c:x val="0.10776000781757428"/>
          <c:y val="0.947816895548519"/>
          <c:w val="0.89178776314513353"/>
          <c:h val="5.218310445148088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chart>
  <c:spPr>
    <a:no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083230832308324"/>
          <c:y val="0.11579457364341085"/>
          <c:w val="0.44198441984419845"/>
          <c:h val="0.88420542635658916"/>
        </c:manualLayout>
      </c:layout>
      <c:pieChart>
        <c:varyColors val="1"/>
        <c:ser>
          <c:idx val="1"/>
          <c:order val="0"/>
          <c:tx>
            <c:strRef>
              <c:f>'Baseline Summary'!$D$108</c:f>
              <c:strCache>
                <c:ptCount val="1"/>
                <c:pt idx="0">
                  <c:v>Share</c:v>
                </c:pt>
              </c:strCache>
            </c:strRef>
          </c:tx>
          <c:spPr>
            <a:solidFill>
              <a:schemeClr val="accent1">
                <a:lumMod val="60000"/>
                <a:lumOff val="40000"/>
              </a:schemeClr>
            </a:solidFill>
          </c:spPr>
          <c:dPt>
            <c:idx val="0"/>
            <c:bubble3D val="0"/>
            <c:spPr>
              <a:solidFill>
                <a:srgbClr val="6D91D1"/>
              </a:solidFill>
            </c:spPr>
            <c:extLst>
              <c:ext xmlns:c16="http://schemas.microsoft.com/office/drawing/2014/chart" uri="{C3380CC4-5D6E-409C-BE32-E72D297353CC}">
                <c16:uniqueId val="{0000000F-F1AF-423C-8ADF-89D392E5EE63}"/>
              </c:ext>
            </c:extLst>
          </c:dPt>
          <c:dPt>
            <c:idx val="1"/>
            <c:bubble3D val="0"/>
            <c:spPr>
              <a:solidFill>
                <a:schemeClr val="bg1">
                  <a:lumMod val="75000"/>
                </a:schemeClr>
              </a:solidFill>
            </c:spPr>
            <c:extLst>
              <c:ext xmlns:c16="http://schemas.microsoft.com/office/drawing/2014/chart" uri="{C3380CC4-5D6E-409C-BE32-E72D297353CC}">
                <c16:uniqueId val="{00000010-F1AF-423C-8ADF-89D392E5EE63}"/>
              </c:ext>
            </c:extLst>
          </c:dPt>
          <c:dLbls>
            <c:dLbl>
              <c:idx val="0"/>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F1AF-423C-8ADF-89D392E5EE63}"/>
                </c:ext>
              </c:extLst>
            </c:dLbl>
            <c:dLbl>
              <c:idx val="1"/>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F1AF-423C-8ADF-89D392E5EE63}"/>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'Baseline Summary'!$B$109:$B$110</c:f>
              <c:strCache>
                <c:ptCount val="2"/>
                <c:pt idx="0">
                  <c:v>Primary and Community</c:v>
                </c:pt>
                <c:pt idx="1">
                  <c:v>Acute</c:v>
                </c:pt>
              </c:strCache>
            </c:strRef>
          </c:cat>
          <c:val>
            <c:numRef>
              <c:f>'Baseline Summary'!$D$109:$D$110</c:f>
              <c:numCache>
                <c:formatCode>0%</c:formatCode>
                <c:ptCount val="2"/>
                <c:pt idx="0">
                  <c:v>0.59416489499103942</c:v>
                </c:pt>
                <c:pt idx="1">
                  <c:v>0.40583510500896053</c:v>
                </c:pt>
              </c:numCache>
            </c:numRef>
          </c:val>
          <c:extLst>
            <c:ext xmlns:c16="http://schemas.microsoft.com/office/drawing/2014/chart" uri="{C3380CC4-5D6E-409C-BE32-E72D297353CC}">
              <c16:uniqueId val="{0000000E-F1AF-423C-8ADF-89D392E5EE63}"/>
            </c:ext>
          </c:extLst>
        </c:ser>
        <c:dLbls>
          <c:showLegendKey val="0"/>
          <c:showVal val="1"/>
          <c:showCatName val="1"/>
          <c:showSerName val="0"/>
          <c:showPercent val="0"/>
          <c:showBubbleSize val="0"/>
          <c:showLeaderLines val="1"/>
        </c:dLbls>
        <c:firstSliceAng val="0"/>
      </c:pieChart>
    </c:plotArea>
    <c:plotVisOnly val="1"/>
    <c:dispBlanksAs val="gap"/>
    <c:showDLblsOverMax val="0"/>
    <c:extLst/>
  </c:chart>
  <c:spPr>
    <a:noFill/>
    <a:ln w="9525" cap="flat" cmpd="sng" algn="ctr">
      <a:noFill/>
      <a:round/>
    </a:ln>
    <a:effectLst/>
  </c:spPr>
  <c:txPr>
    <a:bodyPr/>
    <a:lstStyle/>
    <a:p>
      <a:pPr>
        <a:defRPr b="1">
          <a:solidFill>
            <a:schemeClr val="bg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083230832308324"/>
          <c:y val="0.11579457364341085"/>
          <c:w val="0.44198441984419845"/>
          <c:h val="0.88420542635658916"/>
        </c:manualLayout>
      </c:layout>
      <c:pieChart>
        <c:varyColors val="1"/>
        <c:ser>
          <c:idx val="0"/>
          <c:order val="0"/>
          <c:tx>
            <c:strRef>
              <c:f>'Baseline Summary'!$H$95</c:f>
              <c:strCache>
                <c:ptCount val="1"/>
                <c:pt idx="0">
                  <c:v>Share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16E-490B-BD34-77144661CDFF}"/>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F16E-490B-BD34-77144661CDFF}"/>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F16E-490B-BD34-77144661CDFF}"/>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F16E-490B-BD34-77144661CDFF}"/>
              </c:ext>
            </c:extLst>
          </c:dPt>
          <c:dLbls>
            <c:dLbl>
              <c:idx val="0"/>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F16E-490B-BD34-77144661CDFF}"/>
                </c:ext>
              </c:extLst>
            </c:dLbl>
            <c:dLbl>
              <c:idx val="1"/>
              <c:tx>
                <c:rich>
                  <a:bodyPr/>
                  <a:lstStyle/>
                  <a:p>
                    <a:fld id="{8D959F85-2370-4A35-9256-F1C5ECB77F15}" type="CATEGORYNAME">
                      <a:rPr lang="en-US"/>
                      <a:pPr/>
                      <a:t>[CATEGORY NAME]</a:t>
                    </a:fld>
                    <a:r>
                      <a:rPr lang="en-US" baseline="0"/>
                      <a:t> </a:t>
                    </a:r>
                    <a:fld id="{55727AB9-FFA5-48EF-A5DC-CEE72A8BB597}" type="VALUE">
                      <a:rPr lang="en-US" baseline="0"/>
                      <a:pPr/>
                      <a:t>[VALUE]</a:t>
                    </a:fld>
                    <a:endParaRPr lang="en-US" baseline="0"/>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F16E-490B-BD34-77144661CDFF}"/>
                </c:ext>
              </c:extLst>
            </c:dLbl>
            <c:dLbl>
              <c:idx val="2"/>
              <c:tx>
                <c:rich>
                  <a:bodyPr/>
                  <a:lstStyle/>
                  <a:p>
                    <a:fld id="{F5A43987-3271-4007-A387-4658B19A339A}" type="CATEGORYNAME">
                      <a:rPr lang="en-US"/>
                      <a:pPr/>
                      <a:t>[CATEGORY NAME]</a:t>
                    </a:fld>
                    <a:br>
                      <a:rPr lang="en-US" baseline="0"/>
                    </a:br>
                    <a:r>
                      <a:rPr lang="en-US" baseline="0"/>
                      <a:t> </a:t>
                    </a:r>
                    <a:fld id="{5812175D-70B3-4F8A-A952-BB1BDDED13EC}" type="VALUE">
                      <a:rPr lang="en-US" baseline="0"/>
                      <a:pPr/>
                      <a:t>[VALUE]</a:t>
                    </a:fld>
                    <a:endParaRPr lang="en-US" baseline="0"/>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F16E-490B-BD34-77144661CDFF}"/>
                </c:ext>
              </c:extLst>
            </c:dLbl>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'Baseline Summary'!$C$96:$C$99</c:f>
              <c:strCache>
                <c:ptCount val="4"/>
                <c:pt idx="0">
                  <c:v>Admissions</c:v>
                </c:pt>
                <c:pt idx="1">
                  <c:v>Equipment</c:v>
                </c:pt>
                <c:pt idx="2">
                  <c:v>Staff</c:v>
                </c:pt>
                <c:pt idx="3">
                  <c:v>Drugs</c:v>
                </c:pt>
              </c:strCache>
            </c:strRef>
          </c:cat>
          <c:val>
            <c:numRef>
              <c:f>'Baseline Summary'!$H$96:$H$99</c:f>
              <c:numCache>
                <c:formatCode>0%</c:formatCode>
                <c:ptCount val="4"/>
                <c:pt idx="0">
                  <c:v>0.40583510500896053</c:v>
                </c:pt>
                <c:pt idx="1">
                  <c:v>0.15753332479878876</c:v>
                </c:pt>
                <c:pt idx="2">
                  <c:v>0.30705238334453466</c:v>
                </c:pt>
                <c:pt idx="3">
                  <c:v>0.12957918684771608</c:v>
                </c:pt>
              </c:numCache>
            </c:numRef>
          </c:val>
          <c:extLst>
            <c:ext xmlns:c16="http://schemas.microsoft.com/office/drawing/2014/chart" uri="{C3380CC4-5D6E-409C-BE32-E72D297353CC}">
              <c16:uniqueId val="{00000008-F16E-490B-BD34-77144661CDFF}"/>
            </c:ext>
          </c:extLst>
        </c:ser>
        <c:dLbls>
          <c:showLegendKey val="0"/>
          <c:showVal val="1"/>
          <c:showCatName val="1"/>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chemeClr val="bg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Leg ulcer prevalence in</a:t>
            </a:r>
            <a:r>
              <a:rPr lang="en-GB" baseline="0"/>
              <a:t> England</a:t>
            </a:r>
            <a:endParaRPr lang="en-GB"/>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4615708256518337"/>
          <c:y val="0.13138440860215056"/>
          <c:w val="0.83530945424187819"/>
          <c:h val="0.61894605155404914"/>
        </c:manualLayout>
      </c:layout>
      <c:lineChart>
        <c:grouping val="standard"/>
        <c:varyColors val="0"/>
        <c:ser>
          <c:idx val="0"/>
          <c:order val="0"/>
          <c:tx>
            <c:strRef>
              <c:f>'Baseline Summary'!$B$14</c:f>
              <c:strCache>
                <c:ptCount val="1"/>
                <c:pt idx="0">
                  <c:v> Venous LU </c:v>
                </c:pt>
              </c:strCache>
            </c:strRef>
          </c:tx>
          <c:spPr>
            <a:ln w="28575" cap="rnd">
              <a:solidFill>
                <a:srgbClr val="4472C4"/>
              </a:solidFill>
              <a:round/>
            </a:ln>
            <a:effectLst/>
          </c:spPr>
          <c:marker>
            <c:symbol val="none"/>
          </c:marker>
          <c:cat>
            <c:numRef>
              <c:f>'Baseline Summary'!$C$11:$AO$11</c:f>
              <c:numCache>
                <c:formatCode>General</c:formatCode>
                <c:ptCount val="39"/>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numCache>
            </c:numRef>
          </c:cat>
          <c:val>
            <c:numRef>
              <c:f>'Baseline Summary'!$C$14:$AO$14</c:f>
              <c:numCache>
                <c:formatCode>_-* #,##0_-;\-* #,##0_-;_-* "-"??_-;_-@_-</c:formatCode>
                <c:ptCount val="39"/>
                <c:pt idx="0">
                  <c:v>283.5</c:v>
                </c:pt>
                <c:pt idx="1">
                  <c:v>293.19015912843923</c:v>
                </c:pt>
                <c:pt idx="2">
                  <c:v>301.48374143342193</c:v>
                </c:pt>
                <c:pt idx="3">
                  <c:v>308.83682243526221</c:v>
                </c:pt>
                <c:pt idx="4">
                  <c:v>315.66336153104555</c:v>
                </c:pt>
                <c:pt idx="5">
                  <c:v>322.19175345226876</c:v>
                </c:pt>
                <c:pt idx="6">
                  <c:v>328.42933957913374</c:v>
                </c:pt>
                <c:pt idx="7">
                  <c:v>334.48368644395077</c:v>
                </c:pt>
                <c:pt idx="8">
                  <c:v>340.99506544330711</c:v>
                </c:pt>
                <c:pt idx="9">
                  <c:v>347.54433910494078</c:v>
                </c:pt>
                <c:pt idx="10">
                  <c:v>353.9335530451695</c:v>
                </c:pt>
                <c:pt idx="11">
                  <c:v>360.08149765896474</c:v>
                </c:pt>
                <c:pt idx="12">
                  <c:v>365.94273719361729</c:v>
                </c:pt>
                <c:pt idx="13">
                  <c:v>371.63357254034554</c:v>
                </c:pt>
                <c:pt idx="14">
                  <c:v>377.28462221783354</c:v>
                </c:pt>
                <c:pt idx="15">
                  <c:v>382.91124507394051</c:v>
                </c:pt>
                <c:pt idx="16">
                  <c:v>388.40785027493911</c:v>
                </c:pt>
                <c:pt idx="17">
                  <c:v>393.79137790071479</c:v>
                </c:pt>
                <c:pt idx="18">
                  <c:v>399.30705953387786</c:v>
                </c:pt>
                <c:pt idx="19">
                  <c:v>404.74467173140539</c:v>
                </c:pt>
                <c:pt idx="20">
                  <c:v>410.04642242123879</c:v>
                </c:pt>
                <c:pt idx="21">
                  <c:v>415.20473751024616</c:v>
                </c:pt>
                <c:pt idx="22">
                  <c:v>420.31948942780423</c:v>
                </c:pt>
                <c:pt idx="23">
                  <c:v>425.36743791398737</c:v>
                </c:pt>
                <c:pt idx="24">
                  <c:v>430.30770230249254</c:v>
                </c:pt>
                <c:pt idx="25">
                  <c:v>435.10950561269595</c:v>
                </c:pt>
                <c:pt idx="26">
                  <c:v>439.74266739692985</c:v>
                </c:pt>
                <c:pt idx="27">
                  <c:v>444.18569541933527</c:v>
                </c:pt>
                <c:pt idx="28">
                  <c:v>448.41940089072472</c:v>
                </c:pt>
                <c:pt idx="29">
                  <c:v>452.46367760839098</c:v>
                </c:pt>
                <c:pt idx="30">
                  <c:v>456.41100265391947</c:v>
                </c:pt>
                <c:pt idx="31">
                  <c:v>460.27011631298654</c:v>
                </c:pt>
                <c:pt idx="32">
                  <c:v>464.07389002202655</c:v>
                </c:pt>
                <c:pt idx="33">
                  <c:v>467.71828530869021</c:v>
                </c:pt>
                <c:pt idx="34">
                  <c:v>471.12633268040184</c:v>
                </c:pt>
                <c:pt idx="35">
                  <c:v>474.24785259532592</c:v>
                </c:pt>
                <c:pt idx="36">
                  <c:v>477.11785402259244</c:v>
                </c:pt>
                <c:pt idx="37">
                  <c:v>479.74524078913566</c:v>
                </c:pt>
                <c:pt idx="38">
                  <c:v>482.11835741990541</c:v>
                </c:pt>
              </c:numCache>
            </c:numRef>
          </c:val>
          <c:smooth val="0"/>
          <c:extLst>
            <c:ext xmlns:c16="http://schemas.microsoft.com/office/drawing/2014/chart" uri="{C3380CC4-5D6E-409C-BE32-E72D297353CC}">
              <c16:uniqueId val="{00000000-B22D-4680-B858-73D973622BF1}"/>
            </c:ext>
          </c:extLst>
        </c:ser>
        <c:ser>
          <c:idx val="1"/>
          <c:order val="1"/>
          <c:tx>
            <c:strRef>
              <c:f>'Baseline Summary'!$B$12</c:f>
              <c:strCache>
                <c:ptCount val="1"/>
                <c:pt idx="0">
                  <c:v> Mixed LU </c:v>
                </c:pt>
              </c:strCache>
            </c:strRef>
          </c:tx>
          <c:spPr>
            <a:ln w="28575" cap="rnd">
              <a:solidFill>
                <a:srgbClr val="70AD47">
                  <a:lumMod val="75000"/>
                </a:srgbClr>
              </a:solidFill>
              <a:round/>
            </a:ln>
            <a:effectLst/>
          </c:spPr>
          <c:marker>
            <c:symbol val="none"/>
          </c:marker>
          <c:cat>
            <c:numRef>
              <c:f>'Baseline Summary'!$C$11:$AO$11</c:f>
              <c:numCache>
                <c:formatCode>General</c:formatCode>
                <c:ptCount val="39"/>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numCache>
            </c:numRef>
          </c:cat>
          <c:val>
            <c:numRef>
              <c:f>'Baseline Summary'!$C$12:$AO$12</c:f>
              <c:numCache>
                <c:formatCode>_-* #,##0_-;\-* #,##0_-;_-* "-"??_-;_-@_-</c:formatCode>
                <c:ptCount val="39"/>
                <c:pt idx="0">
                  <c:v>82.5</c:v>
                </c:pt>
                <c:pt idx="1">
                  <c:v>85.671252397034777</c:v>
                </c:pt>
                <c:pt idx="2">
                  <c:v>88.409985944913515</c:v>
                </c:pt>
                <c:pt idx="3">
                  <c:v>90.841470209093458</c:v>
                </c:pt>
                <c:pt idx="4">
                  <c:v>93.082241400315425</c:v>
                </c:pt>
                <c:pt idx="5">
                  <c:v>95.200764065208375</c:v>
                </c:pt>
                <c:pt idx="6">
                  <c:v>97.20623037802207</c:v>
                </c:pt>
                <c:pt idx="7">
                  <c:v>99.13317447773133</c:v>
                </c:pt>
                <c:pt idx="8">
                  <c:v>101.15852006691416</c:v>
                </c:pt>
                <c:pt idx="9">
                  <c:v>103.17839473434539</c:v>
                </c:pt>
                <c:pt idx="10">
                  <c:v>105.14341642908033</c:v>
                </c:pt>
                <c:pt idx="11">
                  <c:v>107.03330423630574</c:v>
                </c:pt>
                <c:pt idx="12">
                  <c:v>108.83646981539874</c:v>
                </c:pt>
                <c:pt idx="13">
                  <c:v>110.58425481420778</c:v>
                </c:pt>
                <c:pt idx="14">
                  <c:v>112.31262773751317</c:v>
                </c:pt>
                <c:pt idx="15">
                  <c:v>114.02735538292637</c:v>
                </c:pt>
                <c:pt idx="16">
                  <c:v>115.70150768759851</c:v>
                </c:pt>
                <c:pt idx="17">
                  <c:v>117.33997010195631</c:v>
                </c:pt>
                <c:pt idx="18">
                  <c:v>119.00890563523252</c:v>
                </c:pt>
                <c:pt idx="19">
                  <c:v>120.65395422314508</c:v>
                </c:pt>
                <c:pt idx="20">
                  <c:v>122.25971462376572</c:v>
                </c:pt>
                <c:pt idx="21">
                  <c:v>123.82382636778361</c:v>
                </c:pt>
                <c:pt idx="22">
                  <c:v>125.37276808932094</c:v>
                </c:pt>
                <c:pt idx="23">
                  <c:v>126.9007679314233</c:v>
                </c:pt>
                <c:pt idx="24">
                  <c:v>128.39705697397048</c:v>
                </c:pt>
                <c:pt idx="25">
                  <c:v>129.85324523760454</c:v>
                </c:pt>
                <c:pt idx="26">
                  <c:v>131.26091577456455</c:v>
                </c:pt>
                <c:pt idx="27">
                  <c:v>132.61384049203292</c:v>
                </c:pt>
                <c:pt idx="28">
                  <c:v>133.90635997853173</c:v>
                </c:pt>
                <c:pt idx="29">
                  <c:v>135.14327566966779</c:v>
                </c:pt>
                <c:pt idx="30">
                  <c:v>136.34911564441759</c:v>
                </c:pt>
                <c:pt idx="31">
                  <c:v>137.52665975238099</c:v>
                </c:pt>
                <c:pt idx="32">
                  <c:v>138.68512595180937</c:v>
                </c:pt>
                <c:pt idx="33">
                  <c:v>139.79715248280675</c:v>
                </c:pt>
                <c:pt idx="34">
                  <c:v>140.84178569525929</c:v>
                </c:pt>
                <c:pt idx="35">
                  <c:v>141.80478376935463</c:v>
                </c:pt>
                <c:pt idx="36">
                  <c:v>142.6945738303196</c:v>
                </c:pt>
                <c:pt idx="37">
                  <c:v>143.51303981166242</c:v>
                </c:pt>
                <c:pt idx="38">
                  <c:v>144.25672500512002</c:v>
                </c:pt>
              </c:numCache>
            </c:numRef>
          </c:val>
          <c:smooth val="0"/>
          <c:extLst>
            <c:ext xmlns:c16="http://schemas.microsoft.com/office/drawing/2014/chart" uri="{C3380CC4-5D6E-409C-BE32-E72D297353CC}">
              <c16:uniqueId val="{00000001-B22D-4680-B858-73D973622BF1}"/>
            </c:ext>
          </c:extLst>
        </c:ser>
        <c:ser>
          <c:idx val="2"/>
          <c:order val="2"/>
          <c:tx>
            <c:strRef>
              <c:f>'Baseline Summary'!$B$13</c:f>
              <c:strCache>
                <c:ptCount val="1"/>
                <c:pt idx="0">
                  <c:v> Arterial LU </c:v>
                </c:pt>
              </c:strCache>
            </c:strRef>
          </c:tx>
          <c:spPr>
            <a:ln w="28575" cap="rnd">
              <a:solidFill>
                <a:srgbClr val="7030A0"/>
              </a:solidFill>
              <a:round/>
            </a:ln>
            <a:effectLst/>
          </c:spPr>
          <c:marker>
            <c:symbol val="none"/>
          </c:marker>
          <c:cat>
            <c:numRef>
              <c:f>'Baseline Summary'!$C$11:$AO$11</c:f>
              <c:numCache>
                <c:formatCode>General</c:formatCode>
                <c:ptCount val="39"/>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numCache>
            </c:numRef>
          </c:cat>
          <c:val>
            <c:numRef>
              <c:f>'Baseline Summary'!$C$13:$AO$13</c:f>
              <c:numCache>
                <c:formatCode>_-* #,##0_-;\-* #,##0_-;_-* "-"??_-;_-@_-</c:formatCode>
                <c:ptCount val="39"/>
                <c:pt idx="0">
                  <c:v>34.5</c:v>
                </c:pt>
                <c:pt idx="1">
                  <c:v>38.454128917855734</c:v>
                </c:pt>
                <c:pt idx="2">
                  <c:v>42.457630958756774</c:v>
                </c:pt>
                <c:pt idx="3">
                  <c:v>46.516040358715721</c:v>
                </c:pt>
                <c:pt idx="4">
                  <c:v>50.638387568592549</c:v>
                </c:pt>
                <c:pt idx="5">
                  <c:v>54.829561420828284</c:v>
                </c:pt>
                <c:pt idx="6">
                  <c:v>59.086273926722946</c:v>
                </c:pt>
                <c:pt idx="7">
                  <c:v>63.410302979667918</c:v>
                </c:pt>
                <c:pt idx="8">
                  <c:v>67.831191783152875</c:v>
                </c:pt>
                <c:pt idx="9">
                  <c:v>72.333730036701468</c:v>
                </c:pt>
                <c:pt idx="10">
                  <c:v>76.908553995894138</c:v>
                </c:pt>
                <c:pt idx="11">
                  <c:v>81.549670970508927</c:v>
                </c:pt>
                <c:pt idx="12">
                  <c:v>86.251869495510277</c:v>
                </c:pt>
                <c:pt idx="13">
                  <c:v>91.017411341000781</c:v>
                </c:pt>
                <c:pt idx="14">
                  <c:v>95.850693865599013</c:v>
                </c:pt>
                <c:pt idx="15">
                  <c:v>100.75199220352667</c:v>
                </c:pt>
                <c:pt idx="16">
                  <c:v>105.71576477276294</c:v>
                </c:pt>
                <c:pt idx="17">
                  <c:v>110.7412598192691</c:v>
                </c:pt>
                <c:pt idx="18">
                  <c:v>115.83926725747473</c:v>
                </c:pt>
                <c:pt idx="19">
                  <c:v>121.00096894283982</c:v>
                </c:pt>
                <c:pt idx="20">
                  <c:v>126.22253923854976</c:v>
                </c:pt>
                <c:pt idx="21">
                  <c:v>131.50193772831429</c:v>
                </c:pt>
                <c:pt idx="22">
                  <c:v>136.84236567923674</c:v>
                </c:pt>
                <c:pt idx="23">
                  <c:v>142.24213559294529</c:v>
                </c:pt>
                <c:pt idx="24">
                  <c:v>147.69839945955746</c:v>
                </c:pt>
                <c:pt idx="25">
                  <c:v>153.20831008248271</c:v>
                </c:pt>
                <c:pt idx="26">
                  <c:v>158.76867284622162</c:v>
                </c:pt>
                <c:pt idx="27">
                  <c:v>164.37635475729451</c:v>
                </c:pt>
                <c:pt idx="28">
                  <c:v>170.0280738909787</c:v>
                </c:pt>
                <c:pt idx="29">
                  <c:v>175.72225360870661</c:v>
                </c:pt>
                <c:pt idx="30">
                  <c:v>181.46116457365477</c:v>
                </c:pt>
                <c:pt idx="31">
                  <c:v>187.24405300800061</c:v>
                </c:pt>
                <c:pt idx="32">
                  <c:v>193.07147026294766</c:v>
                </c:pt>
                <c:pt idx="33">
                  <c:v>198.93757312433755</c:v>
                </c:pt>
                <c:pt idx="34">
                  <c:v>204.83658775998202</c:v>
                </c:pt>
                <c:pt idx="35">
                  <c:v>210.76312747680086</c:v>
                </c:pt>
                <c:pt idx="36">
                  <c:v>216.71542026573081</c:v>
                </c:pt>
                <c:pt idx="37">
                  <c:v>222.69082693765768</c:v>
                </c:pt>
                <c:pt idx="38">
                  <c:v>228.68579665877621</c:v>
                </c:pt>
              </c:numCache>
            </c:numRef>
          </c:val>
          <c:smooth val="0"/>
          <c:extLst>
            <c:ext xmlns:c16="http://schemas.microsoft.com/office/drawing/2014/chart" uri="{C3380CC4-5D6E-409C-BE32-E72D297353CC}">
              <c16:uniqueId val="{00000002-B22D-4680-B858-73D973622BF1}"/>
            </c:ext>
          </c:extLst>
        </c:ser>
        <c:dLbls>
          <c:showLegendKey val="0"/>
          <c:showVal val="0"/>
          <c:showCatName val="0"/>
          <c:showSerName val="0"/>
          <c:showPercent val="0"/>
          <c:showBubbleSize val="0"/>
        </c:dLbls>
        <c:smooth val="0"/>
        <c:axId val="95907840"/>
        <c:axId val="95909376"/>
      </c:lineChart>
      <c:catAx>
        <c:axId val="95907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5909376"/>
        <c:crosses val="autoZero"/>
        <c:auto val="1"/>
        <c:lblAlgn val="ctr"/>
        <c:lblOffset val="100"/>
        <c:tickLblSkip val="2"/>
        <c:tickMarkSkip val="5"/>
        <c:noMultiLvlLbl val="0"/>
      </c:catAx>
      <c:valAx>
        <c:axId val="959093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Number of leg ulcers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5907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doughnutChart>
        <c:varyColors val="1"/>
        <c:ser>
          <c:idx val="0"/>
          <c:order val="0"/>
          <c:tx>
            <c:strRef>
              <c:f>'Baseline Summary'!$R$29:$R$31</c:f>
              <c:strCache>
                <c:ptCount val="3"/>
                <c:pt idx="0">
                  <c:v>Mixed leg ulcer</c:v>
                </c:pt>
                <c:pt idx="1">
                  <c:v>Arterial leg ulcer</c:v>
                </c:pt>
                <c:pt idx="2">
                  <c:v>Venous leg ulcer</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11A-46E5-9FA2-A0FD2C6DD08E}"/>
              </c:ext>
            </c:extLst>
          </c:dPt>
          <c:dPt>
            <c:idx val="1"/>
            <c:bubble3D val="0"/>
            <c:spPr>
              <a:solidFill>
                <a:srgbClr val="4472C4">
                  <a:lumMod val="75000"/>
                </a:srgbClr>
              </a:solidFill>
              <a:ln w="19050">
                <a:solidFill>
                  <a:schemeClr val="lt1"/>
                </a:solidFill>
              </a:ln>
              <a:effectLst/>
            </c:spPr>
            <c:extLst>
              <c:ext xmlns:c16="http://schemas.microsoft.com/office/drawing/2014/chart" uri="{C3380CC4-5D6E-409C-BE32-E72D297353CC}">
                <c16:uniqueId val="{00000003-111A-46E5-9FA2-A0FD2C6DD08E}"/>
              </c:ext>
            </c:extLst>
          </c:dPt>
          <c:dPt>
            <c:idx val="2"/>
            <c:bubble3D val="0"/>
            <c:spPr>
              <a:solidFill>
                <a:srgbClr val="5B9BD5">
                  <a:lumMod val="60000"/>
                  <a:lumOff val="40000"/>
                </a:srgbClr>
              </a:solidFill>
              <a:ln w="19050">
                <a:solidFill>
                  <a:schemeClr val="lt1"/>
                </a:solidFill>
              </a:ln>
              <a:effectLst/>
            </c:spPr>
            <c:extLst>
              <c:ext xmlns:c16="http://schemas.microsoft.com/office/drawing/2014/chart" uri="{C3380CC4-5D6E-409C-BE32-E72D297353CC}">
                <c16:uniqueId val="{00000005-111A-46E5-9FA2-A0FD2C6DD08E}"/>
              </c:ext>
            </c:extLst>
          </c:dPt>
          <c:dLbls>
            <c:spPr>
              <a:noFill/>
              <a:ln>
                <a:noFill/>
              </a:ln>
              <a:effectLst/>
            </c:spPr>
            <c:txPr>
              <a:bodyPr rot="0" spcFirstLastPara="1" vertOverflow="clip" horzOverflow="clip" vert="horz" wrap="square" lIns="38100" tIns="19050" rIns="38100" bIns="19050" anchor="ctr" anchorCtr="1">
                <a:spAutoFit/>
              </a:bodyPr>
              <a:lstStyle/>
              <a:p>
                <a:pPr>
                  <a:defRPr sz="1197"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'Baseline Summary'!$R$29:$R$31</c:f>
              <c:strCache>
                <c:ptCount val="3"/>
                <c:pt idx="0">
                  <c:v>Mixed leg ulcer</c:v>
                </c:pt>
                <c:pt idx="1">
                  <c:v>Arterial leg ulcer</c:v>
                </c:pt>
                <c:pt idx="2">
                  <c:v>Venous leg ulcer</c:v>
                </c:pt>
              </c:strCache>
            </c:strRef>
          </c:cat>
          <c:val>
            <c:numRef>
              <c:f>'Baseline Summary'!$T$29:$T$31</c:f>
              <c:numCache>
                <c:formatCode>"£"#,##0</c:formatCode>
                <c:ptCount val="3"/>
                <c:pt idx="0">
                  <c:v>0.76356965630175599</c:v>
                </c:pt>
                <c:pt idx="1">
                  <c:v>0.40142133017180703</c:v>
                </c:pt>
                <c:pt idx="2">
                  <c:v>1.5802112473129581</c:v>
                </c:pt>
              </c:numCache>
            </c:numRef>
          </c:val>
          <c:extLst>
            <c:ext xmlns:c16="http://schemas.microsoft.com/office/drawing/2014/chart" uri="{C3380CC4-5D6E-409C-BE32-E72D297353CC}">
              <c16:uniqueId val="{0000000C-111A-46E5-9FA2-A0FD2C6DD08E}"/>
            </c:ext>
          </c:extLst>
        </c:ser>
        <c:dLbls>
          <c:showLegendKey val="0"/>
          <c:showVal val="0"/>
          <c:showCatName val="0"/>
          <c:showSerName val="0"/>
          <c:showPercent val="0"/>
          <c:showBubbleSize val="0"/>
          <c:showLeaderLines val="0"/>
        </c:dLbls>
        <c:firstSliceAng val="0"/>
        <c:holeSize val="7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Total cost of</a:t>
            </a:r>
            <a:r>
              <a:rPr lang="en-GB" baseline="0"/>
              <a:t> leg ulcer care </a:t>
            </a:r>
            <a:r>
              <a:rPr lang="en-GB"/>
              <a:t>(£bn)</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'Baseline Summary'!$J$21</c:f>
              <c:strCache>
                <c:ptCount val="1"/>
                <c:pt idx="0">
                  <c:v>2027</c:v>
                </c:pt>
              </c:strCache>
            </c:strRef>
          </c:tx>
          <c:spPr>
            <a:solidFill>
              <a:srgbClr val="6D91D1"/>
            </a:solidFill>
            <a:ln>
              <a:noFill/>
            </a:ln>
            <a:effectLst/>
          </c:spPr>
          <c:invertIfNegative val="0"/>
          <c:dLbls>
            <c:numFmt formatCode="&quot;£&quot;#,##0.0"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'Baseline Summary'!$R$29:$R$32</c:f>
              <c:strCache>
                <c:ptCount val="4"/>
                <c:pt idx="0">
                  <c:v>Mixed leg ulcer</c:v>
                </c:pt>
                <c:pt idx="1">
                  <c:v>Arterial leg ulcer</c:v>
                </c:pt>
                <c:pt idx="2">
                  <c:v>Venous leg ulcer</c:v>
                </c:pt>
                <c:pt idx="3">
                  <c:v>Total cost</c:v>
                </c:pt>
              </c:strCache>
              <c:extLst/>
            </c:strRef>
          </c:cat>
          <c:val>
            <c:numRef>
              <c:f>'Baseline Summary'!$J$22:$J$25</c:f>
              <c:numCache>
                <c:formatCode>"£"#,##0.00</c:formatCode>
                <c:ptCount val="4"/>
                <c:pt idx="0">
                  <c:v>763569.65630175604</c:v>
                </c:pt>
                <c:pt idx="1">
                  <c:v>401421.33017180703</c:v>
                </c:pt>
                <c:pt idx="2">
                  <c:v>1580211.2473129581</c:v>
                </c:pt>
                <c:pt idx="3">
                  <c:v>2745202.2337865215</c:v>
                </c:pt>
              </c:numCache>
              <c:extLst/>
            </c:numRef>
          </c:val>
          <c:extLst>
            <c:ext xmlns:c16="http://schemas.microsoft.com/office/drawing/2014/chart" uri="{C3380CC4-5D6E-409C-BE32-E72D297353CC}">
              <c16:uniqueId val="{00000000-9504-4FCF-B921-CB30639AF8CD}"/>
            </c:ext>
          </c:extLst>
        </c:ser>
        <c:ser>
          <c:idx val="1"/>
          <c:order val="1"/>
          <c:tx>
            <c:strRef>
              <c:f>'Baseline Summary'!$AD$21</c:f>
              <c:strCache>
                <c:ptCount val="1"/>
                <c:pt idx="0">
                  <c:v>2047</c:v>
                </c:pt>
              </c:strCache>
            </c:strRef>
          </c:tx>
          <c:spPr>
            <a:solidFill>
              <a:srgbClr val="44546A">
                <a:lumMod val="75000"/>
              </a:srgbClr>
            </a:solidFill>
            <a:ln>
              <a:noFill/>
            </a:ln>
            <a:effectLst/>
          </c:spPr>
          <c:invertIfNegative val="0"/>
          <c:dLbls>
            <c:numFmt formatCode="&quot;£&quot;#,##0.0"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'Baseline Summary'!$R$29:$R$32</c:f>
              <c:strCache>
                <c:ptCount val="4"/>
                <c:pt idx="0">
                  <c:v>Mixed leg ulcer</c:v>
                </c:pt>
                <c:pt idx="1">
                  <c:v>Arterial leg ulcer</c:v>
                </c:pt>
                <c:pt idx="2">
                  <c:v>Venous leg ulcer</c:v>
                </c:pt>
                <c:pt idx="3">
                  <c:v>Total cost</c:v>
                </c:pt>
              </c:strCache>
              <c:extLst/>
            </c:strRef>
          </c:cat>
          <c:val>
            <c:numRef>
              <c:f>'Baseline Summary'!$AD$22:$AD$25</c:f>
              <c:numCache>
                <c:formatCode>"£"#,##0.00</c:formatCode>
                <c:ptCount val="4"/>
                <c:pt idx="0">
                  <c:v>1672316.7226955614</c:v>
                </c:pt>
                <c:pt idx="1">
                  <c:v>1557013.5070378256</c:v>
                </c:pt>
                <c:pt idx="2">
                  <c:v>3417780.891168267</c:v>
                </c:pt>
                <c:pt idx="3">
                  <c:v>6647111.1209016535</c:v>
                </c:pt>
              </c:numCache>
              <c:extLst/>
            </c:numRef>
          </c:val>
          <c:extLst>
            <c:ext xmlns:c16="http://schemas.microsoft.com/office/drawing/2014/chart" uri="{C3380CC4-5D6E-409C-BE32-E72D297353CC}">
              <c16:uniqueId val="{00000001-9504-4FCF-B921-CB30639AF8CD}"/>
            </c:ext>
          </c:extLst>
        </c:ser>
        <c:dLbls>
          <c:showLegendKey val="0"/>
          <c:showVal val="0"/>
          <c:showCatName val="0"/>
          <c:showSerName val="0"/>
          <c:showPercent val="0"/>
          <c:showBubbleSize val="0"/>
        </c:dLbls>
        <c:gapWidth val="150"/>
        <c:axId val="96875648"/>
        <c:axId val="96877184"/>
      </c:barChart>
      <c:catAx>
        <c:axId val="96875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6877184"/>
        <c:crosses val="autoZero"/>
        <c:auto val="1"/>
        <c:lblAlgn val="ctr"/>
        <c:lblOffset val="100"/>
        <c:noMultiLvlLbl val="0"/>
      </c:catAx>
      <c:valAx>
        <c:axId val="9687718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6875648"/>
        <c:crosses val="autoZero"/>
        <c:crossBetween val="between"/>
        <c:majorUnit val="2000000000"/>
        <c:dispUnits>
          <c:builtInUnit val="b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Present value (£bn)</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7167811588622633"/>
          <c:y val="9.8390968360393793E-2"/>
          <c:w val="0.78793445837551057"/>
          <c:h val="0.71355070621164718"/>
        </c:manualLayout>
      </c:layout>
      <c:barChart>
        <c:barDir val="col"/>
        <c:grouping val="stacked"/>
        <c:varyColors val="0"/>
        <c:ser>
          <c:idx val="0"/>
          <c:order val="0"/>
          <c:tx>
            <c:strRef>
              <c:f>'National model results detailed'!$B$208</c:f>
              <c:strCache>
                <c:ptCount val="1"/>
                <c:pt idx="0">
                  <c:v>Cash releasing</c:v>
                </c:pt>
              </c:strCache>
            </c:strRef>
          </c:tx>
          <c:spPr>
            <a:solidFill>
              <a:srgbClr val="4472C4">
                <a:lumMod val="40000"/>
                <a:lumOff val="60000"/>
              </a:srgbClr>
            </a:solidFill>
            <a:ln>
              <a:noFill/>
            </a:ln>
            <a:effectLst/>
          </c:spPr>
          <c:invertIfNegative val="0"/>
          <c:dLbls>
            <c:numFmt formatCode="&quot;£&quot;#,##0.0"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'National model results detailed'!$C$208</c:f>
              <c:numCache>
                <c:formatCode>"£"#,##0.00</c:formatCode>
                <c:ptCount val="1"/>
                <c:pt idx="0">
                  <c:v>6669483.1961324848</c:v>
                </c:pt>
              </c:numCache>
            </c:numRef>
          </c:val>
          <c:extLst>
            <c:ext xmlns:c16="http://schemas.microsoft.com/office/drawing/2014/chart" uri="{C3380CC4-5D6E-409C-BE32-E72D297353CC}">
              <c16:uniqueId val="{00000000-EA94-4740-9076-B72CCA7F89FA}"/>
            </c:ext>
          </c:extLst>
        </c:ser>
        <c:ser>
          <c:idx val="1"/>
          <c:order val="1"/>
          <c:tx>
            <c:strRef>
              <c:f>'National model results detailed'!$B$207</c:f>
              <c:strCache>
                <c:ptCount val="1"/>
                <c:pt idx="0">
                  <c:v>Non-cash releasing</c:v>
                </c:pt>
              </c:strCache>
            </c:strRef>
          </c:tx>
          <c:spPr>
            <a:solidFill>
              <a:srgbClr val="9CD3E0"/>
            </a:solidFill>
            <a:ln>
              <a:noFill/>
            </a:ln>
            <a:effectLst/>
          </c:spPr>
          <c:invertIfNegative val="0"/>
          <c:dLbls>
            <c:numFmt formatCode="&quot;£&quot;#,##0.0"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'National model results detailed'!$C$207</c:f>
              <c:numCache>
                <c:formatCode>"£"#,##0.00</c:formatCode>
                <c:ptCount val="1"/>
                <c:pt idx="0">
                  <c:v>3866270.5506952023</c:v>
                </c:pt>
              </c:numCache>
            </c:numRef>
          </c:val>
          <c:extLst>
            <c:ext xmlns:c16="http://schemas.microsoft.com/office/drawing/2014/chart" uri="{C3380CC4-5D6E-409C-BE32-E72D297353CC}">
              <c16:uniqueId val="{00000001-EA94-4740-9076-B72CCA7F89FA}"/>
            </c:ext>
          </c:extLst>
        </c:ser>
        <c:ser>
          <c:idx val="2"/>
          <c:order val="2"/>
          <c:tx>
            <c:strRef>
              <c:f>'National model results detailed'!$B$210</c:f>
              <c:strCache>
                <c:ptCount val="1"/>
                <c:pt idx="0">
                  <c:v>Implementation costs</c:v>
                </c:pt>
              </c:strCache>
            </c:strRef>
          </c:tx>
          <c:spPr>
            <a:solidFill>
              <a:schemeClr val="accent3"/>
            </a:solidFill>
            <a:ln>
              <a:noFill/>
            </a:ln>
            <a:effectLst/>
          </c:spPr>
          <c:invertIfNegative val="0"/>
          <c:dLbls>
            <c:numFmt formatCode="&quot;£&quot;#,##0.0" sourceLinked="0"/>
            <c:spPr>
              <a:noFill/>
              <a:ln>
                <a:noFill/>
              </a:ln>
              <a:effectLst/>
            </c:spPr>
            <c:txPr>
              <a:bodyPr rot="0" spcFirstLastPara="1" vertOverflow="ellipsis" vert="horz" wrap="square" anchor="ctr" anchorCtr="1"/>
              <a:lstStyle/>
              <a:p>
                <a:pPr>
                  <a:defRPr sz="1000" b="0" i="0" u="none" strike="noStrike" kern="1200" baseline="0">
                    <a:solidFill>
                      <a:srgbClr val="FFFFFF"/>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'National model results detailed'!$C$210</c:f>
              <c:numCache>
                <c:formatCode>"£"#,##0.00</c:formatCode>
                <c:ptCount val="1"/>
                <c:pt idx="0">
                  <c:v>-2219219.8319726484</c:v>
                </c:pt>
              </c:numCache>
            </c:numRef>
          </c:val>
          <c:extLst>
            <c:ext xmlns:c16="http://schemas.microsoft.com/office/drawing/2014/chart" uri="{C3380CC4-5D6E-409C-BE32-E72D297353CC}">
              <c16:uniqueId val="{00000002-EA94-4740-9076-B72CCA7F89FA}"/>
            </c:ext>
          </c:extLst>
        </c:ser>
        <c:dLbls>
          <c:dLblPos val="ctr"/>
          <c:showLegendKey val="0"/>
          <c:showVal val="1"/>
          <c:showCatName val="0"/>
          <c:showSerName val="0"/>
          <c:showPercent val="0"/>
          <c:showBubbleSize val="0"/>
        </c:dLbls>
        <c:gapWidth val="219"/>
        <c:overlap val="100"/>
        <c:axId val="93886336"/>
        <c:axId val="93887872"/>
      </c:barChart>
      <c:catAx>
        <c:axId val="93886336"/>
        <c:scaling>
          <c:orientation val="minMax"/>
        </c:scaling>
        <c:delete val="1"/>
        <c:axPos val="t"/>
        <c:numFmt formatCode="General" sourceLinked="1"/>
        <c:majorTickMark val="none"/>
        <c:minorTickMark val="none"/>
        <c:tickLblPos val="nextTo"/>
        <c:crossAx val="93887872"/>
        <c:crosses val="max"/>
        <c:auto val="1"/>
        <c:lblAlgn val="ctr"/>
        <c:lblOffset val="100"/>
        <c:noMultiLvlLbl val="0"/>
      </c:catAx>
      <c:valAx>
        <c:axId val="938878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3886336"/>
        <c:crosses val="autoZero"/>
        <c:crossBetween val="between"/>
        <c:dispUnits>
          <c:builtInUnit val="b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legend>
      <c:legendPos val="b"/>
      <c:layout>
        <c:manualLayout>
          <c:xMode val="edge"/>
          <c:yMode val="edge"/>
          <c:x val="0.31717828149668797"/>
          <c:y val="0.8527678025224118"/>
          <c:w val="0.5613668709603401"/>
          <c:h val="0.1472321974775882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sz="1400"/>
              <a:t>Present value of implementation costs (£m) </a:t>
            </a:r>
          </a:p>
        </c:rich>
      </c:tx>
      <c:layout>
        <c:manualLayout>
          <c:xMode val="edge"/>
          <c:yMode val="edge"/>
          <c:x val="0.23212663492336758"/>
          <c:y val="9.0443386834968813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37695074050079508"/>
          <c:y val="0.32852934253306459"/>
          <c:w val="0.40288232720909889"/>
          <c:h val="0.67147054534849815"/>
        </c:manualLayout>
      </c:layout>
      <c:doughnut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CCE9-4C28-9FD6-AF000A05B56F}"/>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CCE9-4C28-9FD6-AF000A05B56F}"/>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CCE9-4C28-9FD6-AF000A05B56F}"/>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7-CCE9-4C28-9FD6-AF000A05B56F}"/>
              </c:ext>
            </c:extLst>
          </c:dPt>
          <c:dPt>
            <c:idx val="4"/>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9-CCE9-4C28-9FD6-AF000A05B56F}"/>
              </c:ext>
            </c:extLst>
          </c:dPt>
          <c:dPt>
            <c:idx val="5"/>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B-CCE9-4C28-9FD6-AF000A05B56F}"/>
              </c:ext>
            </c:extLst>
          </c:dPt>
          <c:dLbls>
            <c:numFmt formatCode="&quot;£&quot;#,##0,&quot;m&quot;"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2">
                        <a:lumMod val="75000"/>
                      </a:schemeClr>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'Implementation costs'!$G$36:$G$41</c:f>
              <c:numCache>
                <c:formatCode>"£"#,##0.0</c:formatCode>
                <c:ptCount val="6"/>
                <c:pt idx="0">
                  <c:v>1051.9684493388434</c:v>
                </c:pt>
                <c:pt idx="1">
                  <c:v>232.25428034400292</c:v>
                </c:pt>
                <c:pt idx="2">
                  <c:v>8.6063724568599635</c:v>
                </c:pt>
                <c:pt idx="3">
                  <c:v>368.85910806179425</c:v>
                </c:pt>
                <c:pt idx="4">
                  <c:v>22.417586376772114</c:v>
                </c:pt>
                <c:pt idx="5">
                  <c:v>929.28630367520714</c:v>
                </c:pt>
              </c:numCache>
            </c:numRef>
          </c:val>
          <c:extLst>
            <c:ext xmlns:c15="http://schemas.microsoft.com/office/drawing/2012/chart" uri="{02D57815-91ED-43cb-92C2-25804820EDAC}">
              <c15:filteredCategoryTitle>
                <c15:cat>
                  <c:strRef>
                    <c:extLst>
                      <c:ext uri="{02D57815-91ED-43cb-92C2-25804820EDAC}">
                        <c15:formulaRef>
                          <c15:sqref>'Implementation costs'!$F$36:$F$41</c15:sqref>
                        </c15:formulaRef>
                      </c:ext>
                    </c:extLst>
                    <c:strCache>
                      <c:ptCount val="6"/>
                      <c:pt idx="0">
                        <c:v>Lower limb wound clinic</c:v>
                      </c:pt>
                      <c:pt idx="1">
                        <c:v>Leg ulcer social care model</c:v>
                      </c:pt>
                      <c:pt idx="2">
                        <c:v>Education</c:v>
                      </c:pt>
                      <c:pt idx="3">
                        <c:v>Programme management</c:v>
                      </c:pt>
                      <c:pt idx="4">
                        <c:v>Monitor and evaluation costs</c:v>
                      </c:pt>
                      <c:pt idx="5">
                        <c:v>Data capture</c:v>
                      </c:pt>
                    </c:strCache>
                  </c:strRef>
                </c15:cat>
              </c15:filteredCategoryTitle>
            </c:ext>
            <c:ext xmlns:c16="http://schemas.microsoft.com/office/drawing/2014/chart" uri="{C3380CC4-5D6E-409C-BE32-E72D297353CC}">
              <c16:uniqueId val="{0000000A-2EF3-4CDE-A2BE-FEAEFBED8284}"/>
            </c:ext>
          </c:extLst>
        </c:ser>
        <c:dLbls>
          <c:showLegendKey val="0"/>
          <c:showVal val="0"/>
          <c:showCatName val="1"/>
          <c:showSerName val="0"/>
          <c:showPercent val="1"/>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GB" dirty="0"/>
              <a:t>Annual cost of wound care products per leg ulcer patient</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'National model results detailed'!$BA$137</c:f>
              <c:strCache>
                <c:ptCount val="1"/>
                <c:pt idx="0">
                  <c:v>Baseline</c:v>
                </c:pt>
              </c:strCache>
            </c:strRef>
          </c:tx>
          <c:spPr>
            <a:solidFill>
              <a:srgbClr val="4472C4">
                <a:lumMod val="50000"/>
              </a:srgbClr>
            </a:solidFill>
            <a:ln>
              <a:noFill/>
            </a:ln>
            <a:effectLst/>
          </c:spPr>
          <c:invertIfNegative val="0"/>
          <c:cat>
            <c:strRef>
              <c:f>'National model results detailed'!$AZ$138:$AZ$144</c:f>
              <c:strCache>
                <c:ptCount val="7"/>
                <c:pt idx="0">
                  <c:v>Total</c:v>
                </c:pt>
                <c:pt idx="1">
                  <c:v>Absorbent dressing</c:v>
                </c:pt>
                <c:pt idx="2">
                  <c:v>Compression bandaging</c:v>
                </c:pt>
                <c:pt idx="3">
                  <c:v>Saline</c:v>
                </c:pt>
                <c:pt idx="4">
                  <c:v>Dressing pack</c:v>
                </c:pt>
                <c:pt idx="5">
                  <c:v>Compression hosiery</c:v>
                </c:pt>
                <c:pt idx="6">
                  <c:v>Wound Contact Layer</c:v>
                </c:pt>
              </c:strCache>
            </c:strRef>
          </c:cat>
          <c:val>
            <c:numRef>
              <c:f>'National model results detailed'!$BA$138:$BA$144</c:f>
              <c:numCache>
                <c:formatCode>"£"#,##0</c:formatCode>
                <c:ptCount val="7"/>
                <c:pt idx="0">
                  <c:v>589.15536408029664</c:v>
                </c:pt>
                <c:pt idx="1">
                  <c:v>302.62074499162429</c:v>
                </c:pt>
                <c:pt idx="2">
                  <c:v>160.55129337834688</c:v>
                </c:pt>
                <c:pt idx="3">
                  <c:v>47.883419980114589</c:v>
                </c:pt>
                <c:pt idx="4">
                  <c:v>36.901279383957302</c:v>
                </c:pt>
                <c:pt idx="5">
                  <c:v>22.952634316442296</c:v>
                </c:pt>
                <c:pt idx="6">
                  <c:v>18.245992029811184</c:v>
                </c:pt>
              </c:numCache>
            </c:numRef>
          </c:val>
          <c:extLst>
            <c:ext xmlns:c16="http://schemas.microsoft.com/office/drawing/2014/chart" uri="{C3380CC4-5D6E-409C-BE32-E72D297353CC}">
              <c16:uniqueId val="{00000000-9009-4DC8-B419-1C2DE5BA081D}"/>
            </c:ext>
          </c:extLst>
        </c:ser>
        <c:ser>
          <c:idx val="1"/>
          <c:order val="1"/>
          <c:tx>
            <c:strRef>
              <c:f>'National model results detailed'!$BB$137</c:f>
              <c:strCache>
                <c:ptCount val="1"/>
                <c:pt idx="0">
                  <c:v>To-be</c:v>
                </c:pt>
              </c:strCache>
            </c:strRef>
          </c:tx>
          <c:spPr>
            <a:solidFill>
              <a:srgbClr val="4472C4">
                <a:lumMod val="40000"/>
                <a:lumOff val="60000"/>
              </a:srgbClr>
            </a:solidFill>
            <a:ln>
              <a:noFill/>
            </a:ln>
            <a:effectLst/>
          </c:spPr>
          <c:invertIfNegative val="0"/>
          <c:cat>
            <c:strRef>
              <c:f>'National model results detailed'!$AZ$138:$AZ$144</c:f>
              <c:strCache>
                <c:ptCount val="7"/>
                <c:pt idx="0">
                  <c:v>Total</c:v>
                </c:pt>
                <c:pt idx="1">
                  <c:v>Absorbent dressing</c:v>
                </c:pt>
                <c:pt idx="2">
                  <c:v>Compression bandaging</c:v>
                </c:pt>
                <c:pt idx="3">
                  <c:v>Saline</c:v>
                </c:pt>
                <c:pt idx="4">
                  <c:v>Dressing pack</c:v>
                </c:pt>
                <c:pt idx="5">
                  <c:v>Compression hosiery</c:v>
                </c:pt>
                <c:pt idx="6">
                  <c:v>Wound Contact Layer</c:v>
                </c:pt>
              </c:strCache>
            </c:strRef>
          </c:cat>
          <c:val>
            <c:numRef>
              <c:f>'National model results detailed'!$BB$138:$BB$144</c:f>
              <c:numCache>
                <c:formatCode>"£"#,##0</c:formatCode>
                <c:ptCount val="7"/>
                <c:pt idx="0">
                  <c:v>752.68362352826091</c:v>
                </c:pt>
                <c:pt idx="1">
                  <c:v>234.40333150524538</c:v>
                </c:pt>
                <c:pt idx="2">
                  <c:v>120.67515318714311</c:v>
                </c:pt>
                <c:pt idx="3">
                  <c:v>46.480186505205424</c:v>
                </c:pt>
                <c:pt idx="4">
                  <c:v>35.819879798880706</c:v>
                </c:pt>
                <c:pt idx="5">
                  <c:v>301.59083929879625</c:v>
                </c:pt>
                <c:pt idx="6">
                  <c:v>13.714233232990029</c:v>
                </c:pt>
              </c:numCache>
            </c:numRef>
          </c:val>
          <c:extLst>
            <c:ext xmlns:c16="http://schemas.microsoft.com/office/drawing/2014/chart" uri="{C3380CC4-5D6E-409C-BE32-E72D297353CC}">
              <c16:uniqueId val="{00000001-9009-4DC8-B419-1C2DE5BA081D}"/>
            </c:ext>
          </c:extLst>
        </c:ser>
        <c:dLbls>
          <c:showLegendKey val="0"/>
          <c:showVal val="0"/>
          <c:showCatName val="0"/>
          <c:showSerName val="0"/>
          <c:showPercent val="0"/>
          <c:showBubbleSize val="0"/>
        </c:dLbls>
        <c:gapWidth val="219"/>
        <c:overlap val="-27"/>
        <c:axId val="94218112"/>
        <c:axId val="94219648"/>
      </c:barChart>
      <c:catAx>
        <c:axId val="94218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94219648"/>
        <c:crosses val="autoZero"/>
        <c:auto val="1"/>
        <c:lblAlgn val="ctr"/>
        <c:lblOffset val="100"/>
        <c:noMultiLvlLbl val="0"/>
      </c:catAx>
      <c:valAx>
        <c:axId val="942196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Cost (£)</a:t>
                </a:r>
              </a:p>
            </c:rich>
          </c:tx>
          <c:layout>
            <c:manualLayout>
              <c:xMode val="edge"/>
              <c:yMode val="edge"/>
              <c:x val="1.9926388469179526E-3"/>
              <c:y val="0.3315696737146435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94218112"/>
        <c:crosses val="autoZero"/>
        <c:crossBetween val="between"/>
        <c:majorUnit val="100"/>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1000">
          <a:latin typeface="+mn-lt"/>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Annual savings (%), To-be vs Baseline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1639210504464108"/>
          <c:y val="0.13138440860215056"/>
          <c:w val="0.85609757858672064"/>
          <c:h val="0.73108357675048685"/>
        </c:manualLayout>
      </c:layout>
      <c:areaChart>
        <c:grouping val="standard"/>
        <c:varyColors val="0"/>
        <c:ser>
          <c:idx val="0"/>
          <c:order val="0"/>
          <c:spPr>
            <a:solidFill>
              <a:srgbClr val="4472C4">
                <a:lumMod val="20000"/>
                <a:lumOff val="80000"/>
              </a:srgbClr>
            </a:solidFill>
            <a:ln>
              <a:solidFill>
                <a:srgbClr val="4472C4"/>
              </a:solidFill>
            </a:ln>
            <a:effectLst/>
          </c:spPr>
          <c:cat>
            <c:numRef>
              <c:f>'National model results detailed'!$C$21:$AO$21</c:f>
              <c:numCache>
                <c:formatCode>General</c:formatCode>
                <c:ptCount val="39"/>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numCache>
            </c:numRef>
          </c:cat>
          <c:val>
            <c:numRef>
              <c:f>'National model results detailed'!$C$50:$AO$50</c:f>
              <c:numCache>
                <c:formatCode>0%</c:formatCode>
                <c:ptCount val="39"/>
                <c:pt idx="0">
                  <c:v>0</c:v>
                </c:pt>
                <c:pt idx="1">
                  <c:v>-7.8160832167402466E-2</c:v>
                </c:pt>
                <c:pt idx="2">
                  <c:v>-8.7274772835692002E-2</c:v>
                </c:pt>
                <c:pt idx="3">
                  <c:v>-9.6449977895272973E-2</c:v>
                </c:pt>
                <c:pt idx="4">
                  <c:v>-4.9149692597714491E-3</c:v>
                </c:pt>
                <c:pt idx="5">
                  <c:v>6.0883774442577594E-2</c:v>
                </c:pt>
                <c:pt idx="6">
                  <c:v>9.9741236037886691E-2</c:v>
                </c:pt>
                <c:pt idx="7">
                  <c:v>0.12199424722789691</c:v>
                </c:pt>
                <c:pt idx="8">
                  <c:v>0.13406794480729528</c:v>
                </c:pt>
                <c:pt idx="9">
                  <c:v>0.13994033600868941</c:v>
                </c:pt>
                <c:pt idx="10">
                  <c:v>0.14199067984487335</c:v>
                </c:pt>
                <c:pt idx="11">
                  <c:v>0.13815421905327843</c:v>
                </c:pt>
                <c:pt idx="12">
                  <c:v>0.13634360256445127</c:v>
                </c:pt>
                <c:pt idx="13">
                  <c:v>0.13383467672251945</c:v>
                </c:pt>
                <c:pt idx="14">
                  <c:v>0.13405793329349358</c:v>
                </c:pt>
                <c:pt idx="15">
                  <c:v>0.13654324193356163</c:v>
                </c:pt>
                <c:pt idx="16">
                  <c:v>0.1380690370017241</c:v>
                </c:pt>
                <c:pt idx="17">
                  <c:v>0.13894164363883058</c:v>
                </c:pt>
                <c:pt idx="18">
                  <c:v>0.13945006286380779</c:v>
                </c:pt>
                <c:pt idx="19">
                  <c:v>0.13976340222909459</c:v>
                </c:pt>
                <c:pt idx="20">
                  <c:v>0.13994312330952316</c:v>
                </c:pt>
                <c:pt idx="21">
                  <c:v>0.13993446261474754</c:v>
                </c:pt>
                <c:pt idx="22">
                  <c:v>0.13991970244373303</c:v>
                </c:pt>
                <c:pt idx="23">
                  <c:v>0.13992547776485822</c:v>
                </c:pt>
                <c:pt idx="24">
                  <c:v>0.13994186738005179</c:v>
                </c:pt>
                <c:pt idx="25">
                  <c:v>0.13991991312497676</c:v>
                </c:pt>
                <c:pt idx="26">
                  <c:v>0.13987764695773433</c:v>
                </c:pt>
                <c:pt idx="27">
                  <c:v>0.1398327077156537</c:v>
                </c:pt>
                <c:pt idx="28">
                  <c:v>0.13979194785452867</c:v>
                </c:pt>
                <c:pt idx="29">
                  <c:v>0.13976702669255539</c:v>
                </c:pt>
                <c:pt idx="30">
                  <c:v>0.13977345614144987</c:v>
                </c:pt>
                <c:pt idx="31">
                  <c:v>0.13981072798431388</c:v>
                </c:pt>
                <c:pt idx="32">
                  <c:v>0.1398695927769297</c:v>
                </c:pt>
                <c:pt idx="33">
                  <c:v>0.13989790305866082</c:v>
                </c:pt>
                <c:pt idx="34">
                  <c:v>0.13989198783864198</c:v>
                </c:pt>
                <c:pt idx="35">
                  <c:v>0.13984169903018351</c:v>
                </c:pt>
                <c:pt idx="36">
                  <c:v>0.13979947340856083</c:v>
                </c:pt>
                <c:pt idx="37">
                  <c:v>0.13978592069431903</c:v>
                </c:pt>
                <c:pt idx="38">
                  <c:v>0.13980166124605023</c:v>
                </c:pt>
              </c:numCache>
            </c:numRef>
          </c:val>
          <c:extLst>
            <c:ext xmlns:c16="http://schemas.microsoft.com/office/drawing/2014/chart" uri="{C3380CC4-5D6E-409C-BE32-E72D297353CC}">
              <c16:uniqueId val="{00000000-192F-45CF-9216-FAA1D5A73DD0}"/>
            </c:ext>
          </c:extLst>
        </c:ser>
        <c:dLbls>
          <c:showLegendKey val="0"/>
          <c:showVal val="0"/>
          <c:showCatName val="0"/>
          <c:showSerName val="0"/>
          <c:showPercent val="0"/>
          <c:showBubbleSize val="0"/>
        </c:dLbls>
        <c:axId val="94015872"/>
        <c:axId val="94017408"/>
      </c:areaChart>
      <c:catAx>
        <c:axId val="940158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4017408"/>
        <c:crosses val="autoZero"/>
        <c:auto val="1"/>
        <c:lblAlgn val="ctr"/>
        <c:lblOffset val="100"/>
        <c:tickLblSkip val="2"/>
        <c:noMultiLvlLbl val="0"/>
      </c:catAx>
      <c:valAx>
        <c:axId val="94017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4015872"/>
        <c:crosses val="autoZero"/>
        <c:crossBetween val="midCat"/>
      </c:valAx>
      <c:spPr>
        <a:noFill/>
        <a:ln>
          <a:noFill/>
        </a:ln>
        <a:effectLst/>
      </c:spPr>
    </c:plotArea>
    <c:plotVisOnly val="1"/>
    <c:dispBlanksAs val="gap"/>
    <c:showDLblsOverMax val="0"/>
    <c:extLst/>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Total</a:t>
            </a:r>
            <a:r>
              <a:rPr lang="en-GB" baseline="0"/>
              <a:t> cost of wound care (£bn)</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9943175853018372"/>
          <c:y val="0.13138430748104538"/>
          <c:w val="0.85609757858672064"/>
          <c:h val="0.67158244829785885"/>
        </c:manualLayout>
      </c:layout>
      <c:lineChart>
        <c:grouping val="standard"/>
        <c:varyColors val="0"/>
        <c:ser>
          <c:idx val="0"/>
          <c:order val="0"/>
          <c:tx>
            <c:v>Total cost (To-be)</c:v>
          </c:tx>
          <c:spPr>
            <a:ln w="28575" cap="rnd">
              <a:solidFill>
                <a:srgbClr val="FF0000"/>
              </a:solidFill>
              <a:round/>
            </a:ln>
            <a:effectLst/>
          </c:spPr>
          <c:marker>
            <c:symbol val="none"/>
          </c:marker>
          <c:cat>
            <c:numLit>
              <c:formatCode>General</c:formatCode>
              <c:ptCount val="3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pt idx="29">
                <c:v>2041</c:v>
              </c:pt>
              <c:pt idx="30">
                <c:v>2042</c:v>
              </c:pt>
              <c:pt idx="31">
                <c:v>2043</c:v>
              </c:pt>
              <c:pt idx="32">
                <c:v>2044</c:v>
              </c:pt>
              <c:pt idx="33">
                <c:v>2045</c:v>
              </c:pt>
              <c:pt idx="34">
                <c:v>2046</c:v>
              </c:pt>
              <c:pt idx="35">
                <c:v>2047</c:v>
              </c:pt>
              <c:pt idx="36">
                <c:v>2048</c:v>
              </c:pt>
              <c:pt idx="37">
                <c:v>2049</c:v>
              </c:pt>
              <c:pt idx="38">
                <c:v>2050</c:v>
              </c:pt>
            </c:numLit>
          </c:cat>
          <c:val>
            <c:numRef>
              <c:f>'National model results detailed'!$C$28:$AO$28</c:f>
              <c:numCache>
                <c:formatCode>"£"#,##0</c:formatCode>
                <c:ptCount val="39"/>
                <c:pt idx="0">
                  <c:v>1857670.8902109973</c:v>
                </c:pt>
                <c:pt idx="1">
                  <c:v>2140103.7294437285</c:v>
                </c:pt>
                <c:pt idx="2">
                  <c:v>2292749.6801588433</c:v>
                </c:pt>
                <c:pt idx="3">
                  <c:v>2446569.1357297893</c:v>
                </c:pt>
                <c:pt idx="4">
                  <c:v>2336861.3265012451</c:v>
                </c:pt>
                <c:pt idx="5">
                  <c:v>2232154.8240208793</c:v>
                </c:pt>
                <c:pt idx="6">
                  <c:v>2205808.3055444132</c:v>
                </c:pt>
                <c:pt idx="7">
                  <c:v>2232688.049920341</c:v>
                </c:pt>
                <c:pt idx="8">
                  <c:v>2299443.2644884153</c:v>
                </c:pt>
                <c:pt idx="9">
                  <c:v>2392621.8186306763</c:v>
                </c:pt>
                <c:pt idx="10">
                  <c:v>2504244.1177585572</c:v>
                </c:pt>
                <c:pt idx="11">
                  <c:v>2640407.0434757047</c:v>
                </c:pt>
                <c:pt idx="12">
                  <c:v>2775732.7183692842</c:v>
                </c:pt>
                <c:pt idx="13">
                  <c:v>2919281.1544902003</c:v>
                </c:pt>
                <c:pt idx="14">
                  <c:v>3058813.1446302943</c:v>
                </c:pt>
                <c:pt idx="15">
                  <c:v>3185361.4765622746</c:v>
                </c:pt>
                <c:pt idx="16">
                  <c:v>3320825.8025408438</c:v>
                </c:pt>
                <c:pt idx="17">
                  <c:v>3464239.5971472478</c:v>
                </c:pt>
                <c:pt idx="18">
                  <c:v>3616148.0610525482</c:v>
                </c:pt>
                <c:pt idx="19">
                  <c:v>3774411.803123306</c:v>
                </c:pt>
                <c:pt idx="20">
                  <c:v>3938473.1312627303</c:v>
                </c:pt>
                <c:pt idx="21">
                  <c:v>4108914.9302001949</c:v>
                </c:pt>
                <c:pt idx="22">
                  <c:v>4285439.5374971759</c:v>
                </c:pt>
                <c:pt idx="23">
                  <c:v>4467852.1747025056</c:v>
                </c:pt>
                <c:pt idx="24">
                  <c:v>4656061.2237979192</c:v>
                </c:pt>
                <c:pt idx="25">
                  <c:v>4850377.9814555189</c:v>
                </c:pt>
                <c:pt idx="26">
                  <c:v>5050555.0942443712</c:v>
                </c:pt>
                <c:pt idx="27">
                  <c:v>5256375.8175867526</c:v>
                </c:pt>
                <c:pt idx="28">
                  <c:v>5467703.6880774982</c:v>
                </c:pt>
                <c:pt idx="29">
                  <c:v>5684695.5907075936</c:v>
                </c:pt>
                <c:pt idx="30">
                  <c:v>5908186.7434077235</c:v>
                </c:pt>
                <c:pt idx="31">
                  <c:v>6138428.5650241915</c:v>
                </c:pt>
                <c:pt idx="32">
                  <c:v>6376034.939222835</c:v>
                </c:pt>
                <c:pt idx="33">
                  <c:v>6620735.9818894509</c:v>
                </c:pt>
                <c:pt idx="34">
                  <c:v>6871925.0255861757</c:v>
                </c:pt>
                <c:pt idx="35">
                  <c:v>7129286.013937233</c:v>
                </c:pt>
                <c:pt idx="36">
                  <c:v>7392601.4047714137</c:v>
                </c:pt>
                <c:pt idx="37">
                  <c:v>7661730.2439868692</c:v>
                </c:pt>
                <c:pt idx="38">
                  <c:v>7936535.9414736526</c:v>
                </c:pt>
              </c:numCache>
            </c:numRef>
          </c:val>
          <c:smooth val="0"/>
          <c:extLst>
            <c:ext xmlns:c16="http://schemas.microsoft.com/office/drawing/2014/chart" uri="{C3380CC4-5D6E-409C-BE32-E72D297353CC}">
              <c16:uniqueId val="{00000000-FA25-40EB-A364-1C67AAEB30E5}"/>
            </c:ext>
          </c:extLst>
        </c:ser>
        <c:ser>
          <c:idx val="1"/>
          <c:order val="1"/>
          <c:tx>
            <c:strRef>
              <c:f>'National model results detailed'!$B$22</c:f>
              <c:strCache>
                <c:ptCount val="1"/>
                <c:pt idx="0">
                  <c:v>Mixed</c:v>
                </c:pt>
              </c:strCache>
            </c:strRef>
          </c:tx>
          <c:spPr>
            <a:ln w="28575" cap="rnd">
              <a:solidFill>
                <a:srgbClr val="70AD47">
                  <a:lumMod val="75000"/>
                </a:srgbClr>
              </a:solidFill>
              <a:prstDash val="solid"/>
              <a:round/>
            </a:ln>
            <a:effectLst/>
          </c:spPr>
          <c:marker>
            <c:symbol val="none"/>
          </c:marker>
          <c:cat>
            <c:numLit>
              <c:formatCode>General</c:formatCode>
              <c:ptCount val="3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pt idx="29">
                <c:v>2041</c:v>
              </c:pt>
              <c:pt idx="30">
                <c:v>2042</c:v>
              </c:pt>
              <c:pt idx="31">
                <c:v>2043</c:v>
              </c:pt>
              <c:pt idx="32">
                <c:v>2044</c:v>
              </c:pt>
              <c:pt idx="33">
                <c:v>2045</c:v>
              </c:pt>
              <c:pt idx="34">
                <c:v>2046</c:v>
              </c:pt>
              <c:pt idx="35">
                <c:v>2047</c:v>
              </c:pt>
              <c:pt idx="36">
                <c:v>2048</c:v>
              </c:pt>
              <c:pt idx="37">
                <c:v>2049</c:v>
              </c:pt>
              <c:pt idx="38">
                <c:v>2050</c:v>
              </c:pt>
            </c:numLit>
          </c:cat>
          <c:val>
            <c:numRef>
              <c:f>'National model results detailed'!$C$22:$AO$22</c:f>
              <c:numCache>
                <c:formatCode>"£"#,##0</c:formatCode>
                <c:ptCount val="39"/>
                <c:pt idx="0">
                  <c:v>536954.8714103211</c:v>
                </c:pt>
                <c:pt idx="1">
                  <c:v>571085.41989407956</c:v>
                </c:pt>
                <c:pt idx="2">
                  <c:v>603628.80632325076</c:v>
                </c:pt>
                <c:pt idx="3">
                  <c:v>635298.28805271327</c:v>
                </c:pt>
                <c:pt idx="4">
                  <c:v>572546.55418855313</c:v>
                </c:pt>
                <c:pt idx="5">
                  <c:v>546266.17094235949</c:v>
                </c:pt>
                <c:pt idx="6">
                  <c:v>536139.84774685407</c:v>
                </c:pt>
                <c:pt idx="7">
                  <c:v>537660.79798059491</c:v>
                </c:pt>
                <c:pt idx="8">
                  <c:v>548487.09040699725</c:v>
                </c:pt>
                <c:pt idx="9">
                  <c:v>565712.56704067579</c:v>
                </c:pt>
                <c:pt idx="10">
                  <c:v>587531.61830415449</c:v>
                </c:pt>
                <c:pt idx="11">
                  <c:v>612801.60992287484</c:v>
                </c:pt>
                <c:pt idx="12">
                  <c:v>640634.155551965</c:v>
                </c:pt>
                <c:pt idx="13">
                  <c:v>670532.56049160566</c:v>
                </c:pt>
                <c:pt idx="14">
                  <c:v>702308.87121621333</c:v>
                </c:pt>
                <c:pt idx="15">
                  <c:v>724894.69971397927</c:v>
                </c:pt>
                <c:pt idx="16">
                  <c:v>749509.23549931345</c:v>
                </c:pt>
                <c:pt idx="17">
                  <c:v>775871.45854831557</c:v>
                </c:pt>
                <c:pt idx="18">
                  <c:v>804089.9737035369</c:v>
                </c:pt>
                <c:pt idx="19">
                  <c:v>833570.48925623333</c:v>
                </c:pt>
                <c:pt idx="20">
                  <c:v>864120.13472205109</c:v>
                </c:pt>
                <c:pt idx="21">
                  <c:v>895845.70893267042</c:v>
                </c:pt>
                <c:pt idx="22">
                  <c:v>928650.10481740755</c:v>
                </c:pt>
                <c:pt idx="23">
                  <c:v>962447.36644598807</c:v>
                </c:pt>
                <c:pt idx="24">
                  <c:v>997179.02196701826</c:v>
                </c:pt>
                <c:pt idx="25">
                  <c:v>1032893.9441719716</c:v>
                </c:pt>
                <c:pt idx="26">
                  <c:v>1069506.5976395349</c:v>
                </c:pt>
                <c:pt idx="27">
                  <c:v>1106937.4079204567</c:v>
                </c:pt>
                <c:pt idx="28">
                  <c:v>1145124.9741704855</c:v>
                </c:pt>
                <c:pt idx="29">
                  <c:v>1184082.968283528</c:v>
                </c:pt>
                <c:pt idx="30">
                  <c:v>1224004.8942885727</c:v>
                </c:pt>
                <c:pt idx="31">
                  <c:v>1264934.0264410467</c:v>
                </c:pt>
                <c:pt idx="32">
                  <c:v>1307007.9779784363</c:v>
                </c:pt>
                <c:pt idx="33">
                  <c:v>1350133.135716348</c:v>
                </c:pt>
                <c:pt idx="34">
                  <c:v>1394132.9309294599</c:v>
                </c:pt>
                <c:pt idx="35">
                  <c:v>1438902.0254518951</c:v>
                </c:pt>
                <c:pt idx="36">
                  <c:v>1484363.6157130795</c:v>
                </c:pt>
                <c:pt idx="37">
                  <c:v>1530450.983813609</c:v>
                </c:pt>
                <c:pt idx="38">
                  <c:v>1577095.1547508871</c:v>
                </c:pt>
              </c:numCache>
            </c:numRef>
          </c:val>
          <c:smooth val="0"/>
          <c:extLst>
            <c:ext xmlns:c16="http://schemas.microsoft.com/office/drawing/2014/chart" uri="{C3380CC4-5D6E-409C-BE32-E72D297353CC}">
              <c16:uniqueId val="{00000001-FA25-40EB-A364-1C67AAEB30E5}"/>
            </c:ext>
          </c:extLst>
        </c:ser>
        <c:ser>
          <c:idx val="2"/>
          <c:order val="2"/>
          <c:tx>
            <c:strRef>
              <c:f>'National model results detailed'!$B$23</c:f>
              <c:strCache>
                <c:ptCount val="1"/>
                <c:pt idx="0">
                  <c:v>Arterial</c:v>
                </c:pt>
              </c:strCache>
            </c:strRef>
          </c:tx>
          <c:spPr>
            <a:ln w="28575" cap="rnd">
              <a:solidFill>
                <a:srgbClr val="7030A0"/>
              </a:solidFill>
              <a:round/>
            </a:ln>
            <a:effectLst/>
          </c:spPr>
          <c:marker>
            <c:symbol val="none"/>
          </c:marker>
          <c:cat>
            <c:numLit>
              <c:formatCode>General</c:formatCode>
              <c:ptCount val="3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pt idx="29">
                <c:v>2041</c:v>
              </c:pt>
              <c:pt idx="30">
                <c:v>2042</c:v>
              </c:pt>
              <c:pt idx="31">
                <c:v>2043</c:v>
              </c:pt>
              <c:pt idx="32">
                <c:v>2044</c:v>
              </c:pt>
              <c:pt idx="33">
                <c:v>2045</c:v>
              </c:pt>
              <c:pt idx="34">
                <c:v>2046</c:v>
              </c:pt>
              <c:pt idx="35">
                <c:v>2047</c:v>
              </c:pt>
              <c:pt idx="36">
                <c:v>2048</c:v>
              </c:pt>
              <c:pt idx="37">
                <c:v>2049</c:v>
              </c:pt>
              <c:pt idx="38">
                <c:v>2050</c:v>
              </c:pt>
            </c:numLit>
          </c:cat>
          <c:val>
            <c:numRef>
              <c:f>'National model results detailed'!$C$23:$AO$23</c:f>
              <c:numCache>
                <c:formatCode>"£"#,##0</c:formatCode>
                <c:ptCount val="39"/>
                <c:pt idx="0">
                  <c:v>189738.99480417746</c:v>
                </c:pt>
                <c:pt idx="1">
                  <c:v>215776.85475394633</c:v>
                </c:pt>
                <c:pt idx="2">
                  <c:v>243076.82452363073</c:v>
                </c:pt>
                <c:pt idx="3">
                  <c:v>271717.73933571781</c:v>
                </c:pt>
                <c:pt idx="4">
                  <c:v>301803.39953763201</c:v>
                </c:pt>
                <c:pt idx="5">
                  <c:v>333418.42009745562</c:v>
                </c:pt>
                <c:pt idx="6">
                  <c:v>366600.90968832519</c:v>
                </c:pt>
                <c:pt idx="7">
                  <c:v>401421.33017180703</c:v>
                </c:pt>
                <c:pt idx="8">
                  <c:v>438132.34801519511</c:v>
                </c:pt>
                <c:pt idx="9">
                  <c:v>476709.23336683976</c:v>
                </c:pt>
                <c:pt idx="10">
                  <c:v>517160.9971278123</c:v>
                </c:pt>
                <c:pt idx="11">
                  <c:v>559517.06475173216</c:v>
                </c:pt>
                <c:pt idx="12">
                  <c:v>603811.30868219747</c:v>
                </c:pt>
                <c:pt idx="13">
                  <c:v>650130.30409412016</c:v>
                </c:pt>
                <c:pt idx="14">
                  <c:v>698579.77268635016</c:v>
                </c:pt>
                <c:pt idx="15">
                  <c:v>749239.76530490338</c:v>
                </c:pt>
                <c:pt idx="16">
                  <c:v>802148.8910498867</c:v>
                </c:pt>
                <c:pt idx="17">
                  <c:v>857382.02903918421</c:v>
                </c:pt>
                <c:pt idx="18">
                  <c:v>915107.34364674171</c:v>
                </c:pt>
                <c:pt idx="19">
                  <c:v>975344.53215539479</c:v>
                </c:pt>
                <c:pt idx="20">
                  <c:v>1038151.5023615843</c:v>
                </c:pt>
                <c:pt idx="21">
                  <c:v>1103601.4287006173</c:v>
                </c:pt>
                <c:pt idx="22">
                  <c:v>1171813.8299672902</c:v>
                </c:pt>
                <c:pt idx="23">
                  <c:v>1242870.6379884686</c:v>
                </c:pt>
                <c:pt idx="24">
                  <c:v>1316845.2859290189</c:v>
                </c:pt>
                <c:pt idx="25">
                  <c:v>1393812.2476189428</c:v>
                </c:pt>
                <c:pt idx="26">
                  <c:v>1473843.7909404612</c:v>
                </c:pt>
                <c:pt idx="27">
                  <c:v>1557013.5070378256</c:v>
                </c:pt>
                <c:pt idx="28">
                  <c:v>1643394.3027839372</c:v>
                </c:pt>
                <c:pt idx="29">
                  <c:v>1733076.5092733167</c:v>
                </c:pt>
                <c:pt idx="30">
                  <c:v>1826191.1136733033</c:v>
                </c:pt>
                <c:pt idx="31">
                  <c:v>1922843.169696914</c:v>
                </c:pt>
                <c:pt idx="32">
                  <c:v>2023154.1863720692</c:v>
                </c:pt>
                <c:pt idx="33">
                  <c:v>2127181.2591789374</c:v>
                </c:pt>
                <c:pt idx="34">
                  <c:v>2234980.7423659503</c:v>
                </c:pt>
                <c:pt idx="35">
                  <c:v>2346611.704671381</c:v>
                </c:pt>
                <c:pt idx="36">
                  <c:v>2462172.8743924294</c:v>
                </c:pt>
                <c:pt idx="37">
                  <c:v>2581754.7200696669</c:v>
                </c:pt>
                <c:pt idx="38">
                  <c:v>2705437.9080994851</c:v>
                </c:pt>
              </c:numCache>
            </c:numRef>
          </c:val>
          <c:smooth val="0"/>
          <c:extLst>
            <c:ext xmlns:c16="http://schemas.microsoft.com/office/drawing/2014/chart" uri="{C3380CC4-5D6E-409C-BE32-E72D297353CC}">
              <c16:uniqueId val="{00000002-FA25-40EB-A364-1C67AAEB30E5}"/>
            </c:ext>
          </c:extLst>
        </c:ser>
        <c:ser>
          <c:idx val="3"/>
          <c:order val="3"/>
          <c:tx>
            <c:v>Venous leg ulcer</c:v>
          </c:tx>
          <c:spPr>
            <a:ln w="28575" cap="rnd">
              <a:solidFill>
                <a:srgbClr val="4472C4"/>
              </a:solidFill>
              <a:round/>
            </a:ln>
            <a:effectLst/>
          </c:spPr>
          <c:marker>
            <c:symbol val="none"/>
          </c:marker>
          <c:cat>
            <c:numLit>
              <c:formatCode>General</c:formatCode>
              <c:ptCount val="3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pt idx="29">
                <c:v>2041</c:v>
              </c:pt>
              <c:pt idx="30">
                <c:v>2042</c:v>
              </c:pt>
              <c:pt idx="31">
                <c:v>2043</c:v>
              </c:pt>
              <c:pt idx="32">
                <c:v>2044</c:v>
              </c:pt>
              <c:pt idx="33">
                <c:v>2045</c:v>
              </c:pt>
              <c:pt idx="34">
                <c:v>2046</c:v>
              </c:pt>
              <c:pt idx="35">
                <c:v>2047</c:v>
              </c:pt>
              <c:pt idx="36">
                <c:v>2048</c:v>
              </c:pt>
              <c:pt idx="37">
                <c:v>2049</c:v>
              </c:pt>
              <c:pt idx="38">
                <c:v>2050</c:v>
              </c:pt>
            </c:numLit>
          </c:cat>
          <c:val>
            <c:numRef>
              <c:f>'National model results detailed'!$C$24:$AO$24</c:f>
              <c:numCache>
                <c:formatCode>"£"#,##0</c:formatCode>
                <c:ptCount val="39"/>
                <c:pt idx="0">
                  <c:v>1130977.0239964989</c:v>
                </c:pt>
                <c:pt idx="1">
                  <c:v>1198095.5030719512</c:v>
                </c:pt>
                <c:pt idx="2">
                  <c:v>1262006.6628994222</c:v>
                </c:pt>
                <c:pt idx="3">
                  <c:v>1324338.9683280014</c:v>
                </c:pt>
                <c:pt idx="4">
                  <c:v>1380835.1548930227</c:v>
                </c:pt>
                <c:pt idx="5">
                  <c:v>1272986.1519019313</c:v>
                </c:pt>
                <c:pt idx="6">
                  <c:v>1224114.7833222845</c:v>
                </c:pt>
                <c:pt idx="7">
                  <c:v>1214069.0927439444</c:v>
                </c:pt>
                <c:pt idx="8">
                  <c:v>1231884.8371521158</c:v>
                </c:pt>
                <c:pt idx="9">
                  <c:v>1267327.4119768955</c:v>
                </c:pt>
                <c:pt idx="10">
                  <c:v>1314383.4602356958</c:v>
                </c:pt>
                <c:pt idx="11">
                  <c:v>1369257.6444317841</c:v>
                </c:pt>
                <c:pt idx="12">
                  <c:v>1429476.5847152271</c:v>
                </c:pt>
                <c:pt idx="13">
                  <c:v>1493677.4391429797</c:v>
                </c:pt>
                <c:pt idx="14">
                  <c:v>1561440.4119791423</c:v>
                </c:pt>
                <c:pt idx="15">
                  <c:v>1611574.5686352327</c:v>
                </c:pt>
                <c:pt idx="16">
                  <c:v>1666236.7296518474</c:v>
                </c:pt>
                <c:pt idx="17">
                  <c:v>1724661.3040596449</c:v>
                </c:pt>
                <c:pt idx="18">
                  <c:v>1787091.9701811126</c:v>
                </c:pt>
                <c:pt idx="19">
                  <c:v>1851995.6263573703</c:v>
                </c:pt>
                <c:pt idx="20">
                  <c:v>1918953.4217790507</c:v>
                </c:pt>
                <c:pt idx="21">
                  <c:v>1988350.4215908172</c:v>
                </c:pt>
                <c:pt idx="22">
                  <c:v>2059871.6997019819</c:v>
                </c:pt>
                <c:pt idx="23">
                  <c:v>2133329.4300548434</c:v>
                </c:pt>
                <c:pt idx="24">
                  <c:v>2208617.9957315484</c:v>
                </c:pt>
                <c:pt idx="25">
                  <c:v>2285917.6196471793</c:v>
                </c:pt>
                <c:pt idx="26">
                  <c:v>2364998.6404063399</c:v>
                </c:pt>
                <c:pt idx="27">
                  <c:v>2445654.3499687416</c:v>
                </c:pt>
                <c:pt idx="28">
                  <c:v>2527739.0278100641</c:v>
                </c:pt>
                <c:pt idx="29">
                  <c:v>2611301.9550382718</c:v>
                </c:pt>
                <c:pt idx="30">
                  <c:v>2696838.2369652661</c:v>
                </c:pt>
                <c:pt idx="31">
                  <c:v>2784446.7024878147</c:v>
                </c:pt>
                <c:pt idx="32">
                  <c:v>2874470.5687504131</c:v>
                </c:pt>
                <c:pt idx="33">
                  <c:v>2966680.4417014206</c:v>
                </c:pt>
                <c:pt idx="34">
                  <c:v>3060600.8785609379</c:v>
                </c:pt>
                <c:pt idx="35">
                  <c:v>3155966.8899403787</c:v>
                </c:pt>
                <c:pt idx="36">
                  <c:v>3252543.7174885934</c:v>
                </c:pt>
                <c:pt idx="37">
                  <c:v>3350169.6050849929</c:v>
                </c:pt>
                <c:pt idx="38">
                  <c:v>3448698.8365921993</c:v>
                </c:pt>
              </c:numCache>
            </c:numRef>
          </c:val>
          <c:smooth val="0"/>
          <c:extLst>
            <c:ext xmlns:c16="http://schemas.microsoft.com/office/drawing/2014/chart" uri="{C3380CC4-5D6E-409C-BE32-E72D297353CC}">
              <c16:uniqueId val="{00000003-FA25-40EB-A364-1C67AAEB30E5}"/>
            </c:ext>
          </c:extLst>
        </c:ser>
        <c:ser>
          <c:idx val="4"/>
          <c:order val="4"/>
          <c:tx>
            <c:v>Baseline total cost</c:v>
          </c:tx>
          <c:spPr>
            <a:ln w="28575" cap="rnd">
              <a:solidFill>
                <a:sysClr val="window" lastClr="FFFFFF">
                  <a:lumMod val="65000"/>
                </a:sysClr>
              </a:solidFill>
              <a:prstDash val="sysDot"/>
              <a:round/>
            </a:ln>
            <a:effectLst/>
          </c:spPr>
          <c:marker>
            <c:symbol val="none"/>
          </c:marker>
          <c:cat>
            <c:numLit>
              <c:formatCode>General</c:formatCode>
              <c:ptCount val="39"/>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pt idx="17">
                <c:v>2029</c:v>
              </c:pt>
              <c:pt idx="18">
                <c:v>2030</c:v>
              </c:pt>
              <c:pt idx="19">
                <c:v>2031</c:v>
              </c:pt>
              <c:pt idx="20">
                <c:v>2032</c:v>
              </c:pt>
              <c:pt idx="21">
                <c:v>2033</c:v>
              </c:pt>
              <c:pt idx="22">
                <c:v>2034</c:v>
              </c:pt>
              <c:pt idx="23">
                <c:v>2035</c:v>
              </c:pt>
              <c:pt idx="24">
                <c:v>2036</c:v>
              </c:pt>
              <c:pt idx="25">
                <c:v>2037</c:v>
              </c:pt>
              <c:pt idx="26">
                <c:v>2038</c:v>
              </c:pt>
              <c:pt idx="27">
                <c:v>2039</c:v>
              </c:pt>
              <c:pt idx="28">
                <c:v>2040</c:v>
              </c:pt>
              <c:pt idx="29">
                <c:v>2041</c:v>
              </c:pt>
              <c:pt idx="30">
                <c:v>2042</c:v>
              </c:pt>
              <c:pt idx="31">
                <c:v>2043</c:v>
              </c:pt>
              <c:pt idx="32">
                <c:v>2044</c:v>
              </c:pt>
              <c:pt idx="33">
                <c:v>2045</c:v>
              </c:pt>
              <c:pt idx="34">
                <c:v>2046</c:v>
              </c:pt>
              <c:pt idx="35">
                <c:v>2047</c:v>
              </c:pt>
              <c:pt idx="36">
                <c:v>2048</c:v>
              </c:pt>
              <c:pt idx="37">
                <c:v>2049</c:v>
              </c:pt>
              <c:pt idx="38">
                <c:v>2050</c:v>
              </c:pt>
            </c:numLit>
          </c:cat>
          <c:val>
            <c:numRef>
              <c:f>'National model results detailed'!$C$39:$AO$39</c:f>
              <c:numCache>
                <c:formatCode>"£"#,##0</c:formatCode>
                <c:ptCount val="39"/>
                <c:pt idx="0">
                  <c:v>1857670.8902109973</c:v>
                </c:pt>
                <c:pt idx="1">
                  <c:v>1984957.7777199771</c:v>
                </c:pt>
                <c:pt idx="2">
                  <c:v>2108712.2937463038</c:v>
                </c:pt>
                <c:pt idx="3">
                  <c:v>2231354.9957164326</c:v>
                </c:pt>
                <c:pt idx="4">
                  <c:v>2355327.7576995757</c:v>
                </c:pt>
                <c:pt idx="5">
                  <c:v>2482105.0345807988</c:v>
                </c:pt>
                <c:pt idx="6">
                  <c:v>2611793.0090165683</c:v>
                </c:pt>
                <c:pt idx="7">
                  <c:v>2745202.2337865215</c:v>
                </c:pt>
                <c:pt idx="8">
                  <c:v>2887081.5265266579</c:v>
                </c:pt>
                <c:pt idx="9">
                  <c:v>3034849.9708090462</c:v>
                </c:pt>
                <c:pt idx="10">
                  <c:v>3187260.9127098974</c:v>
                </c:pt>
                <c:pt idx="11">
                  <c:v>3342437.0377569278</c:v>
                </c:pt>
                <c:pt idx="12">
                  <c:v>3501346.0552625656</c:v>
                </c:pt>
                <c:pt idx="13">
                  <c:v>3664970.2446623188</c:v>
                </c:pt>
                <c:pt idx="14">
                  <c:v>3834516.915299722</c:v>
                </c:pt>
                <c:pt idx="15">
                  <c:v>4010332.1756584556</c:v>
                </c:pt>
                <c:pt idx="16">
                  <c:v>4191720.1592035368</c:v>
                </c:pt>
                <c:pt idx="17">
                  <c:v>4378983.2765124161</c:v>
                </c:pt>
                <c:pt idx="18">
                  <c:v>4574545.6468941029</c:v>
                </c:pt>
                <c:pt idx="19">
                  <c:v>4776800.7649634946</c:v>
                </c:pt>
                <c:pt idx="20">
                  <c:v>4985396.5370503254</c:v>
                </c:pt>
                <c:pt idx="21">
                  <c:v>5200419.3581178859</c:v>
                </c:pt>
                <c:pt idx="22">
                  <c:v>5423041.7681243895</c:v>
                </c:pt>
                <c:pt idx="23">
                  <c:v>5653279.7309183674</c:v>
                </c:pt>
                <c:pt idx="24">
                  <c:v>5890939.4231553916</c:v>
                </c:pt>
                <c:pt idx="25">
                  <c:v>6135891.8457512222</c:v>
                </c:pt>
                <c:pt idx="26">
                  <c:v>6387979.9942182954</c:v>
                </c:pt>
                <c:pt idx="27">
                  <c:v>6647111.1209016535</c:v>
                </c:pt>
                <c:pt idx="28">
                  <c:v>6913192.6644326076</c:v>
                </c:pt>
                <c:pt idx="29">
                  <c:v>7186576.5721711349</c:v>
                </c:pt>
                <c:pt idx="30">
                  <c:v>7468543.7807209753</c:v>
                </c:pt>
                <c:pt idx="31">
                  <c:v>7759451.3365024654</c:v>
                </c:pt>
                <c:pt idx="32">
                  <c:v>8059989.3543979926</c:v>
                </c:pt>
                <c:pt idx="33">
                  <c:v>8369076.9174202476</c:v>
                </c:pt>
                <c:pt idx="34">
                  <c:v>8685843.7201354317</c:v>
                </c:pt>
                <c:pt idx="35">
                  <c:v>9009670.6934100762</c:v>
                </c:pt>
                <c:pt idx="36">
                  <c:v>9341078.9424508736</c:v>
                </c:pt>
                <c:pt idx="37">
                  <c:v>9680259.4786935337</c:v>
                </c:pt>
                <c:pt idx="38">
                  <c:v>10027102.872413287</c:v>
                </c:pt>
              </c:numCache>
            </c:numRef>
          </c:val>
          <c:smooth val="0"/>
          <c:extLst>
            <c:ext xmlns:c16="http://schemas.microsoft.com/office/drawing/2014/chart" uri="{C3380CC4-5D6E-409C-BE32-E72D297353CC}">
              <c16:uniqueId val="{00000004-FA25-40EB-A364-1C67AAEB30E5}"/>
            </c:ext>
          </c:extLst>
        </c:ser>
        <c:dLbls>
          <c:showLegendKey val="0"/>
          <c:showVal val="0"/>
          <c:showCatName val="0"/>
          <c:showSerName val="0"/>
          <c:showPercent val="0"/>
          <c:showBubbleSize val="0"/>
        </c:dLbls>
        <c:smooth val="0"/>
        <c:axId val="94069504"/>
        <c:axId val="94071040"/>
      </c:lineChart>
      <c:catAx>
        <c:axId val="94069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071040"/>
        <c:crosses val="autoZero"/>
        <c:auto val="1"/>
        <c:lblAlgn val="ctr"/>
        <c:lblOffset val="100"/>
        <c:tickLblSkip val="2"/>
        <c:noMultiLvlLbl val="0"/>
      </c:catAx>
      <c:valAx>
        <c:axId val="9407104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069504"/>
        <c:crosses val="autoZero"/>
        <c:crossBetween val="between"/>
        <c:dispUnits>
          <c:builtInUnit val="b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Leg ulcer volumes, To-be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3475484517053823"/>
          <c:y val="0.11524431252360622"/>
          <c:w val="0.84762856637932726"/>
          <c:h val="0.64898664225261327"/>
        </c:manualLayout>
      </c:layout>
      <c:lineChart>
        <c:grouping val="standard"/>
        <c:varyColors val="0"/>
        <c:ser>
          <c:idx val="0"/>
          <c:order val="0"/>
          <c:tx>
            <c:v>Venous leg ulcer</c:v>
          </c:tx>
          <c:spPr>
            <a:ln w="28575" cap="rnd">
              <a:solidFill>
                <a:srgbClr val="4472C4"/>
              </a:solidFill>
              <a:round/>
            </a:ln>
            <a:effectLst/>
          </c:spPr>
          <c:marker>
            <c:symbol val="none"/>
          </c:marker>
          <c:cat>
            <c:numRef>
              <c:f>'National model results detailed'!$C$21:$AO$21</c:f>
              <c:numCache>
                <c:formatCode>General</c:formatCode>
                <c:ptCount val="39"/>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numCache>
            </c:numRef>
          </c:cat>
          <c:val>
            <c:numRef>
              <c:f>'National model results detailed'!$C$13:$AO$13</c:f>
              <c:numCache>
                <c:formatCode>_-* #,##0_-;\-* #,##0_-;_-* "-"??_-;_-@_-</c:formatCode>
                <c:ptCount val="39"/>
                <c:pt idx="0">
                  <c:v>283.5</c:v>
                </c:pt>
                <c:pt idx="1">
                  <c:v>293.19015912843923</c:v>
                </c:pt>
                <c:pt idx="2">
                  <c:v>301.48374143342193</c:v>
                </c:pt>
                <c:pt idx="3">
                  <c:v>308.83682243526221</c:v>
                </c:pt>
                <c:pt idx="4">
                  <c:v>315.66336153104555</c:v>
                </c:pt>
                <c:pt idx="5">
                  <c:v>280.33856384346745</c:v>
                </c:pt>
                <c:pt idx="6">
                  <c:v>259.63630449965746</c:v>
                </c:pt>
                <c:pt idx="7">
                  <c:v>248.14148252763499</c:v>
                </c:pt>
                <c:pt idx="8">
                  <c:v>242.85939581547882</c:v>
                </c:pt>
                <c:pt idx="9">
                  <c:v>241.2153991664303</c:v>
                </c:pt>
                <c:pt idx="10">
                  <c:v>241.71855154653568</c:v>
                </c:pt>
                <c:pt idx="11">
                  <c:v>243.66081825644366</c:v>
                </c:pt>
                <c:pt idx="12">
                  <c:v>246.25395226781214</c:v>
                </c:pt>
                <c:pt idx="13">
                  <c:v>249.17780539158161</c:v>
                </c:pt>
                <c:pt idx="14">
                  <c:v>252.31434755734173</c:v>
                </c:pt>
                <c:pt idx="15">
                  <c:v>255.56074741837355</c:v>
                </c:pt>
                <c:pt idx="16">
                  <c:v>258.83478091381068</c:v>
                </c:pt>
                <c:pt idx="17">
                  <c:v>262.14679438231275</c:v>
                </c:pt>
                <c:pt idx="18">
                  <c:v>265.61958437207431</c:v>
                </c:pt>
                <c:pt idx="19">
                  <c:v>269.04620892921093</c:v>
                </c:pt>
                <c:pt idx="20">
                  <c:v>272.39089844636584</c:v>
                </c:pt>
                <c:pt idx="21">
                  <c:v>275.73080174212112</c:v>
                </c:pt>
                <c:pt idx="22">
                  <c:v>279.02256167212551</c:v>
                </c:pt>
                <c:pt idx="23">
                  <c:v>282.23751089696094</c:v>
                </c:pt>
                <c:pt idx="24">
                  <c:v>285.3583802282584</c:v>
                </c:pt>
                <c:pt idx="25">
                  <c:v>288.40870310516499</c:v>
                </c:pt>
                <c:pt idx="26">
                  <c:v>291.3522635596687</c:v>
                </c:pt>
                <c:pt idx="27">
                  <c:v>294.15882468483863</c:v>
                </c:pt>
                <c:pt idx="28">
                  <c:v>296.80959997325209</c:v>
                </c:pt>
                <c:pt idx="29">
                  <c:v>299.31443210254628</c:v>
                </c:pt>
                <c:pt idx="30">
                  <c:v>301.73564106612992</c:v>
                </c:pt>
                <c:pt idx="31">
                  <c:v>304.08051005093057</c:v>
                </c:pt>
                <c:pt idx="32">
                  <c:v>306.38535542126493</c:v>
                </c:pt>
                <c:pt idx="33">
                  <c:v>308.61577956841728</c:v>
                </c:pt>
                <c:pt idx="34">
                  <c:v>310.71278508482129</c:v>
                </c:pt>
                <c:pt idx="35">
                  <c:v>312.64669120122744</c:v>
                </c:pt>
                <c:pt idx="36">
                  <c:v>314.39476692357863</c:v>
                </c:pt>
                <c:pt idx="37">
                  <c:v>315.94436957924216</c:v>
                </c:pt>
                <c:pt idx="38">
                  <c:v>317.28599657027979</c:v>
                </c:pt>
              </c:numCache>
            </c:numRef>
          </c:val>
          <c:smooth val="0"/>
          <c:extLst>
            <c:ext xmlns:c16="http://schemas.microsoft.com/office/drawing/2014/chart" uri="{C3380CC4-5D6E-409C-BE32-E72D297353CC}">
              <c16:uniqueId val="{00000000-6531-4FDA-84E1-1BE6CB2458AB}"/>
            </c:ext>
          </c:extLst>
        </c:ser>
        <c:ser>
          <c:idx val="1"/>
          <c:order val="1"/>
          <c:tx>
            <c:v>Mixed leg ulcer</c:v>
          </c:tx>
          <c:spPr>
            <a:ln w="28575" cap="rnd">
              <a:solidFill>
                <a:srgbClr val="70AD47"/>
              </a:solidFill>
              <a:round/>
            </a:ln>
            <a:effectLst/>
          </c:spPr>
          <c:marker>
            <c:symbol val="none"/>
          </c:marker>
          <c:cat>
            <c:numRef>
              <c:f>'National model results detailed'!$C$21:$AO$21</c:f>
              <c:numCache>
                <c:formatCode>General</c:formatCode>
                <c:ptCount val="39"/>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numCache>
            </c:numRef>
          </c:cat>
          <c:val>
            <c:numRef>
              <c:f>'National model results detailed'!$C$11:$AO$11</c:f>
              <c:numCache>
                <c:formatCode>_-* #,##0_-;\-* #,##0_-;_-* "-"??_-;_-@_-</c:formatCode>
                <c:ptCount val="39"/>
                <c:pt idx="0">
                  <c:v>82.5</c:v>
                </c:pt>
                <c:pt idx="1">
                  <c:v>85.671252397034777</c:v>
                </c:pt>
                <c:pt idx="2">
                  <c:v>88.409985944913515</c:v>
                </c:pt>
                <c:pt idx="3">
                  <c:v>90.841470209093458</c:v>
                </c:pt>
                <c:pt idx="4">
                  <c:v>93.082241400315425</c:v>
                </c:pt>
                <c:pt idx="5">
                  <c:v>85.286901679364021</c:v>
                </c:pt>
                <c:pt idx="6">
                  <c:v>80.371125267470873</c:v>
                </c:pt>
                <c:pt idx="7">
                  <c:v>77.423024352014167</c:v>
                </c:pt>
                <c:pt idx="8">
                  <c:v>75.937588943370585</c:v>
                </c:pt>
                <c:pt idx="9">
                  <c:v>75.373960841853631</c:v>
                </c:pt>
                <c:pt idx="10">
                  <c:v>75.399002957624646</c:v>
                </c:pt>
                <c:pt idx="11">
                  <c:v>75.843476439524451</c:v>
                </c:pt>
                <c:pt idx="12">
                  <c:v>76.512346222148111</c:v>
                </c:pt>
                <c:pt idx="13">
                  <c:v>77.316706904841794</c:v>
                </c:pt>
                <c:pt idx="14">
                  <c:v>78.215904967552774</c:v>
                </c:pt>
                <c:pt idx="15">
                  <c:v>79.172732163785923</c:v>
                </c:pt>
                <c:pt idx="16">
                  <c:v>80.155030344903821</c:v>
                </c:pt>
                <c:pt idx="17">
                  <c:v>81.159129851206629</c:v>
                </c:pt>
                <c:pt idx="18">
                  <c:v>82.21650286249897</c:v>
                </c:pt>
                <c:pt idx="19">
                  <c:v>83.269470376127629</c:v>
                </c:pt>
                <c:pt idx="20">
                  <c:v>84.304559744743102</c:v>
                </c:pt>
                <c:pt idx="21">
                  <c:v>85.338263741522951</c:v>
                </c:pt>
                <c:pt idx="22">
                  <c:v>86.361751387228182</c:v>
                </c:pt>
                <c:pt idx="23">
                  <c:v>87.365790951214706</c:v>
                </c:pt>
                <c:pt idx="24">
                  <c:v>88.343803133612155</c:v>
                </c:pt>
                <c:pt idx="25">
                  <c:v>89.300002386112538</c:v>
                </c:pt>
                <c:pt idx="26">
                  <c:v>90.224792989119592</c:v>
                </c:pt>
                <c:pt idx="27">
                  <c:v>91.109782246881963</c:v>
                </c:pt>
                <c:pt idx="28">
                  <c:v>91.949173834027292</c:v>
                </c:pt>
                <c:pt idx="29">
                  <c:v>92.745041204404558</c:v>
                </c:pt>
                <c:pt idx="30">
                  <c:v>93.514153714375951</c:v>
                </c:pt>
                <c:pt idx="31">
                  <c:v>94.258561793882748</c:v>
                </c:pt>
                <c:pt idx="32">
                  <c:v>94.988077339954486</c:v>
                </c:pt>
                <c:pt idx="33">
                  <c:v>95.692672677062632</c:v>
                </c:pt>
                <c:pt idx="34">
                  <c:v>96.356771487241119</c:v>
                </c:pt>
                <c:pt idx="35">
                  <c:v>96.971911538641692</c:v>
                </c:pt>
                <c:pt idx="36">
                  <c:v>97.532841782974856</c:v>
                </c:pt>
                <c:pt idx="37">
                  <c:v>98.035625443233315</c:v>
                </c:pt>
                <c:pt idx="38">
                  <c:v>98.476638181047576</c:v>
                </c:pt>
              </c:numCache>
            </c:numRef>
          </c:val>
          <c:smooth val="0"/>
          <c:extLst>
            <c:ext xmlns:c16="http://schemas.microsoft.com/office/drawing/2014/chart" uri="{C3380CC4-5D6E-409C-BE32-E72D297353CC}">
              <c16:uniqueId val="{00000001-6531-4FDA-84E1-1BE6CB2458AB}"/>
            </c:ext>
          </c:extLst>
        </c:ser>
        <c:ser>
          <c:idx val="2"/>
          <c:order val="2"/>
          <c:tx>
            <c:v>Arterial ulcer</c:v>
          </c:tx>
          <c:spPr>
            <a:ln w="28575" cap="rnd">
              <a:solidFill>
                <a:srgbClr val="7030A0"/>
              </a:solidFill>
              <a:round/>
            </a:ln>
            <a:effectLst/>
          </c:spPr>
          <c:marker>
            <c:symbol val="none"/>
          </c:marker>
          <c:cat>
            <c:numRef>
              <c:f>'National model results detailed'!$C$21:$AO$21</c:f>
              <c:numCache>
                <c:formatCode>General</c:formatCode>
                <c:ptCount val="39"/>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numCache>
            </c:numRef>
          </c:cat>
          <c:val>
            <c:numRef>
              <c:f>'National model results detailed'!$C$12:$AO$12</c:f>
              <c:numCache>
                <c:formatCode>_-* #,##0_-;\-* #,##0_-;_-* "-"??_-;_-@_-</c:formatCode>
                <c:ptCount val="39"/>
                <c:pt idx="0">
                  <c:v>34.5</c:v>
                </c:pt>
                <c:pt idx="1">
                  <c:v>38.454128917855734</c:v>
                </c:pt>
                <c:pt idx="2">
                  <c:v>42.457630958756774</c:v>
                </c:pt>
                <c:pt idx="3">
                  <c:v>46.516040358715721</c:v>
                </c:pt>
                <c:pt idx="4">
                  <c:v>50.574449758674668</c:v>
                </c:pt>
                <c:pt idx="5">
                  <c:v>54.683534377078708</c:v>
                </c:pt>
                <c:pt idx="6">
                  <c:v>58.848974401883702</c:v>
                </c:pt>
                <c:pt idx="7">
                  <c:v>63.080038440011002</c:v>
                </c:pt>
                <c:pt idx="8">
                  <c:v>67.381744254903779</c:v>
                </c:pt>
                <c:pt idx="9">
                  <c:v>71.750717145199403</c:v>
                </c:pt>
                <c:pt idx="10">
                  <c:v>76.18878189188041</c:v>
                </c:pt>
                <c:pt idx="11">
                  <c:v>80.72626082819346</c:v>
                </c:pt>
                <c:pt idx="12">
                  <c:v>85.347542519177281</c:v>
                </c:pt>
                <c:pt idx="13">
                  <c:v>90.043016274548236</c:v>
                </c:pt>
                <c:pt idx="14">
                  <c:v>94.806531361532308</c:v>
                </c:pt>
                <c:pt idx="15">
                  <c:v>99.632738875445966</c:v>
                </c:pt>
                <c:pt idx="16">
                  <c:v>104.52396023504808</c:v>
                </c:pt>
                <c:pt idx="17">
                  <c:v>109.48470876853897</c:v>
                </c:pt>
                <c:pt idx="18">
                  <c:v>114.51526686613272</c:v>
                </c:pt>
                <c:pt idx="19">
                  <c:v>119.60994680013225</c:v>
                </c:pt>
                <c:pt idx="20">
                  <c:v>124.76797699082415</c:v>
                </c:pt>
                <c:pt idx="21">
                  <c:v>130.00043191024901</c:v>
                </c:pt>
                <c:pt idx="22">
                  <c:v>135.29826085686554</c:v>
                </c:pt>
                <c:pt idx="23">
                  <c:v>140.65753730204207</c:v>
                </c:pt>
                <c:pt idx="24">
                  <c:v>146.07616701849767</c:v>
                </c:pt>
                <c:pt idx="25">
                  <c:v>151.55743569892817</c:v>
                </c:pt>
                <c:pt idx="26">
                  <c:v>157.09961134131828</c:v>
                </c:pt>
                <c:pt idx="27">
                  <c:v>162.69977082648839</c:v>
                </c:pt>
                <c:pt idx="28">
                  <c:v>168.35499186999945</c:v>
                </c:pt>
                <c:pt idx="29">
                  <c:v>174.06199560617938</c:v>
                </c:pt>
                <c:pt idx="30">
                  <c:v>179.81756641650577</c:v>
                </c:pt>
                <c:pt idx="31">
                  <c:v>185.61833582351593</c:v>
                </c:pt>
                <c:pt idx="32">
                  <c:v>191.46268560865505</c:v>
                </c:pt>
                <c:pt idx="33">
                  <c:v>197.35294631828901</c:v>
                </c:pt>
                <c:pt idx="34">
                  <c:v>203.28834429554823</c:v>
                </c:pt>
                <c:pt idx="35">
                  <c:v>209.26944543217613</c:v>
                </c:pt>
                <c:pt idx="36">
                  <c:v>215.29025241352792</c:v>
                </c:pt>
                <c:pt idx="37">
                  <c:v>221.3448391367088</c:v>
                </c:pt>
                <c:pt idx="38">
                  <c:v>227.42767684777934</c:v>
                </c:pt>
              </c:numCache>
            </c:numRef>
          </c:val>
          <c:smooth val="0"/>
          <c:extLst>
            <c:ext xmlns:c16="http://schemas.microsoft.com/office/drawing/2014/chart" uri="{C3380CC4-5D6E-409C-BE32-E72D297353CC}">
              <c16:uniqueId val="{00000002-6531-4FDA-84E1-1BE6CB2458AB}"/>
            </c:ext>
          </c:extLst>
        </c:ser>
        <c:ser>
          <c:idx val="3"/>
          <c:order val="3"/>
          <c:tx>
            <c:v>Total leg ulcers (To-be)</c:v>
          </c:tx>
          <c:spPr>
            <a:ln w="28575" cap="rnd">
              <a:solidFill>
                <a:srgbClr val="C00000"/>
              </a:solidFill>
              <a:round/>
            </a:ln>
            <a:effectLst/>
          </c:spPr>
          <c:marker>
            <c:symbol val="none"/>
          </c:marker>
          <c:cat>
            <c:numRef>
              <c:f>'National model results detailed'!$C$21:$AO$21</c:f>
              <c:numCache>
                <c:formatCode>General</c:formatCode>
                <c:ptCount val="39"/>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numCache>
            </c:numRef>
          </c:cat>
          <c:val>
            <c:numRef>
              <c:f>'National model results detailed'!$C$14:$AO$14</c:f>
              <c:numCache>
                <c:formatCode>_-* #,##0_-;\-* #,##0_-;_-* "-"??_-;_-@_-</c:formatCode>
                <c:ptCount val="39"/>
                <c:pt idx="0">
                  <c:v>400.5</c:v>
                </c:pt>
                <c:pt idx="1">
                  <c:v>417.31554044332972</c:v>
                </c:pt>
                <c:pt idx="2">
                  <c:v>432.35135833709222</c:v>
                </c:pt>
                <c:pt idx="3">
                  <c:v>446.19433300307139</c:v>
                </c:pt>
                <c:pt idx="4">
                  <c:v>459.32005269003565</c:v>
                </c:pt>
                <c:pt idx="5">
                  <c:v>420.30899989991019</c:v>
                </c:pt>
                <c:pt idx="6">
                  <c:v>398.85640416901202</c:v>
                </c:pt>
                <c:pt idx="7">
                  <c:v>388.64454531966015</c:v>
                </c:pt>
                <c:pt idx="8">
                  <c:v>386.17872901375318</c:v>
                </c:pt>
                <c:pt idx="9">
                  <c:v>388.34007715348332</c:v>
                </c:pt>
                <c:pt idx="10">
                  <c:v>393.30633639604071</c:v>
                </c:pt>
                <c:pt idx="11">
                  <c:v>400.23055552416156</c:v>
                </c:pt>
                <c:pt idx="12">
                  <c:v>408.11384100913756</c:v>
                </c:pt>
                <c:pt idx="13">
                  <c:v>416.53752857097163</c:v>
                </c:pt>
                <c:pt idx="14">
                  <c:v>425.33678388642682</c:v>
                </c:pt>
                <c:pt idx="15">
                  <c:v>434.36621845760544</c:v>
                </c:pt>
                <c:pt idx="16">
                  <c:v>443.51377149376259</c:v>
                </c:pt>
                <c:pt idx="17">
                  <c:v>452.79063300205837</c:v>
                </c:pt>
                <c:pt idx="18">
                  <c:v>462.35135410070598</c:v>
                </c:pt>
                <c:pt idx="19">
                  <c:v>471.92562610547083</c:v>
                </c:pt>
                <c:pt idx="20">
                  <c:v>481.46343518193311</c:v>
                </c:pt>
                <c:pt idx="21">
                  <c:v>491.06949739389307</c:v>
                </c:pt>
                <c:pt idx="22">
                  <c:v>500.68257391621921</c:v>
                </c:pt>
                <c:pt idx="23">
                  <c:v>510.26083915021775</c:v>
                </c:pt>
                <c:pt idx="24">
                  <c:v>519.77835038036824</c:v>
                </c:pt>
                <c:pt idx="25">
                  <c:v>529.26614119020564</c:v>
                </c:pt>
                <c:pt idx="26">
                  <c:v>538.6766678901065</c:v>
                </c:pt>
                <c:pt idx="27">
                  <c:v>547.96837775820904</c:v>
                </c:pt>
                <c:pt idx="28">
                  <c:v>557.11376567727882</c:v>
                </c:pt>
                <c:pt idx="29">
                  <c:v>566.12146891313023</c:v>
                </c:pt>
                <c:pt idx="30">
                  <c:v>575.06736119701168</c:v>
                </c:pt>
                <c:pt idx="31">
                  <c:v>583.95740766832932</c:v>
                </c:pt>
                <c:pt idx="32">
                  <c:v>592.83611836987438</c:v>
                </c:pt>
                <c:pt idx="33">
                  <c:v>601.6613985637689</c:v>
                </c:pt>
                <c:pt idx="34">
                  <c:v>610.35790086761062</c:v>
                </c:pt>
                <c:pt idx="35">
                  <c:v>618.88804817204527</c:v>
                </c:pt>
                <c:pt idx="36">
                  <c:v>627.21786112008135</c:v>
                </c:pt>
                <c:pt idx="37">
                  <c:v>635.32483415918432</c:v>
                </c:pt>
                <c:pt idx="38">
                  <c:v>643.19031159910674</c:v>
                </c:pt>
              </c:numCache>
            </c:numRef>
          </c:val>
          <c:smooth val="0"/>
          <c:extLst>
            <c:ext xmlns:c16="http://schemas.microsoft.com/office/drawing/2014/chart" uri="{C3380CC4-5D6E-409C-BE32-E72D297353CC}">
              <c16:uniqueId val="{00000003-6531-4FDA-84E1-1BE6CB2458AB}"/>
            </c:ext>
          </c:extLst>
        </c:ser>
        <c:ser>
          <c:idx val="4"/>
          <c:order val="4"/>
          <c:tx>
            <c:v>Total leg ulcers (Baseline)</c:v>
          </c:tx>
          <c:spPr>
            <a:ln w="28575" cap="rnd">
              <a:solidFill>
                <a:sysClr val="window" lastClr="FFFFFF">
                  <a:lumMod val="50000"/>
                </a:sysClr>
              </a:solidFill>
              <a:prstDash val="sysDot"/>
              <a:round/>
            </a:ln>
            <a:effectLst/>
          </c:spPr>
          <c:marker>
            <c:symbol val="none"/>
          </c:marker>
          <c:cat>
            <c:numRef>
              <c:f>'National model results detailed'!$C$21:$AO$21</c:f>
              <c:numCache>
                <c:formatCode>General</c:formatCode>
                <c:ptCount val="39"/>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numCache>
            </c:numRef>
          </c:cat>
          <c:val>
            <c:numRef>
              <c:f>'Baseline Summary'!$C$15:$AO$15</c:f>
              <c:numCache>
                <c:formatCode>_-* #,##0_-;\-* #,##0_-;_-* "-"??_-;_-@_-</c:formatCode>
                <c:ptCount val="39"/>
                <c:pt idx="0">
                  <c:v>400.5</c:v>
                </c:pt>
                <c:pt idx="1">
                  <c:v>417.31554044332972</c:v>
                </c:pt>
                <c:pt idx="2">
                  <c:v>432.35135833709222</c:v>
                </c:pt>
                <c:pt idx="3">
                  <c:v>446.19433300307139</c:v>
                </c:pt>
                <c:pt idx="4">
                  <c:v>459.38399049995354</c:v>
                </c:pt>
                <c:pt idx="5">
                  <c:v>472.2220789383054</c:v>
                </c:pt>
                <c:pt idx="6">
                  <c:v>484.72184388387876</c:v>
                </c:pt>
                <c:pt idx="7">
                  <c:v>497.02716390135004</c:v>
                </c:pt>
                <c:pt idx="8">
                  <c:v>509.98477729337412</c:v>
                </c:pt>
                <c:pt idx="9">
                  <c:v>523.05646387598767</c:v>
                </c:pt>
                <c:pt idx="10">
                  <c:v>535.98552347014402</c:v>
                </c:pt>
                <c:pt idx="11">
                  <c:v>548.66447286577943</c:v>
                </c:pt>
                <c:pt idx="12">
                  <c:v>561.03107650452625</c:v>
                </c:pt>
                <c:pt idx="13">
                  <c:v>573.23523869555413</c:v>
                </c:pt>
                <c:pt idx="14">
                  <c:v>585.44794382094574</c:v>
                </c:pt>
                <c:pt idx="15">
                  <c:v>597.69059266039358</c:v>
                </c:pt>
                <c:pt idx="16">
                  <c:v>609.82512273530051</c:v>
                </c:pt>
                <c:pt idx="17">
                  <c:v>621.87260782194016</c:v>
                </c:pt>
                <c:pt idx="18">
                  <c:v>634.15523242658514</c:v>
                </c:pt>
                <c:pt idx="19">
                  <c:v>646.39959489739022</c:v>
                </c:pt>
                <c:pt idx="20">
                  <c:v>658.5286762835542</c:v>
                </c:pt>
                <c:pt idx="21">
                  <c:v>670.53050160634405</c:v>
                </c:pt>
                <c:pt idx="22">
                  <c:v>682.53462319636196</c:v>
                </c:pt>
                <c:pt idx="23">
                  <c:v>694.51034143835591</c:v>
                </c:pt>
                <c:pt idx="24">
                  <c:v>706.40315873602049</c:v>
                </c:pt>
                <c:pt idx="25">
                  <c:v>718.17106093278312</c:v>
                </c:pt>
                <c:pt idx="26">
                  <c:v>729.77225601771602</c:v>
                </c:pt>
                <c:pt idx="27">
                  <c:v>741.17589066866276</c:v>
                </c:pt>
                <c:pt idx="28">
                  <c:v>752.35383476023515</c:v>
                </c:pt>
                <c:pt idx="29">
                  <c:v>763.32920688676541</c:v>
                </c:pt>
                <c:pt idx="30">
                  <c:v>774.22128287199189</c:v>
                </c:pt>
                <c:pt idx="31">
                  <c:v>785.04082907336806</c:v>
                </c:pt>
                <c:pt idx="32">
                  <c:v>795.8304862367836</c:v>
                </c:pt>
                <c:pt idx="33">
                  <c:v>806.45301091583451</c:v>
                </c:pt>
                <c:pt idx="34">
                  <c:v>816.80470613564307</c:v>
                </c:pt>
                <c:pt idx="35">
                  <c:v>826.81576384148138</c:v>
                </c:pt>
                <c:pt idx="36">
                  <c:v>836.52784811864285</c:v>
                </c:pt>
                <c:pt idx="37">
                  <c:v>845.94910753845579</c:v>
                </c:pt>
                <c:pt idx="38">
                  <c:v>855.06087908380164</c:v>
                </c:pt>
              </c:numCache>
            </c:numRef>
          </c:val>
          <c:smooth val="0"/>
          <c:extLst>
            <c:ext xmlns:c16="http://schemas.microsoft.com/office/drawing/2014/chart" uri="{C3380CC4-5D6E-409C-BE32-E72D297353CC}">
              <c16:uniqueId val="{00000004-6531-4FDA-84E1-1BE6CB2458AB}"/>
            </c:ext>
          </c:extLst>
        </c:ser>
        <c:dLbls>
          <c:showLegendKey val="0"/>
          <c:showVal val="0"/>
          <c:showCatName val="0"/>
          <c:showSerName val="0"/>
          <c:showPercent val="0"/>
          <c:showBubbleSize val="0"/>
        </c:dLbls>
        <c:smooth val="0"/>
        <c:axId val="94146560"/>
        <c:axId val="94148096"/>
      </c:lineChart>
      <c:catAx>
        <c:axId val="94146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4148096"/>
        <c:crosses val="autoZero"/>
        <c:auto val="1"/>
        <c:lblAlgn val="ctr"/>
        <c:lblOffset val="100"/>
        <c:tickLblSkip val="2"/>
        <c:noMultiLvlLbl val="0"/>
      </c:catAx>
      <c:valAx>
        <c:axId val="941480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Number of leg ulcers</a:t>
                </a:r>
              </a:p>
            </c:rich>
          </c:tx>
          <c:layout>
            <c:manualLayout>
              <c:xMode val="edge"/>
              <c:yMode val="edge"/>
              <c:x val="6.5387711822805189E-4"/>
              <c:y val="9.177667951080581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4146560"/>
        <c:crosses val="autoZero"/>
        <c:crossBetween val="between"/>
      </c:valAx>
      <c:spPr>
        <a:noFill/>
        <a:ln>
          <a:noFill/>
        </a:ln>
        <a:effectLst/>
      </c:spPr>
    </c:plotArea>
    <c:legend>
      <c:legendPos val="b"/>
      <c:layout>
        <c:manualLayout>
          <c:xMode val="edge"/>
          <c:yMode val="edge"/>
          <c:x val="0.10776000781757428"/>
          <c:y val="0.88002936193207204"/>
          <c:w val="0.89178776314513353"/>
          <c:h val="0.119970638067927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chart>
  <c:spPr>
    <a:no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083230832308324"/>
          <c:y val="0.11579457364341085"/>
          <c:w val="0.44198441984419845"/>
          <c:h val="0.88420542635658916"/>
        </c:manualLayout>
      </c:layout>
      <c:pieChart>
        <c:varyColors val="1"/>
        <c:ser>
          <c:idx val="1"/>
          <c:order val="0"/>
          <c:tx>
            <c:strRef>
              <c:f>'To-be Summary'!$D$110</c:f>
              <c:strCache>
                <c:ptCount val="1"/>
                <c:pt idx="0">
                  <c:v>Share</c:v>
                </c:pt>
              </c:strCache>
            </c:strRef>
          </c:tx>
          <c:dLbls>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'To-be Summary'!$B$111:$B$112</c:f>
              <c:strCache>
                <c:ptCount val="2"/>
                <c:pt idx="0">
                  <c:v>Primary and Community</c:v>
                </c:pt>
                <c:pt idx="1">
                  <c:v>Acute</c:v>
                </c:pt>
              </c:strCache>
            </c:strRef>
          </c:cat>
          <c:val>
            <c:numRef>
              <c:f>'To-be Summary'!$D$111:$D$112</c:f>
              <c:numCache>
                <c:formatCode>0%</c:formatCode>
                <c:ptCount val="2"/>
                <c:pt idx="0">
                  <c:v>0.56285231160944504</c:v>
                </c:pt>
                <c:pt idx="1">
                  <c:v>0.43714768839055496</c:v>
                </c:pt>
              </c:numCache>
            </c:numRef>
          </c:val>
          <c:extLst>
            <c:ext xmlns:c16="http://schemas.microsoft.com/office/drawing/2014/chart" uri="{C3380CC4-5D6E-409C-BE32-E72D297353CC}">
              <c16:uniqueId val="{00000004-0DC4-4958-9715-2D1330BE9B0D}"/>
            </c:ext>
          </c:extLst>
        </c:ser>
        <c:dLbls>
          <c:showLegendKey val="0"/>
          <c:showVal val="1"/>
          <c:showCatName val="1"/>
          <c:showSerName val="0"/>
          <c:showPercent val="0"/>
          <c:showBubbleSize val="0"/>
          <c:showLeaderLines val="1"/>
        </c:dLbls>
        <c:firstSliceAng val="0"/>
      </c:pieChart>
    </c:plotArea>
    <c:plotVisOnly val="1"/>
    <c:dispBlanksAs val="gap"/>
    <c:showDLblsOverMax val="0"/>
    <c:extLst/>
  </c:chart>
  <c:spPr>
    <a:noFill/>
    <a:ln w="9525" cap="flat" cmpd="sng" algn="ctr">
      <a:noFill/>
      <a:round/>
    </a:ln>
    <a:effectLst/>
  </c:spPr>
  <c:txPr>
    <a:bodyPr/>
    <a:lstStyle/>
    <a:p>
      <a:pPr>
        <a:defRPr b="1">
          <a:solidFill>
            <a:schemeClr val="bg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083230832308324"/>
          <c:y val="0.11579457364341085"/>
          <c:w val="0.44198441984419845"/>
          <c:h val="0.88420542635658916"/>
        </c:manualLayout>
      </c:layout>
      <c:pieChart>
        <c:varyColors val="1"/>
        <c:ser>
          <c:idx val="0"/>
          <c:order val="0"/>
          <c:tx>
            <c:strRef>
              <c:f>'To-be Summary'!$H$97</c:f>
              <c:strCache>
                <c:ptCount val="1"/>
                <c:pt idx="0">
                  <c:v>Share</c:v>
                </c:pt>
              </c:strCache>
            </c:strRef>
          </c:tx>
          <c:dLbls>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'To-be Summary'!$C$98:$C$101</c:f>
              <c:strCache>
                <c:ptCount val="4"/>
                <c:pt idx="0">
                  <c:v>Admissions</c:v>
                </c:pt>
                <c:pt idx="1">
                  <c:v>Equipment</c:v>
                </c:pt>
                <c:pt idx="2">
                  <c:v>Staff</c:v>
                </c:pt>
                <c:pt idx="3">
                  <c:v>Drugs</c:v>
                </c:pt>
              </c:strCache>
            </c:strRef>
          </c:cat>
          <c:val>
            <c:numRef>
              <c:f>'To-be Summary'!$H$98:$H$101</c:f>
              <c:numCache>
                <c:formatCode>0%</c:formatCode>
                <c:ptCount val="4"/>
                <c:pt idx="0">
                  <c:v>0.4371476883905549</c:v>
                </c:pt>
                <c:pt idx="1">
                  <c:v>0.17216758284311146</c:v>
                </c:pt>
                <c:pt idx="2">
                  <c:v>0.28129452712172753</c:v>
                </c:pt>
                <c:pt idx="3">
                  <c:v>0.10939020164460594</c:v>
                </c:pt>
              </c:numCache>
            </c:numRef>
          </c:val>
          <c:extLst>
            <c:ext xmlns:c16="http://schemas.microsoft.com/office/drawing/2014/chart" uri="{C3380CC4-5D6E-409C-BE32-E72D297353CC}">
              <c16:uniqueId val="{00000008-7FA1-4A06-8751-E9E5148B33DE}"/>
            </c:ext>
          </c:extLst>
        </c:ser>
        <c:dLbls>
          <c:showLegendKey val="0"/>
          <c:showVal val="1"/>
          <c:showCatName val="1"/>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chemeClr val="bg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Total UK leg ulcer prevalence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39210504464108"/>
          <c:y val="0.13138440860215056"/>
          <c:w val="0.85609757858672064"/>
          <c:h val="0.73108357675048685"/>
        </c:manualLayout>
      </c:layout>
      <c:lineChart>
        <c:grouping val="standard"/>
        <c:varyColors val="0"/>
        <c:ser>
          <c:idx val="0"/>
          <c:order val="0"/>
          <c:tx>
            <c:strRef>
              <c:f>'To-be Summary'!$B$14</c:f>
              <c:strCache>
                <c:ptCount val="1"/>
                <c:pt idx="0">
                  <c:v> Venous LU </c:v>
                </c:pt>
              </c:strCache>
            </c:strRef>
          </c:tx>
          <c:spPr>
            <a:ln w="28575" cap="rnd">
              <a:solidFill>
                <a:srgbClr val="4472C4"/>
              </a:solidFill>
              <a:round/>
            </a:ln>
            <a:effectLst/>
          </c:spPr>
          <c:marker>
            <c:symbol val="none"/>
          </c:marker>
          <c:cat>
            <c:numRef>
              <c:f>'To-be Summary'!$C$11:$AO$11</c:f>
              <c:numCache>
                <c:formatCode>General</c:formatCode>
                <c:ptCount val="39"/>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numCache>
            </c:numRef>
          </c:cat>
          <c:val>
            <c:numRef>
              <c:f>'To-be Summary'!$C$14:$AO$14</c:f>
              <c:numCache>
                <c:formatCode>_-* #,##0_-;\-* #,##0_-;_-* "-"??_-;_-@_-</c:formatCode>
                <c:ptCount val="39"/>
                <c:pt idx="0">
                  <c:v>283.5</c:v>
                </c:pt>
                <c:pt idx="1">
                  <c:v>293.19015912843923</c:v>
                </c:pt>
                <c:pt idx="2">
                  <c:v>301.48374143342193</c:v>
                </c:pt>
                <c:pt idx="3">
                  <c:v>308.83682243526221</c:v>
                </c:pt>
                <c:pt idx="4">
                  <c:v>315.66336153104555</c:v>
                </c:pt>
                <c:pt idx="5">
                  <c:v>280.33856384346745</c:v>
                </c:pt>
                <c:pt idx="6">
                  <c:v>259.63630449965746</c:v>
                </c:pt>
                <c:pt idx="7">
                  <c:v>248.14148252763499</c:v>
                </c:pt>
                <c:pt idx="8">
                  <c:v>242.85939581547882</c:v>
                </c:pt>
                <c:pt idx="9">
                  <c:v>241.2153991664303</c:v>
                </c:pt>
                <c:pt idx="10">
                  <c:v>241.71855154653568</c:v>
                </c:pt>
                <c:pt idx="11">
                  <c:v>243.66081825644366</c:v>
                </c:pt>
                <c:pt idx="12">
                  <c:v>246.25395226781214</c:v>
                </c:pt>
                <c:pt idx="13">
                  <c:v>249.17780539158161</c:v>
                </c:pt>
                <c:pt idx="14">
                  <c:v>252.31434755734173</c:v>
                </c:pt>
                <c:pt idx="15">
                  <c:v>255.56074741837355</c:v>
                </c:pt>
                <c:pt idx="16">
                  <c:v>258.83478091381068</c:v>
                </c:pt>
                <c:pt idx="17">
                  <c:v>262.14679438231275</c:v>
                </c:pt>
                <c:pt idx="18">
                  <c:v>265.61958437207431</c:v>
                </c:pt>
                <c:pt idx="19">
                  <c:v>269.04620892921093</c:v>
                </c:pt>
                <c:pt idx="20">
                  <c:v>272.39089844636584</c:v>
                </c:pt>
                <c:pt idx="21">
                  <c:v>275.73080174212112</c:v>
                </c:pt>
                <c:pt idx="22">
                  <c:v>279.02256167212551</c:v>
                </c:pt>
                <c:pt idx="23">
                  <c:v>282.23751089696094</c:v>
                </c:pt>
                <c:pt idx="24">
                  <c:v>285.3583802282584</c:v>
                </c:pt>
                <c:pt idx="25">
                  <c:v>288.40870310516499</c:v>
                </c:pt>
                <c:pt idx="26">
                  <c:v>291.3522635596687</c:v>
                </c:pt>
                <c:pt idx="27">
                  <c:v>294.15882468483863</c:v>
                </c:pt>
                <c:pt idx="28">
                  <c:v>296.80959997325209</c:v>
                </c:pt>
                <c:pt idx="29">
                  <c:v>299.31443210254628</c:v>
                </c:pt>
                <c:pt idx="30">
                  <c:v>301.73564106612992</c:v>
                </c:pt>
                <c:pt idx="31">
                  <c:v>304.08051005093057</c:v>
                </c:pt>
                <c:pt idx="32">
                  <c:v>306.38535542126493</c:v>
                </c:pt>
                <c:pt idx="33">
                  <c:v>308.61577956841728</c:v>
                </c:pt>
                <c:pt idx="34">
                  <c:v>310.71278508482129</c:v>
                </c:pt>
                <c:pt idx="35">
                  <c:v>312.64669120122744</c:v>
                </c:pt>
                <c:pt idx="36">
                  <c:v>314.39476692357863</c:v>
                </c:pt>
                <c:pt idx="37">
                  <c:v>315.94436957924216</c:v>
                </c:pt>
                <c:pt idx="38">
                  <c:v>317.28599657027979</c:v>
                </c:pt>
              </c:numCache>
            </c:numRef>
          </c:val>
          <c:smooth val="0"/>
          <c:extLst>
            <c:ext xmlns:c16="http://schemas.microsoft.com/office/drawing/2014/chart" uri="{C3380CC4-5D6E-409C-BE32-E72D297353CC}">
              <c16:uniqueId val="{00000000-0D30-4D2C-A84D-DE54B1087493}"/>
            </c:ext>
          </c:extLst>
        </c:ser>
        <c:ser>
          <c:idx val="1"/>
          <c:order val="1"/>
          <c:tx>
            <c:strRef>
              <c:f>'To-be Summary'!$B$12</c:f>
              <c:strCache>
                <c:ptCount val="1"/>
                <c:pt idx="0">
                  <c:v> Mixed LU </c:v>
                </c:pt>
              </c:strCache>
            </c:strRef>
          </c:tx>
          <c:spPr>
            <a:ln w="28575" cap="rnd">
              <a:solidFill>
                <a:srgbClr val="70AD47">
                  <a:lumMod val="75000"/>
                </a:srgbClr>
              </a:solidFill>
              <a:round/>
            </a:ln>
            <a:effectLst/>
          </c:spPr>
          <c:marker>
            <c:symbol val="none"/>
          </c:marker>
          <c:cat>
            <c:numRef>
              <c:f>'To-be Summary'!$C$11:$AO$11</c:f>
              <c:numCache>
                <c:formatCode>General</c:formatCode>
                <c:ptCount val="39"/>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numCache>
            </c:numRef>
          </c:cat>
          <c:val>
            <c:numRef>
              <c:f>'To-be Summary'!$C$12:$AO$12</c:f>
              <c:numCache>
                <c:formatCode>_-* #,##0_-;\-* #,##0_-;_-* "-"??_-;_-@_-</c:formatCode>
                <c:ptCount val="39"/>
                <c:pt idx="0">
                  <c:v>82.5</c:v>
                </c:pt>
                <c:pt idx="1">
                  <c:v>85.671252397034777</c:v>
                </c:pt>
                <c:pt idx="2">
                  <c:v>88.409985944913515</c:v>
                </c:pt>
                <c:pt idx="3">
                  <c:v>90.841470209093458</c:v>
                </c:pt>
                <c:pt idx="4">
                  <c:v>93.082241400315425</c:v>
                </c:pt>
                <c:pt idx="5">
                  <c:v>85.286901679364021</c:v>
                </c:pt>
                <c:pt idx="6">
                  <c:v>80.371125267470873</c:v>
                </c:pt>
                <c:pt idx="7">
                  <c:v>77.423024352014167</c:v>
                </c:pt>
                <c:pt idx="8">
                  <c:v>75.937588943370585</c:v>
                </c:pt>
                <c:pt idx="9">
                  <c:v>75.373960841853631</c:v>
                </c:pt>
                <c:pt idx="10">
                  <c:v>75.399002957624646</c:v>
                </c:pt>
                <c:pt idx="11">
                  <c:v>75.843476439524451</c:v>
                </c:pt>
                <c:pt idx="12">
                  <c:v>76.512346222148111</c:v>
                </c:pt>
                <c:pt idx="13">
                  <c:v>77.316706904841794</c:v>
                </c:pt>
                <c:pt idx="14">
                  <c:v>78.215904967552774</c:v>
                </c:pt>
                <c:pt idx="15">
                  <c:v>79.172732163785923</c:v>
                </c:pt>
                <c:pt idx="16">
                  <c:v>80.155030344903821</c:v>
                </c:pt>
                <c:pt idx="17">
                  <c:v>81.159129851206629</c:v>
                </c:pt>
                <c:pt idx="18">
                  <c:v>82.21650286249897</c:v>
                </c:pt>
                <c:pt idx="19">
                  <c:v>83.269470376127629</c:v>
                </c:pt>
                <c:pt idx="20">
                  <c:v>84.304559744743102</c:v>
                </c:pt>
                <c:pt idx="21">
                  <c:v>85.338263741522951</c:v>
                </c:pt>
                <c:pt idx="22">
                  <c:v>86.361751387228182</c:v>
                </c:pt>
                <c:pt idx="23">
                  <c:v>87.365790951214706</c:v>
                </c:pt>
                <c:pt idx="24">
                  <c:v>88.343803133612155</c:v>
                </c:pt>
                <c:pt idx="25">
                  <c:v>89.300002386112538</c:v>
                </c:pt>
                <c:pt idx="26">
                  <c:v>90.224792989119592</c:v>
                </c:pt>
                <c:pt idx="27">
                  <c:v>91.109782246881963</c:v>
                </c:pt>
                <c:pt idx="28">
                  <c:v>91.949173834027292</c:v>
                </c:pt>
                <c:pt idx="29">
                  <c:v>92.745041204404558</c:v>
                </c:pt>
                <c:pt idx="30">
                  <c:v>93.514153714375951</c:v>
                </c:pt>
                <c:pt idx="31">
                  <c:v>94.258561793882748</c:v>
                </c:pt>
                <c:pt idx="32">
                  <c:v>94.988077339954486</c:v>
                </c:pt>
                <c:pt idx="33">
                  <c:v>95.692672677062632</c:v>
                </c:pt>
                <c:pt idx="34">
                  <c:v>96.356771487241119</c:v>
                </c:pt>
                <c:pt idx="35">
                  <c:v>96.971911538641692</c:v>
                </c:pt>
                <c:pt idx="36">
                  <c:v>97.532841782974856</c:v>
                </c:pt>
                <c:pt idx="37">
                  <c:v>98.035625443233315</c:v>
                </c:pt>
                <c:pt idx="38">
                  <c:v>98.476638181047576</c:v>
                </c:pt>
              </c:numCache>
            </c:numRef>
          </c:val>
          <c:smooth val="0"/>
          <c:extLst>
            <c:ext xmlns:c16="http://schemas.microsoft.com/office/drawing/2014/chart" uri="{C3380CC4-5D6E-409C-BE32-E72D297353CC}">
              <c16:uniqueId val="{00000001-0D30-4D2C-A84D-DE54B1087493}"/>
            </c:ext>
          </c:extLst>
        </c:ser>
        <c:ser>
          <c:idx val="2"/>
          <c:order val="2"/>
          <c:tx>
            <c:strRef>
              <c:f>'To-be Summary'!$B$13</c:f>
              <c:strCache>
                <c:ptCount val="1"/>
                <c:pt idx="0">
                  <c:v> Arterial LU </c:v>
                </c:pt>
              </c:strCache>
            </c:strRef>
          </c:tx>
          <c:spPr>
            <a:ln w="28575" cap="rnd">
              <a:solidFill>
                <a:srgbClr val="7030A0"/>
              </a:solidFill>
              <a:round/>
            </a:ln>
            <a:effectLst/>
          </c:spPr>
          <c:marker>
            <c:symbol val="none"/>
          </c:marker>
          <c:cat>
            <c:numRef>
              <c:f>'To-be Summary'!$C$11:$AO$11</c:f>
              <c:numCache>
                <c:formatCode>General</c:formatCode>
                <c:ptCount val="39"/>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numCache>
            </c:numRef>
          </c:cat>
          <c:val>
            <c:numRef>
              <c:f>'To-be Summary'!$C$13:$AO$13</c:f>
              <c:numCache>
                <c:formatCode>_-* #,##0_-;\-* #,##0_-;_-* "-"??_-;_-@_-</c:formatCode>
                <c:ptCount val="39"/>
                <c:pt idx="0">
                  <c:v>34.5</c:v>
                </c:pt>
                <c:pt idx="1">
                  <c:v>38.454128917855734</c:v>
                </c:pt>
                <c:pt idx="2">
                  <c:v>42.457630958756774</c:v>
                </c:pt>
                <c:pt idx="3">
                  <c:v>46.516040358715721</c:v>
                </c:pt>
                <c:pt idx="4">
                  <c:v>50.574449758674668</c:v>
                </c:pt>
                <c:pt idx="5">
                  <c:v>54.683534377078708</c:v>
                </c:pt>
                <c:pt idx="6">
                  <c:v>58.848974401883702</c:v>
                </c:pt>
                <c:pt idx="7">
                  <c:v>63.080038440011002</c:v>
                </c:pt>
                <c:pt idx="8">
                  <c:v>67.381744254903779</c:v>
                </c:pt>
                <c:pt idx="9">
                  <c:v>71.750717145199403</c:v>
                </c:pt>
                <c:pt idx="10">
                  <c:v>76.18878189188041</c:v>
                </c:pt>
                <c:pt idx="11">
                  <c:v>80.72626082819346</c:v>
                </c:pt>
                <c:pt idx="12">
                  <c:v>85.347542519177281</c:v>
                </c:pt>
                <c:pt idx="13">
                  <c:v>90.043016274548236</c:v>
                </c:pt>
                <c:pt idx="14">
                  <c:v>94.806531361532308</c:v>
                </c:pt>
                <c:pt idx="15">
                  <c:v>99.632738875445966</c:v>
                </c:pt>
                <c:pt idx="16">
                  <c:v>104.52396023504808</c:v>
                </c:pt>
                <c:pt idx="17">
                  <c:v>109.48470876853897</c:v>
                </c:pt>
                <c:pt idx="18">
                  <c:v>114.51526686613272</c:v>
                </c:pt>
                <c:pt idx="19">
                  <c:v>119.60994680013225</c:v>
                </c:pt>
                <c:pt idx="20">
                  <c:v>124.76797699082415</c:v>
                </c:pt>
                <c:pt idx="21">
                  <c:v>130.00043191024901</c:v>
                </c:pt>
                <c:pt idx="22">
                  <c:v>135.29826085686554</c:v>
                </c:pt>
                <c:pt idx="23">
                  <c:v>140.65753730204207</c:v>
                </c:pt>
                <c:pt idx="24">
                  <c:v>146.07616701849767</c:v>
                </c:pt>
                <c:pt idx="25">
                  <c:v>151.55743569892817</c:v>
                </c:pt>
                <c:pt idx="26">
                  <c:v>157.09961134131828</c:v>
                </c:pt>
                <c:pt idx="27">
                  <c:v>162.69977082648839</c:v>
                </c:pt>
                <c:pt idx="28">
                  <c:v>168.35499186999945</c:v>
                </c:pt>
                <c:pt idx="29">
                  <c:v>174.06199560617938</c:v>
                </c:pt>
                <c:pt idx="30">
                  <c:v>179.81756641650577</c:v>
                </c:pt>
                <c:pt idx="31">
                  <c:v>185.61833582351593</c:v>
                </c:pt>
                <c:pt idx="32">
                  <c:v>191.46268560865505</c:v>
                </c:pt>
                <c:pt idx="33">
                  <c:v>197.35294631828901</c:v>
                </c:pt>
                <c:pt idx="34">
                  <c:v>203.28834429554823</c:v>
                </c:pt>
                <c:pt idx="35">
                  <c:v>209.26944543217613</c:v>
                </c:pt>
                <c:pt idx="36">
                  <c:v>215.29025241352792</c:v>
                </c:pt>
                <c:pt idx="37">
                  <c:v>221.3448391367088</c:v>
                </c:pt>
                <c:pt idx="38">
                  <c:v>227.42767684777934</c:v>
                </c:pt>
              </c:numCache>
            </c:numRef>
          </c:val>
          <c:smooth val="0"/>
          <c:extLst>
            <c:ext xmlns:c16="http://schemas.microsoft.com/office/drawing/2014/chart" uri="{C3380CC4-5D6E-409C-BE32-E72D297353CC}">
              <c16:uniqueId val="{00000002-0D30-4D2C-A84D-DE54B1087493}"/>
            </c:ext>
          </c:extLst>
        </c:ser>
        <c:dLbls>
          <c:showLegendKey val="0"/>
          <c:showVal val="0"/>
          <c:showCatName val="0"/>
          <c:showSerName val="0"/>
          <c:showPercent val="0"/>
          <c:showBubbleSize val="0"/>
        </c:dLbls>
        <c:smooth val="0"/>
        <c:axId val="94390912"/>
        <c:axId val="94400896"/>
      </c:lineChart>
      <c:catAx>
        <c:axId val="94390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400896"/>
        <c:crosses val="autoZero"/>
        <c:auto val="1"/>
        <c:lblAlgn val="ctr"/>
        <c:lblOffset val="100"/>
        <c:noMultiLvlLbl val="0"/>
      </c:catAx>
      <c:valAx>
        <c:axId val="94400896"/>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3909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_xlchart.v1.1</cx:f>
      </cx:strDim>
      <cx:numDim type="val">
        <cx:f>_xlchart.v1.2</cx:f>
      </cx:numDim>
    </cx:data>
  </cx:chartData>
  <cx:chart>
    <cx:title pos="t" align="ctr" overlay="0">
      <cx:tx>
        <cx:txData>
          <cx:v>Net present value (£bn)</cx:v>
        </cx:txData>
      </cx:tx>
      <cx:txPr>
        <a:bodyPr spcFirstLastPara="1" vertOverflow="ellipsis" horzOverflow="overflow" wrap="square" lIns="0" tIns="0" rIns="0" bIns="0" anchor="ctr" anchorCtr="1"/>
        <a:lstStyle/>
        <a:p>
          <a:pPr algn="ctr" rtl="0">
            <a:defRPr sz="1100"/>
          </a:pPr>
          <a:r>
            <a:rPr lang="en-US" sz="1100" b="0" i="0" u="none" strike="noStrike" baseline="0">
              <a:solidFill>
                <a:srgbClr val="293947">
                  <a:lumMod val="65000"/>
                  <a:lumOff val="35000"/>
                </a:srgbClr>
              </a:solidFill>
              <a:latin typeface="Arial" panose="020B0604020202020204"/>
            </a:rPr>
            <a:t>Net present value (£bn)</a:t>
          </a:r>
        </a:p>
      </cx:txPr>
    </cx:title>
    <cx:plotArea>
      <cx:plotAreaRegion>
        <cx:series layoutId="waterfall" uniqueId="{73DFFEA5-6E93-40A4-BAFB-2B0C587C930D}" formatIdx="0">
          <cx:tx>
            <cx:txData>
              <cx:f>_xlchart.v1.0</cx:f>
              <cx:v/>
            </cx:txData>
          </cx:tx>
          <cx:dataPt idx="0">
            <cx:spPr>
              <a:solidFill>
                <a:srgbClr val="4472C4">
                  <a:lumMod val="50000"/>
                </a:srgbClr>
              </a:solidFill>
            </cx:spPr>
          </cx:dataPt>
          <cx:dataPt idx="1">
            <cx:spPr>
              <a:solidFill>
                <a:srgbClr val="FF8409"/>
              </a:solidFill>
            </cx:spPr>
          </cx:dataPt>
          <cx:dataPt idx="2">
            <cx:spPr>
              <a:solidFill>
                <a:srgbClr val="31ADDF"/>
              </a:solidFill>
            </cx:spPr>
          </cx:dataPt>
          <cx:dataPt idx="3">
            <cx:spPr>
              <a:solidFill>
                <a:srgbClr val="0C2126">
                  <a:lumMod val="40000"/>
                  <a:lumOff val="60000"/>
                </a:srgbClr>
              </a:solidFill>
            </cx:spPr>
          </cx:dataPt>
          <cx:dataPt idx="5">
            <cx:spPr>
              <a:solidFill>
                <a:srgbClr val="FF9933"/>
              </a:solidFill>
            </cx:spPr>
          </cx:dataPt>
          <cx:dataPt idx="6">
            <cx:spPr>
              <a:solidFill>
                <a:srgbClr val="FF9933"/>
              </a:solidFill>
            </cx:spPr>
          </cx:dataPt>
          <cx:dataPt idx="7">
            <cx:spPr>
              <a:solidFill>
                <a:srgbClr val="0070C0"/>
              </a:solidFill>
            </cx:spPr>
          </cx:dataPt>
          <cx:dataLabels pos="ctr">
            <cx:numFmt formatCode="£#,##0.0" sourceLinked="0"/>
            <cx:txPr>
              <a:bodyPr spcFirstLastPara="1" vertOverflow="ellipsis" horzOverflow="overflow" wrap="square" lIns="0" tIns="0" rIns="0" bIns="0" anchor="ctr" anchorCtr="1"/>
              <a:lstStyle/>
              <a:p>
                <a:pPr algn="ctr" rtl="0">
                  <a:defRPr sz="1000" b="0">
                    <a:solidFill>
                      <a:sysClr val="windowText" lastClr="000000"/>
                    </a:solidFill>
                    <a:latin typeface="Arial" panose="020B0604020202020204" pitchFamily="34" charset="0"/>
                    <a:ea typeface="Arial" panose="020B0604020202020204" pitchFamily="34" charset="0"/>
                    <a:cs typeface="Arial" panose="020B0604020202020204" pitchFamily="34" charset="0"/>
                  </a:defRPr>
                </a:pPr>
                <a:endParaRPr lang="en-US" sz="1000" b="0" i="0" u="none" strike="noStrike" baseline="0">
                  <a:solidFill>
                    <a:sysClr val="windowText" lastClr="000000"/>
                  </a:solidFill>
                  <a:latin typeface="Arial" panose="020B0604020202020204" pitchFamily="34" charset="0"/>
                  <a:cs typeface="Arial" panose="020B0604020202020204" pitchFamily="34" charset="0"/>
                </a:endParaRPr>
              </a:p>
            </cx:txPr>
            <cx:visibility seriesName="0" categoryName="0" value="1"/>
            <cx:separator>, </cx:separator>
            <cx:dataLabel idx="0">
              <cx:numFmt formatCode="£#,##0.0" sourceLinked="0"/>
              <cx:txPr>
                <a:bodyPr spcFirstLastPara="1" vertOverflow="ellipsis" horzOverflow="overflow" wrap="square" lIns="0" tIns="0" rIns="0" bIns="0" anchor="ctr" anchorCtr="1"/>
                <a:lstStyle/>
                <a:p>
                  <a:pPr algn="ctr" rtl="0">
                    <a:defRPr b="1"/>
                  </a:pPr>
                  <a:r>
                    <a:rPr lang="en-US" sz="900" b="1" i="0" u="none" strike="noStrike" baseline="0">
                      <a:solidFill>
                        <a:sysClr val="windowText" lastClr="000000"/>
                      </a:solidFill>
                      <a:latin typeface="Calibri" panose="020F0502020204030204"/>
                    </a:rPr>
                    <a:t>£0.0</a:t>
                  </a:r>
                </a:p>
              </cx:txPr>
              <cx:visibility seriesName="0" categoryName="0" value="1"/>
              <cx:separator>, </cx:separator>
            </cx:dataLabel>
            <cx:dataLabel idx="2">
              <cx:txPr>
                <a:bodyPr spcFirstLastPara="1" vertOverflow="ellipsis" horzOverflow="overflow" wrap="square" lIns="0" tIns="0" rIns="0" bIns="0" anchor="ctr" anchorCtr="1"/>
                <a:lstStyle/>
                <a:p>
                  <a:pPr algn="ctr" rtl="0">
                    <a:defRPr/>
                  </a:pPr>
                  <a:r>
                    <a:rPr lang="en-US" sz="1000" b="0" i="0" u="none" strike="noStrike" baseline="0">
                      <a:solidFill>
                        <a:sysClr val="windowText" lastClr="000000"/>
                      </a:solidFill>
                      <a:latin typeface="Arial" panose="020B0604020202020204" pitchFamily="34" charset="0"/>
                      <a:cs typeface="Arial" panose="020B0604020202020204" pitchFamily="34" charset="0"/>
                    </a:rPr>
                    <a:t>£13.5</a:t>
                  </a:r>
                </a:p>
              </cx:txPr>
            </cx:dataLabel>
            <cx:dataLabel idx="7">
              <cx:numFmt formatCode="£#,##0.0" sourceLinked="0"/>
              <cx:txPr>
                <a:bodyPr spcFirstLastPara="1" vertOverflow="ellipsis" horzOverflow="overflow" wrap="square" lIns="0" tIns="0" rIns="0" bIns="0" anchor="ctr" anchorCtr="1"/>
                <a:lstStyle/>
                <a:p>
                  <a:pPr algn="ctr" rtl="0">
                    <a:defRPr b="1"/>
                  </a:pPr>
                  <a:r>
                    <a:rPr lang="en-US" sz="900" b="1" i="0" u="none" strike="noStrike" baseline="0">
                      <a:solidFill>
                        <a:sysClr val="windowText" lastClr="000000"/>
                      </a:solidFill>
                      <a:latin typeface="Calibri" panose="020F0502020204030204"/>
                    </a:rPr>
                    <a:t>£14.6</a:t>
                  </a:r>
                </a:p>
              </cx:txPr>
              <cx:visibility seriesName="0" categoryName="0" value="1"/>
              <cx:separator>, </cx:separator>
            </cx:dataLabel>
          </cx:dataLabels>
          <cx:dataId val="0"/>
          <cx:layoutPr>
            <cx:visibility connectorLines="1"/>
            <cx:subtotals>
              <cx:idx val="0"/>
              <cx:idx val="7"/>
              <cx:idx val="8"/>
            </cx:subtotals>
          </cx:layoutPr>
        </cx:series>
      </cx:plotAreaRegion>
      <cx:axis id="0">
        <cx:catScaling/>
        <cx:tickLabels/>
      </cx:axis>
      <cx:axis id="1">
        <cx:valScaling/>
        <cx:tickLabels/>
      </cx:axis>
    </cx:plotArea>
  </cx:chart>
  <cx:spPr>
    <a:noFill/>
    <a:ln>
      <a:noFill/>
    </a:ln>
  </cx:spPr>
  <cx:clrMapOvr bg1="lt1" tx1="dk1" bg2="lt2" tx2="dk2" accent1="accent1" accent2="accent2" accent3="accent3" accent4="accent4" accent5="accent5" accent6="accent6" hlink="hlink" folHlink="folHlink"/>
</cx:chartSpace>
</file>

<file path=xl/charts/chartEx2.xml><?xml version="1.0" encoding="utf-8"?>
<cx:chartSpace xmlns:a="http://schemas.openxmlformats.org/drawingml/2006/main" xmlns:r="http://schemas.openxmlformats.org/officeDocument/2006/relationships" xmlns:cx="http://schemas.microsoft.com/office/drawing/2014/chartex">
  <cx:chart>
    <cx:title pos="t" align="ctr" overlay="0">
      <cx:tx>
        <cx:txData>
          <cx:v>Total cost 2019, £m</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Total cost 2019, £m</a:t>
          </a:r>
        </a:p>
      </cx:txPr>
    </cx:title>
    <cx:plotArea>
      <cx:plotAreaRegion/>
    </cx:plotArea>
  </cx:chart>
  <cx:spPr>
    <a:noFill/>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33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1197"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197" kern="1200"/>
  </cs:chartArea>
  <cs:dataLabel>
    <cs:lnRef idx="0"/>
    <cs:fillRef idx="0"/>
    <cs:effectRef idx="0"/>
    <cs:fontRef idx="minor">
      <a:schemeClr val="tx1">
        <a:lumMod val="75000"/>
        <a:lumOff val="25000"/>
      </a:schemeClr>
    </cs:fontRef>
    <cs:defRPr sz="1197"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1197"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1197"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1197"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1197"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62"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1197"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1197"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microsoft.com/office/2014/relationships/chartEx" Target="../charts/chartEx1.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4.xml"/><Relationship Id="rId3" Type="http://schemas.openxmlformats.org/officeDocument/2006/relationships/chart" Target="../charts/chart9.xml"/><Relationship Id="rId7" Type="http://schemas.openxmlformats.org/officeDocument/2006/relationships/chart" Target="../charts/chart13.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3" Type="http://schemas.microsoft.com/office/2014/relationships/chartEx" Target="../charts/chartEx2.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53340</xdr:colOff>
      <xdr:row>5</xdr:row>
      <xdr:rowOff>99060</xdr:rowOff>
    </xdr:from>
    <xdr:to>
      <xdr:col>2</xdr:col>
      <xdr:colOff>3543300</xdr:colOff>
      <xdr:row>13</xdr:row>
      <xdr:rowOff>106680</xdr:rowOff>
    </xdr:to>
    <xdr:pic>
      <xdr:nvPicPr>
        <xdr:cNvPr id="2" name="Picture 1">
          <a:extLst>
            <a:ext uri="{FF2B5EF4-FFF2-40B4-BE49-F238E27FC236}">
              <a16:creationId xmlns:a16="http://schemas.microsoft.com/office/drawing/2014/main" id="{5F925696-7364-4C82-B72C-48BAF5C700C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2540" y="1059180"/>
          <a:ext cx="3489960" cy="147066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648980</xdr:colOff>
      <xdr:row>205</xdr:row>
      <xdr:rowOff>163159</xdr:rowOff>
    </xdr:from>
    <xdr:to>
      <xdr:col>12</xdr:col>
      <xdr:colOff>935850</xdr:colOff>
      <xdr:row>222</xdr:row>
      <xdr:rowOff>127299</xdr:rowOff>
    </xdr:to>
    <xdr:graphicFrame macro="">
      <xdr:nvGraphicFramePr>
        <xdr:cNvPr id="11" name="Chart 10">
          <a:extLst>
            <a:ext uri="{FF2B5EF4-FFF2-40B4-BE49-F238E27FC236}">
              <a16:creationId xmlns:a16="http://schemas.microsoft.com/office/drawing/2014/main" id="{698E2EB8-5AB6-4337-A001-67BCB7E6B1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958391</xdr:colOff>
      <xdr:row>205</xdr:row>
      <xdr:rowOff>58141</xdr:rowOff>
    </xdr:from>
    <xdr:to>
      <xdr:col>7</xdr:col>
      <xdr:colOff>375493</xdr:colOff>
      <xdr:row>222</xdr:row>
      <xdr:rowOff>123071</xdr:rowOff>
    </xdr:to>
    <xdr:graphicFrame macro="">
      <xdr:nvGraphicFramePr>
        <xdr:cNvPr id="12" name="Chart 11">
          <a:extLst>
            <a:ext uri="{FF2B5EF4-FFF2-40B4-BE49-F238E27FC236}">
              <a16:creationId xmlns:a16="http://schemas.microsoft.com/office/drawing/2014/main" id="{B59E7931-89AA-4131-AC34-C9429FD119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941294</xdr:colOff>
      <xdr:row>81</xdr:row>
      <xdr:rowOff>333325</xdr:rowOff>
    </xdr:from>
    <xdr:to>
      <xdr:col>13</xdr:col>
      <xdr:colOff>1653540</xdr:colOff>
      <xdr:row>98</xdr:row>
      <xdr:rowOff>104318</xdr:rowOff>
    </xdr:to>
    <mc:AlternateContent xmlns:mc="http://schemas.openxmlformats.org/markup-compatibility/2006">
      <mc:Choice xmlns:cx1="http://schemas.microsoft.com/office/drawing/2015/9/8/chartex" Requires="cx1">
        <xdr:graphicFrame macro="">
          <xdr:nvGraphicFramePr>
            <xdr:cNvPr id="13" name="Chart 12">
              <a:extLst>
                <a:ext uri="{FF2B5EF4-FFF2-40B4-BE49-F238E27FC236}">
                  <a16:creationId xmlns:a16="http://schemas.microsoft.com/office/drawing/2014/main" id="{CF966745-AD4D-492F-8D4F-022164A4692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9221694" y="16633775"/>
              <a:ext cx="8167146" cy="3714343"/>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55</xdr:col>
      <xdr:colOff>342900</xdr:colOff>
      <xdr:row>136</xdr:row>
      <xdr:rowOff>114300</xdr:rowOff>
    </xdr:from>
    <xdr:to>
      <xdr:col>66</xdr:col>
      <xdr:colOff>10758</xdr:colOff>
      <xdr:row>150</xdr:row>
      <xdr:rowOff>7620</xdr:rowOff>
    </xdr:to>
    <xdr:graphicFrame macro="">
      <xdr:nvGraphicFramePr>
        <xdr:cNvPr id="7" name="Chart 6">
          <a:extLst>
            <a:ext uri="{FF2B5EF4-FFF2-40B4-BE49-F238E27FC236}">
              <a16:creationId xmlns:a16="http://schemas.microsoft.com/office/drawing/2014/main" id="{441EDA88-CDD0-44A9-B723-EC5EEE114D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188075</xdr:colOff>
      <xdr:row>56</xdr:row>
      <xdr:rowOff>152400</xdr:rowOff>
    </xdr:from>
    <xdr:to>
      <xdr:col>23</xdr:col>
      <xdr:colOff>548444</xdr:colOff>
      <xdr:row>70</xdr:row>
      <xdr:rowOff>71717</xdr:rowOff>
    </xdr:to>
    <xdr:graphicFrame macro="">
      <xdr:nvGraphicFramePr>
        <xdr:cNvPr id="15" name="Chart 14">
          <a:extLst>
            <a:ext uri="{FF2B5EF4-FFF2-40B4-BE49-F238E27FC236}">
              <a16:creationId xmlns:a16="http://schemas.microsoft.com/office/drawing/2014/main" id="{491D9108-D60B-4B82-97B0-FD5A6B485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1057794</xdr:colOff>
      <xdr:row>54</xdr:row>
      <xdr:rowOff>153093</xdr:rowOff>
    </xdr:from>
    <xdr:to>
      <xdr:col>17</xdr:col>
      <xdr:colOff>880803</xdr:colOff>
      <xdr:row>72</xdr:row>
      <xdr:rowOff>7620</xdr:rowOff>
    </xdr:to>
    <xdr:graphicFrame macro="">
      <xdr:nvGraphicFramePr>
        <xdr:cNvPr id="16" name="Chart 15">
          <a:extLst>
            <a:ext uri="{FF2B5EF4-FFF2-40B4-BE49-F238E27FC236}">
              <a16:creationId xmlns:a16="http://schemas.microsoft.com/office/drawing/2014/main" id="{AB8F008A-8487-4A13-9CC7-B5256FF7E3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822960</xdr:colOff>
      <xdr:row>53</xdr:row>
      <xdr:rowOff>350520</xdr:rowOff>
    </xdr:from>
    <xdr:to>
      <xdr:col>12</xdr:col>
      <xdr:colOff>369570</xdr:colOff>
      <xdr:row>73</xdr:row>
      <xdr:rowOff>7620</xdr:rowOff>
    </xdr:to>
    <xdr:graphicFrame macro="">
      <xdr:nvGraphicFramePr>
        <xdr:cNvPr id="17" name="Chart 16">
          <a:extLst>
            <a:ext uri="{FF2B5EF4-FFF2-40B4-BE49-F238E27FC236}">
              <a16:creationId xmlns:a16="http://schemas.microsoft.com/office/drawing/2014/main" id="{213324AF-6BF7-48A0-AF9B-DEC59364B6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812652</xdr:colOff>
      <xdr:row>104</xdr:row>
      <xdr:rowOff>103543</xdr:rowOff>
    </xdr:from>
    <xdr:to>
      <xdr:col>7</xdr:col>
      <xdr:colOff>90992</xdr:colOff>
      <xdr:row>120</xdr:row>
      <xdr:rowOff>34962</xdr:rowOff>
    </xdr:to>
    <xdr:graphicFrame macro="">
      <xdr:nvGraphicFramePr>
        <xdr:cNvPr id="3" name="Chart 2">
          <a:extLst>
            <a:ext uri="{FF2B5EF4-FFF2-40B4-BE49-F238E27FC236}">
              <a16:creationId xmlns:a16="http://schemas.microsoft.com/office/drawing/2014/main" id="{EBAA7588-6E3D-46B1-BC36-D144919F10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415066</xdr:colOff>
      <xdr:row>92</xdr:row>
      <xdr:rowOff>7620</xdr:rowOff>
    </xdr:from>
    <xdr:to>
      <xdr:col>13</xdr:col>
      <xdr:colOff>247426</xdr:colOff>
      <xdr:row>104</xdr:row>
      <xdr:rowOff>80235</xdr:rowOff>
    </xdr:to>
    <xdr:graphicFrame macro="">
      <xdr:nvGraphicFramePr>
        <xdr:cNvPr id="4" name="Chart 3">
          <a:extLst>
            <a:ext uri="{FF2B5EF4-FFF2-40B4-BE49-F238E27FC236}">
              <a16:creationId xmlns:a16="http://schemas.microsoft.com/office/drawing/2014/main" id="{19324206-106D-45B9-BD06-158163811B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397809</xdr:colOff>
      <xdr:row>35</xdr:row>
      <xdr:rowOff>0</xdr:rowOff>
    </xdr:from>
    <xdr:to>
      <xdr:col>18</xdr:col>
      <xdr:colOff>300990</xdr:colOff>
      <xdr:row>50</xdr:row>
      <xdr:rowOff>121920</xdr:rowOff>
    </xdr:to>
    <xdr:graphicFrame macro="">
      <xdr:nvGraphicFramePr>
        <xdr:cNvPr id="7" name="Chart 6">
          <a:extLst>
            <a:ext uri="{FF2B5EF4-FFF2-40B4-BE49-F238E27FC236}">
              <a16:creationId xmlns:a16="http://schemas.microsoft.com/office/drawing/2014/main" id="{50FD8B16-5264-46DC-AEA9-76A4BF5DD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308610</xdr:colOff>
      <xdr:row>53</xdr:row>
      <xdr:rowOff>22860</xdr:rowOff>
    </xdr:from>
    <xdr:to>
      <xdr:col>14</xdr:col>
      <xdr:colOff>133350</xdr:colOff>
      <xdr:row>65</xdr:row>
      <xdr:rowOff>152625</xdr:rowOff>
    </xdr:to>
    <xdr:graphicFrame macro="">
      <xdr:nvGraphicFramePr>
        <xdr:cNvPr id="8" name="Chart 7">
          <a:extLst>
            <a:ext uri="{FF2B5EF4-FFF2-40B4-BE49-F238E27FC236}">
              <a16:creationId xmlns:a16="http://schemas.microsoft.com/office/drawing/2014/main" id="{442305DA-49B6-4E19-8507-9ABC245273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244533</xdr:colOff>
      <xdr:row>35</xdr:row>
      <xdr:rowOff>0</xdr:rowOff>
    </xdr:from>
    <xdr:to>
      <xdr:col>23</xdr:col>
      <xdr:colOff>493222</xdr:colOff>
      <xdr:row>52</xdr:row>
      <xdr:rowOff>253192</xdr:rowOff>
    </xdr:to>
    <xdr:graphicFrame macro="">
      <xdr:nvGraphicFramePr>
        <xdr:cNvPr id="11" name="Chart 10">
          <a:extLst>
            <a:ext uri="{FF2B5EF4-FFF2-40B4-BE49-F238E27FC236}">
              <a16:creationId xmlns:a16="http://schemas.microsoft.com/office/drawing/2014/main" id="{24B6221E-A0E7-48AA-AEE8-5181034AFB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930985</xdr:colOff>
      <xdr:row>35</xdr:row>
      <xdr:rowOff>0</xdr:rowOff>
    </xdr:from>
    <xdr:to>
      <xdr:col>29</xdr:col>
      <xdr:colOff>73735</xdr:colOff>
      <xdr:row>49</xdr:row>
      <xdr:rowOff>4034</xdr:rowOff>
    </xdr:to>
    <xdr:graphicFrame macro="">
      <xdr:nvGraphicFramePr>
        <xdr:cNvPr id="12" name="Chart 11">
          <a:extLst>
            <a:ext uri="{FF2B5EF4-FFF2-40B4-BE49-F238E27FC236}">
              <a16:creationId xmlns:a16="http://schemas.microsoft.com/office/drawing/2014/main" id="{2480C83D-984B-4B9C-9BDF-E1CF8ADFC8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29</xdr:col>
      <xdr:colOff>754380</xdr:colOff>
      <xdr:row>35</xdr:row>
      <xdr:rowOff>0</xdr:rowOff>
    </xdr:from>
    <xdr:to>
      <xdr:col>33</xdr:col>
      <xdr:colOff>1306287</xdr:colOff>
      <xdr:row>45</xdr:row>
      <xdr:rowOff>102198</xdr:rowOff>
    </xdr:to>
    <xdr:graphicFrame macro="">
      <xdr:nvGraphicFramePr>
        <xdr:cNvPr id="13" name="Chart 12">
          <a:extLst>
            <a:ext uri="{FF2B5EF4-FFF2-40B4-BE49-F238E27FC236}">
              <a16:creationId xmlns:a16="http://schemas.microsoft.com/office/drawing/2014/main" id="{222996F0-8533-467C-84CB-38934368FD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42</xdr:col>
      <xdr:colOff>271351</xdr:colOff>
      <xdr:row>9</xdr:row>
      <xdr:rowOff>122314</xdr:rowOff>
    </xdr:from>
    <xdr:to>
      <xdr:col>51</xdr:col>
      <xdr:colOff>235033</xdr:colOff>
      <xdr:row>30</xdr:row>
      <xdr:rowOff>124740</xdr:rowOff>
    </xdr:to>
    <xdr:graphicFrame macro="">
      <xdr:nvGraphicFramePr>
        <xdr:cNvPr id="14" name="Chart 13">
          <a:extLst>
            <a:ext uri="{FF2B5EF4-FFF2-40B4-BE49-F238E27FC236}">
              <a16:creationId xmlns:a16="http://schemas.microsoft.com/office/drawing/2014/main" id="{5BA2312F-7404-44B2-8BD8-668A5EAA2E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812652</xdr:colOff>
      <xdr:row>102</xdr:row>
      <xdr:rowOff>103543</xdr:rowOff>
    </xdr:from>
    <xdr:to>
      <xdr:col>7</xdr:col>
      <xdr:colOff>90992</xdr:colOff>
      <xdr:row>118</xdr:row>
      <xdr:rowOff>34962</xdr:rowOff>
    </xdr:to>
    <xdr:graphicFrame macro="">
      <xdr:nvGraphicFramePr>
        <xdr:cNvPr id="3" name="Chart 2">
          <a:extLst>
            <a:ext uri="{FF2B5EF4-FFF2-40B4-BE49-F238E27FC236}">
              <a16:creationId xmlns:a16="http://schemas.microsoft.com/office/drawing/2014/main" id="{75D34392-2B0D-4F92-85CC-28E7DE9C1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415066</xdr:colOff>
      <xdr:row>93</xdr:row>
      <xdr:rowOff>0</xdr:rowOff>
    </xdr:from>
    <xdr:to>
      <xdr:col>13</xdr:col>
      <xdr:colOff>247426</xdr:colOff>
      <xdr:row>105</xdr:row>
      <xdr:rowOff>72615</xdr:rowOff>
    </xdr:to>
    <xdr:graphicFrame macro="">
      <xdr:nvGraphicFramePr>
        <xdr:cNvPr id="4" name="Chart 3">
          <a:extLst>
            <a:ext uri="{FF2B5EF4-FFF2-40B4-BE49-F238E27FC236}">
              <a16:creationId xmlns:a16="http://schemas.microsoft.com/office/drawing/2014/main" id="{C8D56C4F-C25D-4D52-BEF4-2EF079125D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120</xdr:row>
      <xdr:rowOff>0</xdr:rowOff>
    </xdr:from>
    <xdr:to>
      <xdr:col>16</xdr:col>
      <xdr:colOff>839904</xdr:colOff>
      <xdr:row>128</xdr:row>
      <xdr:rowOff>0</xdr:rowOff>
    </xdr:to>
    <mc:AlternateContent xmlns:mc="http://schemas.openxmlformats.org/markup-compatibility/2006">
      <mc:Choice xmlns:cx1="http://schemas.microsoft.com/office/drawing/2015/9/8/chartex" Requires="cx1">
        <xdr:graphicFrame macro="">
          <xdr:nvGraphicFramePr>
            <xdr:cNvPr id="5" name="Chart 4">
              <a:extLst>
                <a:ext uri="{FF2B5EF4-FFF2-40B4-BE49-F238E27FC236}">
                  <a16:creationId xmlns:a16="http://schemas.microsoft.com/office/drawing/2014/main" id="{769BAB50-FA0F-4DD7-B795-13EAF12395DE}"/>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10737850" y="23361650"/>
              <a:ext cx="10961804" cy="1473200"/>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828339</xdr:colOff>
      <xdr:row>33</xdr:row>
      <xdr:rowOff>30479</xdr:rowOff>
    </xdr:from>
    <xdr:to>
      <xdr:col>13</xdr:col>
      <xdr:colOff>670560</xdr:colOff>
      <xdr:row>50</xdr:row>
      <xdr:rowOff>182880</xdr:rowOff>
    </xdr:to>
    <xdr:graphicFrame macro="">
      <xdr:nvGraphicFramePr>
        <xdr:cNvPr id="8" name="Chart 7">
          <a:extLst>
            <a:ext uri="{FF2B5EF4-FFF2-40B4-BE49-F238E27FC236}">
              <a16:creationId xmlns:a16="http://schemas.microsoft.com/office/drawing/2014/main" id="{C77876C6-E365-4537-8FF8-8B8E075138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1023257</xdr:colOff>
      <xdr:row>31</xdr:row>
      <xdr:rowOff>176296</xdr:rowOff>
    </xdr:from>
    <xdr:to>
      <xdr:col>26</xdr:col>
      <xdr:colOff>359092</xdr:colOff>
      <xdr:row>50</xdr:row>
      <xdr:rowOff>217714</xdr:rowOff>
    </xdr:to>
    <xdr:graphicFrame macro="">
      <xdr:nvGraphicFramePr>
        <xdr:cNvPr id="26" name="Content Placeholder 8">
          <a:extLst>
            <a:ext uri="{FF2B5EF4-FFF2-40B4-BE49-F238E27FC236}">
              <a16:creationId xmlns:a16="http://schemas.microsoft.com/office/drawing/2014/main" id="{DBF7AA78-477C-4EA6-9184-6A285CAA0A8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87086</xdr:colOff>
      <xdr:row>31</xdr:row>
      <xdr:rowOff>22860</xdr:rowOff>
    </xdr:from>
    <xdr:to>
      <xdr:col>25</xdr:col>
      <xdr:colOff>906781</xdr:colOff>
      <xdr:row>42</xdr:row>
      <xdr:rowOff>54429</xdr:rowOff>
    </xdr:to>
    <xdr:grpSp>
      <xdr:nvGrpSpPr>
        <xdr:cNvPr id="45" name="Group 44">
          <a:extLst>
            <a:ext uri="{FF2B5EF4-FFF2-40B4-BE49-F238E27FC236}">
              <a16:creationId xmlns:a16="http://schemas.microsoft.com/office/drawing/2014/main" id="{325B71AB-DF74-4FE1-93B1-6D722A58E90C}"/>
            </a:ext>
          </a:extLst>
        </xdr:cNvPr>
        <xdr:cNvGrpSpPr/>
      </xdr:nvGrpSpPr>
      <xdr:grpSpPr>
        <a:xfrm>
          <a:off x="24598086" y="5783217"/>
          <a:ext cx="8113124" cy="2217783"/>
          <a:chOff x="21077556" y="5106489"/>
          <a:chExt cx="7097938" cy="2252254"/>
        </a:xfrm>
      </xdr:grpSpPr>
      <xdr:cxnSp macro="">
        <xdr:nvCxnSpPr>
          <xdr:cNvPr id="28" name="Straight Connector 27">
            <a:extLst>
              <a:ext uri="{FF2B5EF4-FFF2-40B4-BE49-F238E27FC236}">
                <a16:creationId xmlns:a16="http://schemas.microsoft.com/office/drawing/2014/main" id="{476DDCA4-49D2-4EED-99DD-53BBECEB8C40}"/>
              </a:ext>
            </a:extLst>
          </xdr:cNvPr>
          <xdr:cNvCxnSpPr/>
        </xdr:nvCxnSpPr>
        <xdr:spPr>
          <a:xfrm>
            <a:off x="24722322" y="5725445"/>
            <a:ext cx="2613787" cy="0"/>
          </a:xfrm>
          <a:prstGeom prst="line">
            <a:avLst/>
          </a:prstGeom>
          <a:noFill/>
          <a:ln w="6350" cap="flat" cmpd="sng" algn="ctr">
            <a:solidFill>
              <a:srgbClr val="5D717F"/>
            </a:solidFill>
            <a:prstDash val="solid"/>
            <a:miter lim="800000"/>
            <a:headEnd type="oval"/>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30" name="Straight Connector 29">
            <a:extLst>
              <a:ext uri="{FF2B5EF4-FFF2-40B4-BE49-F238E27FC236}">
                <a16:creationId xmlns:a16="http://schemas.microsoft.com/office/drawing/2014/main" id="{611B0DC0-F846-4578-8160-1B4B54F50690}"/>
              </a:ext>
            </a:extLst>
          </xdr:cNvPr>
          <xdr:cNvCxnSpPr/>
        </xdr:nvCxnSpPr>
        <xdr:spPr>
          <a:xfrm>
            <a:off x="25479337" y="6384799"/>
            <a:ext cx="2101711" cy="0"/>
          </a:xfrm>
          <a:prstGeom prst="line">
            <a:avLst/>
          </a:prstGeom>
          <a:noFill/>
          <a:ln w="6350" cap="flat" cmpd="sng" algn="ctr">
            <a:solidFill>
              <a:srgbClr val="5D717F"/>
            </a:solidFill>
            <a:prstDash val="solid"/>
            <a:miter lim="800000"/>
            <a:headEnd type="oval"/>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cxnSp>
      <xdr:sp macro="" textlink="">
        <xdr:nvSpPr>
          <xdr:cNvPr id="31" name="Rectangle 30">
            <a:extLst>
              <a:ext uri="{FF2B5EF4-FFF2-40B4-BE49-F238E27FC236}">
                <a16:creationId xmlns:a16="http://schemas.microsoft.com/office/drawing/2014/main" id="{B02A566D-EC58-4EA8-8850-803D123B657F}"/>
              </a:ext>
            </a:extLst>
          </xdr:cNvPr>
          <xdr:cNvSpPr/>
        </xdr:nvSpPr>
        <xdr:spPr>
          <a:xfrm>
            <a:off x="21166183" y="6693626"/>
            <a:ext cx="1639388" cy="596381"/>
          </a:xfrm>
          <a:prstGeom prst="rect">
            <a:avLst/>
          </a:prstGeom>
        </xdr:spPr>
        <xdr:txBody>
          <a:bodyPr wrap="square" lIns="0" tIns="0" rIns="0" bIns="0">
            <a:spAutoFit/>
          </a:bodyPr>
          <a:lstStyle>
            <a:defPPr>
              <a:defRPr lang="en-US"/>
            </a:defPPr>
            <a:lvl1pPr marL="0" algn="l" defTabSz="914400" rtl="0" eaLnBrk="1" latinLnBrk="0" hangingPunct="1">
              <a:defRPr sz="1800" kern="1200">
                <a:solidFill>
                  <a:srgbClr val="5D717F"/>
                </a:solidFill>
                <a:latin typeface="Arial" panose="020B0604020202020204"/>
              </a:defRPr>
            </a:lvl1pPr>
            <a:lvl2pPr marL="457200" algn="l" defTabSz="914400" rtl="0" eaLnBrk="1" latinLnBrk="0" hangingPunct="1">
              <a:defRPr sz="1800" kern="1200">
                <a:solidFill>
                  <a:srgbClr val="5D717F"/>
                </a:solidFill>
                <a:latin typeface="Arial" panose="020B0604020202020204"/>
              </a:defRPr>
            </a:lvl2pPr>
            <a:lvl3pPr marL="914400" algn="l" defTabSz="914400" rtl="0" eaLnBrk="1" latinLnBrk="0" hangingPunct="1">
              <a:defRPr sz="1800" kern="1200">
                <a:solidFill>
                  <a:srgbClr val="5D717F"/>
                </a:solidFill>
                <a:latin typeface="Arial" panose="020B0604020202020204"/>
              </a:defRPr>
            </a:lvl3pPr>
            <a:lvl4pPr marL="1371600" algn="l" defTabSz="914400" rtl="0" eaLnBrk="1" latinLnBrk="0" hangingPunct="1">
              <a:defRPr sz="1800" kern="1200">
                <a:solidFill>
                  <a:srgbClr val="5D717F"/>
                </a:solidFill>
                <a:latin typeface="Arial" panose="020B0604020202020204"/>
              </a:defRPr>
            </a:lvl4pPr>
            <a:lvl5pPr marL="1828800" algn="l" defTabSz="914400" rtl="0" eaLnBrk="1" latinLnBrk="0" hangingPunct="1">
              <a:defRPr sz="1800" kern="1200">
                <a:solidFill>
                  <a:srgbClr val="5D717F"/>
                </a:solidFill>
                <a:latin typeface="Arial" panose="020B0604020202020204"/>
              </a:defRPr>
            </a:lvl5pPr>
            <a:lvl6pPr marL="2286000" algn="l" defTabSz="914400" rtl="0" eaLnBrk="1" latinLnBrk="0" hangingPunct="1">
              <a:defRPr sz="1800" kern="1200">
                <a:solidFill>
                  <a:srgbClr val="5D717F"/>
                </a:solidFill>
                <a:latin typeface="Arial" panose="020B0604020202020204"/>
              </a:defRPr>
            </a:lvl6pPr>
            <a:lvl7pPr marL="2743200" algn="l" defTabSz="914400" rtl="0" eaLnBrk="1" latinLnBrk="0" hangingPunct="1">
              <a:defRPr sz="1800" kern="1200">
                <a:solidFill>
                  <a:srgbClr val="5D717F"/>
                </a:solidFill>
                <a:latin typeface="Arial" panose="020B0604020202020204"/>
              </a:defRPr>
            </a:lvl7pPr>
            <a:lvl8pPr marL="3200400" algn="l" defTabSz="914400" rtl="0" eaLnBrk="1" latinLnBrk="0" hangingPunct="1">
              <a:defRPr sz="1800" kern="1200">
                <a:solidFill>
                  <a:srgbClr val="5D717F"/>
                </a:solidFill>
                <a:latin typeface="Arial" panose="020B0604020202020204"/>
              </a:defRPr>
            </a:lvl8pPr>
            <a:lvl9pPr marL="3657600" algn="l" defTabSz="914400" rtl="0" eaLnBrk="1" latinLnBrk="0" hangingPunct="1">
              <a:defRPr sz="1800" kern="1200">
                <a:solidFill>
                  <a:srgbClr val="5D717F"/>
                </a:solidFill>
                <a:latin typeface="Arial" panose="020B0604020202020204"/>
              </a:defRPr>
            </a:lvl9pPr>
          </a:lstStyle>
          <a:p>
            <a:pPr>
              <a:lnSpc>
                <a:spcPct val="130000"/>
              </a:lnSpc>
              <a:spcAft>
                <a:spcPts val="783"/>
              </a:spcAft>
            </a:pPr>
            <a:r>
              <a:rPr lang="en-GB" sz="1600" b="1"/>
              <a:t>Venous leg ulcer</a:t>
            </a:r>
            <a:br>
              <a:rPr lang="en-GB" sz="1600" b="1"/>
            </a:br>
            <a:r>
              <a:rPr lang="en-GB" sz="1600" b="0"/>
              <a:t>£2.5bn</a:t>
            </a:r>
            <a:endParaRPr lang="en-GB" sz="1400" b="0"/>
          </a:p>
        </xdr:txBody>
      </xdr:sp>
      <xdr:cxnSp macro="">
        <xdr:nvCxnSpPr>
          <xdr:cNvPr id="32" name="Straight Connector 31">
            <a:extLst>
              <a:ext uri="{FF2B5EF4-FFF2-40B4-BE49-F238E27FC236}">
                <a16:creationId xmlns:a16="http://schemas.microsoft.com/office/drawing/2014/main" id="{A7EF0D25-BE2F-4F83-B72F-FA01806A9FD5}"/>
              </a:ext>
            </a:extLst>
          </xdr:cNvPr>
          <xdr:cNvCxnSpPr/>
        </xdr:nvCxnSpPr>
        <xdr:spPr>
          <a:xfrm flipV="1">
            <a:off x="21077556" y="7340237"/>
            <a:ext cx="1783080" cy="18506"/>
          </a:xfrm>
          <a:prstGeom prst="line">
            <a:avLst/>
          </a:prstGeom>
          <a:noFill/>
          <a:ln w="6350" cap="flat" cmpd="sng" algn="ctr">
            <a:solidFill>
              <a:srgbClr val="5D717F"/>
            </a:solidFill>
            <a:prstDash val="solid"/>
            <a:miter lim="800000"/>
            <a:headEnd type="none"/>
            <a:tailEnd type="oval" w="med" len="med"/>
          </a:ln>
          <a:effectLst/>
        </xdr:spPr>
        <xdr:style>
          <a:lnRef idx="2">
            <a:schemeClr val="accent1">
              <a:shade val="50000"/>
            </a:schemeClr>
          </a:lnRef>
          <a:fillRef idx="1">
            <a:schemeClr val="accent1"/>
          </a:fillRef>
          <a:effectRef idx="0">
            <a:schemeClr val="accent1"/>
          </a:effectRef>
          <a:fontRef idx="minor">
            <a:schemeClr val="lt1"/>
          </a:fontRef>
        </xdr:style>
      </xdr:cxnSp>
      <xdr:sp macro="" textlink="">
        <xdr:nvSpPr>
          <xdr:cNvPr id="40" name="Rectangle 39">
            <a:extLst>
              <a:ext uri="{FF2B5EF4-FFF2-40B4-BE49-F238E27FC236}">
                <a16:creationId xmlns:a16="http://schemas.microsoft.com/office/drawing/2014/main" id="{10DD7229-D842-4964-B4B3-B32008438962}"/>
              </a:ext>
            </a:extLst>
          </xdr:cNvPr>
          <xdr:cNvSpPr/>
        </xdr:nvSpPr>
        <xdr:spPr>
          <a:xfrm>
            <a:off x="25849217" y="5106489"/>
            <a:ext cx="1640477" cy="586818"/>
          </a:xfrm>
          <a:prstGeom prst="rect">
            <a:avLst/>
          </a:prstGeom>
        </xdr:spPr>
        <xdr:txBody>
          <a:bodyPr wrap="square" lIns="0" tIns="0" rIns="0" bIns="0">
            <a:spAutoFit/>
          </a:bodyPr>
          <a:lstStyle>
            <a:defPPr>
              <a:defRPr lang="en-US"/>
            </a:defPPr>
            <a:lvl1pPr marL="0" algn="l" defTabSz="914400" rtl="0" eaLnBrk="1" latinLnBrk="0" hangingPunct="1">
              <a:defRPr sz="1800" kern="1200">
                <a:solidFill>
                  <a:srgbClr val="5D717F"/>
                </a:solidFill>
                <a:latin typeface="Arial" panose="020B0604020202020204"/>
              </a:defRPr>
            </a:lvl1pPr>
            <a:lvl2pPr marL="457200" algn="l" defTabSz="914400" rtl="0" eaLnBrk="1" latinLnBrk="0" hangingPunct="1">
              <a:defRPr sz="1800" kern="1200">
                <a:solidFill>
                  <a:srgbClr val="5D717F"/>
                </a:solidFill>
                <a:latin typeface="Arial" panose="020B0604020202020204"/>
              </a:defRPr>
            </a:lvl2pPr>
            <a:lvl3pPr marL="914400" algn="l" defTabSz="914400" rtl="0" eaLnBrk="1" latinLnBrk="0" hangingPunct="1">
              <a:defRPr sz="1800" kern="1200">
                <a:solidFill>
                  <a:srgbClr val="5D717F"/>
                </a:solidFill>
                <a:latin typeface="Arial" panose="020B0604020202020204"/>
              </a:defRPr>
            </a:lvl3pPr>
            <a:lvl4pPr marL="1371600" algn="l" defTabSz="914400" rtl="0" eaLnBrk="1" latinLnBrk="0" hangingPunct="1">
              <a:defRPr sz="1800" kern="1200">
                <a:solidFill>
                  <a:srgbClr val="5D717F"/>
                </a:solidFill>
                <a:latin typeface="Arial" panose="020B0604020202020204"/>
              </a:defRPr>
            </a:lvl4pPr>
            <a:lvl5pPr marL="1828800" algn="l" defTabSz="914400" rtl="0" eaLnBrk="1" latinLnBrk="0" hangingPunct="1">
              <a:defRPr sz="1800" kern="1200">
                <a:solidFill>
                  <a:srgbClr val="5D717F"/>
                </a:solidFill>
                <a:latin typeface="Arial" panose="020B0604020202020204"/>
              </a:defRPr>
            </a:lvl5pPr>
            <a:lvl6pPr marL="2286000" algn="l" defTabSz="914400" rtl="0" eaLnBrk="1" latinLnBrk="0" hangingPunct="1">
              <a:defRPr sz="1800" kern="1200">
                <a:solidFill>
                  <a:srgbClr val="5D717F"/>
                </a:solidFill>
                <a:latin typeface="Arial" panose="020B0604020202020204"/>
              </a:defRPr>
            </a:lvl6pPr>
            <a:lvl7pPr marL="2743200" algn="l" defTabSz="914400" rtl="0" eaLnBrk="1" latinLnBrk="0" hangingPunct="1">
              <a:defRPr sz="1800" kern="1200">
                <a:solidFill>
                  <a:srgbClr val="5D717F"/>
                </a:solidFill>
                <a:latin typeface="Arial" panose="020B0604020202020204"/>
              </a:defRPr>
            </a:lvl7pPr>
            <a:lvl8pPr marL="3200400" algn="l" defTabSz="914400" rtl="0" eaLnBrk="1" latinLnBrk="0" hangingPunct="1">
              <a:defRPr sz="1800" kern="1200">
                <a:solidFill>
                  <a:srgbClr val="5D717F"/>
                </a:solidFill>
                <a:latin typeface="Arial" panose="020B0604020202020204"/>
              </a:defRPr>
            </a:lvl8pPr>
            <a:lvl9pPr marL="3657600" algn="l" defTabSz="914400" rtl="0" eaLnBrk="1" latinLnBrk="0" hangingPunct="1">
              <a:defRPr sz="1800" kern="1200">
                <a:solidFill>
                  <a:srgbClr val="5D717F"/>
                </a:solidFill>
                <a:latin typeface="Arial" panose="020B0604020202020204"/>
              </a:defRPr>
            </a:lvl9pPr>
          </a:lstStyle>
          <a:p>
            <a:pPr>
              <a:lnSpc>
                <a:spcPct val="130000"/>
              </a:lnSpc>
              <a:spcAft>
                <a:spcPts val="783"/>
              </a:spcAft>
            </a:pPr>
            <a:r>
              <a:rPr lang="en-GB" sz="1600" b="1"/>
              <a:t>Mixed leg ulcer</a:t>
            </a:r>
            <a:br>
              <a:rPr lang="en-GB" sz="1600" b="1"/>
            </a:br>
            <a:r>
              <a:rPr lang="en-GB" sz="1600" b="0"/>
              <a:t>£0.4bn</a:t>
            </a:r>
            <a:endParaRPr lang="en-GB" sz="1400" b="0"/>
          </a:p>
        </xdr:txBody>
      </xdr:sp>
      <xdr:sp macro="" textlink="">
        <xdr:nvSpPr>
          <xdr:cNvPr id="41" name="Rectangle 40">
            <a:extLst>
              <a:ext uri="{FF2B5EF4-FFF2-40B4-BE49-F238E27FC236}">
                <a16:creationId xmlns:a16="http://schemas.microsoft.com/office/drawing/2014/main" id="{E95CE732-ED88-4DA9-9B6C-7608D55087E5}"/>
              </a:ext>
            </a:extLst>
          </xdr:cNvPr>
          <xdr:cNvSpPr/>
        </xdr:nvSpPr>
        <xdr:spPr>
          <a:xfrm>
            <a:off x="26536106" y="5707380"/>
            <a:ext cx="1639388" cy="586818"/>
          </a:xfrm>
          <a:prstGeom prst="rect">
            <a:avLst/>
          </a:prstGeom>
        </xdr:spPr>
        <xdr:txBody>
          <a:bodyPr wrap="square" lIns="0" tIns="0" rIns="0" bIns="0">
            <a:spAutoFit/>
          </a:bodyPr>
          <a:lstStyle>
            <a:defPPr>
              <a:defRPr lang="en-US"/>
            </a:defPPr>
            <a:lvl1pPr marL="0" algn="l" defTabSz="914400" rtl="0" eaLnBrk="1" latinLnBrk="0" hangingPunct="1">
              <a:defRPr sz="1800" kern="1200">
                <a:solidFill>
                  <a:srgbClr val="5D717F"/>
                </a:solidFill>
                <a:latin typeface="Arial" panose="020B0604020202020204"/>
              </a:defRPr>
            </a:lvl1pPr>
            <a:lvl2pPr marL="457200" algn="l" defTabSz="914400" rtl="0" eaLnBrk="1" latinLnBrk="0" hangingPunct="1">
              <a:defRPr sz="1800" kern="1200">
                <a:solidFill>
                  <a:srgbClr val="5D717F"/>
                </a:solidFill>
                <a:latin typeface="Arial" panose="020B0604020202020204"/>
              </a:defRPr>
            </a:lvl2pPr>
            <a:lvl3pPr marL="914400" algn="l" defTabSz="914400" rtl="0" eaLnBrk="1" latinLnBrk="0" hangingPunct="1">
              <a:defRPr sz="1800" kern="1200">
                <a:solidFill>
                  <a:srgbClr val="5D717F"/>
                </a:solidFill>
                <a:latin typeface="Arial" panose="020B0604020202020204"/>
              </a:defRPr>
            </a:lvl3pPr>
            <a:lvl4pPr marL="1371600" algn="l" defTabSz="914400" rtl="0" eaLnBrk="1" latinLnBrk="0" hangingPunct="1">
              <a:defRPr sz="1800" kern="1200">
                <a:solidFill>
                  <a:srgbClr val="5D717F"/>
                </a:solidFill>
                <a:latin typeface="Arial" panose="020B0604020202020204"/>
              </a:defRPr>
            </a:lvl4pPr>
            <a:lvl5pPr marL="1828800" algn="l" defTabSz="914400" rtl="0" eaLnBrk="1" latinLnBrk="0" hangingPunct="1">
              <a:defRPr sz="1800" kern="1200">
                <a:solidFill>
                  <a:srgbClr val="5D717F"/>
                </a:solidFill>
                <a:latin typeface="Arial" panose="020B0604020202020204"/>
              </a:defRPr>
            </a:lvl5pPr>
            <a:lvl6pPr marL="2286000" algn="l" defTabSz="914400" rtl="0" eaLnBrk="1" latinLnBrk="0" hangingPunct="1">
              <a:defRPr sz="1800" kern="1200">
                <a:solidFill>
                  <a:srgbClr val="5D717F"/>
                </a:solidFill>
                <a:latin typeface="Arial" panose="020B0604020202020204"/>
              </a:defRPr>
            </a:lvl6pPr>
            <a:lvl7pPr marL="2743200" algn="l" defTabSz="914400" rtl="0" eaLnBrk="1" latinLnBrk="0" hangingPunct="1">
              <a:defRPr sz="1800" kern="1200">
                <a:solidFill>
                  <a:srgbClr val="5D717F"/>
                </a:solidFill>
                <a:latin typeface="Arial" panose="020B0604020202020204"/>
              </a:defRPr>
            </a:lvl7pPr>
            <a:lvl8pPr marL="3200400" algn="l" defTabSz="914400" rtl="0" eaLnBrk="1" latinLnBrk="0" hangingPunct="1">
              <a:defRPr sz="1800" kern="1200">
                <a:solidFill>
                  <a:srgbClr val="5D717F"/>
                </a:solidFill>
                <a:latin typeface="Arial" panose="020B0604020202020204"/>
              </a:defRPr>
            </a:lvl8pPr>
            <a:lvl9pPr marL="3657600" algn="l" defTabSz="914400" rtl="0" eaLnBrk="1" latinLnBrk="0" hangingPunct="1">
              <a:defRPr sz="1800" kern="1200">
                <a:solidFill>
                  <a:srgbClr val="5D717F"/>
                </a:solidFill>
                <a:latin typeface="Arial" panose="020B0604020202020204"/>
              </a:defRPr>
            </a:lvl9pPr>
          </a:lstStyle>
          <a:p>
            <a:pPr>
              <a:lnSpc>
                <a:spcPct val="130000"/>
              </a:lnSpc>
              <a:spcAft>
                <a:spcPts val="783"/>
              </a:spcAft>
            </a:pPr>
            <a:r>
              <a:rPr lang="en-GB" sz="1600" b="1"/>
              <a:t>Arterial leg ulcer</a:t>
            </a:r>
            <a:br>
              <a:rPr lang="en-GB" sz="1600" b="1"/>
            </a:br>
            <a:r>
              <a:rPr lang="en-GB" sz="1600" b="0"/>
              <a:t>£0.2bn</a:t>
            </a:r>
            <a:endParaRPr lang="en-GB" sz="1400" b="0"/>
          </a:p>
        </xdr:txBody>
      </xdr:sp>
    </xdr:grpSp>
    <xdr:clientData/>
  </xdr:twoCellAnchor>
  <xdr:twoCellAnchor>
    <xdr:from>
      <xdr:col>9</xdr:col>
      <xdr:colOff>143435</xdr:colOff>
      <xdr:row>51</xdr:row>
      <xdr:rowOff>163285</xdr:rowOff>
    </xdr:from>
    <xdr:to>
      <xdr:col>14</xdr:col>
      <xdr:colOff>708212</xdr:colOff>
      <xdr:row>66</xdr:row>
      <xdr:rowOff>36882</xdr:rowOff>
    </xdr:to>
    <xdr:graphicFrame macro="">
      <xdr:nvGraphicFramePr>
        <xdr:cNvPr id="48" name="Chart 47">
          <a:extLst>
            <a:ext uri="{FF2B5EF4-FFF2-40B4-BE49-F238E27FC236}">
              <a16:creationId xmlns:a16="http://schemas.microsoft.com/office/drawing/2014/main" id="{8684893E-65F9-40D6-A0EE-C470BC8A71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8</xdr:col>
      <xdr:colOff>472440</xdr:colOff>
      <xdr:row>30</xdr:row>
      <xdr:rowOff>7621</xdr:rowOff>
    </xdr:from>
    <xdr:to>
      <xdr:col>14</xdr:col>
      <xdr:colOff>710005</xdr:colOff>
      <xdr:row>47</xdr:row>
      <xdr:rowOff>161365</xdr:rowOff>
    </xdr:to>
    <xdr:graphicFrame macro="">
      <xdr:nvGraphicFramePr>
        <xdr:cNvPr id="9" name="Chart 8">
          <a:extLst>
            <a:ext uri="{FF2B5EF4-FFF2-40B4-BE49-F238E27FC236}">
              <a16:creationId xmlns:a16="http://schemas.microsoft.com/office/drawing/2014/main" id="{99D4EE67-D8AA-421D-A9DB-5822FB91AC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556260</xdr:colOff>
      <xdr:row>11</xdr:row>
      <xdr:rowOff>38100</xdr:rowOff>
    </xdr:from>
    <xdr:to>
      <xdr:col>12</xdr:col>
      <xdr:colOff>776593</xdr:colOff>
      <xdr:row>36</xdr:row>
      <xdr:rowOff>40168</xdr:rowOff>
    </xdr:to>
    <xdr:pic>
      <xdr:nvPicPr>
        <xdr:cNvPr id="3" name="Picture 2">
          <a:extLst>
            <a:ext uri="{FF2B5EF4-FFF2-40B4-BE49-F238E27FC236}">
              <a16:creationId xmlns:a16="http://schemas.microsoft.com/office/drawing/2014/main" id="{F3440AE9-7A39-4F34-A436-9FAA06EF4A79}"/>
            </a:ext>
          </a:extLst>
        </xdr:cNvPr>
        <xdr:cNvPicPr>
          <a:picLocks noChangeAspect="1"/>
        </xdr:cNvPicPr>
      </xdr:nvPicPr>
      <xdr:blipFill>
        <a:blip xmlns:r="http://schemas.openxmlformats.org/officeDocument/2006/relationships" r:embed="rId1"/>
        <a:stretch>
          <a:fillRect/>
        </a:stretch>
      </xdr:blipFill>
      <xdr:spPr>
        <a:xfrm>
          <a:off x="6842760" y="1318260"/>
          <a:ext cx="6712573" cy="456644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751881</xdr:colOff>
      <xdr:row>10</xdr:row>
      <xdr:rowOff>148366</xdr:rowOff>
    </xdr:from>
    <xdr:to>
      <xdr:col>12</xdr:col>
      <xdr:colOff>972214</xdr:colOff>
      <xdr:row>35</xdr:row>
      <xdr:rowOff>150434</xdr:rowOff>
    </xdr:to>
    <xdr:pic>
      <xdr:nvPicPr>
        <xdr:cNvPr id="2" name="Picture 1">
          <a:extLst>
            <a:ext uri="{FF2B5EF4-FFF2-40B4-BE49-F238E27FC236}">
              <a16:creationId xmlns:a16="http://schemas.microsoft.com/office/drawing/2014/main" id="{8742309D-E8F4-4846-9478-544B53ED1BE4}"/>
            </a:ext>
          </a:extLst>
        </xdr:cNvPr>
        <xdr:cNvPicPr>
          <a:picLocks noChangeAspect="1"/>
        </xdr:cNvPicPr>
      </xdr:nvPicPr>
      <xdr:blipFill>
        <a:blip xmlns:r="http://schemas.openxmlformats.org/officeDocument/2006/relationships" r:embed="rId1"/>
        <a:stretch>
          <a:fillRect/>
        </a:stretch>
      </xdr:blipFill>
      <xdr:spPr>
        <a:xfrm>
          <a:off x="7045105" y="1044837"/>
          <a:ext cx="6728709" cy="448442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PA Consulting">
    <a:dk1>
      <a:srgbClr val="293947"/>
    </a:dk1>
    <a:lt1>
      <a:srgbClr val="FFFFFF"/>
    </a:lt1>
    <a:dk2>
      <a:srgbClr val="F5F8FA"/>
    </a:dk2>
    <a:lt2>
      <a:srgbClr val="3876BE"/>
    </a:lt2>
    <a:accent1>
      <a:srgbClr val="0C2126"/>
    </a:accent1>
    <a:accent2>
      <a:srgbClr val="293947"/>
    </a:accent2>
    <a:accent3>
      <a:srgbClr val="5D707F"/>
    </a:accent3>
    <a:accent4>
      <a:srgbClr val="9AB1C5"/>
    </a:accent4>
    <a:accent5>
      <a:srgbClr val="C2D6E7"/>
    </a:accent5>
    <a:accent6>
      <a:srgbClr val="E9EFF6"/>
    </a:accent6>
    <a:hlink>
      <a:srgbClr val="293947"/>
    </a:hlink>
    <a:folHlink>
      <a:srgbClr val="293947"/>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PA Consulting">
    <a:dk1>
      <a:srgbClr val="293947"/>
    </a:dk1>
    <a:lt1>
      <a:srgbClr val="FFFFFF"/>
    </a:lt1>
    <a:dk2>
      <a:srgbClr val="F5F8FA"/>
    </a:dk2>
    <a:lt2>
      <a:srgbClr val="3876BE"/>
    </a:lt2>
    <a:accent1>
      <a:srgbClr val="0C2126"/>
    </a:accent1>
    <a:accent2>
      <a:srgbClr val="293947"/>
    </a:accent2>
    <a:accent3>
      <a:srgbClr val="5D707F"/>
    </a:accent3>
    <a:accent4>
      <a:srgbClr val="9AB1C5"/>
    </a:accent4>
    <a:accent5>
      <a:srgbClr val="C2D6E7"/>
    </a:accent5>
    <a:accent6>
      <a:srgbClr val="E9EFF6"/>
    </a:accent6>
    <a:hlink>
      <a:srgbClr val="293947"/>
    </a:hlink>
    <a:folHlink>
      <a:srgbClr val="293947"/>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PA Consulting">
    <a:dk1>
      <a:srgbClr val="293947"/>
    </a:dk1>
    <a:lt1>
      <a:srgbClr val="FFFFFF"/>
    </a:lt1>
    <a:dk2>
      <a:srgbClr val="F5F8FA"/>
    </a:dk2>
    <a:lt2>
      <a:srgbClr val="3876BE"/>
    </a:lt2>
    <a:accent1>
      <a:srgbClr val="0C2126"/>
    </a:accent1>
    <a:accent2>
      <a:srgbClr val="293947"/>
    </a:accent2>
    <a:accent3>
      <a:srgbClr val="5D707F"/>
    </a:accent3>
    <a:accent4>
      <a:srgbClr val="9AB1C5"/>
    </a:accent4>
    <a:accent5>
      <a:srgbClr val="C2D6E7"/>
    </a:accent5>
    <a:accent6>
      <a:srgbClr val="E9EFF6"/>
    </a:accent6>
    <a:hlink>
      <a:srgbClr val="293947"/>
    </a:hlink>
    <a:folHlink>
      <a:srgbClr val="293947"/>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PA Consulting">
    <a:dk1>
      <a:srgbClr val="293947"/>
    </a:dk1>
    <a:lt1>
      <a:srgbClr val="FFFFFF"/>
    </a:lt1>
    <a:dk2>
      <a:srgbClr val="F5F8FA"/>
    </a:dk2>
    <a:lt2>
      <a:srgbClr val="3876BE"/>
    </a:lt2>
    <a:accent1>
      <a:srgbClr val="0C2126"/>
    </a:accent1>
    <a:accent2>
      <a:srgbClr val="293947"/>
    </a:accent2>
    <a:accent3>
      <a:srgbClr val="5D707F"/>
    </a:accent3>
    <a:accent4>
      <a:srgbClr val="9AB1C5"/>
    </a:accent4>
    <a:accent5>
      <a:srgbClr val="C2D6E7"/>
    </a:accent5>
    <a:accent6>
      <a:srgbClr val="E9EFF6"/>
    </a:accent6>
    <a:hlink>
      <a:srgbClr val="293947"/>
    </a:hlink>
    <a:folHlink>
      <a:srgbClr val="293947"/>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PA Consulting">
    <a:dk1>
      <a:srgbClr val="293947"/>
    </a:dk1>
    <a:lt1>
      <a:srgbClr val="FFFFFF"/>
    </a:lt1>
    <a:dk2>
      <a:srgbClr val="F5F8FA"/>
    </a:dk2>
    <a:lt2>
      <a:srgbClr val="3876BE"/>
    </a:lt2>
    <a:accent1>
      <a:srgbClr val="0C2126"/>
    </a:accent1>
    <a:accent2>
      <a:srgbClr val="293947"/>
    </a:accent2>
    <a:accent3>
      <a:srgbClr val="5D707F"/>
    </a:accent3>
    <a:accent4>
      <a:srgbClr val="9AB1C5"/>
    </a:accent4>
    <a:accent5>
      <a:srgbClr val="C2D6E7"/>
    </a:accent5>
    <a:accent6>
      <a:srgbClr val="E9EFF6"/>
    </a:accent6>
    <a:hlink>
      <a:srgbClr val="293947"/>
    </a:hlink>
    <a:folHlink>
      <a:srgbClr val="293947"/>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PA - Light">
    <a:dk1>
      <a:srgbClr val="5D717F"/>
    </a:dk1>
    <a:lt1>
      <a:srgbClr val="FFFFFF"/>
    </a:lt1>
    <a:dk2>
      <a:srgbClr val="F5F8FA"/>
    </a:dk2>
    <a:lt2>
      <a:srgbClr val="3876BE"/>
    </a:lt2>
    <a:accent1>
      <a:srgbClr val="283846"/>
    </a:accent1>
    <a:accent2>
      <a:srgbClr val="40596F"/>
    </a:accent2>
    <a:accent3>
      <a:srgbClr val="6286A5"/>
    </a:accent3>
    <a:accent4>
      <a:srgbClr val="9AB1C5"/>
    </a:accent4>
    <a:accent5>
      <a:srgbClr val="C2D0DC"/>
    </a:accent5>
    <a:accent6>
      <a:srgbClr val="D7E0E8"/>
    </a:accent6>
    <a:hlink>
      <a:srgbClr val="5D717F"/>
    </a:hlink>
    <a:folHlink>
      <a:srgbClr val="5D717F"/>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PA Consulting">
    <a:dk1>
      <a:srgbClr val="293947"/>
    </a:dk1>
    <a:lt1>
      <a:srgbClr val="FFFFFF"/>
    </a:lt1>
    <a:dk2>
      <a:srgbClr val="F5F8FA"/>
    </a:dk2>
    <a:lt2>
      <a:srgbClr val="3876BE"/>
    </a:lt2>
    <a:accent1>
      <a:srgbClr val="0C2126"/>
    </a:accent1>
    <a:accent2>
      <a:srgbClr val="293947"/>
    </a:accent2>
    <a:accent3>
      <a:srgbClr val="5D707F"/>
    </a:accent3>
    <a:accent4>
      <a:srgbClr val="9AB1C5"/>
    </a:accent4>
    <a:accent5>
      <a:srgbClr val="C2D6E7"/>
    </a:accent5>
    <a:accent6>
      <a:srgbClr val="E9EFF6"/>
    </a:accent6>
    <a:hlink>
      <a:srgbClr val="293947"/>
    </a:hlink>
    <a:folHlink>
      <a:srgbClr val="293947"/>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PA Consulting">
    <a:dk1>
      <a:srgbClr val="293947"/>
    </a:dk1>
    <a:lt1>
      <a:srgbClr val="FFFFFF"/>
    </a:lt1>
    <a:dk2>
      <a:srgbClr val="F5F8FA"/>
    </a:dk2>
    <a:lt2>
      <a:srgbClr val="3876BE"/>
    </a:lt2>
    <a:accent1>
      <a:srgbClr val="0C2126"/>
    </a:accent1>
    <a:accent2>
      <a:srgbClr val="293947"/>
    </a:accent2>
    <a:accent3>
      <a:srgbClr val="5D707F"/>
    </a:accent3>
    <a:accent4>
      <a:srgbClr val="9AB1C5"/>
    </a:accent4>
    <a:accent5>
      <a:srgbClr val="C2D6E7"/>
    </a:accent5>
    <a:accent6>
      <a:srgbClr val="E9EFF6"/>
    </a:accent6>
    <a:hlink>
      <a:srgbClr val="293947"/>
    </a:hlink>
    <a:folHlink>
      <a:srgbClr val="293947"/>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PA Consulting">
    <a:dk1>
      <a:srgbClr val="293947"/>
    </a:dk1>
    <a:lt1>
      <a:srgbClr val="FFFFFF"/>
    </a:lt1>
    <a:dk2>
      <a:srgbClr val="F5F8FA"/>
    </a:dk2>
    <a:lt2>
      <a:srgbClr val="3876BE"/>
    </a:lt2>
    <a:accent1>
      <a:srgbClr val="0C2126"/>
    </a:accent1>
    <a:accent2>
      <a:srgbClr val="293947"/>
    </a:accent2>
    <a:accent3>
      <a:srgbClr val="5D707F"/>
    </a:accent3>
    <a:accent4>
      <a:srgbClr val="9AB1C5"/>
    </a:accent4>
    <a:accent5>
      <a:srgbClr val="C2D6E7"/>
    </a:accent5>
    <a:accent6>
      <a:srgbClr val="E9EFF6"/>
    </a:accent6>
    <a:hlink>
      <a:srgbClr val="293947"/>
    </a:hlink>
    <a:folHlink>
      <a:srgbClr val="293947"/>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PA Consulting">
    <a:dk1>
      <a:srgbClr val="293947"/>
    </a:dk1>
    <a:lt1>
      <a:srgbClr val="FFFFFF"/>
    </a:lt1>
    <a:dk2>
      <a:srgbClr val="F5F8FA"/>
    </a:dk2>
    <a:lt2>
      <a:srgbClr val="3876BE"/>
    </a:lt2>
    <a:accent1>
      <a:srgbClr val="0C2126"/>
    </a:accent1>
    <a:accent2>
      <a:srgbClr val="293947"/>
    </a:accent2>
    <a:accent3>
      <a:srgbClr val="5D707F"/>
    </a:accent3>
    <a:accent4>
      <a:srgbClr val="9AB1C5"/>
    </a:accent4>
    <a:accent5>
      <a:srgbClr val="C2D6E7"/>
    </a:accent5>
    <a:accent6>
      <a:srgbClr val="E9EFF6"/>
    </a:accent6>
    <a:hlink>
      <a:srgbClr val="293947"/>
    </a:hlink>
    <a:folHlink>
      <a:srgbClr val="293947"/>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PA Consulting">
    <a:dk1>
      <a:srgbClr val="293947"/>
    </a:dk1>
    <a:lt1>
      <a:srgbClr val="FFFFFF"/>
    </a:lt1>
    <a:dk2>
      <a:srgbClr val="F5F8FA"/>
    </a:dk2>
    <a:lt2>
      <a:srgbClr val="3876BE"/>
    </a:lt2>
    <a:accent1>
      <a:srgbClr val="0C2126"/>
    </a:accent1>
    <a:accent2>
      <a:srgbClr val="293947"/>
    </a:accent2>
    <a:accent3>
      <a:srgbClr val="5D707F"/>
    </a:accent3>
    <a:accent4>
      <a:srgbClr val="9AB1C5"/>
    </a:accent4>
    <a:accent5>
      <a:srgbClr val="C2D6E7"/>
    </a:accent5>
    <a:accent6>
      <a:srgbClr val="E9EFF6"/>
    </a:accent6>
    <a:hlink>
      <a:srgbClr val="293947"/>
    </a:hlink>
    <a:folHlink>
      <a:srgbClr val="293947"/>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PA Consulting">
    <a:dk1>
      <a:srgbClr val="293947"/>
    </a:dk1>
    <a:lt1>
      <a:srgbClr val="FFFFFF"/>
    </a:lt1>
    <a:dk2>
      <a:srgbClr val="F5F8FA"/>
    </a:dk2>
    <a:lt2>
      <a:srgbClr val="3876BE"/>
    </a:lt2>
    <a:accent1>
      <a:srgbClr val="0C2126"/>
    </a:accent1>
    <a:accent2>
      <a:srgbClr val="293947"/>
    </a:accent2>
    <a:accent3>
      <a:srgbClr val="5D707F"/>
    </a:accent3>
    <a:accent4>
      <a:srgbClr val="9AB1C5"/>
    </a:accent4>
    <a:accent5>
      <a:srgbClr val="C2D6E7"/>
    </a:accent5>
    <a:accent6>
      <a:srgbClr val="E9EFF6"/>
    </a:accent6>
    <a:hlink>
      <a:srgbClr val="293947"/>
    </a:hlink>
    <a:folHlink>
      <a:srgbClr val="293947"/>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PA Consulting">
    <a:dk1>
      <a:srgbClr val="293947"/>
    </a:dk1>
    <a:lt1>
      <a:srgbClr val="FFFFFF"/>
    </a:lt1>
    <a:dk2>
      <a:srgbClr val="F5F8FA"/>
    </a:dk2>
    <a:lt2>
      <a:srgbClr val="3876BE"/>
    </a:lt2>
    <a:accent1>
      <a:srgbClr val="0C2126"/>
    </a:accent1>
    <a:accent2>
      <a:srgbClr val="293947"/>
    </a:accent2>
    <a:accent3>
      <a:srgbClr val="5D707F"/>
    </a:accent3>
    <a:accent4>
      <a:srgbClr val="9AB1C5"/>
    </a:accent4>
    <a:accent5>
      <a:srgbClr val="C2D6E7"/>
    </a:accent5>
    <a:accent6>
      <a:srgbClr val="E9EFF6"/>
    </a:accent6>
    <a:hlink>
      <a:srgbClr val="293947"/>
    </a:hlink>
    <a:folHlink>
      <a:srgbClr val="293947"/>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PA Consulting">
    <a:dk1>
      <a:srgbClr val="293947"/>
    </a:dk1>
    <a:lt1>
      <a:srgbClr val="FFFFFF"/>
    </a:lt1>
    <a:dk2>
      <a:srgbClr val="F5F8FA"/>
    </a:dk2>
    <a:lt2>
      <a:srgbClr val="3876BE"/>
    </a:lt2>
    <a:accent1>
      <a:srgbClr val="0C2126"/>
    </a:accent1>
    <a:accent2>
      <a:srgbClr val="293947"/>
    </a:accent2>
    <a:accent3>
      <a:srgbClr val="5D707F"/>
    </a:accent3>
    <a:accent4>
      <a:srgbClr val="9AB1C5"/>
    </a:accent4>
    <a:accent5>
      <a:srgbClr val="C2D6E7"/>
    </a:accent5>
    <a:accent6>
      <a:srgbClr val="E9EFF6"/>
    </a:accent6>
    <a:hlink>
      <a:srgbClr val="293947"/>
    </a:hlink>
    <a:folHlink>
      <a:srgbClr val="293947"/>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PA Consulting">
    <a:dk1>
      <a:srgbClr val="293947"/>
    </a:dk1>
    <a:lt1>
      <a:srgbClr val="FFFFFF"/>
    </a:lt1>
    <a:dk2>
      <a:srgbClr val="F5F8FA"/>
    </a:dk2>
    <a:lt2>
      <a:srgbClr val="3876BE"/>
    </a:lt2>
    <a:accent1>
      <a:srgbClr val="0C2126"/>
    </a:accent1>
    <a:accent2>
      <a:srgbClr val="293947"/>
    </a:accent2>
    <a:accent3>
      <a:srgbClr val="5D707F"/>
    </a:accent3>
    <a:accent4>
      <a:srgbClr val="9AB1C5"/>
    </a:accent4>
    <a:accent5>
      <a:srgbClr val="C2D6E7"/>
    </a:accent5>
    <a:accent6>
      <a:srgbClr val="E9EFF6"/>
    </a:accent6>
    <a:hlink>
      <a:srgbClr val="293947"/>
    </a:hlink>
    <a:folHlink>
      <a:srgbClr val="293947"/>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PA Consulting">
    <a:dk1>
      <a:srgbClr val="293947"/>
    </a:dk1>
    <a:lt1>
      <a:srgbClr val="FFFFFF"/>
    </a:lt1>
    <a:dk2>
      <a:srgbClr val="F5F8FA"/>
    </a:dk2>
    <a:lt2>
      <a:srgbClr val="3876BE"/>
    </a:lt2>
    <a:accent1>
      <a:srgbClr val="0C2126"/>
    </a:accent1>
    <a:accent2>
      <a:srgbClr val="293947"/>
    </a:accent2>
    <a:accent3>
      <a:srgbClr val="5D707F"/>
    </a:accent3>
    <a:accent4>
      <a:srgbClr val="9AB1C5"/>
    </a:accent4>
    <a:accent5>
      <a:srgbClr val="C2D6E7"/>
    </a:accent5>
    <a:accent6>
      <a:srgbClr val="E9EFF6"/>
    </a:accent6>
    <a:hlink>
      <a:srgbClr val="293947"/>
    </a:hlink>
    <a:folHlink>
      <a:srgbClr val="293947"/>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8" Type="http://schemas.openxmlformats.org/officeDocument/2006/relationships/hyperlink" Target="https://www.ncbi.nlm.nih.gov/pmc/articles/PMC4714578/" TargetMode="External"/><Relationship Id="rId3" Type="http://schemas.openxmlformats.org/officeDocument/2006/relationships/hyperlink" Target="https://www.ncbi.nlm.nih.gov/pmc/articles/PMC4714578/" TargetMode="External"/><Relationship Id="rId7" Type="http://schemas.openxmlformats.org/officeDocument/2006/relationships/hyperlink" Target="https://www.ncbi.nlm.nih.gov/pmc/articles/PMC4714578/" TargetMode="External"/><Relationship Id="rId2" Type="http://schemas.openxmlformats.org/officeDocument/2006/relationships/hyperlink" Target="https://www.ncbi.nlm.nih.gov/pmc/articles/PMC4714578/" TargetMode="External"/><Relationship Id="rId1" Type="http://schemas.openxmlformats.org/officeDocument/2006/relationships/hyperlink" Target="https://www.ncbi.nlm.nih.gov/pmc/articles/PMC4714578/" TargetMode="External"/><Relationship Id="rId6" Type="http://schemas.openxmlformats.org/officeDocument/2006/relationships/hyperlink" Target="https://www.ncbi.nlm.nih.gov/pmc/articles/PMC4714578/" TargetMode="External"/><Relationship Id="rId11" Type="http://schemas.openxmlformats.org/officeDocument/2006/relationships/printerSettings" Target="../printerSettings/printerSettings8.bin"/><Relationship Id="rId5" Type="http://schemas.openxmlformats.org/officeDocument/2006/relationships/hyperlink" Target="https://www.ncbi.nlm.nih.gov/pmc/articles/PMC4714578/" TargetMode="External"/><Relationship Id="rId10" Type="http://schemas.openxmlformats.org/officeDocument/2006/relationships/hyperlink" Target="https://www.ncbi.nlm.nih.gov/pmc/articles/PMC4714578/" TargetMode="External"/><Relationship Id="rId4" Type="http://schemas.openxmlformats.org/officeDocument/2006/relationships/hyperlink" Target="https://www.ncbi.nlm.nih.gov/pmc/articles/PMC4714578/" TargetMode="External"/><Relationship Id="rId9" Type="http://schemas.openxmlformats.org/officeDocument/2006/relationships/hyperlink" Target="https://www.ncbi.nlm.nih.gov/pmc/articles/PMC4714578/"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sheetPr>
  <dimension ref="A1:C77"/>
  <sheetViews>
    <sheetView showGridLines="0" topLeftCell="A21" zoomScale="118" zoomScaleNormal="118" workbookViewId="0">
      <selection activeCell="B23" sqref="B23"/>
    </sheetView>
  </sheetViews>
  <sheetFormatPr defaultRowHeight="14.5"/>
  <cols>
    <col min="2" max="2" width="19" customWidth="1"/>
    <col min="3" max="3" width="109.08984375" customWidth="1"/>
  </cols>
  <sheetData>
    <row r="1" spans="1:3" s="777" customFormat="1" ht="18.5">
      <c r="A1" s="780" t="s">
        <v>3608</v>
      </c>
      <c r="B1" s="780"/>
    </row>
    <row r="2" spans="1:3" s="777" customFormat="1">
      <c r="A2" s="777" t="s">
        <v>3660</v>
      </c>
    </row>
    <row r="3" spans="1:3" s="777" customFormat="1"/>
    <row r="4" spans="1:3" s="781" customFormat="1"/>
    <row r="15" spans="1:3" ht="15" thickBot="1">
      <c r="C15" s="95"/>
    </row>
    <row r="16" spans="1:3" ht="311" customHeight="1" thickBot="1">
      <c r="C16" s="843" t="s">
        <v>3748</v>
      </c>
    </row>
    <row r="17" spans="1:3" ht="44.4" customHeight="1">
      <c r="C17" s="845" t="s">
        <v>3617</v>
      </c>
    </row>
    <row r="18" spans="1:3" ht="30" customHeight="1">
      <c r="C18" s="844"/>
    </row>
    <row r="19" spans="1:3" s="588" customFormat="1" ht="15.5">
      <c r="A19" s="852" t="s">
        <v>10</v>
      </c>
      <c r="B19" s="853" t="s">
        <v>3616</v>
      </c>
    </row>
    <row r="21" spans="1:3">
      <c r="B21" s="16" t="s">
        <v>3611</v>
      </c>
    </row>
    <row r="23" spans="1:3" ht="24.65" customHeight="1">
      <c r="B23" s="829"/>
      <c r="C23" s="839" t="s">
        <v>3609</v>
      </c>
    </row>
    <row r="24" spans="1:3" ht="29">
      <c r="B24" s="840"/>
      <c r="C24" s="839" t="s">
        <v>3610</v>
      </c>
    </row>
    <row r="25" spans="1:3">
      <c r="C25" s="842"/>
    </row>
    <row r="26" spans="1:3">
      <c r="B26" s="16" t="s">
        <v>3612</v>
      </c>
    </row>
    <row r="27" spans="1:3">
      <c r="B27" t="s">
        <v>3615</v>
      </c>
    </row>
    <row r="29" spans="1:3" ht="18" customHeight="1">
      <c r="B29" s="841"/>
      <c r="C29" s="839" t="s">
        <v>3613</v>
      </c>
    </row>
    <row r="30" spans="1:3" ht="21.65" customHeight="1">
      <c r="B30" s="838"/>
      <c r="C30" s="839" t="s">
        <v>3614</v>
      </c>
    </row>
    <row r="33" spans="1:3" s="588" customFormat="1" ht="15.5">
      <c r="A33" s="852" t="s">
        <v>10</v>
      </c>
      <c r="B33" s="853" t="s">
        <v>3672</v>
      </c>
    </row>
    <row r="34" spans="1:3" ht="23" customHeight="1">
      <c r="B34" s="846" t="s">
        <v>3661</v>
      </c>
    </row>
    <row r="35" spans="1:3" ht="23" customHeight="1">
      <c r="B35" s="846"/>
    </row>
    <row r="36" spans="1:3" ht="27" customHeight="1">
      <c r="B36" s="854" t="s">
        <v>3663</v>
      </c>
      <c r="C36" s="855" t="s">
        <v>3667</v>
      </c>
    </row>
    <row r="37" spans="1:3">
      <c r="B37" s="854" t="s">
        <v>3662</v>
      </c>
      <c r="C37" s="855" t="s">
        <v>3668</v>
      </c>
    </row>
    <row r="38" spans="1:3" ht="26">
      <c r="B38" s="856" t="s">
        <v>3664</v>
      </c>
      <c r="C38" s="855" t="s">
        <v>3669</v>
      </c>
    </row>
    <row r="39" spans="1:3" ht="37.5">
      <c r="B39" s="857" t="s">
        <v>3665</v>
      </c>
      <c r="C39" s="855" t="s">
        <v>3670</v>
      </c>
    </row>
    <row r="40" spans="1:3" ht="26">
      <c r="B40" s="858" t="s">
        <v>3666</v>
      </c>
      <c r="C40" s="855" t="s">
        <v>3671</v>
      </c>
    </row>
    <row r="41" spans="1:3">
      <c r="B41" s="847"/>
    </row>
    <row r="43" spans="1:3" s="588" customFormat="1" ht="15.5">
      <c r="A43" s="593" t="s">
        <v>10</v>
      </c>
      <c r="B43" s="853" t="s">
        <v>3658</v>
      </c>
    </row>
    <row r="44" spans="1:3">
      <c r="A44" s="9"/>
      <c r="B44" s="9"/>
    </row>
    <row r="46" spans="1:3" ht="18.649999999999999" customHeight="1">
      <c r="B46" s="849" t="s">
        <v>3618</v>
      </c>
      <c r="C46" s="849" t="s">
        <v>3619</v>
      </c>
    </row>
    <row r="47" spans="1:3">
      <c r="B47" s="848" t="s">
        <v>3552</v>
      </c>
      <c r="C47" s="848" t="s">
        <v>3620</v>
      </c>
    </row>
    <row r="48" spans="1:3">
      <c r="B48" s="851" t="s">
        <v>3741</v>
      </c>
      <c r="C48" s="850"/>
    </row>
    <row r="49" spans="2:3" ht="43.5">
      <c r="B49" s="848" t="s">
        <v>3741</v>
      </c>
      <c r="C49" s="848" t="s">
        <v>3746</v>
      </c>
    </row>
    <row r="50" spans="2:3">
      <c r="B50" s="851" t="s">
        <v>3745</v>
      </c>
      <c r="C50" s="850"/>
    </row>
    <row r="51" spans="2:3" ht="43.5">
      <c r="B51" s="848" t="s">
        <v>3742</v>
      </c>
      <c r="C51" s="848" t="s">
        <v>3709</v>
      </c>
    </row>
    <row r="52" spans="2:3" ht="29">
      <c r="B52" s="848" t="s">
        <v>3744</v>
      </c>
      <c r="C52" s="848" t="s">
        <v>3621</v>
      </c>
    </row>
    <row r="53" spans="2:3" ht="15" customHeight="1">
      <c r="B53" s="849" t="s">
        <v>3622</v>
      </c>
      <c r="C53" s="850"/>
    </row>
    <row r="54" spans="2:3" ht="29">
      <c r="B54" s="848" t="s">
        <v>3548</v>
      </c>
      <c r="C54" s="848" t="s">
        <v>3623</v>
      </c>
    </row>
    <row r="55" spans="2:3" ht="29">
      <c r="B55" s="848" t="s">
        <v>3547</v>
      </c>
      <c r="C55" s="848" t="s">
        <v>3624</v>
      </c>
    </row>
    <row r="56" spans="2:3" ht="15" customHeight="1">
      <c r="B56" s="851" t="s">
        <v>3625</v>
      </c>
      <c r="C56" s="850"/>
    </row>
    <row r="57" spans="2:3" ht="43.5">
      <c r="B57" s="848" t="s">
        <v>3626</v>
      </c>
      <c r="C57" s="848" t="s">
        <v>3627</v>
      </c>
    </row>
    <row r="58" spans="2:3">
      <c r="B58" s="848" t="s">
        <v>3380</v>
      </c>
      <c r="C58" s="848" t="s">
        <v>3628</v>
      </c>
    </row>
    <row r="59" spans="2:3">
      <c r="B59" s="849" t="s">
        <v>3629</v>
      </c>
      <c r="C59" s="850"/>
    </row>
    <row r="60" spans="2:3" ht="29">
      <c r="B60" s="848" t="s">
        <v>3630</v>
      </c>
      <c r="C60" s="848" t="s">
        <v>3631</v>
      </c>
    </row>
    <row r="61" spans="2:3" ht="43.5">
      <c r="B61" s="848" t="s">
        <v>3632</v>
      </c>
      <c r="C61" s="848" t="s">
        <v>3633</v>
      </c>
    </row>
    <row r="62" spans="2:3" ht="15" customHeight="1">
      <c r="B62" s="851" t="s">
        <v>3634</v>
      </c>
      <c r="C62" s="850"/>
    </row>
    <row r="63" spans="2:3" ht="58">
      <c r="B63" s="848" t="s">
        <v>3635</v>
      </c>
      <c r="C63" s="848" t="s">
        <v>3636</v>
      </c>
    </row>
    <row r="64" spans="2:3" ht="78.650000000000006" customHeight="1">
      <c r="B64" s="848" t="s">
        <v>3635</v>
      </c>
      <c r="C64" s="848" t="s">
        <v>3659</v>
      </c>
    </row>
    <row r="65" spans="2:3" ht="15" customHeight="1">
      <c r="B65" s="849" t="s">
        <v>3637</v>
      </c>
      <c r="C65" s="850"/>
    </row>
    <row r="66" spans="2:3">
      <c r="B66" s="848" t="s">
        <v>3512</v>
      </c>
      <c r="C66" s="848" t="s">
        <v>3638</v>
      </c>
    </row>
    <row r="67" spans="2:3">
      <c r="B67" s="848" t="s">
        <v>3639</v>
      </c>
      <c r="C67" s="848" t="s">
        <v>3640</v>
      </c>
    </row>
    <row r="68" spans="2:3">
      <c r="B68" s="848" t="s">
        <v>3641</v>
      </c>
      <c r="C68" s="848" t="s">
        <v>3642</v>
      </c>
    </row>
    <row r="69" spans="2:3" ht="29">
      <c r="B69" s="848" t="s">
        <v>3643</v>
      </c>
      <c r="C69" s="848" t="s">
        <v>3644</v>
      </c>
    </row>
    <row r="70" spans="2:3" ht="29">
      <c r="B70" s="848" t="s">
        <v>3645</v>
      </c>
      <c r="C70" s="848" t="s">
        <v>3646</v>
      </c>
    </row>
    <row r="71" spans="2:3" ht="29">
      <c r="B71" s="848" t="s">
        <v>3647</v>
      </c>
      <c r="C71" s="848" t="s">
        <v>3648</v>
      </c>
    </row>
    <row r="72" spans="2:3">
      <c r="B72" s="849" t="s">
        <v>3025</v>
      </c>
      <c r="C72" s="850"/>
    </row>
    <row r="73" spans="2:3" ht="58">
      <c r="B73" s="848" t="s">
        <v>3649</v>
      </c>
      <c r="C73" s="848" t="s">
        <v>3650</v>
      </c>
    </row>
    <row r="74" spans="2:3">
      <c r="B74" s="848" t="s">
        <v>3651</v>
      </c>
      <c r="C74" s="848" t="s">
        <v>3652</v>
      </c>
    </row>
    <row r="75" spans="2:3">
      <c r="B75" s="848" t="s">
        <v>3653</v>
      </c>
      <c r="C75" s="848" t="s">
        <v>3654</v>
      </c>
    </row>
    <row r="76" spans="2:3">
      <c r="B76" s="848" t="s">
        <v>3279</v>
      </c>
      <c r="C76" s="848" t="s">
        <v>3655</v>
      </c>
    </row>
    <row r="77" spans="2:3">
      <c r="B77" s="848" t="s">
        <v>3656</v>
      </c>
      <c r="C77" s="848" t="s">
        <v>3657</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39997558519241921"/>
  </sheetPr>
  <dimension ref="A1:AO129"/>
  <sheetViews>
    <sheetView showGridLines="0" zoomScale="70" zoomScaleNormal="70" workbookViewId="0">
      <selection activeCell="K29" sqref="K29"/>
    </sheetView>
  </sheetViews>
  <sheetFormatPr defaultRowHeight="14.5"/>
  <cols>
    <col min="1" max="1" width="6.36328125" customWidth="1"/>
    <col min="2" max="2" width="21.36328125" customWidth="1"/>
    <col min="3" max="3" width="18.08984375" customWidth="1"/>
    <col min="4" max="4" width="19.90625" customWidth="1"/>
    <col min="5" max="5" width="20.54296875" customWidth="1"/>
    <col min="6" max="6" width="19.36328125" customWidth="1"/>
    <col min="7" max="7" width="21.453125" customWidth="1"/>
    <col min="8" max="8" width="26.6328125" customWidth="1"/>
    <col min="9" max="9" width="18.08984375" customWidth="1"/>
    <col min="10" max="10" width="22.36328125" customWidth="1"/>
    <col min="11" max="11" width="17.6328125" customWidth="1"/>
    <col min="12" max="32" width="17.36328125" customWidth="1"/>
    <col min="33" max="40" width="15.6328125" customWidth="1"/>
    <col min="41" max="41" width="19.36328125" customWidth="1"/>
  </cols>
  <sheetData>
    <row r="1" spans="1:41" s="777" customFormat="1" ht="18.5">
      <c r="A1" s="780" t="s">
        <v>3547</v>
      </c>
    </row>
    <row r="2" spans="1:41" s="777" customFormat="1">
      <c r="A2" s="777" t="s">
        <v>3695</v>
      </c>
    </row>
    <row r="3" spans="1:41" s="777" customFormat="1"/>
    <row r="4" spans="1:41" s="781" customFormat="1"/>
    <row r="6" spans="1:41">
      <c r="B6" s="92" t="s">
        <v>2890</v>
      </c>
      <c r="C6" s="559">
        <f>'Control Assumptions'!C10</f>
        <v>2020</v>
      </c>
    </row>
    <row r="8" spans="1:41" ht="21" customHeight="1">
      <c r="E8" s="181"/>
      <c r="F8" s="181"/>
    </row>
    <row r="9" spans="1:41" s="588" customFormat="1">
      <c r="A9" s="593" t="s">
        <v>10</v>
      </c>
      <c r="B9" s="593" t="s">
        <v>24</v>
      </c>
    </row>
    <row r="11" spans="1:41">
      <c r="C11" s="34">
        <f t="shared" ref="C11:AE11" si="0">C21</f>
        <v>2020</v>
      </c>
      <c r="D11" s="34">
        <f t="shared" si="0"/>
        <v>2021</v>
      </c>
      <c r="E11" s="34">
        <f t="shared" si="0"/>
        <v>2022</v>
      </c>
      <c r="F11" s="34">
        <f t="shared" si="0"/>
        <v>2023</v>
      </c>
      <c r="G11" s="34">
        <f t="shared" si="0"/>
        <v>2024</v>
      </c>
      <c r="H11" s="34">
        <f t="shared" si="0"/>
        <v>2025</v>
      </c>
      <c r="I11" s="34">
        <f t="shared" si="0"/>
        <v>2026</v>
      </c>
      <c r="J11" s="34">
        <f t="shared" si="0"/>
        <v>2027</v>
      </c>
      <c r="K11" s="34">
        <f t="shared" si="0"/>
        <v>2028</v>
      </c>
      <c r="L11" s="34">
        <f t="shared" si="0"/>
        <v>2029</v>
      </c>
      <c r="M11" s="34">
        <f t="shared" si="0"/>
        <v>2030</v>
      </c>
      <c r="N11" s="34">
        <f t="shared" si="0"/>
        <v>2031</v>
      </c>
      <c r="O11" s="34">
        <f t="shared" si="0"/>
        <v>2032</v>
      </c>
      <c r="P11" s="34">
        <f t="shared" si="0"/>
        <v>2033</v>
      </c>
      <c r="Q11" s="34">
        <f t="shared" si="0"/>
        <v>2034</v>
      </c>
      <c r="R11" s="34">
        <f t="shared" si="0"/>
        <v>2035</v>
      </c>
      <c r="S11" s="34">
        <f t="shared" si="0"/>
        <v>2036</v>
      </c>
      <c r="T11" s="34">
        <f t="shared" si="0"/>
        <v>2037</v>
      </c>
      <c r="U11" s="34">
        <f t="shared" si="0"/>
        <v>2038</v>
      </c>
      <c r="V11" s="34">
        <f t="shared" si="0"/>
        <v>2039</v>
      </c>
      <c r="W11" s="34">
        <f t="shared" si="0"/>
        <v>2040</v>
      </c>
      <c r="X11" s="34">
        <f t="shared" si="0"/>
        <v>2041</v>
      </c>
      <c r="Y11" s="34">
        <f t="shared" si="0"/>
        <v>2042</v>
      </c>
      <c r="Z11" s="34">
        <f t="shared" si="0"/>
        <v>2043</v>
      </c>
      <c r="AA11" s="34">
        <f t="shared" si="0"/>
        <v>2044</v>
      </c>
      <c r="AB11" s="34">
        <f t="shared" si="0"/>
        <v>2045</v>
      </c>
      <c r="AC11" s="34">
        <f t="shared" si="0"/>
        <v>2046</v>
      </c>
      <c r="AD11" s="34">
        <f t="shared" si="0"/>
        <v>2047</v>
      </c>
      <c r="AE11" s="34">
        <f t="shared" si="0"/>
        <v>2048</v>
      </c>
      <c r="AF11" s="34">
        <f t="shared" ref="AF11:AO11" si="1">AF21</f>
        <v>2049</v>
      </c>
      <c r="AG11" s="34">
        <f t="shared" si="1"/>
        <v>2050</v>
      </c>
      <c r="AH11" s="34">
        <f t="shared" si="1"/>
        <v>2051</v>
      </c>
      <c r="AI11" s="34">
        <f t="shared" si="1"/>
        <v>2052</v>
      </c>
      <c r="AJ11" s="34">
        <f t="shared" si="1"/>
        <v>2053</v>
      </c>
      <c r="AK11" s="34">
        <f t="shared" si="1"/>
        <v>2054</v>
      </c>
      <c r="AL11" s="34">
        <f t="shared" si="1"/>
        <v>2055</v>
      </c>
      <c r="AM11" s="34">
        <f t="shared" si="1"/>
        <v>2056</v>
      </c>
      <c r="AN11" s="34">
        <f t="shared" si="1"/>
        <v>2057</v>
      </c>
      <c r="AO11" s="34">
        <f t="shared" si="1"/>
        <v>2058</v>
      </c>
    </row>
    <row r="12" spans="1:41">
      <c r="B12" s="12" t="s">
        <v>183</v>
      </c>
      <c r="C12" s="39">
        <f>'Prevalence projection'!C55</f>
        <v>82.5</v>
      </c>
      <c r="D12" s="39">
        <f>'Prevalence projection'!D55</f>
        <v>85.671252397034777</v>
      </c>
      <c r="E12" s="39">
        <f>'Prevalence projection'!E55</f>
        <v>88.409985944913515</v>
      </c>
      <c r="F12" s="39">
        <f>'Prevalence projection'!F55</f>
        <v>90.841470209093458</v>
      </c>
      <c r="G12" s="39">
        <f>'Prevalence projection'!G55</f>
        <v>93.082241400315425</v>
      </c>
      <c r="H12" s="39">
        <f>'Prevalence projection'!H55</f>
        <v>95.200764065208375</v>
      </c>
      <c r="I12" s="39">
        <f>'Prevalence projection'!I55</f>
        <v>97.20623037802207</v>
      </c>
      <c r="J12" s="39">
        <f>'Prevalence projection'!J55</f>
        <v>99.13317447773133</v>
      </c>
      <c r="K12" s="39">
        <f>'Prevalence projection'!K55</f>
        <v>101.15852006691416</v>
      </c>
      <c r="L12" s="39">
        <f>'Prevalence projection'!L55</f>
        <v>103.17839473434539</v>
      </c>
      <c r="M12" s="39">
        <f>'Prevalence projection'!M55</f>
        <v>105.14341642908033</v>
      </c>
      <c r="N12" s="39">
        <f>'Prevalence projection'!N55</f>
        <v>107.03330423630574</v>
      </c>
      <c r="O12" s="39">
        <f>'Prevalence projection'!O55</f>
        <v>108.83646981539874</v>
      </c>
      <c r="P12" s="39">
        <f>'Prevalence projection'!P55</f>
        <v>110.58425481420778</v>
      </c>
      <c r="Q12" s="39">
        <f>'Prevalence projection'!Q55</f>
        <v>112.31262773751317</v>
      </c>
      <c r="R12" s="39">
        <f>'Prevalence projection'!R55</f>
        <v>114.02735538292637</v>
      </c>
      <c r="S12" s="39">
        <f>'Prevalence projection'!S55</f>
        <v>115.70150768759851</v>
      </c>
      <c r="T12" s="39">
        <f>'Prevalence projection'!T55</f>
        <v>117.33997010195631</v>
      </c>
      <c r="U12" s="39">
        <f>'Prevalence projection'!U55</f>
        <v>119.00890563523252</v>
      </c>
      <c r="V12" s="39">
        <f>'Prevalence projection'!V55</f>
        <v>120.65395422314508</v>
      </c>
      <c r="W12" s="39">
        <f>'Prevalence projection'!W55</f>
        <v>122.25971462376572</v>
      </c>
      <c r="X12" s="39">
        <f>'Prevalence projection'!X55</f>
        <v>123.82382636778361</v>
      </c>
      <c r="Y12" s="39">
        <f>'Prevalence projection'!Y55</f>
        <v>125.37276808932094</v>
      </c>
      <c r="Z12" s="39">
        <f>'Prevalence projection'!Z55</f>
        <v>126.9007679314233</v>
      </c>
      <c r="AA12" s="39">
        <f>'Prevalence projection'!AA55</f>
        <v>128.39705697397048</v>
      </c>
      <c r="AB12" s="39">
        <f>'Prevalence projection'!AB55</f>
        <v>129.85324523760454</v>
      </c>
      <c r="AC12" s="39">
        <f>'Prevalence projection'!AC55</f>
        <v>131.26091577456455</v>
      </c>
      <c r="AD12" s="39">
        <f>'Prevalence projection'!AD55</f>
        <v>132.61384049203292</v>
      </c>
      <c r="AE12" s="39">
        <f>'Prevalence projection'!AE55</f>
        <v>133.90635997853173</v>
      </c>
      <c r="AF12" s="39">
        <f>'Prevalence projection'!AF55</f>
        <v>135.14327566966779</v>
      </c>
      <c r="AG12" s="39">
        <f>'Prevalence projection'!AG55</f>
        <v>136.34911564441759</v>
      </c>
      <c r="AH12" s="39">
        <f>'Prevalence projection'!AH55</f>
        <v>137.52665975238099</v>
      </c>
      <c r="AI12" s="39">
        <f>'Prevalence projection'!AI55</f>
        <v>138.68512595180937</v>
      </c>
      <c r="AJ12" s="39">
        <f>'Prevalence projection'!AJ55</f>
        <v>139.79715248280675</v>
      </c>
      <c r="AK12" s="39">
        <f>'Prevalence projection'!AK55</f>
        <v>140.84178569525929</v>
      </c>
      <c r="AL12" s="39">
        <f>'Prevalence projection'!AL55</f>
        <v>141.80478376935463</v>
      </c>
      <c r="AM12" s="39">
        <f>'Prevalence projection'!AM55</f>
        <v>142.6945738303196</v>
      </c>
      <c r="AN12" s="39">
        <f>'Prevalence projection'!AN55</f>
        <v>143.51303981166242</v>
      </c>
      <c r="AO12" s="39">
        <f>'Prevalence projection'!AO55</f>
        <v>144.25672500512002</v>
      </c>
    </row>
    <row r="13" spans="1:41">
      <c r="B13" s="12" t="s">
        <v>2555</v>
      </c>
      <c r="C13" s="39">
        <f>'Prevalence projection'!C89</f>
        <v>34.5</v>
      </c>
      <c r="D13" s="39">
        <f>'Prevalence projection'!D89</f>
        <v>38.454128917855734</v>
      </c>
      <c r="E13" s="39">
        <f>'Prevalence projection'!E89</f>
        <v>42.457630958756774</v>
      </c>
      <c r="F13" s="39">
        <f>'Prevalence projection'!F89</f>
        <v>46.516040358715721</v>
      </c>
      <c r="G13" s="39">
        <f>'Prevalence projection'!G89</f>
        <v>50.638387568592549</v>
      </c>
      <c r="H13" s="39">
        <f>'Prevalence projection'!H89</f>
        <v>54.829561420828284</v>
      </c>
      <c r="I13" s="39">
        <f>'Prevalence projection'!I89</f>
        <v>59.086273926722946</v>
      </c>
      <c r="J13" s="39">
        <f>'Prevalence projection'!J89</f>
        <v>63.410302979667918</v>
      </c>
      <c r="K13" s="39">
        <f>'Prevalence projection'!K89</f>
        <v>67.831191783152875</v>
      </c>
      <c r="L13" s="39">
        <f>'Prevalence projection'!L89</f>
        <v>72.333730036701468</v>
      </c>
      <c r="M13" s="39">
        <f>'Prevalence projection'!M89</f>
        <v>76.908553995894138</v>
      </c>
      <c r="N13" s="39">
        <f>'Prevalence projection'!N89</f>
        <v>81.549670970508927</v>
      </c>
      <c r="O13" s="39">
        <f>'Prevalence projection'!O89</f>
        <v>86.251869495510277</v>
      </c>
      <c r="P13" s="39">
        <f>'Prevalence projection'!P89</f>
        <v>91.017411341000781</v>
      </c>
      <c r="Q13" s="39">
        <f>'Prevalence projection'!Q89</f>
        <v>95.850693865599013</v>
      </c>
      <c r="R13" s="39">
        <f>'Prevalence projection'!R89</f>
        <v>100.75199220352667</v>
      </c>
      <c r="S13" s="39">
        <f>'Prevalence projection'!S89</f>
        <v>105.71576477276294</v>
      </c>
      <c r="T13" s="39">
        <f>'Prevalence projection'!T89</f>
        <v>110.7412598192691</v>
      </c>
      <c r="U13" s="39">
        <f>'Prevalence projection'!U89</f>
        <v>115.83926725747473</v>
      </c>
      <c r="V13" s="39">
        <f>'Prevalence projection'!V89</f>
        <v>121.00096894283982</v>
      </c>
      <c r="W13" s="39">
        <f>'Prevalence projection'!W89</f>
        <v>126.22253923854976</v>
      </c>
      <c r="X13" s="39">
        <f>'Prevalence projection'!X89</f>
        <v>131.50193772831429</v>
      </c>
      <c r="Y13" s="39">
        <f>'Prevalence projection'!Y89</f>
        <v>136.84236567923674</v>
      </c>
      <c r="Z13" s="39">
        <f>'Prevalence projection'!Z89</f>
        <v>142.24213559294529</v>
      </c>
      <c r="AA13" s="39">
        <f>'Prevalence projection'!AA89</f>
        <v>147.69839945955746</v>
      </c>
      <c r="AB13" s="39">
        <f>'Prevalence projection'!AB89</f>
        <v>153.20831008248271</v>
      </c>
      <c r="AC13" s="39">
        <f>'Prevalence projection'!AC89</f>
        <v>158.76867284622162</v>
      </c>
      <c r="AD13" s="39">
        <f>'Prevalence projection'!AD89</f>
        <v>164.37635475729451</v>
      </c>
      <c r="AE13" s="39">
        <f>'Prevalence projection'!AE89</f>
        <v>170.0280738909787</v>
      </c>
      <c r="AF13" s="39">
        <f>'Prevalence projection'!AF89</f>
        <v>175.72225360870661</v>
      </c>
      <c r="AG13" s="39">
        <f>'Prevalence projection'!AG89</f>
        <v>181.46116457365477</v>
      </c>
      <c r="AH13" s="39">
        <f>'Prevalence projection'!AH89</f>
        <v>187.24405300800061</v>
      </c>
      <c r="AI13" s="39">
        <f>'Prevalence projection'!AI89</f>
        <v>193.07147026294766</v>
      </c>
      <c r="AJ13" s="39">
        <f>'Prevalence projection'!AJ89</f>
        <v>198.93757312433755</v>
      </c>
      <c r="AK13" s="39">
        <f>'Prevalence projection'!AK89</f>
        <v>204.83658775998202</v>
      </c>
      <c r="AL13" s="39">
        <f>'Prevalence projection'!AL89</f>
        <v>210.76312747680086</v>
      </c>
      <c r="AM13" s="39">
        <f>'Prevalence projection'!AM89</f>
        <v>216.71542026573081</v>
      </c>
      <c r="AN13" s="39">
        <f>'Prevalence projection'!AN89</f>
        <v>222.69082693765768</v>
      </c>
      <c r="AO13" s="39">
        <f>'Prevalence projection'!AO89</f>
        <v>228.68579665877621</v>
      </c>
    </row>
    <row r="14" spans="1:41">
      <c r="B14" s="12" t="s">
        <v>2556</v>
      </c>
      <c r="C14" s="39">
        <f>'Prevalence projection'!C23</f>
        <v>283.5</v>
      </c>
      <c r="D14" s="39">
        <f>'Prevalence projection'!D23</f>
        <v>293.19015912843923</v>
      </c>
      <c r="E14" s="39">
        <f>'Prevalence projection'!E23</f>
        <v>301.48374143342193</v>
      </c>
      <c r="F14" s="39">
        <f>'Prevalence projection'!F23</f>
        <v>308.83682243526221</v>
      </c>
      <c r="G14" s="39">
        <f>'Prevalence projection'!G23</f>
        <v>315.66336153104555</v>
      </c>
      <c r="H14" s="39">
        <f>'Prevalence projection'!H23</f>
        <v>322.19175345226876</v>
      </c>
      <c r="I14" s="39">
        <f>'Prevalence projection'!I23</f>
        <v>328.42933957913374</v>
      </c>
      <c r="J14" s="39">
        <f>'Prevalence projection'!J23</f>
        <v>334.48368644395077</v>
      </c>
      <c r="K14" s="39">
        <f>'Prevalence projection'!K23</f>
        <v>340.99506544330711</v>
      </c>
      <c r="L14" s="39">
        <f>'Prevalence projection'!L23</f>
        <v>347.54433910494078</v>
      </c>
      <c r="M14" s="39">
        <f>'Prevalence projection'!M23</f>
        <v>353.9335530451695</v>
      </c>
      <c r="N14" s="39">
        <f>'Prevalence projection'!N23</f>
        <v>360.08149765896474</v>
      </c>
      <c r="O14" s="39">
        <f>'Prevalence projection'!O23</f>
        <v>365.94273719361729</v>
      </c>
      <c r="P14" s="39">
        <f>'Prevalence projection'!P23</f>
        <v>371.63357254034554</v>
      </c>
      <c r="Q14" s="39">
        <f>'Prevalence projection'!Q23</f>
        <v>377.28462221783354</v>
      </c>
      <c r="R14" s="39">
        <f>'Prevalence projection'!R23</f>
        <v>382.91124507394051</v>
      </c>
      <c r="S14" s="39">
        <f>'Prevalence projection'!S23</f>
        <v>388.40785027493911</v>
      </c>
      <c r="T14" s="39">
        <f>'Prevalence projection'!T23</f>
        <v>393.79137790071479</v>
      </c>
      <c r="U14" s="39">
        <f>'Prevalence projection'!U23</f>
        <v>399.30705953387786</v>
      </c>
      <c r="V14" s="39">
        <f>'Prevalence projection'!V23</f>
        <v>404.74467173140539</v>
      </c>
      <c r="W14" s="39">
        <f>'Prevalence projection'!W23</f>
        <v>410.04642242123879</v>
      </c>
      <c r="X14" s="39">
        <f>'Prevalence projection'!X23</f>
        <v>415.20473751024616</v>
      </c>
      <c r="Y14" s="39">
        <f>'Prevalence projection'!Y23</f>
        <v>420.31948942780423</v>
      </c>
      <c r="Z14" s="39">
        <f>'Prevalence projection'!Z23</f>
        <v>425.36743791398737</v>
      </c>
      <c r="AA14" s="39">
        <f>'Prevalence projection'!AA23</f>
        <v>430.30770230249254</v>
      </c>
      <c r="AB14" s="39">
        <f>'Prevalence projection'!AB23</f>
        <v>435.10950561269595</v>
      </c>
      <c r="AC14" s="39">
        <f>'Prevalence projection'!AC23</f>
        <v>439.74266739692985</v>
      </c>
      <c r="AD14" s="39">
        <f>'Prevalence projection'!AD23</f>
        <v>444.18569541933527</v>
      </c>
      <c r="AE14" s="39">
        <f>'Prevalence projection'!AE23</f>
        <v>448.41940089072472</v>
      </c>
      <c r="AF14" s="39">
        <f>'Prevalence projection'!AF23</f>
        <v>452.46367760839098</v>
      </c>
      <c r="AG14" s="39">
        <f>'Prevalence projection'!AG23</f>
        <v>456.41100265391947</v>
      </c>
      <c r="AH14" s="39">
        <f>'Prevalence projection'!AH23</f>
        <v>460.27011631298654</v>
      </c>
      <c r="AI14" s="39">
        <f>'Prevalence projection'!AI23</f>
        <v>464.07389002202655</v>
      </c>
      <c r="AJ14" s="39">
        <f>'Prevalence projection'!AJ23</f>
        <v>467.71828530869021</v>
      </c>
      <c r="AK14" s="39">
        <f>'Prevalence projection'!AK23</f>
        <v>471.12633268040184</v>
      </c>
      <c r="AL14" s="39">
        <f>'Prevalence projection'!AL23</f>
        <v>474.24785259532592</v>
      </c>
      <c r="AM14" s="39">
        <f>'Prevalence projection'!AM23</f>
        <v>477.11785402259244</v>
      </c>
      <c r="AN14" s="39">
        <f>'Prevalence projection'!AN23</f>
        <v>479.74524078913566</v>
      </c>
      <c r="AO14" s="39">
        <f>'Prevalence projection'!AO23</f>
        <v>482.11835741990541</v>
      </c>
    </row>
    <row r="15" spans="1:41" s="9" customFormat="1">
      <c r="B15" s="14" t="s">
        <v>22</v>
      </c>
      <c r="C15" s="40">
        <f>SUM(C12:C14)</f>
        <v>400.5</v>
      </c>
      <c r="D15" s="40">
        <f t="shared" ref="D15:AE15" si="2">SUM(D12:D14)</f>
        <v>417.31554044332972</v>
      </c>
      <c r="E15" s="40">
        <f t="shared" si="2"/>
        <v>432.35135833709222</v>
      </c>
      <c r="F15" s="40">
        <f t="shared" si="2"/>
        <v>446.19433300307139</v>
      </c>
      <c r="G15" s="40">
        <f t="shared" si="2"/>
        <v>459.38399049995354</v>
      </c>
      <c r="H15" s="40">
        <f t="shared" si="2"/>
        <v>472.2220789383054</v>
      </c>
      <c r="I15" s="40">
        <f t="shared" si="2"/>
        <v>484.72184388387876</v>
      </c>
      <c r="J15" s="40">
        <f t="shared" si="2"/>
        <v>497.02716390135004</v>
      </c>
      <c r="K15" s="40">
        <f t="shared" si="2"/>
        <v>509.98477729337412</v>
      </c>
      <c r="L15" s="40">
        <f t="shared" si="2"/>
        <v>523.05646387598767</v>
      </c>
      <c r="M15" s="40">
        <f t="shared" si="2"/>
        <v>535.98552347014402</v>
      </c>
      <c r="N15" s="40">
        <f t="shared" si="2"/>
        <v>548.66447286577943</v>
      </c>
      <c r="O15" s="40">
        <f t="shared" si="2"/>
        <v>561.03107650452625</v>
      </c>
      <c r="P15" s="40">
        <f t="shared" si="2"/>
        <v>573.23523869555413</v>
      </c>
      <c r="Q15" s="40">
        <f t="shared" si="2"/>
        <v>585.44794382094574</v>
      </c>
      <c r="R15" s="40">
        <f t="shared" si="2"/>
        <v>597.69059266039358</v>
      </c>
      <c r="S15" s="40">
        <f t="shared" si="2"/>
        <v>609.82512273530051</v>
      </c>
      <c r="T15" s="40">
        <f t="shared" si="2"/>
        <v>621.87260782194016</v>
      </c>
      <c r="U15" s="40">
        <f t="shared" si="2"/>
        <v>634.15523242658514</v>
      </c>
      <c r="V15" s="40">
        <f t="shared" si="2"/>
        <v>646.39959489739022</v>
      </c>
      <c r="W15" s="40">
        <f t="shared" si="2"/>
        <v>658.5286762835542</v>
      </c>
      <c r="X15" s="40">
        <f t="shared" si="2"/>
        <v>670.53050160634405</v>
      </c>
      <c r="Y15" s="40">
        <f t="shared" si="2"/>
        <v>682.53462319636196</v>
      </c>
      <c r="Z15" s="40">
        <f t="shared" si="2"/>
        <v>694.51034143835591</v>
      </c>
      <c r="AA15" s="40">
        <f t="shared" si="2"/>
        <v>706.40315873602049</v>
      </c>
      <c r="AB15" s="40">
        <f t="shared" si="2"/>
        <v>718.17106093278312</v>
      </c>
      <c r="AC15" s="40">
        <f t="shared" si="2"/>
        <v>729.77225601771602</v>
      </c>
      <c r="AD15" s="40">
        <f t="shared" si="2"/>
        <v>741.17589066866276</v>
      </c>
      <c r="AE15" s="40">
        <f t="shared" si="2"/>
        <v>752.35383476023515</v>
      </c>
      <c r="AF15" s="40">
        <f t="shared" ref="AF15:AO15" si="3">SUM(AF12:AF14)</f>
        <v>763.32920688676541</v>
      </c>
      <c r="AG15" s="40">
        <f t="shared" si="3"/>
        <v>774.22128287199189</v>
      </c>
      <c r="AH15" s="40">
        <f t="shared" si="3"/>
        <v>785.04082907336806</v>
      </c>
      <c r="AI15" s="40">
        <f t="shared" si="3"/>
        <v>795.8304862367836</v>
      </c>
      <c r="AJ15" s="40">
        <f t="shared" si="3"/>
        <v>806.45301091583451</v>
      </c>
      <c r="AK15" s="40">
        <f t="shared" si="3"/>
        <v>816.80470613564307</v>
      </c>
      <c r="AL15" s="40">
        <f t="shared" si="3"/>
        <v>826.81576384148138</v>
      </c>
      <c r="AM15" s="40">
        <f t="shared" si="3"/>
        <v>836.52784811864285</v>
      </c>
      <c r="AN15" s="40">
        <f t="shared" si="3"/>
        <v>845.94910753845579</v>
      </c>
      <c r="AO15" s="40">
        <f t="shared" si="3"/>
        <v>855.06087908380164</v>
      </c>
    </row>
    <row r="16" spans="1:41">
      <c r="J16" s="23"/>
      <c r="K16" s="23"/>
      <c r="L16" s="23"/>
      <c r="M16" s="23"/>
      <c r="N16" s="23"/>
      <c r="O16" s="23"/>
      <c r="P16" s="23"/>
      <c r="Q16" s="23"/>
      <c r="R16" s="23"/>
      <c r="S16" s="23"/>
      <c r="T16" s="23"/>
      <c r="U16" s="23"/>
      <c r="AE16" s="60"/>
      <c r="AF16" s="60"/>
      <c r="AG16" s="60"/>
      <c r="AH16" s="60"/>
      <c r="AI16" s="60"/>
      <c r="AJ16" s="60"/>
      <c r="AK16" s="60"/>
      <c r="AL16" s="60"/>
      <c r="AM16" s="60"/>
      <c r="AN16" s="60"/>
      <c r="AO16" s="60"/>
    </row>
    <row r="17" spans="1:41">
      <c r="I17" s="19"/>
      <c r="T17" s="23"/>
    </row>
    <row r="18" spans="1:41" s="588" customFormat="1">
      <c r="A18" s="588" t="s">
        <v>10</v>
      </c>
      <c r="B18" s="593" t="s">
        <v>2492</v>
      </c>
      <c r="I18" s="648"/>
    </row>
    <row r="19" spans="1:41">
      <c r="B19" s="9"/>
      <c r="I19" s="19"/>
    </row>
    <row r="20" spans="1:41">
      <c r="B20" s="9"/>
    </row>
    <row r="21" spans="1:41">
      <c r="B21" s="34" t="s">
        <v>2491</v>
      </c>
      <c r="C21" s="34">
        <f>'Wound growth'!C81</f>
        <v>2020</v>
      </c>
      <c r="D21" s="34">
        <f>'Wound growth'!D81</f>
        <v>2021</v>
      </c>
      <c r="E21" s="34">
        <f>'Wound growth'!E81</f>
        <v>2022</v>
      </c>
      <c r="F21" s="34">
        <f>'Wound growth'!F81</f>
        <v>2023</v>
      </c>
      <c r="G21" s="34">
        <f>'Wound growth'!G81</f>
        <v>2024</v>
      </c>
      <c r="H21" s="34">
        <f>'Wound growth'!H81</f>
        <v>2025</v>
      </c>
      <c r="I21" s="34">
        <f>'Wound growth'!I81</f>
        <v>2026</v>
      </c>
      <c r="J21" s="34">
        <f>'Wound growth'!J81</f>
        <v>2027</v>
      </c>
      <c r="K21" s="34">
        <f>'Wound growth'!K81</f>
        <v>2028</v>
      </c>
      <c r="L21" s="34">
        <f>'Wound growth'!L81</f>
        <v>2029</v>
      </c>
      <c r="M21" s="34">
        <f>'Wound growth'!M81</f>
        <v>2030</v>
      </c>
      <c r="N21" s="34">
        <f>'Wound growth'!N81</f>
        <v>2031</v>
      </c>
      <c r="O21" s="34">
        <f>'Wound growth'!O81</f>
        <v>2032</v>
      </c>
      <c r="P21" s="34">
        <f>'Wound growth'!P81</f>
        <v>2033</v>
      </c>
      <c r="Q21" s="34">
        <f>'Wound growth'!Q81</f>
        <v>2034</v>
      </c>
      <c r="R21" s="34">
        <f>'Wound growth'!R81</f>
        <v>2035</v>
      </c>
      <c r="S21" s="34">
        <f>'Wound growth'!S81</f>
        <v>2036</v>
      </c>
      <c r="T21" s="34">
        <f>'Wound growth'!T81</f>
        <v>2037</v>
      </c>
      <c r="U21" s="34">
        <f>'Wound growth'!U81</f>
        <v>2038</v>
      </c>
      <c r="V21" s="34">
        <f>'Wound growth'!V81</f>
        <v>2039</v>
      </c>
      <c r="W21" s="34">
        <f>'Wound growth'!W81</f>
        <v>2040</v>
      </c>
      <c r="X21" s="34">
        <f>'Wound growth'!X81</f>
        <v>2041</v>
      </c>
      <c r="Y21" s="34">
        <f>'Wound growth'!Y81</f>
        <v>2042</v>
      </c>
      <c r="Z21" s="34">
        <f>'Wound growth'!Z81</f>
        <v>2043</v>
      </c>
      <c r="AA21" s="34">
        <f>'Wound growth'!AA81</f>
        <v>2044</v>
      </c>
      <c r="AB21" s="34">
        <f>'Wound growth'!AB81</f>
        <v>2045</v>
      </c>
      <c r="AC21" s="34">
        <f>'Wound growth'!AC81</f>
        <v>2046</v>
      </c>
      <c r="AD21" s="34">
        <f>'Wound growth'!AD81</f>
        <v>2047</v>
      </c>
      <c r="AE21" s="34">
        <f>'Wound growth'!AE81</f>
        <v>2048</v>
      </c>
      <c r="AF21" s="34">
        <f>'Wound growth'!AF81</f>
        <v>2049</v>
      </c>
      <c r="AG21" s="34">
        <f>'Wound growth'!AG81</f>
        <v>2050</v>
      </c>
      <c r="AH21" s="34">
        <f>'Wound growth'!AH81</f>
        <v>2051</v>
      </c>
      <c r="AI21" s="34">
        <f>'Wound growth'!AI81</f>
        <v>2052</v>
      </c>
      <c r="AJ21" s="34">
        <f>'Wound growth'!AJ81</f>
        <v>2053</v>
      </c>
      <c r="AK21" s="34">
        <f>'Wound growth'!AK81</f>
        <v>2054</v>
      </c>
      <c r="AL21" s="34">
        <f>'Wound growth'!AL81</f>
        <v>2055</v>
      </c>
      <c r="AM21" s="34">
        <f>'Wound growth'!AM81</f>
        <v>2056</v>
      </c>
      <c r="AN21" s="34">
        <f>'Wound growth'!AN81</f>
        <v>2057</v>
      </c>
      <c r="AO21" s="34">
        <f>'Wound growth'!AO81</f>
        <v>2058</v>
      </c>
    </row>
    <row r="22" spans="1:41" s="15" customFormat="1">
      <c r="B22" s="732" t="s">
        <v>184</v>
      </c>
      <c r="C22" s="732">
        <f>INDEX('Mixed costs'!$D$242:$AP$242, MATCH(C21, 'Mixed costs'!$D$222:$AP$222,0))</f>
        <v>536954.8714103211</v>
      </c>
      <c r="D22" s="732">
        <f>INDEX('Mixed costs'!$D$242:$AP$242, MATCH(D21, 'Mixed costs'!$D$222:$AP$222,0))</f>
        <v>571085.41989407956</v>
      </c>
      <c r="E22" s="732">
        <f>INDEX('Mixed costs'!$D$242:$AP$242, MATCH(E21, 'Mixed costs'!$D$222:$AP$222,0))</f>
        <v>603628.80632325076</v>
      </c>
      <c r="F22" s="732">
        <f>INDEX('Mixed costs'!$D$242:$AP$242, MATCH(F21, 'Mixed costs'!$D$222:$AP$222,0))</f>
        <v>635298.28805271327</v>
      </c>
      <c r="G22" s="732">
        <f>INDEX('Mixed costs'!$D$242:$AP$242, MATCH(G21, 'Mixed costs'!$D$222:$AP$222,0))</f>
        <v>666819.49992900214</v>
      </c>
      <c r="H22" s="732">
        <f>INDEX('Mixed costs'!$D$242:$AP$242, MATCH(H21, 'Mixed costs'!$D$222:$AP$222,0))</f>
        <v>698639.95316791511</v>
      </c>
      <c r="I22" s="732">
        <f>INDEX('Mixed costs'!$D$242:$AP$242, MATCH(I21, 'Mixed costs'!$D$222:$AP$222,0))</f>
        <v>730807.52968993422</v>
      </c>
      <c r="J22" s="732">
        <f>INDEX('Mixed costs'!$D$242:$AP$242, MATCH(J21, 'Mixed costs'!$D$222:$AP$222,0))</f>
        <v>763569.65630175604</v>
      </c>
      <c r="K22" s="732">
        <f>INDEX('Mixed costs'!$D$242:$AP$242, MATCH(K21, 'Mixed costs'!$D$222:$AP$222,0))</f>
        <v>798318.19740654051</v>
      </c>
      <c r="L22" s="732">
        <f>INDEX('Mixed costs'!$D$242:$AP$242, MATCH(L21, 'Mixed costs'!$D$222:$AP$222,0))</f>
        <v>834317.26892187854</v>
      </c>
      <c r="M22" s="732">
        <f>INDEX('Mixed costs'!$D$242:$AP$242, MATCH(M21, 'Mixed costs'!$D$222:$AP$222,0))</f>
        <v>871203.71256977343</v>
      </c>
      <c r="N22" s="732">
        <f>INDEX('Mixed costs'!$D$242:$AP$242, MATCH(N21, 'Mixed costs'!$D$222:$AP$222,0))</f>
        <v>908530.32816210377</v>
      </c>
      <c r="O22" s="732">
        <f>INDEX('Mixed costs'!$D$242:$AP$242, MATCH(O21, 'Mixed costs'!$D$222:$AP$222,0))</f>
        <v>946468.53260662942</v>
      </c>
      <c r="P22" s="732">
        <f>INDEX('Mixed costs'!$D$242:$AP$242, MATCH(P21, 'Mixed costs'!$D$222:$AP$222,0))</f>
        <v>985292.51180214551</v>
      </c>
      <c r="Q22" s="732">
        <f>INDEX('Mixed costs'!$D$242:$AP$242, MATCH(Q21, 'Mixed costs'!$D$222:$AP$222,0))</f>
        <v>1025344.6006879786</v>
      </c>
      <c r="R22" s="732">
        <f>INDEX('Mixed costs'!$D$242:$AP$242, MATCH(R21, 'Mixed costs'!$D$222:$AP$222,0))</f>
        <v>1066717.7203367881</v>
      </c>
      <c r="S22" s="732">
        <f>INDEX('Mixed costs'!$D$242:$AP$242, MATCH(S21, 'Mixed costs'!$D$222:$AP$222,0))</f>
        <v>1109198.9333210841</v>
      </c>
      <c r="T22" s="732">
        <f>INDEX('Mixed costs'!$D$242:$AP$242, MATCH(T21, 'Mixed costs'!$D$222:$AP$222,0))</f>
        <v>1152862.5987492006</v>
      </c>
      <c r="U22" s="732">
        <f>INDEX('Mixed costs'!$D$242:$AP$242, MATCH(U21, 'Mixed costs'!$D$222:$AP$222,0))</f>
        <v>1198403.0475661943</v>
      </c>
      <c r="V22" s="732">
        <f>INDEX('Mixed costs'!$D$242:$AP$242, MATCH(V21, 'Mixed costs'!$D$222:$AP$222,0))</f>
        <v>1245341.952814799</v>
      </c>
      <c r="W22" s="732">
        <f>INDEX('Mixed costs'!$D$242:$AP$242, MATCH(W21, 'Mixed costs'!$D$222:$AP$222,0))</f>
        <v>1293559.3304038439</v>
      </c>
      <c r="X22" s="732">
        <f>INDEX('Mixed costs'!$D$242:$AP$242, MATCH(X21, 'Mixed costs'!$D$222:$AP$222,0))</f>
        <v>1343061.2792191957</v>
      </c>
      <c r="Y22" s="732">
        <f>INDEX('Mixed costs'!$D$242:$AP$242, MATCH(Y21, 'Mixed costs'!$D$222:$AP$222,0))</f>
        <v>1394171.6253827515</v>
      </c>
      <c r="Z22" s="732">
        <f>INDEX('Mixed costs'!$D$242:$AP$242, MATCH(Z21, 'Mixed costs'!$D$222:$AP$222,0))</f>
        <v>1446878.3455168877</v>
      </c>
      <c r="AA22" s="732">
        <f>INDEX('Mixed costs'!$D$242:$AP$242, MATCH(AA21, 'Mixed costs'!$D$222:$AP$222,0))</f>
        <v>1501106.2879469201</v>
      </c>
      <c r="AB22" s="732">
        <f>INDEX('Mixed costs'!$D$242:$AP$242, MATCH(AB21, 'Mixed costs'!$D$222:$AP$222,0))</f>
        <v>1556797.3937677813</v>
      </c>
      <c r="AC22" s="732">
        <f>INDEX('Mixed costs'!$D$242:$AP$242, MATCH(AC21, 'Mixed costs'!$D$222:$AP$222,0))</f>
        <v>1613884.1284225578</v>
      </c>
      <c r="AD22" s="732">
        <f>INDEX('Mixed costs'!$D$242:$AP$242, MATCH(AD21, 'Mixed costs'!$D$222:$AP$222,0))</f>
        <v>1672316.7226955614</v>
      </c>
      <c r="AE22" s="732">
        <f>INDEX('Mixed costs'!$D$242:$AP$242, MATCH(AE21, 'Mixed costs'!$D$222:$AP$222,0))</f>
        <v>1732044.9302399897</v>
      </c>
      <c r="AF22" s="732">
        <f>INDEX('Mixed costs'!$D$242:$AP$242, MATCH(AF21, 'Mixed costs'!$D$222:$AP$222,0))</f>
        <v>1793148.8274774989</v>
      </c>
      <c r="AG22" s="732">
        <f>INDEX('Mixed costs'!$D$242:$AP$242, MATCH(AG21, 'Mixed costs'!$D$222:$AP$222,0))</f>
        <v>1855982.4430694215</v>
      </c>
      <c r="AH22" s="732">
        <f>INDEX('Mixed costs'!$D$242:$AP$242, MATCH(AH21, 'Mixed costs'!$D$222:$AP$222,0))</f>
        <v>1920631.7400396552</v>
      </c>
      <c r="AI22" s="732">
        <f>INDEX('Mixed costs'!$D$242:$AP$242, MATCH(AI21, 'Mixed costs'!$D$222:$AP$222,0))</f>
        <v>1987279.9272633756</v>
      </c>
      <c r="AJ22" s="732">
        <f>INDEX('Mixed costs'!$D$242:$AP$242, MATCH(AJ21, 'Mixed costs'!$D$222:$AP$222,0))</f>
        <v>2055589.4230910221</v>
      </c>
      <c r="AK22" s="732">
        <f>INDEX('Mixed costs'!$D$242:$AP$242, MATCH(AK21, 'Mixed costs'!$D$222:$AP$222,0))</f>
        <v>2125278.9015673306</v>
      </c>
      <c r="AL22" s="732">
        <f>INDEX('Mixed costs'!$D$242:$AP$242, MATCH(AL21, 'Mixed costs'!$D$222:$AP$222,0))</f>
        <v>2196137.6633464349</v>
      </c>
      <c r="AM22" s="732">
        <f>INDEX('Mixed costs'!$D$242:$AP$242, MATCH(AM21, 'Mixed costs'!$D$222:$AP$222,0))</f>
        <v>2268289.5849867756</v>
      </c>
      <c r="AN22" s="732">
        <f>INDEX('Mixed costs'!$D$242:$AP$242, MATCH(AN21, 'Mixed costs'!$D$222:$AP$222,0))</f>
        <v>2341764.0258964086</v>
      </c>
      <c r="AO22" s="732">
        <f>INDEX('Mixed costs'!$D$242:$AP$242, MATCH(AO21, 'Mixed costs'!$D$222:$AP$222,0))</f>
        <v>2416502.584065164</v>
      </c>
    </row>
    <row r="23" spans="1:41" s="15" customFormat="1">
      <c r="B23" s="732" t="s">
        <v>185</v>
      </c>
      <c r="C23" s="732">
        <f>INDEX('Arterial costs'!$D$242:$AP$242, MATCH(C21, 'Arterial costs'!$D$222:$AP$222,0))</f>
        <v>189738.99480417746</v>
      </c>
      <c r="D23" s="732">
        <f>INDEX('Arterial costs'!$D$242:$AP$242, MATCH(D21, 'Arterial costs'!$D$222:$AP$222,0))</f>
        <v>215776.85475394633</v>
      </c>
      <c r="E23" s="732">
        <f>INDEX('Arterial costs'!$D$242:$AP$242, MATCH(E21, 'Arterial costs'!$D$222:$AP$222,0))</f>
        <v>243076.82452363073</v>
      </c>
      <c r="F23" s="732">
        <f>INDEX('Arterial costs'!$D$242:$AP$242, MATCH(F21, 'Arterial costs'!$D$222:$AP$222,0))</f>
        <v>271717.73933571781</v>
      </c>
      <c r="G23" s="732">
        <f>INDEX('Arterial costs'!$D$242:$AP$242, MATCH(G21, 'Arterial costs'!$D$222:$AP$222,0))</f>
        <v>301803.39953763201</v>
      </c>
      <c r="H23" s="732">
        <f>INDEX('Arterial costs'!$D$242:$AP$242, MATCH(H21, 'Arterial costs'!$D$222:$AP$222,0))</f>
        <v>333418.42009745562</v>
      </c>
      <c r="I23" s="732">
        <f>INDEX('Arterial costs'!$D$242:$AP$242, MATCH(I21, 'Arterial costs'!$D$222:$AP$222,0))</f>
        <v>366600.90968832519</v>
      </c>
      <c r="J23" s="732">
        <f>INDEX('Arterial costs'!$D$242:$AP$242, MATCH(J21, 'Arterial costs'!$D$222:$AP$222,0))</f>
        <v>401421.33017180703</v>
      </c>
      <c r="K23" s="732">
        <f>INDEX('Arterial costs'!$D$242:$AP$242, MATCH(K21, 'Arterial costs'!$D$222:$AP$222,0))</f>
        <v>438132.34801519511</v>
      </c>
      <c r="L23" s="732">
        <f>INDEX('Arterial costs'!$D$242:$AP$242, MATCH(L21, 'Arterial costs'!$D$222:$AP$222,0))</f>
        <v>476709.23336683976</v>
      </c>
      <c r="M23" s="732">
        <f>INDEX('Arterial costs'!$D$242:$AP$242, MATCH(M21, 'Arterial costs'!$D$222:$AP$222,0))</f>
        <v>517160.9971278123</v>
      </c>
      <c r="N23" s="732">
        <f>INDEX('Arterial costs'!$D$242:$AP$242, MATCH(N21, 'Arterial costs'!$D$222:$AP$222,0))</f>
        <v>559517.06475173216</v>
      </c>
      <c r="O23" s="732">
        <f>INDEX('Arterial costs'!$D$242:$AP$242, MATCH(O21, 'Arterial costs'!$D$222:$AP$222,0))</f>
        <v>603811.30868219747</v>
      </c>
      <c r="P23" s="732">
        <f>INDEX('Arterial costs'!$D$242:$AP$242, MATCH(P21, 'Arterial costs'!$D$222:$AP$222,0))</f>
        <v>650130.30409412016</v>
      </c>
      <c r="Q23" s="732">
        <f>INDEX('Arterial costs'!$D$242:$AP$242, MATCH(Q21, 'Arterial costs'!$D$222:$AP$222,0))</f>
        <v>698579.77268635016</v>
      </c>
      <c r="R23" s="732">
        <f>INDEX('Arterial costs'!$D$242:$AP$242, MATCH(R21, 'Arterial costs'!$D$222:$AP$222,0))</f>
        <v>749239.76530490338</v>
      </c>
      <c r="S23" s="732">
        <f>INDEX('Arterial costs'!$D$242:$AP$242, MATCH(S21, 'Arterial costs'!$D$222:$AP$222,0))</f>
        <v>802148.8910498867</v>
      </c>
      <c r="T23" s="732">
        <f>INDEX('Arterial costs'!$D$242:$AP$242, MATCH(T21, 'Arterial costs'!$D$222:$AP$222,0))</f>
        <v>857382.02903918421</v>
      </c>
      <c r="U23" s="732">
        <f>INDEX('Arterial costs'!$D$242:$AP$242, MATCH(U21, 'Arterial costs'!$D$222:$AP$222,0))</f>
        <v>915107.34364674171</v>
      </c>
      <c r="V23" s="732">
        <f>INDEX('Arterial costs'!$D$242:$AP$242, MATCH(V21, 'Arterial costs'!$D$222:$AP$222,0))</f>
        <v>975344.53215539479</v>
      </c>
      <c r="W23" s="732">
        <f>INDEX('Arterial costs'!$D$242:$AP$242, MATCH(W21, 'Arterial costs'!$D$222:$AP$222,0))</f>
        <v>1038151.5023615843</v>
      </c>
      <c r="X23" s="732">
        <f>INDEX('Arterial costs'!$D$242:$AP$242, MATCH(X21, 'Arterial costs'!$D$222:$AP$222,0))</f>
        <v>1103601.4287006173</v>
      </c>
      <c r="Y23" s="732">
        <f>INDEX('Arterial costs'!$D$242:$AP$242, MATCH(Y21, 'Arterial costs'!$D$222:$AP$222,0))</f>
        <v>1171813.8299672902</v>
      </c>
      <c r="Z23" s="732">
        <f>INDEX('Arterial costs'!$D$242:$AP$242, MATCH(Z21, 'Arterial costs'!$D$222:$AP$222,0))</f>
        <v>1242870.6379884686</v>
      </c>
      <c r="AA23" s="732">
        <f>INDEX('Arterial costs'!$D$242:$AP$242, MATCH(AA21, 'Arterial costs'!$D$222:$AP$222,0))</f>
        <v>1316845.2859290189</v>
      </c>
      <c r="AB23" s="732">
        <f>INDEX('Arterial costs'!$D$242:$AP$242, MATCH(AB21, 'Arterial costs'!$D$222:$AP$222,0))</f>
        <v>1393812.2476189428</v>
      </c>
      <c r="AC23" s="732">
        <f>INDEX('Arterial costs'!$D$242:$AP$242, MATCH(AC21, 'Arterial costs'!$D$222:$AP$222,0))</f>
        <v>1473843.7909404612</v>
      </c>
      <c r="AD23" s="732">
        <f>INDEX('Arterial costs'!$D$242:$AP$242, MATCH(AD21, 'Arterial costs'!$D$222:$AP$222,0))</f>
        <v>1557013.5070378256</v>
      </c>
      <c r="AE23" s="732">
        <f>INDEX('Arterial costs'!$D$242:$AP$242, MATCH(AE21, 'Arterial costs'!$D$222:$AP$222,0))</f>
        <v>1643394.3027839372</v>
      </c>
      <c r="AF23" s="732">
        <f>INDEX('Arterial costs'!$D$242:$AP$242, MATCH(AF21, 'Arterial costs'!$D$222:$AP$222,0))</f>
        <v>1733076.5092733167</v>
      </c>
      <c r="AG23" s="732">
        <f>INDEX('Arterial costs'!$D$242:$AP$242, MATCH(AG21, 'Arterial costs'!$D$222:$AP$222,0))</f>
        <v>1826191.1136733033</v>
      </c>
      <c r="AH23" s="732">
        <f>INDEX('Arterial costs'!$D$242:$AP$242, MATCH(AH21, 'Arterial costs'!$D$222:$AP$222,0))</f>
        <v>1922843.169696914</v>
      </c>
      <c r="AI23" s="732">
        <f>INDEX('Arterial costs'!$D$242:$AP$242, MATCH(AI21, 'Arterial costs'!$D$222:$AP$222,0))</f>
        <v>2023154.1863720692</v>
      </c>
      <c r="AJ23" s="732">
        <f>INDEX('Arterial costs'!$D$242:$AP$242, MATCH(AJ21, 'Arterial costs'!$D$222:$AP$222,0))</f>
        <v>2127181.2591789374</v>
      </c>
      <c r="AK23" s="732">
        <f>INDEX('Arterial costs'!$D$242:$AP$242, MATCH(AK21, 'Arterial costs'!$D$222:$AP$222,0))</f>
        <v>2234980.7423659503</v>
      </c>
      <c r="AL23" s="732">
        <f>INDEX('Arterial costs'!$D$242:$AP$242, MATCH(AL21, 'Arterial costs'!$D$222:$AP$222,0))</f>
        <v>2346611.704671381</v>
      </c>
      <c r="AM23" s="732">
        <f>INDEX('Arterial costs'!$D$242:$AP$242, MATCH(AM21, 'Arterial costs'!$D$222:$AP$222,0))</f>
        <v>2462172.8743924294</v>
      </c>
      <c r="AN23" s="732">
        <f>INDEX('Arterial costs'!$D$242:$AP$242, MATCH(AN21, 'Arterial costs'!$D$222:$AP$222,0))</f>
        <v>2581754.7200696669</v>
      </c>
      <c r="AO23" s="732">
        <f>INDEX('Arterial costs'!$D$242:$AP$242, MATCH(AO21, 'Arterial costs'!$D$222:$AP$222,0))</f>
        <v>2705437.9080994851</v>
      </c>
    </row>
    <row r="24" spans="1:41" s="15" customFormat="1">
      <c r="B24" s="732" t="s">
        <v>25</v>
      </c>
      <c r="C24" s="732">
        <f>INDEX('VLU costs'!$D$250:$AP$250, MATCH(C21, 'VLU costs'!$D$230:$AP$230,0))</f>
        <v>1130977.0239964989</v>
      </c>
      <c r="D24" s="732">
        <f>INDEX('VLU costs'!$D$250:$AP$250, MATCH(D21, 'VLU costs'!$D$230:$AP$230,0))</f>
        <v>1198095.5030719512</v>
      </c>
      <c r="E24" s="732">
        <f>INDEX('VLU costs'!$D$250:$AP$250, MATCH(E21, 'VLU costs'!$D$230:$AP$230,0))</f>
        <v>1262006.6628994222</v>
      </c>
      <c r="F24" s="732">
        <f>INDEX('VLU costs'!$D$250:$AP$250, MATCH(F21, 'VLU costs'!$D$230:$AP$230,0))</f>
        <v>1324338.9683280014</v>
      </c>
      <c r="G24" s="732">
        <f>INDEX('VLU costs'!$D$250:$AP$250, MATCH(G21, 'VLU costs'!$D$230:$AP$230,0))</f>
        <v>1386704.8582329417</v>
      </c>
      <c r="H24" s="732">
        <f>INDEX('VLU costs'!$D$250:$AP$250, MATCH(H21, 'VLU costs'!$D$230:$AP$230,0))</f>
        <v>1450046.6613154283</v>
      </c>
      <c r="I24" s="732">
        <f>INDEX('VLU costs'!$D$250:$AP$250, MATCH(I21, 'VLU costs'!$D$230:$AP$230,0))</f>
        <v>1514384.5696383088</v>
      </c>
      <c r="J24" s="732">
        <f>INDEX('VLU costs'!$D$250:$AP$250, MATCH(J21, 'VLU costs'!$D$230:$AP$230,0))</f>
        <v>1580211.2473129581</v>
      </c>
      <c r="K24" s="732">
        <f>INDEX('VLU costs'!$D$250:$AP$250, MATCH(K21, 'VLU costs'!$D$230:$AP$230,0))</f>
        <v>1650630.9811049225</v>
      </c>
      <c r="L24" s="732">
        <f>INDEX('VLU costs'!$D$250:$AP$250, MATCH(L21, 'VLU costs'!$D$230:$AP$230,0))</f>
        <v>1723823.4685203279</v>
      </c>
      <c r="M24" s="732">
        <f>INDEX('VLU costs'!$D$250:$AP$250, MATCH(M21, 'VLU costs'!$D$230:$AP$230,0))</f>
        <v>1798896.2030123114</v>
      </c>
      <c r="N24" s="732">
        <f>INDEX('VLU costs'!$D$250:$AP$250, MATCH(N21, 'VLU costs'!$D$230:$AP$230,0))</f>
        <v>1874389.6448430917</v>
      </c>
      <c r="O24" s="732">
        <f>INDEX('VLU costs'!$D$250:$AP$250, MATCH(O21, 'VLU costs'!$D$230:$AP$230,0))</f>
        <v>1951066.2139737387</v>
      </c>
      <c r="P24" s="732">
        <f>INDEX('VLU costs'!$D$250:$AP$250, MATCH(P21, 'VLU costs'!$D$230:$AP$230,0))</f>
        <v>2029547.4287660532</v>
      </c>
      <c r="Q24" s="732">
        <f>INDEX('VLU costs'!$D$250:$AP$250, MATCH(Q21, 'VLU costs'!$D$230:$AP$230,0))</f>
        <v>2110592.541925393</v>
      </c>
      <c r="R24" s="732">
        <f>INDEX('VLU costs'!$D$250:$AP$250, MATCH(R21, 'VLU costs'!$D$230:$AP$230,0))</f>
        <v>2194374.6900167642</v>
      </c>
      <c r="S24" s="732">
        <f>INDEX('VLU costs'!$D$250:$AP$250, MATCH(S21, 'VLU costs'!$D$230:$AP$230,0))</f>
        <v>2280372.3348325659</v>
      </c>
      <c r="T24" s="732">
        <f>INDEX('VLU costs'!$D$250:$AP$250, MATCH(T21, 'VLU costs'!$D$230:$AP$230,0))</f>
        <v>2368738.6487240316</v>
      </c>
      <c r="U24" s="732">
        <f>INDEX('VLU costs'!$D$250:$AP$250, MATCH(U21, 'VLU costs'!$D$230:$AP$230,0))</f>
        <v>2461035.2556811674</v>
      </c>
      <c r="V24" s="732">
        <f>INDEX('VLU costs'!$D$250:$AP$250, MATCH(V21, 'VLU costs'!$D$230:$AP$230,0))</f>
        <v>2556114.2799933003</v>
      </c>
      <c r="W24" s="732">
        <f>INDEX('VLU costs'!$D$250:$AP$250, MATCH(W21, 'VLU costs'!$D$230:$AP$230,0))</f>
        <v>2653685.7042848971</v>
      </c>
      <c r="X24" s="732">
        <f>INDEX('VLU costs'!$D$250:$AP$250, MATCH(X21, 'VLU costs'!$D$230:$AP$230,0))</f>
        <v>2753756.6501980731</v>
      </c>
      <c r="Y24" s="732">
        <f>INDEX('VLU costs'!$D$250:$AP$250, MATCH(Y21, 'VLU costs'!$D$230:$AP$230,0))</f>
        <v>2857056.3127743481</v>
      </c>
      <c r="Z24" s="732">
        <f>INDEX('VLU costs'!$D$250:$AP$250, MATCH(Z21, 'VLU costs'!$D$230:$AP$230,0))</f>
        <v>2963530.7474130113</v>
      </c>
      <c r="AA24" s="732">
        <f>INDEX('VLU costs'!$D$250:$AP$250, MATCH(AA21, 'VLU costs'!$D$230:$AP$230,0))</f>
        <v>3072987.8492794526</v>
      </c>
      <c r="AB24" s="732">
        <f>INDEX('VLU costs'!$D$250:$AP$250, MATCH(AB21, 'VLU costs'!$D$230:$AP$230,0))</f>
        <v>3185282.2043644986</v>
      </c>
      <c r="AC24" s="732">
        <f>INDEX('VLU costs'!$D$250:$AP$250, MATCH(AC21, 'VLU costs'!$D$230:$AP$230,0))</f>
        <v>3300252.0748552764</v>
      </c>
      <c r="AD24" s="732">
        <f>INDEX('VLU costs'!$D$250:$AP$250, MATCH(AD21, 'VLU costs'!$D$230:$AP$230,0))</f>
        <v>3417780.891168267</v>
      </c>
      <c r="AE24" s="732">
        <f>INDEX('VLU costs'!$D$250:$AP$250, MATCH(AE21, 'VLU costs'!$D$230:$AP$230,0))</f>
        <v>3537753.4314086805</v>
      </c>
      <c r="AF24" s="732">
        <f>INDEX('VLU costs'!$D$250:$AP$250, MATCH(AF21, 'VLU costs'!$D$230:$AP$230,0))</f>
        <v>3660351.2354203193</v>
      </c>
      <c r="AG24" s="732">
        <f>INDEX('VLU costs'!$D$250:$AP$250, MATCH(AG21, 'VLU costs'!$D$230:$AP$230,0))</f>
        <v>3786370.2239782508</v>
      </c>
      <c r="AH24" s="732">
        <f>INDEX('VLU costs'!$D$250:$AP$250, MATCH(AH21, 'VLU costs'!$D$230:$AP$230,0))</f>
        <v>3915976.4267658964</v>
      </c>
      <c r="AI24" s="732">
        <f>INDEX('VLU costs'!$D$250:$AP$250, MATCH(AI21, 'VLU costs'!$D$230:$AP$230,0))</f>
        <v>4049555.2407625476</v>
      </c>
      <c r="AJ24" s="732">
        <f>INDEX('VLU costs'!$D$250:$AP$250, MATCH(AJ21, 'VLU costs'!$D$230:$AP$230,0))</f>
        <v>4186306.2351502879</v>
      </c>
      <c r="AK24" s="732">
        <f>INDEX('VLU costs'!$D$250:$AP$250, MATCH(AK21, 'VLU costs'!$D$230:$AP$230,0))</f>
        <v>4325584.0762021514</v>
      </c>
      <c r="AL24" s="732">
        <f>INDEX('VLU costs'!$D$250:$AP$250, MATCH(AL21, 'VLU costs'!$D$230:$AP$230,0))</f>
        <v>4466921.3253922602</v>
      </c>
      <c r="AM24" s="732">
        <f>INDEX('VLU costs'!$D$250:$AP$250, MATCH(AM21, 'VLU costs'!$D$230:$AP$230,0))</f>
        <v>4610616.483071669</v>
      </c>
      <c r="AN24" s="732">
        <f>INDEX('VLU costs'!$D$250:$AP$250, MATCH(AN21, 'VLU costs'!$D$230:$AP$230,0))</f>
        <v>4756740.7327274596</v>
      </c>
      <c r="AO24" s="732">
        <f>INDEX('VLU costs'!$D$250:$AP$250, MATCH(AO21, 'VLU costs'!$D$230:$AP$230,0))</f>
        <v>4905162.3802486379</v>
      </c>
    </row>
    <row r="25" spans="1:41" s="15" customFormat="1">
      <c r="B25" s="733" t="s">
        <v>22</v>
      </c>
      <c r="C25" s="733">
        <f t="shared" ref="C25:AE25" si="4">SUM(C22:C24)</f>
        <v>1857670.8902109973</v>
      </c>
      <c r="D25" s="733">
        <f t="shared" si="4"/>
        <v>1984957.7777199771</v>
      </c>
      <c r="E25" s="733">
        <f t="shared" si="4"/>
        <v>2108712.2937463038</v>
      </c>
      <c r="F25" s="733">
        <f t="shared" si="4"/>
        <v>2231354.9957164326</v>
      </c>
      <c r="G25" s="733">
        <f t="shared" si="4"/>
        <v>2355327.7576995757</v>
      </c>
      <c r="H25" s="733">
        <f t="shared" si="4"/>
        <v>2482105.0345807988</v>
      </c>
      <c r="I25" s="733">
        <f t="shared" si="4"/>
        <v>2611793.0090165683</v>
      </c>
      <c r="J25" s="733">
        <f t="shared" si="4"/>
        <v>2745202.2337865215</v>
      </c>
      <c r="K25" s="733">
        <f t="shared" si="4"/>
        <v>2887081.5265266579</v>
      </c>
      <c r="L25" s="733">
        <f t="shared" si="4"/>
        <v>3034849.9708090462</v>
      </c>
      <c r="M25" s="733">
        <f t="shared" si="4"/>
        <v>3187260.9127098974</v>
      </c>
      <c r="N25" s="733">
        <f t="shared" si="4"/>
        <v>3342437.0377569278</v>
      </c>
      <c r="O25" s="733">
        <f t="shared" si="4"/>
        <v>3501346.0552625656</v>
      </c>
      <c r="P25" s="733">
        <f t="shared" si="4"/>
        <v>3664970.2446623188</v>
      </c>
      <c r="Q25" s="733">
        <f t="shared" si="4"/>
        <v>3834516.915299722</v>
      </c>
      <c r="R25" s="733">
        <f t="shared" si="4"/>
        <v>4010332.1756584556</v>
      </c>
      <c r="S25" s="733">
        <f t="shared" si="4"/>
        <v>4191720.1592035368</v>
      </c>
      <c r="T25" s="733">
        <f t="shared" si="4"/>
        <v>4378983.2765124161</v>
      </c>
      <c r="U25" s="733">
        <f t="shared" si="4"/>
        <v>4574545.6468941029</v>
      </c>
      <c r="V25" s="733">
        <f t="shared" si="4"/>
        <v>4776800.7649634946</v>
      </c>
      <c r="W25" s="733">
        <f t="shared" si="4"/>
        <v>4985396.5370503254</v>
      </c>
      <c r="X25" s="733">
        <f t="shared" si="4"/>
        <v>5200419.3581178859</v>
      </c>
      <c r="Y25" s="733">
        <f t="shared" si="4"/>
        <v>5423041.7681243895</v>
      </c>
      <c r="Z25" s="733">
        <f t="shared" si="4"/>
        <v>5653279.7309183674</v>
      </c>
      <c r="AA25" s="733">
        <f t="shared" si="4"/>
        <v>5890939.4231553916</v>
      </c>
      <c r="AB25" s="733">
        <f t="shared" si="4"/>
        <v>6135891.8457512222</v>
      </c>
      <c r="AC25" s="733">
        <f t="shared" si="4"/>
        <v>6387979.9942182954</v>
      </c>
      <c r="AD25" s="733">
        <f t="shared" si="4"/>
        <v>6647111.1209016535</v>
      </c>
      <c r="AE25" s="733">
        <f t="shared" si="4"/>
        <v>6913192.6644326076</v>
      </c>
      <c r="AF25" s="733">
        <f t="shared" ref="AF25:AO25" si="5">SUM(AF22:AF24)</f>
        <v>7186576.5721711349</v>
      </c>
      <c r="AG25" s="733">
        <f t="shared" si="5"/>
        <v>7468543.7807209753</v>
      </c>
      <c r="AH25" s="733">
        <f t="shared" si="5"/>
        <v>7759451.3365024654</v>
      </c>
      <c r="AI25" s="733">
        <f t="shared" si="5"/>
        <v>8059989.3543979926</v>
      </c>
      <c r="AJ25" s="733">
        <f t="shared" si="5"/>
        <v>8369076.9174202476</v>
      </c>
      <c r="AK25" s="733">
        <f t="shared" si="5"/>
        <v>8685843.7201354317</v>
      </c>
      <c r="AL25" s="733">
        <f t="shared" si="5"/>
        <v>9009670.6934100762</v>
      </c>
      <c r="AM25" s="733">
        <f t="shared" si="5"/>
        <v>9341078.9424508736</v>
      </c>
      <c r="AN25" s="733">
        <f t="shared" si="5"/>
        <v>9680259.4786935337</v>
      </c>
      <c r="AO25" s="733">
        <f t="shared" si="5"/>
        <v>10027102.872413287</v>
      </c>
    </row>
    <row r="26" spans="1:41" s="15" customFormat="1"/>
    <row r="27" spans="1:41" s="422" customFormat="1">
      <c r="B27" s="83" t="s">
        <v>180</v>
      </c>
      <c r="C27" s="83"/>
      <c r="D27" s="561">
        <f>D25/C25-1</f>
        <v>6.8519611401415936E-2</v>
      </c>
      <c r="E27" s="83">
        <f t="shared" ref="E27:AE27" si="6">E25/D25-1</f>
        <v>6.2346170490577002E-2</v>
      </c>
      <c r="F27" s="83">
        <f t="shared" si="6"/>
        <v>5.8159997612686976E-2</v>
      </c>
      <c r="G27" s="83">
        <f t="shared" si="6"/>
        <v>5.5559407723619003E-2</v>
      </c>
      <c r="H27" s="83">
        <f t="shared" si="6"/>
        <v>5.3825747379228961E-2</v>
      </c>
      <c r="I27" s="83">
        <f t="shared" si="6"/>
        <v>5.2249188744614372E-2</v>
      </c>
      <c r="J27" s="83">
        <f t="shared" si="6"/>
        <v>5.1079555044902358E-2</v>
      </c>
      <c r="K27" s="83">
        <f t="shared" si="6"/>
        <v>5.1682637801310216E-2</v>
      </c>
      <c r="L27" s="83">
        <f t="shared" si="6"/>
        <v>5.1182636487637767E-2</v>
      </c>
      <c r="M27" s="83">
        <f t="shared" si="6"/>
        <v>5.0220255817199577E-2</v>
      </c>
      <c r="N27" s="83">
        <f t="shared" si="6"/>
        <v>4.8686357752586895E-2</v>
      </c>
      <c r="O27" s="83">
        <f t="shared" si="6"/>
        <v>4.7542860407111753E-2</v>
      </c>
      <c r="P27" s="83">
        <f t="shared" si="6"/>
        <v>4.6731795948539379E-2</v>
      </c>
      <c r="Q27" s="83">
        <f t="shared" si="6"/>
        <v>4.6261404409580598E-2</v>
      </c>
      <c r="R27" s="83">
        <f t="shared" si="6"/>
        <v>4.5850693644675422E-2</v>
      </c>
      <c r="S27" s="83">
        <f t="shared" si="6"/>
        <v>4.523016438539762E-2</v>
      </c>
      <c r="T27" s="83">
        <f t="shared" si="6"/>
        <v>4.4674527448526291E-2</v>
      </c>
      <c r="U27" s="83">
        <f t="shared" si="6"/>
        <v>4.465930971479759E-2</v>
      </c>
      <c r="V27" s="83">
        <f t="shared" si="6"/>
        <v>4.4213159881072217E-2</v>
      </c>
      <c r="W27" s="83">
        <f t="shared" si="6"/>
        <v>4.3668510023868512E-2</v>
      </c>
      <c r="X27" s="83">
        <f t="shared" si="6"/>
        <v>4.3130535248211421E-2</v>
      </c>
      <c r="Y27" s="83">
        <f t="shared" si="6"/>
        <v>4.2808549594945289E-2</v>
      </c>
      <c r="Z27" s="83">
        <f t="shared" si="6"/>
        <v>4.2455502398538236E-2</v>
      </c>
      <c r="AA27" s="83">
        <f t="shared" si="6"/>
        <v>4.2039259252861561E-2</v>
      </c>
      <c r="AB27" s="83">
        <f t="shared" si="6"/>
        <v>4.1581215660273285E-2</v>
      </c>
      <c r="AC27" s="83">
        <f t="shared" si="6"/>
        <v>4.1084190335204607E-2</v>
      </c>
      <c r="AD27" s="83">
        <f t="shared" si="6"/>
        <v>4.0565425520727283E-2</v>
      </c>
      <c r="AE27" s="83">
        <f t="shared" si="6"/>
        <v>4.0029651782752307E-2</v>
      </c>
      <c r="AF27" s="83">
        <f t="shared" ref="AF27" si="7">AF25/AE25-1</f>
        <v>3.9545246459721684E-2</v>
      </c>
      <c r="AG27" s="83">
        <f t="shared" ref="AG27" si="8">AG25/AF25-1</f>
        <v>3.9235261145301514E-2</v>
      </c>
      <c r="AH27" s="83">
        <f t="shared" ref="AH27" si="9">AH25/AG25-1</f>
        <v>3.8951041102875728E-2</v>
      </c>
      <c r="AI27" s="83">
        <f t="shared" ref="AI27" si="10">AI25/AH25-1</f>
        <v>3.8731864517497439E-2</v>
      </c>
      <c r="AJ27" s="83">
        <f t="shared" ref="AJ27" si="11">AJ25/AI25-1</f>
        <v>3.8348383531499275E-2</v>
      </c>
      <c r="AK27" s="83">
        <f t="shared" ref="AK27" si="12">AK25/AJ25-1</f>
        <v>3.7849670380712297E-2</v>
      </c>
      <c r="AL27" s="83">
        <f t="shared" ref="AL27" si="13">AL25/AK25-1</f>
        <v>3.7282155160580643E-2</v>
      </c>
      <c r="AM27" s="83">
        <f t="shared" ref="AM27" si="14">AM25/AL25-1</f>
        <v>3.6783613998589093E-2</v>
      </c>
      <c r="AN27" s="83">
        <f t="shared" ref="AN27" si="15">AN25/AM25-1</f>
        <v>3.631063802504042E-2</v>
      </c>
      <c r="AO27" s="83">
        <f t="shared" ref="AO27" si="16">AO25/AN25-1</f>
        <v>3.5829968657675293E-2</v>
      </c>
    </row>
    <row r="28" spans="1:41">
      <c r="B28" s="189"/>
      <c r="C28" s="189"/>
      <c r="D28" s="190"/>
      <c r="E28" s="190"/>
      <c r="F28" s="190"/>
      <c r="G28" s="190"/>
      <c r="H28" s="190"/>
      <c r="I28" s="190"/>
      <c r="J28" s="190"/>
      <c r="K28" s="190"/>
      <c r="L28" s="190"/>
      <c r="M28" s="190"/>
      <c r="N28" s="190"/>
      <c r="O28" s="190"/>
      <c r="P28" s="190"/>
      <c r="Q28" s="190"/>
      <c r="R28" s="190"/>
      <c r="S28" s="190"/>
      <c r="T28" s="190"/>
      <c r="U28" s="190"/>
      <c r="V28" s="190"/>
      <c r="W28" s="190"/>
      <c r="X28" s="190"/>
      <c r="Y28" s="190"/>
      <c r="Z28" s="190"/>
      <c r="AA28" s="190"/>
      <c r="AB28" s="190"/>
      <c r="AC28" s="190"/>
      <c r="AD28" s="190"/>
      <c r="AE28" s="190"/>
    </row>
    <row r="29" spans="1:41">
      <c r="B29" s="9"/>
      <c r="C29" s="189"/>
      <c r="D29" s="189"/>
      <c r="E29" s="189"/>
      <c r="F29" s="189"/>
      <c r="G29" s="189"/>
      <c r="H29" s="189"/>
      <c r="I29" s="189"/>
      <c r="J29" s="189"/>
      <c r="K29" s="189"/>
      <c r="L29" s="189"/>
      <c r="M29" s="189"/>
      <c r="N29" s="189"/>
      <c r="O29" s="189"/>
      <c r="P29" s="189"/>
      <c r="Q29" s="189"/>
      <c r="R29" s="189" t="s">
        <v>3454</v>
      </c>
      <c r="S29" s="189" t="str">
        <f>B22</f>
        <v>Mixed</v>
      </c>
      <c r="T29" s="189">
        <f>J22/10^6</f>
        <v>0.76356965630175599</v>
      </c>
      <c r="U29" s="189"/>
      <c r="V29" s="189"/>
      <c r="W29" s="189"/>
      <c r="X29" s="189"/>
      <c r="Y29" s="189"/>
      <c r="Z29" s="189"/>
      <c r="AA29" s="189"/>
      <c r="AB29" s="189"/>
      <c r="AC29" s="189"/>
      <c r="AD29" s="189"/>
      <c r="AE29" s="189"/>
    </row>
    <row r="30" spans="1:41">
      <c r="B30" s="9"/>
      <c r="C30" s="189"/>
      <c r="D30" s="189"/>
      <c r="E30" s="189"/>
      <c r="F30" s="189"/>
      <c r="G30" s="189"/>
      <c r="H30" s="189"/>
      <c r="I30" s="189"/>
      <c r="J30" s="189"/>
      <c r="K30" s="189"/>
      <c r="L30" s="189"/>
      <c r="M30" s="189"/>
      <c r="N30" s="189"/>
      <c r="O30" s="189"/>
      <c r="P30" s="189"/>
      <c r="Q30" s="189"/>
      <c r="R30" s="189" t="s">
        <v>2509</v>
      </c>
      <c r="S30" s="189" t="str">
        <f t="shared" ref="S30:S31" si="17">B23</f>
        <v>Arterial</v>
      </c>
      <c r="T30" s="189">
        <f t="shared" ref="T30:T31" si="18">J23/10^6</f>
        <v>0.40142133017180703</v>
      </c>
      <c r="U30" s="189"/>
      <c r="V30" s="189"/>
      <c r="W30" s="189"/>
      <c r="X30" s="189"/>
      <c r="Y30" s="189"/>
      <c r="Z30" s="189"/>
      <c r="AA30" s="189"/>
      <c r="AB30" s="189"/>
      <c r="AC30" s="189"/>
      <c r="AD30" s="189"/>
      <c r="AE30" s="189"/>
    </row>
    <row r="31" spans="1:41">
      <c r="B31" s="9"/>
      <c r="C31" s="189"/>
      <c r="D31" s="189"/>
      <c r="E31" s="189"/>
      <c r="F31" s="189"/>
      <c r="G31" s="189"/>
      <c r="H31" s="189"/>
      <c r="I31" s="189"/>
      <c r="J31" s="189"/>
      <c r="K31" s="189"/>
      <c r="L31" s="189"/>
      <c r="M31" s="189"/>
      <c r="N31" s="189"/>
      <c r="O31" s="189"/>
      <c r="P31" s="189"/>
      <c r="Q31" s="189"/>
      <c r="R31" s="189" t="s">
        <v>119</v>
      </c>
      <c r="S31" s="189" t="str">
        <f t="shared" si="17"/>
        <v>VLU</v>
      </c>
      <c r="T31" s="189">
        <f t="shared" si="18"/>
        <v>1.5802112473129581</v>
      </c>
      <c r="U31" s="189"/>
      <c r="V31" s="189"/>
      <c r="W31" s="189"/>
      <c r="X31" s="189"/>
      <c r="Y31" s="189"/>
      <c r="Z31" s="189"/>
      <c r="AA31" s="189"/>
      <c r="AB31" s="189"/>
      <c r="AC31" s="189"/>
      <c r="AD31" s="189"/>
      <c r="AE31" s="189"/>
    </row>
    <row r="32" spans="1:41" ht="29">
      <c r="B32" s="385" t="s">
        <v>2496</v>
      </c>
      <c r="C32" s="441">
        <f>INDEX($C$25:$AE$25, MATCH(C6,$C$21:$AE$21, 0))/10^6</f>
        <v>1.8576708902109973</v>
      </c>
      <c r="D32" s="519">
        <v>3073.4079987926507</v>
      </c>
      <c r="E32" s="599" t="b">
        <f>C32=D32</f>
        <v>0</v>
      </c>
      <c r="F32" s="189"/>
      <c r="G32" s="189"/>
      <c r="H32" s="189"/>
      <c r="I32" s="189"/>
      <c r="J32" s="189"/>
      <c r="K32" s="189"/>
      <c r="L32" s="189"/>
      <c r="M32" s="189"/>
      <c r="N32" s="189"/>
      <c r="O32" s="189"/>
      <c r="P32" s="189"/>
      <c r="Q32" s="189"/>
      <c r="R32" s="189" t="s">
        <v>150</v>
      </c>
      <c r="S32" s="189"/>
      <c r="T32" s="189">
        <f>SUM(T29:T31)</f>
        <v>2.7452022337865212</v>
      </c>
      <c r="U32" s="189"/>
      <c r="V32" s="189"/>
      <c r="W32" s="189"/>
      <c r="X32" s="189"/>
      <c r="Y32" s="189"/>
      <c r="Z32" s="189"/>
      <c r="AA32" s="189"/>
      <c r="AB32" s="189"/>
      <c r="AC32" s="189"/>
      <c r="AD32" s="189"/>
      <c r="AE32" s="189"/>
    </row>
    <row r="33" spans="1:31">
      <c r="E33" s="402"/>
      <c r="F33" s="189"/>
      <c r="G33" s="189"/>
      <c r="H33" s="189"/>
      <c r="I33" s="189"/>
      <c r="J33" s="189"/>
      <c r="K33" s="189"/>
      <c r="L33" s="189"/>
      <c r="M33" s="189"/>
      <c r="N33" s="189"/>
      <c r="O33" s="189"/>
      <c r="P33" s="189"/>
      <c r="Q33" s="189"/>
      <c r="R33" s="189"/>
      <c r="S33" s="189"/>
      <c r="T33" s="189"/>
      <c r="U33" s="189"/>
      <c r="V33" s="189"/>
      <c r="W33" s="189"/>
      <c r="X33" s="189"/>
      <c r="Y33" s="189"/>
      <c r="Z33" s="189"/>
      <c r="AA33" s="189"/>
      <c r="AB33" s="189"/>
      <c r="AC33" s="189"/>
      <c r="AD33" s="189"/>
      <c r="AE33" s="189"/>
    </row>
    <row r="34" spans="1:31">
      <c r="B34" s="119"/>
      <c r="C34" s="423"/>
      <c r="D34" s="714"/>
      <c r="E34" s="425"/>
      <c r="F34" s="426"/>
      <c r="G34" s="189"/>
      <c r="H34" s="189"/>
      <c r="I34" s="189"/>
      <c r="J34" s="189"/>
      <c r="K34" s="189"/>
      <c r="L34" s="189"/>
      <c r="M34" s="189"/>
      <c r="N34" s="189"/>
      <c r="O34" s="189"/>
      <c r="P34" s="189"/>
      <c r="Q34" s="189"/>
      <c r="R34" s="189"/>
      <c r="S34" s="189"/>
      <c r="T34" s="189"/>
      <c r="U34" s="189"/>
      <c r="V34" s="189"/>
      <c r="W34" s="189"/>
      <c r="X34" s="189"/>
      <c r="Y34" s="189"/>
      <c r="Z34" s="189"/>
      <c r="AA34" s="189"/>
      <c r="AB34" s="189"/>
      <c r="AC34" s="189"/>
      <c r="AD34" s="189"/>
      <c r="AE34" s="189"/>
    </row>
    <row r="35" spans="1:31">
      <c r="C35" s="423"/>
    </row>
    <row r="36" spans="1:31" s="588" customFormat="1">
      <c r="A36" s="593" t="s">
        <v>10</v>
      </c>
      <c r="B36" s="593" t="s">
        <v>2495</v>
      </c>
      <c r="F36" s="649"/>
      <c r="G36" s="649"/>
      <c r="H36" s="649"/>
      <c r="I36" s="649"/>
    </row>
    <row r="37" spans="1:31">
      <c r="A37" s="9"/>
      <c r="B37" s="9"/>
      <c r="F37" s="81"/>
      <c r="G37" s="81"/>
      <c r="H37" s="81"/>
      <c r="I37" s="81"/>
    </row>
    <row r="38" spans="1:31">
      <c r="H38" s="19"/>
      <c r="I38" s="19"/>
    </row>
    <row r="39" spans="1:31">
      <c r="B39" s="9" t="s">
        <v>2490</v>
      </c>
      <c r="G39" s="9"/>
      <c r="H39" s="19"/>
      <c r="I39" s="19"/>
    </row>
    <row r="40" spans="1:31">
      <c r="B40" s="9"/>
      <c r="G40" s="9"/>
    </row>
    <row r="41" spans="1:31">
      <c r="B41" s="6" t="s">
        <v>2889</v>
      </c>
      <c r="C41" s="41">
        <f>C6</f>
        <v>2020</v>
      </c>
      <c r="G41" s="9"/>
    </row>
    <row r="43" spans="1:31">
      <c r="B43" s="84" t="s">
        <v>125</v>
      </c>
      <c r="C43" s="84" t="s">
        <v>2493</v>
      </c>
      <c r="D43" s="84" t="s">
        <v>25</v>
      </c>
      <c r="E43" s="84" t="s">
        <v>184</v>
      </c>
      <c r="F43" s="84" t="s">
        <v>185</v>
      </c>
      <c r="G43" s="201" t="s">
        <v>2499</v>
      </c>
    </row>
    <row r="44" spans="1:31">
      <c r="B44" s="6" t="s">
        <v>11</v>
      </c>
      <c r="C44" s="378" t="s">
        <v>2475</v>
      </c>
      <c r="D44" s="169">
        <f>INDEX('VLU costs'!$D$231:$AH$248, MATCH(B44, 'VLU costs'!$B$231:$B$248,0), MATCH($C$41, 'VLU costs'!$D$230:$AH$230,0))/10^6</f>
        <v>9.3386094666666655E-2</v>
      </c>
      <c r="E44" s="169">
        <f>INDEX('Mixed costs'!$D$223:$AH$240, MATCH(B44, 'Mixed costs'!$B$223:$B$240,0), MATCH($C$41, 'Mixed costs'!$D$222:$AH$222,0))/10^6</f>
        <v>6.1084352723118455E-2</v>
      </c>
      <c r="F44" s="169">
        <f>INDEX('Arterial costs'!$D$223:$AH$240, MATCH(B44, 'Arterial costs'!$B$223:$B$240,0), MATCH($C$41, 'Arterial costs'!$D$222:$AH$222,0))/10^6</f>
        <v>7.8052228479540244E-3</v>
      </c>
      <c r="G44" s="201" t="s">
        <v>11</v>
      </c>
    </row>
    <row r="45" spans="1:31">
      <c r="B45" s="6" t="s">
        <v>14</v>
      </c>
      <c r="C45" s="378" t="s">
        <v>2475</v>
      </c>
      <c r="D45" s="169">
        <f>INDEX('VLU costs'!$D$231:$AH$248, MATCH(B45, 'VLU costs'!$B$231:$B$248,0), MATCH($C$41, 'VLU costs'!$D$230:$AH$230,0))/10^6</f>
        <v>3.3023812390692064E-4</v>
      </c>
      <c r="E45" s="169">
        <f>INDEX('Mixed costs'!$D$223:$AH$240, MATCH(B45, 'Mixed costs'!$B$223:$B$240,0), MATCH($C$41, 'Mixed costs'!$D$222:$AH$222,0))/10^6</f>
        <v>0</v>
      </c>
      <c r="F45" s="169">
        <f>INDEX('Arterial costs'!$D$223:$AH$240, MATCH(B45, 'Arterial costs'!$B$223:$B$240,0), MATCH($C$41, 'Arterial costs'!$D$222:$AH$222,0))/10^6</f>
        <v>0</v>
      </c>
      <c r="G45" s="201" t="s">
        <v>2498</v>
      </c>
    </row>
    <row r="46" spans="1:31">
      <c r="B46" s="6" t="s">
        <v>15</v>
      </c>
      <c r="C46" s="378" t="s">
        <v>2475</v>
      </c>
      <c r="D46" s="169">
        <f>INDEX('VLU costs'!$D$231:$AH$248, MATCH(B46, 'VLU costs'!$B$231:$B$248,0), MATCH($C$41, 'VLU costs'!$D$230:$AH$230,0))/10^6</f>
        <v>3.498077905088123E-3</v>
      </c>
      <c r="E46" s="169">
        <f>INDEX('Mixed costs'!$D$223:$AH$240, MATCH(B46, 'Mixed costs'!$B$223:$B$240,0), MATCH($C$41, 'Mixed costs'!$D$222:$AH$222,0))/10^6</f>
        <v>1.1567657895127398E-3</v>
      </c>
      <c r="F46" s="169">
        <f>INDEX('Arterial costs'!$D$223:$AH$240, MATCH(B46, 'Arterial costs'!$B$223:$B$240,0), MATCH($C$41, 'Arterial costs'!$D$222:$AH$222,0))/10^6</f>
        <v>6.6514184015438699E-4</v>
      </c>
      <c r="G46" s="201" t="s">
        <v>2498</v>
      </c>
    </row>
    <row r="47" spans="1:31" ht="29">
      <c r="B47" s="6" t="s">
        <v>16</v>
      </c>
      <c r="C47" s="139" t="s">
        <v>2476</v>
      </c>
      <c r="D47" s="169">
        <f>INDEX('VLU costs'!$D$231:$AH$248, MATCH(B47, 'VLU costs'!$B$231:$B$248,0), MATCH($C$41, 'VLU costs'!$D$230:$AH$230,0))/10^6</f>
        <v>7.1987118163291133E-2</v>
      </c>
      <c r="E47" s="169">
        <f>INDEX('Mixed costs'!$D$223:$AH$240, MATCH(B47, 'Mixed costs'!$B$223:$B$240,0), MATCH($C$41, 'Mixed costs'!$D$222:$AH$222,0))/10^6</f>
        <v>1.1444797128213269E-2</v>
      </c>
      <c r="F47" s="169">
        <f>INDEX('Arterial costs'!$D$223:$AH$240, MATCH(B47, 'Arterial costs'!$B$223:$B$240,0), MATCH($C$41, 'Arterial costs'!$D$222:$AH$222,0))/10^6</f>
        <v>3.9484514094565706E-3</v>
      </c>
      <c r="G47" s="201" t="s">
        <v>16</v>
      </c>
    </row>
    <row r="48" spans="1:31">
      <c r="B48" s="6" t="s">
        <v>103</v>
      </c>
      <c r="C48" s="139" t="s">
        <v>2476</v>
      </c>
      <c r="D48" s="169">
        <f>INDEX('VLU costs'!$D$231:$AH$248, MATCH(B48, 'VLU costs'!$B$231:$B$248,0), MATCH($C$41, 'VLU costs'!$D$230:$AH$230,0))/10^6</f>
        <v>0.37260639890900088</v>
      </c>
      <c r="E48" s="169">
        <f>INDEX('Mixed costs'!$D$223:$AH$240, MATCH(B48, 'Mixed costs'!$B$223:$B$240,0), MATCH($C$41, 'Mixed costs'!$D$222:$AH$222,0))/10^6</f>
        <v>0.20535989171137331</v>
      </c>
      <c r="F48" s="169">
        <f>INDEX('Arterial costs'!$D$223:$AH$240, MATCH(B48, 'Arterial costs'!$B$223:$B$240,0), MATCH($C$41, 'Arterial costs'!$D$222:$AH$222,0))/10^6</f>
        <v>8.8561403479533993E-2</v>
      </c>
      <c r="G48" s="201" t="s">
        <v>103</v>
      </c>
    </row>
    <row r="49" spans="2:11">
      <c r="B49" s="6" t="s">
        <v>104</v>
      </c>
      <c r="C49" s="139" t="s">
        <v>2474</v>
      </c>
      <c r="D49" s="169">
        <f>INDEX('VLU costs'!$D$231:$AH$248, MATCH(B49, 'VLU costs'!$B$231:$B$248,0), MATCH($C$41, 'VLU costs'!$D$230:$AH$230,0))/10^6</f>
        <v>4.2677296491716803E-2</v>
      </c>
      <c r="E49" s="169">
        <f>INDEX('Mixed costs'!$D$223:$AH$240, MATCH(B49, 'Mixed costs'!$B$223:$B$240,0), MATCH($C$41, 'Mixed costs'!$D$222:$AH$222,0))/10^6</f>
        <v>3.2568027196340096E-2</v>
      </c>
      <c r="F49" s="169">
        <f>INDEX('Arterial costs'!$D$223:$AH$240, MATCH(B49, 'Arterial costs'!$B$223:$B$240,0), MATCH($C$41, 'Arterial costs'!$D$222:$AH$222,0))/10^6</f>
        <v>1.8269868915020053E-3</v>
      </c>
      <c r="G49" s="201" t="s">
        <v>104</v>
      </c>
    </row>
    <row r="50" spans="2:11">
      <c r="B50" s="6" t="s">
        <v>17</v>
      </c>
      <c r="C50" s="139" t="s">
        <v>2474</v>
      </c>
      <c r="D50" s="169">
        <f>INDEX('VLU costs'!$D$231:$AH$248, MATCH(B50, 'VLU costs'!$B$231:$B$248,0), MATCH($C$41, 'VLU costs'!$D$230:$AH$230,0))/10^6</f>
        <v>2.6715414686023564E-2</v>
      </c>
      <c r="E50" s="169">
        <f>INDEX('Mixed costs'!$D$223:$AH$240, MATCH(B50, 'Mixed costs'!$B$223:$B$240,0), MATCH($C$41, 'Mixed costs'!$D$222:$AH$222,0))/10^6</f>
        <v>2.2427362758016085E-3</v>
      </c>
      <c r="F50" s="169">
        <f>INDEX('Arterial costs'!$D$223:$AH$240, MATCH(B50, 'Arterial costs'!$B$223:$B$240,0), MATCH($C$41, 'Arterial costs'!$D$222:$AH$222,0))/10^6</f>
        <v>9.1391503238915546E-3</v>
      </c>
      <c r="G50" s="201" t="s">
        <v>17</v>
      </c>
    </row>
    <row r="51" spans="2:11" ht="29">
      <c r="B51" s="6" t="s">
        <v>106</v>
      </c>
      <c r="C51" s="139" t="s">
        <v>167</v>
      </c>
      <c r="D51" s="169">
        <f>INDEX('VLU costs'!$D$231:$AH$248, MATCH(B51, 'VLU costs'!$B$231:$B$248,0), MATCH($C$41, 'VLU costs'!$D$230:$AH$230,0))/10^6</f>
        <v>4.793869500137686E-2</v>
      </c>
      <c r="E51" s="169">
        <f>INDEX('Mixed costs'!$D$223:$AH$240, MATCH(B51, 'Mixed costs'!$B$223:$B$240,0), MATCH($C$41, 'Mixed costs'!$D$222:$AH$222,0))/10^6</f>
        <v>2.5768345221762523E-2</v>
      </c>
      <c r="F51" s="169">
        <f>INDEX('Arterial costs'!$D$223:$AH$240, MATCH(B51, 'Arterial costs'!$B$223:$B$240,0), MATCH($C$41, 'Arterial costs'!$D$222:$AH$222,0))/10^6</f>
        <v>5.9267194010053811E-5</v>
      </c>
      <c r="G51" s="201" t="s">
        <v>106</v>
      </c>
    </row>
    <row r="52" spans="2:11" ht="29">
      <c r="B52" s="6" t="s">
        <v>107</v>
      </c>
      <c r="C52" s="139" t="s">
        <v>167</v>
      </c>
      <c r="D52" s="169">
        <f>INDEX('VLU costs'!$D$231:$AH$248, MATCH(B52, 'VLU costs'!$B$231:$B$248,0), MATCH($C$41, 'VLU costs'!$D$230:$AH$230,0))/10^6</f>
        <v>0.10849567922869424</v>
      </c>
      <c r="E52" s="169">
        <f>INDEX('Mixed costs'!$D$223:$AH$240, MATCH(B52, 'Mixed costs'!$B$223:$B$240,0), MATCH($C$41, 'Mixed costs'!$D$222:$AH$222,0))/10^6</f>
        <v>5.8319362205297945E-2</v>
      </c>
      <c r="F52" s="169">
        <f>INDEX('Arterial costs'!$D$223:$AH$240, MATCH(B52, 'Arterial costs'!$B$223:$B$240,0), MATCH($C$41, 'Arterial costs'!$D$222:$AH$222,0))/10^6</f>
        <v>1.3413453307218527E-4</v>
      </c>
      <c r="G52" s="201" t="s">
        <v>107</v>
      </c>
    </row>
    <row r="53" spans="2:11">
      <c r="B53" s="6" t="s">
        <v>2863</v>
      </c>
      <c r="C53" s="139" t="s">
        <v>2474</v>
      </c>
      <c r="D53" s="169">
        <f>INDEX('VLU costs'!$D$231:$AH$248, MATCH(B53, 'VLU costs'!$B$231:$B$248,0), MATCH($C$41, 'VLU costs'!$D$230:$AH$230,0))/10^6</f>
        <v>6.9338513829480834E-3</v>
      </c>
      <c r="E53" s="169">
        <f>INDEX('Mixed costs'!$D$223:$AH$240, MATCH(B53, 'Mixed costs'!$B$223:$B$240,0), MATCH($C$41, 'Mixed costs'!$D$222:$AH$222,0))/10^6</f>
        <v>2.7732212661234104E-3</v>
      </c>
      <c r="F53" s="169">
        <f>INDEX('Arterial costs'!$D$223:$AH$240, MATCH(B53, 'Arterial costs'!$B$223:$B$240,0), MATCH($C$41, 'Arterial costs'!$D$222:$AH$222,0))/10^6</f>
        <v>1.678182948E-3</v>
      </c>
      <c r="G53" s="201" t="s">
        <v>2886</v>
      </c>
    </row>
    <row r="54" spans="2:11">
      <c r="B54" s="6" t="s">
        <v>2862</v>
      </c>
      <c r="C54" s="139" t="s">
        <v>2474</v>
      </c>
      <c r="D54" s="169">
        <f>INDEX('VLU costs'!$D$231:$AH$248, MATCH(B54, 'VLU costs'!$B$231:$B$248,0), MATCH($C$41, 'VLU costs'!$D$230:$AH$230,0))/10^6</f>
        <v>8.9974256554840315E-3</v>
      </c>
      <c r="E54" s="169">
        <f>INDEX('Mixed costs'!$D$223:$AH$240, MATCH(B54, 'Mixed costs'!$B$223:$B$240,0), MATCH($C$41, 'Mixed costs'!$D$222:$AH$222,0))/10^6</f>
        <v>3.5985559525424727E-3</v>
      </c>
      <c r="F54" s="169">
        <f>INDEX('Arterial costs'!$D$223:$AH$240, MATCH(B54, 'Arterial costs'!$B$223:$B$240,0), MATCH($C$41, 'Arterial costs'!$D$222:$AH$222,0))/10^6</f>
        <v>2.1776247394144762E-3</v>
      </c>
      <c r="G54" s="201" t="s">
        <v>2886</v>
      </c>
    </row>
    <row r="55" spans="2:11">
      <c r="B55" s="6" t="s">
        <v>131</v>
      </c>
      <c r="C55" s="139" t="s">
        <v>2474</v>
      </c>
      <c r="D55" s="169">
        <f>INDEX('VLU costs'!$D$231:$AH$248, MATCH(B55, 'VLU costs'!$B$231:$B$248,0), MATCH($C$41, 'VLU costs'!$D$230:$AH$230,0))/10^6</f>
        <v>1.7478563805090146E-3</v>
      </c>
      <c r="E55" s="169">
        <f>INDEX('Mixed costs'!$D$223:$AH$240, MATCH(B55, 'Mixed costs'!$B$223:$B$240,0), MATCH($C$41, 'Mixed costs'!$D$222:$AH$222,0))/10^6</f>
        <v>0</v>
      </c>
      <c r="F55" s="169">
        <f>INDEX('Arterial costs'!$D$223:$AH$240, MATCH(B55, 'Arterial costs'!$B$223:$B$240,0), MATCH($C$41, 'Arterial costs'!$D$222:$AH$222,0))/10^6</f>
        <v>0</v>
      </c>
      <c r="G55" s="201" t="s">
        <v>2886</v>
      </c>
    </row>
    <row r="56" spans="2:11" ht="29">
      <c r="B56" s="6" t="s">
        <v>2869</v>
      </c>
      <c r="C56" s="139" t="s">
        <v>2474</v>
      </c>
      <c r="D56" s="169">
        <f>INDEX('VLU costs'!$D$231:$AH$248, MATCH(B56, 'VLU costs'!$B$231:$B$248,0), MATCH($C$41, 'VLU costs'!$D$230:$AH$230,0))/10^6</f>
        <v>3.746656322317659E-2</v>
      </c>
      <c r="E56" s="169">
        <f>INDEX('Mixed costs'!$D$223:$AH$240, MATCH(B56, 'Mixed costs'!$B$223:$B$240,0), MATCH($C$41, 'Mixed costs'!$D$222:$AH$222,0))/10^6</f>
        <v>2.4071820426484314E-2</v>
      </c>
      <c r="F56" s="169">
        <f>INDEX('Arterial costs'!$D$223:$AH$240, MATCH(B56, 'Arterial costs'!$B$223:$B$240,0), MATCH($C$41, 'Arterial costs'!$D$222:$AH$222,0))/10^6</f>
        <v>2.2823288092800001E-2</v>
      </c>
      <c r="G56" s="201" t="s">
        <v>2886</v>
      </c>
    </row>
    <row r="57" spans="2:11" ht="29">
      <c r="B57" s="6" t="s">
        <v>2870</v>
      </c>
      <c r="C57" s="139" t="s">
        <v>2474</v>
      </c>
      <c r="D57" s="169">
        <f>INDEX('VLU costs'!$D$231:$AH$248, MATCH(B57, 'VLU costs'!$B$231:$B$248,0), MATCH($C$41, 'VLU costs'!$D$230:$AH$230,0))/10^6</f>
        <v>4.4366548966950303E-2</v>
      </c>
      <c r="E57" s="169">
        <f>INDEX('Mixed costs'!$D$223:$AH$240, MATCH(B57, 'Mixed costs'!$B$223:$B$240,0), MATCH($C$41, 'Mixed costs'!$D$222:$AH$222,0))/10^6</f>
        <v>1.1765213312792811E-2</v>
      </c>
      <c r="F57" s="169">
        <f>INDEX('Arterial costs'!$D$223:$AH$240, MATCH(B57, 'Arterial costs'!$B$223:$B$240,0), MATCH($C$41, 'Arterial costs'!$D$222:$AH$222,0))/10^6</f>
        <v>0</v>
      </c>
      <c r="G57" s="201" t="s">
        <v>2828</v>
      </c>
    </row>
    <row r="58" spans="2:11">
      <c r="B58" s="6" t="s">
        <v>102</v>
      </c>
      <c r="C58" s="139" t="s">
        <v>2474</v>
      </c>
      <c r="D58" s="169">
        <f>INDEX('VLU costs'!$D$231:$AH$248, MATCH(B58, 'VLU costs'!$B$231:$B$248,0), MATCH($C$41, 'VLU costs'!$D$230:$AH$230,0))/10^6</f>
        <v>2.6627865751745025E-3</v>
      </c>
      <c r="E58" s="169">
        <f>INDEX('Mixed costs'!$D$223:$AH$240, MATCH(B58, 'Mixed costs'!$B$223:$B$240,0), MATCH($C$41, 'Mixed costs'!$D$222:$AH$222,0))/10^6</f>
        <v>3.3377755536642882E-5</v>
      </c>
      <c r="F58" s="169">
        <f>INDEX('Arterial costs'!$D$223:$AH$240, MATCH(B58, 'Arterial costs'!$B$223:$B$240,0), MATCH($C$41, 'Arterial costs'!$D$222:$AH$222,0))/10^6</f>
        <v>0</v>
      </c>
      <c r="G58" s="201" t="s">
        <v>102</v>
      </c>
    </row>
    <row r="59" spans="2:11">
      <c r="B59" s="6" t="s">
        <v>2831</v>
      </c>
      <c r="C59" s="378" t="s">
        <v>2475</v>
      </c>
      <c r="D59" s="169">
        <f>INDEX('VLU costs'!$D$231:$AH$248, MATCH(B59, 'VLU costs'!$B$231:$B$248,0), MATCH($C$41, 'VLU costs'!$D$230:$AH$230,0))/10^6</f>
        <v>0.18207544756446944</v>
      </c>
      <c r="E59" s="169">
        <f>INDEX('Mixed costs'!$D$223:$AH$240, MATCH(B59, 'Mixed costs'!$B$223:$B$240,0), MATCH($C$41, 'Mixed costs'!$D$222:$AH$222,0))/10^6</f>
        <v>6.8300427415187007E-2</v>
      </c>
      <c r="F59" s="169">
        <f>INDEX('Arterial costs'!$D$223:$AH$240, MATCH(B59, 'Arterial costs'!$B$223:$B$240,0), MATCH($C$41, 'Arterial costs'!$D$222:$AH$222,0))/10^6</f>
        <v>3.7040978625988236E-2</v>
      </c>
      <c r="G59" s="201" t="s">
        <v>2831</v>
      </c>
    </row>
    <row r="60" spans="2:11">
      <c r="B60" s="6" t="s">
        <v>2832</v>
      </c>
      <c r="C60" s="378" t="s">
        <v>2475</v>
      </c>
      <c r="D60" s="169">
        <f>INDEX('VLU costs'!$D$231:$AH$248, MATCH(B60, 'VLU costs'!$B$231:$B$248,0), MATCH($C$41, 'VLU costs'!$D$230:$AH$230,0))/10^6</f>
        <v>7.4049455846046455E-2</v>
      </c>
      <c r="E60" s="169">
        <f>INDEX('Mixed costs'!$D$223:$AH$240, MATCH(B60, 'Mixed costs'!$B$223:$B$240,0), MATCH($C$41, 'Mixed costs'!$D$222:$AH$222,0))/10^6</f>
        <v>2.7130909082557549E-2</v>
      </c>
      <c r="F60" s="169">
        <f>INDEX('Arterial costs'!$D$223:$AH$240, MATCH(B60, 'Arterial costs'!$B$223:$B$240,0), MATCH($C$41, 'Arterial costs'!$D$222:$AH$222,0))/10^6</f>
        <v>1.38791618784E-2</v>
      </c>
      <c r="G60" s="201" t="s">
        <v>2832</v>
      </c>
    </row>
    <row r="61" spans="2:11">
      <c r="B61" s="6" t="s">
        <v>2871</v>
      </c>
      <c r="C61" s="139" t="s">
        <v>2474</v>
      </c>
      <c r="D61" s="169">
        <f>INDEX('VLU costs'!$D$231:$AH$248, MATCH(B61, 'VLU costs'!$B$231:$B$248,0), MATCH($C$41, 'VLU costs'!$D$230:$AH$230,0))/10^6</f>
        <v>5.0420752259749757E-3</v>
      </c>
      <c r="E61" s="169">
        <f>INDEX('Mixed costs'!$D$223:$AH$240, MATCH(B61, 'Mixed costs'!$B$223:$B$240,0), MATCH($C$41, 'Mixed costs'!$D$222:$AH$222,0))/10^6</f>
        <v>1.3370679476768248E-3</v>
      </c>
      <c r="F61" s="169">
        <f>INDEX('Arterial costs'!$D$223:$AH$240, MATCH(B61, 'Arterial costs'!$B$223:$B$240,0), MATCH($C$41, 'Arterial costs'!$D$222:$AH$222,0))/10^6</f>
        <v>0</v>
      </c>
      <c r="G61" s="201" t="s">
        <v>2886</v>
      </c>
    </row>
    <row r="62" spans="2:11">
      <c r="B62" s="5" t="s">
        <v>22</v>
      </c>
      <c r="C62" s="195"/>
      <c r="D62" s="196">
        <f>SUM(D44:D61)</f>
        <v>1.1309770239964987</v>
      </c>
      <c r="E62" s="196">
        <f t="shared" ref="E62:F62" si="19">SUM(E44:E61)</f>
        <v>0.53695487141032106</v>
      </c>
      <c r="F62" s="196">
        <f t="shared" si="19"/>
        <v>0.18973899480417747</v>
      </c>
      <c r="G62" s="201" t="s">
        <v>22</v>
      </c>
    </row>
    <row r="63" spans="2:11">
      <c r="D63" s="151" t="b">
        <f>SUM(D44:D61)=INDEX($C$24:$AE$24, MATCH(C41, $C$21:$AE$21,0))/10^6</f>
        <v>1</v>
      </c>
      <c r="E63" s="151" t="b">
        <f>SUM(E44:E61)=INDEX($C$22:$AE$22, MATCH(C41, $C$21:$AE$21,0))/10^6</f>
        <v>1</v>
      </c>
      <c r="F63" s="151" t="b">
        <f>SUM(F44:F61)=INDEX($C$23:$AE$23, MATCH(C41, $C$21:$AE$21,0))/10^6</f>
        <v>1</v>
      </c>
      <c r="H63" s="376"/>
      <c r="I63" s="377"/>
      <c r="J63" s="377"/>
      <c r="K63" s="151"/>
    </row>
    <row r="64" spans="2:11" ht="16.25" customHeight="1">
      <c r="D64" s="81"/>
      <c r="F64" s="151" t="b">
        <f>SUM(D62:F62)=C32</f>
        <v>1</v>
      </c>
      <c r="G64" s="113"/>
      <c r="H64" s="376"/>
      <c r="I64" s="377"/>
      <c r="J64" s="377"/>
      <c r="K64" s="151"/>
    </row>
    <row r="65" spans="1:14">
      <c r="G65" s="113"/>
      <c r="H65" s="376"/>
      <c r="I65" s="377"/>
      <c r="J65" s="377"/>
      <c r="K65" s="151"/>
    </row>
    <row r="66" spans="1:14">
      <c r="A66" s="9" t="s">
        <v>10</v>
      </c>
      <c r="B66" s="9" t="s">
        <v>2499</v>
      </c>
    </row>
    <row r="68" spans="1:14">
      <c r="B68" s="9" t="s">
        <v>150</v>
      </c>
      <c r="C68" s="9">
        <f>C41</f>
        <v>2020</v>
      </c>
      <c r="G68" s="19"/>
    </row>
    <row r="69" spans="1:14">
      <c r="G69" s="9"/>
    </row>
    <row r="70" spans="1:14">
      <c r="B70" s="192" t="s">
        <v>125</v>
      </c>
      <c r="C70" s="192" t="s">
        <v>25</v>
      </c>
      <c r="D70" s="192" t="s">
        <v>184</v>
      </c>
      <c r="E70" s="192" t="s">
        <v>185</v>
      </c>
      <c r="F70" s="202" t="s">
        <v>22</v>
      </c>
      <c r="G70" s="202" t="s">
        <v>388</v>
      </c>
      <c r="H70" s="204" t="s">
        <v>2502</v>
      </c>
      <c r="I70" s="192" t="s">
        <v>3607</v>
      </c>
      <c r="K70" s="192" t="s">
        <v>125</v>
      </c>
      <c r="L70" s="202" t="s">
        <v>22</v>
      </c>
      <c r="M70" s="202" t="s">
        <v>388</v>
      </c>
    </row>
    <row r="71" spans="1:14">
      <c r="B71" s="232" t="s">
        <v>2831</v>
      </c>
      <c r="C71" s="172">
        <f t="shared" ref="C71:E83" si="20">SUMIFS(D$44:D$61, $G$44:$G$61,$B71)</f>
        <v>0.18207544756446944</v>
      </c>
      <c r="D71" s="172">
        <f t="shared" si="20"/>
        <v>6.8300427415187007E-2</v>
      </c>
      <c r="E71" s="172">
        <f t="shared" si="20"/>
        <v>3.7040978625988236E-2</v>
      </c>
      <c r="F71" s="233">
        <f t="shared" ref="F71:F83" si="21">SUM(C71:E71)</f>
        <v>0.28741685360564473</v>
      </c>
      <c r="G71" s="203">
        <f t="shared" ref="G71:G84" si="22">F71/$F$84</f>
        <v>0.1547189306352319</v>
      </c>
      <c r="H71" s="38" t="s">
        <v>2557</v>
      </c>
      <c r="I71" s="232">
        <f>RANK(G71,$G$71:$G$83)</f>
        <v>2</v>
      </c>
      <c r="K71" s="232" t="str">
        <f>INDEX(B$71:B$83, MATCH($N71, $I$71:$I$83,0))</f>
        <v>Hospital admissions</v>
      </c>
      <c r="L71" s="862">
        <f>INDEX(F$71:F$83, MATCH($N71, $I$71:$I$83,0))</f>
        <v>0.6665276940999082</v>
      </c>
      <c r="M71" s="863">
        <f>INDEX(G$71:G$83, MATCH($N71, $I$71:$I$83,0))</f>
        <v>0.35879751231080709</v>
      </c>
      <c r="N71">
        <v>1</v>
      </c>
    </row>
    <row r="72" spans="1:14">
      <c r="B72" s="232" t="s">
        <v>102</v>
      </c>
      <c r="C72" s="172">
        <f t="shared" si="20"/>
        <v>2.6627865751745025E-3</v>
      </c>
      <c r="D72" s="172">
        <f t="shared" si="20"/>
        <v>3.3377755536642882E-5</v>
      </c>
      <c r="E72" s="172">
        <f t="shared" si="20"/>
        <v>0</v>
      </c>
      <c r="F72" s="233">
        <f t="shared" si="21"/>
        <v>2.6961643307111456E-3</v>
      </c>
      <c r="G72" s="203">
        <f t="shared" si="22"/>
        <v>1.4513681324924627E-3</v>
      </c>
      <c r="H72" s="38" t="s">
        <v>2557</v>
      </c>
      <c r="I72" s="232">
        <f t="shared" ref="I72:I83" si="23">RANK(G72,$G$71:$G$83)</f>
        <v>13</v>
      </c>
      <c r="K72" s="232" t="str">
        <f t="shared" ref="K72:K83" si="24">INDEX(B$71:B$83, MATCH($N72, $I$71:$I$83,0))</f>
        <v>Community nurses</v>
      </c>
      <c r="L72" s="862">
        <f t="shared" ref="L72:M83" si="25">INDEX(F$71:F$83, MATCH($N72, $I$71:$I$83,0))</f>
        <v>0.28741685360564473</v>
      </c>
      <c r="M72" s="863">
        <f t="shared" si="25"/>
        <v>0.1547189306352319</v>
      </c>
      <c r="N72">
        <v>2</v>
      </c>
    </row>
    <row r="73" spans="1:14">
      <c r="B73" s="232" t="s">
        <v>2828</v>
      </c>
      <c r="C73" s="172">
        <f t="shared" si="20"/>
        <v>4.4366548966950303E-2</v>
      </c>
      <c r="D73" s="172">
        <f t="shared" si="20"/>
        <v>1.1765213312792811E-2</v>
      </c>
      <c r="E73" s="172">
        <f t="shared" si="20"/>
        <v>0</v>
      </c>
      <c r="F73" s="233">
        <f t="shared" si="21"/>
        <v>5.6131762279743112E-2</v>
      </c>
      <c r="G73" s="203">
        <f t="shared" si="22"/>
        <v>3.0216203836497424E-2</v>
      </c>
      <c r="H73" s="38" t="s">
        <v>2557</v>
      </c>
      <c r="I73" s="232">
        <f t="shared" si="23"/>
        <v>10</v>
      </c>
      <c r="J73" s="9"/>
      <c r="K73" s="232" t="str">
        <f t="shared" si="24"/>
        <v>Prescriptions for anti-infectives</v>
      </c>
      <c r="L73" s="862">
        <f t="shared" si="25"/>
        <v>0.16694917596706435</v>
      </c>
      <c r="M73" s="863">
        <f t="shared" si="25"/>
        <v>8.987015775873089E-2</v>
      </c>
      <c r="N73">
        <v>3</v>
      </c>
    </row>
    <row r="74" spans="1:14">
      <c r="B74" s="6" t="s">
        <v>2886</v>
      </c>
      <c r="C74" s="172">
        <f t="shared" si="20"/>
        <v>6.0187771868092696E-2</v>
      </c>
      <c r="D74" s="172">
        <f t="shared" si="20"/>
        <v>3.1780665592827023E-2</v>
      </c>
      <c r="E74" s="172">
        <f t="shared" si="20"/>
        <v>2.6679095780214476E-2</v>
      </c>
      <c r="F74" s="233">
        <f t="shared" si="21"/>
        <v>0.1186475332411342</v>
      </c>
      <c r="G74" s="203">
        <f t="shared" si="22"/>
        <v>6.386897370591732E-2</v>
      </c>
      <c r="H74" s="38" t="s">
        <v>2557</v>
      </c>
      <c r="I74" s="232">
        <f t="shared" si="23"/>
        <v>5</v>
      </c>
      <c r="K74" s="232" t="str">
        <f t="shared" si="24"/>
        <v>GP visits</v>
      </c>
      <c r="L74" s="862">
        <f t="shared" si="25"/>
        <v>0.16227567023773912</v>
      </c>
      <c r="M74" s="863">
        <f t="shared" si="25"/>
        <v>8.7354369976324273E-2</v>
      </c>
      <c r="N74">
        <v>4</v>
      </c>
    </row>
    <row r="75" spans="1:14">
      <c r="B75" s="232" t="s">
        <v>11</v>
      </c>
      <c r="C75" s="172">
        <f t="shared" si="20"/>
        <v>9.3386094666666655E-2</v>
      </c>
      <c r="D75" s="172">
        <f t="shared" si="20"/>
        <v>6.1084352723118455E-2</v>
      </c>
      <c r="E75" s="172">
        <f t="shared" si="20"/>
        <v>7.8052228479540244E-3</v>
      </c>
      <c r="F75" s="233">
        <f t="shared" si="21"/>
        <v>0.16227567023773912</v>
      </c>
      <c r="G75" s="203">
        <f t="shared" si="22"/>
        <v>8.7354369976324273E-2</v>
      </c>
      <c r="H75" s="38" t="s">
        <v>2557</v>
      </c>
      <c r="I75" s="232">
        <f t="shared" si="23"/>
        <v>4</v>
      </c>
      <c r="K75" s="232" t="str">
        <f t="shared" si="24"/>
        <v>Dressings and bandages</v>
      </c>
      <c r="L75" s="862">
        <f t="shared" si="25"/>
        <v>0.1186475332411342</v>
      </c>
      <c r="M75" s="863">
        <f t="shared" si="25"/>
        <v>6.386897370591732E-2</v>
      </c>
      <c r="N75">
        <v>5</v>
      </c>
    </row>
    <row r="76" spans="1:14">
      <c r="B76" s="232" t="s">
        <v>103</v>
      </c>
      <c r="C76" s="172">
        <f t="shared" si="20"/>
        <v>0.37260639890900088</v>
      </c>
      <c r="D76" s="172">
        <f t="shared" si="20"/>
        <v>0.20535989171137331</v>
      </c>
      <c r="E76" s="172">
        <f t="shared" si="20"/>
        <v>8.8561403479533993E-2</v>
      </c>
      <c r="F76" s="233">
        <f t="shared" si="21"/>
        <v>0.6665276940999082</v>
      </c>
      <c r="G76" s="380">
        <f t="shared" si="22"/>
        <v>0.35879751231080709</v>
      </c>
      <c r="H76" s="38" t="s">
        <v>2501</v>
      </c>
      <c r="I76" s="232">
        <f t="shared" si="23"/>
        <v>1</v>
      </c>
      <c r="K76" s="232" t="str">
        <f t="shared" si="24"/>
        <v>Practice nurses</v>
      </c>
      <c r="L76" s="862">
        <f t="shared" si="25"/>
        <v>0.11505952680700401</v>
      </c>
      <c r="M76" s="863">
        <f t="shared" si="25"/>
        <v>6.1937519403092646E-2</v>
      </c>
      <c r="N76">
        <v>6</v>
      </c>
    </row>
    <row r="77" spans="1:14">
      <c r="B77" s="232" t="s">
        <v>16</v>
      </c>
      <c r="C77" s="172">
        <f t="shared" si="20"/>
        <v>7.1987118163291133E-2</v>
      </c>
      <c r="D77" s="172">
        <f t="shared" si="20"/>
        <v>1.1444797128213269E-2</v>
      </c>
      <c r="E77" s="172">
        <f t="shared" si="20"/>
        <v>3.9484514094565706E-3</v>
      </c>
      <c r="F77" s="233">
        <f t="shared" si="21"/>
        <v>8.7380366700960971E-2</v>
      </c>
      <c r="G77" s="380">
        <f t="shared" si="22"/>
        <v>4.7037592698153427E-2</v>
      </c>
      <c r="H77" s="38" t="s">
        <v>2501</v>
      </c>
      <c r="I77" s="232">
        <f t="shared" si="23"/>
        <v>7</v>
      </c>
      <c r="K77" s="232" t="str">
        <f t="shared" si="24"/>
        <v>Hospital outpatient visits</v>
      </c>
      <c r="L77" s="862">
        <f t="shared" si="25"/>
        <v>8.7380366700960971E-2</v>
      </c>
      <c r="M77" s="863">
        <f t="shared" si="25"/>
        <v>4.7037592698153427E-2</v>
      </c>
      <c r="N77">
        <v>7</v>
      </c>
    </row>
    <row r="78" spans="1:14">
      <c r="B78" s="232" t="s">
        <v>104</v>
      </c>
      <c r="C78" s="172">
        <f t="shared" si="20"/>
        <v>4.2677296491716803E-2</v>
      </c>
      <c r="D78" s="172">
        <f t="shared" si="20"/>
        <v>3.2568027196340096E-2</v>
      </c>
      <c r="E78" s="172">
        <f t="shared" si="20"/>
        <v>1.8269868915020053E-3</v>
      </c>
      <c r="F78" s="233">
        <f t="shared" si="21"/>
        <v>7.7072310579558892E-2</v>
      </c>
      <c r="G78" s="203">
        <f t="shared" si="22"/>
        <v>4.1488678638230102E-2</v>
      </c>
      <c r="H78" s="38" t="s">
        <v>2557</v>
      </c>
      <c r="I78" s="232">
        <f t="shared" si="23"/>
        <v>8</v>
      </c>
      <c r="K78" s="232" t="str">
        <f t="shared" si="24"/>
        <v>Laboratory Tests</v>
      </c>
      <c r="L78" s="862">
        <f t="shared" si="25"/>
        <v>7.7072310579558892E-2</v>
      </c>
      <c r="M78" s="863">
        <f t="shared" si="25"/>
        <v>4.1488678638230102E-2</v>
      </c>
      <c r="N78">
        <v>8</v>
      </c>
    </row>
    <row r="79" spans="1:14">
      <c r="B79" s="138" t="s">
        <v>2832</v>
      </c>
      <c r="C79" s="172">
        <f t="shared" si="20"/>
        <v>7.4049455846046455E-2</v>
      </c>
      <c r="D79" s="172">
        <f t="shared" si="20"/>
        <v>2.7130909082557549E-2</v>
      </c>
      <c r="E79" s="172">
        <f t="shared" si="20"/>
        <v>1.38791618784E-2</v>
      </c>
      <c r="F79" s="196">
        <f t="shared" si="21"/>
        <v>0.11505952680700401</v>
      </c>
      <c r="G79" s="203">
        <f t="shared" si="22"/>
        <v>6.1937519403092646E-2</v>
      </c>
      <c r="H79" s="38" t="s">
        <v>2557</v>
      </c>
      <c r="I79" s="232">
        <f t="shared" si="23"/>
        <v>6</v>
      </c>
      <c r="K79" s="232" t="str">
        <f t="shared" si="24"/>
        <v>Prescriptions for analgesics</v>
      </c>
      <c r="L79" s="862">
        <f t="shared" si="25"/>
        <v>7.3766307417149443E-2</v>
      </c>
      <c r="M79" s="863">
        <f t="shared" si="25"/>
        <v>3.9709029088985159E-2</v>
      </c>
      <c r="N79">
        <v>9</v>
      </c>
    </row>
    <row r="80" spans="1:14">
      <c r="B80" s="138" t="s">
        <v>106</v>
      </c>
      <c r="C80" s="172">
        <f t="shared" si="20"/>
        <v>4.793869500137686E-2</v>
      </c>
      <c r="D80" s="172">
        <f t="shared" si="20"/>
        <v>2.5768345221762523E-2</v>
      </c>
      <c r="E80" s="172">
        <f t="shared" si="20"/>
        <v>5.9267194010053811E-5</v>
      </c>
      <c r="F80" s="196">
        <f t="shared" si="21"/>
        <v>7.3766307417149443E-2</v>
      </c>
      <c r="G80" s="203">
        <f t="shared" si="22"/>
        <v>3.9709029088985159E-2</v>
      </c>
      <c r="H80" s="38" t="s">
        <v>2557</v>
      </c>
      <c r="I80" s="232">
        <f t="shared" si="23"/>
        <v>9</v>
      </c>
      <c r="K80" s="232" t="str">
        <f t="shared" si="24"/>
        <v>Compression bandages</v>
      </c>
      <c r="L80" s="862">
        <f t="shared" si="25"/>
        <v>5.6131762279743112E-2</v>
      </c>
      <c r="M80" s="863">
        <f t="shared" si="25"/>
        <v>3.0216203836497424E-2</v>
      </c>
      <c r="N80">
        <v>10</v>
      </c>
    </row>
    <row r="81" spans="1:14">
      <c r="B81" s="193" t="s">
        <v>107</v>
      </c>
      <c r="C81" s="172">
        <f t="shared" si="20"/>
        <v>0.10849567922869424</v>
      </c>
      <c r="D81" s="172">
        <f t="shared" si="20"/>
        <v>5.8319362205297945E-2</v>
      </c>
      <c r="E81" s="172">
        <f t="shared" si="20"/>
        <v>1.3413453307218527E-4</v>
      </c>
      <c r="F81" s="196">
        <f t="shared" si="21"/>
        <v>0.16694917596706435</v>
      </c>
      <c r="G81" s="203">
        <f t="shared" si="22"/>
        <v>8.987015775873089E-2</v>
      </c>
      <c r="H81" s="38" t="s">
        <v>2557</v>
      </c>
      <c r="I81" s="232">
        <f t="shared" si="23"/>
        <v>3</v>
      </c>
      <c r="K81" s="232" t="str">
        <f t="shared" si="24"/>
        <v>Devices</v>
      </c>
      <c r="L81" s="862">
        <f t="shared" si="25"/>
        <v>3.8097301285716728E-2</v>
      </c>
      <c r="M81" s="863">
        <f t="shared" si="25"/>
        <v>2.0508100485651458E-2</v>
      </c>
      <c r="N81">
        <v>11</v>
      </c>
    </row>
    <row r="82" spans="1:14">
      <c r="B82" s="193" t="s">
        <v>17</v>
      </c>
      <c r="C82" s="172">
        <f t="shared" si="20"/>
        <v>2.6715414686023564E-2</v>
      </c>
      <c r="D82" s="172">
        <f t="shared" si="20"/>
        <v>2.2427362758016085E-3</v>
      </c>
      <c r="E82" s="172">
        <f t="shared" si="20"/>
        <v>9.1391503238915546E-3</v>
      </c>
      <c r="F82" s="196">
        <f t="shared" si="21"/>
        <v>3.8097301285716728E-2</v>
      </c>
      <c r="G82" s="203">
        <f t="shared" si="22"/>
        <v>2.0508100485651458E-2</v>
      </c>
      <c r="H82" s="38" t="s">
        <v>2557</v>
      </c>
      <c r="I82" s="232">
        <f t="shared" si="23"/>
        <v>11</v>
      </c>
      <c r="K82" s="232" t="str">
        <f t="shared" si="24"/>
        <v>Other staff (Allied and specialist)</v>
      </c>
      <c r="L82" s="862">
        <f t="shared" si="25"/>
        <v>5.650223658662171E-3</v>
      </c>
      <c r="M82" s="863">
        <f t="shared" si="25"/>
        <v>3.0415633298858497E-3</v>
      </c>
      <c r="N82">
        <v>12</v>
      </c>
    </row>
    <row r="83" spans="1:14">
      <c r="B83" s="193" t="s">
        <v>2498</v>
      </c>
      <c r="C83" s="172">
        <f t="shared" si="20"/>
        <v>3.8283160289950438E-3</v>
      </c>
      <c r="D83" s="172">
        <f t="shared" si="20"/>
        <v>1.1567657895127398E-3</v>
      </c>
      <c r="E83" s="172">
        <f t="shared" si="20"/>
        <v>6.6514184015438699E-4</v>
      </c>
      <c r="F83" s="196">
        <f t="shared" si="21"/>
        <v>5.650223658662171E-3</v>
      </c>
      <c r="G83" s="203">
        <f t="shared" si="22"/>
        <v>3.0415633298858497E-3</v>
      </c>
      <c r="H83" s="38" t="s">
        <v>2557</v>
      </c>
      <c r="I83" s="232">
        <f t="shared" si="23"/>
        <v>12</v>
      </c>
      <c r="K83" s="232" t="str">
        <f t="shared" si="24"/>
        <v>Compression hosiery</v>
      </c>
      <c r="L83" s="862">
        <f t="shared" si="25"/>
        <v>2.6961643307111456E-3</v>
      </c>
      <c r="M83" s="863">
        <f t="shared" si="25"/>
        <v>1.4513681324924627E-3</v>
      </c>
      <c r="N83">
        <v>13</v>
      </c>
    </row>
    <row r="84" spans="1:14">
      <c r="B84" s="194" t="s">
        <v>22</v>
      </c>
      <c r="C84" s="196">
        <f>SUM(C71:C83)</f>
        <v>1.1309770239964987</v>
      </c>
      <c r="D84" s="196">
        <f>SUM(D71:D83)</f>
        <v>0.53695487141032106</v>
      </c>
      <c r="E84" s="196">
        <f>SUM(E71:E83)</f>
        <v>0.18973899480417752</v>
      </c>
      <c r="F84" s="196">
        <f>SUM(F71:F83)</f>
        <v>1.8576708902109971</v>
      </c>
      <c r="G84" s="203">
        <f t="shared" si="22"/>
        <v>1</v>
      </c>
      <c r="H84" s="38" t="s">
        <v>22</v>
      </c>
      <c r="I84" s="194"/>
      <c r="K84" s="194" t="s">
        <v>22</v>
      </c>
      <c r="L84" s="864">
        <f>SUM(L71:L83)</f>
        <v>1.8576708902109969</v>
      </c>
      <c r="M84" s="865">
        <v>1</v>
      </c>
    </row>
    <row r="85" spans="1:14">
      <c r="C85" s="199" t="b">
        <f>C84=D62</f>
        <v>1</v>
      </c>
      <c r="D85" s="199" t="b">
        <f>D84=E62</f>
        <v>1</v>
      </c>
      <c r="E85" s="199" t="b">
        <f>E84=F62</f>
        <v>0</v>
      </c>
      <c r="F85" s="199" t="b">
        <f>SUM(C84:E84)=C32</f>
        <v>1</v>
      </c>
      <c r="G85" s="199"/>
      <c r="L85" s="793"/>
      <c r="M85" s="793"/>
    </row>
    <row r="86" spans="1:14">
      <c r="L86" s="181" t="b">
        <f>C32=L84</f>
        <v>1</v>
      </c>
    </row>
    <row r="87" spans="1:14">
      <c r="C87" s="96"/>
    </row>
    <row r="92" spans="1:14">
      <c r="B92" s="9" t="s">
        <v>2494</v>
      </c>
    </row>
    <row r="93" spans="1:14">
      <c r="B93" s="9"/>
    </row>
    <row r="94" spans="1:14">
      <c r="A94" s="9" t="s">
        <v>10</v>
      </c>
    </row>
    <row r="95" spans="1:14">
      <c r="A95" s="9"/>
      <c r="C95" s="141" t="s">
        <v>2493</v>
      </c>
      <c r="D95" s="192" t="s">
        <v>25</v>
      </c>
      <c r="E95" s="192" t="s">
        <v>184</v>
      </c>
      <c r="F95" s="192" t="s">
        <v>185</v>
      </c>
      <c r="G95" s="192" t="s">
        <v>22</v>
      </c>
      <c r="H95" s="192" t="s">
        <v>388</v>
      </c>
    </row>
    <row r="96" spans="1:14">
      <c r="B96" s="15"/>
      <c r="C96" s="139" t="s">
        <v>2476</v>
      </c>
      <c r="D96" s="172">
        <f>SUMIFS(D$44:D$61, $C$44:$C$61,$C96)</f>
        <v>0.444593517072292</v>
      </c>
      <c r="E96" s="172">
        <f t="shared" ref="E96:F99" si="26">SUMIFS(E$44:E$61, $C$44:$C$61,$C96)</f>
        <v>0.21680468883958659</v>
      </c>
      <c r="F96" s="172">
        <f t="shared" si="26"/>
        <v>9.2509854888990564E-2</v>
      </c>
      <c r="G96" s="196">
        <f>SUM(D96:F96)</f>
        <v>0.75390806080086914</v>
      </c>
      <c r="H96" s="186">
        <f>G96/SUM($G$96:$G$99)</f>
        <v>0.40583510500896053</v>
      </c>
      <c r="I96">
        <v>1809.6195042566169</v>
      </c>
    </row>
    <row r="97" spans="1:9">
      <c r="B97" s="15"/>
      <c r="C97" s="139" t="s">
        <v>2474</v>
      </c>
      <c r="D97" s="172">
        <f t="shared" ref="D97:D99" si="27">SUMIFS(D$44:D$61, $C$44:$C$61,$C97)</f>
        <v>0.17660981858795785</v>
      </c>
      <c r="E97" s="172">
        <f t="shared" si="26"/>
        <v>7.8390020133298183E-2</v>
      </c>
      <c r="F97" s="172">
        <f t="shared" si="26"/>
        <v>3.7645232995608041E-2</v>
      </c>
      <c r="G97" s="196">
        <f t="shared" ref="G97:G99" si="28">SUM(D97:F97)</f>
        <v>0.29264507171686405</v>
      </c>
      <c r="H97" s="186">
        <f>G97/SUM($G$96:$G$99)</f>
        <v>0.15753332479878876</v>
      </c>
      <c r="I97" s="9">
        <v>798.23052626534752</v>
      </c>
    </row>
    <row r="98" spans="1:9">
      <c r="B98" s="15"/>
      <c r="C98" s="139" t="s">
        <v>2475</v>
      </c>
      <c r="D98" s="172">
        <f t="shared" si="27"/>
        <v>0.35333931410617758</v>
      </c>
      <c r="E98" s="172">
        <f t="shared" si="26"/>
        <v>0.15767245501037574</v>
      </c>
      <c r="F98" s="172">
        <f t="shared" si="26"/>
        <v>5.9390505192496647E-2</v>
      </c>
      <c r="G98" s="196">
        <f t="shared" si="28"/>
        <v>0.57040227430904999</v>
      </c>
      <c r="H98" s="186">
        <f>G98/SUM($G$96:$G$99)</f>
        <v>0.30705238334453466</v>
      </c>
      <c r="I98">
        <v>2419.9870410231897</v>
      </c>
    </row>
    <row r="99" spans="1:9">
      <c r="B99" s="15"/>
      <c r="C99" s="139" t="s">
        <v>167</v>
      </c>
      <c r="D99" s="172">
        <f t="shared" si="27"/>
        <v>0.15643437423007112</v>
      </c>
      <c r="E99" s="172">
        <f t="shared" si="26"/>
        <v>8.4087707427060468E-2</v>
      </c>
      <c r="F99" s="172">
        <f t="shared" si="26"/>
        <v>1.9340172708223909E-4</v>
      </c>
      <c r="G99" s="196">
        <f t="shared" si="28"/>
        <v>0.24071548338421381</v>
      </c>
      <c r="H99" s="186">
        <f>G99/SUM($G$96:$G$99)</f>
        <v>0.12957918684771608</v>
      </c>
      <c r="I99">
        <v>470.96910162578439</v>
      </c>
    </row>
    <row r="100" spans="1:9">
      <c r="G100" s="191" t="b">
        <f>SUM(G96:G99)=C32</f>
        <v>1</v>
      </c>
    </row>
    <row r="101" spans="1:9">
      <c r="B101" s="731"/>
      <c r="G101" s="379"/>
    </row>
    <row r="102" spans="1:9">
      <c r="G102" s="191"/>
    </row>
    <row r="103" spans="1:9">
      <c r="G103" s="191"/>
    </row>
    <row r="105" spans="1:9">
      <c r="B105" s="9" t="s">
        <v>2503</v>
      </c>
    </row>
    <row r="107" spans="1:9">
      <c r="A107" s="9" t="s">
        <v>10</v>
      </c>
    </row>
    <row r="108" spans="1:9">
      <c r="B108" s="141" t="s">
        <v>2493</v>
      </c>
      <c r="C108" s="192" t="s">
        <v>2500</v>
      </c>
      <c r="D108" s="202" t="s">
        <v>388</v>
      </c>
    </row>
    <row r="109" spans="1:9">
      <c r="B109" s="139" t="s">
        <v>2557</v>
      </c>
      <c r="C109" s="172">
        <f>SUMIFS($F$71:$F$84,$H$71:$H$84,B109)</f>
        <v>1.1037628294101278</v>
      </c>
      <c r="D109" s="203">
        <f>C109/$C$111</f>
        <v>0.59416489499103942</v>
      </c>
    </row>
    <row r="110" spans="1:9">
      <c r="B110" s="139" t="s">
        <v>2501</v>
      </c>
      <c r="C110" s="172">
        <f t="shared" ref="C110:C111" si="29">SUMIFS($F$71:$F$84,$H$71:$H$84,B110)</f>
        <v>0.75390806080086914</v>
      </c>
      <c r="D110" s="203">
        <f>C110/$C$111</f>
        <v>0.40583510500896053</v>
      </c>
    </row>
    <row r="111" spans="1:9">
      <c r="B111" s="195" t="s">
        <v>22</v>
      </c>
      <c r="C111" s="172">
        <f t="shared" si="29"/>
        <v>1.8576708902109971</v>
      </c>
      <c r="D111" s="203">
        <f>C111/$C$111</f>
        <v>1</v>
      </c>
    </row>
    <row r="112" spans="1:9" ht="15" customHeight="1">
      <c r="B112" s="197"/>
      <c r="C112" s="151" t="b">
        <f>C111=SUM(C109:C110)</f>
        <v>1</v>
      </c>
      <c r="D112" s="197"/>
    </row>
    <row r="113" spans="2:6">
      <c r="B113" s="197"/>
      <c r="C113" s="151"/>
      <c r="D113" s="197"/>
    </row>
    <row r="114" spans="2:6">
      <c r="B114" s="197"/>
      <c r="C114" s="151"/>
      <c r="D114" s="197"/>
    </row>
    <row r="115" spans="2:6">
      <c r="B115" s="197"/>
      <c r="C115" s="151"/>
      <c r="D115" s="197"/>
    </row>
    <row r="116" spans="2:6">
      <c r="B116" s="197"/>
      <c r="C116" s="151"/>
      <c r="D116" s="197"/>
    </row>
    <row r="117" spans="2:6">
      <c r="B117" s="197"/>
      <c r="C117" s="151"/>
      <c r="D117" s="197"/>
    </row>
    <row r="118" spans="2:6">
      <c r="B118" s="197"/>
      <c r="C118" s="151"/>
      <c r="D118" s="197"/>
    </row>
    <row r="119" spans="2:6">
      <c r="B119" s="197"/>
      <c r="C119" s="151"/>
      <c r="D119" s="197"/>
    </row>
    <row r="121" spans="2:6">
      <c r="E121" s="181"/>
      <c r="F121" s="181"/>
    </row>
    <row r="122" spans="2:6">
      <c r="E122" s="181"/>
      <c r="F122" s="181"/>
    </row>
    <row r="123" spans="2:6">
      <c r="E123" s="181"/>
      <c r="F123" s="181"/>
    </row>
    <row r="124" spans="2:6">
      <c r="E124" s="181"/>
      <c r="F124" s="181"/>
    </row>
    <row r="125" spans="2:6">
      <c r="E125" s="181"/>
      <c r="F125" s="181"/>
    </row>
    <row r="126" spans="2:6">
      <c r="E126" s="181"/>
      <c r="F126" s="181"/>
    </row>
    <row r="127" spans="2:6">
      <c r="E127" s="181"/>
      <c r="F127" s="181"/>
    </row>
    <row r="128" spans="2:6">
      <c r="E128" s="181"/>
      <c r="F128" s="181"/>
    </row>
    <row r="129" spans="5:5">
      <c r="E129" s="15"/>
    </row>
  </sheetData>
  <autoFilter ref="B70:G70" xr:uid="{00000000-0009-0000-0000-000009000000}"/>
  <pageMargins left="0.7" right="0.7" top="0.75" bottom="0.75" header="0.3" footer="0.3"/>
  <pageSetup paperSize="9" orientation="portrait"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sheetPr>
  <dimension ref="B3"/>
  <sheetViews>
    <sheetView showGridLines="0" workbookViewId="0"/>
  </sheetViews>
  <sheetFormatPr defaultRowHeight="14.5"/>
  <sheetData>
    <row r="3" spans="2:2">
      <c r="B3" s="9" t="s">
        <v>3749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sheetPr>
  <dimension ref="A1:J417"/>
  <sheetViews>
    <sheetView showGridLines="0" workbookViewId="0">
      <selection activeCell="D1" sqref="D1"/>
    </sheetView>
  </sheetViews>
  <sheetFormatPr defaultRowHeight="14.5"/>
  <cols>
    <col min="1" max="1" width="5.453125" customWidth="1"/>
    <col min="2" max="2" width="28.36328125" style="48" customWidth="1"/>
    <col min="3" max="3" width="24.6328125" customWidth="1"/>
    <col min="4" max="4" width="29" customWidth="1"/>
    <col min="5" max="5" width="22.54296875" customWidth="1"/>
    <col min="6" max="6" width="35.6328125" style="48" customWidth="1"/>
    <col min="7" max="7" width="15.6328125" customWidth="1"/>
    <col min="8" max="8" width="14.453125" customWidth="1"/>
    <col min="9" max="9" width="14.08984375" customWidth="1"/>
    <col min="10" max="10" width="14" customWidth="1"/>
  </cols>
  <sheetData>
    <row r="1" spans="1:6" s="600" customFormat="1" ht="18.5">
      <c r="A1" s="587" t="s">
        <v>3544</v>
      </c>
    </row>
    <row r="2" spans="1:6" s="600" customFormat="1">
      <c r="A2" s="600" t="s">
        <v>3545</v>
      </c>
    </row>
    <row r="3" spans="1:6" s="600" customFormat="1">
      <c r="A3" s="600" t="s">
        <v>3546</v>
      </c>
    </row>
    <row r="4" spans="1:6" s="783" customFormat="1"/>
    <row r="6" spans="1:6" s="588" customFormat="1">
      <c r="A6" s="593" t="s">
        <v>3199</v>
      </c>
      <c r="B6" s="661"/>
      <c r="F6" s="661"/>
    </row>
    <row r="8" spans="1:6" ht="29">
      <c r="B8" s="76" t="s">
        <v>3368</v>
      </c>
    </row>
    <row r="9" spans="1:6">
      <c r="B9" s="216"/>
      <c r="C9" s="216" t="s">
        <v>4</v>
      </c>
      <c r="D9" s="216" t="s">
        <v>3055</v>
      </c>
    </row>
    <row r="10" spans="1:6">
      <c r="B10" s="6" t="s">
        <v>25</v>
      </c>
      <c r="C10" s="215">
        <f>C25</f>
        <v>0.6028558913472728</v>
      </c>
      <c r="D10" s="215">
        <f>D25</f>
        <v>0.37076496125633113</v>
      </c>
    </row>
    <row r="11" spans="1:6">
      <c r="B11" s="6" t="s">
        <v>184</v>
      </c>
      <c r="C11" s="215">
        <f>C31</f>
        <v>0.62286949602337649</v>
      </c>
      <c r="D11" s="681">
        <f>Epidemiology!C120</f>
        <v>0.47499999999999998</v>
      </c>
    </row>
    <row r="12" spans="1:6">
      <c r="B12" s="6" t="s">
        <v>185</v>
      </c>
      <c r="C12" s="681">
        <f>Epidemiology!C101</f>
        <v>0</v>
      </c>
      <c r="D12" s="681">
        <f>Epidemiology!C121</f>
        <v>0.47499999999999998</v>
      </c>
    </row>
    <row r="13" spans="1:6">
      <c r="D13" s="151" t="s">
        <v>3377</v>
      </c>
    </row>
    <row r="19" spans="1:6" s="588" customFormat="1">
      <c r="A19" s="593" t="s">
        <v>3369</v>
      </c>
      <c r="B19" s="661"/>
      <c r="F19" s="661"/>
    </row>
    <row r="21" spans="1:6">
      <c r="B21" s="76" t="s">
        <v>25</v>
      </c>
      <c r="C21" s="518"/>
    </row>
    <row r="23" spans="1:6">
      <c r="C23" s="307" t="s">
        <v>4</v>
      </c>
      <c r="D23" s="307" t="s">
        <v>2531</v>
      </c>
    </row>
    <row r="24" spans="1:6">
      <c r="B24" s="350" t="s">
        <v>20</v>
      </c>
      <c r="C24" s="457">
        <f>C38</f>
        <v>0.47</v>
      </c>
      <c r="D24" s="457">
        <f>C39</f>
        <v>0.47499999999999998</v>
      </c>
    </row>
    <row r="25" spans="1:6">
      <c r="B25" s="350" t="s">
        <v>2602</v>
      </c>
      <c r="C25" s="457">
        <f>C100</f>
        <v>0.6028558913472728</v>
      </c>
      <c r="D25" s="457">
        <f>C110</f>
        <v>0.37076496125633113</v>
      </c>
    </row>
    <row r="26" spans="1:6">
      <c r="A26" s="30"/>
    </row>
    <row r="27" spans="1:6">
      <c r="B27" s="76" t="s">
        <v>184</v>
      </c>
      <c r="C27" s="145"/>
    </row>
    <row r="29" spans="1:6">
      <c r="C29" s="307" t="s">
        <v>4</v>
      </c>
    </row>
    <row r="30" spans="1:6">
      <c r="B30" s="350" t="s">
        <v>20</v>
      </c>
      <c r="C30" s="457">
        <f>C117</f>
        <v>0.42</v>
      </c>
    </row>
    <row r="31" spans="1:6">
      <c r="B31" s="350" t="s">
        <v>2602</v>
      </c>
      <c r="C31" s="457">
        <f>C145</f>
        <v>0.62286949602337649</v>
      </c>
    </row>
    <row r="32" spans="1:6">
      <c r="A32" s="30"/>
    </row>
    <row r="33" spans="1:9">
      <c r="A33" s="30"/>
    </row>
    <row r="34" spans="1:9">
      <c r="A34" s="30"/>
    </row>
    <row r="36" spans="1:9" s="588" customFormat="1">
      <c r="A36" s="663" t="s">
        <v>3366</v>
      </c>
      <c r="B36" s="661"/>
      <c r="F36" s="661"/>
    </row>
    <row r="38" spans="1:9">
      <c r="B38" s="350" t="s">
        <v>3033</v>
      </c>
      <c r="C38" s="434">
        <f>Epidemiology!C104</f>
        <v>0.47</v>
      </c>
    </row>
    <row r="39" spans="1:9">
      <c r="B39" s="350" t="s">
        <v>3060</v>
      </c>
      <c r="C39" s="434">
        <f>Epidemiology!C119</f>
        <v>0.47499999999999998</v>
      </c>
    </row>
    <row r="41" spans="1:9">
      <c r="A41" s="9" t="s">
        <v>10</v>
      </c>
      <c r="B41" s="30" t="s">
        <v>3062</v>
      </c>
    </row>
    <row r="43" spans="1:9">
      <c r="B43" s="48" t="s">
        <v>3039</v>
      </c>
      <c r="I43">
        <f>SUM('VLU Care Pathways'!H21:I21)</f>
        <v>0</v>
      </c>
    </row>
    <row r="44" spans="1:9">
      <c r="B44" s="307" t="s">
        <v>2914</v>
      </c>
      <c r="C44" s="307" t="s">
        <v>3038</v>
      </c>
      <c r="D44" s="307" t="s">
        <v>3328</v>
      </c>
      <c r="F44" s="307" t="s">
        <v>3593</v>
      </c>
    </row>
    <row r="45" spans="1:9" ht="29">
      <c r="B45" s="350" t="s">
        <v>2873</v>
      </c>
      <c r="C45" s="455">
        <v>0.1</v>
      </c>
      <c r="D45" s="674" t="s">
        <v>3378</v>
      </c>
      <c r="F45" s="833">
        <f>'Control Assumptions'!G147</f>
        <v>0.1</v>
      </c>
    </row>
    <row r="46" spans="1:9" ht="43.25" customHeight="1">
      <c r="B46" s="350" t="s">
        <v>2872</v>
      </c>
      <c r="C46" s="306">
        <f>(1-C45)*(1-C339)</f>
        <v>0.35217391304347823</v>
      </c>
      <c r="D46" s="931" t="s">
        <v>3379</v>
      </c>
      <c r="F46" s="306">
        <f>(1-F45)*(1-C339)</f>
        <v>0.35217391304347823</v>
      </c>
    </row>
    <row r="47" spans="1:9">
      <c r="B47" s="350" t="s">
        <v>2791</v>
      </c>
      <c r="C47" s="306">
        <f>(1-C45)*C339</f>
        <v>0.5478260869565218</v>
      </c>
      <c r="D47" s="932"/>
      <c r="F47" s="306">
        <f>(1-F45)*C339</f>
        <v>0.5478260869565218</v>
      </c>
    </row>
    <row r="48" spans="1:9">
      <c r="B48" s="364"/>
      <c r="C48" s="675" t="b">
        <f>SUM(C45:C47)=1</f>
        <v>1</v>
      </c>
    </row>
    <row r="49" spans="2:9">
      <c r="B49" s="364"/>
      <c r="C49" s="401"/>
    </row>
    <row r="50" spans="2:9">
      <c r="B50" t="s">
        <v>120</v>
      </c>
    </row>
    <row r="51" spans="2:9">
      <c r="B51" s="307" t="s">
        <v>2914</v>
      </c>
      <c r="C51" s="84" t="s">
        <v>3051</v>
      </c>
      <c r="D51" s="84" t="s">
        <v>3040</v>
      </c>
      <c r="F51" s="84" t="s">
        <v>36</v>
      </c>
      <c r="H51" s="84" t="s">
        <v>93</v>
      </c>
      <c r="I51" s="151"/>
    </row>
    <row r="52" spans="2:9">
      <c r="B52" s="350" t="s">
        <v>2873</v>
      </c>
      <c r="C52" s="434">
        <f>'Control Assumptions'!C137</f>
        <v>0.30538922155688625</v>
      </c>
      <c r="D52" s="434">
        <f>'Control Assumptions'!C147</f>
        <v>0.1</v>
      </c>
      <c r="F52" s="434">
        <f>C223</f>
        <v>0.31773915413277698</v>
      </c>
      <c r="G52" s="151" t="s">
        <v>3158</v>
      </c>
      <c r="H52" s="434">
        <f>C291</f>
        <v>0.4567901234567901</v>
      </c>
      <c r="I52" s="151" t="s">
        <v>3157</v>
      </c>
    </row>
    <row r="53" spans="2:9">
      <c r="B53" s="350" t="s">
        <v>2872</v>
      </c>
      <c r="C53" s="434">
        <f>'Control Assumptions'!C138</f>
        <v>0.62879720012030726</v>
      </c>
      <c r="D53" s="434">
        <f>'Control Assumptions'!C148</f>
        <v>0.35217391304347823</v>
      </c>
      <c r="F53" s="434">
        <f>C224</f>
        <v>0.73944253156255113</v>
      </c>
      <c r="G53" s="151" t="s">
        <v>3158</v>
      </c>
      <c r="H53" s="434">
        <f>AVERAGE(C322, C372)</f>
        <v>0.182</v>
      </c>
      <c r="I53" s="151" t="s">
        <v>3156</v>
      </c>
    </row>
    <row r="54" spans="2:9">
      <c r="B54" s="350" t="s">
        <v>2791</v>
      </c>
      <c r="C54" s="434">
        <f>'Control Assumptions'!C139</f>
        <v>6.5813578322806432E-2</v>
      </c>
      <c r="D54" s="434">
        <f>'Control Assumptions'!C149</f>
        <v>0.5478260869565218</v>
      </c>
      <c r="F54" s="434">
        <f>C224</f>
        <v>0.73944253156255113</v>
      </c>
      <c r="G54" s="151" t="s">
        <v>3158</v>
      </c>
      <c r="H54" s="434">
        <f>C323</f>
        <v>0.14399999999999999</v>
      </c>
      <c r="I54" s="151" t="s">
        <v>2776</v>
      </c>
    </row>
    <row r="58" spans="2:9">
      <c r="B58" s="48" t="s">
        <v>3031</v>
      </c>
    </row>
    <row r="59" spans="2:9">
      <c r="B59" s="307"/>
      <c r="C59" s="84" t="s">
        <v>20</v>
      </c>
      <c r="D59" s="84" t="s">
        <v>2602</v>
      </c>
    </row>
    <row r="60" spans="2:9">
      <c r="B60" s="350" t="s">
        <v>3031</v>
      </c>
      <c r="C60" s="434">
        <f>SUMPRODUCT(C52:C54,$F$52:$F$54)</f>
        <v>0.6106588654013626</v>
      </c>
      <c r="D60" s="434">
        <f>SUMPRODUCT(D52:D54,$F$52:$F$54)</f>
        <v>0.69727219381957373</v>
      </c>
    </row>
    <row r="61" spans="2:9" ht="43.5">
      <c r="B61" s="448" t="s">
        <v>3063</v>
      </c>
      <c r="C61" s="446">
        <f>D60-C60</f>
        <v>8.6613328418211122E-2</v>
      </c>
      <c r="D61" s="145"/>
    </row>
    <row r="62" spans="2:9">
      <c r="B62" s="447"/>
      <c r="C62" s="436"/>
      <c r="D62" s="449"/>
    </row>
    <row r="65" spans="1:4" customFormat="1">
      <c r="B65" s="48" t="s">
        <v>3061</v>
      </c>
    </row>
    <row r="66" spans="1:4" customFormat="1">
      <c r="B66" s="307"/>
      <c r="C66" s="84" t="s">
        <v>20</v>
      </c>
      <c r="D66" s="84" t="s">
        <v>2602</v>
      </c>
    </row>
    <row r="67" spans="1:4" customFormat="1">
      <c r="B67" s="350" t="s">
        <v>3061</v>
      </c>
      <c r="C67" s="434">
        <f>SUMPRODUCT(C52:C54,$H$52:$H$54)</f>
        <v>0.26341702591772315</v>
      </c>
      <c r="D67" s="434">
        <f>SUMPRODUCT(D52:D54,$H$52:$H$54)</f>
        <v>0.18866162104133119</v>
      </c>
    </row>
    <row r="68" spans="1:4" customFormat="1" ht="43.5">
      <c r="B68" s="448" t="s">
        <v>3064</v>
      </c>
      <c r="C68" s="446">
        <f>D67-C67</f>
        <v>-7.4755404876391957E-2</v>
      </c>
      <c r="D68" s="145"/>
    </row>
    <row r="69" spans="1:4" customFormat="1">
      <c r="B69" s="447"/>
      <c r="C69" s="436"/>
      <c r="D69" s="449"/>
    </row>
    <row r="70" spans="1:4" customFormat="1">
      <c r="B70" s="447"/>
      <c r="C70" s="436"/>
      <c r="D70" s="449"/>
    </row>
    <row r="71" spans="1:4" customFormat="1">
      <c r="B71" s="447"/>
      <c r="C71" s="436"/>
      <c r="D71" s="449"/>
    </row>
    <row r="72" spans="1:4" customFormat="1">
      <c r="B72" s="447"/>
      <c r="C72" s="436"/>
      <c r="D72" s="449"/>
    </row>
    <row r="73" spans="1:4" customFormat="1">
      <c r="A73" s="9" t="s">
        <v>10</v>
      </c>
      <c r="B73" s="335" t="s">
        <v>3065</v>
      </c>
      <c r="C73" s="436"/>
      <c r="D73" s="449"/>
    </row>
    <row r="74" spans="1:4" customFormat="1">
      <c r="B74" s="450" t="s">
        <v>3042</v>
      </c>
      <c r="C74" s="436"/>
      <c r="D74" s="449"/>
    </row>
    <row r="75" spans="1:4" customFormat="1">
      <c r="B75" s="447"/>
      <c r="C75" s="436"/>
      <c r="D75" s="449"/>
    </row>
    <row r="76" spans="1:4" customFormat="1">
      <c r="B76" s="307" t="s">
        <v>2914</v>
      </c>
      <c r="C76" s="84" t="s">
        <v>2602</v>
      </c>
      <c r="D76" s="449"/>
    </row>
    <row r="77" spans="1:4" customFormat="1" ht="43.5">
      <c r="B77" s="248" t="s">
        <v>2601</v>
      </c>
      <c r="C77" s="677">
        <f>C173</f>
        <v>0.6422578184591915</v>
      </c>
      <c r="D77" s="449"/>
    </row>
    <row r="78" spans="1:4" customFormat="1" ht="29">
      <c r="B78" s="269" t="s">
        <v>3142</v>
      </c>
      <c r="C78" s="678">
        <f>C77*SUM(D53:D54)</f>
        <v>0.5780320366132724</v>
      </c>
      <c r="D78" s="449"/>
    </row>
    <row r="79" spans="1:4" customFormat="1">
      <c r="C79" s="217"/>
      <c r="D79" s="449"/>
    </row>
    <row r="80" spans="1:4" customFormat="1" ht="29">
      <c r="B80" s="269" t="s">
        <v>3144</v>
      </c>
      <c r="C80" s="678">
        <f>'Control Assumptions'!C248</f>
        <v>0.5780320366132724</v>
      </c>
      <c r="D80" s="449"/>
    </row>
    <row r="81" spans="1:4" customFormat="1">
      <c r="C81" s="217"/>
      <c r="D81" s="449"/>
    </row>
    <row r="82" spans="1:4" customFormat="1" ht="29">
      <c r="B82" s="269" t="s">
        <v>3043</v>
      </c>
      <c r="C82" s="678">
        <f>C174</f>
        <v>7.999999999999996E-2</v>
      </c>
      <c r="D82" s="449"/>
    </row>
    <row r="83" spans="1:4" customFormat="1" ht="43.5">
      <c r="B83" s="266" t="s">
        <v>3044</v>
      </c>
      <c r="C83" s="679">
        <f>C82*C80</f>
        <v>4.6242562929061766E-2</v>
      </c>
    </row>
    <row r="84" spans="1:4" customFormat="1">
      <c r="B84" s="447"/>
      <c r="C84" s="680"/>
    </row>
    <row r="85" spans="1:4" customFormat="1">
      <c r="B85" s="447"/>
      <c r="C85" s="680"/>
    </row>
    <row r="86" spans="1:4" customFormat="1" ht="29">
      <c r="B86" s="269" t="s">
        <v>3066</v>
      </c>
      <c r="C86" s="678">
        <f>-C175</f>
        <v>-5.1000000000000004E-2</v>
      </c>
      <c r="D86" s="449"/>
    </row>
    <row r="87" spans="1:4" customFormat="1" ht="43.5">
      <c r="B87" s="266" t="s">
        <v>3067</v>
      </c>
      <c r="C87" s="679">
        <f>C86*C80</f>
        <v>-2.9479633867276894E-2</v>
      </c>
      <c r="D87" s="449"/>
    </row>
    <row r="88" spans="1:4" customFormat="1">
      <c r="B88" s="447"/>
      <c r="C88" s="436"/>
    </row>
    <row r="89" spans="1:4" customFormat="1">
      <c r="B89" s="447"/>
      <c r="C89" s="436"/>
    </row>
    <row r="90" spans="1:4" customFormat="1">
      <c r="B90" s="447"/>
      <c r="C90" s="436"/>
    </row>
    <row r="91" spans="1:4" customFormat="1">
      <c r="B91" s="447"/>
      <c r="C91" s="436"/>
    </row>
    <row r="92" spans="1:4" customFormat="1">
      <c r="A92" s="9"/>
      <c r="B92" s="447"/>
      <c r="C92" s="436"/>
    </row>
    <row r="93" spans="1:4" customFormat="1">
      <c r="A93" s="9" t="s">
        <v>10</v>
      </c>
      <c r="B93" s="454" t="s">
        <v>3045</v>
      </c>
      <c r="C93" s="436"/>
    </row>
    <row r="94" spans="1:4" customFormat="1">
      <c r="A94" s="9"/>
      <c r="B94" s="364"/>
      <c r="D94" s="436"/>
    </row>
    <row r="95" spans="1:4" customFormat="1">
      <c r="A95" s="9"/>
      <c r="B95" s="451" t="s">
        <v>3033</v>
      </c>
      <c r="C95" s="434">
        <f>C38</f>
        <v>0.47</v>
      </c>
      <c r="D95" s="436"/>
    </row>
    <row r="96" spans="1:4" customFormat="1">
      <c r="A96" s="9"/>
      <c r="B96" s="451" t="s">
        <v>3046</v>
      </c>
      <c r="C96" s="434">
        <f>C61</f>
        <v>8.6613328418211122E-2</v>
      </c>
      <c r="D96" s="436"/>
    </row>
    <row r="97" spans="1:4" customFormat="1">
      <c r="A97" s="9"/>
      <c r="B97" s="451" t="s">
        <v>3047</v>
      </c>
      <c r="C97" s="434">
        <f>C83</f>
        <v>4.6242562929061766E-2</v>
      </c>
      <c r="D97" s="436"/>
    </row>
    <row r="98" spans="1:4" customFormat="1">
      <c r="A98" s="9"/>
      <c r="B98" s="452"/>
      <c r="C98" s="436"/>
      <c r="D98" s="436"/>
    </row>
    <row r="99" spans="1:4" customFormat="1">
      <c r="A99" s="9"/>
      <c r="B99" s="451" t="s">
        <v>3032</v>
      </c>
      <c r="C99" s="434">
        <f>C95+SUM(C96:C97)</f>
        <v>0.6028558913472728</v>
      </c>
      <c r="D99" s="436"/>
    </row>
    <row r="100" spans="1:4" customFormat="1" ht="29">
      <c r="A100" s="9"/>
      <c r="B100" s="448" t="s">
        <v>3476</v>
      </c>
      <c r="C100" s="446">
        <f>C99</f>
        <v>0.6028558913472728</v>
      </c>
      <c r="D100" s="436"/>
    </row>
    <row r="101" spans="1:4" customFormat="1">
      <c r="A101" s="9"/>
      <c r="B101" s="454"/>
      <c r="C101" s="453"/>
      <c r="D101" s="436"/>
    </row>
    <row r="102" spans="1:4" customFormat="1">
      <c r="A102" s="9"/>
      <c r="B102" s="454"/>
      <c r="C102" s="453"/>
      <c r="D102" s="436"/>
    </row>
    <row r="103" spans="1:4" customFormat="1">
      <c r="A103" s="9" t="s">
        <v>10</v>
      </c>
      <c r="B103" s="454" t="s">
        <v>3068</v>
      </c>
      <c r="C103" s="436"/>
    </row>
    <row r="104" spans="1:4" customFormat="1">
      <c r="A104" s="9"/>
      <c r="B104" s="364"/>
      <c r="D104" s="436"/>
    </row>
    <row r="105" spans="1:4" customFormat="1">
      <c r="B105" s="451" t="s">
        <v>3069</v>
      </c>
      <c r="C105" s="434">
        <f>C39</f>
        <v>0.47499999999999998</v>
      </c>
      <c r="D105" s="436"/>
    </row>
    <row r="106" spans="1:4" customFormat="1">
      <c r="B106" s="451" t="s">
        <v>3046</v>
      </c>
      <c r="C106" s="434">
        <f>C68</f>
        <v>-7.4755404876391957E-2</v>
      </c>
      <c r="D106" s="436"/>
    </row>
    <row r="107" spans="1:4" customFormat="1">
      <c r="B107" s="451" t="s">
        <v>3047</v>
      </c>
      <c r="C107" s="434">
        <f>C87</f>
        <v>-2.9479633867276894E-2</v>
      </c>
      <c r="D107" s="436"/>
    </row>
    <row r="108" spans="1:4" customFormat="1">
      <c r="B108" s="452"/>
      <c r="C108" s="436"/>
      <c r="D108" s="436"/>
    </row>
    <row r="109" spans="1:4" customFormat="1">
      <c r="B109" s="451" t="s">
        <v>3070</v>
      </c>
      <c r="C109" s="434">
        <f>C105+SUM(C106:C107)</f>
        <v>0.37076496125633113</v>
      </c>
      <c r="D109" s="436"/>
    </row>
    <row r="110" spans="1:4" customFormat="1">
      <c r="B110" s="448" t="s">
        <v>3070</v>
      </c>
      <c r="C110" s="446">
        <f>C109</f>
        <v>0.37076496125633113</v>
      </c>
      <c r="D110" s="436"/>
    </row>
    <row r="111" spans="1:4" customFormat="1">
      <c r="B111" s="454"/>
      <c r="C111" s="453"/>
      <c r="D111" s="436"/>
    </row>
    <row r="112" spans="1:4" customFormat="1">
      <c r="B112" s="454"/>
      <c r="C112" s="453"/>
      <c r="D112" s="436"/>
    </row>
    <row r="113" spans="1:6">
      <c r="B113" s="364"/>
      <c r="D113" s="436"/>
    </row>
    <row r="114" spans="1:6" s="588" customFormat="1" ht="17" customHeight="1">
      <c r="A114" s="663" t="s">
        <v>3367</v>
      </c>
      <c r="B114" s="661"/>
      <c r="F114" s="661"/>
    </row>
    <row r="115" spans="1:6">
      <c r="A115" s="30"/>
      <c r="B115" s="30"/>
      <c r="C115" s="30"/>
    </row>
    <row r="117" spans="1:6">
      <c r="B117" s="350" t="s">
        <v>3050</v>
      </c>
      <c r="C117" s="434">
        <f>Epidemiology!C102</f>
        <v>0.42</v>
      </c>
    </row>
    <row r="119" spans="1:6">
      <c r="B119" s="30" t="s">
        <v>3041</v>
      </c>
    </row>
    <row r="121" spans="1:6">
      <c r="B121" s="48" t="s">
        <v>3039</v>
      </c>
    </row>
    <row r="122" spans="1:6">
      <c r="B122" s="307" t="s">
        <v>2914</v>
      </c>
      <c r="C122" s="307" t="s">
        <v>3038</v>
      </c>
      <c r="D122" s="307" t="s">
        <v>3328</v>
      </c>
    </row>
    <row r="123" spans="1:6" ht="29">
      <c r="B123" s="350" t="s">
        <v>2873</v>
      </c>
      <c r="C123" s="455">
        <v>0.1</v>
      </c>
      <c r="D123" s="674" t="s">
        <v>3378</v>
      </c>
    </row>
    <row r="124" spans="1:6" ht="14.4" customHeight="1">
      <c r="B124" s="350" t="s">
        <v>2975</v>
      </c>
      <c r="C124" s="306">
        <f>1-C123</f>
        <v>0.9</v>
      </c>
      <c r="D124" s="306" t="s">
        <v>3379</v>
      </c>
    </row>
    <row r="125" spans="1:6">
      <c r="B125" s="364"/>
      <c r="C125" s="675" t="b">
        <f>SUM(C123:C124)=1</f>
        <v>1</v>
      </c>
      <c r="D125" s="401"/>
    </row>
    <row r="126" spans="1:6">
      <c r="B126" s="364"/>
      <c r="C126" s="401"/>
    </row>
    <row r="127" spans="1:6">
      <c r="B127" t="s">
        <v>120</v>
      </c>
    </row>
    <row r="128" spans="1:6">
      <c r="B128" s="307" t="s">
        <v>2914</v>
      </c>
      <c r="C128" s="84" t="s">
        <v>3051</v>
      </c>
      <c r="D128" s="84" t="s">
        <v>3040</v>
      </c>
      <c r="F128" s="84" t="s">
        <v>36</v>
      </c>
    </row>
    <row r="129" spans="2:6">
      <c r="B129" s="350" t="s">
        <v>2873</v>
      </c>
      <c r="C129" s="434">
        <f>'Control Assumptions'!C162</f>
        <v>0.63834196891191719</v>
      </c>
      <c r="D129" s="434">
        <f>'Control Assumptions'!C171</f>
        <v>0.1</v>
      </c>
      <c r="F129" s="434">
        <f>D415</f>
        <v>0.28393711645907732</v>
      </c>
    </row>
    <row r="130" spans="2:6">
      <c r="B130" s="350" t="s">
        <v>2975</v>
      </c>
      <c r="C130" s="434">
        <f>'Control Assumptions'!C163</f>
        <v>0.36165803108808287</v>
      </c>
      <c r="D130" s="434">
        <f>'Control Assumptions'!C172</f>
        <v>0.9</v>
      </c>
      <c r="F130" s="434">
        <f>E415</f>
        <v>0.66077843246015211</v>
      </c>
    </row>
    <row r="132" spans="2:6">
      <c r="B132" s="48" t="s">
        <v>3031</v>
      </c>
    </row>
    <row r="133" spans="2:6">
      <c r="B133" s="307"/>
      <c r="C133" s="84" t="s">
        <v>20</v>
      </c>
      <c r="D133" s="84" t="s">
        <v>2602</v>
      </c>
    </row>
    <row r="134" spans="2:6">
      <c r="B134" s="350" t="s">
        <v>3031</v>
      </c>
      <c r="C134" s="434">
        <f>SUMPRODUCT(C129:C130,$F$129:$F$130)</f>
        <v>0.42022480483666813</v>
      </c>
      <c r="D134" s="434">
        <f>SUMPRODUCT(D129:D130,$F$129:$F$130)</f>
        <v>0.62309430086004469</v>
      </c>
    </row>
    <row r="135" spans="2:6" ht="29">
      <c r="B135" s="448" t="s">
        <v>3034</v>
      </c>
      <c r="C135" s="446">
        <f>D134-C134</f>
        <v>0.20286949602337656</v>
      </c>
      <c r="D135" s="145"/>
    </row>
    <row r="136" spans="2:6">
      <c r="B136" s="447"/>
      <c r="C136" s="436"/>
      <c r="D136" s="449"/>
    </row>
    <row r="137" spans="2:6">
      <c r="B137" s="447"/>
      <c r="C137" s="436"/>
      <c r="D137" s="449"/>
    </row>
    <row r="138" spans="2:6">
      <c r="B138" s="447"/>
      <c r="C138" s="436"/>
    </row>
    <row r="139" spans="2:6">
      <c r="B139" s="454" t="s">
        <v>3045</v>
      </c>
      <c r="C139" s="436"/>
    </row>
    <row r="140" spans="2:6">
      <c r="B140" s="364"/>
      <c r="D140" s="436"/>
    </row>
    <row r="141" spans="2:6">
      <c r="B141" s="451" t="s">
        <v>3052</v>
      </c>
      <c r="C141" s="434">
        <f>C117</f>
        <v>0.42</v>
      </c>
      <c r="D141" s="436"/>
    </row>
    <row r="142" spans="2:6">
      <c r="B142" s="451" t="s">
        <v>3046</v>
      </c>
      <c r="C142" s="434">
        <f>C135</f>
        <v>0.20286949602337656</v>
      </c>
      <c r="D142" s="436"/>
    </row>
    <row r="143" spans="2:6">
      <c r="B143" s="452"/>
      <c r="C143" s="436"/>
      <c r="D143" s="436"/>
    </row>
    <row r="144" spans="2:6">
      <c r="B144" s="451" t="s">
        <v>3053</v>
      </c>
      <c r="C144" s="434">
        <f>C141+SUM(C142:C142)</f>
        <v>0.62286949602337649</v>
      </c>
      <c r="D144" s="436"/>
    </row>
    <row r="145" spans="1:6">
      <c r="B145" s="448" t="s">
        <v>3053</v>
      </c>
      <c r="C145" s="446">
        <f>C141+SUM(C142:C142)</f>
        <v>0.62286949602337649</v>
      </c>
      <c r="D145" s="436"/>
    </row>
    <row r="146" spans="1:6">
      <c r="B146" s="364"/>
      <c r="D146" s="436"/>
    </row>
    <row r="147" spans="1:6">
      <c r="B147" s="364"/>
      <c r="D147" s="436"/>
    </row>
    <row r="148" spans="1:6">
      <c r="A148" s="9"/>
      <c r="B148" s="364"/>
      <c r="D148" s="436"/>
    </row>
    <row r="149" spans="1:6">
      <c r="B149" s="364"/>
      <c r="D149" s="436"/>
    </row>
    <row r="150" spans="1:6">
      <c r="B150" s="364"/>
      <c r="D150" s="436"/>
    </row>
    <row r="151" spans="1:6">
      <c r="B151" s="30"/>
      <c r="D151" s="436"/>
    </row>
    <row r="152" spans="1:6" s="588" customFormat="1">
      <c r="A152" s="593" t="s">
        <v>3374</v>
      </c>
      <c r="B152" s="664"/>
      <c r="D152" s="665"/>
      <c r="F152" s="661"/>
    </row>
    <row r="153" spans="1:6">
      <c r="A153" s="9"/>
      <c r="B153" s="364"/>
      <c r="D153" s="436"/>
    </row>
    <row r="154" spans="1:6">
      <c r="B154" s="364"/>
      <c r="D154" s="436"/>
    </row>
    <row r="156" spans="1:6" ht="18.5">
      <c r="A156" s="279" t="s">
        <v>10</v>
      </c>
      <c r="B156" s="279" t="s">
        <v>2604</v>
      </c>
    </row>
    <row r="158" spans="1:6">
      <c r="B158" s="250"/>
    </row>
    <row r="159" spans="1:6">
      <c r="A159" t="s">
        <v>10</v>
      </c>
      <c r="B159" s="76" t="s">
        <v>2580</v>
      </c>
    </row>
    <row r="160" spans="1:6">
      <c r="B160" s="254" t="s">
        <v>2558</v>
      </c>
    </row>
    <row r="161" spans="2:6">
      <c r="B161" s="254"/>
    </row>
    <row r="162" spans="2:6">
      <c r="B162" s="247"/>
      <c r="C162" s="141" t="s">
        <v>2560</v>
      </c>
      <c r="D162" s="141"/>
    </row>
    <row r="163" spans="2:6" ht="21.65" customHeight="1">
      <c r="B163" s="248" t="s">
        <v>1</v>
      </c>
      <c r="C163" s="927" t="s">
        <v>2561</v>
      </c>
      <c r="D163" s="928"/>
    </row>
    <row r="164" spans="2:6" ht="64.25" customHeight="1">
      <c r="B164" s="6" t="s">
        <v>2564</v>
      </c>
      <c r="C164" s="925" t="s">
        <v>2600</v>
      </c>
      <c r="D164" s="926"/>
    </row>
    <row r="165" spans="2:6">
      <c r="B165" s="32" t="s">
        <v>2559</v>
      </c>
      <c r="C165" s="240"/>
      <c r="D165" s="241"/>
    </row>
    <row r="166" spans="2:6" ht="51.65" customHeight="1">
      <c r="B166" s="41" t="s">
        <v>2562</v>
      </c>
      <c r="C166" s="929" t="s">
        <v>2563</v>
      </c>
      <c r="D166" s="930"/>
    </row>
    <row r="167" spans="2:6" ht="155.4" customHeight="1">
      <c r="B167" s="6" t="s">
        <v>36</v>
      </c>
      <c r="C167" s="925" t="s">
        <v>2592</v>
      </c>
      <c r="D167" s="926"/>
    </row>
    <row r="168" spans="2:6" ht="54.65" customHeight="1">
      <c r="B168" s="6" t="s">
        <v>2578</v>
      </c>
      <c r="C168" s="925" t="s">
        <v>2595</v>
      </c>
      <c r="D168" s="926"/>
    </row>
    <row r="169" spans="2:6">
      <c r="B169" s="52"/>
      <c r="C169" s="242"/>
      <c r="D169" s="238"/>
    </row>
    <row r="170" spans="2:6">
      <c r="B170" s="113" t="s">
        <v>2583</v>
      </c>
      <c r="C170" s="242"/>
      <c r="D170" s="238"/>
    </row>
    <row r="171" spans="2:6">
      <c r="B171" s="113"/>
      <c r="C171" s="242"/>
      <c r="D171" s="238"/>
    </row>
    <row r="172" spans="2:6">
      <c r="B172" s="247" t="s">
        <v>2</v>
      </c>
      <c r="C172" s="141" t="s">
        <v>2581</v>
      </c>
      <c r="D172" s="247" t="s">
        <v>2582</v>
      </c>
      <c r="F172"/>
    </row>
    <row r="173" spans="2:6" ht="43.5">
      <c r="B173" s="248" t="s">
        <v>2601</v>
      </c>
      <c r="C173" s="244">
        <f>D196</f>
        <v>0.6422578184591915</v>
      </c>
      <c r="D173" s="248" t="s">
        <v>2590</v>
      </c>
      <c r="F173"/>
    </row>
    <row r="174" spans="2:6" ht="29">
      <c r="B174" s="248" t="s">
        <v>2593</v>
      </c>
      <c r="C174" s="256">
        <f>(93.8%-85.8%)</f>
        <v>7.999999999999996E-2</v>
      </c>
      <c r="D174" s="248" t="s">
        <v>2591</v>
      </c>
      <c r="F174"/>
    </row>
    <row r="175" spans="2:6" ht="29">
      <c r="B175" s="248" t="s">
        <v>2594</v>
      </c>
      <c r="C175" s="256">
        <f>16.5%-11.4%</f>
        <v>5.1000000000000004E-2</v>
      </c>
      <c r="D175" s="248" t="s">
        <v>2591</v>
      </c>
      <c r="F175"/>
    </row>
    <row r="176" spans="2:6" ht="116">
      <c r="B176" s="248" t="s">
        <v>2579</v>
      </c>
      <c r="C176" s="328">
        <v>1016</v>
      </c>
      <c r="D176" s="324" t="s">
        <v>2815</v>
      </c>
      <c r="F176"/>
    </row>
    <row r="177" spans="1:6">
      <c r="B177" s="251"/>
      <c r="C177" s="251"/>
      <c r="D177" s="251"/>
      <c r="E177" s="246"/>
      <c r="F177" s="666"/>
    </row>
    <row r="178" spans="1:6">
      <c r="B178" s="251"/>
      <c r="C178" s="246"/>
      <c r="D178" s="246"/>
      <c r="E178" s="245"/>
      <c r="F178" s="251"/>
    </row>
    <row r="179" spans="1:6">
      <c r="B179" s="252" t="s">
        <v>2596</v>
      </c>
      <c r="C179" s="246"/>
      <c r="D179" s="246"/>
      <c r="E179" s="245"/>
      <c r="F179" s="251"/>
    </row>
    <row r="180" spans="1:6">
      <c r="B180" s="252"/>
      <c r="C180" s="246"/>
      <c r="D180" s="246"/>
      <c r="E180" s="245"/>
      <c r="F180" s="251"/>
    </row>
    <row r="181" spans="1:6">
      <c r="A181" s="239"/>
      <c r="B181" s="247" t="s">
        <v>2587</v>
      </c>
      <c r="C181" s="141" t="s">
        <v>2588</v>
      </c>
      <c r="D181" s="141" t="s">
        <v>2589</v>
      </c>
      <c r="E181" s="48"/>
      <c r="F181"/>
    </row>
    <row r="182" spans="1:6" ht="29">
      <c r="A182" s="239"/>
      <c r="B182" s="248" t="s">
        <v>2576</v>
      </c>
      <c r="C182" s="163">
        <v>6555</v>
      </c>
      <c r="D182" s="237"/>
      <c r="E182" s="48"/>
      <c r="F182"/>
    </row>
    <row r="183" spans="1:6" ht="29">
      <c r="A183" s="239"/>
      <c r="B183" s="248" t="s">
        <v>2584</v>
      </c>
      <c r="C183" s="163">
        <v>1772</v>
      </c>
      <c r="D183" s="237"/>
      <c r="E183" s="48"/>
      <c r="F183"/>
    </row>
    <row r="184" spans="1:6" ht="29">
      <c r="A184" s="239"/>
      <c r="B184" s="248" t="s">
        <v>2569</v>
      </c>
      <c r="C184" s="163">
        <v>873</v>
      </c>
      <c r="D184" s="237"/>
      <c r="E184" s="48"/>
      <c r="F184"/>
    </row>
    <row r="185" spans="1:6" ht="29">
      <c r="A185" s="239"/>
      <c r="B185" s="248" t="s">
        <v>2570</v>
      </c>
      <c r="C185" s="163">
        <v>610</v>
      </c>
      <c r="D185" s="237"/>
      <c r="E185" s="48"/>
      <c r="F185"/>
    </row>
    <row r="186" spans="1:6">
      <c r="A186" s="239"/>
      <c r="B186" s="248" t="s">
        <v>2565</v>
      </c>
      <c r="C186" s="163">
        <v>568</v>
      </c>
      <c r="D186" s="237"/>
      <c r="E186" s="48"/>
      <c r="F186"/>
    </row>
    <row r="187" spans="1:6">
      <c r="A187" s="239"/>
      <c r="B187" s="248" t="s">
        <v>2566</v>
      </c>
      <c r="C187" s="163">
        <v>496</v>
      </c>
      <c r="D187" s="237" t="s">
        <v>2586</v>
      </c>
      <c r="E187" s="48"/>
      <c r="F187"/>
    </row>
    <row r="188" spans="1:6">
      <c r="A188" s="239"/>
      <c r="B188" s="248" t="s">
        <v>2567</v>
      </c>
      <c r="C188" s="163">
        <v>434</v>
      </c>
      <c r="D188" s="237" t="s">
        <v>2586</v>
      </c>
      <c r="E188" s="48"/>
      <c r="F188"/>
    </row>
    <row r="189" spans="1:6" ht="43.5">
      <c r="A189" s="239"/>
      <c r="B189" s="248" t="s">
        <v>2571</v>
      </c>
      <c r="C189" s="163">
        <v>393</v>
      </c>
      <c r="D189" s="237" t="s">
        <v>2586</v>
      </c>
      <c r="E189" s="48"/>
      <c r="F189"/>
    </row>
    <row r="190" spans="1:6">
      <c r="A190" s="239"/>
      <c r="B190" s="248" t="s">
        <v>2568</v>
      </c>
      <c r="C190" s="163">
        <v>378</v>
      </c>
      <c r="D190" s="237"/>
      <c r="E190" s="48"/>
      <c r="F190"/>
    </row>
    <row r="191" spans="1:6" ht="43.5">
      <c r="A191" s="239"/>
      <c r="B191" s="248" t="s">
        <v>2572</v>
      </c>
      <c r="C191" s="163">
        <v>267</v>
      </c>
      <c r="D191" s="237" t="s">
        <v>2586</v>
      </c>
      <c r="E191" s="48"/>
      <c r="F191"/>
    </row>
    <row r="192" spans="1:6" ht="43.5">
      <c r="A192" s="239"/>
      <c r="B192" s="248" t="s">
        <v>2573</v>
      </c>
      <c r="C192" s="163">
        <v>199</v>
      </c>
      <c r="D192" s="237" t="s">
        <v>2586</v>
      </c>
      <c r="E192" s="48"/>
      <c r="F192"/>
    </row>
    <row r="193" spans="1:6" ht="29">
      <c r="A193" s="239"/>
      <c r="B193" s="248" t="s">
        <v>2574</v>
      </c>
      <c r="C193" s="163">
        <v>71</v>
      </c>
      <c r="D193" s="237" t="s">
        <v>2586</v>
      </c>
      <c r="E193" s="48"/>
      <c r="F193"/>
    </row>
    <row r="194" spans="1:6" ht="43.5">
      <c r="A194" s="239"/>
      <c r="B194" s="248" t="s">
        <v>2575</v>
      </c>
      <c r="C194" s="163">
        <v>35</v>
      </c>
      <c r="D194" s="237" t="s">
        <v>2586</v>
      </c>
      <c r="E194" s="48"/>
      <c r="F194"/>
    </row>
    <row r="195" spans="1:6" ht="29">
      <c r="A195" s="239"/>
      <c r="B195" s="248" t="s">
        <v>2577</v>
      </c>
      <c r="C195" s="163">
        <v>450</v>
      </c>
      <c r="D195" s="237" t="s">
        <v>2586</v>
      </c>
      <c r="E195" s="48"/>
      <c r="F195"/>
    </row>
    <row r="196" spans="1:6">
      <c r="A196" s="239"/>
      <c r="B196" s="266" t="s">
        <v>2585</v>
      </c>
      <c r="C196" s="667"/>
      <c r="D196" s="243">
        <f>(C182-SUMIFS(C183:C195,D183:D195,"yes"))/C182</f>
        <v>0.6422578184591915</v>
      </c>
      <c r="E196" s="48"/>
      <c r="F196"/>
    </row>
    <row r="197" spans="1:6">
      <c r="A197" s="239"/>
      <c r="B197" s="253"/>
      <c r="C197" s="239"/>
    </row>
    <row r="199" spans="1:6" ht="18.5">
      <c r="A199" s="279" t="s">
        <v>10</v>
      </c>
      <c r="B199" s="279" t="s">
        <v>2786</v>
      </c>
    </row>
    <row r="200" spans="1:6">
      <c r="A200" s="9"/>
      <c r="B200" s="76"/>
    </row>
    <row r="201" spans="1:6">
      <c r="B201" s="251"/>
      <c r="C201" s="246"/>
      <c r="D201" s="246"/>
      <c r="E201" s="245"/>
      <c r="F201" s="251"/>
    </row>
    <row r="203" spans="1:6" ht="18.5">
      <c r="A203" s="278" t="s">
        <v>10</v>
      </c>
      <c r="B203" s="279" t="s">
        <v>2784</v>
      </c>
    </row>
    <row r="204" spans="1:6">
      <c r="B204" s="254" t="s">
        <v>2618</v>
      </c>
    </row>
    <row r="205" spans="1:6">
      <c r="B205" s="250"/>
    </row>
    <row r="206" spans="1:6">
      <c r="B206" s="76" t="s">
        <v>2580</v>
      </c>
    </row>
    <row r="208" spans="1:6">
      <c r="B208" s="247"/>
      <c r="C208" s="141" t="s">
        <v>2560</v>
      </c>
      <c r="D208" s="141"/>
    </row>
    <row r="209" spans="2:6" ht="23.4" customHeight="1">
      <c r="B209" s="248" t="s">
        <v>1</v>
      </c>
      <c r="C209" s="927" t="s">
        <v>2686</v>
      </c>
      <c r="D209" s="928"/>
    </row>
    <row r="210" spans="2:6">
      <c r="B210" s="6" t="s">
        <v>2564</v>
      </c>
      <c r="C210" s="925" t="s">
        <v>2617</v>
      </c>
      <c r="D210" s="926"/>
    </row>
    <row r="211" spans="2:6">
      <c r="B211" s="6" t="s">
        <v>2579</v>
      </c>
      <c r="C211" s="925" t="s">
        <v>2690</v>
      </c>
      <c r="D211" s="926"/>
    </row>
    <row r="212" spans="2:6">
      <c r="B212" s="32" t="s">
        <v>2559</v>
      </c>
      <c r="C212" s="240"/>
      <c r="D212" s="241"/>
    </row>
    <row r="213" spans="2:6" s="95" customFormat="1" ht="77.400000000000006" customHeight="1">
      <c r="B213" s="6" t="s">
        <v>2687</v>
      </c>
      <c r="C213" s="929" t="s">
        <v>2685</v>
      </c>
      <c r="D213" s="930"/>
      <c r="F213" s="325"/>
    </row>
    <row r="214" spans="2:6">
      <c r="B214" s="52"/>
      <c r="C214" s="242"/>
      <c r="D214" s="238"/>
    </row>
    <row r="215" spans="2:6">
      <c r="B215" s="113" t="s">
        <v>2583</v>
      </c>
      <c r="C215" s="249"/>
      <c r="D215" s="238"/>
    </row>
    <row r="216" spans="2:6">
      <c r="B216" s="668" t="s">
        <v>3370</v>
      </c>
      <c r="C216" s="242"/>
      <c r="D216" s="238"/>
    </row>
    <row r="217" spans="2:6">
      <c r="B217" s="141" t="s">
        <v>2603</v>
      </c>
      <c r="C217" s="141" t="s">
        <v>2688</v>
      </c>
      <c r="D217" s="141" t="s">
        <v>1</v>
      </c>
    </row>
    <row r="218" spans="2:6">
      <c r="B218" s="237" t="s">
        <v>20</v>
      </c>
      <c r="C218" s="263">
        <f>'Resource costs'!D281</f>
        <v>0.62879720012030726</v>
      </c>
      <c r="D218" s="237" t="s">
        <v>2504</v>
      </c>
    </row>
    <row r="219" spans="2:6">
      <c r="B219" s="237" t="s">
        <v>2602</v>
      </c>
      <c r="C219" s="255">
        <v>0.85</v>
      </c>
      <c r="D219" s="264" t="s">
        <v>2689</v>
      </c>
    </row>
    <row r="220" spans="2:6">
      <c r="B220" s="245"/>
      <c r="C220" s="245"/>
      <c r="D220" s="257"/>
    </row>
    <row r="221" spans="2:6">
      <c r="C221" s="242"/>
      <c r="D221" s="238"/>
    </row>
    <row r="222" spans="2:6">
      <c r="B222" s="247" t="s">
        <v>2</v>
      </c>
      <c r="C222" s="141" t="s">
        <v>2581</v>
      </c>
      <c r="D222" s="247" t="s">
        <v>2582</v>
      </c>
      <c r="F222"/>
    </row>
    <row r="223" spans="2:6" ht="29">
      <c r="B223" s="247" t="s">
        <v>2966</v>
      </c>
      <c r="C223" s="145">
        <f>J230</f>
        <v>0.31773915413277698</v>
      </c>
      <c r="D223" s="671"/>
      <c r="F223"/>
    </row>
    <row r="224" spans="2:6" ht="43.5">
      <c r="B224" s="247" t="s">
        <v>2965</v>
      </c>
      <c r="C224" s="244">
        <f>AVERAGE(I233:I258)</f>
        <v>0.73944253156255113</v>
      </c>
      <c r="D224" s="248" t="s">
        <v>2684</v>
      </c>
      <c r="F224"/>
    </row>
    <row r="225" spans="2:10">
      <c r="B225" s="248" t="s">
        <v>2579</v>
      </c>
      <c r="C225" s="244" t="s">
        <v>2690</v>
      </c>
      <c r="D225" s="248"/>
      <c r="F225"/>
    </row>
    <row r="227" spans="2:10">
      <c r="B227"/>
      <c r="C227" s="229"/>
    </row>
    <row r="229" spans="2:10" ht="44" thickBot="1">
      <c r="B229" s="99" t="s">
        <v>2683</v>
      </c>
      <c r="H229" s="671" t="s">
        <v>3159</v>
      </c>
      <c r="I229" s="671" t="s">
        <v>3162</v>
      </c>
      <c r="J229" s="671" t="s">
        <v>3163</v>
      </c>
    </row>
    <row r="230" spans="2:10">
      <c r="B230" s="262" t="s">
        <v>2619</v>
      </c>
      <c r="C230" s="262" t="s">
        <v>2620</v>
      </c>
      <c r="D230" s="262" t="s">
        <v>2621</v>
      </c>
      <c r="E230" s="262" t="s">
        <v>2622</v>
      </c>
      <c r="F230" s="262" t="s">
        <v>2623</v>
      </c>
      <c r="G230" s="262" t="s">
        <v>2790</v>
      </c>
      <c r="H230" s="669"/>
      <c r="I230" s="672">
        <f>AVERAGE(I233,I236,I239,I242,I250,I254)</f>
        <v>0.73944253156255113</v>
      </c>
      <c r="J230" s="673">
        <f>AVERAGE(J233,J236,J239,J242,J250,J254)</f>
        <v>0.31773915413277698</v>
      </c>
    </row>
    <row r="231" spans="2:10">
      <c r="B231" s="261" t="s">
        <v>21</v>
      </c>
      <c r="C231" s="260"/>
      <c r="D231" s="260"/>
      <c r="E231" s="260"/>
      <c r="F231" s="326"/>
      <c r="G231" s="260"/>
      <c r="H231" s="669"/>
      <c r="I231" s="670"/>
      <c r="J231" s="669"/>
    </row>
    <row r="232" spans="2:10">
      <c r="B232" s="500" t="s">
        <v>2624</v>
      </c>
      <c r="C232" s="501" t="s">
        <v>2626</v>
      </c>
      <c r="D232" s="494" t="s">
        <v>2628</v>
      </c>
      <c r="E232" s="495"/>
      <c r="F232" s="933" t="s">
        <v>2633</v>
      </c>
      <c r="G232" s="933" t="s">
        <v>2634</v>
      </c>
      <c r="H232" s="669"/>
      <c r="I232" s="670"/>
      <c r="J232" s="669"/>
    </row>
    <row r="233" spans="2:10">
      <c r="B233" s="496" t="s">
        <v>2625</v>
      </c>
      <c r="C233" s="497" t="s">
        <v>2627</v>
      </c>
      <c r="D233" s="497" t="s">
        <v>2629</v>
      </c>
      <c r="E233" s="497" t="s">
        <v>2631</v>
      </c>
      <c r="F233" s="934"/>
      <c r="G233" s="934"/>
      <c r="H233" s="669"/>
      <c r="I233" s="670">
        <f>(21/30)</f>
        <v>0.7</v>
      </c>
      <c r="J233" s="669">
        <f>15/39</f>
        <v>0.38461538461538464</v>
      </c>
    </row>
    <row r="234" spans="2:10">
      <c r="B234" s="498"/>
      <c r="C234" s="499"/>
      <c r="D234" s="499" t="s">
        <v>2630</v>
      </c>
      <c r="E234" s="499" t="s">
        <v>2632</v>
      </c>
      <c r="F234" s="935"/>
      <c r="G234" s="935"/>
      <c r="H234" s="669"/>
      <c r="I234" s="670"/>
      <c r="J234" s="669"/>
    </row>
    <row r="235" spans="2:10">
      <c r="B235" s="500" t="s">
        <v>2624</v>
      </c>
      <c r="C235" s="501" t="s">
        <v>2635</v>
      </c>
      <c r="D235" s="494" t="s">
        <v>21</v>
      </c>
      <c r="E235" s="495"/>
      <c r="F235" s="933" t="s">
        <v>2640</v>
      </c>
      <c r="G235" s="933" t="s">
        <v>2634</v>
      </c>
      <c r="H235" s="669"/>
      <c r="I235" s="670"/>
      <c r="J235" s="669"/>
    </row>
    <row r="236" spans="2:10">
      <c r="B236" s="496" t="s">
        <v>2625</v>
      </c>
      <c r="C236" s="497" t="s">
        <v>2627</v>
      </c>
      <c r="D236" s="497" t="s">
        <v>2636</v>
      </c>
      <c r="E236" s="497" t="s">
        <v>2638</v>
      </c>
      <c r="F236" s="934"/>
      <c r="G236" s="934"/>
      <c r="H236" s="669"/>
      <c r="I236" s="670">
        <f>(18/19)</f>
        <v>0.94736842105263153</v>
      </c>
      <c r="J236" s="669">
        <f>7/17</f>
        <v>0.41176470588235292</v>
      </c>
    </row>
    <row r="237" spans="2:10">
      <c r="B237" s="498"/>
      <c r="C237" s="499"/>
      <c r="D237" s="499" t="s">
        <v>2637</v>
      </c>
      <c r="E237" s="499" t="s">
        <v>2639</v>
      </c>
      <c r="F237" s="935"/>
      <c r="G237" s="935"/>
      <c r="H237" s="669"/>
      <c r="I237" s="670"/>
      <c r="J237" s="669"/>
    </row>
    <row r="238" spans="2:10">
      <c r="B238" s="500" t="s">
        <v>2624</v>
      </c>
      <c r="C238" s="501" t="s">
        <v>2635</v>
      </c>
      <c r="D238" s="494" t="s">
        <v>21</v>
      </c>
      <c r="E238" s="495"/>
      <c r="F238" s="933" t="s">
        <v>2640</v>
      </c>
      <c r="G238" s="933" t="s">
        <v>2634</v>
      </c>
      <c r="H238" s="669"/>
      <c r="I238" s="670"/>
      <c r="J238" s="669"/>
    </row>
    <row r="239" spans="2:10">
      <c r="B239" s="496" t="s">
        <v>2625</v>
      </c>
      <c r="C239" s="497" t="s">
        <v>2627</v>
      </c>
      <c r="D239" s="497" t="s">
        <v>2641</v>
      </c>
      <c r="E239" s="497" t="s">
        <v>2643</v>
      </c>
      <c r="F239" s="934"/>
      <c r="G239" s="934"/>
      <c r="H239" s="669"/>
      <c r="I239" s="670">
        <f>(12/18)</f>
        <v>0.66666666666666663</v>
      </c>
      <c r="J239" s="669">
        <f>4/18</f>
        <v>0.22222222222222221</v>
      </c>
    </row>
    <row r="240" spans="2:10">
      <c r="B240" s="498"/>
      <c r="C240" s="499"/>
      <c r="D240" s="499" t="s">
        <v>2642</v>
      </c>
      <c r="E240" s="499" t="s">
        <v>2644</v>
      </c>
      <c r="F240" s="935"/>
      <c r="G240" s="935"/>
      <c r="H240" s="669"/>
      <c r="I240" s="670"/>
      <c r="J240" s="669"/>
    </row>
    <row r="241" spans="2:10" ht="25">
      <c r="B241" s="500" t="s">
        <v>2624</v>
      </c>
      <c r="C241" s="501" t="s">
        <v>2645</v>
      </c>
      <c r="D241" s="494" t="s">
        <v>2646</v>
      </c>
      <c r="E241" s="933" t="s">
        <v>2650</v>
      </c>
      <c r="F241" s="933" t="s">
        <v>2651</v>
      </c>
      <c r="G241" s="933" t="s">
        <v>2634</v>
      </c>
      <c r="H241" s="669"/>
      <c r="I241" s="670"/>
      <c r="J241" s="669"/>
    </row>
    <row r="242" spans="2:10" ht="25">
      <c r="B242" s="496" t="s">
        <v>2625</v>
      </c>
      <c r="C242" s="497" t="s">
        <v>2627</v>
      </c>
      <c r="D242" s="497" t="s">
        <v>2647</v>
      </c>
      <c r="E242" s="934"/>
      <c r="F242" s="934"/>
      <c r="G242" s="934"/>
      <c r="H242" s="669" t="s">
        <v>3161</v>
      </c>
      <c r="I242" s="670"/>
      <c r="J242" s="669"/>
    </row>
    <row r="243" spans="2:10">
      <c r="B243" s="496"/>
      <c r="C243" s="497"/>
      <c r="D243" s="497" t="s">
        <v>2648</v>
      </c>
      <c r="E243" s="934"/>
      <c r="F243" s="934"/>
      <c r="G243" s="934"/>
      <c r="H243" s="669"/>
      <c r="I243" s="670"/>
      <c r="J243" s="669"/>
    </row>
    <row r="244" spans="2:10">
      <c r="B244" s="498"/>
      <c r="C244" s="499"/>
      <c r="D244" s="499" t="s">
        <v>2649</v>
      </c>
      <c r="E244" s="935"/>
      <c r="F244" s="935"/>
      <c r="G244" s="935"/>
      <c r="H244" s="669"/>
      <c r="I244" s="670"/>
      <c r="J244" s="669"/>
    </row>
    <row r="245" spans="2:10" ht="25">
      <c r="B245" s="500" t="s">
        <v>2624</v>
      </c>
      <c r="C245" s="501" t="s">
        <v>2652</v>
      </c>
      <c r="D245" s="494" t="s">
        <v>2653</v>
      </c>
      <c r="E245" s="495"/>
      <c r="F245" s="933"/>
      <c r="G245" s="933" t="s">
        <v>2659</v>
      </c>
      <c r="H245" s="669"/>
      <c r="I245" s="670"/>
      <c r="J245" s="669"/>
    </row>
    <row r="246" spans="2:10">
      <c r="B246" s="496" t="s">
        <v>2625</v>
      </c>
      <c r="C246" s="497" t="s">
        <v>2627</v>
      </c>
      <c r="D246" s="497" t="s">
        <v>2654</v>
      </c>
      <c r="E246" s="497" t="s">
        <v>2656</v>
      </c>
      <c r="F246" s="934"/>
      <c r="G246" s="934"/>
      <c r="H246" s="669" t="str">
        <f>G245</f>
        <v>Not significant</v>
      </c>
      <c r="I246" s="670"/>
      <c r="J246" s="669"/>
    </row>
    <row r="247" spans="2:10" ht="25">
      <c r="B247" s="496"/>
      <c r="C247" s="497"/>
      <c r="D247" s="497" t="s">
        <v>2655</v>
      </c>
      <c r="E247" s="497" t="s">
        <v>2657</v>
      </c>
      <c r="F247" s="934"/>
      <c r="G247" s="934"/>
      <c r="H247" s="669"/>
      <c r="I247" s="670"/>
      <c r="J247" s="669"/>
    </row>
    <row r="248" spans="2:10">
      <c r="B248" s="498"/>
      <c r="C248" s="499"/>
      <c r="D248" s="499"/>
      <c r="E248" s="499" t="s">
        <v>2658</v>
      </c>
      <c r="F248" s="935"/>
      <c r="G248" s="935"/>
      <c r="H248" s="669"/>
      <c r="I248" s="670"/>
      <c r="J248" s="669"/>
    </row>
    <row r="249" spans="2:10">
      <c r="B249" s="500" t="s">
        <v>2660</v>
      </c>
      <c r="C249" s="933" t="s">
        <v>2663</v>
      </c>
      <c r="D249" s="494" t="s">
        <v>2664</v>
      </c>
      <c r="E249" s="933" t="s">
        <v>2668</v>
      </c>
      <c r="F249" s="933" t="s">
        <v>2651</v>
      </c>
      <c r="G249" s="933" t="s">
        <v>2634</v>
      </c>
      <c r="H249" s="669"/>
      <c r="I249" s="670"/>
      <c r="J249" s="669"/>
    </row>
    <row r="250" spans="2:10" ht="25">
      <c r="B250" s="496" t="s">
        <v>2661</v>
      </c>
      <c r="C250" s="934"/>
      <c r="D250" s="497" t="s">
        <v>2665</v>
      </c>
      <c r="E250" s="934"/>
      <c r="F250" s="934"/>
      <c r="G250" s="934"/>
      <c r="H250" s="669"/>
      <c r="I250" s="670">
        <f>(71/107)</f>
        <v>0.66355140186915884</v>
      </c>
      <c r="J250" s="669">
        <f>30/107</f>
        <v>0.28037383177570091</v>
      </c>
    </row>
    <row r="251" spans="2:10" ht="25">
      <c r="B251" s="502" t="s">
        <v>2662</v>
      </c>
      <c r="C251" s="934"/>
      <c r="D251" s="497" t="s">
        <v>2666</v>
      </c>
      <c r="E251" s="934"/>
      <c r="F251" s="934"/>
      <c r="G251" s="934"/>
      <c r="H251" s="669"/>
      <c r="I251" s="670"/>
      <c r="J251" s="669"/>
    </row>
    <row r="252" spans="2:10">
      <c r="B252" s="503"/>
      <c r="C252" s="935"/>
      <c r="D252" s="499" t="s">
        <v>2667</v>
      </c>
      <c r="E252" s="935"/>
      <c r="F252" s="935"/>
      <c r="G252" s="935"/>
      <c r="H252" s="669"/>
      <c r="I252" s="670"/>
      <c r="J252" s="669"/>
    </row>
    <row r="253" spans="2:10">
      <c r="B253" s="500" t="s">
        <v>2660</v>
      </c>
      <c r="C253" s="933" t="s">
        <v>2663</v>
      </c>
      <c r="D253" s="494" t="s">
        <v>2653</v>
      </c>
      <c r="E253" s="933" t="s">
        <v>2668</v>
      </c>
      <c r="F253" s="933" t="s">
        <v>2651</v>
      </c>
      <c r="G253" s="933" t="s">
        <v>2634</v>
      </c>
      <c r="H253" s="669"/>
      <c r="I253" s="670"/>
      <c r="J253" s="669"/>
    </row>
    <row r="254" spans="2:10" ht="25">
      <c r="B254" s="496" t="s">
        <v>2661</v>
      </c>
      <c r="C254" s="934"/>
      <c r="D254" s="497" t="s">
        <v>2669</v>
      </c>
      <c r="E254" s="934"/>
      <c r="F254" s="934"/>
      <c r="G254" s="934"/>
      <c r="H254" s="669"/>
      <c r="I254" s="670">
        <f>(77/107)</f>
        <v>0.71962616822429903</v>
      </c>
      <c r="J254" s="669">
        <f>31/107</f>
        <v>0.28971962616822428</v>
      </c>
    </row>
    <row r="255" spans="2:10" ht="25">
      <c r="B255" s="502" t="s">
        <v>2662</v>
      </c>
      <c r="C255" s="934"/>
      <c r="D255" s="497" t="s">
        <v>2670</v>
      </c>
      <c r="E255" s="934"/>
      <c r="F255" s="934"/>
      <c r="G255" s="934"/>
      <c r="H255" s="669"/>
      <c r="I255" s="670"/>
      <c r="J255" s="669"/>
    </row>
    <row r="256" spans="2:10">
      <c r="B256" s="503"/>
      <c r="C256" s="935"/>
      <c r="D256" s="499" t="s">
        <v>2671</v>
      </c>
      <c r="E256" s="935"/>
      <c r="F256" s="935"/>
      <c r="G256" s="935"/>
      <c r="H256" s="669"/>
      <c r="I256" s="670"/>
      <c r="J256" s="669"/>
    </row>
    <row r="257" spans="1:10" ht="25">
      <c r="B257" s="500" t="s">
        <v>2624</v>
      </c>
      <c r="C257" s="501" t="s">
        <v>2672</v>
      </c>
      <c r="D257" s="494" t="s">
        <v>2673</v>
      </c>
      <c r="E257" s="495"/>
      <c r="F257" s="933"/>
      <c r="G257" s="933"/>
      <c r="H257" s="669"/>
      <c r="I257" s="670"/>
      <c r="J257" s="669"/>
    </row>
    <row r="258" spans="1:10" ht="25">
      <c r="B258" s="496" t="s">
        <v>2625</v>
      </c>
      <c r="C258" s="497" t="s">
        <v>2627</v>
      </c>
      <c r="D258" s="497" t="s">
        <v>2674</v>
      </c>
      <c r="E258" s="497" t="s">
        <v>2677</v>
      </c>
      <c r="F258" s="934"/>
      <c r="G258" s="934"/>
      <c r="H258" s="669" t="s">
        <v>3160</v>
      </c>
      <c r="I258" s="670"/>
      <c r="J258" s="669"/>
    </row>
    <row r="259" spans="1:10" ht="25">
      <c r="B259" s="496"/>
      <c r="C259" s="497"/>
      <c r="D259" s="497" t="s">
        <v>2675</v>
      </c>
      <c r="E259" s="497" t="s">
        <v>2678</v>
      </c>
      <c r="F259" s="934"/>
      <c r="G259" s="934"/>
      <c r="H259" s="669"/>
      <c r="I259" s="670"/>
      <c r="J259" s="669"/>
    </row>
    <row r="260" spans="1:10" ht="25">
      <c r="B260" s="498"/>
      <c r="C260" s="499"/>
      <c r="D260" s="499" t="s">
        <v>2676</v>
      </c>
      <c r="E260" s="499"/>
      <c r="F260" s="935"/>
      <c r="G260" s="935"/>
      <c r="H260" s="669"/>
      <c r="I260" s="670"/>
      <c r="J260" s="669"/>
    </row>
    <row r="261" spans="1:10">
      <c r="B261" s="500" t="s">
        <v>2660</v>
      </c>
      <c r="C261" s="933" t="s">
        <v>2663</v>
      </c>
      <c r="D261" s="494" t="s">
        <v>2679</v>
      </c>
      <c r="E261" s="933" t="s">
        <v>2668</v>
      </c>
      <c r="F261" s="933" t="s">
        <v>2651</v>
      </c>
      <c r="G261" s="933" t="s">
        <v>2634</v>
      </c>
      <c r="H261" s="669"/>
      <c r="I261" s="670"/>
      <c r="J261" s="669"/>
    </row>
    <row r="262" spans="1:10" ht="25">
      <c r="B262" s="496" t="s">
        <v>2661</v>
      </c>
      <c r="C262" s="934"/>
      <c r="D262" s="497" t="s">
        <v>2680</v>
      </c>
      <c r="E262" s="934"/>
      <c r="F262" s="934"/>
      <c r="G262" s="934"/>
      <c r="H262" s="669" t="s">
        <v>3160</v>
      </c>
      <c r="I262" s="670"/>
      <c r="J262" s="669"/>
    </row>
    <row r="263" spans="1:10" ht="25">
      <c r="B263" s="502" t="s">
        <v>2662</v>
      </c>
      <c r="C263" s="934"/>
      <c r="D263" s="497" t="s">
        <v>2681</v>
      </c>
      <c r="E263" s="934"/>
      <c r="F263" s="934"/>
      <c r="G263" s="934"/>
      <c r="H263" s="669"/>
      <c r="I263" s="670"/>
      <c r="J263" s="669"/>
    </row>
    <row r="264" spans="1:10">
      <c r="B264" s="503"/>
      <c r="C264" s="935"/>
      <c r="D264" s="499" t="s">
        <v>2682</v>
      </c>
      <c r="E264" s="935"/>
      <c r="F264" s="935"/>
      <c r="G264" s="935"/>
      <c r="H264" s="669"/>
      <c r="I264" s="670"/>
      <c r="J264" s="669"/>
    </row>
    <row r="265" spans="1:10">
      <c r="B265" s="1" t="s">
        <v>2618</v>
      </c>
    </row>
    <row r="269" spans="1:10" ht="18.5">
      <c r="A269" s="279" t="s">
        <v>10</v>
      </c>
      <c r="B269" s="279" t="s">
        <v>2785</v>
      </c>
    </row>
    <row r="270" spans="1:10">
      <c r="B270" s="254" t="s">
        <v>2597</v>
      </c>
    </row>
    <row r="271" spans="1:10">
      <c r="B271" s="259"/>
    </row>
    <row r="272" spans="1:10">
      <c r="B272" s="250"/>
      <c r="C272" s="250"/>
      <c r="D272" s="250"/>
      <c r="E272" s="250"/>
    </row>
    <row r="273" spans="2:6">
      <c r="B273" s="76" t="s">
        <v>2580</v>
      </c>
    </row>
    <row r="275" spans="2:6">
      <c r="B275" s="247"/>
      <c r="C275" s="141" t="s">
        <v>2560</v>
      </c>
      <c r="D275" s="141"/>
    </row>
    <row r="276" spans="2:6" ht="26.4" customHeight="1">
      <c r="B276" s="248" t="s">
        <v>1</v>
      </c>
      <c r="C276" s="927" t="s">
        <v>2598</v>
      </c>
      <c r="D276" s="928"/>
    </row>
    <row r="277" spans="2:6">
      <c r="B277" s="6" t="s">
        <v>2564</v>
      </c>
      <c r="C277" s="925" t="s">
        <v>2518</v>
      </c>
      <c r="D277" s="926"/>
    </row>
    <row r="278" spans="2:6">
      <c r="B278" s="32" t="s">
        <v>2559</v>
      </c>
      <c r="C278" s="240"/>
      <c r="D278" s="241"/>
    </row>
    <row r="279" spans="2:6">
      <c r="B279" s="41" t="s">
        <v>2562</v>
      </c>
      <c r="C279" s="929" t="s">
        <v>2599</v>
      </c>
      <c r="D279" s="930"/>
    </row>
    <row r="280" spans="2:6" s="95" customFormat="1" ht="58.25" customHeight="1">
      <c r="B280" s="6" t="s">
        <v>2578</v>
      </c>
      <c r="C280" s="929" t="s">
        <v>3150</v>
      </c>
      <c r="D280" s="930"/>
      <c r="F280" s="325"/>
    </row>
    <row r="281" spans="2:6">
      <c r="B281" s="52"/>
      <c r="C281" s="242"/>
      <c r="D281" s="238"/>
    </row>
    <row r="282" spans="2:6">
      <c r="B282" s="113" t="s">
        <v>2583</v>
      </c>
      <c r="C282" s="249"/>
      <c r="D282" s="238"/>
    </row>
    <row r="283" spans="2:6">
      <c r="B283"/>
      <c r="C283" s="242"/>
      <c r="D283" s="238"/>
    </row>
    <row r="284" spans="2:6">
      <c r="B284" s="668" t="s">
        <v>3371</v>
      </c>
      <c r="C284" s="242"/>
      <c r="D284" s="238"/>
    </row>
    <row r="285" spans="2:6">
      <c r="B285" s="141" t="s">
        <v>2603</v>
      </c>
      <c r="C285" s="141" t="s">
        <v>2814</v>
      </c>
      <c r="D285" s="141" t="s">
        <v>1</v>
      </c>
    </row>
    <row r="286" spans="2:6">
      <c r="B286" s="237" t="s">
        <v>20</v>
      </c>
      <c r="C286" s="669">
        <f>'Resource costs'!D280</f>
        <v>6.5813578322806432E-2</v>
      </c>
      <c r="D286" s="237" t="s">
        <v>2504</v>
      </c>
    </row>
    <row r="287" spans="2:6">
      <c r="B287" s="237" t="s">
        <v>2602</v>
      </c>
      <c r="C287" s="255">
        <v>0.85</v>
      </c>
      <c r="D287" s="237" t="s">
        <v>2742</v>
      </c>
    </row>
    <row r="288" spans="2:6">
      <c r="B288" s="245"/>
      <c r="C288" s="245"/>
      <c r="D288" s="257"/>
    </row>
    <row r="289" spans="1:6">
      <c r="B289" s="245"/>
      <c r="C289" s="245"/>
      <c r="D289" s="257"/>
    </row>
    <row r="290" spans="1:6">
      <c r="B290" s="141" t="s">
        <v>2603</v>
      </c>
      <c r="C290" s="141" t="s">
        <v>3055</v>
      </c>
      <c r="D290" s="141" t="s">
        <v>1</v>
      </c>
    </row>
    <row r="291" spans="1:6">
      <c r="B291" s="237" t="s">
        <v>94</v>
      </c>
      <c r="C291" s="255">
        <f>37/81</f>
        <v>0.4567901234567901</v>
      </c>
      <c r="D291" s="237" t="s">
        <v>3151</v>
      </c>
    </row>
    <row r="292" spans="1:6">
      <c r="B292" s="237" t="s">
        <v>102</v>
      </c>
      <c r="C292" s="493">
        <f>15/72</f>
        <v>0.20833333333333334</v>
      </c>
      <c r="D292" s="237" t="s">
        <v>3151</v>
      </c>
    </row>
    <row r="293" spans="1:6">
      <c r="C293" s="48"/>
      <c r="D293" s="238"/>
    </row>
    <row r="294" spans="1:6" ht="16.25" customHeight="1">
      <c r="B294" s="247" t="s">
        <v>2</v>
      </c>
      <c r="C294" s="141" t="s">
        <v>2581</v>
      </c>
      <c r="D294" s="247" t="s">
        <v>2582</v>
      </c>
      <c r="F294"/>
    </row>
    <row r="295" spans="1:6">
      <c r="B295" s="248" t="s">
        <v>2579</v>
      </c>
      <c r="C295" s="244" t="s">
        <v>2812</v>
      </c>
      <c r="D295" s="248"/>
      <c r="F295"/>
    </row>
    <row r="296" spans="1:6">
      <c r="B296" s="251"/>
      <c r="C296" s="246"/>
      <c r="D296" s="246"/>
      <c r="E296" s="245"/>
      <c r="F296" s="251"/>
    </row>
    <row r="297" spans="1:6">
      <c r="B297" s="251"/>
      <c r="C297" s="246"/>
      <c r="D297" s="246"/>
      <c r="E297" s="245"/>
      <c r="F297" s="251"/>
    </row>
    <row r="298" spans="1:6">
      <c r="B298" s="251"/>
      <c r="C298" s="246"/>
      <c r="D298" s="246"/>
      <c r="E298" s="245"/>
      <c r="F298" s="251"/>
    </row>
    <row r="300" spans="1:6" ht="18.5">
      <c r="A300" s="279" t="s">
        <v>10</v>
      </c>
      <c r="B300" s="279" t="s">
        <v>2691</v>
      </c>
    </row>
    <row r="301" spans="1:6">
      <c r="B301" s="254" t="s">
        <v>2813</v>
      </c>
    </row>
    <row r="302" spans="1:6">
      <c r="B302" s="250"/>
    </row>
    <row r="303" spans="1:6">
      <c r="B303" s="76" t="s">
        <v>2580</v>
      </c>
    </row>
    <row r="305" spans="2:6">
      <c r="B305" s="247"/>
      <c r="C305" s="141" t="s">
        <v>2560</v>
      </c>
      <c r="D305" s="141"/>
    </row>
    <row r="306" spans="2:6" ht="42.65" customHeight="1">
      <c r="B306" s="248" t="s">
        <v>1</v>
      </c>
      <c r="C306" s="927" t="s">
        <v>2692</v>
      </c>
      <c r="D306" s="928"/>
    </row>
    <row r="307" spans="2:6">
      <c r="B307" s="6" t="s">
        <v>2564</v>
      </c>
      <c r="C307" s="925" t="s">
        <v>25</v>
      </c>
      <c r="D307" s="926"/>
    </row>
    <row r="308" spans="2:6">
      <c r="B308" s="32" t="s">
        <v>2559</v>
      </c>
      <c r="C308" s="240"/>
      <c r="D308" s="241"/>
    </row>
    <row r="309" spans="2:6" s="95" customFormat="1" ht="36.65" customHeight="1">
      <c r="B309" s="6" t="s">
        <v>2578</v>
      </c>
      <c r="C309" s="929" t="s">
        <v>2693</v>
      </c>
      <c r="D309" s="930"/>
      <c r="F309" s="325"/>
    </row>
    <row r="310" spans="2:6" s="95" customFormat="1" ht="116" customHeight="1">
      <c r="B310" s="41" t="s">
        <v>2694</v>
      </c>
      <c r="C310" s="929" t="s">
        <v>2787</v>
      </c>
      <c r="D310" s="930"/>
      <c r="F310" s="325"/>
    </row>
    <row r="311" spans="2:6" s="95" customFormat="1" ht="35" customHeight="1">
      <c r="B311" s="41" t="s">
        <v>2695</v>
      </c>
      <c r="C311" s="929" t="s">
        <v>2696</v>
      </c>
      <c r="D311" s="930"/>
      <c r="F311" s="325"/>
    </row>
    <row r="312" spans="2:6" ht="47.4" customHeight="1">
      <c r="B312" s="41" t="s">
        <v>2716</v>
      </c>
      <c r="C312" s="929" t="s">
        <v>2717</v>
      </c>
      <c r="D312" s="930"/>
    </row>
    <row r="313" spans="2:6" ht="37.25" customHeight="1">
      <c r="B313" s="157"/>
      <c r="C313" s="273"/>
      <c r="D313" s="273"/>
    </row>
    <row r="314" spans="2:6">
      <c r="B314" s="52"/>
      <c r="C314" s="242"/>
      <c r="D314" s="238"/>
    </row>
    <row r="315" spans="2:6">
      <c r="B315" s="113" t="s">
        <v>2583</v>
      </c>
      <c r="C315" s="249"/>
      <c r="D315" s="238"/>
    </row>
    <row r="316" spans="2:6">
      <c r="B316" s="668" t="s">
        <v>3372</v>
      </c>
      <c r="C316" s="242"/>
      <c r="D316" s="238"/>
    </row>
    <row r="317" spans="2:6">
      <c r="B317" s="141" t="s">
        <v>2603</v>
      </c>
      <c r="C317" s="141" t="s">
        <v>2741</v>
      </c>
      <c r="D317" s="141" t="s">
        <v>1</v>
      </c>
    </row>
    <row r="318" spans="2:6">
      <c r="B318" s="237" t="s">
        <v>20</v>
      </c>
      <c r="C318" s="669">
        <f>'Resource costs'!D280</f>
        <v>6.5813578322806432E-2</v>
      </c>
      <c r="D318" s="237" t="s">
        <v>2504</v>
      </c>
    </row>
    <row r="319" spans="2:6">
      <c r="B319" s="245"/>
      <c r="C319" s="245"/>
      <c r="D319" s="257"/>
    </row>
    <row r="320" spans="2:6">
      <c r="B320" s="245"/>
      <c r="C320" s="245"/>
      <c r="D320" s="257"/>
    </row>
    <row r="321" spans="1:6">
      <c r="B321" s="247"/>
      <c r="C321" s="247" t="s">
        <v>3055</v>
      </c>
      <c r="D321" s="247" t="s">
        <v>3058</v>
      </c>
    </row>
    <row r="322" spans="1:6" ht="29" customHeight="1">
      <c r="B322" s="248" t="s">
        <v>3057</v>
      </c>
      <c r="C322" s="456">
        <v>0.23300000000000001</v>
      </c>
      <c r="D322" s="936" t="s">
        <v>3059</v>
      </c>
    </row>
    <row r="323" spans="1:6">
      <c r="B323" s="248" t="s">
        <v>3056</v>
      </c>
      <c r="C323" s="456">
        <v>0.14399999999999999</v>
      </c>
      <c r="D323" s="937"/>
    </row>
    <row r="324" spans="1:6">
      <c r="C324" s="48"/>
      <c r="D324" s="238"/>
    </row>
    <row r="325" spans="1:6">
      <c r="B325" s="247" t="s">
        <v>2</v>
      </c>
      <c r="C325" s="141" t="s">
        <v>2581</v>
      </c>
      <c r="D325" s="247" t="s">
        <v>2582</v>
      </c>
      <c r="F325"/>
    </row>
    <row r="326" spans="1:6" s="3" customFormat="1" ht="29">
      <c r="A326"/>
      <c r="B326" s="248" t="s">
        <v>2743</v>
      </c>
      <c r="C326" s="263">
        <f>C339</f>
        <v>0.60869565217391308</v>
      </c>
      <c r="D326" s="248" t="s">
        <v>2718</v>
      </c>
    </row>
    <row r="327" spans="1:6" ht="29">
      <c r="B327" s="248" t="s">
        <v>3054</v>
      </c>
      <c r="C327" s="263">
        <f>C322-C323</f>
        <v>8.9000000000000024E-2</v>
      </c>
      <c r="D327" s="248" t="s">
        <v>2702</v>
      </c>
      <c r="F327"/>
    </row>
    <row r="328" spans="1:6" ht="43.5">
      <c r="B328" s="248" t="s">
        <v>2705</v>
      </c>
      <c r="C328" s="268">
        <v>302.39999999999998</v>
      </c>
      <c r="D328" s="248" t="s">
        <v>2706</v>
      </c>
      <c r="F328"/>
    </row>
    <row r="331" spans="1:6">
      <c r="B331" s="274" t="s">
        <v>2700</v>
      </c>
    </row>
    <row r="332" spans="1:6">
      <c r="B332" s="247" t="s">
        <v>2</v>
      </c>
      <c r="C332" s="141" t="s">
        <v>3035</v>
      </c>
      <c r="D332" s="141" t="s">
        <v>2581</v>
      </c>
      <c r="E332" s="48"/>
      <c r="F332"/>
    </row>
    <row r="333" spans="1:6" ht="29">
      <c r="B333" s="248" t="s">
        <v>3036</v>
      </c>
      <c r="C333" s="163">
        <v>230</v>
      </c>
      <c r="D333" s="163"/>
      <c r="E333" s="48"/>
      <c r="F333"/>
    </row>
    <row r="334" spans="1:6">
      <c r="B334" s="248" t="s">
        <v>2697</v>
      </c>
      <c r="C334" s="163">
        <v>37</v>
      </c>
      <c r="D334" s="163" t="s">
        <v>2701</v>
      </c>
      <c r="E334" s="48"/>
      <c r="F334"/>
    </row>
    <row r="335" spans="1:6" ht="29">
      <c r="B335" s="248" t="s">
        <v>2698</v>
      </c>
      <c r="C335" s="163">
        <f>2+15+10</f>
        <v>27</v>
      </c>
      <c r="D335" s="163" t="s">
        <v>2701</v>
      </c>
      <c r="E335" s="48"/>
      <c r="F335"/>
    </row>
    <row r="336" spans="1:6">
      <c r="B336" s="248" t="s">
        <v>2699</v>
      </c>
      <c r="C336" s="163">
        <v>26</v>
      </c>
      <c r="D336" s="163" t="s">
        <v>2701</v>
      </c>
      <c r="E336" s="48"/>
      <c r="F336"/>
    </row>
    <row r="337" spans="2:6">
      <c r="B337"/>
      <c r="F337"/>
    </row>
    <row r="338" spans="2:6">
      <c r="B338"/>
      <c r="C338" s="141" t="s">
        <v>2581</v>
      </c>
      <c r="F338"/>
    </row>
    <row r="339" spans="2:6" ht="43.5">
      <c r="B339" s="266" t="s">
        <v>3037</v>
      </c>
      <c r="C339" s="265">
        <f>($C$333-SUMIFS($C$334:$C$336, D334:D336, "y"))/$C$333</f>
        <v>0.60869565217391308</v>
      </c>
      <c r="E339" s="48"/>
      <c r="F339"/>
    </row>
    <row r="340" spans="2:6">
      <c r="B340" s="252"/>
      <c r="C340" s="245"/>
      <c r="D340" s="267"/>
      <c r="E340" s="267"/>
    </row>
    <row r="341" spans="2:6">
      <c r="B341" s="252"/>
      <c r="C341" s="245"/>
      <c r="D341" s="267"/>
      <c r="E341" s="267"/>
    </row>
    <row r="342" spans="2:6">
      <c r="B342" s="252"/>
      <c r="C342" s="245"/>
      <c r="D342" s="267"/>
      <c r="E342" s="267"/>
    </row>
    <row r="343" spans="2:6">
      <c r="B343" s="274" t="s">
        <v>2719</v>
      </c>
      <c r="E343" s="267"/>
    </row>
    <row r="344" spans="2:6">
      <c r="B344" s="247" t="s">
        <v>125</v>
      </c>
      <c r="C344" s="192" t="s">
        <v>2703</v>
      </c>
      <c r="D344" s="192" t="s">
        <v>2704</v>
      </c>
      <c r="E344" s="271" t="s">
        <v>2715</v>
      </c>
    </row>
    <row r="345" spans="2:6" s="3" customFormat="1">
      <c r="B345" s="266" t="s">
        <v>22</v>
      </c>
      <c r="C345" s="275">
        <v>1066.9000000000001</v>
      </c>
      <c r="D345" s="275">
        <v>1282.5999999999999</v>
      </c>
      <c r="E345" s="234">
        <f>(C345-D345)/D345</f>
        <v>-0.16817402151878982</v>
      </c>
      <c r="F345" s="327"/>
    </row>
    <row r="346" spans="2:6">
      <c r="B346" s="247" t="s">
        <v>2709</v>
      </c>
      <c r="C346" s="192"/>
      <c r="D346" s="192"/>
      <c r="E346" s="271"/>
    </row>
    <row r="347" spans="2:6">
      <c r="B347" s="248" t="s">
        <v>2713</v>
      </c>
      <c r="C347" s="276">
        <v>25.1</v>
      </c>
      <c r="D347" s="276">
        <v>53.1</v>
      </c>
      <c r="E347" s="272">
        <f>(C347-D347)/D347</f>
        <v>-0.52730696798493404</v>
      </c>
    </row>
    <row r="348" spans="2:6">
      <c r="B348" s="248" t="s">
        <v>2707</v>
      </c>
      <c r="C348" s="276">
        <v>97.4</v>
      </c>
      <c r="D348" s="276">
        <v>189.1</v>
      </c>
      <c r="E348" s="272">
        <f>(C348-D348)/D348</f>
        <v>-0.48492860920148068</v>
      </c>
    </row>
    <row r="349" spans="2:6">
      <c r="B349" s="247" t="s">
        <v>2710</v>
      </c>
      <c r="C349" s="270"/>
      <c r="D349" s="270"/>
      <c r="E349" s="271"/>
    </row>
    <row r="350" spans="2:6">
      <c r="B350" s="248" t="s">
        <v>2713</v>
      </c>
      <c r="C350" s="276">
        <v>14.9</v>
      </c>
      <c r="D350" s="276">
        <v>24.8</v>
      </c>
      <c r="E350" s="272">
        <f>(C350-D350)/D350</f>
        <v>-0.39919354838709675</v>
      </c>
    </row>
    <row r="351" spans="2:6">
      <c r="B351" s="248" t="s">
        <v>2707</v>
      </c>
      <c r="C351" s="276">
        <v>222.8</v>
      </c>
      <c r="D351" s="276">
        <v>311.39999999999998</v>
      </c>
      <c r="E351" s="272">
        <f>(C351-D351)/D351</f>
        <v>-0.28452151573538847</v>
      </c>
    </row>
    <row r="352" spans="2:6">
      <c r="B352" s="247" t="s">
        <v>2711</v>
      </c>
      <c r="C352" s="270"/>
      <c r="D352" s="270"/>
      <c r="E352" s="271"/>
    </row>
    <row r="353" spans="1:6">
      <c r="B353" s="248" t="s">
        <v>2714</v>
      </c>
      <c r="C353" s="276">
        <v>47.7</v>
      </c>
      <c r="D353" s="276">
        <v>116.4</v>
      </c>
      <c r="E353" s="272">
        <f>(C353-D353)/D353</f>
        <v>-0.59020618556701032</v>
      </c>
      <c r="F353"/>
    </row>
    <row r="354" spans="1:6">
      <c r="B354" s="248" t="s">
        <v>2707</v>
      </c>
      <c r="C354" s="276">
        <v>484</v>
      </c>
      <c r="D354" s="276">
        <v>506.4</v>
      </c>
      <c r="E354" s="272">
        <f>(C354-D354)/D354</f>
        <v>-4.4233807266982582E-2</v>
      </c>
      <c r="F354"/>
    </row>
    <row r="355" spans="1:6">
      <c r="B355" s="247" t="s">
        <v>2712</v>
      </c>
      <c r="C355" s="270"/>
      <c r="D355" s="270"/>
      <c r="E355" s="271"/>
      <c r="F355"/>
    </row>
    <row r="356" spans="1:6">
      <c r="B356" s="269" t="s">
        <v>2708</v>
      </c>
      <c r="C356" s="277">
        <v>175</v>
      </c>
      <c r="D356" s="276">
        <v>81.3</v>
      </c>
      <c r="E356" s="272">
        <f>(C356-D356)/D356</f>
        <v>1.1525215252152523</v>
      </c>
      <c r="F356"/>
    </row>
    <row r="357" spans="1:6">
      <c r="B357" s="252"/>
      <c r="C357" s="245"/>
      <c r="D357" s="267"/>
      <c r="E357" s="267"/>
      <c r="F357"/>
    </row>
    <row r="358" spans="1:6">
      <c r="B358" s="252"/>
      <c r="C358" s="245"/>
      <c r="D358" s="267"/>
      <c r="E358" s="267"/>
      <c r="F358"/>
    </row>
    <row r="359" spans="1:6" ht="18.5">
      <c r="A359" s="279" t="s">
        <v>10</v>
      </c>
      <c r="B359" s="279" t="s">
        <v>2828</v>
      </c>
      <c r="C359" s="245"/>
      <c r="D359" s="267"/>
      <c r="E359" s="267"/>
      <c r="F359"/>
    </row>
    <row r="360" spans="1:6" ht="18.5">
      <c r="A360" s="279"/>
      <c r="B360" s="254" t="s">
        <v>3152</v>
      </c>
      <c r="C360" s="245"/>
      <c r="D360" s="267"/>
      <c r="E360" s="267"/>
      <c r="F360"/>
    </row>
    <row r="361" spans="1:6" ht="18.5">
      <c r="A361" s="279"/>
      <c r="B361" s="279"/>
      <c r="C361" s="245"/>
      <c r="D361" s="267"/>
      <c r="E361" s="267"/>
      <c r="F361"/>
    </row>
    <row r="362" spans="1:6">
      <c r="B362" s="252"/>
      <c r="C362" s="245"/>
      <c r="D362" s="267"/>
      <c r="E362" s="267"/>
      <c r="F362"/>
    </row>
    <row r="363" spans="1:6">
      <c r="B363" s="247"/>
      <c r="C363" s="141" t="s">
        <v>2560</v>
      </c>
      <c r="D363" s="141"/>
      <c r="E363" s="267"/>
      <c r="F363"/>
    </row>
    <row r="364" spans="1:6" ht="21" customHeight="1">
      <c r="B364" s="248" t="s">
        <v>1</v>
      </c>
      <c r="C364" s="927" t="s">
        <v>3154</v>
      </c>
      <c r="D364" s="928"/>
      <c r="E364" s="267"/>
      <c r="F364"/>
    </row>
    <row r="365" spans="1:6">
      <c r="B365" s="6" t="s">
        <v>2564</v>
      </c>
      <c r="C365" s="925" t="s">
        <v>25</v>
      </c>
      <c r="D365" s="926"/>
      <c r="E365" s="267"/>
      <c r="F365"/>
    </row>
    <row r="366" spans="1:6">
      <c r="B366" s="32" t="s">
        <v>2559</v>
      </c>
      <c r="C366" s="240"/>
      <c r="D366" s="241"/>
      <c r="E366" s="267"/>
      <c r="F366"/>
    </row>
    <row r="367" spans="1:6" ht="45.65" customHeight="1">
      <c r="B367" s="6" t="s">
        <v>2578</v>
      </c>
      <c r="C367" s="929" t="s">
        <v>3153</v>
      </c>
      <c r="D367" s="930"/>
      <c r="E367" s="267"/>
      <c r="F367"/>
    </row>
    <row r="368" spans="1:6">
      <c r="B368" s="52"/>
      <c r="C368" s="273"/>
      <c r="D368" s="273"/>
      <c r="E368" s="267"/>
      <c r="F368"/>
    </row>
    <row r="369" spans="1:6">
      <c r="B369" s="113" t="s">
        <v>2583</v>
      </c>
      <c r="C369" s="249"/>
      <c r="D369" s="273"/>
      <c r="E369" s="267"/>
      <c r="F369"/>
    </row>
    <row r="370" spans="1:6">
      <c r="B370"/>
      <c r="C370" s="242"/>
      <c r="D370" s="273"/>
      <c r="E370" s="267"/>
      <c r="F370"/>
    </row>
    <row r="371" spans="1:6">
      <c r="B371" s="141"/>
      <c r="C371" s="141" t="s">
        <v>3373</v>
      </c>
      <c r="D371" s="273"/>
      <c r="E371" s="267"/>
      <c r="F371"/>
    </row>
    <row r="372" spans="1:6" ht="29">
      <c r="B372" s="248" t="s">
        <v>3155</v>
      </c>
      <c r="C372" s="124">
        <v>0.13100000000000001</v>
      </c>
      <c r="F372"/>
    </row>
    <row r="373" spans="1:6">
      <c r="B373"/>
      <c r="F373"/>
    </row>
    <row r="374" spans="1:6">
      <c r="B374"/>
      <c r="F374"/>
    </row>
    <row r="375" spans="1:6" ht="18.5">
      <c r="A375" s="279" t="s">
        <v>10</v>
      </c>
      <c r="B375" s="279" t="s">
        <v>2612</v>
      </c>
      <c r="F375"/>
    </row>
    <row r="376" spans="1:6">
      <c r="B376" s="254" t="s">
        <v>2615</v>
      </c>
      <c r="F376"/>
    </row>
    <row r="377" spans="1:6">
      <c r="B377" s="254" t="s">
        <v>2614</v>
      </c>
      <c r="F377"/>
    </row>
    <row r="378" spans="1:6">
      <c r="B378" s="250"/>
      <c r="F378"/>
    </row>
    <row r="379" spans="1:6">
      <c r="B379" s="76" t="s">
        <v>2580</v>
      </c>
      <c r="F379"/>
    </row>
    <row r="381" spans="1:6">
      <c r="B381" s="247"/>
      <c r="C381" s="141" t="s">
        <v>2560</v>
      </c>
      <c r="D381" s="141"/>
      <c r="F381"/>
    </row>
    <row r="382" spans="1:6" ht="23.4" customHeight="1">
      <c r="B382" s="248" t="s">
        <v>1</v>
      </c>
      <c r="C382" s="927" t="s">
        <v>2605</v>
      </c>
      <c r="D382" s="928"/>
      <c r="F382"/>
    </row>
    <row r="383" spans="1:6">
      <c r="B383" s="6" t="s">
        <v>2564</v>
      </c>
      <c r="C383" s="925" t="s">
        <v>2518</v>
      </c>
      <c r="D383" s="926"/>
      <c r="F383"/>
    </row>
    <row r="384" spans="1:6" ht="14.4" customHeight="1">
      <c r="B384" s="6" t="s">
        <v>2579</v>
      </c>
      <c r="C384" s="925" t="s">
        <v>2616</v>
      </c>
      <c r="D384" s="926"/>
      <c r="F384"/>
    </row>
    <row r="385" spans="2:6">
      <c r="B385" s="32" t="s">
        <v>2559</v>
      </c>
      <c r="C385" s="240"/>
      <c r="D385" s="241"/>
    </row>
    <row r="386" spans="2:6" s="95" customFormat="1" ht="20.399999999999999" customHeight="1">
      <c r="B386" s="6" t="s">
        <v>2608</v>
      </c>
      <c r="C386" s="929" t="s">
        <v>2609</v>
      </c>
      <c r="D386" s="930"/>
      <c r="F386" s="325"/>
    </row>
    <row r="387" spans="2:6" s="95" customFormat="1" ht="56.4" customHeight="1">
      <c r="B387" s="6" t="s">
        <v>2610</v>
      </c>
      <c r="C387" s="929" t="s">
        <v>2606</v>
      </c>
      <c r="D387" s="930"/>
      <c r="F387" s="325"/>
    </row>
    <row r="388" spans="2:6">
      <c r="B388" s="52"/>
      <c r="C388" s="242"/>
      <c r="D388" s="238"/>
    </row>
    <row r="389" spans="2:6">
      <c r="B389" s="113" t="s">
        <v>2583</v>
      </c>
      <c r="C389" s="249"/>
      <c r="D389" s="238"/>
    </row>
    <row r="390" spans="2:6">
      <c r="B390"/>
      <c r="C390" s="242"/>
      <c r="D390" s="238"/>
    </row>
    <row r="391" spans="2:6">
      <c r="B391" s="258"/>
    </row>
    <row r="392" spans="2:6">
      <c r="B392" s="258"/>
      <c r="C392" s="778" t="s">
        <v>2611</v>
      </c>
      <c r="D392" s="779"/>
    </row>
    <row r="393" spans="2:6">
      <c r="B393" s="141" t="s">
        <v>2603</v>
      </c>
      <c r="C393" s="141" t="s">
        <v>2581</v>
      </c>
      <c r="D393" s="141" t="s">
        <v>2582</v>
      </c>
      <c r="E393" s="48"/>
      <c r="F393"/>
    </row>
    <row r="394" spans="2:6">
      <c r="B394" s="237" t="s">
        <v>20</v>
      </c>
      <c r="C394" s="237" t="s">
        <v>2607</v>
      </c>
      <c r="D394" s="237" t="s">
        <v>181</v>
      </c>
      <c r="E394" s="48"/>
      <c r="F394"/>
    </row>
    <row r="395" spans="2:6">
      <c r="B395" s="237" t="s">
        <v>2602</v>
      </c>
      <c r="C395" s="255">
        <v>0.85</v>
      </c>
      <c r="D395" s="237" t="s">
        <v>2613</v>
      </c>
      <c r="E395" s="48"/>
      <c r="F395"/>
    </row>
    <row r="396" spans="2:6">
      <c r="C396" s="48"/>
      <c r="D396" s="48"/>
      <c r="E396" s="48"/>
    </row>
    <row r="397" spans="2:6">
      <c r="B397" s="245"/>
      <c r="C397" s="245"/>
      <c r="D397" s="257"/>
    </row>
    <row r="398" spans="2:6">
      <c r="C398" s="242"/>
      <c r="D398" s="238"/>
    </row>
    <row r="401" spans="1:6" s="593" customFormat="1">
      <c r="A401" s="593" t="s">
        <v>3375</v>
      </c>
      <c r="B401" s="662"/>
      <c r="F401" s="662"/>
    </row>
    <row r="404" spans="1:6" ht="18.5">
      <c r="A404" s="279" t="s">
        <v>10</v>
      </c>
      <c r="B404" s="279" t="s">
        <v>2784</v>
      </c>
    </row>
    <row r="405" spans="1:6">
      <c r="B405" s="254"/>
    </row>
    <row r="407" spans="1:6">
      <c r="B407" s="113" t="s">
        <v>2964</v>
      </c>
    </row>
    <row r="409" spans="1:6">
      <c r="B409" s="247"/>
      <c r="C409" s="141" t="s">
        <v>2560</v>
      </c>
      <c r="D409" s="141"/>
    </row>
    <row r="410" spans="1:6" ht="36.65" customHeight="1">
      <c r="B410" s="248" t="s">
        <v>2963</v>
      </c>
      <c r="C410" s="927" t="s">
        <v>3376</v>
      </c>
      <c r="D410" s="928"/>
    </row>
    <row r="412" spans="1:6">
      <c r="B412" s="113"/>
    </row>
    <row r="413" spans="1:6">
      <c r="B413" s="141"/>
      <c r="C413" s="141" t="s">
        <v>2970</v>
      </c>
      <c r="D413" s="141" t="s">
        <v>2968</v>
      </c>
      <c r="E413" s="141" t="s">
        <v>2969</v>
      </c>
      <c r="F413" s="141" t="s">
        <v>2967</v>
      </c>
    </row>
    <row r="414" spans="1:6">
      <c r="B414" s="237" t="s">
        <v>25</v>
      </c>
      <c r="C414" s="362">
        <f>Epidemiology!C104</f>
        <v>0.47</v>
      </c>
      <c r="D414" s="362">
        <f>C223</f>
        <v>0.31773915413277698</v>
      </c>
      <c r="E414" s="362">
        <f>C224</f>
        <v>0.73944253156255113</v>
      </c>
      <c r="F414" s="362">
        <f>E414-D414</f>
        <v>0.42170337742977415</v>
      </c>
    </row>
    <row r="415" spans="1:6">
      <c r="B415" s="237" t="s">
        <v>184</v>
      </c>
      <c r="C415" s="362">
        <f>Epidemiology!C102</f>
        <v>0.42</v>
      </c>
      <c r="D415" s="362">
        <f>(D414/C414)*C415</f>
        <v>0.28393711645907732</v>
      </c>
      <c r="E415" s="362">
        <f>F415+D415</f>
        <v>0.66077843246015211</v>
      </c>
      <c r="F415" s="362">
        <f>(F414/C414)*C415</f>
        <v>0.37684131600107479</v>
      </c>
    </row>
    <row r="416" spans="1:6">
      <c r="B416" s="113"/>
    </row>
    <row r="417" spans="2:6">
      <c r="B417" s="113"/>
      <c r="C417" s="449"/>
      <c r="D417" s="449"/>
      <c r="E417" s="449"/>
      <c r="F417" s="449"/>
    </row>
  </sheetData>
  <mergeCells count="55">
    <mergeCell ref="C367:D367"/>
    <mergeCell ref="C312:D312"/>
    <mergeCell ref="C382:D382"/>
    <mergeCell ref="C209:D209"/>
    <mergeCell ref="C210:D210"/>
    <mergeCell ref="C211:D211"/>
    <mergeCell ref="C306:D306"/>
    <mergeCell ref="C307:D307"/>
    <mergeCell ref="D322:D323"/>
    <mergeCell ref="C279:D279"/>
    <mergeCell ref="C280:D280"/>
    <mergeCell ref="C253:C256"/>
    <mergeCell ref="C311:D311"/>
    <mergeCell ref="C309:D309"/>
    <mergeCell ref="C310:D310"/>
    <mergeCell ref="C364:D364"/>
    <mergeCell ref="C168:D168"/>
    <mergeCell ref="C213:D213"/>
    <mergeCell ref="C365:D365"/>
    <mergeCell ref="C163:D163"/>
    <mergeCell ref="C166:D166"/>
    <mergeCell ref="C164:D164"/>
    <mergeCell ref="C276:D276"/>
    <mergeCell ref="C277:D277"/>
    <mergeCell ref="C261:C264"/>
    <mergeCell ref="C249:C252"/>
    <mergeCell ref="E261:E264"/>
    <mergeCell ref="F261:F264"/>
    <mergeCell ref="G261:G264"/>
    <mergeCell ref="F245:F248"/>
    <mergeCell ref="G245:G248"/>
    <mergeCell ref="E249:E252"/>
    <mergeCell ref="F249:F252"/>
    <mergeCell ref="G249:G252"/>
    <mergeCell ref="D46:D47"/>
    <mergeCell ref="E253:E256"/>
    <mergeCell ref="F253:F256"/>
    <mergeCell ref="G253:G256"/>
    <mergeCell ref="F257:F260"/>
    <mergeCell ref="G257:G260"/>
    <mergeCell ref="F238:F240"/>
    <mergeCell ref="G238:G240"/>
    <mergeCell ref="E241:E244"/>
    <mergeCell ref="F241:F244"/>
    <mergeCell ref="G241:G244"/>
    <mergeCell ref="F232:F234"/>
    <mergeCell ref="G232:G234"/>
    <mergeCell ref="F235:F237"/>
    <mergeCell ref="G235:G237"/>
    <mergeCell ref="C167:D167"/>
    <mergeCell ref="C383:D383"/>
    <mergeCell ref="C410:D410"/>
    <mergeCell ref="C387:D387"/>
    <mergeCell ref="C386:D386"/>
    <mergeCell ref="C384:D384"/>
  </mergeCells>
  <phoneticPr fontId="1" type="noConversion"/>
  <hyperlinks>
    <hyperlink ref="B232" r:id="rId1" location="BMJ_1902_REF8" display="https://www.ncbi.nlm.nih.gov/pmc/articles/PMC4714578/ - BMJ_1902_REF8" xr:uid="{00000000-0004-0000-0B00-000000000000}"/>
    <hyperlink ref="B235" r:id="rId2" location="BMJ_1902_REF8" display="https://www.ncbi.nlm.nih.gov/pmc/articles/PMC4714578/ - BMJ_1902_REF8" xr:uid="{00000000-0004-0000-0B00-000001000000}"/>
    <hyperlink ref="B238" r:id="rId3" location="BMJ_1902_REF8" display="https://www.ncbi.nlm.nih.gov/pmc/articles/PMC4714578/ - BMJ_1902_REF8" xr:uid="{00000000-0004-0000-0B00-000002000000}"/>
    <hyperlink ref="B241" r:id="rId4" location="BMJ_1902_REF8" display="https://www.ncbi.nlm.nih.gov/pmc/articles/PMC4714578/ - BMJ_1902_REF8" xr:uid="{00000000-0004-0000-0B00-000003000000}"/>
    <hyperlink ref="D242" r:id="rId5" location="BMJ_1902_G3" display="https://www.ncbi.nlm.nih.gov/pmc/articles/PMC4714578/ - BMJ_1902_G3" xr:uid="{00000000-0004-0000-0B00-000004000000}"/>
    <hyperlink ref="B245" r:id="rId6" location="BMJ_1902_REF8" display="https://www.ncbi.nlm.nih.gov/pmc/articles/PMC4714578/ - BMJ_1902_REF8" xr:uid="{00000000-0004-0000-0B00-000005000000}"/>
    <hyperlink ref="B249" r:id="rId7" location="BMJ_1902_REF9" display="https://www.ncbi.nlm.nih.gov/pmc/articles/PMC4714578/ - BMJ_1902_REF9" xr:uid="{00000000-0004-0000-0B00-000006000000}"/>
    <hyperlink ref="B253" r:id="rId8" location="BMJ_1902_REF9" display="https://www.ncbi.nlm.nih.gov/pmc/articles/PMC4714578/ - BMJ_1902_REF9" xr:uid="{00000000-0004-0000-0B00-000007000000}"/>
    <hyperlink ref="B257" r:id="rId9" location="BMJ_1902_REF8" display="https://www.ncbi.nlm.nih.gov/pmc/articles/PMC4714578/ - BMJ_1902_REF8" xr:uid="{00000000-0004-0000-0B00-000008000000}"/>
    <hyperlink ref="B261" r:id="rId10" location="BMJ_1902_REF9" display="https://www.ncbi.nlm.nih.gov/pmc/articles/PMC4714578/ - BMJ_1902_REF9" xr:uid="{00000000-0004-0000-0B00-000009000000}"/>
  </hyperlinks>
  <pageMargins left="0.7" right="0.7" top="0.75" bottom="0.75" header="0.3" footer="0.3"/>
  <pageSetup paperSize="9" orientation="portrait" verticalDpi="0" r:id="rId1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sheetPr>
  <dimension ref="A1:BH454"/>
  <sheetViews>
    <sheetView showGridLines="0" zoomScale="130" zoomScaleNormal="130" workbookViewId="0">
      <selection activeCell="D59" sqref="D59"/>
    </sheetView>
  </sheetViews>
  <sheetFormatPr defaultRowHeight="14.5"/>
  <cols>
    <col min="1" max="1" width="5.90625" customWidth="1"/>
    <col min="2" max="2" width="31" customWidth="1"/>
    <col min="3" max="3" width="19.6328125" customWidth="1"/>
    <col min="4" max="4" width="22.08984375" customWidth="1"/>
    <col min="5" max="5" width="14.453125" customWidth="1"/>
    <col min="6" max="6" width="28.90625" customWidth="1"/>
    <col min="7" max="7" width="38.36328125" customWidth="1"/>
    <col min="8" max="8" width="17" customWidth="1"/>
    <col min="9" max="9" width="16.6328125" customWidth="1"/>
    <col min="10" max="10" width="15.54296875" customWidth="1"/>
    <col min="11" max="12" width="9.08984375" bestFit="1" customWidth="1"/>
    <col min="13" max="13" width="11.6328125" customWidth="1"/>
    <col min="14" max="14" width="14.6328125" customWidth="1"/>
    <col min="15" max="15" width="11.90625" customWidth="1"/>
    <col min="16" max="16" width="12" customWidth="1"/>
    <col min="17" max="41" width="11.6328125" bestFit="1" customWidth="1"/>
  </cols>
  <sheetData>
    <row r="1" spans="1:52" s="588" customFormat="1" ht="18.5">
      <c r="A1" s="587" t="s">
        <v>3380</v>
      </c>
    </row>
    <row r="2" spans="1:52" s="588" customFormat="1">
      <c r="A2" s="588" t="s">
        <v>3542</v>
      </c>
    </row>
    <row r="3" spans="1:52" s="588" customFormat="1">
      <c r="A3" s="588" t="s">
        <v>3543</v>
      </c>
    </row>
    <row r="4" spans="1:52" s="781" customFormat="1"/>
    <row r="5" spans="1:52" s="245" customFormat="1">
      <c r="B5" s="784" t="str">
        <f>'Control Assumptions'!B11</f>
        <v>First year of implementation</v>
      </c>
      <c r="C5" s="785">
        <f>'Control Assumptions'!C11</f>
        <v>2021</v>
      </c>
    </row>
    <row r="6" spans="1:52">
      <c r="B6" s="784" t="s">
        <v>3198</v>
      </c>
      <c r="C6" s="785">
        <f>'Control Assumptions'!C13</f>
        <v>2024</v>
      </c>
    </row>
    <row r="7" spans="1:52">
      <c r="B7" s="445" t="str">
        <f>'Control Assumptions'!B10</f>
        <v>Baseline year</v>
      </c>
      <c r="C7" s="521">
        <f>'Control Assumptions'!C10</f>
        <v>2020</v>
      </c>
    </row>
    <row r="8" spans="1:52">
      <c r="B8" s="551"/>
      <c r="C8" s="552"/>
    </row>
    <row r="9" spans="1:52">
      <c r="B9" s="551"/>
      <c r="C9" s="552"/>
    </row>
    <row r="10" spans="1:52" s="588" customFormat="1">
      <c r="A10" s="593" t="s">
        <v>3485</v>
      </c>
      <c r="B10" s="682"/>
      <c r="C10" s="683"/>
    </row>
    <row r="11" spans="1:52">
      <c r="B11" s="551"/>
      <c r="C11" s="552"/>
    </row>
    <row r="12" spans="1:52">
      <c r="B12" s="83" t="s">
        <v>3254</v>
      </c>
      <c r="C12" s="83">
        <f>'Control Assumptions'!C16</f>
        <v>0.3</v>
      </c>
    </row>
    <row r="13" spans="1:52">
      <c r="B13" s="551"/>
      <c r="C13" s="552"/>
    </row>
    <row r="14" spans="1:52">
      <c r="A14" t="s">
        <v>10</v>
      </c>
      <c r="B14" s="684" t="s">
        <v>3486</v>
      </c>
      <c r="C14" s="552"/>
    </row>
    <row r="15" spans="1:52">
      <c r="B15" s="684"/>
      <c r="C15" s="552"/>
    </row>
    <row r="16" spans="1:52">
      <c r="B16" s="34" t="s">
        <v>3232</v>
      </c>
      <c r="C16" s="34">
        <f>'Prevalence projection INT'!C24</f>
        <v>2020</v>
      </c>
      <c r="D16" s="34">
        <f>'Prevalence projection INT'!D24</f>
        <v>2021</v>
      </c>
      <c r="E16" s="34">
        <f>'Prevalence projection INT'!E24</f>
        <v>2022</v>
      </c>
      <c r="F16" s="34">
        <f>'Prevalence projection INT'!F24</f>
        <v>2023</v>
      </c>
      <c r="G16" s="34">
        <f>'Prevalence projection INT'!G24</f>
        <v>2024</v>
      </c>
      <c r="H16" s="34">
        <f>'Prevalence projection INT'!H24</f>
        <v>2025</v>
      </c>
      <c r="I16" s="34">
        <f>'Prevalence projection INT'!I24</f>
        <v>2026</v>
      </c>
      <c r="J16" s="34">
        <f>'Prevalence projection INT'!J24</f>
        <v>2027</v>
      </c>
      <c r="K16" s="34">
        <f>'Prevalence projection INT'!K24</f>
        <v>2028</v>
      </c>
      <c r="L16" s="34">
        <f>'Prevalence projection INT'!L24</f>
        <v>2029</v>
      </c>
      <c r="M16" s="34">
        <f>'Prevalence projection INT'!M24</f>
        <v>2030</v>
      </c>
      <c r="N16" s="34">
        <f>'Prevalence projection INT'!N24</f>
        <v>2031</v>
      </c>
      <c r="O16" s="34">
        <f>'Prevalence projection INT'!O24</f>
        <v>2032</v>
      </c>
      <c r="P16" s="34">
        <f>'Prevalence projection INT'!P24</f>
        <v>2033</v>
      </c>
      <c r="Q16" s="34">
        <f>'Prevalence projection INT'!Q24</f>
        <v>2034</v>
      </c>
      <c r="R16" s="34">
        <f>'Prevalence projection INT'!R24</f>
        <v>2035</v>
      </c>
      <c r="S16" s="34">
        <f>'Prevalence projection INT'!S24</f>
        <v>2036</v>
      </c>
      <c r="T16" s="34">
        <f>'Prevalence projection INT'!T24</f>
        <v>2037</v>
      </c>
      <c r="U16" s="34">
        <f>'Prevalence projection INT'!U24</f>
        <v>2038</v>
      </c>
      <c r="V16" s="34">
        <f>'Prevalence projection INT'!V24</f>
        <v>2039</v>
      </c>
      <c r="W16" s="34">
        <f>'Prevalence projection INT'!W24</f>
        <v>2040</v>
      </c>
      <c r="X16" s="34">
        <f>'Prevalence projection INT'!X24</f>
        <v>2041</v>
      </c>
      <c r="Y16" s="34">
        <f>'Prevalence projection INT'!Y24</f>
        <v>2042</v>
      </c>
      <c r="Z16" s="34">
        <f>'Prevalence projection INT'!Z24</f>
        <v>2043</v>
      </c>
      <c r="AA16" s="34">
        <f>'Prevalence projection INT'!AA24</f>
        <v>2044</v>
      </c>
      <c r="AB16" s="34">
        <f>'Prevalence projection INT'!AB24</f>
        <v>2045</v>
      </c>
      <c r="AC16" s="34">
        <f>'Prevalence projection INT'!AC24</f>
        <v>2046</v>
      </c>
      <c r="AD16" s="34">
        <f>'Prevalence projection INT'!AD24</f>
        <v>2047</v>
      </c>
      <c r="AE16" s="34">
        <f>'Prevalence projection INT'!AE24</f>
        <v>2048</v>
      </c>
      <c r="AF16" s="34">
        <f>'Prevalence projection INT'!AF24</f>
        <v>2049</v>
      </c>
      <c r="AG16" s="34">
        <f>'Prevalence projection INT'!AG24</f>
        <v>2050</v>
      </c>
      <c r="AH16" s="34">
        <f>'Prevalence projection INT'!AH24</f>
        <v>2051</v>
      </c>
      <c r="AI16" s="34">
        <f>'Prevalence projection INT'!AI24</f>
        <v>2052</v>
      </c>
      <c r="AJ16" s="34">
        <f>'Prevalence projection INT'!AJ24</f>
        <v>2053</v>
      </c>
      <c r="AK16" s="34">
        <f>'Prevalence projection INT'!AK24</f>
        <v>2054</v>
      </c>
      <c r="AL16" s="34">
        <f>'Prevalence projection INT'!AL24</f>
        <v>2055</v>
      </c>
      <c r="AM16" s="34">
        <f>'Prevalence projection INT'!AM24</f>
        <v>2056</v>
      </c>
      <c r="AN16" s="34">
        <f>'Prevalence projection INT'!AN24</f>
        <v>2057</v>
      </c>
      <c r="AO16" s="34">
        <f>'Prevalence projection INT'!AO24</f>
        <v>2058</v>
      </c>
      <c r="AP16" s="34">
        <f>'Prevalence projection INT'!AP24</f>
        <v>2059</v>
      </c>
      <c r="AQ16" s="34">
        <f>'Prevalence projection INT'!AQ24</f>
        <v>2060</v>
      </c>
      <c r="AR16" s="34">
        <f>'Prevalence projection INT'!AR24</f>
        <v>2061</v>
      </c>
      <c r="AS16" s="34">
        <f>'Prevalence projection INT'!AS24</f>
        <v>2062</v>
      </c>
      <c r="AT16" s="34">
        <f>'Prevalence projection INT'!AT24</f>
        <v>2063</v>
      </c>
      <c r="AU16" s="34">
        <f>'Prevalence projection INT'!AU24</f>
        <v>2064</v>
      </c>
      <c r="AV16" s="34">
        <f>'Prevalence projection INT'!AV24</f>
        <v>2065</v>
      </c>
      <c r="AW16" s="34">
        <f>'Prevalence projection INT'!AW24</f>
        <v>2066</v>
      </c>
      <c r="AX16" s="34">
        <f>'Prevalence projection INT'!AX24</f>
        <v>2067</v>
      </c>
      <c r="AY16" s="34">
        <f>'Prevalence projection INT'!AY24</f>
        <v>2068</v>
      </c>
      <c r="AZ16" s="34">
        <f>'Prevalence projection INT'!AZ24</f>
        <v>2069</v>
      </c>
    </row>
    <row r="17" spans="2:55">
      <c r="B17" s="431" t="s">
        <v>3235</v>
      </c>
      <c r="C17" s="553">
        <f t="shared" ref="C17:AH17" si="0">IFERROR(INDEX($C$132, MATCH(C16, $C$133,0)),0)*(1+$C$12)</f>
        <v>0</v>
      </c>
      <c r="D17" s="553">
        <f t="shared" si="0"/>
        <v>2.7704640468649474E-4</v>
      </c>
      <c r="E17" s="553">
        <f t="shared" si="0"/>
        <v>0</v>
      </c>
      <c r="F17" s="553">
        <f t="shared" si="0"/>
        <v>0</v>
      </c>
      <c r="G17" s="553">
        <f t="shared" si="0"/>
        <v>0</v>
      </c>
      <c r="H17" s="553">
        <f t="shared" si="0"/>
        <v>0</v>
      </c>
      <c r="I17" s="553">
        <f t="shared" si="0"/>
        <v>0</v>
      </c>
      <c r="J17" s="553">
        <f t="shared" si="0"/>
        <v>0</v>
      </c>
      <c r="K17" s="761">
        <f t="shared" si="0"/>
        <v>0</v>
      </c>
      <c r="L17" s="761">
        <f t="shared" si="0"/>
        <v>0</v>
      </c>
      <c r="M17" s="761">
        <f t="shared" si="0"/>
        <v>0</v>
      </c>
      <c r="N17" s="553">
        <f t="shared" si="0"/>
        <v>0</v>
      </c>
      <c r="O17" s="553">
        <f t="shared" si="0"/>
        <v>0</v>
      </c>
      <c r="P17" s="553">
        <f t="shared" si="0"/>
        <v>0</v>
      </c>
      <c r="Q17" s="553">
        <f t="shared" si="0"/>
        <v>0</v>
      </c>
      <c r="R17" s="553">
        <f t="shared" si="0"/>
        <v>0</v>
      </c>
      <c r="S17" s="553">
        <f t="shared" si="0"/>
        <v>0</v>
      </c>
      <c r="T17" s="553">
        <f t="shared" si="0"/>
        <v>0</v>
      </c>
      <c r="U17" s="553">
        <f t="shared" si="0"/>
        <v>0</v>
      </c>
      <c r="V17" s="553">
        <f t="shared" si="0"/>
        <v>0</v>
      </c>
      <c r="W17" s="553">
        <f t="shared" si="0"/>
        <v>0</v>
      </c>
      <c r="X17" s="553">
        <f t="shared" si="0"/>
        <v>0</v>
      </c>
      <c r="Y17" s="553">
        <f t="shared" si="0"/>
        <v>0</v>
      </c>
      <c r="Z17" s="553">
        <f t="shared" si="0"/>
        <v>0</v>
      </c>
      <c r="AA17" s="553">
        <f t="shared" si="0"/>
        <v>0</v>
      </c>
      <c r="AB17" s="553">
        <f t="shared" si="0"/>
        <v>0</v>
      </c>
      <c r="AC17" s="553">
        <f t="shared" si="0"/>
        <v>0</v>
      </c>
      <c r="AD17" s="553">
        <f t="shared" si="0"/>
        <v>0</v>
      </c>
      <c r="AE17" s="553">
        <f t="shared" si="0"/>
        <v>0</v>
      </c>
      <c r="AF17" s="553">
        <f t="shared" si="0"/>
        <v>0</v>
      </c>
      <c r="AG17" s="553">
        <f t="shared" si="0"/>
        <v>0</v>
      </c>
      <c r="AH17" s="553">
        <f t="shared" si="0"/>
        <v>0</v>
      </c>
      <c r="AI17" s="553">
        <f t="shared" ref="AI17:AZ17" si="1">IFERROR(INDEX($C$132, MATCH(AI16, $C$133,0)),0)*(1+$C$12)</f>
        <v>0</v>
      </c>
      <c r="AJ17" s="553">
        <f t="shared" si="1"/>
        <v>0</v>
      </c>
      <c r="AK17" s="553">
        <f t="shared" si="1"/>
        <v>0</v>
      </c>
      <c r="AL17" s="553">
        <f t="shared" si="1"/>
        <v>0</v>
      </c>
      <c r="AM17" s="553">
        <f t="shared" si="1"/>
        <v>0</v>
      </c>
      <c r="AN17" s="553">
        <f t="shared" si="1"/>
        <v>0</v>
      </c>
      <c r="AO17" s="553">
        <f t="shared" si="1"/>
        <v>0</v>
      </c>
      <c r="AP17" s="553">
        <f t="shared" si="1"/>
        <v>0</v>
      </c>
      <c r="AQ17" s="553">
        <f t="shared" si="1"/>
        <v>0</v>
      </c>
      <c r="AR17" s="553">
        <f t="shared" si="1"/>
        <v>0</v>
      </c>
      <c r="AS17" s="553">
        <f t="shared" si="1"/>
        <v>0</v>
      </c>
      <c r="AT17" s="553">
        <f t="shared" si="1"/>
        <v>0</v>
      </c>
      <c r="AU17" s="553">
        <f t="shared" si="1"/>
        <v>0</v>
      </c>
      <c r="AV17" s="553">
        <f t="shared" si="1"/>
        <v>0</v>
      </c>
      <c r="AW17" s="553">
        <f t="shared" si="1"/>
        <v>0</v>
      </c>
      <c r="AX17" s="553">
        <f t="shared" si="1"/>
        <v>0</v>
      </c>
      <c r="AY17" s="553">
        <f t="shared" si="1"/>
        <v>0</v>
      </c>
      <c r="AZ17" s="553">
        <f t="shared" si="1"/>
        <v>0</v>
      </c>
      <c r="BC17" s="151" t="s">
        <v>3482</v>
      </c>
    </row>
    <row r="18" spans="2:55">
      <c r="B18" s="431" t="s">
        <v>3233</v>
      </c>
      <c r="C18" s="553">
        <f t="shared" ref="C18:AH18" si="2">C166*(1+$C$12)</f>
        <v>0</v>
      </c>
      <c r="D18" s="553">
        <f t="shared" si="2"/>
        <v>1.0451357477557769E-2</v>
      </c>
      <c r="E18" s="553">
        <f t="shared" si="2"/>
        <v>2.2149589795299268E-2</v>
      </c>
      <c r="F18" s="553">
        <f t="shared" si="2"/>
        <v>3.5069929141069489E-2</v>
      </c>
      <c r="G18" s="553">
        <f t="shared" si="2"/>
        <v>3.6924698986661564E-2</v>
      </c>
      <c r="H18" s="553">
        <f t="shared" si="2"/>
        <v>3.4558984022198369E-2</v>
      </c>
      <c r="I18" s="553">
        <f t="shared" si="2"/>
        <v>3.3542819559036235E-2</v>
      </c>
      <c r="J18" s="553">
        <f t="shared" si="2"/>
        <v>3.342922377280886E-2</v>
      </c>
      <c r="K18" s="761">
        <f t="shared" si="2"/>
        <v>3.3974477308114988E-2</v>
      </c>
      <c r="L18" s="761">
        <f t="shared" si="2"/>
        <v>3.494357760075683E-2</v>
      </c>
      <c r="M18" s="761">
        <f t="shared" si="2"/>
        <v>3.6197353322011225E-2</v>
      </c>
      <c r="N18" s="553">
        <f t="shared" si="2"/>
        <v>3.7674442532610895E-2</v>
      </c>
      <c r="O18" s="553">
        <f t="shared" si="2"/>
        <v>3.9292407223439345E-2</v>
      </c>
      <c r="P18" s="553">
        <f t="shared" si="2"/>
        <v>4.1017781541400851E-2</v>
      </c>
      <c r="Q18" s="553">
        <f t="shared" si="2"/>
        <v>4.283923374070471E-2</v>
      </c>
      <c r="R18" s="553">
        <f t="shared" si="2"/>
        <v>4.4746133338369229E-2</v>
      </c>
      <c r="S18" s="553">
        <f t="shared" si="2"/>
        <v>4.6730163385336879E-2</v>
      </c>
      <c r="T18" s="553">
        <f t="shared" si="2"/>
        <v>4.8795339401897411E-2</v>
      </c>
      <c r="U18" s="553">
        <f t="shared" si="2"/>
        <v>5.0961683049174034E-2</v>
      </c>
      <c r="V18" s="553">
        <f t="shared" si="2"/>
        <v>5.3202973871521515E-2</v>
      </c>
      <c r="W18" s="553">
        <f t="shared" si="2"/>
        <v>5.5515771228404204E-2</v>
      </c>
      <c r="X18" s="553">
        <f t="shared" si="2"/>
        <v>5.7914424564287789E-2</v>
      </c>
      <c r="Y18" s="553">
        <f t="shared" si="2"/>
        <v>6.0394443269465532E-2</v>
      </c>
      <c r="Z18" s="553">
        <f t="shared" si="2"/>
        <v>6.2953149769624794E-2</v>
      </c>
      <c r="AA18" s="553">
        <f t="shared" si="2"/>
        <v>6.5589471449853928E-2</v>
      </c>
      <c r="AB18" s="553">
        <f t="shared" si="2"/>
        <v>6.8309447983367369E-2</v>
      </c>
      <c r="AC18" s="553">
        <f t="shared" si="2"/>
        <v>7.1109160002698207E-2</v>
      </c>
      <c r="AD18" s="553">
        <f t="shared" si="2"/>
        <v>7.3984986627465499E-2</v>
      </c>
      <c r="AE18" s="553">
        <f t="shared" si="2"/>
        <v>7.6934779190661398E-2</v>
      </c>
      <c r="AF18" s="553">
        <f t="shared" si="2"/>
        <v>7.9961174824792952E-2</v>
      </c>
      <c r="AG18" s="553">
        <f t="shared" si="2"/>
        <v>8.3076650854007381E-2</v>
      </c>
      <c r="AH18" s="553">
        <f t="shared" si="2"/>
        <v>8.628437390791302E-2</v>
      </c>
      <c r="AI18" s="553">
        <f t="shared" ref="AI18:AZ18" si="3">AI166*(1+$C$12)</f>
        <v>8.9593469427445505E-2</v>
      </c>
      <c r="AJ18" s="553">
        <f t="shared" si="3"/>
        <v>9.3000346743021364E-2</v>
      </c>
      <c r="AK18" s="553">
        <f t="shared" si="3"/>
        <v>9.6495644019961357E-2</v>
      </c>
      <c r="AL18" s="553">
        <f t="shared" si="3"/>
        <v>0.10007508171137208</v>
      </c>
      <c r="AM18" s="553">
        <f t="shared" si="3"/>
        <v>0.1037344465230203</v>
      </c>
      <c r="AN18" s="553">
        <f t="shared" si="3"/>
        <v>0.10747095994719888</v>
      </c>
      <c r="AO18" s="553">
        <f t="shared" si="3"/>
        <v>0.11128215049045462</v>
      </c>
      <c r="AP18" s="553">
        <f t="shared" si="3"/>
        <v>0.11519119751223424</v>
      </c>
      <c r="AQ18" s="553">
        <f t="shared" si="3"/>
        <v>0.11922037773720871</v>
      </c>
      <c r="AR18" s="553">
        <f t="shared" si="3"/>
        <v>0.12338707104423041</v>
      </c>
      <c r="AS18" s="553">
        <f t="shared" si="3"/>
        <v>0.12760417719707717</v>
      </c>
      <c r="AT18" s="553" t="e">
        <f t="shared" si="3"/>
        <v>#N/A</v>
      </c>
      <c r="AU18" s="553" t="e">
        <f t="shared" si="3"/>
        <v>#N/A</v>
      </c>
      <c r="AV18" s="553" t="e">
        <f t="shared" si="3"/>
        <v>#N/A</v>
      </c>
      <c r="AW18" s="553" t="e">
        <f t="shared" si="3"/>
        <v>#N/A</v>
      </c>
      <c r="AX18" s="553" t="e">
        <f t="shared" si="3"/>
        <v>#N/A</v>
      </c>
      <c r="AY18" s="553" t="e">
        <f t="shared" si="3"/>
        <v>#N/A</v>
      </c>
      <c r="AZ18" s="553" t="e">
        <f t="shared" si="3"/>
        <v>#N/A</v>
      </c>
      <c r="BC18" s="151" t="s">
        <v>3484</v>
      </c>
    </row>
    <row r="19" spans="2:55">
      <c r="B19" s="431" t="s">
        <v>3234</v>
      </c>
      <c r="C19" s="553">
        <f t="shared" ref="C19:AH19" si="4">C220*(1+$C$12)</f>
        <v>0</v>
      </c>
      <c r="D19" s="553">
        <f t="shared" si="4"/>
        <v>2.3080448117885617E-3</v>
      </c>
      <c r="E19" s="553">
        <f t="shared" si="4"/>
        <v>4.8914455294501499E-3</v>
      </c>
      <c r="F19" s="553">
        <f t="shared" si="4"/>
        <v>7.7447325074897705E-3</v>
      </c>
      <c r="G19" s="553">
        <f t="shared" si="4"/>
        <v>8.1543340284762084E-3</v>
      </c>
      <c r="H19" s="553">
        <f t="shared" si="4"/>
        <v>7.6318969994467745E-3</v>
      </c>
      <c r="I19" s="553">
        <f t="shared" si="4"/>
        <v>7.4074904453544982E-3</v>
      </c>
      <c r="J19" s="553">
        <f t="shared" si="4"/>
        <v>7.3824043103135591E-3</v>
      </c>
      <c r="K19" s="761">
        <f t="shared" si="4"/>
        <v>7.5028163808005732E-3</v>
      </c>
      <c r="L19" s="761">
        <f t="shared" si="4"/>
        <v>7.7168294319604567E-3</v>
      </c>
      <c r="M19" s="761">
        <f t="shared" si="4"/>
        <v>7.9937093066371635E-3</v>
      </c>
      <c r="N19" s="553">
        <f t="shared" si="4"/>
        <v>8.3199050277570283E-3</v>
      </c>
      <c r="O19" s="553">
        <f t="shared" si="4"/>
        <v>8.6772112454749101E-3</v>
      </c>
      <c r="P19" s="553">
        <f t="shared" si="4"/>
        <v>9.0582374663763926E-3</v>
      </c>
      <c r="Q19" s="553">
        <f t="shared" si="4"/>
        <v>9.4604812234721971E-3</v>
      </c>
      <c r="R19" s="553">
        <f t="shared" si="4"/>
        <v>9.8815949144393268E-3</v>
      </c>
      <c r="S19" s="553">
        <f t="shared" si="4"/>
        <v>1.0319741850487519E-2</v>
      </c>
      <c r="T19" s="553">
        <f t="shared" si="4"/>
        <v>1.0775808806448779E-2</v>
      </c>
      <c r="U19" s="553">
        <f t="shared" si="4"/>
        <v>1.1254217302798122E-2</v>
      </c>
      <c r="V19" s="553">
        <f t="shared" si="4"/>
        <v>1.1749176896835209E-2</v>
      </c>
      <c r="W19" s="553">
        <f t="shared" si="4"/>
        <v>1.2259927768359198E-2</v>
      </c>
      <c r="X19" s="553">
        <f t="shared" si="4"/>
        <v>1.2789638803414051E-2</v>
      </c>
      <c r="Y19" s="553">
        <f t="shared" si="4"/>
        <v>1.3337318309919809E-2</v>
      </c>
      <c r="Z19" s="553">
        <f t="shared" si="4"/>
        <v>1.3902374980812886E-2</v>
      </c>
      <c r="AA19" s="553">
        <f t="shared" si="4"/>
        <v>1.4484571943200249E-2</v>
      </c>
      <c r="AB19" s="553">
        <f t="shared" si="4"/>
        <v>1.5085242979459672E-2</v>
      </c>
      <c r="AC19" s="553">
        <f t="shared" si="4"/>
        <v>1.5703522548845199E-2</v>
      </c>
      <c r="AD19" s="553">
        <f t="shared" si="4"/>
        <v>1.6338611027557206E-2</v>
      </c>
      <c r="AE19" s="553">
        <f t="shared" si="4"/>
        <v>1.6990033910752635E-2</v>
      </c>
      <c r="AF19" s="553">
        <f t="shared" si="4"/>
        <v>1.7658373574454305E-2</v>
      </c>
      <c r="AG19" s="553">
        <f t="shared" si="4"/>
        <v>1.8346385471561501E-2</v>
      </c>
      <c r="AH19" s="553">
        <f t="shared" si="4"/>
        <v>1.9054768910566355E-2</v>
      </c>
      <c r="AI19" s="553">
        <f t="shared" ref="AI19:AZ19" si="5">AI220*(1+$C$12)</f>
        <v>1.9785539125054749E-2</v>
      </c>
      <c r="AJ19" s="553">
        <f t="shared" si="5"/>
        <v>2.0537903162884258E-2</v>
      </c>
      <c r="AK19" s="553">
        <f t="shared" si="5"/>
        <v>2.1309793586020483E-2</v>
      </c>
      <c r="AL19" s="553">
        <f t="shared" si="5"/>
        <v>2.210026531282926E-2</v>
      </c>
      <c r="AM19" s="553">
        <f t="shared" si="5"/>
        <v>2.2908387892704878E-2</v>
      </c>
      <c r="AN19" s="553">
        <f t="shared" si="5"/>
        <v>2.3733547728771356E-2</v>
      </c>
      <c r="AO19" s="553">
        <f t="shared" si="5"/>
        <v>2.4575199024211927E-2</v>
      </c>
      <c r="AP19" s="553">
        <f t="shared" si="5"/>
        <v>2.5438460635636997E-2</v>
      </c>
      <c r="AQ19" s="553">
        <f t="shared" si="5"/>
        <v>2.632825208464086E-2</v>
      </c>
      <c r="AR19" s="553">
        <f t="shared" si="5"/>
        <v>2.7248411488836527E-2</v>
      </c>
      <c r="AS19" s="553">
        <f t="shared" si="5"/>
        <v>2.8179703906853981E-2</v>
      </c>
      <c r="AT19" s="553" t="e">
        <f t="shared" si="5"/>
        <v>#N/A</v>
      </c>
      <c r="AU19" s="553" t="e">
        <f t="shared" si="5"/>
        <v>#N/A</v>
      </c>
      <c r="AV19" s="553" t="e">
        <f t="shared" si="5"/>
        <v>#N/A</v>
      </c>
      <c r="AW19" s="553" t="e">
        <f t="shared" si="5"/>
        <v>#N/A</v>
      </c>
      <c r="AX19" s="553" t="e">
        <f t="shared" si="5"/>
        <v>#N/A</v>
      </c>
      <c r="AY19" s="553" t="e">
        <f t="shared" si="5"/>
        <v>#N/A</v>
      </c>
      <c r="AZ19" s="553" t="e">
        <f t="shared" si="5"/>
        <v>#N/A</v>
      </c>
      <c r="BC19" s="151" t="s">
        <v>3484</v>
      </c>
    </row>
    <row r="20" spans="2:55">
      <c r="B20" s="431" t="s">
        <v>3236</v>
      </c>
      <c r="C20" s="553">
        <f>IFERROR(INDEX($C$350:$BA$350, MATCH(C16, $C$349:$BA$349,0)),0)*(1+$C$12)</f>
        <v>0</v>
      </c>
      <c r="D20" s="553">
        <f t="shared" ref="D20:AZ20" si="6">IFERROR(INDEX($C$350:$BA$350, MATCH(D16, $C$349:$BA$349,0)),0)*(1+$C$12)</f>
        <v>1.4618702697872827E-3</v>
      </c>
      <c r="E20" s="553">
        <f t="shared" si="6"/>
        <v>1.4952009119384325E-3</v>
      </c>
      <c r="F20" s="553">
        <f t="shared" si="6"/>
        <v>1.5292914927306288E-3</v>
      </c>
      <c r="G20" s="553">
        <f t="shared" si="6"/>
        <v>0</v>
      </c>
      <c r="H20" s="553">
        <f t="shared" si="6"/>
        <v>0</v>
      </c>
      <c r="I20" s="553">
        <f t="shared" si="6"/>
        <v>0</v>
      </c>
      <c r="J20" s="553">
        <f t="shared" si="6"/>
        <v>0</v>
      </c>
      <c r="K20" s="761">
        <f t="shared" si="6"/>
        <v>0</v>
      </c>
      <c r="L20" s="761">
        <f t="shared" si="6"/>
        <v>0</v>
      </c>
      <c r="M20" s="761">
        <f t="shared" si="6"/>
        <v>0</v>
      </c>
      <c r="N20" s="553">
        <f t="shared" si="6"/>
        <v>0</v>
      </c>
      <c r="O20" s="553">
        <f t="shared" si="6"/>
        <v>0</v>
      </c>
      <c r="P20" s="553">
        <f t="shared" si="6"/>
        <v>0</v>
      </c>
      <c r="Q20" s="553">
        <f t="shared" si="6"/>
        <v>0</v>
      </c>
      <c r="R20" s="553">
        <f t="shared" si="6"/>
        <v>0</v>
      </c>
      <c r="S20" s="553">
        <f t="shared" si="6"/>
        <v>0</v>
      </c>
      <c r="T20" s="553">
        <f t="shared" si="6"/>
        <v>0</v>
      </c>
      <c r="U20" s="553">
        <f t="shared" si="6"/>
        <v>0</v>
      </c>
      <c r="V20" s="553">
        <f t="shared" si="6"/>
        <v>0</v>
      </c>
      <c r="W20" s="553">
        <f t="shared" si="6"/>
        <v>0</v>
      </c>
      <c r="X20" s="553">
        <f t="shared" si="6"/>
        <v>0</v>
      </c>
      <c r="Y20" s="553">
        <f t="shared" si="6"/>
        <v>0</v>
      </c>
      <c r="Z20" s="553">
        <f t="shared" si="6"/>
        <v>0</v>
      </c>
      <c r="AA20" s="553">
        <f t="shared" si="6"/>
        <v>0</v>
      </c>
      <c r="AB20" s="553">
        <f t="shared" si="6"/>
        <v>0</v>
      </c>
      <c r="AC20" s="553">
        <f t="shared" si="6"/>
        <v>0</v>
      </c>
      <c r="AD20" s="553">
        <f t="shared" si="6"/>
        <v>0</v>
      </c>
      <c r="AE20" s="553">
        <f t="shared" si="6"/>
        <v>0</v>
      </c>
      <c r="AF20" s="553">
        <f t="shared" si="6"/>
        <v>0</v>
      </c>
      <c r="AG20" s="553">
        <f t="shared" si="6"/>
        <v>0</v>
      </c>
      <c r="AH20" s="553">
        <f t="shared" si="6"/>
        <v>0</v>
      </c>
      <c r="AI20" s="553">
        <f t="shared" si="6"/>
        <v>0</v>
      </c>
      <c r="AJ20" s="553">
        <f t="shared" si="6"/>
        <v>0</v>
      </c>
      <c r="AK20" s="553">
        <f t="shared" si="6"/>
        <v>0</v>
      </c>
      <c r="AL20" s="553">
        <f t="shared" si="6"/>
        <v>0</v>
      </c>
      <c r="AM20" s="553">
        <f t="shared" si="6"/>
        <v>0</v>
      </c>
      <c r="AN20" s="553">
        <f t="shared" si="6"/>
        <v>0</v>
      </c>
      <c r="AO20" s="553">
        <f t="shared" si="6"/>
        <v>0</v>
      </c>
      <c r="AP20" s="553">
        <f t="shared" si="6"/>
        <v>0</v>
      </c>
      <c r="AQ20" s="553">
        <f t="shared" si="6"/>
        <v>0</v>
      </c>
      <c r="AR20" s="553">
        <f t="shared" si="6"/>
        <v>0</v>
      </c>
      <c r="AS20" s="553">
        <f t="shared" si="6"/>
        <v>0</v>
      </c>
      <c r="AT20" s="553">
        <f t="shared" si="6"/>
        <v>0</v>
      </c>
      <c r="AU20" s="553">
        <f t="shared" si="6"/>
        <v>0</v>
      </c>
      <c r="AV20" s="553">
        <f t="shared" si="6"/>
        <v>0</v>
      </c>
      <c r="AW20" s="553">
        <f t="shared" si="6"/>
        <v>0</v>
      </c>
      <c r="AX20" s="553">
        <f t="shared" si="6"/>
        <v>0</v>
      </c>
      <c r="AY20" s="553">
        <f t="shared" si="6"/>
        <v>0</v>
      </c>
      <c r="AZ20" s="553">
        <f t="shared" si="6"/>
        <v>0</v>
      </c>
      <c r="BC20" s="151" t="s">
        <v>3482</v>
      </c>
    </row>
    <row r="21" spans="2:55">
      <c r="B21" s="431" t="s">
        <v>3230</v>
      </c>
      <c r="C21" s="553">
        <f t="shared" ref="C21:AH21" si="7">C357*(1+$C$12)</f>
        <v>0</v>
      </c>
      <c r="D21" s="553">
        <f t="shared" si="7"/>
        <v>0</v>
      </c>
      <c r="E21" s="553">
        <f t="shared" si="7"/>
        <v>0</v>
      </c>
      <c r="F21" s="553">
        <f t="shared" si="7"/>
        <v>0</v>
      </c>
      <c r="G21" s="553">
        <f t="shared" si="7"/>
        <v>1.7596792561104979E-4</v>
      </c>
      <c r="H21" s="553">
        <f t="shared" si="7"/>
        <v>1.7997999431498167E-4</v>
      </c>
      <c r="I21" s="553">
        <f t="shared" si="7"/>
        <v>1.8408353818536322E-4</v>
      </c>
      <c r="J21" s="553">
        <f t="shared" si="7"/>
        <v>1.8828064285598953E-4</v>
      </c>
      <c r="K21" s="761">
        <f t="shared" si="7"/>
        <v>1.9257344151310608E-4</v>
      </c>
      <c r="L21" s="761">
        <f t="shared" si="7"/>
        <v>1.9696411597960493E-4</v>
      </c>
      <c r="M21" s="761">
        <f t="shared" si="7"/>
        <v>2.0145489782393989E-4</v>
      </c>
      <c r="N21" s="553">
        <f t="shared" si="7"/>
        <v>2.0604806949432573E-4</v>
      </c>
      <c r="O21" s="553">
        <f t="shared" si="7"/>
        <v>2.1074596547879631E-4</v>
      </c>
      <c r="P21" s="553">
        <f t="shared" si="7"/>
        <v>2.1555097349171289E-4</v>
      </c>
      <c r="Q21" s="553">
        <f t="shared" si="7"/>
        <v>2.2046553568732394E-4</v>
      </c>
      <c r="R21" s="553">
        <f t="shared" si="7"/>
        <v>2.2549214990099493E-4</v>
      </c>
      <c r="S21" s="553">
        <f t="shared" si="7"/>
        <v>2.3063337091873756E-4</v>
      </c>
      <c r="T21" s="553">
        <f t="shared" si="7"/>
        <v>2.3589181177568479E-4</v>
      </c>
      <c r="U21" s="553">
        <f t="shared" si="7"/>
        <v>2.412701450841704E-4</v>
      </c>
      <c r="V21" s="553">
        <f t="shared" si="7"/>
        <v>2.4677110439208944E-4</v>
      </c>
      <c r="W21" s="553">
        <f t="shared" si="7"/>
        <v>2.5239748557222909E-4</v>
      </c>
      <c r="X21" s="553">
        <f t="shared" si="7"/>
        <v>2.5815214824327588E-4</v>
      </c>
      <c r="Y21" s="553">
        <f t="shared" si="7"/>
        <v>2.6403801722322254E-4</v>
      </c>
      <c r="Z21" s="553">
        <f t="shared" si="7"/>
        <v>2.7005808401591201E-4</v>
      </c>
      <c r="AA21" s="553">
        <f t="shared" si="7"/>
        <v>2.7621540833147482E-4</v>
      </c>
      <c r="AB21" s="553">
        <f t="shared" si="7"/>
        <v>2.8251311964143242E-4</v>
      </c>
      <c r="AC21" s="553">
        <f t="shared" si="7"/>
        <v>2.8895441876925702E-4</v>
      </c>
      <c r="AD21" s="553">
        <f t="shared" si="7"/>
        <v>2.9554257951719604E-4</v>
      </c>
      <c r="AE21" s="553">
        <f t="shared" si="7"/>
        <v>3.0228095033018812E-4</v>
      </c>
      <c r="AF21" s="553">
        <f t="shared" si="7"/>
        <v>3.091729559977164E-4</v>
      </c>
      <c r="AG21" s="553">
        <f t="shared" si="7"/>
        <v>3.1622209939446429E-4</v>
      </c>
      <c r="AH21" s="553">
        <f t="shared" si="7"/>
        <v>3.2343196326065809E-4</v>
      </c>
      <c r="AI21" s="553">
        <f t="shared" ref="AI21:AZ21" si="8">AI357*(1+$C$12)</f>
        <v>3.3080621202300105E-4</v>
      </c>
      <c r="AJ21" s="553">
        <f t="shared" si="8"/>
        <v>3.3834859365712545E-4</v>
      </c>
      <c r="AK21" s="553">
        <f t="shared" si="8"/>
        <v>3.4606294159250791E-4</v>
      </c>
      <c r="AL21" s="553">
        <f t="shared" si="8"/>
        <v>3.53953176660817E-4</v>
      </c>
      <c r="AM21" s="553">
        <f t="shared" si="8"/>
        <v>3.6202330908868358E-4</v>
      </c>
      <c r="AN21" s="553">
        <f t="shared" si="8"/>
        <v>3.7027744053590563E-4</v>
      </c>
      <c r="AO21" s="553">
        <f t="shared" si="8"/>
        <v>3.7871976618012425E-4</v>
      </c>
      <c r="AP21" s="553">
        <f t="shared" si="8"/>
        <v>3.8735457684903107E-4</v>
      </c>
      <c r="AQ21" s="553">
        <f t="shared" si="8"/>
        <v>3.9618626120118896E-4</v>
      </c>
      <c r="AR21" s="553">
        <f t="shared" si="8"/>
        <v>4.052193079565761E-4</v>
      </c>
      <c r="AS21" s="553">
        <f t="shared" si="8"/>
        <v>4.1445830817798604E-4</v>
      </c>
      <c r="AT21" s="553" t="e">
        <f t="shared" si="8"/>
        <v>#N/A</v>
      </c>
      <c r="AU21" s="553" t="e">
        <f t="shared" si="8"/>
        <v>#N/A</v>
      </c>
      <c r="AV21" s="553" t="e">
        <f t="shared" si="8"/>
        <v>#N/A</v>
      </c>
      <c r="AW21" s="553" t="e">
        <f t="shared" si="8"/>
        <v>#N/A</v>
      </c>
      <c r="AX21" s="553" t="e">
        <f t="shared" si="8"/>
        <v>#N/A</v>
      </c>
      <c r="AY21" s="553" t="e">
        <f t="shared" si="8"/>
        <v>#N/A</v>
      </c>
      <c r="AZ21" s="553" t="e">
        <f t="shared" si="8"/>
        <v>#N/A</v>
      </c>
      <c r="BC21" s="151" t="s">
        <v>3484</v>
      </c>
    </row>
    <row r="22" spans="2:55">
      <c r="B22" s="431" t="s">
        <v>3169</v>
      </c>
      <c r="C22" s="553">
        <f>IFERROR(INDEX($C$392:$BA$392, MATCH(C16, $C$391:$BA$391,0)),0)*(1+$C$12)</f>
        <v>0</v>
      </c>
      <c r="D22" s="553">
        <f t="shared" ref="D22:AZ22" si="9">IFERROR(INDEX($C$392:$BA$392, MATCH(D16, $C$391:$BA$391,0)),0)*(1+$C$12)</f>
        <v>0.12876827671894367</v>
      </c>
      <c r="E22" s="553">
        <f t="shared" si="9"/>
        <v>0.13170419342813558</v>
      </c>
      <c r="F22" s="553">
        <f t="shared" si="9"/>
        <v>0.13470704903829706</v>
      </c>
      <c r="G22" s="553">
        <f t="shared" si="9"/>
        <v>0</v>
      </c>
      <c r="H22" s="553">
        <f t="shared" si="9"/>
        <v>0</v>
      </c>
      <c r="I22" s="553">
        <f t="shared" si="9"/>
        <v>0</v>
      </c>
      <c r="J22" s="553">
        <f t="shared" si="9"/>
        <v>0</v>
      </c>
      <c r="K22" s="761">
        <f t="shared" si="9"/>
        <v>0</v>
      </c>
      <c r="L22" s="761">
        <f t="shared" si="9"/>
        <v>0</v>
      </c>
      <c r="M22" s="761">
        <f t="shared" si="9"/>
        <v>0</v>
      </c>
      <c r="N22" s="553">
        <f t="shared" si="9"/>
        <v>0</v>
      </c>
      <c r="O22" s="553">
        <f t="shared" si="9"/>
        <v>0</v>
      </c>
      <c r="P22" s="553">
        <f t="shared" si="9"/>
        <v>0</v>
      </c>
      <c r="Q22" s="553">
        <f t="shared" si="9"/>
        <v>0</v>
      </c>
      <c r="R22" s="553">
        <f t="shared" si="9"/>
        <v>0</v>
      </c>
      <c r="S22" s="553">
        <f t="shared" si="9"/>
        <v>0</v>
      </c>
      <c r="T22" s="553">
        <f t="shared" si="9"/>
        <v>0</v>
      </c>
      <c r="U22" s="553">
        <f t="shared" si="9"/>
        <v>0</v>
      </c>
      <c r="V22" s="553">
        <f t="shared" si="9"/>
        <v>0</v>
      </c>
      <c r="W22" s="553">
        <f t="shared" si="9"/>
        <v>0</v>
      </c>
      <c r="X22" s="553">
        <f t="shared" si="9"/>
        <v>0</v>
      </c>
      <c r="Y22" s="553">
        <f t="shared" si="9"/>
        <v>0</v>
      </c>
      <c r="Z22" s="553">
        <f t="shared" si="9"/>
        <v>0</v>
      </c>
      <c r="AA22" s="553">
        <f t="shared" si="9"/>
        <v>0</v>
      </c>
      <c r="AB22" s="553">
        <f t="shared" si="9"/>
        <v>0</v>
      </c>
      <c r="AC22" s="553">
        <f t="shared" si="9"/>
        <v>0</v>
      </c>
      <c r="AD22" s="553">
        <f t="shared" si="9"/>
        <v>0</v>
      </c>
      <c r="AE22" s="553">
        <f t="shared" si="9"/>
        <v>0</v>
      </c>
      <c r="AF22" s="553">
        <f t="shared" si="9"/>
        <v>0</v>
      </c>
      <c r="AG22" s="553">
        <f t="shared" si="9"/>
        <v>0</v>
      </c>
      <c r="AH22" s="553">
        <f t="shared" si="9"/>
        <v>0</v>
      </c>
      <c r="AI22" s="553">
        <f t="shared" si="9"/>
        <v>0</v>
      </c>
      <c r="AJ22" s="553">
        <f t="shared" si="9"/>
        <v>0</v>
      </c>
      <c r="AK22" s="553">
        <f t="shared" si="9"/>
        <v>0</v>
      </c>
      <c r="AL22" s="553">
        <f t="shared" si="9"/>
        <v>0</v>
      </c>
      <c r="AM22" s="553">
        <f t="shared" si="9"/>
        <v>0</v>
      </c>
      <c r="AN22" s="553">
        <f t="shared" si="9"/>
        <v>0</v>
      </c>
      <c r="AO22" s="553">
        <f t="shared" si="9"/>
        <v>0</v>
      </c>
      <c r="AP22" s="553">
        <f t="shared" si="9"/>
        <v>0</v>
      </c>
      <c r="AQ22" s="553">
        <f t="shared" si="9"/>
        <v>0</v>
      </c>
      <c r="AR22" s="553">
        <f t="shared" si="9"/>
        <v>0</v>
      </c>
      <c r="AS22" s="553">
        <f t="shared" si="9"/>
        <v>0</v>
      </c>
      <c r="AT22" s="553">
        <f t="shared" si="9"/>
        <v>0</v>
      </c>
      <c r="AU22" s="553">
        <f t="shared" si="9"/>
        <v>0</v>
      </c>
      <c r="AV22" s="553">
        <f t="shared" si="9"/>
        <v>0</v>
      </c>
      <c r="AW22" s="553">
        <f t="shared" si="9"/>
        <v>0</v>
      </c>
      <c r="AX22" s="553">
        <f t="shared" si="9"/>
        <v>0</v>
      </c>
      <c r="AY22" s="553">
        <f t="shared" si="9"/>
        <v>0</v>
      </c>
      <c r="AZ22" s="553">
        <f t="shared" si="9"/>
        <v>0</v>
      </c>
      <c r="BC22" s="151" t="s">
        <v>3482</v>
      </c>
    </row>
    <row r="23" spans="2:55">
      <c r="B23" s="431" t="s">
        <v>3411</v>
      </c>
      <c r="C23" s="553">
        <f t="shared" ref="C23:AH23" si="10">IFERROR( INDEX($C$451:$E$451, MATCH(C16,$C$449:$E$449,0)),0)*(1+$C$12)</f>
        <v>0</v>
      </c>
      <c r="D23" s="553">
        <f t="shared" si="10"/>
        <v>0</v>
      </c>
      <c r="E23" s="553">
        <f t="shared" si="10"/>
        <v>0</v>
      </c>
      <c r="F23" s="553">
        <f t="shared" si="10"/>
        <v>0</v>
      </c>
      <c r="G23" s="553">
        <f t="shared" si="10"/>
        <v>0</v>
      </c>
      <c r="H23" s="553">
        <f t="shared" si="10"/>
        <v>0</v>
      </c>
      <c r="I23" s="553">
        <f t="shared" si="10"/>
        <v>0</v>
      </c>
      <c r="J23" s="553">
        <f t="shared" si="10"/>
        <v>0</v>
      </c>
      <c r="K23" s="761">
        <f t="shared" si="10"/>
        <v>0</v>
      </c>
      <c r="L23" s="761">
        <f t="shared" si="10"/>
        <v>0</v>
      </c>
      <c r="M23" s="761">
        <f t="shared" si="10"/>
        <v>0</v>
      </c>
      <c r="N23" s="553">
        <f t="shared" si="10"/>
        <v>1.1080069208305671E-2</v>
      </c>
      <c r="O23" s="553">
        <f t="shared" si="10"/>
        <v>1.1290590523263477E-2</v>
      </c>
      <c r="P23" s="553">
        <f t="shared" si="10"/>
        <v>1.1505111743205482E-2</v>
      </c>
      <c r="Q23" s="553">
        <f t="shared" si="10"/>
        <v>0</v>
      </c>
      <c r="R23" s="553">
        <f t="shared" si="10"/>
        <v>0</v>
      </c>
      <c r="S23" s="553">
        <f t="shared" si="10"/>
        <v>0</v>
      </c>
      <c r="T23" s="553">
        <f t="shared" si="10"/>
        <v>0</v>
      </c>
      <c r="U23" s="553">
        <f t="shared" si="10"/>
        <v>0</v>
      </c>
      <c r="V23" s="553">
        <f t="shared" si="10"/>
        <v>0</v>
      </c>
      <c r="W23" s="553">
        <f t="shared" si="10"/>
        <v>0</v>
      </c>
      <c r="X23" s="553">
        <f t="shared" si="10"/>
        <v>0</v>
      </c>
      <c r="Y23" s="553">
        <f t="shared" si="10"/>
        <v>0</v>
      </c>
      <c r="Z23" s="553">
        <f t="shared" si="10"/>
        <v>0</v>
      </c>
      <c r="AA23" s="553">
        <f t="shared" si="10"/>
        <v>0</v>
      </c>
      <c r="AB23" s="553">
        <f t="shared" si="10"/>
        <v>0</v>
      </c>
      <c r="AC23" s="553">
        <f t="shared" si="10"/>
        <v>0</v>
      </c>
      <c r="AD23" s="553">
        <f t="shared" si="10"/>
        <v>0</v>
      </c>
      <c r="AE23" s="553">
        <f t="shared" si="10"/>
        <v>0</v>
      </c>
      <c r="AF23" s="553">
        <f t="shared" si="10"/>
        <v>0</v>
      </c>
      <c r="AG23" s="553">
        <f t="shared" si="10"/>
        <v>0</v>
      </c>
      <c r="AH23" s="553">
        <f t="shared" si="10"/>
        <v>0</v>
      </c>
      <c r="AI23" s="553">
        <f t="shared" ref="AI23:AZ23" si="11">IFERROR( INDEX($C$451:$E$451, MATCH(AI16,$C$449:$E$449,0)),0)*(1+$C$12)</f>
        <v>0</v>
      </c>
      <c r="AJ23" s="553">
        <f t="shared" si="11"/>
        <v>0</v>
      </c>
      <c r="AK23" s="553">
        <f t="shared" si="11"/>
        <v>0</v>
      </c>
      <c r="AL23" s="553">
        <f t="shared" si="11"/>
        <v>0</v>
      </c>
      <c r="AM23" s="553">
        <f t="shared" si="11"/>
        <v>0</v>
      </c>
      <c r="AN23" s="553">
        <f t="shared" si="11"/>
        <v>0</v>
      </c>
      <c r="AO23" s="553">
        <f t="shared" si="11"/>
        <v>0</v>
      </c>
      <c r="AP23" s="553">
        <f t="shared" si="11"/>
        <v>0</v>
      </c>
      <c r="AQ23" s="553">
        <f t="shared" si="11"/>
        <v>0</v>
      </c>
      <c r="AR23" s="553">
        <f t="shared" si="11"/>
        <v>0</v>
      </c>
      <c r="AS23" s="553">
        <f t="shared" si="11"/>
        <v>0</v>
      </c>
      <c r="AT23" s="553">
        <f t="shared" si="11"/>
        <v>0</v>
      </c>
      <c r="AU23" s="553">
        <f t="shared" si="11"/>
        <v>0</v>
      </c>
      <c r="AV23" s="553">
        <f t="shared" si="11"/>
        <v>0</v>
      </c>
      <c r="AW23" s="553">
        <f t="shared" si="11"/>
        <v>0</v>
      </c>
      <c r="AX23" s="553">
        <f t="shared" si="11"/>
        <v>0</v>
      </c>
      <c r="AY23" s="553">
        <f t="shared" si="11"/>
        <v>0</v>
      </c>
      <c r="AZ23" s="553">
        <f t="shared" si="11"/>
        <v>0</v>
      </c>
      <c r="BC23" s="151" t="s">
        <v>3482</v>
      </c>
    </row>
    <row r="24" spans="2:55">
      <c r="B24" s="431" t="s">
        <v>3576</v>
      </c>
      <c r="C24" s="553">
        <f t="shared" ref="C24:AH24" si="12">IFERROR(INDEX($C$415:$BA$415, MATCH(C16, $C$414:$BA$414,0)),0)*(1+$C$12)</f>
        <v>0</v>
      </c>
      <c r="D24" s="553">
        <f t="shared" si="12"/>
        <v>1.1473889049999996E-2</v>
      </c>
      <c r="E24" s="553">
        <f t="shared" si="12"/>
        <v>2.3383785883899989E-2</v>
      </c>
      <c r="F24" s="553">
        <f t="shared" si="12"/>
        <v>3.5742116723541134E-2</v>
      </c>
      <c r="G24" s="553">
        <f t="shared" si="12"/>
        <v>3.6421216941288415E-2</v>
      </c>
      <c r="H24" s="553">
        <f t="shared" si="12"/>
        <v>3.7113220063172893E-2</v>
      </c>
      <c r="I24" s="553">
        <f t="shared" si="12"/>
        <v>3.7818371244373171E-2</v>
      </c>
      <c r="J24" s="553">
        <f t="shared" si="12"/>
        <v>3.8536920298016253E-2</v>
      </c>
      <c r="K24" s="761">
        <f t="shared" si="12"/>
        <v>3.9269121783678557E-2</v>
      </c>
      <c r="L24" s="761">
        <f t="shared" si="12"/>
        <v>4.001523509756845E-2</v>
      </c>
      <c r="M24" s="761">
        <f t="shared" si="12"/>
        <v>4.0775524564422239E-2</v>
      </c>
      <c r="N24" s="553">
        <f t="shared" si="12"/>
        <v>4.1550259531146272E-2</v>
      </c>
      <c r="O24" s="553">
        <f t="shared" si="12"/>
        <v>4.233971446223804E-2</v>
      </c>
      <c r="P24" s="553">
        <f t="shared" si="12"/>
        <v>4.3144169037020563E-2</v>
      </c>
      <c r="Q24" s="553">
        <f t="shared" si="12"/>
        <v>4.396390824872394E-2</v>
      </c>
      <c r="R24" s="553">
        <f t="shared" si="12"/>
        <v>4.4799222505449689E-2</v>
      </c>
      <c r="S24" s="553">
        <f t="shared" si="12"/>
        <v>4.5650407733053233E-2</v>
      </c>
      <c r="T24" s="553">
        <f t="shared" si="12"/>
        <v>4.6517765479981238E-2</v>
      </c>
      <c r="U24" s="553">
        <f t="shared" si="12"/>
        <v>4.7401603024100875E-2</v>
      </c>
      <c r="V24" s="553">
        <f t="shared" si="12"/>
        <v>4.8302233481558793E-2</v>
      </c>
      <c r="W24" s="553">
        <f t="shared" si="12"/>
        <v>4.9219975917708395E-2</v>
      </c>
      <c r="X24" s="553">
        <f t="shared" si="12"/>
        <v>5.0155155460144853E-2</v>
      </c>
      <c r="Y24" s="553">
        <f t="shared" si="12"/>
        <v>5.1108103413887607E-2</v>
      </c>
      <c r="Z24" s="553">
        <f t="shared" si="12"/>
        <v>5.2079157378751448E-2</v>
      </c>
      <c r="AA24" s="553">
        <f t="shared" si="12"/>
        <v>5.306866136894773E-2</v>
      </c>
      <c r="AB24" s="553">
        <f t="shared" si="12"/>
        <v>5.4076965934957727E-2</v>
      </c>
      <c r="AC24" s="553">
        <f t="shared" si="12"/>
        <v>5.510442828772192E-2</v>
      </c>
      <c r="AD24" s="553">
        <f t="shared" si="12"/>
        <v>5.6151412425188632E-2</v>
      </c>
      <c r="AE24" s="553">
        <f t="shared" si="12"/>
        <v>5.7218289261267208E-2</v>
      </c>
      <c r="AF24" s="553">
        <f t="shared" si="12"/>
        <v>5.830543675723128E-2</v>
      </c>
      <c r="AG24" s="553">
        <f t="shared" si="12"/>
        <v>5.9413240055618669E-2</v>
      </c>
      <c r="AH24" s="553">
        <f t="shared" si="12"/>
        <v>6.0542091616675425E-2</v>
      </c>
      <c r="AI24" s="553">
        <f t="shared" ref="AI24:AZ24" si="13">IFERROR(INDEX($C$415:$BA$415, MATCH(AI16, $C$414:$BA$414,0)),0)*(1+$C$12)</f>
        <v>6.1692391357392254E-2</v>
      </c>
      <c r="AJ24" s="553">
        <f t="shared" si="13"/>
        <v>6.2864546793182693E-2</v>
      </c>
      <c r="AK24" s="553">
        <f t="shared" si="13"/>
        <v>6.4058973182253162E-2</v>
      </c>
      <c r="AL24" s="553">
        <f t="shared" si="13"/>
        <v>6.5276093672715946E-2</v>
      </c>
      <c r="AM24" s="553">
        <f t="shared" si="13"/>
        <v>6.6516339452497547E-2</v>
      </c>
      <c r="AN24" s="553">
        <f t="shared" si="13"/>
        <v>6.7780149902095008E-2</v>
      </c>
      <c r="AO24" s="553">
        <f t="shared" si="13"/>
        <v>6.906797275023481E-2</v>
      </c>
      <c r="AP24" s="553">
        <f t="shared" si="13"/>
        <v>7.0380264232489262E-2</v>
      </c>
      <c r="AQ24" s="553">
        <f t="shared" si="13"/>
        <v>7.1717489252906538E-2</v>
      </c>
      <c r="AR24" s="553">
        <f t="shared" si="13"/>
        <v>7.3080121548711754E-2</v>
      </c>
      <c r="AS24" s="553">
        <f t="shared" si="13"/>
        <v>7.4468643858137271E-2</v>
      </c>
      <c r="AT24" s="553">
        <f t="shared" si="13"/>
        <v>0</v>
      </c>
      <c r="AU24" s="553">
        <f t="shared" si="13"/>
        <v>0</v>
      </c>
      <c r="AV24" s="553">
        <f t="shared" si="13"/>
        <v>0</v>
      </c>
      <c r="AW24" s="553">
        <f t="shared" si="13"/>
        <v>0</v>
      </c>
      <c r="AX24" s="553">
        <f t="shared" si="13"/>
        <v>0</v>
      </c>
      <c r="AY24" s="553">
        <f t="shared" si="13"/>
        <v>0</v>
      </c>
      <c r="AZ24" s="553">
        <f t="shared" si="13"/>
        <v>0</v>
      </c>
      <c r="BC24" s="151" t="s">
        <v>3484</v>
      </c>
    </row>
    <row r="25" spans="2:55">
      <c r="B25" s="431" t="s">
        <v>3575</v>
      </c>
      <c r="C25" s="553">
        <f>IFERROR(INDEX($C$433:$BA$433, MATCH(C16, $C$432:$BA$432,0)),0)*(1+$C$12)</f>
        <v>0</v>
      </c>
      <c r="D25" s="553">
        <f t="shared" ref="D25:AZ25" si="14">IFERROR(INDEX($C$433:$BA$433, MATCH(D16, $C$432:$BA$432,0)),0)*(1+$C$12)</f>
        <v>4.0546699098749985E-4</v>
      </c>
      <c r="E25" s="553">
        <f t="shared" si="14"/>
        <v>4.131708638162622E-4</v>
      </c>
      <c r="F25" s="553">
        <f t="shared" si="14"/>
        <v>4.210211102287712E-4</v>
      </c>
      <c r="G25" s="553">
        <f t="shared" si="14"/>
        <v>0</v>
      </c>
      <c r="H25" s="553">
        <f t="shared" si="14"/>
        <v>0</v>
      </c>
      <c r="I25" s="553">
        <f t="shared" si="14"/>
        <v>0</v>
      </c>
      <c r="J25" s="553">
        <f t="shared" si="14"/>
        <v>0</v>
      </c>
      <c r="K25" s="761">
        <f t="shared" si="14"/>
        <v>0</v>
      </c>
      <c r="L25" s="761">
        <f t="shared" si="14"/>
        <v>0</v>
      </c>
      <c r="M25" s="761">
        <f t="shared" si="14"/>
        <v>0</v>
      </c>
      <c r="N25" s="553">
        <f t="shared" si="14"/>
        <v>0</v>
      </c>
      <c r="O25" s="553">
        <f t="shared" si="14"/>
        <v>0</v>
      </c>
      <c r="P25" s="553">
        <f t="shared" si="14"/>
        <v>0</v>
      </c>
      <c r="Q25" s="553">
        <f t="shared" si="14"/>
        <v>0</v>
      </c>
      <c r="R25" s="553">
        <f t="shared" si="14"/>
        <v>0</v>
      </c>
      <c r="S25" s="553">
        <f t="shared" si="14"/>
        <v>0</v>
      </c>
      <c r="T25" s="553">
        <f t="shared" si="14"/>
        <v>0</v>
      </c>
      <c r="U25" s="553">
        <f t="shared" si="14"/>
        <v>0</v>
      </c>
      <c r="V25" s="553">
        <f t="shared" si="14"/>
        <v>0</v>
      </c>
      <c r="W25" s="553">
        <f t="shared" si="14"/>
        <v>0</v>
      </c>
      <c r="X25" s="553">
        <f t="shared" si="14"/>
        <v>0</v>
      </c>
      <c r="Y25" s="553">
        <f t="shared" si="14"/>
        <v>0</v>
      </c>
      <c r="Z25" s="553">
        <f t="shared" si="14"/>
        <v>0</v>
      </c>
      <c r="AA25" s="553">
        <f t="shared" si="14"/>
        <v>0</v>
      </c>
      <c r="AB25" s="553">
        <f t="shared" si="14"/>
        <v>0</v>
      </c>
      <c r="AC25" s="553">
        <f t="shared" si="14"/>
        <v>0</v>
      </c>
      <c r="AD25" s="553">
        <f t="shared" si="14"/>
        <v>0</v>
      </c>
      <c r="AE25" s="553">
        <f t="shared" si="14"/>
        <v>0</v>
      </c>
      <c r="AF25" s="553">
        <f t="shared" si="14"/>
        <v>0</v>
      </c>
      <c r="AG25" s="553">
        <f t="shared" si="14"/>
        <v>0</v>
      </c>
      <c r="AH25" s="553">
        <f t="shared" si="14"/>
        <v>0</v>
      </c>
      <c r="AI25" s="553">
        <f t="shared" si="14"/>
        <v>0</v>
      </c>
      <c r="AJ25" s="553">
        <f t="shared" si="14"/>
        <v>0</v>
      </c>
      <c r="AK25" s="553">
        <f t="shared" si="14"/>
        <v>0</v>
      </c>
      <c r="AL25" s="553">
        <f t="shared" si="14"/>
        <v>0</v>
      </c>
      <c r="AM25" s="553">
        <f t="shared" si="14"/>
        <v>0</v>
      </c>
      <c r="AN25" s="553">
        <f t="shared" si="14"/>
        <v>0</v>
      </c>
      <c r="AO25" s="553">
        <f t="shared" si="14"/>
        <v>0</v>
      </c>
      <c r="AP25" s="553">
        <f t="shared" si="14"/>
        <v>0</v>
      </c>
      <c r="AQ25" s="553">
        <f t="shared" si="14"/>
        <v>0</v>
      </c>
      <c r="AR25" s="553">
        <f t="shared" si="14"/>
        <v>0</v>
      </c>
      <c r="AS25" s="553">
        <f t="shared" si="14"/>
        <v>0</v>
      </c>
      <c r="AT25" s="553">
        <f t="shared" si="14"/>
        <v>0</v>
      </c>
      <c r="AU25" s="553">
        <f t="shared" si="14"/>
        <v>0</v>
      </c>
      <c r="AV25" s="553">
        <f t="shared" si="14"/>
        <v>0</v>
      </c>
      <c r="AW25" s="553">
        <f t="shared" si="14"/>
        <v>0</v>
      </c>
      <c r="AX25" s="553">
        <f t="shared" si="14"/>
        <v>0</v>
      </c>
      <c r="AY25" s="553">
        <f t="shared" si="14"/>
        <v>0</v>
      </c>
      <c r="AZ25" s="553">
        <f t="shared" si="14"/>
        <v>0</v>
      </c>
      <c r="BC25" s="151" t="s">
        <v>3482</v>
      </c>
    </row>
    <row r="26" spans="2:55">
      <c r="B26" s="551"/>
      <c r="C26" s="552"/>
    </row>
    <row r="27" spans="2:55" s="9" customFormat="1">
      <c r="B27" s="431" t="s">
        <v>3484</v>
      </c>
      <c r="C27" s="757">
        <f t="shared" ref="C27:L28" si="15">SUMIFS(C$17:C$25, $BC$17:$BC$25,$B27)</f>
        <v>0</v>
      </c>
      <c r="D27" s="757">
        <f t="shared" si="15"/>
        <v>2.4233291339346326E-2</v>
      </c>
      <c r="E27" s="757">
        <f t="shared" si="15"/>
        <v>5.0424821208649412E-2</v>
      </c>
      <c r="F27" s="757">
        <f t="shared" si="15"/>
        <v>7.85567783721004E-2</v>
      </c>
      <c r="G27" s="757">
        <f t="shared" si="15"/>
        <v>8.1676217882037244E-2</v>
      </c>
      <c r="H27" s="757">
        <f t="shared" si="15"/>
        <v>7.9484081079133018E-2</v>
      </c>
      <c r="I27" s="757">
        <f t="shared" si="15"/>
        <v>7.8952764786949264E-2</v>
      </c>
      <c r="J27" s="757">
        <f t="shared" si="15"/>
        <v>7.9536829023994671E-2</v>
      </c>
      <c r="K27" s="757">
        <f t="shared" si="15"/>
        <v>8.0938988914107224E-2</v>
      </c>
      <c r="L27" s="757">
        <f t="shared" si="15"/>
        <v>8.2872606246265329E-2</v>
      </c>
      <c r="M27" s="757">
        <f t="shared" ref="M27:V28" si="16">SUMIFS(M$17:M$25, $BC$17:$BC$25,$B27)</f>
        <v>8.5168042090894569E-2</v>
      </c>
      <c r="N27" s="757">
        <f t="shared" si="16"/>
        <v>8.7750655161008523E-2</v>
      </c>
      <c r="O27" s="757">
        <f t="shared" si="16"/>
        <v>9.0520078896631093E-2</v>
      </c>
      <c r="P27" s="757">
        <f t="shared" si="16"/>
        <v>9.3435739018289526E-2</v>
      </c>
      <c r="Q27" s="757">
        <f t="shared" si="16"/>
        <v>9.6484088748588173E-2</v>
      </c>
      <c r="R27" s="757">
        <f t="shared" si="16"/>
        <v>9.9652442908159236E-2</v>
      </c>
      <c r="S27" s="757">
        <f t="shared" si="16"/>
        <v>0.10293094633979637</v>
      </c>
      <c r="T27" s="757">
        <f t="shared" si="16"/>
        <v>0.10632480550010312</v>
      </c>
      <c r="U27" s="757">
        <f t="shared" si="16"/>
        <v>0.10985877352115719</v>
      </c>
      <c r="V27" s="757">
        <f t="shared" si="16"/>
        <v>0.1135011553543076</v>
      </c>
      <c r="W27" s="757">
        <f t="shared" ref="W27:AF28" si="17">SUMIFS(W$17:W$25, $BC$17:$BC$25,$B27)</f>
        <v>0.11724807240004402</v>
      </c>
      <c r="X27" s="757">
        <f t="shared" si="17"/>
        <v>0.12111737097608996</v>
      </c>
      <c r="Y27" s="757">
        <f t="shared" si="17"/>
        <v>0.12510390301049618</v>
      </c>
      <c r="Z27" s="757">
        <f t="shared" si="17"/>
        <v>0.12920474021320505</v>
      </c>
      <c r="AA27" s="757">
        <f t="shared" si="17"/>
        <v>0.13341892017033338</v>
      </c>
      <c r="AB27" s="757">
        <f t="shared" si="17"/>
        <v>0.13775417001742618</v>
      </c>
      <c r="AC27" s="757">
        <f t="shared" si="17"/>
        <v>0.14220606525803459</v>
      </c>
      <c r="AD27" s="757">
        <f t="shared" si="17"/>
        <v>0.14677055265972855</v>
      </c>
      <c r="AE27" s="757">
        <f t="shared" si="17"/>
        <v>0.15144538331301144</v>
      </c>
      <c r="AF27" s="757">
        <f t="shared" si="17"/>
        <v>0.15623415811247626</v>
      </c>
      <c r="AG27" s="757">
        <f t="shared" ref="AG27:AP28" si="18">SUMIFS(AG$17:AG$25, $BC$17:$BC$25,$B27)</f>
        <v>0.16115249848058202</v>
      </c>
      <c r="AH27" s="757">
        <f t="shared" si="18"/>
        <v>0.16620466639841547</v>
      </c>
      <c r="AI27" s="757">
        <f t="shared" si="18"/>
        <v>0.17140220612191551</v>
      </c>
      <c r="AJ27" s="757">
        <f t="shared" si="18"/>
        <v>0.17674114529274543</v>
      </c>
      <c r="AK27" s="757">
        <f t="shared" si="18"/>
        <v>0.18221047372982752</v>
      </c>
      <c r="AL27" s="757">
        <f t="shared" si="18"/>
        <v>0.18780539387357809</v>
      </c>
      <c r="AM27" s="757">
        <f t="shared" si="18"/>
        <v>0.19352119717731142</v>
      </c>
      <c r="AN27" s="757">
        <f t="shared" si="18"/>
        <v>0.19935493501860119</v>
      </c>
      <c r="AO27" s="757">
        <f t="shared" si="18"/>
        <v>0.20530404203108149</v>
      </c>
      <c r="AP27" s="757">
        <f t="shared" si="18"/>
        <v>0.2113972769572095</v>
      </c>
      <c r="AQ27" s="757">
        <f t="shared" ref="AQ27:AX28" si="19">SUMIFS(AQ$17:AQ$25, $BC$17:$BC$25,$B27)</f>
        <v>0.21766230533595732</v>
      </c>
      <c r="AR27" s="757">
        <f t="shared" si="19"/>
        <v>0.22412082338973527</v>
      </c>
      <c r="AS27" s="757">
        <f t="shared" si="19"/>
        <v>0.23066698327024643</v>
      </c>
      <c r="AT27" s="757" t="e">
        <f t="shared" si="19"/>
        <v>#N/A</v>
      </c>
      <c r="AU27" s="757" t="e">
        <f t="shared" si="19"/>
        <v>#N/A</v>
      </c>
      <c r="AV27" s="757" t="e">
        <f t="shared" si="19"/>
        <v>#N/A</v>
      </c>
      <c r="AW27" s="757" t="e">
        <f t="shared" si="19"/>
        <v>#N/A</v>
      </c>
      <c r="AX27" s="757" t="e">
        <f t="shared" si="19"/>
        <v>#N/A</v>
      </c>
      <c r="AY27" s="757" t="e">
        <f t="shared" ref="AY27:AZ28" si="20">SUMIFS(AY$17:AY$25, $BC$17:$BC$25,$B27)</f>
        <v>#N/A</v>
      </c>
      <c r="AZ27" s="757" t="e">
        <f t="shared" si="20"/>
        <v>#N/A</v>
      </c>
    </row>
    <row r="28" spans="2:55" s="9" customFormat="1">
      <c r="B28" s="431" t="s">
        <v>3482</v>
      </c>
      <c r="C28" s="757">
        <f t="shared" si="15"/>
        <v>0</v>
      </c>
      <c r="D28" s="757">
        <f t="shared" si="15"/>
        <v>0.13091266038440497</v>
      </c>
      <c r="E28" s="757">
        <f t="shared" si="15"/>
        <v>0.13361256520389028</v>
      </c>
      <c r="F28" s="757">
        <f t="shared" si="15"/>
        <v>0.13665736164125644</v>
      </c>
      <c r="G28" s="757">
        <f t="shared" si="15"/>
        <v>0</v>
      </c>
      <c r="H28" s="757">
        <f t="shared" si="15"/>
        <v>0</v>
      </c>
      <c r="I28" s="757">
        <f t="shared" si="15"/>
        <v>0</v>
      </c>
      <c r="J28" s="757">
        <f t="shared" si="15"/>
        <v>0</v>
      </c>
      <c r="K28" s="757">
        <f t="shared" si="15"/>
        <v>0</v>
      </c>
      <c r="L28" s="757">
        <f t="shared" si="15"/>
        <v>0</v>
      </c>
      <c r="M28" s="757">
        <f t="shared" si="16"/>
        <v>0</v>
      </c>
      <c r="N28" s="757">
        <f t="shared" si="16"/>
        <v>1.1080069208305671E-2</v>
      </c>
      <c r="O28" s="757">
        <f t="shared" si="16"/>
        <v>1.1290590523263477E-2</v>
      </c>
      <c r="P28" s="757">
        <f t="shared" si="16"/>
        <v>1.1505111743205482E-2</v>
      </c>
      <c r="Q28" s="757">
        <f t="shared" si="16"/>
        <v>0</v>
      </c>
      <c r="R28" s="757">
        <f t="shared" si="16"/>
        <v>0</v>
      </c>
      <c r="S28" s="757">
        <f t="shared" si="16"/>
        <v>0</v>
      </c>
      <c r="T28" s="757">
        <f t="shared" si="16"/>
        <v>0</v>
      </c>
      <c r="U28" s="757">
        <f t="shared" si="16"/>
        <v>0</v>
      </c>
      <c r="V28" s="757">
        <f t="shared" si="16"/>
        <v>0</v>
      </c>
      <c r="W28" s="757">
        <f t="shared" si="17"/>
        <v>0</v>
      </c>
      <c r="X28" s="757">
        <f t="shared" si="17"/>
        <v>0</v>
      </c>
      <c r="Y28" s="757">
        <f t="shared" si="17"/>
        <v>0</v>
      </c>
      <c r="Z28" s="757">
        <f t="shared" si="17"/>
        <v>0</v>
      </c>
      <c r="AA28" s="757">
        <f t="shared" si="17"/>
        <v>0</v>
      </c>
      <c r="AB28" s="757">
        <f t="shared" si="17"/>
        <v>0</v>
      </c>
      <c r="AC28" s="757">
        <f t="shared" si="17"/>
        <v>0</v>
      </c>
      <c r="AD28" s="757">
        <f t="shared" si="17"/>
        <v>0</v>
      </c>
      <c r="AE28" s="757">
        <f t="shared" si="17"/>
        <v>0</v>
      </c>
      <c r="AF28" s="757">
        <f t="shared" si="17"/>
        <v>0</v>
      </c>
      <c r="AG28" s="757">
        <f t="shared" si="18"/>
        <v>0</v>
      </c>
      <c r="AH28" s="757">
        <f t="shared" si="18"/>
        <v>0</v>
      </c>
      <c r="AI28" s="757">
        <f t="shared" si="18"/>
        <v>0</v>
      </c>
      <c r="AJ28" s="757">
        <f t="shared" si="18"/>
        <v>0</v>
      </c>
      <c r="AK28" s="757">
        <f t="shared" si="18"/>
        <v>0</v>
      </c>
      <c r="AL28" s="757">
        <f t="shared" si="18"/>
        <v>0</v>
      </c>
      <c r="AM28" s="757">
        <f t="shared" si="18"/>
        <v>0</v>
      </c>
      <c r="AN28" s="757">
        <f t="shared" si="18"/>
        <v>0</v>
      </c>
      <c r="AO28" s="757">
        <f t="shared" si="18"/>
        <v>0</v>
      </c>
      <c r="AP28" s="757">
        <f t="shared" si="18"/>
        <v>0</v>
      </c>
      <c r="AQ28" s="757">
        <f t="shared" si="19"/>
        <v>0</v>
      </c>
      <c r="AR28" s="757">
        <f t="shared" si="19"/>
        <v>0</v>
      </c>
      <c r="AS28" s="757">
        <f t="shared" si="19"/>
        <v>0</v>
      </c>
      <c r="AT28" s="757">
        <f t="shared" si="19"/>
        <v>0</v>
      </c>
      <c r="AU28" s="757">
        <f t="shared" si="19"/>
        <v>0</v>
      </c>
      <c r="AV28" s="757">
        <f t="shared" si="19"/>
        <v>0</v>
      </c>
      <c r="AW28" s="757">
        <f t="shared" si="19"/>
        <v>0</v>
      </c>
      <c r="AX28" s="757">
        <f t="shared" si="19"/>
        <v>0</v>
      </c>
      <c r="AY28" s="757">
        <f t="shared" si="20"/>
        <v>0</v>
      </c>
      <c r="AZ28" s="757">
        <f t="shared" si="20"/>
        <v>0</v>
      </c>
    </row>
    <row r="29" spans="2:55" s="95" customFormat="1">
      <c r="B29" s="551"/>
      <c r="C29" s="758" t="b">
        <f t="shared" ref="C29:AN29" si="21">SUM(C27:C28)=SUM(C17:C25)</f>
        <v>1</v>
      </c>
      <c r="D29" s="758" t="b">
        <f t="shared" si="21"/>
        <v>1</v>
      </c>
      <c r="E29" s="758" t="b">
        <f t="shared" si="21"/>
        <v>1</v>
      </c>
      <c r="F29" s="758" t="b">
        <f t="shared" si="21"/>
        <v>1</v>
      </c>
      <c r="G29" s="758" t="b">
        <f t="shared" si="21"/>
        <v>1</v>
      </c>
      <c r="H29" s="758" t="b">
        <f t="shared" si="21"/>
        <v>1</v>
      </c>
      <c r="I29" s="758" t="b">
        <f t="shared" si="21"/>
        <v>1</v>
      </c>
      <c r="J29" s="758" t="b">
        <f t="shared" si="21"/>
        <v>1</v>
      </c>
      <c r="K29" s="758" t="b">
        <f t="shared" si="21"/>
        <v>1</v>
      </c>
      <c r="L29" s="758" t="b">
        <f t="shared" si="21"/>
        <v>1</v>
      </c>
      <c r="M29" s="758" t="b">
        <f t="shared" si="21"/>
        <v>1</v>
      </c>
      <c r="N29" s="758" t="b">
        <f t="shared" si="21"/>
        <v>1</v>
      </c>
      <c r="O29" s="758" t="b">
        <f t="shared" si="21"/>
        <v>1</v>
      </c>
      <c r="P29" s="758" t="b">
        <f t="shared" si="21"/>
        <v>1</v>
      </c>
      <c r="Q29" s="758" t="b">
        <f t="shared" si="21"/>
        <v>1</v>
      </c>
      <c r="R29" s="758" t="b">
        <f t="shared" si="21"/>
        <v>1</v>
      </c>
      <c r="S29" s="758" t="b">
        <f t="shared" si="21"/>
        <v>1</v>
      </c>
      <c r="T29" s="758" t="b">
        <f t="shared" si="21"/>
        <v>1</v>
      </c>
      <c r="U29" s="758" t="b">
        <f t="shared" si="21"/>
        <v>1</v>
      </c>
      <c r="V29" s="758" t="b">
        <f t="shared" si="21"/>
        <v>1</v>
      </c>
      <c r="W29" s="758" t="b">
        <f t="shared" si="21"/>
        <v>1</v>
      </c>
      <c r="X29" s="758" t="b">
        <f t="shared" si="21"/>
        <v>1</v>
      </c>
      <c r="Y29" s="758" t="b">
        <f t="shared" si="21"/>
        <v>1</v>
      </c>
      <c r="Z29" s="758" t="b">
        <f t="shared" si="21"/>
        <v>1</v>
      </c>
      <c r="AA29" s="758" t="b">
        <f t="shared" si="21"/>
        <v>1</v>
      </c>
      <c r="AB29" s="758" t="b">
        <f t="shared" si="21"/>
        <v>1</v>
      </c>
      <c r="AC29" s="758" t="b">
        <f t="shared" si="21"/>
        <v>1</v>
      </c>
      <c r="AD29" s="758" t="b">
        <f t="shared" si="21"/>
        <v>1</v>
      </c>
      <c r="AE29" s="758" t="b">
        <f t="shared" si="21"/>
        <v>1</v>
      </c>
      <c r="AF29" s="758" t="b">
        <f t="shared" si="21"/>
        <v>1</v>
      </c>
      <c r="AG29" s="758" t="b">
        <f t="shared" si="21"/>
        <v>1</v>
      </c>
      <c r="AH29" s="758" t="b">
        <f t="shared" si="21"/>
        <v>1</v>
      </c>
      <c r="AI29" s="758" t="b">
        <f t="shared" si="21"/>
        <v>1</v>
      </c>
      <c r="AJ29" s="758" t="b">
        <f t="shared" si="21"/>
        <v>1</v>
      </c>
      <c r="AK29" s="758" t="b">
        <f t="shared" si="21"/>
        <v>1</v>
      </c>
      <c r="AL29" s="758" t="b">
        <f t="shared" si="21"/>
        <v>1</v>
      </c>
      <c r="AM29" s="758" t="b">
        <f t="shared" si="21"/>
        <v>1</v>
      </c>
      <c r="AN29" s="758" t="b">
        <f t="shared" si="21"/>
        <v>1</v>
      </c>
      <c r="AO29" s="758" t="b">
        <f t="shared" ref="AO29:AW29" si="22">SUM(AO27:AO28)=SUM(AO17:AO25)</f>
        <v>1</v>
      </c>
      <c r="AP29" s="758" t="b">
        <f t="shared" si="22"/>
        <v>1</v>
      </c>
      <c r="AQ29" s="758" t="b">
        <f t="shared" si="22"/>
        <v>1</v>
      </c>
      <c r="AR29" s="758" t="b">
        <f t="shared" si="22"/>
        <v>1</v>
      </c>
      <c r="AS29" s="758" t="b">
        <f t="shared" si="22"/>
        <v>1</v>
      </c>
      <c r="AT29" s="758" t="e">
        <f t="shared" si="22"/>
        <v>#N/A</v>
      </c>
      <c r="AU29" s="758" t="e">
        <f t="shared" si="22"/>
        <v>#N/A</v>
      </c>
      <c r="AV29" s="758" t="e">
        <f t="shared" si="22"/>
        <v>#N/A</v>
      </c>
      <c r="AW29" s="758" t="e">
        <f t="shared" si="22"/>
        <v>#N/A</v>
      </c>
      <c r="AX29" s="758" t="e">
        <f>SUM(AX27:AX28)=SUM(AX17:AX25)</f>
        <v>#N/A</v>
      </c>
      <c r="AY29" s="758" t="e">
        <f t="shared" ref="AY29:AZ29" si="23">SUM(AY27:AY28)=SUM(AY17:AY25)</f>
        <v>#N/A</v>
      </c>
      <c r="AZ29" s="758" t="e">
        <f t="shared" si="23"/>
        <v>#N/A</v>
      </c>
    </row>
    <row r="30" spans="2:55" s="9" customFormat="1">
      <c r="B30" s="266" t="s">
        <v>3487</v>
      </c>
      <c r="C30" s="554">
        <f>SUM(C27:C28)</f>
        <v>0</v>
      </c>
      <c r="D30" s="554">
        <f t="shared" ref="D30:AN30" si="24">SUM(D27:D28)</f>
        <v>0.15514595172375129</v>
      </c>
      <c r="E30" s="554">
        <f t="shared" si="24"/>
        <v>0.18403738641253969</v>
      </c>
      <c r="F30" s="554">
        <f t="shared" si="24"/>
        <v>0.21521414001335684</v>
      </c>
      <c r="G30" s="554">
        <f t="shared" si="24"/>
        <v>8.1676217882037244E-2</v>
      </c>
      <c r="H30" s="554">
        <f t="shared" si="24"/>
        <v>7.9484081079133018E-2</v>
      </c>
      <c r="I30" s="554">
        <f t="shared" si="24"/>
        <v>7.8952764786949264E-2</v>
      </c>
      <c r="J30" s="554">
        <f t="shared" si="24"/>
        <v>7.9536829023994671E-2</v>
      </c>
      <c r="K30" s="560">
        <f t="shared" si="24"/>
        <v>8.0938988914107224E-2</v>
      </c>
      <c r="L30" s="560">
        <f t="shared" si="24"/>
        <v>8.2872606246265329E-2</v>
      </c>
      <c r="M30" s="560">
        <f t="shared" si="24"/>
        <v>8.5168042090894569E-2</v>
      </c>
      <c r="N30" s="554">
        <f t="shared" si="24"/>
        <v>9.8830724369314199E-2</v>
      </c>
      <c r="O30" s="554">
        <f t="shared" si="24"/>
        <v>0.10181066941989457</v>
      </c>
      <c r="P30" s="554">
        <f t="shared" si="24"/>
        <v>0.10494085076149501</v>
      </c>
      <c r="Q30" s="554">
        <f t="shared" si="24"/>
        <v>9.6484088748588173E-2</v>
      </c>
      <c r="R30" s="554">
        <f t="shared" si="24"/>
        <v>9.9652442908159236E-2</v>
      </c>
      <c r="S30" s="554">
        <f t="shared" si="24"/>
        <v>0.10293094633979637</v>
      </c>
      <c r="T30" s="554">
        <f t="shared" si="24"/>
        <v>0.10632480550010312</v>
      </c>
      <c r="U30" s="554">
        <f t="shared" si="24"/>
        <v>0.10985877352115719</v>
      </c>
      <c r="V30" s="554">
        <f t="shared" si="24"/>
        <v>0.1135011553543076</v>
      </c>
      <c r="W30" s="554">
        <f t="shared" si="24"/>
        <v>0.11724807240004402</v>
      </c>
      <c r="X30" s="554">
        <f t="shared" si="24"/>
        <v>0.12111737097608996</v>
      </c>
      <c r="Y30" s="554">
        <f t="shared" si="24"/>
        <v>0.12510390301049618</v>
      </c>
      <c r="Z30" s="554">
        <f t="shared" si="24"/>
        <v>0.12920474021320505</v>
      </c>
      <c r="AA30" s="554">
        <f t="shared" si="24"/>
        <v>0.13341892017033338</v>
      </c>
      <c r="AB30" s="554">
        <f t="shared" si="24"/>
        <v>0.13775417001742618</v>
      </c>
      <c r="AC30" s="554">
        <f t="shared" si="24"/>
        <v>0.14220606525803459</v>
      </c>
      <c r="AD30" s="554">
        <f t="shared" si="24"/>
        <v>0.14677055265972855</v>
      </c>
      <c r="AE30" s="554">
        <f t="shared" si="24"/>
        <v>0.15144538331301144</v>
      </c>
      <c r="AF30" s="554">
        <f t="shared" si="24"/>
        <v>0.15623415811247626</v>
      </c>
      <c r="AG30" s="554">
        <f t="shared" si="24"/>
        <v>0.16115249848058202</v>
      </c>
      <c r="AH30" s="554">
        <f t="shared" si="24"/>
        <v>0.16620466639841547</v>
      </c>
      <c r="AI30" s="554">
        <f t="shared" si="24"/>
        <v>0.17140220612191551</v>
      </c>
      <c r="AJ30" s="554">
        <f t="shared" si="24"/>
        <v>0.17674114529274543</v>
      </c>
      <c r="AK30" s="554">
        <f t="shared" si="24"/>
        <v>0.18221047372982752</v>
      </c>
      <c r="AL30" s="554">
        <f t="shared" si="24"/>
        <v>0.18780539387357809</v>
      </c>
      <c r="AM30" s="554">
        <f t="shared" si="24"/>
        <v>0.19352119717731142</v>
      </c>
      <c r="AN30" s="554">
        <f t="shared" si="24"/>
        <v>0.19935493501860119</v>
      </c>
      <c r="AO30" s="554">
        <f t="shared" ref="AO30:AX30" si="25">SUM(AO27:AO28)</f>
        <v>0.20530404203108149</v>
      </c>
      <c r="AP30" s="554">
        <f t="shared" si="25"/>
        <v>0.2113972769572095</v>
      </c>
      <c r="AQ30" s="554">
        <f t="shared" si="25"/>
        <v>0.21766230533595732</v>
      </c>
      <c r="AR30" s="554">
        <f t="shared" si="25"/>
        <v>0.22412082338973527</v>
      </c>
      <c r="AS30" s="554">
        <f t="shared" si="25"/>
        <v>0.23066698327024643</v>
      </c>
      <c r="AT30" s="554" t="e">
        <f t="shared" si="25"/>
        <v>#N/A</v>
      </c>
      <c r="AU30" s="554" t="e">
        <f t="shared" si="25"/>
        <v>#N/A</v>
      </c>
      <c r="AV30" s="554" t="e">
        <f t="shared" si="25"/>
        <v>#N/A</v>
      </c>
      <c r="AW30" s="554" t="e">
        <f t="shared" si="25"/>
        <v>#N/A</v>
      </c>
      <c r="AX30" s="554" t="e">
        <f t="shared" si="25"/>
        <v>#N/A</v>
      </c>
      <c r="AY30" s="554" t="e">
        <f t="shared" ref="AY30:AZ30" si="26">SUM(AY27:AY28)</f>
        <v>#N/A</v>
      </c>
      <c r="AZ30" s="554" t="e">
        <f t="shared" si="26"/>
        <v>#N/A</v>
      </c>
    </row>
    <row r="31" spans="2:55" s="9" customFormat="1">
      <c r="B31" s="685"/>
      <c r="C31" s="686"/>
      <c r="D31" s="686"/>
      <c r="E31" s="686"/>
      <c r="F31" s="686"/>
      <c r="G31" s="686"/>
      <c r="H31" s="686"/>
      <c r="I31" s="686"/>
      <c r="J31" s="686"/>
      <c r="K31" s="686"/>
      <c r="L31" s="686"/>
      <c r="M31" s="686"/>
      <c r="N31" s="686"/>
      <c r="O31" s="686"/>
      <c r="P31" s="686"/>
      <c r="Q31" s="686"/>
      <c r="R31" s="686"/>
      <c r="S31" s="686"/>
      <c r="T31" s="686"/>
      <c r="U31" s="686"/>
      <c r="V31" s="686"/>
      <c r="W31" s="686"/>
      <c r="X31" s="686"/>
      <c r="Y31" s="686"/>
      <c r="Z31" s="686"/>
      <c r="AA31" s="686"/>
      <c r="AB31" s="686"/>
      <c r="AC31" s="686"/>
      <c r="AD31" s="686"/>
      <c r="AE31" s="686"/>
      <c r="AF31" s="686"/>
      <c r="AG31" s="686"/>
      <c r="AH31" s="686"/>
      <c r="AI31" s="686"/>
      <c r="AJ31" s="686"/>
      <c r="AK31" s="686"/>
      <c r="AL31" s="686"/>
      <c r="AM31" s="686"/>
      <c r="AN31" s="686"/>
      <c r="AO31" s="686"/>
      <c r="AP31"/>
    </row>
    <row r="32" spans="2:55">
      <c r="B32" s="551"/>
      <c r="C32" s="552"/>
    </row>
    <row r="33" spans="1:16">
      <c r="A33" s="9" t="s">
        <v>10</v>
      </c>
      <c r="B33" s="684" t="s">
        <v>3381</v>
      </c>
      <c r="C33" s="552"/>
    </row>
    <row r="34" spans="1:16">
      <c r="B34" s="551"/>
      <c r="C34" s="552"/>
      <c r="D34" s="151"/>
      <c r="N34" s="913"/>
      <c r="O34" s="913"/>
      <c r="P34" s="913"/>
    </row>
    <row r="35" spans="1:16">
      <c r="B35" s="34" t="s">
        <v>3232</v>
      </c>
      <c r="C35" s="34" t="s">
        <v>3363</v>
      </c>
      <c r="D35" s="151" t="s">
        <v>3364</v>
      </c>
      <c r="F35" s="34" t="s">
        <v>3364</v>
      </c>
      <c r="G35" s="34" t="s">
        <v>3578</v>
      </c>
      <c r="H35" s="34" t="s">
        <v>388</v>
      </c>
      <c r="N35" s="913"/>
      <c r="O35" s="913"/>
      <c r="P35" s="913"/>
    </row>
    <row r="36" spans="1:16">
      <c r="B36" s="431" t="s">
        <v>3235</v>
      </c>
      <c r="C36" s="558">
        <f>SUMPRODUCT(C17:AO17, 'National model results detailed'!$C$307:$AO$307)</f>
        <v>2.6767768568743453E-4</v>
      </c>
      <c r="D36" s="151" t="s">
        <v>3577</v>
      </c>
      <c r="F36" s="431" t="s">
        <v>3577</v>
      </c>
      <c r="G36" s="557">
        <f>SUMIFS($C$36:$C$44,$D$36:$D$44,F36)*10^3</f>
        <v>1051.9684493388434</v>
      </c>
      <c r="H36" s="272">
        <f t="shared" ref="H36:H42" si="27">G36/$G$42</f>
        <v>0.40252989562370306</v>
      </c>
      <c r="N36" s="913"/>
      <c r="O36" s="913"/>
      <c r="P36" s="913"/>
    </row>
    <row r="37" spans="1:16">
      <c r="B37" s="431" t="s">
        <v>3233</v>
      </c>
      <c r="C37" s="558">
        <f>SUMPRODUCT(C18:AO18, 'National model results detailed'!$C$307:$AO$307)</f>
        <v>1.0517007716531559</v>
      </c>
      <c r="D37" s="151" t="s">
        <v>3577</v>
      </c>
      <c r="F37" s="431" t="s">
        <v>3696</v>
      </c>
      <c r="G37" s="557">
        <f t="shared" ref="G37:G41" si="28">SUMIFS($C$36:$C$44,$D$36:$D$44,F37)*10^3</f>
        <v>232.25428034400292</v>
      </c>
      <c r="H37" s="272">
        <f t="shared" si="27"/>
        <v>8.8870812887769865E-2</v>
      </c>
      <c r="N37" s="913"/>
      <c r="O37" s="913"/>
      <c r="P37" s="913"/>
    </row>
    <row r="38" spans="1:16">
      <c r="B38" s="431" t="s">
        <v>3234</v>
      </c>
      <c r="C38" s="558">
        <f>SUMPRODUCT(C19:AO19, 'National model results detailed'!$C$307:$AO$307)</f>
        <v>0.23225428034400292</v>
      </c>
      <c r="D38" s="151" t="s">
        <v>3696</v>
      </c>
      <c r="F38" s="431" t="s">
        <v>3453</v>
      </c>
      <c r="G38" s="557">
        <f t="shared" si="28"/>
        <v>8.6063724568599635</v>
      </c>
      <c r="H38" s="272">
        <f t="shared" si="27"/>
        <v>3.293180711775018E-3</v>
      </c>
      <c r="N38" s="913"/>
      <c r="O38" s="913"/>
      <c r="P38" s="913"/>
    </row>
    <row r="39" spans="1:16">
      <c r="B39" s="431" t="s">
        <v>3236</v>
      </c>
      <c r="C39" s="558">
        <f>SUMPRODUCT(C20:AO20, 'National model results detailed'!$C$307:$AO$307)</f>
        <v>4.1875544004734196E-3</v>
      </c>
      <c r="D39" s="151" t="s">
        <v>3453</v>
      </c>
      <c r="F39" s="431" t="s">
        <v>3362</v>
      </c>
      <c r="G39" s="557">
        <f t="shared" si="28"/>
        <v>368.85910806179425</v>
      </c>
      <c r="H39" s="272">
        <f t="shared" si="27"/>
        <v>0.14114189295437818</v>
      </c>
      <c r="N39" s="913"/>
      <c r="O39" s="913"/>
      <c r="P39" s="913"/>
    </row>
    <row r="40" spans="1:16">
      <c r="B40" s="431" t="s">
        <v>3230</v>
      </c>
      <c r="C40" s="558">
        <f>SUMPRODUCT(C21:AO21, 'National model results detailed'!$C$307:$AO$307)</f>
        <v>4.4188180563865444E-3</v>
      </c>
      <c r="D40" s="151" t="s">
        <v>3453</v>
      </c>
      <c r="F40" s="431" t="s">
        <v>3411</v>
      </c>
      <c r="G40" s="557">
        <f t="shared" si="28"/>
        <v>22.417586376772114</v>
      </c>
      <c r="H40" s="272">
        <f t="shared" si="27"/>
        <v>8.5779651567010444E-3</v>
      </c>
      <c r="N40" s="913"/>
      <c r="O40" s="913"/>
      <c r="P40" s="913"/>
    </row>
    <row r="41" spans="1:16">
      <c r="B41" s="431" t="s">
        <v>3169</v>
      </c>
      <c r="C41" s="558">
        <f>SUMPRODUCT(C22:AO22, 'National model results detailed'!$C$307:$AO$307)</f>
        <v>0.36885910806179423</v>
      </c>
      <c r="D41" s="151" t="s">
        <v>3362</v>
      </c>
      <c r="F41" s="431" t="s">
        <v>3361</v>
      </c>
      <c r="G41" s="557">
        <f t="shared" si="28"/>
        <v>929.28630367520714</v>
      </c>
      <c r="H41" s="272">
        <f t="shared" si="27"/>
        <v>0.35558625266567279</v>
      </c>
    </row>
    <row r="42" spans="1:16">
      <c r="B42" s="431" t="s">
        <v>3411</v>
      </c>
      <c r="C42" s="558">
        <f>SUMPRODUCT(C23:AO23, 'National model results detailed'!$C$307:$AO$307)</f>
        <v>2.2417586376772113E-2</v>
      </c>
      <c r="D42" s="151" t="s">
        <v>3411</v>
      </c>
      <c r="F42" s="458" t="s">
        <v>22</v>
      </c>
      <c r="G42" s="484">
        <f>SUM(G32:G41)</f>
        <v>2613.3921002534798</v>
      </c>
      <c r="H42" s="272">
        <f t="shared" si="27"/>
        <v>1</v>
      </c>
      <c r="N42" s="913"/>
      <c r="O42" s="913"/>
      <c r="P42" s="913"/>
    </row>
    <row r="43" spans="1:16">
      <c r="B43" s="431" t="s">
        <v>3324</v>
      </c>
      <c r="C43" s="558">
        <f>SUMPRODUCT(C24:AO24, 'National model results detailed'!$C$307:$AO$307)</f>
        <v>0.92812911178660407</v>
      </c>
      <c r="D43" s="151" t="s">
        <v>3361</v>
      </c>
      <c r="F43" s="685"/>
      <c r="G43" s="337"/>
      <c r="H43" s="710"/>
    </row>
    <row r="44" spans="1:16">
      <c r="B44" s="431" t="s">
        <v>3325</v>
      </c>
      <c r="C44" s="558">
        <f>SUMPRODUCT(C25:AO25, 'National model results detailed'!$C$307:$AO$307)</f>
        <v>1.1571918886030292E-3</v>
      </c>
      <c r="D44" s="151" t="s">
        <v>3361</v>
      </c>
      <c r="G44" s="151" t="b">
        <f>G42=C45</f>
        <v>0</v>
      </c>
    </row>
    <row r="45" spans="1:16">
      <c r="B45" s="458" t="s">
        <v>22</v>
      </c>
      <c r="C45" s="805">
        <f>SUM(C36:C44)</f>
        <v>2.6133921002534795</v>
      </c>
    </row>
    <row r="46" spans="1:16">
      <c r="B46" s="551"/>
      <c r="C46" s="552"/>
    </row>
    <row r="47" spans="1:16">
      <c r="B47" s="551"/>
      <c r="C47" s="723"/>
    </row>
    <row r="48" spans="1:16">
      <c r="B48" s="551"/>
      <c r="C48" s="723"/>
    </row>
    <row r="49" spans="1:53" s="588" customFormat="1">
      <c r="A49" s="593" t="s">
        <v>3758</v>
      </c>
    </row>
    <row r="50" spans="1:53" s="3" customFormat="1">
      <c r="A50" s="595"/>
    </row>
    <row r="51" spans="1:53" s="3" customFormat="1">
      <c r="A51" s="595"/>
    </row>
    <row r="52" spans="1:53" s="3" customFormat="1">
      <c r="A52" s="595"/>
    </row>
    <row r="53" spans="1:53" s="3" customFormat="1">
      <c r="A53" s="595" t="s">
        <v>10</v>
      </c>
      <c r="B53" s="595" t="s">
        <v>3767</v>
      </c>
    </row>
    <row r="54" spans="1:53">
      <c r="B54" s="152" t="s">
        <v>3764</v>
      </c>
      <c r="C54" s="723"/>
    </row>
    <row r="55" spans="1:53">
      <c r="B55" s="152" t="s">
        <v>3765</v>
      </c>
      <c r="C55" s="723"/>
    </row>
    <row r="57" spans="1:53">
      <c r="B57" s="34"/>
      <c r="C57" s="34"/>
    </row>
    <row r="58" spans="1:53">
      <c r="B58" s="266" t="s">
        <v>3756</v>
      </c>
      <c r="C58" s="910">
        <f>'Control Assumptions'!C12</f>
        <v>3</v>
      </c>
    </row>
    <row r="59" spans="1:53" ht="29">
      <c r="B59" s="266" t="s">
        <v>3757</v>
      </c>
      <c r="C59" s="909">
        <f>1/C58</f>
        <v>0.33333333333333331</v>
      </c>
    </row>
    <row r="62" spans="1:53">
      <c r="B62" s="34"/>
      <c r="C62" s="34">
        <f>C355</f>
        <v>2020</v>
      </c>
      <c r="D62" s="34">
        <f t="shared" ref="D62:AI62" si="29">C62+1</f>
        <v>2021</v>
      </c>
      <c r="E62" s="34">
        <f t="shared" si="29"/>
        <v>2022</v>
      </c>
      <c r="F62" s="34">
        <f t="shared" si="29"/>
        <v>2023</v>
      </c>
      <c r="G62" s="34">
        <f t="shared" si="29"/>
        <v>2024</v>
      </c>
      <c r="H62" s="34">
        <f t="shared" si="29"/>
        <v>2025</v>
      </c>
      <c r="I62" s="34">
        <f t="shared" si="29"/>
        <v>2026</v>
      </c>
      <c r="J62" s="34">
        <f t="shared" si="29"/>
        <v>2027</v>
      </c>
      <c r="K62" s="34">
        <f t="shared" si="29"/>
        <v>2028</v>
      </c>
      <c r="L62" s="34">
        <f t="shared" si="29"/>
        <v>2029</v>
      </c>
      <c r="M62" s="34">
        <f t="shared" si="29"/>
        <v>2030</v>
      </c>
      <c r="N62" s="34">
        <f t="shared" si="29"/>
        <v>2031</v>
      </c>
      <c r="O62" s="34">
        <f t="shared" si="29"/>
        <v>2032</v>
      </c>
      <c r="P62" s="34">
        <f t="shared" si="29"/>
        <v>2033</v>
      </c>
      <c r="Q62" s="34">
        <f t="shared" si="29"/>
        <v>2034</v>
      </c>
      <c r="R62" s="34">
        <f t="shared" si="29"/>
        <v>2035</v>
      </c>
      <c r="S62" s="34">
        <f t="shared" si="29"/>
        <v>2036</v>
      </c>
      <c r="T62" s="34">
        <f t="shared" si="29"/>
        <v>2037</v>
      </c>
      <c r="U62" s="34">
        <f t="shared" si="29"/>
        <v>2038</v>
      </c>
      <c r="V62" s="34">
        <f t="shared" si="29"/>
        <v>2039</v>
      </c>
      <c r="W62" s="34">
        <f t="shared" si="29"/>
        <v>2040</v>
      </c>
      <c r="X62" s="34">
        <f t="shared" si="29"/>
        <v>2041</v>
      </c>
      <c r="Y62" s="34">
        <f t="shared" si="29"/>
        <v>2042</v>
      </c>
      <c r="Z62" s="34">
        <f t="shared" si="29"/>
        <v>2043</v>
      </c>
      <c r="AA62" s="34">
        <f t="shared" si="29"/>
        <v>2044</v>
      </c>
      <c r="AB62" s="34">
        <f t="shared" si="29"/>
        <v>2045</v>
      </c>
      <c r="AC62" s="34">
        <f t="shared" si="29"/>
        <v>2046</v>
      </c>
      <c r="AD62" s="34">
        <f t="shared" si="29"/>
        <v>2047</v>
      </c>
      <c r="AE62" s="34">
        <f t="shared" si="29"/>
        <v>2048</v>
      </c>
      <c r="AF62" s="34">
        <f t="shared" si="29"/>
        <v>2049</v>
      </c>
      <c r="AG62" s="34">
        <f t="shared" si="29"/>
        <v>2050</v>
      </c>
      <c r="AH62" s="34">
        <f t="shared" si="29"/>
        <v>2051</v>
      </c>
      <c r="AI62" s="34">
        <f t="shared" si="29"/>
        <v>2052</v>
      </c>
      <c r="AJ62" s="34">
        <f t="shared" ref="AJ62:BA62" si="30">AI62+1</f>
        <v>2053</v>
      </c>
      <c r="AK62" s="34">
        <f t="shared" si="30"/>
        <v>2054</v>
      </c>
      <c r="AL62" s="34">
        <f t="shared" si="30"/>
        <v>2055</v>
      </c>
      <c r="AM62" s="34">
        <f t="shared" si="30"/>
        <v>2056</v>
      </c>
      <c r="AN62" s="34">
        <f t="shared" si="30"/>
        <v>2057</v>
      </c>
      <c r="AO62" s="34">
        <f t="shared" si="30"/>
        <v>2058</v>
      </c>
      <c r="AP62" s="34">
        <f t="shared" si="30"/>
        <v>2059</v>
      </c>
      <c r="AQ62" s="34">
        <f t="shared" si="30"/>
        <v>2060</v>
      </c>
      <c r="AR62" s="34">
        <f t="shared" si="30"/>
        <v>2061</v>
      </c>
      <c r="AS62" s="34">
        <f t="shared" si="30"/>
        <v>2062</v>
      </c>
      <c r="AT62" s="34">
        <f t="shared" si="30"/>
        <v>2063</v>
      </c>
      <c r="AU62" s="34">
        <f t="shared" si="30"/>
        <v>2064</v>
      </c>
      <c r="AV62" s="34">
        <f t="shared" si="30"/>
        <v>2065</v>
      </c>
      <c r="AW62" s="34">
        <f t="shared" si="30"/>
        <v>2066</v>
      </c>
      <c r="AX62" s="34">
        <f t="shared" si="30"/>
        <v>2067</v>
      </c>
      <c r="AY62" s="34">
        <f t="shared" si="30"/>
        <v>2068</v>
      </c>
      <c r="AZ62" s="34">
        <f t="shared" si="30"/>
        <v>2069</v>
      </c>
      <c r="BA62" s="34">
        <f t="shared" si="30"/>
        <v>2070</v>
      </c>
    </row>
    <row r="63" spans="1:53" ht="43.5">
      <c r="B63" s="266" t="s">
        <v>3755</v>
      </c>
      <c r="C63" s="909">
        <f>IF(C62&gt;=$C$5,IF(C62&lt;$C$6,$C$59,0),0)</f>
        <v>0</v>
      </c>
      <c r="D63" s="909">
        <f t="shared" ref="D63:BA63" si="31">IF(D62&gt;=$C$5,IF(D62&lt;$C$6,$C$59,0),0)</f>
        <v>0.33333333333333331</v>
      </c>
      <c r="E63" s="909">
        <f t="shared" si="31"/>
        <v>0.33333333333333331</v>
      </c>
      <c r="F63" s="909">
        <f t="shared" si="31"/>
        <v>0.33333333333333331</v>
      </c>
      <c r="G63" s="909">
        <f t="shared" si="31"/>
        <v>0</v>
      </c>
      <c r="H63" s="909">
        <f t="shared" si="31"/>
        <v>0</v>
      </c>
      <c r="I63" s="909">
        <f t="shared" si="31"/>
        <v>0</v>
      </c>
      <c r="J63" s="909">
        <f t="shared" si="31"/>
        <v>0</v>
      </c>
      <c r="K63" s="909">
        <f t="shared" si="31"/>
        <v>0</v>
      </c>
      <c r="L63" s="909">
        <f t="shared" si="31"/>
        <v>0</v>
      </c>
      <c r="M63" s="909">
        <f t="shared" si="31"/>
        <v>0</v>
      </c>
      <c r="N63" s="909">
        <f t="shared" si="31"/>
        <v>0</v>
      </c>
      <c r="O63" s="909">
        <f t="shared" si="31"/>
        <v>0</v>
      </c>
      <c r="P63" s="909">
        <f t="shared" si="31"/>
        <v>0</v>
      </c>
      <c r="Q63" s="909">
        <f t="shared" si="31"/>
        <v>0</v>
      </c>
      <c r="R63" s="909">
        <f t="shared" si="31"/>
        <v>0</v>
      </c>
      <c r="S63" s="909">
        <f t="shared" si="31"/>
        <v>0</v>
      </c>
      <c r="T63" s="909">
        <f t="shared" si="31"/>
        <v>0</v>
      </c>
      <c r="U63" s="909">
        <f t="shared" si="31"/>
        <v>0</v>
      </c>
      <c r="V63" s="909">
        <f t="shared" si="31"/>
        <v>0</v>
      </c>
      <c r="W63" s="909">
        <f t="shared" si="31"/>
        <v>0</v>
      </c>
      <c r="X63" s="909">
        <f t="shared" si="31"/>
        <v>0</v>
      </c>
      <c r="Y63" s="909">
        <f t="shared" si="31"/>
        <v>0</v>
      </c>
      <c r="Z63" s="909">
        <f t="shared" si="31"/>
        <v>0</v>
      </c>
      <c r="AA63" s="909">
        <f t="shared" si="31"/>
        <v>0</v>
      </c>
      <c r="AB63" s="909">
        <f t="shared" si="31"/>
        <v>0</v>
      </c>
      <c r="AC63" s="909">
        <f t="shared" si="31"/>
        <v>0</v>
      </c>
      <c r="AD63" s="909">
        <f t="shared" si="31"/>
        <v>0</v>
      </c>
      <c r="AE63" s="909">
        <f t="shared" si="31"/>
        <v>0</v>
      </c>
      <c r="AF63" s="909">
        <f t="shared" si="31"/>
        <v>0</v>
      </c>
      <c r="AG63" s="909">
        <f t="shared" si="31"/>
        <v>0</v>
      </c>
      <c r="AH63" s="909">
        <f t="shared" si="31"/>
        <v>0</v>
      </c>
      <c r="AI63" s="909">
        <f t="shared" si="31"/>
        <v>0</v>
      </c>
      <c r="AJ63" s="909">
        <f t="shared" si="31"/>
        <v>0</v>
      </c>
      <c r="AK63" s="909">
        <f t="shared" si="31"/>
        <v>0</v>
      </c>
      <c r="AL63" s="909">
        <f t="shared" si="31"/>
        <v>0</v>
      </c>
      <c r="AM63" s="909">
        <f t="shared" si="31"/>
        <v>0</v>
      </c>
      <c r="AN63" s="909">
        <f t="shared" si="31"/>
        <v>0</v>
      </c>
      <c r="AO63" s="909">
        <f t="shared" si="31"/>
        <v>0</v>
      </c>
      <c r="AP63" s="909">
        <f t="shared" si="31"/>
        <v>0</v>
      </c>
      <c r="AQ63" s="909">
        <f t="shared" si="31"/>
        <v>0</v>
      </c>
      <c r="AR63" s="909">
        <f t="shared" si="31"/>
        <v>0</v>
      </c>
      <c r="AS63" s="909">
        <f t="shared" si="31"/>
        <v>0</v>
      </c>
      <c r="AT63" s="909">
        <f t="shared" si="31"/>
        <v>0</v>
      </c>
      <c r="AU63" s="909">
        <f t="shared" si="31"/>
        <v>0</v>
      </c>
      <c r="AV63" s="909">
        <f t="shared" si="31"/>
        <v>0</v>
      </c>
      <c r="AW63" s="909">
        <f t="shared" si="31"/>
        <v>0</v>
      </c>
      <c r="AX63" s="909">
        <f t="shared" si="31"/>
        <v>0</v>
      </c>
      <c r="AY63" s="909">
        <f t="shared" si="31"/>
        <v>0</v>
      </c>
      <c r="AZ63" s="909">
        <f t="shared" si="31"/>
        <v>0</v>
      </c>
      <c r="BA63" s="909">
        <f t="shared" si="31"/>
        <v>0</v>
      </c>
    </row>
    <row r="65" spans="1:53" s="3" customFormat="1">
      <c r="A65" s="595"/>
    </row>
    <row r="66" spans="1:53" s="3" customFormat="1">
      <c r="A66" s="595"/>
    </row>
    <row r="67" spans="1:53" s="3" customFormat="1">
      <c r="A67" s="595"/>
    </row>
    <row r="68" spans="1:53" s="3" customFormat="1">
      <c r="A68" s="595" t="s">
        <v>10</v>
      </c>
      <c r="B68" s="595" t="s">
        <v>3771</v>
      </c>
    </row>
    <row r="69" spans="1:53">
      <c r="B69" s="152" t="s">
        <v>3759</v>
      </c>
      <c r="C69" s="723"/>
    </row>
    <row r="70" spans="1:53">
      <c r="B70" s="152" t="s">
        <v>3760</v>
      </c>
      <c r="C70" s="723"/>
    </row>
    <row r="72" spans="1:53">
      <c r="B72" s="34"/>
      <c r="C72" s="34"/>
    </row>
    <row r="73" spans="1:53">
      <c r="B73" s="266" t="s">
        <v>3756</v>
      </c>
      <c r="C73" s="910">
        <f>'Control Assumptions'!C12</f>
        <v>3</v>
      </c>
    </row>
    <row r="74" spans="1:53" ht="29">
      <c r="B74" s="266" t="s">
        <v>3757</v>
      </c>
      <c r="C74" s="909">
        <f>1/C73</f>
        <v>0.33333333333333331</v>
      </c>
    </row>
    <row r="77" spans="1:53">
      <c r="B77" s="34"/>
      <c r="C77" s="34">
        <f>C355</f>
        <v>2020</v>
      </c>
      <c r="D77" s="34">
        <f t="shared" ref="D77:AI77" si="32">C77+1</f>
        <v>2021</v>
      </c>
      <c r="E77" s="34">
        <f t="shared" si="32"/>
        <v>2022</v>
      </c>
      <c r="F77" s="34">
        <f t="shared" si="32"/>
        <v>2023</v>
      </c>
      <c r="G77" s="34">
        <f t="shared" si="32"/>
        <v>2024</v>
      </c>
      <c r="H77" s="34">
        <f t="shared" si="32"/>
        <v>2025</v>
      </c>
      <c r="I77" s="34">
        <f t="shared" si="32"/>
        <v>2026</v>
      </c>
      <c r="J77" s="34">
        <f t="shared" si="32"/>
        <v>2027</v>
      </c>
      <c r="K77" s="34">
        <f t="shared" si="32"/>
        <v>2028</v>
      </c>
      <c r="L77" s="34">
        <f t="shared" si="32"/>
        <v>2029</v>
      </c>
      <c r="M77" s="34">
        <f t="shared" si="32"/>
        <v>2030</v>
      </c>
      <c r="N77" s="34">
        <f t="shared" si="32"/>
        <v>2031</v>
      </c>
      <c r="O77" s="34">
        <f t="shared" si="32"/>
        <v>2032</v>
      </c>
      <c r="P77" s="34">
        <f t="shared" si="32"/>
        <v>2033</v>
      </c>
      <c r="Q77" s="34">
        <f t="shared" si="32"/>
        <v>2034</v>
      </c>
      <c r="R77" s="34">
        <f t="shared" si="32"/>
        <v>2035</v>
      </c>
      <c r="S77" s="34">
        <f t="shared" si="32"/>
        <v>2036</v>
      </c>
      <c r="T77" s="34">
        <f t="shared" si="32"/>
        <v>2037</v>
      </c>
      <c r="U77" s="34">
        <f t="shared" si="32"/>
        <v>2038</v>
      </c>
      <c r="V77" s="34">
        <f t="shared" si="32"/>
        <v>2039</v>
      </c>
      <c r="W77" s="34">
        <f t="shared" si="32"/>
        <v>2040</v>
      </c>
      <c r="X77" s="34">
        <f t="shared" si="32"/>
        <v>2041</v>
      </c>
      <c r="Y77" s="34">
        <f t="shared" si="32"/>
        <v>2042</v>
      </c>
      <c r="Z77" s="34">
        <f t="shared" si="32"/>
        <v>2043</v>
      </c>
      <c r="AA77" s="34">
        <f t="shared" si="32"/>
        <v>2044</v>
      </c>
      <c r="AB77" s="34">
        <f t="shared" si="32"/>
        <v>2045</v>
      </c>
      <c r="AC77" s="34">
        <f t="shared" si="32"/>
        <v>2046</v>
      </c>
      <c r="AD77" s="34">
        <f t="shared" si="32"/>
        <v>2047</v>
      </c>
      <c r="AE77" s="34">
        <f t="shared" si="32"/>
        <v>2048</v>
      </c>
      <c r="AF77" s="34">
        <f t="shared" si="32"/>
        <v>2049</v>
      </c>
      <c r="AG77" s="34">
        <f t="shared" si="32"/>
        <v>2050</v>
      </c>
      <c r="AH77" s="34">
        <f t="shared" si="32"/>
        <v>2051</v>
      </c>
      <c r="AI77" s="34">
        <f t="shared" si="32"/>
        <v>2052</v>
      </c>
      <c r="AJ77" s="34">
        <f t="shared" ref="AJ77:BA77" si="33">AI77+1</f>
        <v>2053</v>
      </c>
      <c r="AK77" s="34">
        <f t="shared" si="33"/>
        <v>2054</v>
      </c>
      <c r="AL77" s="34">
        <f t="shared" si="33"/>
        <v>2055</v>
      </c>
      <c r="AM77" s="34">
        <f t="shared" si="33"/>
        <v>2056</v>
      </c>
      <c r="AN77" s="34">
        <f t="shared" si="33"/>
        <v>2057</v>
      </c>
      <c r="AO77" s="34">
        <f t="shared" si="33"/>
        <v>2058</v>
      </c>
      <c r="AP77" s="34">
        <f t="shared" si="33"/>
        <v>2059</v>
      </c>
      <c r="AQ77" s="34">
        <f t="shared" si="33"/>
        <v>2060</v>
      </c>
      <c r="AR77" s="34">
        <f t="shared" si="33"/>
        <v>2061</v>
      </c>
      <c r="AS77" s="34">
        <f t="shared" si="33"/>
        <v>2062</v>
      </c>
      <c r="AT77" s="34">
        <f t="shared" si="33"/>
        <v>2063</v>
      </c>
      <c r="AU77" s="34">
        <f t="shared" si="33"/>
        <v>2064</v>
      </c>
      <c r="AV77" s="34">
        <f t="shared" si="33"/>
        <v>2065</v>
      </c>
      <c r="AW77" s="34">
        <f t="shared" si="33"/>
        <v>2066</v>
      </c>
      <c r="AX77" s="34">
        <f t="shared" si="33"/>
        <v>2067</v>
      </c>
      <c r="AY77" s="34">
        <f t="shared" si="33"/>
        <v>2068</v>
      </c>
      <c r="AZ77" s="34">
        <f t="shared" si="33"/>
        <v>2069</v>
      </c>
      <c r="BA77" s="34">
        <f t="shared" si="33"/>
        <v>2070</v>
      </c>
    </row>
    <row r="78" spans="1:53" ht="43.5">
      <c r="B78" s="266" t="s">
        <v>3755</v>
      </c>
      <c r="C78" s="909">
        <f xml:space="preserve">   IF(      C77&gt;=$C$5,      IF(C77&lt;$C$6, C74,1),0)</f>
        <v>0</v>
      </c>
      <c r="D78" s="909">
        <f xml:space="preserve">   IF(      D77&gt;=$C$5,      IF(D77&lt;$C$6-1, $C$74+C78,1),0)</f>
        <v>0.33333333333333331</v>
      </c>
      <c r="E78" s="909">
        <f t="shared" ref="E78:BA78" si="34" xml:space="preserve">   IF(      E77&gt;=$C$5,      IF(E77&lt;$C$6-1, $C$74+D78,1),0)</f>
        <v>0.66666666666666663</v>
      </c>
      <c r="F78" s="909">
        <f t="shared" si="34"/>
        <v>1</v>
      </c>
      <c r="G78" s="909">
        <f t="shared" si="34"/>
        <v>1</v>
      </c>
      <c r="H78" s="909">
        <f t="shared" si="34"/>
        <v>1</v>
      </c>
      <c r="I78" s="909">
        <f t="shared" si="34"/>
        <v>1</v>
      </c>
      <c r="J78" s="909">
        <f t="shared" si="34"/>
        <v>1</v>
      </c>
      <c r="K78" s="909">
        <f t="shared" si="34"/>
        <v>1</v>
      </c>
      <c r="L78" s="909">
        <f t="shared" si="34"/>
        <v>1</v>
      </c>
      <c r="M78" s="909">
        <f t="shared" si="34"/>
        <v>1</v>
      </c>
      <c r="N78" s="909">
        <f t="shared" si="34"/>
        <v>1</v>
      </c>
      <c r="O78" s="909">
        <f t="shared" si="34"/>
        <v>1</v>
      </c>
      <c r="P78" s="909">
        <f t="shared" si="34"/>
        <v>1</v>
      </c>
      <c r="Q78" s="909">
        <f t="shared" si="34"/>
        <v>1</v>
      </c>
      <c r="R78" s="909">
        <f t="shared" si="34"/>
        <v>1</v>
      </c>
      <c r="S78" s="909">
        <f t="shared" si="34"/>
        <v>1</v>
      </c>
      <c r="T78" s="909">
        <f t="shared" si="34"/>
        <v>1</v>
      </c>
      <c r="U78" s="909">
        <f t="shared" si="34"/>
        <v>1</v>
      </c>
      <c r="V78" s="909">
        <f t="shared" si="34"/>
        <v>1</v>
      </c>
      <c r="W78" s="909">
        <f t="shared" si="34"/>
        <v>1</v>
      </c>
      <c r="X78" s="909">
        <f t="shared" si="34"/>
        <v>1</v>
      </c>
      <c r="Y78" s="909">
        <f t="shared" si="34"/>
        <v>1</v>
      </c>
      <c r="Z78" s="909">
        <f t="shared" si="34"/>
        <v>1</v>
      </c>
      <c r="AA78" s="909">
        <f t="shared" si="34"/>
        <v>1</v>
      </c>
      <c r="AB78" s="909">
        <f t="shared" si="34"/>
        <v>1</v>
      </c>
      <c r="AC78" s="909">
        <f t="shared" si="34"/>
        <v>1</v>
      </c>
      <c r="AD78" s="909">
        <f t="shared" si="34"/>
        <v>1</v>
      </c>
      <c r="AE78" s="909">
        <f t="shared" si="34"/>
        <v>1</v>
      </c>
      <c r="AF78" s="909">
        <f t="shared" si="34"/>
        <v>1</v>
      </c>
      <c r="AG78" s="909">
        <f t="shared" si="34"/>
        <v>1</v>
      </c>
      <c r="AH78" s="909">
        <f t="shared" si="34"/>
        <v>1</v>
      </c>
      <c r="AI78" s="909">
        <f t="shared" si="34"/>
        <v>1</v>
      </c>
      <c r="AJ78" s="909">
        <f t="shared" si="34"/>
        <v>1</v>
      </c>
      <c r="AK78" s="909">
        <f t="shared" si="34"/>
        <v>1</v>
      </c>
      <c r="AL78" s="909">
        <f t="shared" si="34"/>
        <v>1</v>
      </c>
      <c r="AM78" s="909">
        <f t="shared" si="34"/>
        <v>1</v>
      </c>
      <c r="AN78" s="909">
        <f t="shared" si="34"/>
        <v>1</v>
      </c>
      <c r="AO78" s="909">
        <f t="shared" si="34"/>
        <v>1</v>
      </c>
      <c r="AP78" s="909">
        <f t="shared" si="34"/>
        <v>1</v>
      </c>
      <c r="AQ78" s="909">
        <f t="shared" si="34"/>
        <v>1</v>
      </c>
      <c r="AR78" s="909">
        <f t="shared" si="34"/>
        <v>1</v>
      </c>
      <c r="AS78" s="909">
        <f t="shared" si="34"/>
        <v>1</v>
      </c>
      <c r="AT78" s="909">
        <f t="shared" si="34"/>
        <v>1</v>
      </c>
      <c r="AU78" s="909">
        <f t="shared" si="34"/>
        <v>1</v>
      </c>
      <c r="AV78" s="909">
        <f t="shared" si="34"/>
        <v>1</v>
      </c>
      <c r="AW78" s="909">
        <f t="shared" si="34"/>
        <v>1</v>
      </c>
      <c r="AX78" s="909">
        <f t="shared" si="34"/>
        <v>1</v>
      </c>
      <c r="AY78" s="909">
        <f t="shared" si="34"/>
        <v>1</v>
      </c>
      <c r="AZ78" s="909">
        <f t="shared" si="34"/>
        <v>1</v>
      </c>
      <c r="BA78" s="909">
        <f t="shared" si="34"/>
        <v>1</v>
      </c>
    </row>
    <row r="80" spans="1:53">
      <c r="B80" s="551"/>
      <c r="C80" s="552"/>
    </row>
    <row r="81" spans="1:55" s="588" customFormat="1">
      <c r="A81" s="593" t="s">
        <v>3382</v>
      </c>
    </row>
    <row r="82" spans="1:55">
      <c r="A82" s="152" t="s">
        <v>3416</v>
      </c>
    </row>
    <row r="83" spans="1:55">
      <c r="A83" s="152" t="s">
        <v>3417</v>
      </c>
    </row>
    <row r="84" spans="1:55">
      <c r="A84" s="152" t="s">
        <v>3773</v>
      </c>
      <c r="B84" s="152"/>
    </row>
    <row r="85" spans="1:55">
      <c r="A85" s="152"/>
      <c r="B85" s="152"/>
    </row>
    <row r="86" spans="1:55">
      <c r="A86" s="9" t="s">
        <v>10</v>
      </c>
      <c r="B86" s="9" t="s">
        <v>3383</v>
      </c>
    </row>
    <row r="87" spans="1:55">
      <c r="A87" s="9"/>
    </row>
    <row r="88" spans="1:55" ht="29">
      <c r="B88" s="550" t="s">
        <v>3131</v>
      </c>
      <c r="C88" s="234">
        <f>'Control Assumptions'!C100</f>
        <v>0.35</v>
      </c>
    </row>
    <row r="89" spans="1:55">
      <c r="A89" s="9"/>
    </row>
    <row r="90" spans="1:55">
      <c r="A90" s="9"/>
    </row>
    <row r="91" spans="1:55">
      <c r="A91" s="9"/>
      <c r="B91" s="34" t="s">
        <v>3217</v>
      </c>
      <c r="C91" s="34">
        <f>'Prevalence projection INT'!C24</f>
        <v>2020</v>
      </c>
      <c r="D91" s="34">
        <f>'Prevalence projection INT'!D24</f>
        <v>2021</v>
      </c>
      <c r="E91" s="34">
        <f>'Prevalence projection INT'!E24</f>
        <v>2022</v>
      </c>
      <c r="F91" s="34">
        <f>'Prevalence projection INT'!F24</f>
        <v>2023</v>
      </c>
      <c r="G91" s="34">
        <f>'Prevalence projection INT'!G24</f>
        <v>2024</v>
      </c>
      <c r="H91" s="34">
        <f>'Prevalence projection INT'!H24</f>
        <v>2025</v>
      </c>
      <c r="I91" s="34">
        <f>'Prevalence projection INT'!I24</f>
        <v>2026</v>
      </c>
      <c r="J91" s="34">
        <f>'Prevalence projection INT'!J24</f>
        <v>2027</v>
      </c>
      <c r="K91" s="34">
        <f>'Prevalence projection INT'!K24</f>
        <v>2028</v>
      </c>
      <c r="L91" s="34">
        <f>'Prevalence projection INT'!L24</f>
        <v>2029</v>
      </c>
      <c r="M91" s="34">
        <f>'Prevalence projection INT'!M24</f>
        <v>2030</v>
      </c>
      <c r="N91" s="34">
        <f>'Prevalence projection INT'!N24</f>
        <v>2031</v>
      </c>
      <c r="O91" s="34">
        <f>'Prevalence projection INT'!O24</f>
        <v>2032</v>
      </c>
      <c r="P91" s="34">
        <f>'Prevalence projection INT'!P24</f>
        <v>2033</v>
      </c>
      <c r="Q91" s="34">
        <f>'Prevalence projection INT'!Q24</f>
        <v>2034</v>
      </c>
      <c r="R91" s="34">
        <f>'Prevalence projection INT'!R24</f>
        <v>2035</v>
      </c>
      <c r="S91" s="34">
        <f>'Prevalence projection INT'!S24</f>
        <v>2036</v>
      </c>
      <c r="T91" s="34">
        <f>'Prevalence projection INT'!T24</f>
        <v>2037</v>
      </c>
      <c r="U91" s="34">
        <f>'Prevalence projection INT'!U24</f>
        <v>2038</v>
      </c>
      <c r="V91" s="34">
        <f>'Prevalence projection INT'!V24</f>
        <v>2039</v>
      </c>
      <c r="W91" s="34">
        <f>'Prevalence projection INT'!W24</f>
        <v>2040</v>
      </c>
      <c r="X91" s="34">
        <f>'Prevalence projection INT'!X24</f>
        <v>2041</v>
      </c>
      <c r="Y91" s="34">
        <f>'Prevalence projection INT'!Y24</f>
        <v>2042</v>
      </c>
      <c r="Z91" s="34">
        <f>'Prevalence projection INT'!Z24</f>
        <v>2043</v>
      </c>
      <c r="AA91" s="34">
        <f>'Prevalence projection INT'!AA24</f>
        <v>2044</v>
      </c>
      <c r="AB91" s="34">
        <f>'Prevalence projection INT'!AB24</f>
        <v>2045</v>
      </c>
      <c r="AC91" s="34">
        <f>'Prevalence projection INT'!AC24</f>
        <v>2046</v>
      </c>
      <c r="AD91" s="34">
        <f>'Prevalence projection INT'!AD24</f>
        <v>2047</v>
      </c>
      <c r="AE91" s="34">
        <f>'Prevalence projection INT'!AE24</f>
        <v>2048</v>
      </c>
      <c r="AF91" s="34">
        <f>'Prevalence projection INT'!AF24</f>
        <v>2049</v>
      </c>
      <c r="AG91" s="34">
        <f>'Prevalence projection INT'!AG24</f>
        <v>2050</v>
      </c>
      <c r="AH91" s="34">
        <f>'Prevalence projection INT'!AH24</f>
        <v>2051</v>
      </c>
      <c r="AI91" s="34">
        <f>'Prevalence projection INT'!AI24</f>
        <v>2052</v>
      </c>
      <c r="AJ91" s="34">
        <f>'Prevalence projection INT'!AJ24</f>
        <v>2053</v>
      </c>
      <c r="AK91" s="34">
        <f>'Prevalence projection INT'!AK24</f>
        <v>2054</v>
      </c>
      <c r="AL91" s="34">
        <f>'Prevalence projection INT'!AL24</f>
        <v>2055</v>
      </c>
      <c r="AM91" s="34">
        <f>'Prevalence projection INT'!AM24</f>
        <v>2056</v>
      </c>
      <c r="AN91" s="34">
        <f>'Prevalence projection INT'!AN24</f>
        <v>2057</v>
      </c>
      <c r="AO91" s="34">
        <f>'Prevalence projection INT'!AO24</f>
        <v>2058</v>
      </c>
      <c r="AP91" s="34">
        <f>'Prevalence projection INT'!AP24</f>
        <v>2059</v>
      </c>
      <c r="AQ91" s="34">
        <f>'Prevalence projection INT'!AQ24</f>
        <v>2060</v>
      </c>
      <c r="AR91" s="34">
        <f>'Prevalence projection INT'!AR24</f>
        <v>2061</v>
      </c>
      <c r="AS91" s="34">
        <f>'Prevalence projection INT'!AS24</f>
        <v>2062</v>
      </c>
      <c r="AT91" s="34">
        <f>'Prevalence projection INT'!AT24</f>
        <v>2063</v>
      </c>
      <c r="AU91" s="34">
        <f>'Prevalence projection INT'!AU24</f>
        <v>2064</v>
      </c>
      <c r="AV91" s="34">
        <f>'Prevalence projection INT'!AV24</f>
        <v>2065</v>
      </c>
      <c r="AW91" s="34">
        <f>'Prevalence projection INT'!AW24</f>
        <v>2066</v>
      </c>
      <c r="AX91" s="34">
        <f>'Prevalence projection INT'!AX24</f>
        <v>2067</v>
      </c>
      <c r="AY91" s="34">
        <f>'Prevalence projection INT'!AY24</f>
        <v>2068</v>
      </c>
      <c r="AZ91" s="34">
        <f>'Prevalence projection INT'!AZ24</f>
        <v>2069</v>
      </c>
      <c r="BA91" s="34">
        <f>'Prevalence projection INT'!BA24</f>
        <v>2070</v>
      </c>
    </row>
    <row r="92" spans="1:55">
      <c r="A92" s="9"/>
      <c r="B92" s="431" t="s">
        <v>25</v>
      </c>
      <c r="C92" s="467">
        <f>'Prevalence projection INT'!C26</f>
        <v>283.5</v>
      </c>
      <c r="D92" s="467">
        <f>'Prevalence projection INT'!D26</f>
        <v>293.19015912843923</v>
      </c>
      <c r="E92" s="467">
        <f>'Prevalence projection INT'!E26</f>
        <v>301.48374143342193</v>
      </c>
      <c r="F92" s="467">
        <f>'Prevalence projection INT'!F26</f>
        <v>308.83682243526221</v>
      </c>
      <c r="G92" s="467">
        <f>'Prevalence projection INT'!G26</f>
        <v>315.66336153104555</v>
      </c>
      <c r="H92" s="467">
        <f>'Prevalence projection INT'!H26</f>
        <v>280.33856384346745</v>
      </c>
      <c r="I92" s="467">
        <f>'Prevalence projection INT'!I26</f>
        <v>259.63630449965746</v>
      </c>
      <c r="J92" s="467">
        <f>'Prevalence projection INT'!J26</f>
        <v>248.14148252763499</v>
      </c>
      <c r="K92" s="467">
        <f>'Prevalence projection INT'!K26</f>
        <v>242.85939581547882</v>
      </c>
      <c r="L92" s="467">
        <f>'Prevalence projection INT'!L26</f>
        <v>241.2153991664303</v>
      </c>
      <c r="M92" s="467">
        <f>'Prevalence projection INT'!M26</f>
        <v>241.71855154653568</v>
      </c>
      <c r="N92" s="467">
        <f>'Prevalence projection INT'!N26</f>
        <v>243.66081825644366</v>
      </c>
      <c r="O92" s="467">
        <f>'Prevalence projection INT'!O26</f>
        <v>246.25395226781214</v>
      </c>
      <c r="P92" s="467">
        <f>'Prevalence projection INT'!P26</f>
        <v>249.17780539158161</v>
      </c>
      <c r="Q92" s="467">
        <f>'Prevalence projection INT'!Q26</f>
        <v>252.31434755734173</v>
      </c>
      <c r="R92" s="467">
        <f>'Prevalence projection INT'!R26</f>
        <v>255.56074741837355</v>
      </c>
      <c r="S92" s="467">
        <f>'Prevalence projection INT'!S26</f>
        <v>258.83478091381068</v>
      </c>
      <c r="T92" s="467">
        <f>'Prevalence projection INT'!T26</f>
        <v>262.14679438231275</v>
      </c>
      <c r="U92" s="467">
        <f>'Prevalence projection INT'!U26</f>
        <v>265.61958437207431</v>
      </c>
      <c r="V92" s="467">
        <f>'Prevalence projection INT'!V26</f>
        <v>269.04620892921093</v>
      </c>
      <c r="W92" s="467">
        <f>'Prevalence projection INT'!W26</f>
        <v>272.39089844636584</v>
      </c>
      <c r="X92" s="467">
        <f>'Prevalence projection INT'!X26</f>
        <v>275.73080174212112</v>
      </c>
      <c r="Y92" s="467">
        <f>'Prevalence projection INT'!Y26</f>
        <v>279.02256167212551</v>
      </c>
      <c r="Z92" s="467">
        <f>'Prevalence projection INT'!Z26</f>
        <v>282.23751089696094</v>
      </c>
      <c r="AA92" s="467">
        <f>'Prevalence projection INT'!AA26</f>
        <v>285.3583802282584</v>
      </c>
      <c r="AB92" s="467">
        <f>'Prevalence projection INT'!AB26</f>
        <v>288.40870310516499</v>
      </c>
      <c r="AC92" s="467">
        <f>'Prevalence projection INT'!AC26</f>
        <v>291.3522635596687</v>
      </c>
      <c r="AD92" s="467">
        <f>'Prevalence projection INT'!AD26</f>
        <v>294.15882468483863</v>
      </c>
      <c r="AE92" s="467">
        <f>'Prevalence projection INT'!AE26</f>
        <v>296.80959997325209</v>
      </c>
      <c r="AF92" s="467">
        <f>'Prevalence projection INT'!AF26</f>
        <v>299.31443210254628</v>
      </c>
      <c r="AG92" s="467">
        <f>'Prevalence projection INT'!AG26</f>
        <v>301.73564106612992</v>
      </c>
      <c r="AH92" s="467">
        <f>'Prevalence projection INT'!AH26</f>
        <v>304.08051005093057</v>
      </c>
      <c r="AI92" s="467">
        <f>'Prevalence projection INT'!AI26</f>
        <v>306.38535542126493</v>
      </c>
      <c r="AJ92" s="467">
        <f>'Prevalence projection INT'!AJ26</f>
        <v>308.61577956841728</v>
      </c>
      <c r="AK92" s="467">
        <f>'Prevalence projection INT'!AK26</f>
        <v>310.71278508482129</v>
      </c>
      <c r="AL92" s="467">
        <f>'Prevalence projection INT'!AL26</f>
        <v>312.64669120122744</v>
      </c>
      <c r="AM92" s="467">
        <f>'Prevalence projection INT'!AM26</f>
        <v>314.39476692357863</v>
      </c>
      <c r="AN92" s="467">
        <f>'Prevalence projection INT'!AN26</f>
        <v>315.94436957924216</v>
      </c>
      <c r="AO92" s="467">
        <f>'Prevalence projection INT'!AO26</f>
        <v>317.28599657027979</v>
      </c>
      <c r="AP92" s="467">
        <f>'Prevalence projection INT'!AP26</f>
        <v>318.52261413525241</v>
      </c>
      <c r="AQ92" s="467">
        <f>'Prevalence projection INT'!AQ26</f>
        <v>319.7437107876795</v>
      </c>
      <c r="AR92" s="467">
        <f>'Prevalence projection INT'!AR26</f>
        <v>321.01013321626891</v>
      </c>
      <c r="AS92" s="467">
        <f>'Prevalence projection INT'!AS26</f>
        <v>321.9414313650617</v>
      </c>
      <c r="AT92" s="467">
        <f>'Prevalence projection INT'!AT26</f>
        <v>322.65934585772288</v>
      </c>
      <c r="AU92" s="467">
        <f>'Prevalence projection INT'!AU26</f>
        <v>323.24155767201529</v>
      </c>
      <c r="AV92" s="467">
        <f>'Prevalence projection INT'!AV26</f>
        <v>323.48740182815959</v>
      </c>
      <c r="AW92" s="467">
        <f>'Prevalence projection INT'!AW26</f>
        <v>323.55379416343874</v>
      </c>
      <c r="AX92" s="467">
        <f>'Prevalence projection INT'!AX26</f>
        <v>323.53041979742477</v>
      </c>
      <c r="AY92" s="467">
        <f>'Prevalence projection INT'!AY26</f>
        <v>323.4674070314328</v>
      </c>
      <c r="AZ92" s="467">
        <f>'Prevalence projection INT'!AZ26</f>
        <v>323.39181592901178</v>
      </c>
      <c r="BA92" s="467">
        <f>'Prevalence projection INT'!BA26</f>
        <v>323.31743950666225</v>
      </c>
    </row>
    <row r="93" spans="1:55">
      <c r="A93" s="9"/>
      <c r="B93" s="431" t="s">
        <v>184</v>
      </c>
      <c r="C93" s="467">
        <f>'Prevalence projection INT'!C58</f>
        <v>82.5</v>
      </c>
      <c r="D93" s="467">
        <f>'Prevalence projection INT'!D58</f>
        <v>85.671252397034777</v>
      </c>
      <c r="E93" s="467">
        <f>'Prevalence projection INT'!E58</f>
        <v>88.409985944913515</v>
      </c>
      <c r="F93" s="467">
        <f>'Prevalence projection INT'!F58</f>
        <v>90.841470209093458</v>
      </c>
      <c r="G93" s="467">
        <f>'Prevalence projection INT'!G58</f>
        <v>93.082241400315425</v>
      </c>
      <c r="H93" s="467">
        <f>'Prevalence projection INT'!H58</f>
        <v>85.286901679364021</v>
      </c>
      <c r="I93" s="467">
        <f>'Prevalence projection INT'!I58</f>
        <v>80.371125267470873</v>
      </c>
      <c r="J93" s="467">
        <f>'Prevalence projection INT'!J58</f>
        <v>77.423024352014167</v>
      </c>
      <c r="K93" s="467">
        <f>'Prevalence projection INT'!K58</f>
        <v>75.937588943370585</v>
      </c>
      <c r="L93" s="467">
        <f>'Prevalence projection INT'!L58</f>
        <v>75.373960841853631</v>
      </c>
      <c r="M93" s="467">
        <f>'Prevalence projection INT'!M58</f>
        <v>75.399002957624646</v>
      </c>
      <c r="N93" s="467">
        <f>'Prevalence projection INT'!N58</f>
        <v>75.843476439524451</v>
      </c>
      <c r="O93" s="467">
        <f>'Prevalence projection INT'!O58</f>
        <v>76.512346222148111</v>
      </c>
      <c r="P93" s="467">
        <f>'Prevalence projection INT'!P58</f>
        <v>77.316706904841794</v>
      </c>
      <c r="Q93" s="467">
        <f>'Prevalence projection INT'!Q58</f>
        <v>78.215904967552774</v>
      </c>
      <c r="R93" s="467">
        <f>'Prevalence projection INT'!R58</f>
        <v>79.172732163785923</v>
      </c>
      <c r="S93" s="467">
        <f>'Prevalence projection INT'!S58</f>
        <v>80.155030344903821</v>
      </c>
      <c r="T93" s="467">
        <f>'Prevalence projection INT'!T58</f>
        <v>81.159129851206629</v>
      </c>
      <c r="U93" s="467">
        <f>'Prevalence projection INT'!U58</f>
        <v>82.21650286249897</v>
      </c>
      <c r="V93" s="467">
        <f>'Prevalence projection INT'!V58</f>
        <v>83.269470376127629</v>
      </c>
      <c r="W93" s="467">
        <f>'Prevalence projection INT'!W58</f>
        <v>84.304559744743102</v>
      </c>
      <c r="X93" s="467">
        <f>'Prevalence projection INT'!X58</f>
        <v>85.338263741522951</v>
      </c>
      <c r="Y93" s="467">
        <f>'Prevalence projection INT'!Y58</f>
        <v>86.361751387228182</v>
      </c>
      <c r="Z93" s="467">
        <f>'Prevalence projection INT'!Z58</f>
        <v>87.365790951214706</v>
      </c>
      <c r="AA93" s="467">
        <f>'Prevalence projection INT'!AA58</f>
        <v>88.343803133612155</v>
      </c>
      <c r="AB93" s="467">
        <f>'Prevalence projection INT'!AB58</f>
        <v>89.300002386112538</v>
      </c>
      <c r="AC93" s="467">
        <f>'Prevalence projection INT'!AC58</f>
        <v>90.224792989119592</v>
      </c>
      <c r="AD93" s="467">
        <f>'Prevalence projection INT'!AD58</f>
        <v>91.109782246881963</v>
      </c>
      <c r="AE93" s="467">
        <f>'Prevalence projection INT'!AE58</f>
        <v>91.949173834027292</v>
      </c>
      <c r="AF93" s="467">
        <f>'Prevalence projection INT'!AF58</f>
        <v>92.745041204404558</v>
      </c>
      <c r="AG93" s="467">
        <f>'Prevalence projection INT'!AG58</f>
        <v>93.514153714375951</v>
      </c>
      <c r="AH93" s="467">
        <f>'Prevalence projection INT'!AH58</f>
        <v>94.258561793882748</v>
      </c>
      <c r="AI93" s="467">
        <f>'Prevalence projection INT'!AI58</f>
        <v>94.988077339954486</v>
      </c>
      <c r="AJ93" s="467">
        <f>'Prevalence projection INT'!AJ58</f>
        <v>95.692672677062632</v>
      </c>
      <c r="AK93" s="467">
        <f>'Prevalence projection INT'!AK58</f>
        <v>96.356771487241119</v>
      </c>
      <c r="AL93" s="467">
        <f>'Prevalence projection INT'!AL58</f>
        <v>96.971911538641692</v>
      </c>
      <c r="AM93" s="467">
        <f>'Prevalence projection INT'!AM58</f>
        <v>97.532841782974856</v>
      </c>
      <c r="AN93" s="467">
        <f>'Prevalence projection INT'!AN58</f>
        <v>98.035625443233315</v>
      </c>
      <c r="AO93" s="467">
        <f>'Prevalence projection INT'!AO58</f>
        <v>98.476638181047576</v>
      </c>
      <c r="AP93" s="467">
        <f>'Prevalence projection INT'!AP58</f>
        <v>98.882835064317575</v>
      </c>
      <c r="AQ93" s="467">
        <f>'Prevalence projection INT'!AQ58</f>
        <v>99.279335290004056</v>
      </c>
      <c r="AR93" s="467">
        <f>'Prevalence projection INT'!AR58</f>
        <v>99.684238584048231</v>
      </c>
      <c r="AS93" s="467">
        <f>'Prevalence projection INT'!AS58</f>
        <v>99.991730503436131</v>
      </c>
      <c r="AT93" s="467">
        <f>'Prevalence projection INT'!AT58</f>
        <v>100.233547061282</v>
      </c>
      <c r="AU93" s="467">
        <f>'Prevalence projection INT'!AU58</f>
        <v>100.43127619645681</v>
      </c>
      <c r="AV93" s="467">
        <f>'Prevalence projection INT'!AV58</f>
        <v>100.53717739470187</v>
      </c>
      <c r="AW93" s="467">
        <f>'Prevalence projection INT'!AW58</f>
        <v>100.58747474692449</v>
      </c>
      <c r="AX93" s="467">
        <f>'Prevalence projection INT'!AX58</f>
        <v>100.60507142994564</v>
      </c>
      <c r="AY93" s="467">
        <f>'Prevalence projection INT'!AY58</f>
        <v>100.60428805229401</v>
      </c>
      <c r="AZ93" s="467">
        <f>'Prevalence projection INT'!AZ58</f>
        <v>100.59393788143001</v>
      </c>
      <c r="BA93" s="467">
        <f>'Prevalence projection INT'!BA58</f>
        <v>100.57932286004143</v>
      </c>
    </row>
    <row r="94" spans="1:55">
      <c r="A94" s="9"/>
      <c r="B94" s="431" t="s">
        <v>185</v>
      </c>
      <c r="C94" s="467">
        <f>'Prevalence projection INT'!C92</f>
        <v>34.5</v>
      </c>
      <c r="D94" s="467">
        <f>'Prevalence projection INT'!D92</f>
        <v>38.454128917855734</v>
      </c>
      <c r="E94" s="467">
        <f>'Prevalence projection INT'!E92</f>
        <v>42.457630958756774</v>
      </c>
      <c r="F94" s="467">
        <f>'Prevalence projection INT'!F92</f>
        <v>46.516040358715721</v>
      </c>
      <c r="G94" s="467">
        <f>'Prevalence projection INT'!G92</f>
        <v>50.574449758674668</v>
      </c>
      <c r="H94" s="467">
        <f>'Prevalence projection INT'!H92</f>
        <v>54.683534377078708</v>
      </c>
      <c r="I94" s="467">
        <f>'Prevalence projection INT'!I92</f>
        <v>58.848974401883702</v>
      </c>
      <c r="J94" s="467">
        <f>'Prevalence projection INT'!J92</f>
        <v>63.080038440011002</v>
      </c>
      <c r="K94" s="467">
        <f>'Prevalence projection INT'!K92</f>
        <v>67.381744254903779</v>
      </c>
      <c r="L94" s="467">
        <f>'Prevalence projection INT'!L92</f>
        <v>71.750717145199403</v>
      </c>
      <c r="M94" s="467">
        <f>'Prevalence projection INT'!M92</f>
        <v>76.18878189188041</v>
      </c>
      <c r="N94" s="467">
        <f>'Prevalence projection INT'!N92</f>
        <v>80.72626082819346</v>
      </c>
      <c r="O94" s="467">
        <f>'Prevalence projection INT'!O92</f>
        <v>85.347542519177281</v>
      </c>
      <c r="P94" s="467">
        <f>'Prevalence projection INT'!P92</f>
        <v>90.043016274548236</v>
      </c>
      <c r="Q94" s="467">
        <f>'Prevalence projection INT'!Q92</f>
        <v>94.806531361532308</v>
      </c>
      <c r="R94" s="467">
        <f>'Prevalence projection INT'!R92</f>
        <v>99.632738875445966</v>
      </c>
      <c r="S94" s="467">
        <f>'Prevalence projection INT'!S92</f>
        <v>104.52396023504808</v>
      </c>
      <c r="T94" s="467">
        <f>'Prevalence projection INT'!T92</f>
        <v>109.48470876853897</v>
      </c>
      <c r="U94" s="467">
        <f>'Prevalence projection INT'!U92</f>
        <v>114.51526686613272</v>
      </c>
      <c r="V94" s="467">
        <f>'Prevalence projection INT'!V92</f>
        <v>119.60994680013225</v>
      </c>
      <c r="W94" s="467">
        <f>'Prevalence projection INT'!W92</f>
        <v>124.76797699082415</v>
      </c>
      <c r="X94" s="467">
        <f>'Prevalence projection INT'!X92</f>
        <v>130.00043191024901</v>
      </c>
      <c r="Y94" s="467">
        <f>'Prevalence projection INT'!Y92</f>
        <v>135.29826085686554</v>
      </c>
      <c r="Z94" s="467">
        <f>'Prevalence projection INT'!Z92</f>
        <v>140.65753730204207</v>
      </c>
      <c r="AA94" s="467">
        <f>'Prevalence projection INT'!AA92</f>
        <v>146.07616701849767</v>
      </c>
      <c r="AB94" s="467">
        <f>'Prevalence projection INT'!AB92</f>
        <v>151.55743569892817</v>
      </c>
      <c r="AC94" s="467">
        <f>'Prevalence projection INT'!AC92</f>
        <v>157.09961134131828</v>
      </c>
      <c r="AD94" s="467">
        <f>'Prevalence projection INT'!AD92</f>
        <v>162.69977082648839</v>
      </c>
      <c r="AE94" s="467">
        <f>'Prevalence projection INT'!AE92</f>
        <v>168.35499186999945</v>
      </c>
      <c r="AF94" s="467">
        <f>'Prevalence projection INT'!AF92</f>
        <v>174.06199560617938</v>
      </c>
      <c r="AG94" s="467">
        <f>'Prevalence projection INT'!AG92</f>
        <v>179.81756641650577</v>
      </c>
      <c r="AH94" s="467">
        <f>'Prevalence projection INT'!AH92</f>
        <v>185.61833582351593</v>
      </c>
      <c r="AI94" s="467">
        <f>'Prevalence projection INT'!AI92</f>
        <v>191.46268560865505</v>
      </c>
      <c r="AJ94" s="467">
        <f>'Prevalence projection INT'!AJ92</f>
        <v>197.35294631828901</v>
      </c>
      <c r="AK94" s="467">
        <f>'Prevalence projection INT'!AK92</f>
        <v>203.28834429554823</v>
      </c>
      <c r="AL94" s="467">
        <f>'Prevalence projection INT'!AL92</f>
        <v>209.26944543217613</v>
      </c>
      <c r="AM94" s="467">
        <f>'Prevalence projection INT'!AM92</f>
        <v>215.29025241352792</v>
      </c>
      <c r="AN94" s="467">
        <f>'Prevalence projection INT'!AN92</f>
        <v>221.3448391367088</v>
      </c>
      <c r="AO94" s="467">
        <f>'Prevalence projection INT'!AO92</f>
        <v>227.42767684777934</v>
      </c>
      <c r="AP94" s="467">
        <f>'Prevalence projection INT'!AP92</f>
        <v>233.53694680527005</v>
      </c>
      <c r="AQ94" s="467">
        <f>'Prevalence projection INT'!AQ92</f>
        <v>239.66994021790671</v>
      </c>
      <c r="AR94" s="467">
        <f>'Prevalence projection INT'!AR92</f>
        <v>245.82301260732453</v>
      </c>
      <c r="AS94" s="467">
        <f>'Prevalence projection INT'!AS92</f>
        <v>251.99871422584121</v>
      </c>
      <c r="AT94" s="467">
        <f>'Prevalence projection INT'!AT92</f>
        <v>258.20154764299309</v>
      </c>
      <c r="AU94" s="467">
        <f>'Prevalence projection INT'!AU92</f>
        <v>264.43617438177046</v>
      </c>
      <c r="AV94" s="467">
        <f>'Prevalence projection INT'!AV92</f>
        <v>270.67080112054782</v>
      </c>
      <c r="AW94" s="467">
        <f>'Prevalence projection INT'!AW92</f>
        <v>276.90542785932519</v>
      </c>
      <c r="AX94" s="467">
        <f>'Prevalence projection INT'!AX92</f>
        <v>283.14005459810255</v>
      </c>
      <c r="AY94" s="467">
        <f>'Prevalence projection INT'!AY92</f>
        <v>289.37468133687992</v>
      </c>
      <c r="AZ94" s="467">
        <f>'Prevalence projection INT'!AZ92</f>
        <v>295.60930807565728</v>
      </c>
      <c r="BA94" s="467">
        <f>'Prevalence projection INT'!BA92</f>
        <v>301.84393481443465</v>
      </c>
    </row>
    <row r="95" spans="1:55" s="9" customFormat="1">
      <c r="BB95"/>
      <c r="BC95"/>
    </row>
    <row r="96" spans="1:55">
      <c r="A96" s="9"/>
      <c r="B96" s="431" t="s">
        <v>3134</v>
      </c>
      <c r="C96" s="467">
        <f>SUM(C92:C94)*$C$88</f>
        <v>140.17499999999998</v>
      </c>
      <c r="D96" s="467">
        <f>SUM(D92:D94)*$C$88</f>
        <v>146.0604391551654</v>
      </c>
      <c r="E96" s="467">
        <f>SUM(E92:E94)*$C$88</f>
        <v>151.32297541798226</v>
      </c>
      <c r="F96" s="467">
        <f t="shared" ref="F96:G96" si="35">SUM(F92:F94)*$C$88</f>
        <v>156.16801655107497</v>
      </c>
      <c r="G96" s="467">
        <f t="shared" si="35"/>
        <v>160.76201844151248</v>
      </c>
      <c r="H96" s="467">
        <f t="shared" ref="H96" si="36">SUM(H92:H94)*$C$88</f>
        <v>147.10814996496856</v>
      </c>
      <c r="I96" s="467">
        <f t="shared" ref="I96" si="37">SUM(I92:I94)*$C$88</f>
        <v>139.59974145915419</v>
      </c>
      <c r="J96" s="467">
        <f t="shared" ref="J96" si="38">SUM(J92:J94)*$C$88</f>
        <v>136.02559086188106</v>
      </c>
      <c r="K96" s="467">
        <f t="shared" ref="K96" si="39">SUM(K92:K94)*$C$88</f>
        <v>135.16255515481362</v>
      </c>
      <c r="L96" s="467">
        <f t="shared" ref="L96" si="40">SUM(L92:L94)*$C$88</f>
        <v>135.91902700371918</v>
      </c>
      <c r="M96" s="467">
        <f t="shared" ref="M96" si="41">SUM(M92:M94)*$C$88</f>
        <v>137.65721773861426</v>
      </c>
      <c r="N96" s="467">
        <f t="shared" ref="N96" si="42">SUM(N92:N94)*$C$88</f>
        <v>140.08069443345653</v>
      </c>
      <c r="O96" s="467">
        <f t="shared" ref="O96" si="43">SUM(O92:O94)*$C$88</f>
        <v>142.83984435319815</v>
      </c>
      <c r="P96" s="467">
        <f t="shared" ref="P96" si="44">SUM(P92:P94)*$C$88</f>
        <v>145.78813499984005</v>
      </c>
      <c r="Q96" s="467">
        <f t="shared" ref="Q96" si="45">SUM(Q92:Q94)*$C$88</f>
        <v>148.86787436024937</v>
      </c>
      <c r="R96" s="467">
        <f t="shared" ref="R96" si="46">SUM(R92:R94)*$C$88</f>
        <v>152.02817646016189</v>
      </c>
      <c r="S96" s="467">
        <f t="shared" ref="S96" si="47">SUM(S92:S94)*$C$88</f>
        <v>155.22982002281691</v>
      </c>
      <c r="T96" s="467">
        <f t="shared" ref="T96" si="48">SUM(T92:T94)*$C$88</f>
        <v>158.47672155072041</v>
      </c>
      <c r="U96" s="467">
        <f t="shared" ref="U96" si="49">SUM(U92:U94)*$C$88</f>
        <v>161.82297393524709</v>
      </c>
      <c r="V96" s="467">
        <f t="shared" ref="V96" si="50">SUM(V92:V94)*$C$88</f>
        <v>165.17396913691479</v>
      </c>
      <c r="W96" s="467">
        <f t="shared" ref="W96" si="51">SUM(W92:W94)*$C$88</f>
        <v>168.51220231367657</v>
      </c>
      <c r="X96" s="467">
        <f t="shared" ref="X96" si="52">SUM(X92:X94)*$C$88</f>
        <v>171.87432408786256</v>
      </c>
      <c r="Y96" s="467">
        <f t="shared" ref="Y96" si="53">SUM(Y92:Y94)*$C$88</f>
        <v>175.2389008706767</v>
      </c>
      <c r="Z96" s="467">
        <f t="shared" ref="Z96" si="54">SUM(Z92:Z94)*$C$88</f>
        <v>178.59129370257619</v>
      </c>
      <c r="AA96" s="467">
        <f t="shared" ref="AA96" si="55">SUM(AA92:AA94)*$C$88</f>
        <v>181.92242263312886</v>
      </c>
      <c r="AB96" s="467">
        <f t="shared" ref="AB96" si="56">SUM(AB92:AB94)*$C$88</f>
        <v>185.24314941657201</v>
      </c>
      <c r="AC96" s="467">
        <f t="shared" ref="AC96" si="57">SUM(AC92:AC94)*$C$88</f>
        <v>188.53683376153725</v>
      </c>
      <c r="AD96" s="467">
        <f t="shared" ref="AD96:AE96" si="58">SUM(AD92:AD94)*$C$88</f>
        <v>191.78893221537311</v>
      </c>
      <c r="AE96" s="467">
        <f t="shared" si="58"/>
        <v>194.98981798704759</v>
      </c>
      <c r="AF96" s="467">
        <f t="shared" ref="AF96:AO96" si="59">SUM(AF92:AF94)*$C$88</f>
        <v>198.14251411959557</v>
      </c>
      <c r="AG96" s="467">
        <f t="shared" si="59"/>
        <v>201.27357641895406</v>
      </c>
      <c r="AH96" s="467">
        <f t="shared" si="59"/>
        <v>204.38509268391522</v>
      </c>
      <c r="AI96" s="467">
        <f t="shared" si="59"/>
        <v>207.49264142945606</v>
      </c>
      <c r="AJ96" s="467">
        <f t="shared" si="59"/>
        <v>210.5814894973191</v>
      </c>
      <c r="AK96" s="467">
        <f t="shared" si="59"/>
        <v>213.6252653036637</v>
      </c>
      <c r="AL96" s="467">
        <f t="shared" si="59"/>
        <v>216.61081686021583</v>
      </c>
      <c r="AM96" s="467">
        <f t="shared" si="59"/>
        <v>219.52625139202846</v>
      </c>
      <c r="AN96" s="467">
        <f t="shared" si="59"/>
        <v>222.3636919557145</v>
      </c>
      <c r="AO96" s="467">
        <f t="shared" si="59"/>
        <v>225.11660905968733</v>
      </c>
      <c r="AP96" s="467">
        <f t="shared" ref="AP96:BA96" si="60">SUM(AP92:AP94)*$C$88</f>
        <v>227.82983860169398</v>
      </c>
      <c r="AQ96" s="467">
        <f t="shared" si="60"/>
        <v>230.54254520345657</v>
      </c>
      <c r="AR96" s="467">
        <f t="shared" si="60"/>
        <v>233.28108454267456</v>
      </c>
      <c r="AS96" s="467">
        <f t="shared" si="60"/>
        <v>235.87615663301864</v>
      </c>
      <c r="AT96" s="467">
        <f t="shared" si="60"/>
        <v>238.38305419669928</v>
      </c>
      <c r="AU96" s="467">
        <f t="shared" si="60"/>
        <v>240.8381528875849</v>
      </c>
      <c r="AV96" s="467">
        <f t="shared" si="60"/>
        <v>243.14338312019322</v>
      </c>
      <c r="AW96" s="467">
        <f t="shared" si="60"/>
        <v>245.36634386939093</v>
      </c>
      <c r="AX96" s="467">
        <f t="shared" si="60"/>
        <v>247.5464410389155</v>
      </c>
      <c r="AY96" s="467">
        <f t="shared" si="60"/>
        <v>249.70623174721234</v>
      </c>
      <c r="AZ96" s="467">
        <f t="shared" si="60"/>
        <v>251.85827166013465</v>
      </c>
      <c r="BA96" s="467">
        <f t="shared" si="60"/>
        <v>254.00924401339839</v>
      </c>
    </row>
    <row r="97" spans="1:7">
      <c r="A97" s="9"/>
      <c r="B97" s="9"/>
    </row>
    <row r="98" spans="1:7">
      <c r="A98" s="9" t="s">
        <v>10</v>
      </c>
      <c r="B98" s="685" t="s">
        <v>3384</v>
      </c>
    </row>
    <row r="99" spans="1:7">
      <c r="E99" s="145"/>
    </row>
    <row r="100" spans="1:7">
      <c r="A100" s="9"/>
      <c r="B100" s="9" t="s">
        <v>3387</v>
      </c>
      <c r="E100" s="9" t="s">
        <v>3388</v>
      </c>
    </row>
    <row r="101" spans="1:7">
      <c r="A101" s="9"/>
      <c r="B101" s="151" t="s">
        <v>3385</v>
      </c>
      <c r="C101" s="3"/>
      <c r="E101" s="151" t="s">
        <v>3386</v>
      </c>
    </row>
    <row r="102" spans="1:7">
      <c r="A102" s="9"/>
      <c r="B102" s="9"/>
      <c r="C102" s="3"/>
      <c r="E102" s="9"/>
    </row>
    <row r="103" spans="1:7">
      <c r="A103" s="9"/>
      <c r="B103" s="431" t="s">
        <v>3088</v>
      </c>
      <c r="C103" s="331">
        <f>16/2</f>
        <v>8</v>
      </c>
      <c r="E103" s="431" t="s">
        <v>3088</v>
      </c>
      <c r="F103" s="331">
        <v>7</v>
      </c>
    </row>
    <row r="104" spans="1:7">
      <c r="A104" s="9"/>
      <c r="B104" s="431" t="s">
        <v>3087</v>
      </c>
      <c r="C104" s="331">
        <f>120/2</f>
        <v>60</v>
      </c>
      <c r="D104" s="151"/>
      <c r="E104" s="431" t="s">
        <v>3087</v>
      </c>
      <c r="F104" s="331">
        <v>58</v>
      </c>
    </row>
    <row r="105" spans="1:7">
      <c r="A105" s="9"/>
      <c r="B105" s="431" t="s">
        <v>3135</v>
      </c>
      <c r="C105" s="431">
        <f>(C103*52)+C104</f>
        <v>476</v>
      </c>
      <c r="E105" s="431" t="s">
        <v>3135</v>
      </c>
      <c r="F105" s="431">
        <f>(F103*52)+F104</f>
        <v>422</v>
      </c>
    </row>
    <row r="106" spans="1:7">
      <c r="A106" s="9"/>
      <c r="B106" s="9"/>
    </row>
    <row r="107" spans="1:7">
      <c r="A107" s="9"/>
      <c r="B107" s="431" t="s">
        <v>3136</v>
      </c>
      <c r="C107" s="431">
        <f>C96/C105</f>
        <v>0.29448529411764701</v>
      </c>
      <c r="E107" s="431" t="s">
        <v>3136</v>
      </c>
      <c r="F107" s="431">
        <f>H96/F105</f>
        <v>0.34859751176532833</v>
      </c>
    </row>
    <row r="108" spans="1:7">
      <c r="A108" s="9"/>
      <c r="B108" s="9"/>
    </row>
    <row r="109" spans="1:7">
      <c r="A109" s="9" t="s">
        <v>10</v>
      </c>
      <c r="B109" s="9" t="s">
        <v>3078</v>
      </c>
      <c r="F109" s="9"/>
      <c r="G109" s="9"/>
    </row>
    <row r="110" spans="1:7">
      <c r="A110" s="9"/>
      <c r="B110" s="9"/>
      <c r="F110" s="9"/>
      <c r="G110" s="9"/>
    </row>
    <row r="111" spans="1:7">
      <c r="A111" s="9"/>
      <c r="E111" s="9"/>
      <c r="F111" s="9"/>
    </row>
    <row r="112" spans="1:7">
      <c r="A112" s="9"/>
      <c r="B112" s="34" t="s">
        <v>3080</v>
      </c>
      <c r="C112" s="57" t="s">
        <v>3079</v>
      </c>
    </row>
    <row r="113" spans="1:7">
      <c r="A113" s="9"/>
      <c r="B113" s="431"/>
      <c r="C113" s="431"/>
    </row>
    <row r="114" spans="1:7">
      <c r="A114" s="9"/>
      <c r="B114" s="431"/>
      <c r="C114" s="431"/>
    </row>
    <row r="115" spans="1:7">
      <c r="A115" s="9"/>
      <c r="B115" s="9"/>
    </row>
    <row r="116" spans="1:7">
      <c r="A116" s="9"/>
      <c r="B116" s="34" t="s">
        <v>2474</v>
      </c>
      <c r="C116" s="57" t="s">
        <v>233</v>
      </c>
      <c r="D116" s="57" t="s">
        <v>151</v>
      </c>
    </row>
    <row r="117" spans="1:7">
      <c r="A117" s="9"/>
      <c r="B117" s="431"/>
      <c r="C117" s="431"/>
      <c r="D117" s="431"/>
    </row>
    <row r="118" spans="1:7">
      <c r="A118" s="9"/>
      <c r="B118" s="431"/>
      <c r="C118" s="431"/>
      <c r="D118" s="431"/>
    </row>
    <row r="119" spans="1:7">
      <c r="A119" s="9"/>
      <c r="B119" s="431" t="s">
        <v>3133</v>
      </c>
      <c r="C119" s="331">
        <v>3</v>
      </c>
      <c r="D119" s="463">
        <v>200</v>
      </c>
    </row>
    <row r="120" spans="1:7">
      <c r="A120" s="9"/>
      <c r="B120" s="151" t="s">
        <v>3196</v>
      </c>
      <c r="C120" s="49"/>
    </row>
    <row r="121" spans="1:7">
      <c r="A121" s="9"/>
      <c r="B121" s="11"/>
      <c r="C121" s="9"/>
      <c r="D121" s="9"/>
    </row>
    <row r="122" spans="1:7" s="9" customFormat="1">
      <c r="B122" s="431" t="s">
        <v>3084</v>
      </c>
      <c r="C122" s="486">
        <f>SUM(C113:C114)+SUMPRODUCT(C117:C119,D117:D119)</f>
        <v>600</v>
      </c>
    </row>
    <row r="123" spans="1:7" s="9" customFormat="1">
      <c r="B123" s="269" t="s">
        <v>3084</v>
      </c>
      <c r="C123" s="486">
        <f>C122</f>
        <v>600</v>
      </c>
    </row>
    <row r="124" spans="1:7" s="9" customFormat="1"/>
    <row r="125" spans="1:7" s="4" customFormat="1">
      <c r="B125" s="269" t="s">
        <v>3389</v>
      </c>
      <c r="C125" s="486">
        <f>C123/F105</f>
        <v>1.4218009478672986</v>
      </c>
    </row>
    <row r="126" spans="1:7">
      <c r="A126" s="9"/>
      <c r="B126" s="61"/>
      <c r="C126" s="61"/>
      <c r="D126" s="54"/>
      <c r="F126" s="9"/>
      <c r="G126" s="305"/>
    </row>
    <row r="127" spans="1:7">
      <c r="A127" s="9"/>
      <c r="B127" s="49"/>
      <c r="C127" s="49"/>
      <c r="F127" s="9"/>
      <c r="G127" s="305"/>
    </row>
    <row r="128" spans="1:7">
      <c r="A128" s="9"/>
      <c r="B128" s="49"/>
      <c r="C128" s="49"/>
      <c r="F128" s="9"/>
      <c r="G128" s="305"/>
    </row>
    <row r="129" spans="1:10">
      <c r="A129" s="9"/>
      <c r="B129" s="269" t="s">
        <v>3390</v>
      </c>
      <c r="C129" s="486">
        <f>C125</f>
        <v>1.4218009478672986</v>
      </c>
      <c r="F129" s="9"/>
      <c r="G129" s="305"/>
    </row>
    <row r="130" spans="1:10">
      <c r="A130" s="9"/>
      <c r="B130" s="49"/>
      <c r="C130" s="49"/>
      <c r="F130" s="9"/>
      <c r="G130" s="305"/>
    </row>
    <row r="131" spans="1:10" ht="43.5">
      <c r="A131" s="9"/>
      <c r="B131" s="269" t="s">
        <v>3226</v>
      </c>
      <c r="C131" s="555">
        <f>C129*INDEX($C$96:$AE$96, MATCH($C$7, $C$91:$AE$91,0))</f>
        <v>199.30094786729856</v>
      </c>
      <c r="F131" s="9"/>
      <c r="G131" s="305"/>
    </row>
    <row r="132" spans="1:10" ht="29">
      <c r="A132" s="9"/>
      <c r="B132" s="266" t="s">
        <v>3227</v>
      </c>
      <c r="C132" s="485">
        <f>C131*INDEX(Inflation!$D$127:$AN$127, MATCH(C133, Inflation!$D$125:$AN$125,0))/10^6</f>
        <v>2.1311261898961133E-4</v>
      </c>
      <c r="F132" s="9"/>
      <c r="G132" s="305"/>
    </row>
    <row r="133" spans="1:10">
      <c r="A133" s="9"/>
      <c r="B133" s="269" t="s">
        <v>3228</v>
      </c>
      <c r="C133" s="459">
        <f>C5</f>
        <v>2021</v>
      </c>
      <c r="F133" s="9"/>
      <c r="G133" s="305"/>
    </row>
    <row r="134" spans="1:10">
      <c r="A134" s="9"/>
      <c r="B134" s="151" t="s">
        <v>3768</v>
      </c>
      <c r="C134" s="49"/>
      <c r="F134" s="9"/>
      <c r="G134" s="305"/>
    </row>
    <row r="135" spans="1:10">
      <c r="A135" s="9"/>
      <c r="B135" s="151"/>
      <c r="C135" s="49"/>
      <c r="F135" s="9"/>
      <c r="G135" s="305"/>
    </row>
    <row r="136" spans="1:10">
      <c r="A136" s="9"/>
      <c r="B136" s="305"/>
      <c r="F136" s="9"/>
      <c r="G136" s="651"/>
      <c r="H136" s="54"/>
      <c r="I136" s="54"/>
      <c r="J136" s="54"/>
    </row>
    <row r="137" spans="1:10">
      <c r="A137" s="9" t="s">
        <v>10</v>
      </c>
      <c r="B137" s="11" t="s">
        <v>3085</v>
      </c>
      <c r="F137" s="9"/>
      <c r="G137" s="652"/>
      <c r="H137" s="54"/>
      <c r="I137" s="54"/>
      <c r="J137" s="54"/>
    </row>
    <row r="138" spans="1:10">
      <c r="A138" s="9"/>
      <c r="B138" s="305"/>
      <c r="F138" s="9"/>
      <c r="G138" s="651"/>
      <c r="H138" s="54"/>
      <c r="I138" s="54"/>
      <c r="J138" s="54"/>
    </row>
    <row r="139" spans="1:10">
      <c r="A139" s="9"/>
      <c r="B139" s="431" t="s">
        <v>3099</v>
      </c>
      <c r="C139" s="467">
        <f>8*(261-30)</f>
        <v>1848</v>
      </c>
      <c r="F139" s="9"/>
      <c r="G139" s="651"/>
      <c r="H139" s="54"/>
      <c r="I139" s="54"/>
      <c r="J139" s="54"/>
    </row>
    <row r="140" spans="1:10">
      <c r="A140" s="9"/>
      <c r="B140" s="151" t="s">
        <v>3112</v>
      </c>
      <c r="F140" s="9"/>
      <c r="G140" s="61"/>
      <c r="H140" s="54"/>
      <c r="I140" s="54"/>
      <c r="J140" s="54"/>
    </row>
    <row r="141" spans="1:10">
      <c r="A141" s="9"/>
      <c r="B141" s="151"/>
      <c r="F141" s="9"/>
      <c r="G141" s="61"/>
      <c r="H141" s="54"/>
      <c r="I141" s="54"/>
      <c r="J141" s="54"/>
    </row>
    <row r="142" spans="1:10">
      <c r="A142" s="9"/>
      <c r="B142" s="9" t="s">
        <v>2760</v>
      </c>
      <c r="F142" s="9"/>
    </row>
    <row r="143" spans="1:10" ht="29">
      <c r="B143" s="34" t="s">
        <v>3119</v>
      </c>
      <c r="C143" s="57" t="s">
        <v>3076</v>
      </c>
      <c r="D143" s="57" t="s">
        <v>2487</v>
      </c>
      <c r="E143" s="57" t="s">
        <v>3132</v>
      </c>
    </row>
    <row r="144" spans="1:10">
      <c r="B144" s="431" t="s">
        <v>3075</v>
      </c>
      <c r="C144" s="462">
        <f>0.8/2</f>
        <v>0.4</v>
      </c>
      <c r="D144" s="464">
        <f>D145</f>
        <v>27</v>
      </c>
      <c r="E144" s="464">
        <f>C144*D144*$C$139</f>
        <v>19958.400000000001</v>
      </c>
      <c r="F144" s="151" t="s">
        <v>3120</v>
      </c>
    </row>
    <row r="145" spans="2:18">
      <c r="B145" s="431" t="s">
        <v>3074</v>
      </c>
      <c r="C145" s="462">
        <f>1/2</f>
        <v>0.5</v>
      </c>
      <c r="D145" s="464">
        <f>D146</f>
        <v>27</v>
      </c>
      <c r="E145" s="464">
        <f>C145*D145*$C$139</f>
        <v>24948</v>
      </c>
      <c r="F145" s="151" t="s">
        <v>3120</v>
      </c>
    </row>
    <row r="146" spans="2:18">
      <c r="B146" s="431" t="s">
        <v>3083</v>
      </c>
      <c r="C146" s="687"/>
      <c r="D146" s="463">
        <v>27</v>
      </c>
      <c r="E146" s="463"/>
      <c r="F146" s="151" t="s">
        <v>3772</v>
      </c>
    </row>
    <row r="147" spans="2:18">
      <c r="B147" s="431" t="s">
        <v>3072</v>
      </c>
      <c r="C147" s="687"/>
      <c r="D147" s="463">
        <v>37</v>
      </c>
      <c r="E147" s="463"/>
      <c r="F147" s="151" t="s">
        <v>3772</v>
      </c>
    </row>
    <row r="148" spans="2:18">
      <c r="B148" s="431" t="s">
        <v>3073</v>
      </c>
      <c r="C148" s="687"/>
      <c r="D148" s="463">
        <v>46</v>
      </c>
      <c r="E148" s="463"/>
      <c r="F148" s="151" t="s">
        <v>3772</v>
      </c>
    </row>
    <row r="149" spans="2:18">
      <c r="B149" s="431" t="s">
        <v>3071</v>
      </c>
      <c r="C149" s="462"/>
      <c r="D149" s="463">
        <v>55</v>
      </c>
      <c r="E149" s="463"/>
      <c r="F149" s="151" t="s">
        <v>3772</v>
      </c>
    </row>
    <row r="150" spans="2:18">
      <c r="C150" s="151"/>
      <c r="D150" s="151" t="s">
        <v>2462</v>
      </c>
    </row>
    <row r="151" spans="2:18">
      <c r="C151" s="151"/>
      <c r="D151" s="151"/>
    </row>
    <row r="152" spans="2:18">
      <c r="B152" s="9" t="s">
        <v>3081</v>
      </c>
    </row>
    <row r="153" spans="2:18">
      <c r="B153" s="34" t="s">
        <v>125</v>
      </c>
      <c r="C153" s="57" t="s">
        <v>3082</v>
      </c>
      <c r="D153" s="57" t="s">
        <v>3326</v>
      </c>
    </row>
    <row r="154" spans="2:18" ht="58">
      <c r="B154" s="689" t="s">
        <v>3086</v>
      </c>
      <c r="C154" s="329">
        <f>110*5*52</f>
        <v>28600</v>
      </c>
      <c r="D154" s="688" t="s">
        <v>3449</v>
      </c>
    </row>
    <row r="157" spans="2:18" ht="24" customHeight="1">
      <c r="B157" s="431" t="s">
        <v>3391</v>
      </c>
      <c r="C157" s="464">
        <f>SUM(E144:E149,C154:C154)</f>
        <v>73506.399999999994</v>
      </c>
    </row>
    <row r="158" spans="2:18" s="9" customFormat="1" ht="29">
      <c r="B158" s="266" t="s">
        <v>3219</v>
      </c>
      <c r="C158" s="474">
        <f>C157/(C105)</f>
        <v>154.42521008403361</v>
      </c>
      <c r="G158"/>
      <c r="H158"/>
      <c r="I158"/>
      <c r="J158"/>
      <c r="K158"/>
      <c r="L158"/>
      <c r="M158"/>
      <c r="N158"/>
      <c r="O158"/>
      <c r="P158"/>
      <c r="Q158"/>
      <c r="R158"/>
    </row>
    <row r="160" spans="2:18">
      <c r="C160" s="60"/>
      <c r="D160" s="96"/>
    </row>
    <row r="162" spans="1:55">
      <c r="B162" s="9" t="s">
        <v>3763</v>
      </c>
    </row>
    <row r="164" spans="1:55">
      <c r="A164" s="9"/>
      <c r="B164" s="34" t="s">
        <v>3217</v>
      </c>
      <c r="C164" s="34">
        <f t="shared" ref="C164:AO164" si="61">C91</f>
        <v>2020</v>
      </c>
      <c r="D164" s="34">
        <f t="shared" si="61"/>
        <v>2021</v>
      </c>
      <c r="E164" s="34">
        <f t="shared" si="61"/>
        <v>2022</v>
      </c>
      <c r="F164" s="34">
        <f t="shared" si="61"/>
        <v>2023</v>
      </c>
      <c r="G164" s="34">
        <f t="shared" si="61"/>
        <v>2024</v>
      </c>
      <c r="H164" s="34">
        <f t="shared" si="61"/>
        <v>2025</v>
      </c>
      <c r="I164" s="34">
        <f t="shared" si="61"/>
        <v>2026</v>
      </c>
      <c r="J164" s="34">
        <f t="shared" si="61"/>
        <v>2027</v>
      </c>
      <c r="K164" s="34">
        <f t="shared" si="61"/>
        <v>2028</v>
      </c>
      <c r="L164" s="34">
        <f t="shared" si="61"/>
        <v>2029</v>
      </c>
      <c r="M164" s="34">
        <f t="shared" si="61"/>
        <v>2030</v>
      </c>
      <c r="N164" s="34">
        <f t="shared" si="61"/>
        <v>2031</v>
      </c>
      <c r="O164" s="34">
        <f t="shared" si="61"/>
        <v>2032</v>
      </c>
      <c r="P164" s="34">
        <f t="shared" si="61"/>
        <v>2033</v>
      </c>
      <c r="Q164" s="34">
        <f t="shared" si="61"/>
        <v>2034</v>
      </c>
      <c r="R164" s="34">
        <f t="shared" si="61"/>
        <v>2035</v>
      </c>
      <c r="S164" s="34">
        <f t="shared" si="61"/>
        <v>2036</v>
      </c>
      <c r="T164" s="34">
        <f t="shared" si="61"/>
        <v>2037</v>
      </c>
      <c r="U164" s="34">
        <f t="shared" si="61"/>
        <v>2038</v>
      </c>
      <c r="V164" s="34">
        <f t="shared" si="61"/>
        <v>2039</v>
      </c>
      <c r="W164" s="34">
        <f t="shared" si="61"/>
        <v>2040</v>
      </c>
      <c r="X164" s="34">
        <f t="shared" si="61"/>
        <v>2041</v>
      </c>
      <c r="Y164" s="34">
        <f t="shared" si="61"/>
        <v>2042</v>
      </c>
      <c r="Z164" s="34">
        <f t="shared" si="61"/>
        <v>2043</v>
      </c>
      <c r="AA164" s="34">
        <f t="shared" si="61"/>
        <v>2044</v>
      </c>
      <c r="AB164" s="34">
        <f t="shared" si="61"/>
        <v>2045</v>
      </c>
      <c r="AC164" s="34">
        <f t="shared" si="61"/>
        <v>2046</v>
      </c>
      <c r="AD164" s="34">
        <f t="shared" si="61"/>
        <v>2047</v>
      </c>
      <c r="AE164" s="34">
        <f t="shared" si="61"/>
        <v>2048</v>
      </c>
      <c r="AF164" s="34">
        <f t="shared" si="61"/>
        <v>2049</v>
      </c>
      <c r="AG164" s="34">
        <f t="shared" si="61"/>
        <v>2050</v>
      </c>
      <c r="AH164" s="34">
        <f t="shared" si="61"/>
        <v>2051</v>
      </c>
      <c r="AI164" s="34">
        <f t="shared" si="61"/>
        <v>2052</v>
      </c>
      <c r="AJ164" s="34">
        <f t="shared" si="61"/>
        <v>2053</v>
      </c>
      <c r="AK164" s="34">
        <f t="shared" si="61"/>
        <v>2054</v>
      </c>
      <c r="AL164" s="34">
        <f t="shared" si="61"/>
        <v>2055</v>
      </c>
      <c r="AM164" s="34">
        <f t="shared" si="61"/>
        <v>2056</v>
      </c>
      <c r="AN164" s="34">
        <f t="shared" si="61"/>
        <v>2057</v>
      </c>
      <c r="AO164" s="34">
        <f t="shared" si="61"/>
        <v>2058</v>
      </c>
      <c r="AP164" s="34">
        <f t="shared" ref="AP164:BA164" si="62">AP91</f>
        <v>2059</v>
      </c>
      <c r="AQ164" s="34">
        <f t="shared" si="62"/>
        <v>2060</v>
      </c>
      <c r="AR164" s="34">
        <f t="shared" si="62"/>
        <v>2061</v>
      </c>
      <c r="AS164" s="34">
        <f t="shared" si="62"/>
        <v>2062</v>
      </c>
      <c r="AT164" s="34">
        <f t="shared" si="62"/>
        <v>2063</v>
      </c>
      <c r="AU164" s="34">
        <f t="shared" si="62"/>
        <v>2064</v>
      </c>
      <c r="AV164" s="34">
        <f t="shared" si="62"/>
        <v>2065</v>
      </c>
      <c r="AW164" s="34">
        <f t="shared" si="62"/>
        <v>2066</v>
      </c>
      <c r="AX164" s="34">
        <f t="shared" si="62"/>
        <v>2067</v>
      </c>
      <c r="AY164" s="34">
        <f t="shared" si="62"/>
        <v>2068</v>
      </c>
      <c r="AZ164" s="34">
        <f t="shared" si="62"/>
        <v>2069</v>
      </c>
      <c r="BA164" s="34">
        <f t="shared" si="62"/>
        <v>2070</v>
      </c>
    </row>
    <row r="165" spans="1:55" ht="29">
      <c r="A165" s="9"/>
      <c r="B165" s="269" t="s">
        <v>3218</v>
      </c>
      <c r="C165" s="553">
        <f t="shared" ref="C165:AH165" si="63">(C78* $C$158*C96)/10^6</f>
        <v>0</v>
      </c>
      <c r="D165" s="553">
        <f t="shared" si="63"/>
        <v>7.5184713338342082E-3</v>
      </c>
      <c r="E165" s="553">
        <f t="shared" si="63"/>
        <v>1.557872151297531E-2</v>
      </c>
      <c r="F165" s="553">
        <f t="shared" si="63"/>
        <v>2.4116278764306588E-2</v>
      </c>
      <c r="G165" s="553">
        <f t="shared" si="63"/>
        <v>2.4825708471363849E-2</v>
      </c>
      <c r="H165" s="553">
        <f t="shared" si="63"/>
        <v>2.271720696341379E-2</v>
      </c>
      <c r="I165" s="553">
        <f t="shared" si="63"/>
        <v>2.1557719402506663E-2</v>
      </c>
      <c r="J165" s="553">
        <f t="shared" si="63"/>
        <v>2.1005780445650785E-2</v>
      </c>
      <c r="K165" s="553">
        <f t="shared" si="63"/>
        <v>2.0872505975276873E-2</v>
      </c>
      <c r="L165" s="553">
        <f t="shared" si="63"/>
        <v>2.0989324299466771E-2</v>
      </c>
      <c r="M165" s="553">
        <f t="shared" si="63"/>
        <v>2.1257744768869068E-2</v>
      </c>
      <c r="N165" s="553">
        <f t="shared" si="63"/>
        <v>2.1631990666603842E-2</v>
      </c>
      <c r="O165" s="553">
        <f t="shared" si="63"/>
        <v>2.2058072972613287E-2</v>
      </c>
      <c r="P165" s="553">
        <f t="shared" si="63"/>
        <v>2.2513363375109754E-2</v>
      </c>
      <c r="Q165" s="553">
        <f t="shared" si="63"/>
        <v>2.2988952772845031E-2</v>
      </c>
      <c r="R165" s="553">
        <f t="shared" si="63"/>
        <v>2.3476983088553033E-2</v>
      </c>
      <c r="S165" s="553">
        <f t="shared" si="63"/>
        <v>2.3971397568330229E-2</v>
      </c>
      <c r="T165" s="553">
        <f t="shared" si="63"/>
        <v>2.4472801018898895E-2</v>
      </c>
      <c r="U165" s="553">
        <f t="shared" si="63"/>
        <v>2.4989546746373627E-2</v>
      </c>
      <c r="V165" s="553">
        <f t="shared" si="63"/>
        <v>2.5507024884381752E-2</v>
      </c>
      <c r="W165" s="553">
        <f t="shared" si="63"/>
        <v>2.6022532244012676E-2</v>
      </c>
      <c r="X165" s="553">
        <f t="shared" si="63"/>
        <v>2.6541728605319455E-2</v>
      </c>
      <c r="Y165" s="553">
        <f t="shared" si="63"/>
        <v>2.706130408184939E-2</v>
      </c>
      <c r="Z165" s="553">
        <f t="shared" si="63"/>
        <v>2.7578998049199676E-2</v>
      </c>
      <c r="AA165" s="553">
        <f t="shared" si="63"/>
        <v>2.8093408334117272E-2</v>
      </c>
      <c r="AB165" s="553">
        <f t="shared" si="63"/>
        <v>2.860621226528216E-2</v>
      </c>
      <c r="AC165" s="553">
        <f t="shared" si="63"/>
        <v>2.9114840162203909E-2</v>
      </c>
      <c r="AD165" s="553">
        <f t="shared" si="63"/>
        <v>2.9617046149151473E-2</v>
      </c>
      <c r="AE165" s="553">
        <f t="shared" si="63"/>
        <v>3.0111343606897299E-2</v>
      </c>
      <c r="AF165" s="553">
        <f t="shared" si="63"/>
        <v>3.0598199369497141E-2</v>
      </c>
      <c r="AG165" s="553">
        <f t="shared" si="63"/>
        <v>3.1081714322861775E-2</v>
      </c>
      <c r="AH165" s="553">
        <f t="shared" si="63"/>
        <v>3.1562210875758286E-2</v>
      </c>
      <c r="AI165" s="553">
        <f t="shared" ref="AI165:BA165" si="64">(AI78* $C$158*AI96)/10^6</f>
        <v>3.2042094743634807E-2</v>
      </c>
      <c r="AJ165" s="553">
        <f t="shared" si="64"/>
        <v>3.2519090755432217E-2</v>
      </c>
      <c r="AK165" s="553">
        <f t="shared" si="64"/>
        <v>3.2989126473775679E-2</v>
      </c>
      <c r="AL165" s="553">
        <f t="shared" si="64"/>
        <v>3.3450170900112958E-2</v>
      </c>
      <c r="AM165" s="553">
        <f t="shared" si="64"/>
        <v>3.390038749017437E-2</v>
      </c>
      <c r="AN165" s="553">
        <f t="shared" si="64"/>
        <v>3.4338559845322546E-2</v>
      </c>
      <c r="AO165" s="553">
        <f t="shared" si="64"/>
        <v>3.4763679647447483E-2</v>
      </c>
      <c r="AP165" s="553">
        <f t="shared" si="64"/>
        <v>3.5182670689478064E-2</v>
      </c>
      <c r="AQ165" s="553">
        <f t="shared" si="64"/>
        <v>3.5601580976351591E-2</v>
      </c>
      <c r="AR165" s="553">
        <f t="shared" si="64"/>
        <v>3.6024480489133724E-2</v>
      </c>
      <c r="AS165" s="553">
        <f t="shared" si="64"/>
        <v>3.642522504186832E-2</v>
      </c>
      <c r="AT165" s="553">
        <f t="shared" si="64"/>
        <v>3.6812353224798852E-2</v>
      </c>
      <c r="AU165" s="553">
        <f t="shared" si="64"/>
        <v>3.7191482355915906E-2</v>
      </c>
      <c r="AV165" s="553">
        <f t="shared" si="64"/>
        <v>3.7547468018878503E-2</v>
      </c>
      <c r="AW165" s="553">
        <f t="shared" si="64"/>
        <v>3.7890749199581929E-2</v>
      </c>
      <c r="AX165" s="553">
        <f t="shared" si="64"/>
        <v>3.8227411162989368E-2</v>
      </c>
      <c r="AY165" s="553">
        <f t="shared" si="64"/>
        <v>3.8560937296855648E-2</v>
      </c>
      <c r="AZ165" s="553">
        <f t="shared" si="64"/>
        <v>3.8893266512517899E-2</v>
      </c>
      <c r="BA165" s="553">
        <f t="shared" si="64"/>
        <v>3.9225430870055603E-2</v>
      </c>
    </row>
    <row r="166" spans="1:55" s="9" customFormat="1" ht="29">
      <c r="B166" s="266" t="s">
        <v>3221</v>
      </c>
      <c r="C166" s="554">
        <f>C165*INDEX(Inflation!$D$127:$BD$127, MATCH(C164, Inflation!$D$125:$BD$125,0))</f>
        <v>0</v>
      </c>
      <c r="D166" s="554">
        <f>D165*INDEX(Inflation!$D$127:$BD$127, MATCH(D164, Inflation!$D$125:$BD$125,0))</f>
        <v>8.0395057519675149E-3</v>
      </c>
      <c r="E166" s="554">
        <f>E165*INDEX(Inflation!$D$127:$BD$127, MATCH(E164, Inflation!$D$125:$BD$125,0))</f>
        <v>1.7038145996384053E-2</v>
      </c>
      <c r="F166" s="554">
        <f>F165*INDEX(Inflation!$D$127:$BD$127, MATCH(F164, Inflation!$D$125:$BD$125,0))</f>
        <v>2.697686857005345E-2</v>
      </c>
      <c r="G166" s="554">
        <f>G165*INDEX(Inflation!$D$127:$BD$127, MATCH(G164, Inflation!$D$125:$BD$125,0))</f>
        <v>2.8403614605124281E-2</v>
      </c>
      <c r="H166" s="554">
        <f>H165*INDEX(Inflation!$D$127:$BD$127, MATCH(H164, Inflation!$D$125:$BD$125,0))</f>
        <v>2.6583833863229513E-2</v>
      </c>
      <c r="I166" s="554">
        <f>I165*INDEX(Inflation!$D$127:$BD$127, MATCH(I164, Inflation!$D$125:$BD$125,0))</f>
        <v>2.5802168891566335E-2</v>
      </c>
      <c r="J166" s="554">
        <f>J165*INDEX(Inflation!$D$127:$BD$127, MATCH(J164, Inflation!$D$125:$BD$125,0))</f>
        <v>2.5714787517545273E-2</v>
      </c>
      <c r="K166" s="554">
        <f>K165*INDEX(Inflation!$D$127:$BD$127, MATCH(K164, Inflation!$D$125:$BD$125,0))</f>
        <v>2.6134213313934604E-2</v>
      </c>
      <c r="L166" s="554">
        <f>L165*INDEX(Inflation!$D$127:$BD$127, MATCH(L164, Inflation!$D$125:$BD$125,0))</f>
        <v>2.6879675077505251E-2</v>
      </c>
      <c r="M166" s="554">
        <f>M165*INDEX(Inflation!$D$127:$BD$127, MATCH(M164, Inflation!$D$125:$BD$125,0))</f>
        <v>2.7844117940008635E-2</v>
      </c>
      <c r="N166" s="554">
        <f>N165*INDEX(Inflation!$D$127:$BD$127, MATCH(N164, Inflation!$D$125:$BD$125,0))</f>
        <v>2.898034040970069E-2</v>
      </c>
      <c r="O166" s="554">
        <f>O165*INDEX(Inflation!$D$127:$BD$127, MATCH(O164, Inflation!$D$125:$BD$125,0))</f>
        <v>3.0224928633414878E-2</v>
      </c>
      <c r="P166" s="554">
        <f>P165*INDEX(Inflation!$D$127:$BD$127, MATCH(P164, Inflation!$D$125:$BD$125,0))</f>
        <v>3.1552139647231421E-2</v>
      </c>
      <c r="Q166" s="554">
        <f>Q165*INDEX(Inflation!$D$127:$BD$127, MATCH(Q164, Inflation!$D$125:$BD$125,0))</f>
        <v>3.2953256723619005E-2</v>
      </c>
      <c r="R166" s="554">
        <f>R165*INDEX(Inflation!$D$127:$BD$127, MATCH(R164, Inflation!$D$125:$BD$125,0))</f>
        <v>3.4420102567976327E-2</v>
      </c>
      <c r="S166" s="554">
        <f>S165*INDEX(Inflation!$D$127:$BD$127, MATCH(S164, Inflation!$D$125:$BD$125,0))</f>
        <v>3.5946279527182212E-2</v>
      </c>
      <c r="T166" s="554">
        <f>T165*INDEX(Inflation!$D$127:$BD$127, MATCH(T164, Inflation!$D$125:$BD$125,0))</f>
        <v>3.753487646299801E-2</v>
      </c>
      <c r="U166" s="554">
        <f>U165*INDEX(Inflation!$D$127:$BD$127, MATCH(U164, Inflation!$D$125:$BD$125,0))</f>
        <v>3.9201294653210796E-2</v>
      </c>
      <c r="V166" s="554">
        <f>V165*INDEX(Inflation!$D$127:$BD$127, MATCH(V164, Inflation!$D$125:$BD$125,0))</f>
        <v>4.0925364516555013E-2</v>
      </c>
      <c r="W166" s="554">
        <f>W165*INDEX(Inflation!$D$127:$BD$127, MATCH(W164, Inflation!$D$125:$BD$125,0))</f>
        <v>4.2704439406464768E-2</v>
      </c>
      <c r="X166" s="554">
        <f>X165*INDEX(Inflation!$D$127:$BD$127, MATCH(X164, Inflation!$D$125:$BD$125,0))</f>
        <v>4.4549557357144449E-2</v>
      </c>
      <c r="Y166" s="554">
        <f>Y165*INDEX(Inflation!$D$127:$BD$127, MATCH(Y164, Inflation!$D$125:$BD$125,0))</f>
        <v>4.6457264053435025E-2</v>
      </c>
      <c r="Z166" s="554">
        <f>Z165*INDEX(Inflation!$D$127:$BD$127, MATCH(Z164, Inflation!$D$125:$BD$125,0))</f>
        <v>4.84254998227883E-2</v>
      </c>
      <c r="AA166" s="554">
        <f>AA165*INDEX(Inflation!$D$127:$BD$127, MATCH(AA164, Inflation!$D$125:$BD$125,0))</f>
        <v>5.0453439576810713E-2</v>
      </c>
      <c r="AB166" s="554">
        <f>AB165*INDEX(Inflation!$D$127:$BD$127, MATCH(AB164, Inflation!$D$125:$BD$125,0))</f>
        <v>5.2545729217974901E-2</v>
      </c>
      <c r="AC166" s="554">
        <f>AC165*INDEX(Inflation!$D$127:$BD$127, MATCH(AC164, Inflation!$D$125:$BD$125,0))</f>
        <v>5.4699353848229389E-2</v>
      </c>
      <c r="AD166" s="554">
        <f>AD165*INDEX(Inflation!$D$127:$BD$127, MATCH(AD164, Inflation!$D$125:$BD$125,0))</f>
        <v>5.6911528174973455E-2</v>
      </c>
      <c r="AE166" s="554">
        <f>AE165*INDEX(Inflation!$D$127:$BD$127, MATCH(AE164, Inflation!$D$125:$BD$125,0))</f>
        <v>5.9180599377431843E-2</v>
      </c>
      <c r="AF166" s="554">
        <f>AF165*INDEX(Inflation!$D$127:$BD$127, MATCH(AF164, Inflation!$D$125:$BD$125,0))</f>
        <v>6.15085960190715E-2</v>
      </c>
      <c r="AG166" s="554">
        <f>AG165*INDEX(Inflation!$D$127:$BD$127, MATCH(AG164, Inflation!$D$125:$BD$125,0))</f>
        <v>6.3905116041544141E-2</v>
      </c>
      <c r="AH166" s="554">
        <f>AH165*INDEX(Inflation!$D$127:$BD$127, MATCH(AH164, Inflation!$D$125:$BD$125,0))</f>
        <v>6.6372595313779245E-2</v>
      </c>
      <c r="AI166" s="554">
        <f>AI165*INDEX(Inflation!$D$127:$BD$127, MATCH(AI164, Inflation!$D$125:$BD$125,0))</f>
        <v>6.8918053405727306E-2</v>
      </c>
      <c r="AJ166" s="554">
        <f>AJ165*INDEX(Inflation!$D$127:$BD$127, MATCH(AJ164, Inflation!$D$125:$BD$125,0))</f>
        <v>7.153872826386258E-2</v>
      </c>
      <c r="AK166" s="554">
        <f>AK165*INDEX(Inflation!$D$127:$BD$127, MATCH(AK164, Inflation!$D$125:$BD$125,0))</f>
        <v>7.4227418476893348E-2</v>
      </c>
      <c r="AL166" s="554">
        <f>AL165*INDEX(Inflation!$D$127:$BD$127, MATCH(AL164, Inflation!$D$125:$BD$125,0))</f>
        <v>7.6980832085670831E-2</v>
      </c>
      <c r="AM166" s="554">
        <f>AM165*INDEX(Inflation!$D$127:$BD$127, MATCH(AM164, Inflation!$D$125:$BD$125,0))</f>
        <v>7.9795728094630994E-2</v>
      </c>
      <c r="AN166" s="554">
        <f>AN165*INDEX(Inflation!$D$127:$BD$127, MATCH(AN164, Inflation!$D$125:$BD$125,0))</f>
        <v>8.2669969190152987E-2</v>
      </c>
      <c r="AO166" s="554">
        <f>AO165*INDEX(Inflation!$D$127:$BD$127, MATCH(AO164, Inflation!$D$125:$BD$125,0))</f>
        <v>8.5601654223426624E-2</v>
      </c>
      <c r="AP166" s="554">
        <f>AP165*INDEX(Inflation!$D$127:$BD$127, MATCH(AP164, Inflation!$D$125:$BD$125,0))</f>
        <v>8.8608613470949407E-2</v>
      </c>
      <c r="AQ166" s="554">
        <f>AQ165*INDEX(Inflation!$D$127:$BD$127, MATCH(AQ164, Inflation!$D$125:$BD$125,0))</f>
        <v>9.1707982874775926E-2</v>
      </c>
      <c r="AR166" s="554">
        <f>AR165*INDEX(Inflation!$D$127:$BD$127, MATCH(AR164, Inflation!$D$125:$BD$125,0))</f>
        <v>9.4913131572484932E-2</v>
      </c>
      <c r="AS166" s="554">
        <f>AS165*INDEX(Inflation!$D$127:$BD$127, MATCH(AS164, Inflation!$D$125:$BD$125,0))</f>
        <v>9.815705938236706E-2</v>
      </c>
      <c r="AT166" s="554" t="e">
        <f>AT165*INDEX(Inflation!$D$127:$BD$127, MATCH(AT164, Inflation!$D$125:$BD$125,0))</f>
        <v>#N/A</v>
      </c>
      <c r="AU166" s="554" t="e">
        <f>AU165*INDEX(Inflation!$D$127:$BD$127, MATCH(AU164, Inflation!$D$125:$BD$125,0))</f>
        <v>#N/A</v>
      </c>
      <c r="AV166" s="554" t="e">
        <f>AV165*INDEX(Inflation!$D$127:$BD$127, MATCH(AV164, Inflation!$D$125:$BD$125,0))</f>
        <v>#N/A</v>
      </c>
      <c r="AW166" s="554" t="e">
        <f>AW165*INDEX(Inflation!$D$127:$BD$127, MATCH(AW164, Inflation!$D$125:$BD$125,0))</f>
        <v>#N/A</v>
      </c>
      <c r="AX166" s="554" t="e">
        <f>AX165*INDEX(Inflation!$D$127:$BD$127, MATCH(AX164, Inflation!$D$125:$BD$125,0))</f>
        <v>#N/A</v>
      </c>
      <c r="AY166" s="554" t="e">
        <f>AY165*INDEX(Inflation!$D$127:$BD$127, MATCH(AY164, Inflation!$D$125:$BD$125,0))</f>
        <v>#N/A</v>
      </c>
      <c r="AZ166" s="554" t="e">
        <f>AZ165*INDEX(Inflation!$D$127:$BD$127, MATCH(AZ164, Inflation!$D$125:$BD$125,0))</f>
        <v>#N/A</v>
      </c>
      <c r="BA166" s="554" t="e">
        <f>BA165*INDEX(Inflation!$D$127:$BD$127, MATCH(BA164, Inflation!$D$125:$BD$125,0))</f>
        <v>#N/A</v>
      </c>
      <c r="BB166"/>
      <c r="BC166"/>
    </row>
    <row r="167" spans="1:55">
      <c r="B167" s="151" t="s">
        <v>3220</v>
      </c>
    </row>
    <row r="168" spans="1:55">
      <c r="B168" s="151" t="s">
        <v>3762</v>
      </c>
    </row>
    <row r="172" spans="1:55" s="588" customFormat="1" ht="17.399999999999999" customHeight="1">
      <c r="A172" s="593" t="s">
        <v>3365</v>
      </c>
    </row>
    <row r="173" spans="1:55">
      <c r="A173" s="152" t="s">
        <v>3392</v>
      </c>
    </row>
    <row r="174" spans="1:55">
      <c r="A174" s="152" t="s">
        <v>3416</v>
      </c>
    </row>
    <row r="175" spans="1:55">
      <c r="A175" s="152" t="s">
        <v>3417</v>
      </c>
      <c r="E175" s="3"/>
    </row>
    <row r="176" spans="1:55">
      <c r="A176" s="152" t="s">
        <v>3415</v>
      </c>
    </row>
    <row r="177" spans="1:53">
      <c r="A177" s="152"/>
    </row>
    <row r="178" spans="1:53" ht="29">
      <c r="B178" s="550" t="s">
        <v>3137</v>
      </c>
      <c r="C178" s="234">
        <f>'Control Assumptions'!C101</f>
        <v>0.15</v>
      </c>
    </row>
    <row r="180" spans="1:53">
      <c r="B180" s="34"/>
      <c r="C180" s="34">
        <f t="shared" ref="C180:AO180" si="65">C91</f>
        <v>2020</v>
      </c>
      <c r="D180" s="34">
        <f t="shared" si="65"/>
        <v>2021</v>
      </c>
      <c r="E180" s="34">
        <f t="shared" si="65"/>
        <v>2022</v>
      </c>
      <c r="F180" s="34">
        <f t="shared" si="65"/>
        <v>2023</v>
      </c>
      <c r="G180" s="34">
        <f t="shared" si="65"/>
        <v>2024</v>
      </c>
      <c r="H180" s="34">
        <f t="shared" si="65"/>
        <v>2025</v>
      </c>
      <c r="I180" s="34">
        <f t="shared" si="65"/>
        <v>2026</v>
      </c>
      <c r="J180" s="34">
        <f t="shared" si="65"/>
        <v>2027</v>
      </c>
      <c r="K180" s="34">
        <f t="shared" si="65"/>
        <v>2028</v>
      </c>
      <c r="L180" s="34">
        <f t="shared" si="65"/>
        <v>2029</v>
      </c>
      <c r="M180" s="34">
        <f t="shared" si="65"/>
        <v>2030</v>
      </c>
      <c r="N180" s="34">
        <f t="shared" si="65"/>
        <v>2031</v>
      </c>
      <c r="O180" s="34">
        <f t="shared" si="65"/>
        <v>2032</v>
      </c>
      <c r="P180" s="34">
        <f t="shared" si="65"/>
        <v>2033</v>
      </c>
      <c r="Q180" s="34">
        <f t="shared" si="65"/>
        <v>2034</v>
      </c>
      <c r="R180" s="34">
        <f t="shared" si="65"/>
        <v>2035</v>
      </c>
      <c r="S180" s="34">
        <f t="shared" si="65"/>
        <v>2036</v>
      </c>
      <c r="T180" s="34">
        <f t="shared" si="65"/>
        <v>2037</v>
      </c>
      <c r="U180" s="34">
        <f t="shared" si="65"/>
        <v>2038</v>
      </c>
      <c r="V180" s="34">
        <f t="shared" si="65"/>
        <v>2039</v>
      </c>
      <c r="W180" s="34">
        <f t="shared" si="65"/>
        <v>2040</v>
      </c>
      <c r="X180" s="34">
        <f t="shared" si="65"/>
        <v>2041</v>
      </c>
      <c r="Y180" s="34">
        <f t="shared" si="65"/>
        <v>2042</v>
      </c>
      <c r="Z180" s="34">
        <f t="shared" si="65"/>
        <v>2043</v>
      </c>
      <c r="AA180" s="34">
        <f t="shared" si="65"/>
        <v>2044</v>
      </c>
      <c r="AB180" s="34">
        <f t="shared" si="65"/>
        <v>2045</v>
      </c>
      <c r="AC180" s="34">
        <f t="shared" si="65"/>
        <v>2046</v>
      </c>
      <c r="AD180" s="34">
        <f t="shared" si="65"/>
        <v>2047</v>
      </c>
      <c r="AE180" s="34">
        <f t="shared" si="65"/>
        <v>2048</v>
      </c>
      <c r="AF180" s="34">
        <f t="shared" si="65"/>
        <v>2049</v>
      </c>
      <c r="AG180" s="34">
        <f t="shared" si="65"/>
        <v>2050</v>
      </c>
      <c r="AH180" s="34">
        <f t="shared" si="65"/>
        <v>2051</v>
      </c>
      <c r="AI180" s="34">
        <f t="shared" si="65"/>
        <v>2052</v>
      </c>
      <c r="AJ180" s="34">
        <f t="shared" si="65"/>
        <v>2053</v>
      </c>
      <c r="AK180" s="34">
        <f t="shared" si="65"/>
        <v>2054</v>
      </c>
      <c r="AL180" s="34">
        <f t="shared" si="65"/>
        <v>2055</v>
      </c>
      <c r="AM180" s="34">
        <f t="shared" si="65"/>
        <v>2056</v>
      </c>
      <c r="AN180" s="34">
        <f t="shared" si="65"/>
        <v>2057</v>
      </c>
      <c r="AO180" s="34">
        <f t="shared" si="65"/>
        <v>2058</v>
      </c>
      <c r="AP180" s="34">
        <f t="shared" ref="AP180:BA180" si="66">AP91</f>
        <v>2059</v>
      </c>
      <c r="AQ180" s="34">
        <f t="shared" si="66"/>
        <v>2060</v>
      </c>
      <c r="AR180" s="34">
        <f t="shared" si="66"/>
        <v>2061</v>
      </c>
      <c r="AS180" s="34">
        <f t="shared" si="66"/>
        <v>2062</v>
      </c>
      <c r="AT180" s="34">
        <f t="shared" si="66"/>
        <v>2063</v>
      </c>
      <c r="AU180" s="34">
        <f t="shared" si="66"/>
        <v>2064</v>
      </c>
      <c r="AV180" s="34">
        <f t="shared" si="66"/>
        <v>2065</v>
      </c>
      <c r="AW180" s="34">
        <f t="shared" si="66"/>
        <v>2066</v>
      </c>
      <c r="AX180" s="34">
        <f t="shared" si="66"/>
        <v>2067</v>
      </c>
      <c r="AY180" s="34">
        <f t="shared" si="66"/>
        <v>2068</v>
      </c>
      <c r="AZ180" s="34">
        <f t="shared" si="66"/>
        <v>2069</v>
      </c>
      <c r="BA180" s="34">
        <f t="shared" si="66"/>
        <v>2070</v>
      </c>
    </row>
    <row r="181" spans="1:53">
      <c r="B181" s="431" t="s">
        <v>24</v>
      </c>
      <c r="C181" s="470">
        <f t="shared" ref="C181:AO181" si="67">SUM(C92:C94)</f>
        <v>400.5</v>
      </c>
      <c r="D181" s="470">
        <f t="shared" si="67"/>
        <v>417.31554044332972</v>
      </c>
      <c r="E181" s="470">
        <f t="shared" si="67"/>
        <v>432.35135833709222</v>
      </c>
      <c r="F181" s="470">
        <f t="shared" si="67"/>
        <v>446.19433300307139</v>
      </c>
      <c r="G181" s="470">
        <f t="shared" si="67"/>
        <v>459.32005269003565</v>
      </c>
      <c r="H181" s="470">
        <f t="shared" si="67"/>
        <v>420.30899989991019</v>
      </c>
      <c r="I181" s="470">
        <f t="shared" si="67"/>
        <v>398.85640416901202</v>
      </c>
      <c r="J181" s="470">
        <f t="shared" si="67"/>
        <v>388.64454531966015</v>
      </c>
      <c r="K181" s="470">
        <f t="shared" si="67"/>
        <v>386.17872901375318</v>
      </c>
      <c r="L181" s="470">
        <f t="shared" si="67"/>
        <v>388.34007715348338</v>
      </c>
      <c r="M181" s="470">
        <f t="shared" si="67"/>
        <v>393.30633639604076</v>
      </c>
      <c r="N181" s="470">
        <f t="shared" si="67"/>
        <v>400.23055552416156</v>
      </c>
      <c r="O181" s="470">
        <f t="shared" si="67"/>
        <v>408.11384100913756</v>
      </c>
      <c r="P181" s="470">
        <f t="shared" si="67"/>
        <v>416.53752857097163</v>
      </c>
      <c r="Q181" s="470">
        <f t="shared" si="67"/>
        <v>425.33678388642682</v>
      </c>
      <c r="R181" s="470">
        <f t="shared" si="67"/>
        <v>434.36621845760544</v>
      </c>
      <c r="S181" s="470">
        <f t="shared" si="67"/>
        <v>443.51377149376259</v>
      </c>
      <c r="T181" s="470">
        <f t="shared" si="67"/>
        <v>452.79063300205831</v>
      </c>
      <c r="U181" s="470">
        <f t="shared" si="67"/>
        <v>462.35135410070598</v>
      </c>
      <c r="V181" s="470">
        <f t="shared" si="67"/>
        <v>471.92562610547083</v>
      </c>
      <c r="W181" s="470">
        <f t="shared" si="67"/>
        <v>481.46343518193311</v>
      </c>
      <c r="X181" s="470">
        <f t="shared" si="67"/>
        <v>491.06949739389307</v>
      </c>
      <c r="Y181" s="470">
        <f t="shared" si="67"/>
        <v>500.68257391621921</v>
      </c>
      <c r="Z181" s="470">
        <f t="shared" si="67"/>
        <v>510.26083915021775</v>
      </c>
      <c r="AA181" s="470">
        <f t="shared" si="67"/>
        <v>519.77835038036824</v>
      </c>
      <c r="AB181" s="470">
        <f t="shared" si="67"/>
        <v>529.26614119020576</v>
      </c>
      <c r="AC181" s="470">
        <f t="shared" si="67"/>
        <v>538.6766678901065</v>
      </c>
      <c r="AD181" s="470">
        <f t="shared" si="67"/>
        <v>547.96837775820893</v>
      </c>
      <c r="AE181" s="470">
        <f t="shared" si="67"/>
        <v>557.11376567727882</v>
      </c>
      <c r="AF181" s="470">
        <f t="shared" si="67"/>
        <v>566.12146891313023</v>
      </c>
      <c r="AG181" s="470">
        <f t="shared" si="67"/>
        <v>575.06736119701168</v>
      </c>
      <c r="AH181" s="470">
        <f t="shared" si="67"/>
        <v>583.95740766832921</v>
      </c>
      <c r="AI181" s="470">
        <f t="shared" si="67"/>
        <v>592.8361183698745</v>
      </c>
      <c r="AJ181" s="470">
        <f t="shared" si="67"/>
        <v>601.6613985637689</v>
      </c>
      <c r="AK181" s="470">
        <f t="shared" si="67"/>
        <v>610.35790086761062</v>
      </c>
      <c r="AL181" s="470">
        <f t="shared" si="67"/>
        <v>618.88804817204527</v>
      </c>
      <c r="AM181" s="470">
        <f t="shared" si="67"/>
        <v>627.21786112008135</v>
      </c>
      <c r="AN181" s="470">
        <f t="shared" si="67"/>
        <v>635.32483415918432</v>
      </c>
      <c r="AO181" s="470">
        <f t="shared" si="67"/>
        <v>643.19031159910674</v>
      </c>
      <c r="AP181" s="470">
        <f t="shared" ref="AP181:BA181" si="68">SUM(AP92:AP94)</f>
        <v>650.94239600484002</v>
      </c>
      <c r="AQ181" s="470">
        <f t="shared" si="68"/>
        <v>658.69298629559023</v>
      </c>
      <c r="AR181" s="470">
        <f t="shared" si="68"/>
        <v>666.51738440764166</v>
      </c>
      <c r="AS181" s="470">
        <f t="shared" si="68"/>
        <v>673.93187609433903</v>
      </c>
      <c r="AT181" s="470">
        <f t="shared" si="68"/>
        <v>681.094440561998</v>
      </c>
      <c r="AU181" s="470">
        <f t="shared" si="68"/>
        <v>688.1090082502426</v>
      </c>
      <c r="AV181" s="470">
        <f t="shared" si="68"/>
        <v>694.69538034340928</v>
      </c>
      <c r="AW181" s="470">
        <f t="shared" si="68"/>
        <v>701.04669676968842</v>
      </c>
      <c r="AX181" s="470">
        <f t="shared" si="68"/>
        <v>707.27554582547293</v>
      </c>
      <c r="AY181" s="470">
        <f t="shared" si="68"/>
        <v>713.44637642060673</v>
      </c>
      <c r="AZ181" s="470">
        <f t="shared" si="68"/>
        <v>719.59506188609907</v>
      </c>
      <c r="BA181" s="470">
        <f t="shared" si="68"/>
        <v>725.74069718113833</v>
      </c>
    </row>
    <row r="182" spans="1:53">
      <c r="B182" s="431" t="s">
        <v>3138</v>
      </c>
      <c r="C182" s="470">
        <f>C181*$C$178</f>
        <v>60.074999999999996</v>
      </c>
      <c r="D182" s="470">
        <f t="shared" ref="D182:AE182" si="69">D181*$C$178</f>
        <v>62.597331066499457</v>
      </c>
      <c r="E182" s="470">
        <f t="shared" si="69"/>
        <v>64.852703750563833</v>
      </c>
      <c r="F182" s="470">
        <f t="shared" si="69"/>
        <v>66.929149950460712</v>
      </c>
      <c r="G182" s="470">
        <f t="shared" si="69"/>
        <v>68.898007903505345</v>
      </c>
      <c r="H182" s="470">
        <f t="shared" si="69"/>
        <v>63.046349984986527</v>
      </c>
      <c r="I182" s="470">
        <f t="shared" si="69"/>
        <v>59.828460625351802</v>
      </c>
      <c r="J182" s="470">
        <f t="shared" si="69"/>
        <v>58.29668179794902</v>
      </c>
      <c r="K182" s="470">
        <f t="shared" si="69"/>
        <v>57.926809352062975</v>
      </c>
      <c r="L182" s="470">
        <f t="shared" si="69"/>
        <v>58.251011573022502</v>
      </c>
      <c r="M182" s="470">
        <f t="shared" si="69"/>
        <v>58.99595045940611</v>
      </c>
      <c r="N182" s="470">
        <f t="shared" si="69"/>
        <v>60.03458332862423</v>
      </c>
      <c r="O182" s="470">
        <f t="shared" si="69"/>
        <v>61.217076151370634</v>
      </c>
      <c r="P182" s="470">
        <f t="shared" si="69"/>
        <v>62.48062928564574</v>
      </c>
      <c r="Q182" s="470">
        <f t="shared" si="69"/>
        <v>63.800517582964019</v>
      </c>
      <c r="R182" s="470">
        <f t="shared" si="69"/>
        <v>65.154932768640819</v>
      </c>
      <c r="S182" s="470">
        <f t="shared" si="69"/>
        <v>66.527065724064386</v>
      </c>
      <c r="T182" s="470">
        <f t="shared" si="69"/>
        <v>67.918594950308744</v>
      </c>
      <c r="U182" s="470">
        <f t="shared" si="69"/>
        <v>69.352703115105896</v>
      </c>
      <c r="V182" s="470">
        <f t="shared" si="69"/>
        <v>70.788843915820621</v>
      </c>
      <c r="W182" s="470">
        <f t="shared" si="69"/>
        <v>72.219515277289958</v>
      </c>
      <c r="X182" s="470">
        <f t="shared" si="69"/>
        <v>73.660424609083961</v>
      </c>
      <c r="Y182" s="470">
        <f t="shared" si="69"/>
        <v>75.102386087432876</v>
      </c>
      <c r="Z182" s="470">
        <f t="shared" si="69"/>
        <v>76.539125872532665</v>
      </c>
      <c r="AA182" s="470">
        <f t="shared" si="69"/>
        <v>77.96675255705523</v>
      </c>
      <c r="AB182" s="470">
        <f t="shared" si="69"/>
        <v>79.389921178530855</v>
      </c>
      <c r="AC182" s="470">
        <f t="shared" si="69"/>
        <v>80.801500183515969</v>
      </c>
      <c r="AD182" s="470">
        <f t="shared" si="69"/>
        <v>82.195256663731342</v>
      </c>
      <c r="AE182" s="470">
        <f t="shared" si="69"/>
        <v>83.567064851591823</v>
      </c>
      <c r="AF182" s="470">
        <f t="shared" ref="AF182:AO182" si="70">AF181*$C$178</f>
        <v>84.918220336969526</v>
      </c>
      <c r="AG182" s="470">
        <f t="shared" si="70"/>
        <v>86.260104179551746</v>
      </c>
      <c r="AH182" s="470">
        <f t="shared" si="70"/>
        <v>87.593611150249373</v>
      </c>
      <c r="AI182" s="470">
        <f t="shared" si="70"/>
        <v>88.925417755481178</v>
      </c>
      <c r="AJ182" s="470">
        <f t="shared" si="70"/>
        <v>90.249209784565338</v>
      </c>
      <c r="AK182" s="470">
        <f t="shared" si="70"/>
        <v>91.553685130141588</v>
      </c>
      <c r="AL182" s="470">
        <f t="shared" si="70"/>
        <v>92.833207225806788</v>
      </c>
      <c r="AM182" s="470">
        <f t="shared" si="70"/>
        <v>94.082679168012206</v>
      </c>
      <c r="AN182" s="470">
        <f t="shared" si="70"/>
        <v>95.298725123877645</v>
      </c>
      <c r="AO182" s="470">
        <f t="shared" si="70"/>
        <v>96.478546739866005</v>
      </c>
      <c r="AP182" s="470">
        <f t="shared" ref="AP182:BA182" si="71">AP181*$C$178</f>
        <v>97.641359400726003</v>
      </c>
      <c r="AQ182" s="470">
        <f t="shared" si="71"/>
        <v>98.803947944338532</v>
      </c>
      <c r="AR182" s="470">
        <f t="shared" si="71"/>
        <v>99.977607661146251</v>
      </c>
      <c r="AS182" s="470">
        <f t="shared" si="71"/>
        <v>101.08978141415085</v>
      </c>
      <c r="AT182" s="470">
        <f t="shared" si="71"/>
        <v>102.16416608429969</v>
      </c>
      <c r="AU182" s="470">
        <f t="shared" si="71"/>
        <v>103.21635123753639</v>
      </c>
      <c r="AV182" s="470">
        <f t="shared" si="71"/>
        <v>104.20430705151139</v>
      </c>
      <c r="AW182" s="470">
        <f t="shared" si="71"/>
        <v>105.15700451545327</v>
      </c>
      <c r="AX182" s="470">
        <f t="shared" si="71"/>
        <v>106.09133187382093</v>
      </c>
      <c r="AY182" s="470">
        <f t="shared" si="71"/>
        <v>107.01695646309101</v>
      </c>
      <c r="AZ182" s="470">
        <f t="shared" si="71"/>
        <v>107.93925928291486</v>
      </c>
      <c r="BA182" s="470">
        <f t="shared" si="71"/>
        <v>108.86110457717075</v>
      </c>
    </row>
    <row r="183" spans="1:53">
      <c r="B183" s="49"/>
      <c r="C183" s="49"/>
      <c r="D183" s="49"/>
    </row>
    <row r="184" spans="1:53">
      <c r="B184" s="49"/>
      <c r="C184" s="49"/>
      <c r="D184" s="49"/>
    </row>
    <row r="186" spans="1:53">
      <c r="B186" s="269" t="s">
        <v>3114</v>
      </c>
      <c r="C186" s="475">
        <v>215</v>
      </c>
    </row>
    <row r="187" spans="1:53" ht="29">
      <c r="B187" s="269" t="s">
        <v>3115</v>
      </c>
      <c r="C187" s="475">
        <v>821</v>
      </c>
    </row>
    <row r="189" spans="1:53" ht="29">
      <c r="B189" s="84" t="s">
        <v>3119</v>
      </c>
      <c r="C189" s="476" t="s">
        <v>3116</v>
      </c>
      <c r="D189" s="476" t="s">
        <v>3117</v>
      </c>
      <c r="E189" s="476" t="s">
        <v>3121</v>
      </c>
      <c r="F189" s="151"/>
      <c r="G189" s="218" t="s">
        <v>3118</v>
      </c>
    </row>
    <row r="190" spans="1:53">
      <c r="B190" s="333" t="s">
        <v>3083</v>
      </c>
      <c r="C190" s="478">
        <v>0.28000000000000003</v>
      </c>
      <c r="D190" s="430"/>
      <c r="E190" s="479">
        <f>(D190/60)*G190</f>
        <v>0</v>
      </c>
      <c r="F190" s="151" t="s">
        <v>3268</v>
      </c>
      <c r="G190" s="690">
        <f>D146</f>
        <v>27</v>
      </c>
    </row>
    <row r="191" spans="1:53">
      <c r="B191" s="333" t="s">
        <v>3072</v>
      </c>
      <c r="C191" s="478">
        <v>0.42</v>
      </c>
      <c r="D191" s="430"/>
      <c r="E191" s="479">
        <f>(D191/60)*G191</f>
        <v>0</v>
      </c>
      <c r="F191" s="151" t="s">
        <v>3268</v>
      </c>
      <c r="G191" s="690">
        <f>D147</f>
        <v>37</v>
      </c>
    </row>
    <row r="192" spans="1:53">
      <c r="B192" s="333" t="s">
        <v>3073</v>
      </c>
      <c r="C192" s="478">
        <v>0.23</v>
      </c>
      <c r="D192" s="430"/>
      <c r="E192" s="479">
        <f>(D192/60)*G192</f>
        <v>0</v>
      </c>
      <c r="F192" s="151" t="s">
        <v>3268</v>
      </c>
      <c r="G192" s="690">
        <f>D148</f>
        <v>46</v>
      </c>
    </row>
    <row r="193" spans="2:7">
      <c r="B193" s="333" t="s">
        <v>3071</v>
      </c>
      <c r="C193" s="478">
        <v>7.0000000000000007E-2</v>
      </c>
      <c r="D193" s="477">
        <f t="shared" ref="D193" si="72">C193*$C$187</f>
        <v>57.470000000000006</v>
      </c>
      <c r="E193" s="479">
        <f>(D193/60)*G193</f>
        <v>52.680833333333339</v>
      </c>
      <c r="G193" s="690">
        <f>D149</f>
        <v>55</v>
      </c>
    </row>
    <row r="194" spans="2:7">
      <c r="B194" s="559" t="s">
        <v>22</v>
      </c>
      <c r="C194" s="676"/>
      <c r="D194" s="691"/>
      <c r="E194" s="484">
        <f>SUM(E190:E193)</f>
        <v>52.680833333333339</v>
      </c>
      <c r="G194" s="480"/>
    </row>
    <row r="195" spans="2:7">
      <c r="B195" s="49"/>
      <c r="C195" s="152" t="b">
        <f>SUM(C190:C193)=1</f>
        <v>1</v>
      </c>
      <c r="D195" s="473"/>
    </row>
    <row r="196" spans="2:7">
      <c r="B196" s="49"/>
      <c r="C196" s="49"/>
      <c r="D196" s="473"/>
    </row>
    <row r="197" spans="2:7">
      <c r="B197" s="269" t="s">
        <v>3122</v>
      </c>
      <c r="C197" s="475">
        <v>21</v>
      </c>
    </row>
    <row r="198" spans="2:7">
      <c r="C198" s="145"/>
    </row>
    <row r="199" spans="2:7" ht="29">
      <c r="B199" s="269" t="s">
        <v>3123</v>
      </c>
      <c r="C199" s="490">
        <f>E194/C197</f>
        <v>2.5086111111111116</v>
      </c>
    </row>
    <row r="200" spans="2:7">
      <c r="B200" s="152" t="s">
        <v>3124</v>
      </c>
      <c r="C200" s="145"/>
    </row>
    <row r="203" spans="2:7">
      <c r="B203" s="9" t="s">
        <v>3574</v>
      </c>
    </row>
    <row r="204" spans="2:7">
      <c r="B204" s="152" t="s">
        <v>3130</v>
      </c>
    </row>
    <row r="205" spans="2:7">
      <c r="B205" s="152"/>
    </row>
    <row r="206" spans="2:7">
      <c r="B206" s="269" t="s">
        <v>3128</v>
      </c>
      <c r="C206" s="482">
        <v>0.78</v>
      </c>
    </row>
    <row r="207" spans="2:7">
      <c r="B207" s="152"/>
    </row>
    <row r="208" spans="2:7" ht="29">
      <c r="B208" s="84" t="s">
        <v>3125</v>
      </c>
      <c r="C208" s="476" t="s">
        <v>3126</v>
      </c>
      <c r="D208" s="476" t="s">
        <v>3127</v>
      </c>
      <c r="E208" s="476" t="s">
        <v>3393</v>
      </c>
    </row>
    <row r="209" spans="1:53">
      <c r="B209" s="269" t="s">
        <v>2828</v>
      </c>
      <c r="C209" s="177">
        <f>'VLU Care Pathways'!C52</f>
        <v>1</v>
      </c>
      <c r="D209" s="177">
        <f>C209*(52/2)*(1+(1-$C$206))</f>
        <v>31.72</v>
      </c>
      <c r="E209" s="483">
        <f>'Control Assumptions'!C148/SUM('Control Assumptions'!$C$148:$C$149)</f>
        <v>0.39130434782608692</v>
      </c>
    </row>
    <row r="210" spans="1:53">
      <c r="B210" s="269" t="s">
        <v>102</v>
      </c>
      <c r="C210" s="177">
        <f>'VLU Care Pathways'!C71</f>
        <v>1</v>
      </c>
      <c r="D210" s="177">
        <f>C210*(52/2)*(1+(1-$C$206))</f>
        <v>31.72</v>
      </c>
      <c r="E210" s="483">
        <f>'Control Assumptions'!C149/SUM('Control Assumptions'!$C$148:$C$149)</f>
        <v>0.60869565217391308</v>
      </c>
    </row>
    <row r="211" spans="1:53">
      <c r="E211" s="151" t="b">
        <f>SUM(E209:E210)=1</f>
        <v>1</v>
      </c>
    </row>
    <row r="212" spans="1:53">
      <c r="B212" s="266" t="s">
        <v>3129</v>
      </c>
      <c r="C212" s="484">
        <f>C199*SUMPRODUCT(D209:D210,E209:E210)</f>
        <v>79.573144444444452</v>
      </c>
    </row>
    <row r="213" spans="1:53">
      <c r="B213" s="266" t="s">
        <v>3129</v>
      </c>
      <c r="C213" s="484">
        <f>C212</f>
        <v>79.573144444444452</v>
      </c>
    </row>
    <row r="214" spans="1:53">
      <c r="B214" s="252"/>
      <c r="C214" s="487"/>
    </row>
    <row r="216" spans="1:53">
      <c r="B216" s="9" t="s">
        <v>3222</v>
      </c>
    </row>
    <row r="217" spans="1:53" ht="16.25" customHeight="1"/>
    <row r="218" spans="1:53">
      <c r="A218" s="9"/>
      <c r="B218" s="34" t="s">
        <v>3217</v>
      </c>
      <c r="C218" s="34">
        <f t="shared" ref="C218:AO218" si="73">C91</f>
        <v>2020</v>
      </c>
      <c r="D218" s="34">
        <f t="shared" si="73"/>
        <v>2021</v>
      </c>
      <c r="E218" s="34">
        <f t="shared" si="73"/>
        <v>2022</v>
      </c>
      <c r="F218" s="34">
        <f t="shared" si="73"/>
        <v>2023</v>
      </c>
      <c r="G218" s="34">
        <f t="shared" si="73"/>
        <v>2024</v>
      </c>
      <c r="H218" s="34">
        <f t="shared" si="73"/>
        <v>2025</v>
      </c>
      <c r="I218" s="34">
        <f t="shared" si="73"/>
        <v>2026</v>
      </c>
      <c r="J218" s="34">
        <f t="shared" si="73"/>
        <v>2027</v>
      </c>
      <c r="K218" s="34">
        <f t="shared" si="73"/>
        <v>2028</v>
      </c>
      <c r="L218" s="34">
        <f t="shared" si="73"/>
        <v>2029</v>
      </c>
      <c r="M218" s="34">
        <f t="shared" si="73"/>
        <v>2030</v>
      </c>
      <c r="N218" s="34">
        <f t="shared" si="73"/>
        <v>2031</v>
      </c>
      <c r="O218" s="34">
        <f t="shared" si="73"/>
        <v>2032</v>
      </c>
      <c r="P218" s="34">
        <f t="shared" si="73"/>
        <v>2033</v>
      </c>
      <c r="Q218" s="34">
        <f t="shared" si="73"/>
        <v>2034</v>
      </c>
      <c r="R218" s="34">
        <f t="shared" si="73"/>
        <v>2035</v>
      </c>
      <c r="S218" s="34">
        <f t="shared" si="73"/>
        <v>2036</v>
      </c>
      <c r="T218" s="34">
        <f t="shared" si="73"/>
        <v>2037</v>
      </c>
      <c r="U218" s="34">
        <f t="shared" si="73"/>
        <v>2038</v>
      </c>
      <c r="V218" s="34">
        <f t="shared" si="73"/>
        <v>2039</v>
      </c>
      <c r="W218" s="34">
        <f t="shared" si="73"/>
        <v>2040</v>
      </c>
      <c r="X218" s="34">
        <f t="shared" si="73"/>
        <v>2041</v>
      </c>
      <c r="Y218" s="34">
        <f t="shared" si="73"/>
        <v>2042</v>
      </c>
      <c r="Z218" s="34">
        <f t="shared" si="73"/>
        <v>2043</v>
      </c>
      <c r="AA218" s="34">
        <f t="shared" si="73"/>
        <v>2044</v>
      </c>
      <c r="AB218" s="34">
        <f t="shared" si="73"/>
        <v>2045</v>
      </c>
      <c r="AC218" s="34">
        <f t="shared" si="73"/>
        <v>2046</v>
      </c>
      <c r="AD218" s="34">
        <f t="shared" si="73"/>
        <v>2047</v>
      </c>
      <c r="AE218" s="34">
        <f t="shared" si="73"/>
        <v>2048</v>
      </c>
      <c r="AF218" s="34">
        <f t="shared" si="73"/>
        <v>2049</v>
      </c>
      <c r="AG218" s="34">
        <f t="shared" si="73"/>
        <v>2050</v>
      </c>
      <c r="AH218" s="34">
        <f t="shared" si="73"/>
        <v>2051</v>
      </c>
      <c r="AI218" s="34">
        <f t="shared" si="73"/>
        <v>2052</v>
      </c>
      <c r="AJ218" s="34">
        <f t="shared" si="73"/>
        <v>2053</v>
      </c>
      <c r="AK218" s="34">
        <f t="shared" si="73"/>
        <v>2054</v>
      </c>
      <c r="AL218" s="34">
        <f t="shared" si="73"/>
        <v>2055</v>
      </c>
      <c r="AM218" s="34">
        <f t="shared" si="73"/>
        <v>2056</v>
      </c>
      <c r="AN218" s="34">
        <f t="shared" si="73"/>
        <v>2057</v>
      </c>
      <c r="AO218" s="34">
        <f t="shared" si="73"/>
        <v>2058</v>
      </c>
      <c r="AP218" s="34">
        <f t="shared" ref="AP218:BA218" si="74">AP91</f>
        <v>2059</v>
      </c>
      <c r="AQ218" s="34">
        <f t="shared" si="74"/>
        <v>2060</v>
      </c>
      <c r="AR218" s="34">
        <f t="shared" si="74"/>
        <v>2061</v>
      </c>
      <c r="AS218" s="34">
        <f t="shared" si="74"/>
        <v>2062</v>
      </c>
      <c r="AT218" s="34">
        <f t="shared" si="74"/>
        <v>2063</v>
      </c>
      <c r="AU218" s="34">
        <f t="shared" si="74"/>
        <v>2064</v>
      </c>
      <c r="AV218" s="34">
        <f t="shared" si="74"/>
        <v>2065</v>
      </c>
      <c r="AW218" s="34">
        <f t="shared" si="74"/>
        <v>2066</v>
      </c>
      <c r="AX218" s="34">
        <f t="shared" si="74"/>
        <v>2067</v>
      </c>
      <c r="AY218" s="34">
        <f t="shared" si="74"/>
        <v>2068</v>
      </c>
      <c r="AZ218" s="34">
        <f t="shared" si="74"/>
        <v>2069</v>
      </c>
      <c r="BA218" s="34">
        <f t="shared" si="74"/>
        <v>2070</v>
      </c>
    </row>
    <row r="219" spans="1:53" ht="43.5">
      <c r="A219" s="9"/>
      <c r="B219" s="269" t="s">
        <v>3223</v>
      </c>
      <c r="C219" s="553">
        <f t="shared" ref="C219:AH219" si="75">(C78* C182*$C$213)/10^6</f>
        <v>0</v>
      </c>
      <c r="D219" s="553">
        <f t="shared" si="75"/>
        <v>1.6603554889304238E-3</v>
      </c>
      <c r="E219" s="553">
        <f t="shared" si="75"/>
        <v>3.44035570877092E-3</v>
      </c>
      <c r="F219" s="553">
        <f t="shared" si="75"/>
        <v>5.3257629165518929E-3</v>
      </c>
      <c r="G219" s="553">
        <f t="shared" si="75"/>
        <v>5.4824311348401064E-3</v>
      </c>
      <c r="H219" s="553">
        <f t="shared" si="75"/>
        <v>5.0167963140503313E-3</v>
      </c>
      <c r="I219" s="553">
        <f t="shared" si="75"/>
        <v>4.7607387392298757E-3</v>
      </c>
      <c r="J219" s="553">
        <f t="shared" si="75"/>
        <v>4.6388502813400128E-3</v>
      </c>
      <c r="K219" s="553">
        <f t="shared" si="75"/>
        <v>4.6094183677775026E-3</v>
      </c>
      <c r="L219" s="553">
        <f t="shared" si="75"/>
        <v>4.6352161579351252E-3</v>
      </c>
      <c r="M219" s="553">
        <f t="shared" si="75"/>
        <v>4.6944932875436114E-3</v>
      </c>
      <c r="N219" s="553">
        <f t="shared" si="75"/>
        <v>4.7771405708706529E-3</v>
      </c>
      <c r="O219" s="553">
        <f t="shared" si="75"/>
        <v>4.8712352430595714E-3</v>
      </c>
      <c r="P219" s="553">
        <f t="shared" si="75"/>
        <v>4.9717801391264745E-3</v>
      </c>
      <c r="Q219" s="553">
        <f t="shared" si="75"/>
        <v>5.0768078012595145E-3</v>
      </c>
      <c r="R219" s="553">
        <f t="shared" si="75"/>
        <v>5.1845828764671229E-3</v>
      </c>
      <c r="S219" s="553">
        <f t="shared" si="75"/>
        <v>5.2937678103260246E-3</v>
      </c>
      <c r="T219" s="553">
        <f t="shared" si="75"/>
        <v>5.4044961664446341E-3</v>
      </c>
      <c r="U219" s="553">
        <f t="shared" si="75"/>
        <v>5.5186126625909934E-3</v>
      </c>
      <c r="V219" s="553">
        <f t="shared" si="75"/>
        <v>5.6328909019688275E-3</v>
      </c>
      <c r="W219" s="553">
        <f t="shared" si="75"/>
        <v>5.7467339208675571E-3</v>
      </c>
      <c r="X219" s="553">
        <f t="shared" si="75"/>
        <v>5.8613916072577489E-3</v>
      </c>
      <c r="Y219" s="553">
        <f t="shared" si="75"/>
        <v>5.9761330162577311E-3</v>
      </c>
      <c r="Z219" s="553">
        <f t="shared" si="75"/>
        <v>6.0904589187065579E-3</v>
      </c>
      <c r="AA219" s="553">
        <f t="shared" si="75"/>
        <v>6.2040596630868151E-3</v>
      </c>
      <c r="AB219" s="553">
        <f t="shared" si="75"/>
        <v>6.3173056653722951E-3</v>
      </c>
      <c r="AC219" s="553">
        <f t="shared" si="75"/>
        <v>6.429629445430721E-3</v>
      </c>
      <c r="AD219" s="553">
        <f t="shared" si="75"/>
        <v>6.5405350311512796E-3</v>
      </c>
      <c r="AE219" s="553">
        <f t="shared" si="75"/>
        <v>6.6496941222339732E-3</v>
      </c>
      <c r="AF219" s="553">
        <f t="shared" si="75"/>
        <v>6.7572098128388363E-3</v>
      </c>
      <c r="AG219" s="553">
        <f t="shared" si="75"/>
        <v>6.8639877296722976E-3</v>
      </c>
      <c r="AH219" s="553">
        <f t="shared" si="75"/>
        <v>6.970099072469294E-3</v>
      </c>
      <c r="AI219" s="553">
        <f t="shared" ref="AI219:BA219" si="76">(AI78* AI182*$C$213)/10^6</f>
        <v>7.0760751118394694E-3</v>
      </c>
      <c r="AJ219" s="553">
        <f t="shared" si="76"/>
        <v>7.1814134061841872E-3</v>
      </c>
      <c r="AK219" s="553">
        <f t="shared" si="76"/>
        <v>7.2852146112819425E-3</v>
      </c>
      <c r="AL219" s="553">
        <f t="shared" si="76"/>
        <v>7.3870302078201675E-3</v>
      </c>
      <c r="AM219" s="553">
        <f t="shared" si="76"/>
        <v>7.4864546191565602E-3</v>
      </c>
      <c r="AN219" s="553">
        <f t="shared" si="76"/>
        <v>7.5832192196537236E-3</v>
      </c>
      <c r="AO219" s="553">
        <f t="shared" si="76"/>
        <v>7.6771013355214426E-3</v>
      </c>
      <c r="AP219" s="553">
        <f t="shared" si="76"/>
        <v>7.7696299953458848E-3</v>
      </c>
      <c r="AQ219" s="553">
        <f t="shared" si="76"/>
        <v>7.8621408214562209E-3</v>
      </c>
      <c r="AR219" s="553">
        <f t="shared" si="76"/>
        <v>7.9555326156303865E-3</v>
      </c>
      <c r="AS219" s="553">
        <f t="shared" si="76"/>
        <v>8.0440317783255413E-3</v>
      </c>
      <c r="AT219" s="553">
        <f t="shared" si="76"/>
        <v>8.1295239448721923E-3</v>
      </c>
      <c r="AU219" s="553">
        <f t="shared" si="76"/>
        <v>8.2132496260529948E-3</v>
      </c>
      <c r="AV219" s="553">
        <f t="shared" si="76"/>
        <v>8.291864376743157E-3</v>
      </c>
      <c r="AW219" s="553">
        <f t="shared" si="76"/>
        <v>8.3676735096532614E-3</v>
      </c>
      <c r="AX219" s="553">
        <f t="shared" si="76"/>
        <v>8.442020875499048E-3</v>
      </c>
      <c r="AY219" s="553">
        <f t="shared" si="76"/>
        <v>8.5156757346423629E-3</v>
      </c>
      <c r="AZ219" s="553">
        <f t="shared" si="76"/>
        <v>8.5890662701457263E-3</v>
      </c>
      <c r="BA219" s="553">
        <f t="shared" si="76"/>
        <v>8.6624203989009822E-3</v>
      </c>
    </row>
    <row r="220" spans="1:53" s="9" customFormat="1" ht="29">
      <c r="B220" s="266" t="s">
        <v>3224</v>
      </c>
      <c r="C220" s="554">
        <f>C219*INDEX(Inflation!$D$127:$BD$127, MATCH(C218, Inflation!$D$125:$BD$125,0))</f>
        <v>0</v>
      </c>
      <c r="D220" s="554">
        <f>D219*INDEX(Inflation!$D$127:$BD$127, MATCH(D218, Inflation!$D$125:$BD$125,0))</f>
        <v>1.7754190859912012E-3</v>
      </c>
      <c r="E220" s="554">
        <f>E219*INDEX(Inflation!$D$127:$BD$127, MATCH(E218, Inflation!$D$125:$BD$125,0))</f>
        <v>3.7626504072693456E-3</v>
      </c>
      <c r="F220" s="554">
        <f>F219*INDEX(Inflation!$D$127:$BD$127, MATCH(F218, Inflation!$D$125:$BD$125,0))</f>
        <v>5.9574865442228999E-3</v>
      </c>
      <c r="G220" s="554">
        <f>G219*INDEX(Inflation!$D$127:$BD$127, MATCH(G218, Inflation!$D$125:$BD$125,0))</f>
        <v>6.272564637289391E-3</v>
      </c>
      <c r="H220" s="554">
        <f>H219*INDEX(Inflation!$D$127:$BD$127, MATCH(H218, Inflation!$D$125:$BD$125,0))</f>
        <v>5.8706899995744416E-3</v>
      </c>
      <c r="I220" s="554">
        <f>I219*INDEX(Inflation!$D$127:$BD$127, MATCH(I218, Inflation!$D$125:$BD$125,0))</f>
        <v>5.6980695733496135E-3</v>
      </c>
      <c r="J220" s="554">
        <f>J219*INDEX(Inflation!$D$127:$BD$127, MATCH(J218, Inflation!$D$125:$BD$125,0))</f>
        <v>5.678772546395045E-3</v>
      </c>
      <c r="K220" s="554">
        <f>K219*INDEX(Inflation!$D$127:$BD$127, MATCH(K218, Inflation!$D$125:$BD$125,0))</f>
        <v>5.7713972160004408E-3</v>
      </c>
      <c r="L220" s="554">
        <f>L219*INDEX(Inflation!$D$127:$BD$127, MATCH(L218, Inflation!$D$125:$BD$125,0))</f>
        <v>5.9360226399695817E-3</v>
      </c>
      <c r="M220" s="554">
        <f>M219*INDEX(Inflation!$D$127:$BD$127, MATCH(M218, Inflation!$D$125:$BD$125,0))</f>
        <v>6.1490071589516641E-3</v>
      </c>
      <c r="N220" s="554">
        <f>N219*INDEX(Inflation!$D$127:$BD$127, MATCH(N218, Inflation!$D$125:$BD$125,0))</f>
        <v>6.3999269444284836E-3</v>
      </c>
      <c r="O220" s="554">
        <f>O219*INDEX(Inflation!$D$127:$BD$127, MATCH(O218, Inflation!$D$125:$BD$125,0))</f>
        <v>6.6747778811345462E-3</v>
      </c>
      <c r="P220" s="554">
        <f>P219*INDEX(Inflation!$D$127:$BD$127, MATCH(P218, Inflation!$D$125:$BD$125,0))</f>
        <v>6.9678749741356859E-3</v>
      </c>
      <c r="Q220" s="554">
        <f>Q219*INDEX(Inflation!$D$127:$BD$127, MATCH(Q218, Inflation!$D$125:$BD$125,0))</f>
        <v>7.2772932488247661E-3</v>
      </c>
      <c r="R220" s="554">
        <f>R219*INDEX(Inflation!$D$127:$BD$127, MATCH(R218, Inflation!$D$125:$BD$125,0))</f>
        <v>7.6012268572610208E-3</v>
      </c>
      <c r="S220" s="554">
        <f>S219*INDEX(Inflation!$D$127:$BD$127, MATCH(S218, Inflation!$D$125:$BD$125,0))</f>
        <v>7.9382629619134757E-3</v>
      </c>
      <c r="T220" s="554">
        <f>T219*INDEX(Inflation!$D$127:$BD$127, MATCH(T218, Inflation!$D$125:$BD$125,0))</f>
        <v>8.2890836972682909E-3</v>
      </c>
      <c r="U220" s="554">
        <f>U219*INDEX(Inflation!$D$127:$BD$127, MATCH(U218, Inflation!$D$125:$BD$125,0))</f>
        <v>8.6570902329216326E-3</v>
      </c>
      <c r="V220" s="554">
        <f>V219*INDEX(Inflation!$D$127:$BD$127, MATCH(V218, Inflation!$D$125:$BD$125,0))</f>
        <v>9.0378283821809288E-3</v>
      </c>
      <c r="W220" s="554">
        <f>W219*INDEX(Inflation!$D$127:$BD$127, MATCH(W218, Inflation!$D$125:$BD$125,0))</f>
        <v>9.430713667968613E-3</v>
      </c>
      <c r="X220" s="554">
        <f>X219*INDEX(Inflation!$D$127:$BD$127, MATCH(X218, Inflation!$D$125:$BD$125,0))</f>
        <v>9.8381836949338851E-3</v>
      </c>
      <c r="Y220" s="554">
        <f>Y219*INDEX(Inflation!$D$127:$BD$127, MATCH(Y218, Inflation!$D$125:$BD$125,0))</f>
        <v>1.0259475623015237E-2</v>
      </c>
      <c r="Z220" s="554">
        <f>Z219*INDEX(Inflation!$D$127:$BD$127, MATCH(Z218, Inflation!$D$125:$BD$125,0))</f>
        <v>1.0694134600625297E-2</v>
      </c>
      <c r="AA220" s="554">
        <f>AA219*INDEX(Inflation!$D$127:$BD$127, MATCH(AA218, Inflation!$D$125:$BD$125,0))</f>
        <v>1.1141978417846345E-2</v>
      </c>
      <c r="AB220" s="554">
        <f>AB219*INDEX(Inflation!$D$127:$BD$127, MATCH(AB218, Inflation!$D$125:$BD$125,0))</f>
        <v>1.1604033061122824E-2</v>
      </c>
      <c r="AC220" s="554">
        <f>AC219*INDEX(Inflation!$D$127:$BD$127, MATCH(AC218, Inflation!$D$125:$BD$125,0))</f>
        <v>1.2079632729880923E-2</v>
      </c>
      <c r="AD220" s="554">
        <f>AD219*INDEX(Inflation!$D$127:$BD$127, MATCH(AD218, Inflation!$D$125:$BD$125,0))</f>
        <v>1.2568162328890159E-2</v>
      </c>
      <c r="AE220" s="554">
        <f>AE219*INDEX(Inflation!$D$127:$BD$127, MATCH(AE218, Inflation!$D$125:$BD$125,0))</f>
        <v>1.3069256854425103E-2</v>
      </c>
      <c r="AF220" s="554">
        <f>AF219*INDEX(Inflation!$D$127:$BD$127, MATCH(AF218, Inflation!$D$125:$BD$125,0))</f>
        <v>1.3583364288041773E-2</v>
      </c>
      <c r="AG220" s="554">
        <f>AG219*INDEX(Inflation!$D$127:$BD$127, MATCH(AG218, Inflation!$D$125:$BD$125,0))</f>
        <v>1.4112604208893462E-2</v>
      </c>
      <c r="AH220" s="554">
        <f>AH219*INDEX(Inflation!$D$127:$BD$127, MATCH(AH218, Inflation!$D$125:$BD$125,0))</f>
        <v>1.4657514546589503E-2</v>
      </c>
      <c r="AI220" s="554">
        <f>AI219*INDEX(Inflation!$D$127:$BD$127, MATCH(AI218, Inflation!$D$125:$BD$125,0))</f>
        <v>1.5219645480811344E-2</v>
      </c>
      <c r="AJ220" s="554">
        <f>AJ219*INDEX(Inflation!$D$127:$BD$127, MATCH(AJ218, Inflation!$D$125:$BD$125,0))</f>
        <v>1.5798387048372504E-2</v>
      </c>
      <c r="AK220" s="554">
        <f>AK219*INDEX(Inflation!$D$127:$BD$127, MATCH(AK218, Inflation!$D$125:$BD$125,0))</f>
        <v>1.6392148912323448E-2</v>
      </c>
      <c r="AL220" s="554">
        <f>AL219*INDEX(Inflation!$D$127:$BD$127, MATCH(AL218, Inflation!$D$125:$BD$125,0))</f>
        <v>1.7000204086791738E-2</v>
      </c>
      <c r="AM220" s="554">
        <f>AM219*INDEX(Inflation!$D$127:$BD$127, MATCH(AM218, Inflation!$D$125:$BD$125,0))</f>
        <v>1.7621836840542214E-2</v>
      </c>
      <c r="AN220" s="554">
        <f>AN219*INDEX(Inflation!$D$127:$BD$127, MATCH(AN218, Inflation!$D$125:$BD$125,0))</f>
        <v>1.8256575175977965E-2</v>
      </c>
      <c r="AO220" s="554">
        <f>AO219*INDEX(Inflation!$D$127:$BD$127, MATCH(AO218, Inflation!$D$125:$BD$125,0))</f>
        <v>1.8903999249393788E-2</v>
      </c>
      <c r="AP220" s="554">
        <f>AP219*INDEX(Inflation!$D$127:$BD$127, MATCH(AP218, Inflation!$D$125:$BD$125,0))</f>
        <v>1.9568046642797689E-2</v>
      </c>
      <c r="AQ220" s="554">
        <f>AQ219*INDEX(Inflation!$D$127:$BD$127, MATCH(AQ218, Inflation!$D$125:$BD$125,0))</f>
        <v>2.0252501603569891E-2</v>
      </c>
      <c r="AR220" s="554">
        <f>AR219*INDEX(Inflation!$D$127:$BD$127, MATCH(AR218, Inflation!$D$125:$BD$125,0))</f>
        <v>2.0960316529874252E-2</v>
      </c>
      <c r="AS220" s="554">
        <f>AS219*INDEX(Inflation!$D$127:$BD$127, MATCH(AS218, Inflation!$D$125:$BD$125,0))</f>
        <v>2.1676695312964601E-2</v>
      </c>
      <c r="AT220" s="554" t="e">
        <f>AT219*INDEX(Inflation!$D$127:$BD$127, MATCH(AT218, Inflation!$D$125:$BD$125,0))</f>
        <v>#N/A</v>
      </c>
      <c r="AU220" s="554" t="e">
        <f>AU219*INDEX(Inflation!$D$127:$BD$127, MATCH(AU218, Inflation!$D$125:$BD$125,0))</f>
        <v>#N/A</v>
      </c>
      <c r="AV220" s="554" t="e">
        <f>AV219*INDEX(Inflation!$D$127:$BD$127, MATCH(AV218, Inflation!$D$125:$BD$125,0))</f>
        <v>#N/A</v>
      </c>
      <c r="AW220" s="554" t="e">
        <f>AW219*INDEX(Inflation!$D$127:$BD$127, MATCH(AW218, Inflation!$D$125:$BD$125,0))</f>
        <v>#N/A</v>
      </c>
      <c r="AX220" s="554" t="e">
        <f>AX219*INDEX(Inflation!$D$127:$BD$127, MATCH(AX218, Inflation!$D$125:$BD$125,0))</f>
        <v>#N/A</v>
      </c>
      <c r="AY220" s="554" t="e">
        <f>AY219*INDEX(Inflation!$D$127:$BD$127, MATCH(AY218, Inflation!$D$125:$BD$125,0))</f>
        <v>#N/A</v>
      </c>
      <c r="AZ220" s="554" t="e">
        <f>AZ219*INDEX(Inflation!$D$127:$BD$127, MATCH(AZ218, Inflation!$D$125:$BD$125,0))</f>
        <v>#N/A</v>
      </c>
      <c r="BA220" s="554" t="e">
        <f>BA219*INDEX(Inflation!$D$127:$BD$127, MATCH(BA218, Inflation!$D$125:$BD$125,0))</f>
        <v>#N/A</v>
      </c>
    </row>
    <row r="221" spans="1:53">
      <c r="B221" s="151" t="s">
        <v>3220</v>
      </c>
    </row>
    <row r="222" spans="1:53">
      <c r="B222" s="151" t="s">
        <v>3762</v>
      </c>
    </row>
    <row r="227" spans="1:2" s="588" customFormat="1" ht="18.649999999999999" customHeight="1">
      <c r="A227" s="593" t="s">
        <v>3180</v>
      </c>
    </row>
    <row r="228" spans="1:2">
      <c r="B228" s="151" t="s">
        <v>3181</v>
      </c>
    </row>
    <row r="229" spans="1:2">
      <c r="B229" s="151" t="s">
        <v>3091</v>
      </c>
    </row>
    <row r="230" spans="1:2">
      <c r="B230" s="151" t="s">
        <v>3192</v>
      </c>
    </row>
    <row r="233" spans="1:2">
      <c r="A233" s="9" t="s">
        <v>10</v>
      </c>
      <c r="B233" s="9" t="s">
        <v>3102</v>
      </c>
    </row>
    <row r="235" spans="1:2">
      <c r="B235" s="9" t="s">
        <v>3089</v>
      </c>
    </row>
    <row r="236" spans="1:2">
      <c r="B236" s="151" t="s">
        <v>3090</v>
      </c>
    </row>
    <row r="237" spans="1:2">
      <c r="B237" s="151" t="s">
        <v>3177</v>
      </c>
    </row>
    <row r="240" spans="1:2">
      <c r="B240" s="9" t="s">
        <v>3095</v>
      </c>
    </row>
    <row r="241" spans="2:8" ht="43.5">
      <c r="B241" s="34"/>
      <c r="C241" s="57" t="s">
        <v>3094</v>
      </c>
      <c r="D241" s="57" t="s">
        <v>3110</v>
      </c>
      <c r="E241" s="57" t="s">
        <v>3176</v>
      </c>
    </row>
    <row r="242" spans="2:8">
      <c r="B242" s="269" t="s">
        <v>3179</v>
      </c>
      <c r="C242" s="462">
        <v>4</v>
      </c>
      <c r="D242" s="510">
        <f>C242*7</f>
        <v>28</v>
      </c>
      <c r="E242" s="460">
        <f>SUM('Control Assumptions'!E100:E101)/SUM('Control Assumptions'!$E$98,'Control Assumptions'!$E$100,'Control Assumptions'!$E$101)</f>
        <v>0.55555555555555558</v>
      </c>
      <c r="F242" s="151" t="s">
        <v>3178</v>
      </c>
    </row>
    <row r="243" spans="2:8">
      <c r="B243" s="269" t="s">
        <v>3182</v>
      </c>
      <c r="C243" s="462">
        <v>1</v>
      </c>
      <c r="D243" s="459">
        <f>C243*7</f>
        <v>7</v>
      </c>
      <c r="E243" s="460">
        <f>1-E242</f>
        <v>0.44444444444444442</v>
      </c>
    </row>
    <row r="244" spans="2:8">
      <c r="B244" s="508"/>
      <c r="C244" s="508"/>
      <c r="D244" s="509"/>
      <c r="E244" s="151" t="b">
        <f>SUM(E242:E243)=1</f>
        <v>1</v>
      </c>
    </row>
    <row r="245" spans="2:8">
      <c r="B245" s="508"/>
      <c r="C245" s="508"/>
      <c r="D245" s="509"/>
      <c r="E245" s="514"/>
    </row>
    <row r="247" spans="2:8">
      <c r="B247" s="9" t="s">
        <v>3193</v>
      </c>
      <c r="G247" s="9" t="s">
        <v>3194</v>
      </c>
    </row>
    <row r="248" spans="2:8">
      <c r="B248" s="151" t="s">
        <v>3177</v>
      </c>
      <c r="C248" s="151"/>
      <c r="D248" s="151"/>
      <c r="E248" s="151"/>
      <c r="F248" s="151"/>
      <c r="G248" s="151" t="s">
        <v>3192</v>
      </c>
    </row>
    <row r="250" spans="2:8" ht="29">
      <c r="B250" s="269" t="s">
        <v>3185</v>
      </c>
      <c r="C250" s="510">
        <f>SUMPRODUCT(D242:D243,E242:E243)</f>
        <v>18.666666666666668</v>
      </c>
      <c r="G250" s="269" t="s">
        <v>3185</v>
      </c>
      <c r="H250" s="510">
        <f>D243</f>
        <v>7</v>
      </c>
    </row>
    <row r="251" spans="2:8">
      <c r="B251" s="508"/>
      <c r="C251" s="515"/>
      <c r="G251" s="508"/>
      <c r="H251" s="515"/>
    </row>
    <row r="253" spans="2:8">
      <c r="B253" s="9" t="s">
        <v>3106</v>
      </c>
      <c r="G253" s="9" t="s">
        <v>3106</v>
      </c>
    </row>
    <row r="254" spans="2:8">
      <c r="B254" s="151" t="s">
        <v>2462</v>
      </c>
      <c r="C254" s="151"/>
      <c r="D254" s="151"/>
      <c r="E254" s="151"/>
      <c r="F254" s="151"/>
      <c r="G254" s="151" t="s">
        <v>2462</v>
      </c>
    </row>
    <row r="256" spans="2:8">
      <c r="B256" s="29" t="s">
        <v>2817</v>
      </c>
      <c r="G256" s="29" t="s">
        <v>2817</v>
      </c>
    </row>
    <row r="257" spans="1:9">
      <c r="B257" s="34" t="s">
        <v>3077</v>
      </c>
      <c r="C257" s="57" t="s">
        <v>2487</v>
      </c>
      <c r="D257" s="57" t="s">
        <v>3098</v>
      </c>
      <c r="G257" s="34" t="s">
        <v>3077</v>
      </c>
      <c r="H257" s="57" t="s">
        <v>2487</v>
      </c>
      <c r="I257" s="57" t="s">
        <v>3098</v>
      </c>
    </row>
    <row r="258" spans="1:9">
      <c r="B258" s="431" t="s">
        <v>3083</v>
      </c>
      <c r="C258" s="463">
        <v>27</v>
      </c>
      <c r="D258" s="464">
        <f>$C$250*C258</f>
        <v>504.00000000000006</v>
      </c>
      <c r="G258" s="431" t="s">
        <v>3083</v>
      </c>
      <c r="H258" s="463">
        <v>27</v>
      </c>
      <c r="I258" s="464">
        <f>$H$250*H258</f>
        <v>189</v>
      </c>
    </row>
    <row r="259" spans="1:9">
      <c r="B259" s="431" t="s">
        <v>3072</v>
      </c>
      <c r="C259" s="463">
        <v>37</v>
      </c>
      <c r="D259" s="464">
        <f t="shared" ref="D259:D260" si="77">$C$250*C259</f>
        <v>690.66666666666674</v>
      </c>
      <c r="G259" s="431" t="s">
        <v>3072</v>
      </c>
      <c r="H259" s="463">
        <v>37</v>
      </c>
      <c r="I259" s="464">
        <f>$H$250*H259</f>
        <v>259</v>
      </c>
    </row>
    <row r="260" spans="1:9">
      <c r="B260" s="431" t="s">
        <v>3073</v>
      </c>
      <c r="C260" s="463">
        <v>46</v>
      </c>
      <c r="D260" s="464">
        <f t="shared" si="77"/>
        <v>858.66666666666674</v>
      </c>
      <c r="G260" s="431" t="s">
        <v>3073</v>
      </c>
      <c r="H260" s="463">
        <v>46</v>
      </c>
      <c r="I260" s="464">
        <f>$H$250*H260</f>
        <v>322</v>
      </c>
    </row>
    <row r="261" spans="1:9">
      <c r="B261" s="431" t="s">
        <v>3071</v>
      </c>
      <c r="C261" s="463">
        <v>55</v>
      </c>
      <c r="G261" s="431" t="s">
        <v>3071</v>
      </c>
      <c r="H261" s="463">
        <v>55</v>
      </c>
    </row>
    <row r="262" spans="1:9">
      <c r="B262" s="431" t="s">
        <v>3092</v>
      </c>
      <c r="C262" s="463">
        <v>64</v>
      </c>
      <c r="G262" s="431" t="s">
        <v>3092</v>
      </c>
      <c r="H262" s="463">
        <v>64</v>
      </c>
    </row>
    <row r="263" spans="1:9">
      <c r="B263" s="151" t="s">
        <v>3175</v>
      </c>
      <c r="G263" s="151" t="s">
        <v>3175</v>
      </c>
    </row>
    <row r="264" spans="1:9">
      <c r="B264" s="49"/>
      <c r="C264" s="49"/>
      <c r="D264" s="49"/>
      <c r="G264" s="49"/>
      <c r="H264" s="49"/>
      <c r="I264" s="49"/>
    </row>
    <row r="265" spans="1:9">
      <c r="B265" s="49"/>
      <c r="C265" s="49"/>
      <c r="D265" s="49"/>
      <c r="G265" s="49"/>
      <c r="H265" s="49"/>
      <c r="I265" s="49"/>
    </row>
    <row r="266" spans="1:9">
      <c r="A266" t="s">
        <v>10</v>
      </c>
      <c r="B266" s="9" t="s">
        <v>3107</v>
      </c>
      <c r="G266" s="9" t="s">
        <v>3107</v>
      </c>
    </row>
    <row r="268" spans="1:9">
      <c r="B268" s="9" t="s">
        <v>3096</v>
      </c>
      <c r="G268" s="9" t="s">
        <v>3096</v>
      </c>
    </row>
    <row r="269" spans="1:9">
      <c r="B269" s="151" t="s">
        <v>3093</v>
      </c>
      <c r="C269" s="151"/>
      <c r="D269" s="151"/>
      <c r="E269" s="151"/>
      <c r="F269" s="151"/>
      <c r="G269" s="151" t="s">
        <v>3093</v>
      </c>
    </row>
    <row r="270" spans="1:9">
      <c r="B270" s="34" t="s">
        <v>125</v>
      </c>
      <c r="C270" s="57" t="s">
        <v>3104</v>
      </c>
      <c r="D270" s="57" t="s">
        <v>3105</v>
      </c>
      <c r="G270" s="34" t="s">
        <v>125</v>
      </c>
      <c r="H270" s="57" t="s">
        <v>3104</v>
      </c>
      <c r="I270" s="57" t="s">
        <v>3105</v>
      </c>
    </row>
    <row r="271" spans="1:9">
      <c r="B271" s="431" t="s">
        <v>3096</v>
      </c>
      <c r="C271" s="692">
        <f>C250/12.5</f>
        <v>1.4933333333333334</v>
      </c>
      <c r="D271" s="465">
        <f>C271*C262</f>
        <v>95.573333333333338</v>
      </c>
      <c r="G271" s="431" t="s">
        <v>3096</v>
      </c>
      <c r="H271" s="459">
        <f>H250/12.5</f>
        <v>0.56000000000000005</v>
      </c>
      <c r="I271" s="465">
        <f>H271*H262</f>
        <v>35.840000000000003</v>
      </c>
    </row>
    <row r="272" spans="1:9">
      <c r="B272" s="49"/>
      <c r="C272" s="49"/>
      <c r="D272" s="466"/>
      <c r="G272" s="49"/>
      <c r="H272" s="49"/>
      <c r="I272" s="466"/>
    </row>
    <row r="274" spans="1:9">
      <c r="B274" s="9" t="s">
        <v>3103</v>
      </c>
      <c r="G274" s="9" t="s">
        <v>3103</v>
      </c>
    </row>
    <row r="275" spans="1:9">
      <c r="B275" s="151" t="s">
        <v>3195</v>
      </c>
      <c r="C275" s="151"/>
      <c r="D275" s="151"/>
      <c r="E275" s="151"/>
      <c r="F275" s="151"/>
      <c r="G275" s="151" t="s">
        <v>3195</v>
      </c>
    </row>
    <row r="276" spans="1:9">
      <c r="B276" s="34" t="s">
        <v>125</v>
      </c>
      <c r="C276" s="57" t="s">
        <v>3104</v>
      </c>
      <c r="D276" s="57" t="s">
        <v>3105</v>
      </c>
      <c r="G276" s="34" t="s">
        <v>125</v>
      </c>
      <c r="H276" s="57" t="s">
        <v>3104</v>
      </c>
      <c r="I276" s="57" t="s">
        <v>3105</v>
      </c>
    </row>
    <row r="277" spans="1:9">
      <c r="B277" s="431" t="s">
        <v>3097</v>
      </c>
      <c r="C277" s="462">
        <v>0</v>
      </c>
      <c r="D277" s="462">
        <v>0</v>
      </c>
      <c r="G277" s="431" t="s">
        <v>3097</v>
      </c>
      <c r="H277" s="462">
        <v>0</v>
      </c>
      <c r="I277" s="462">
        <v>0</v>
      </c>
    </row>
    <row r="281" spans="1:9">
      <c r="A281" s="9"/>
      <c r="B281" s="9" t="s">
        <v>3108</v>
      </c>
      <c r="G281" s="9" t="s">
        <v>3108</v>
      </c>
    </row>
    <row r="282" spans="1:9">
      <c r="A282" s="9"/>
      <c r="B282" s="9"/>
      <c r="G282" s="9"/>
    </row>
    <row r="283" spans="1:9">
      <c r="B283" s="29" t="s">
        <v>2817</v>
      </c>
      <c r="G283" s="29" t="s">
        <v>2817</v>
      </c>
    </row>
    <row r="284" spans="1:9">
      <c r="B284" s="34" t="s">
        <v>3077</v>
      </c>
      <c r="C284" s="57" t="s">
        <v>3105</v>
      </c>
      <c r="G284" s="34" t="s">
        <v>3077</v>
      </c>
      <c r="H284" s="57" t="s">
        <v>3105</v>
      </c>
    </row>
    <row r="285" spans="1:9">
      <c r="B285" s="431" t="s">
        <v>3083</v>
      </c>
      <c r="C285" s="650">
        <f>D258+$D$271+$D$277</f>
        <v>599.57333333333338</v>
      </c>
      <c r="G285" s="431" t="s">
        <v>3083</v>
      </c>
      <c r="H285" s="464">
        <f>I258+$I$271+$I$277</f>
        <v>224.84</v>
      </c>
    </row>
    <row r="286" spans="1:9">
      <c r="B286" s="431" t="s">
        <v>3072</v>
      </c>
      <c r="C286" s="650">
        <f>D259+$D$271+$D$277</f>
        <v>786.24000000000012</v>
      </c>
      <c r="G286" s="431" t="s">
        <v>3072</v>
      </c>
      <c r="H286" s="464">
        <f t="shared" ref="H286:H287" si="78">I259+$I$271+$I$277</f>
        <v>294.84000000000003</v>
      </c>
    </row>
    <row r="287" spans="1:9">
      <c r="B287" s="431" t="s">
        <v>3073</v>
      </c>
      <c r="C287" s="650">
        <f>D260+$D$271+$D$277</f>
        <v>954.24000000000012</v>
      </c>
      <c r="G287" s="431" t="s">
        <v>3073</v>
      </c>
      <c r="H287" s="464">
        <f t="shared" si="78"/>
        <v>357.84000000000003</v>
      </c>
    </row>
    <row r="292" spans="1:10">
      <c r="A292" t="s">
        <v>10</v>
      </c>
      <c r="B292" s="9" t="s">
        <v>3183</v>
      </c>
      <c r="G292" s="9" t="s">
        <v>3186</v>
      </c>
    </row>
    <row r="293" spans="1:10">
      <c r="B293" s="9"/>
      <c r="G293" s="9"/>
    </row>
    <row r="295" spans="1:10">
      <c r="B295" s="9" t="s">
        <v>3225</v>
      </c>
      <c r="G295" s="9" t="s">
        <v>3225</v>
      </c>
    </row>
    <row r="296" spans="1:10">
      <c r="B296" s="34" t="s">
        <v>2998</v>
      </c>
      <c r="C296" s="57" t="s">
        <v>25</v>
      </c>
      <c r="D296" s="57" t="s">
        <v>184</v>
      </c>
      <c r="E296" s="57" t="s">
        <v>185</v>
      </c>
      <c r="G296" s="34" t="s">
        <v>2998</v>
      </c>
      <c r="H296" s="57" t="s">
        <v>25</v>
      </c>
      <c r="I296" s="57" t="s">
        <v>184</v>
      </c>
      <c r="J296" s="57" t="s">
        <v>185</v>
      </c>
    </row>
    <row r="297" spans="1:10">
      <c r="B297" s="431" t="s">
        <v>2831</v>
      </c>
      <c r="C297" s="467">
        <f>INDEX('VLU costs'!$D$166:$AF$166, MATCH($C$7, 'VLU costs'!$D$150:$AF$150,0)) + INDEX('VLU costs'!$D$144:$AF$144, MATCH($C$7, 'VLU costs'!$D$150:$AF$150,0))</f>
        <v>277780.60944903619</v>
      </c>
      <c r="D297" s="428">
        <f>INDEX('Mixed costs'!$D$166:$AF$166, MATCH($C$7, 'Mixed costs'!$D$150:$AF$150,0)) + INDEX('Mixed costs'!$D$144:$AF$144, MATCH($C$7, 'Mixed costs'!$D$150:$AF$150,0))</f>
        <v>104201.49782305212</v>
      </c>
      <c r="E297" s="428">
        <f>INDEX('Arterial costs'!$D$166:$AF$166, MATCH($C$7, 'Arterial costs'!$D$150:$AF$150,0)) + INDEX('Arterial costs'!$D$144:$AF$144, MATCH($C$7, 'Arterial costs'!$D$150:$AF$150,0))</f>
        <v>56511</v>
      </c>
      <c r="G297" s="431" t="s">
        <v>2831</v>
      </c>
      <c r="H297" s="428">
        <f>C297</f>
        <v>277780.60944903619</v>
      </c>
      <c r="I297" s="428">
        <f t="shared" ref="I297:J297" si="79">D297</f>
        <v>104201.49782305212</v>
      </c>
      <c r="J297" s="428">
        <f t="shared" si="79"/>
        <v>56511</v>
      </c>
    </row>
    <row r="298" spans="1:10">
      <c r="B298" s="472" t="s">
        <v>3394</v>
      </c>
      <c r="F298" s="49"/>
      <c r="G298" s="472" t="s">
        <v>3394</v>
      </c>
    </row>
    <row r="299" spans="1:10">
      <c r="B299" s="49"/>
      <c r="F299" s="49"/>
      <c r="G299" s="49"/>
    </row>
    <row r="300" spans="1:10">
      <c r="B300" s="49"/>
      <c r="C300" s="49"/>
      <c r="F300" s="49"/>
      <c r="G300" s="49"/>
    </row>
    <row r="301" spans="1:10" ht="29">
      <c r="B301" s="269" t="s">
        <v>3189</v>
      </c>
      <c r="C301" s="470">
        <f>SUM(C297:E297)</f>
        <v>438493.10727208829</v>
      </c>
      <c r="F301" s="49"/>
      <c r="G301" s="269" t="s">
        <v>3189</v>
      </c>
      <c r="H301" s="470">
        <f>SUM(H297:J297)</f>
        <v>438493.10727208829</v>
      </c>
    </row>
    <row r="302" spans="1:10">
      <c r="C302" s="49"/>
      <c r="D302" s="49"/>
      <c r="E302" s="49"/>
      <c r="F302" s="49"/>
      <c r="G302" s="49"/>
      <c r="H302" s="49"/>
      <c r="I302" s="49"/>
      <c r="J302" s="49"/>
    </row>
    <row r="303" spans="1:10">
      <c r="D303" s="49"/>
      <c r="E303" s="49"/>
      <c r="F303" s="49"/>
      <c r="I303" s="49"/>
      <c r="J303" s="49"/>
    </row>
    <row r="305" spans="2:9">
      <c r="B305" s="9" t="s">
        <v>3261</v>
      </c>
      <c r="G305" s="9" t="s">
        <v>3261</v>
      </c>
    </row>
    <row r="306" spans="2:9">
      <c r="B306" s="9"/>
      <c r="G306" s="9"/>
    </row>
    <row r="307" spans="2:9" ht="29">
      <c r="B307" s="9"/>
      <c r="G307" s="269" t="s">
        <v>3184</v>
      </c>
      <c r="H307" s="513">
        <v>0.1</v>
      </c>
    </row>
    <row r="308" spans="2:9">
      <c r="B308" s="9"/>
      <c r="G308" s="9"/>
    </row>
    <row r="309" spans="2:9">
      <c r="B309" s="431" t="s">
        <v>3111</v>
      </c>
      <c r="C309" s="467">
        <f>60*8*(261-30)</f>
        <v>110880</v>
      </c>
      <c r="G309" s="431" t="s">
        <v>3111</v>
      </c>
      <c r="H309" s="467">
        <f>60*8*(261-30)</f>
        <v>110880</v>
      </c>
    </row>
    <row r="310" spans="2:9">
      <c r="B310" s="49"/>
      <c r="C310" s="151" t="s">
        <v>3112</v>
      </c>
      <c r="D310" s="151"/>
      <c r="E310" s="151"/>
      <c r="F310" s="151"/>
      <c r="G310" s="151"/>
      <c r="H310" s="151" t="s">
        <v>3112</v>
      </c>
      <c r="I310" s="151"/>
    </row>
    <row r="311" spans="2:9">
      <c r="B311" s="9"/>
      <c r="G311" s="9"/>
    </row>
    <row r="312" spans="2:9">
      <c r="B312" s="34"/>
      <c r="C312" s="34" t="s">
        <v>3076</v>
      </c>
      <c r="G312" s="34" t="s">
        <v>2998</v>
      </c>
      <c r="H312" s="34" t="s">
        <v>3076</v>
      </c>
    </row>
    <row r="313" spans="2:9" ht="29">
      <c r="B313" s="269" t="s">
        <v>3190</v>
      </c>
      <c r="C313" s="467">
        <f>C301/$C$309</f>
        <v>3.9546636658738121</v>
      </c>
      <c r="G313" s="269" t="s">
        <v>3190</v>
      </c>
      <c r="H313" s="467">
        <f>H301/$H$309</f>
        <v>3.9546636658738121</v>
      </c>
    </row>
    <row r="314" spans="2:9" ht="29">
      <c r="B314" s="49"/>
      <c r="C314" s="507"/>
      <c r="D314" s="507"/>
      <c r="G314" s="269" t="s">
        <v>3191</v>
      </c>
      <c r="H314" s="467">
        <f>H313*H307</f>
        <v>0.39546636658738121</v>
      </c>
    </row>
    <row r="315" spans="2:9">
      <c r="B315" s="49"/>
      <c r="C315" s="507"/>
      <c r="D315" s="507"/>
      <c r="G315" s="49"/>
      <c r="H315" s="507"/>
    </row>
    <row r="316" spans="2:9">
      <c r="B316" s="49"/>
      <c r="C316" s="507"/>
      <c r="D316" s="507"/>
      <c r="G316" s="49"/>
      <c r="H316" s="507"/>
      <c r="I316" s="507"/>
    </row>
    <row r="318" spans="2:9">
      <c r="B318" s="9" t="s">
        <v>3262</v>
      </c>
      <c r="G318" s="9" t="s">
        <v>3262</v>
      </c>
    </row>
    <row r="320" spans="2:9">
      <c r="B320" s="29" t="s">
        <v>2831</v>
      </c>
      <c r="G320" s="29" t="s">
        <v>2831</v>
      </c>
    </row>
    <row r="321" spans="2:9">
      <c r="B321" s="34" t="s">
        <v>3077</v>
      </c>
      <c r="C321" s="57" t="s">
        <v>3100</v>
      </c>
      <c r="D321" s="57" t="s">
        <v>3076</v>
      </c>
      <c r="G321" s="34" t="s">
        <v>3077</v>
      </c>
      <c r="H321" s="57" t="s">
        <v>3100</v>
      </c>
      <c r="I321" s="57" t="s">
        <v>3076</v>
      </c>
    </row>
    <row r="322" spans="2:9">
      <c r="B322" s="431" t="s">
        <v>3083</v>
      </c>
      <c r="C322" s="460">
        <f>'Resource costs'!D204</f>
        <v>0</v>
      </c>
      <c r="D322" s="467">
        <f>$C$313*C322</f>
        <v>0</v>
      </c>
      <c r="G322" s="431" t="s">
        <v>3083</v>
      </c>
      <c r="H322" s="461">
        <f>C322</f>
        <v>0</v>
      </c>
      <c r="I322" s="467">
        <f>$H$314*H322</f>
        <v>0</v>
      </c>
    </row>
    <row r="323" spans="2:9">
      <c r="B323" s="431" t="s">
        <v>3072</v>
      </c>
      <c r="C323" s="460">
        <f>'Resource costs'!D205</f>
        <v>0.93137254901960775</v>
      </c>
      <c r="D323" s="467">
        <f>$C$313*C323</f>
        <v>3.6832651790001187</v>
      </c>
      <c r="G323" s="431" t="s">
        <v>3072</v>
      </c>
      <c r="H323" s="461">
        <f>C323</f>
        <v>0.93137254901960775</v>
      </c>
      <c r="I323" s="467">
        <f>$H$314*H323</f>
        <v>0.36832651790001186</v>
      </c>
    </row>
    <row r="324" spans="2:9">
      <c r="B324" s="431" t="s">
        <v>3073</v>
      </c>
      <c r="C324" s="460">
        <f>'Resource costs'!D206</f>
        <v>6.8627450980392163E-2</v>
      </c>
      <c r="D324" s="467">
        <f>$C$313*C324</f>
        <v>0.271398486873693</v>
      </c>
      <c r="G324" s="431" t="s">
        <v>3073</v>
      </c>
      <c r="H324" s="461">
        <f>C324</f>
        <v>6.8627450980392163E-2</v>
      </c>
      <c r="I324" s="467">
        <f>$H$314*H324</f>
        <v>2.7139848687369302E-2</v>
      </c>
    </row>
    <row r="325" spans="2:9">
      <c r="B325" s="431" t="s">
        <v>3071</v>
      </c>
      <c r="C325" s="460">
        <f>'Resource costs'!D207</f>
        <v>0</v>
      </c>
      <c r="G325" s="431" t="s">
        <v>3071</v>
      </c>
      <c r="H325" s="461">
        <f>C325</f>
        <v>0</v>
      </c>
    </row>
    <row r="326" spans="2:9">
      <c r="B326" s="431" t="s">
        <v>3092</v>
      </c>
      <c r="C326" s="460">
        <f>'Resource costs'!D208</f>
        <v>0</v>
      </c>
      <c r="G326" s="431" t="s">
        <v>3092</v>
      </c>
      <c r="H326" s="461">
        <f>C326</f>
        <v>0</v>
      </c>
    </row>
    <row r="327" spans="2:9">
      <c r="C327" s="151" t="b">
        <f>SUM(C322:C326)=1</f>
        <v>1</v>
      </c>
      <c r="D327" s="151" t="s">
        <v>3175</v>
      </c>
      <c r="E327" s="151"/>
      <c r="F327" s="151"/>
      <c r="G327" s="151"/>
      <c r="H327" s="151" t="b">
        <f>SUM(H322:H326)=1</f>
        <v>1</v>
      </c>
      <c r="I327" s="151" t="s">
        <v>3175</v>
      </c>
    </row>
    <row r="330" spans="2:9">
      <c r="B330" s="9" t="s">
        <v>3101</v>
      </c>
      <c r="G330" s="9" t="s">
        <v>3101</v>
      </c>
    </row>
    <row r="331" spans="2:9">
      <c r="B331" s="151" t="s">
        <v>3109</v>
      </c>
      <c r="C331" s="151"/>
      <c r="D331" s="151"/>
      <c r="E331" s="151"/>
      <c r="F331" s="151"/>
      <c r="G331" s="151" t="s">
        <v>3109</v>
      </c>
    </row>
    <row r="333" spans="2:9">
      <c r="B333" s="29" t="s">
        <v>2831</v>
      </c>
      <c r="G333" s="29" t="s">
        <v>2831</v>
      </c>
    </row>
    <row r="334" spans="2:9">
      <c r="B334" s="34" t="s">
        <v>3077</v>
      </c>
      <c r="C334" s="57" t="s">
        <v>150</v>
      </c>
      <c r="G334" s="34" t="s">
        <v>3077</v>
      </c>
      <c r="H334" s="57" t="s">
        <v>150</v>
      </c>
    </row>
    <row r="335" spans="2:9">
      <c r="B335" s="431" t="s">
        <v>3083</v>
      </c>
      <c r="C335" s="468">
        <f>D322*C285</f>
        <v>0</v>
      </c>
      <c r="G335" s="431" t="s">
        <v>3083</v>
      </c>
      <c r="H335" s="468">
        <f>I322*H285</f>
        <v>0</v>
      </c>
    </row>
    <row r="336" spans="2:9">
      <c r="B336" s="431" t="s">
        <v>3072</v>
      </c>
      <c r="C336" s="468">
        <f>D323*C286</f>
        <v>2895.9304143370537</v>
      </c>
      <c r="G336" s="431" t="s">
        <v>3072</v>
      </c>
      <c r="H336" s="468">
        <f>I323*H286</f>
        <v>108.59739053763951</v>
      </c>
    </row>
    <row r="337" spans="1:53">
      <c r="B337" s="431" t="s">
        <v>3073</v>
      </c>
      <c r="C337" s="468">
        <f>D324*C287</f>
        <v>258.97929211435286</v>
      </c>
      <c r="G337" s="431" t="s">
        <v>3073</v>
      </c>
      <c r="H337" s="468">
        <f>I324*H287</f>
        <v>9.7117234542882311</v>
      </c>
    </row>
    <row r="341" spans="1:53">
      <c r="B341" s="9"/>
      <c r="C341" s="9"/>
    </row>
    <row r="342" spans="1:53">
      <c r="B342" s="458" t="s">
        <v>3187</v>
      </c>
      <c r="C342" s="469">
        <f>SUM(C335:C337)</f>
        <v>3154.9097064514067</v>
      </c>
      <c r="G342" s="458" t="s">
        <v>3188</v>
      </c>
      <c r="H342" s="469">
        <f>SUM(H335:H337)</f>
        <v>118.30911399192775</v>
      </c>
    </row>
    <row r="343" spans="1:53">
      <c r="B343" s="9"/>
      <c r="C343" s="9"/>
    </row>
    <row r="344" spans="1:53">
      <c r="B344" s="458" t="s">
        <v>3187</v>
      </c>
      <c r="C344" s="469">
        <f>C342*'Control Assumptions'!D182</f>
        <v>3154.9097064514067</v>
      </c>
      <c r="G344" s="266" t="s">
        <v>3188</v>
      </c>
      <c r="H344" s="469">
        <f>H342*'Control Assumptions'!D182</f>
        <v>118.30911399192775</v>
      </c>
    </row>
    <row r="345" spans="1:53">
      <c r="B345" s="252"/>
      <c r="C345" s="516"/>
      <c r="H345" s="516"/>
    </row>
    <row r="347" spans="1:53">
      <c r="A347" s="9" t="s">
        <v>10</v>
      </c>
      <c r="B347" s="9" t="s">
        <v>3258</v>
      </c>
    </row>
    <row r="348" spans="1:53">
      <c r="E348" s="151"/>
    </row>
    <row r="349" spans="1:53">
      <c r="B349" s="34" t="s">
        <v>3077</v>
      </c>
      <c r="C349" s="57">
        <f>C218</f>
        <v>2020</v>
      </c>
      <c r="D349" s="57">
        <f t="shared" ref="D349:BA349" si="80">D218</f>
        <v>2021</v>
      </c>
      <c r="E349" s="57">
        <f t="shared" si="80"/>
        <v>2022</v>
      </c>
      <c r="F349" s="57">
        <f t="shared" si="80"/>
        <v>2023</v>
      </c>
      <c r="G349" s="57">
        <f t="shared" si="80"/>
        <v>2024</v>
      </c>
      <c r="H349" s="57">
        <f t="shared" si="80"/>
        <v>2025</v>
      </c>
      <c r="I349" s="57">
        <f t="shared" si="80"/>
        <v>2026</v>
      </c>
      <c r="J349" s="57">
        <f t="shared" si="80"/>
        <v>2027</v>
      </c>
      <c r="K349" s="57">
        <f t="shared" si="80"/>
        <v>2028</v>
      </c>
      <c r="L349" s="57">
        <f t="shared" si="80"/>
        <v>2029</v>
      </c>
      <c r="M349" s="57">
        <f t="shared" si="80"/>
        <v>2030</v>
      </c>
      <c r="N349" s="57">
        <f t="shared" si="80"/>
        <v>2031</v>
      </c>
      <c r="O349" s="57">
        <f t="shared" si="80"/>
        <v>2032</v>
      </c>
      <c r="P349" s="57">
        <f t="shared" si="80"/>
        <v>2033</v>
      </c>
      <c r="Q349" s="57">
        <f t="shared" si="80"/>
        <v>2034</v>
      </c>
      <c r="R349" s="57">
        <f t="shared" si="80"/>
        <v>2035</v>
      </c>
      <c r="S349" s="57">
        <f t="shared" si="80"/>
        <v>2036</v>
      </c>
      <c r="T349" s="57">
        <f t="shared" si="80"/>
        <v>2037</v>
      </c>
      <c r="U349" s="57">
        <f t="shared" si="80"/>
        <v>2038</v>
      </c>
      <c r="V349" s="57">
        <f t="shared" si="80"/>
        <v>2039</v>
      </c>
      <c r="W349" s="57">
        <f t="shared" si="80"/>
        <v>2040</v>
      </c>
      <c r="X349" s="57">
        <f t="shared" si="80"/>
        <v>2041</v>
      </c>
      <c r="Y349" s="57">
        <f t="shared" si="80"/>
        <v>2042</v>
      </c>
      <c r="Z349" s="57">
        <f t="shared" si="80"/>
        <v>2043</v>
      </c>
      <c r="AA349" s="57">
        <f t="shared" si="80"/>
        <v>2044</v>
      </c>
      <c r="AB349" s="57">
        <f t="shared" si="80"/>
        <v>2045</v>
      </c>
      <c r="AC349" s="57">
        <f t="shared" si="80"/>
        <v>2046</v>
      </c>
      <c r="AD349" s="57">
        <f t="shared" si="80"/>
        <v>2047</v>
      </c>
      <c r="AE349" s="57">
        <f t="shared" si="80"/>
        <v>2048</v>
      </c>
      <c r="AF349" s="57">
        <f t="shared" si="80"/>
        <v>2049</v>
      </c>
      <c r="AG349" s="57">
        <f t="shared" si="80"/>
        <v>2050</v>
      </c>
      <c r="AH349" s="57">
        <f t="shared" si="80"/>
        <v>2051</v>
      </c>
      <c r="AI349" s="57">
        <f t="shared" si="80"/>
        <v>2052</v>
      </c>
      <c r="AJ349" s="57">
        <f t="shared" si="80"/>
        <v>2053</v>
      </c>
      <c r="AK349" s="57">
        <f t="shared" si="80"/>
        <v>2054</v>
      </c>
      <c r="AL349" s="57">
        <f t="shared" si="80"/>
        <v>2055</v>
      </c>
      <c r="AM349" s="57">
        <f t="shared" si="80"/>
        <v>2056</v>
      </c>
      <c r="AN349" s="57">
        <f t="shared" si="80"/>
        <v>2057</v>
      </c>
      <c r="AO349" s="57">
        <f t="shared" si="80"/>
        <v>2058</v>
      </c>
      <c r="AP349" s="57">
        <f t="shared" si="80"/>
        <v>2059</v>
      </c>
      <c r="AQ349" s="57">
        <f t="shared" si="80"/>
        <v>2060</v>
      </c>
      <c r="AR349" s="57">
        <f t="shared" si="80"/>
        <v>2061</v>
      </c>
      <c r="AS349" s="57">
        <f t="shared" si="80"/>
        <v>2062</v>
      </c>
      <c r="AT349" s="57">
        <f t="shared" si="80"/>
        <v>2063</v>
      </c>
      <c r="AU349" s="57">
        <f t="shared" si="80"/>
        <v>2064</v>
      </c>
      <c r="AV349" s="57">
        <f t="shared" si="80"/>
        <v>2065</v>
      </c>
      <c r="AW349" s="57">
        <f t="shared" si="80"/>
        <v>2066</v>
      </c>
      <c r="AX349" s="57">
        <f t="shared" si="80"/>
        <v>2067</v>
      </c>
      <c r="AY349" s="57">
        <f t="shared" si="80"/>
        <v>2068</v>
      </c>
      <c r="AZ349" s="57">
        <f t="shared" si="80"/>
        <v>2069</v>
      </c>
      <c r="BA349" s="57">
        <f t="shared" si="80"/>
        <v>2070</v>
      </c>
    </row>
    <row r="350" spans="1:53" ht="29">
      <c r="B350" s="266" t="s">
        <v>3259</v>
      </c>
      <c r="C350" s="556">
        <f>C63*$C$344*INDEX(Inflation!$D$127:$BD$127, MATCH(C349, Inflation!$D$125:$BD$125,0))/10^6</f>
        <v>0</v>
      </c>
      <c r="D350" s="556">
        <f>D63*$C$344*INDEX(Inflation!$D$127:$BD$127, MATCH(D349, Inflation!$D$125:$BD$125,0))/10^6</f>
        <v>1.1245155921440636E-3</v>
      </c>
      <c r="E350" s="556">
        <f>E63*$C$344*INDEX(Inflation!$D$127:$BD$127, MATCH(E349, Inflation!$D$125:$BD$125,0))/10^6</f>
        <v>1.1501545476449481E-3</v>
      </c>
      <c r="F350" s="556">
        <f>F63*$C$344*INDEX(Inflation!$D$127:$BD$127, MATCH(F349, Inflation!$D$125:$BD$125,0))/10^6</f>
        <v>1.1763780713312528E-3</v>
      </c>
      <c r="G350" s="556">
        <f>G63*$C$344*INDEX(Inflation!$D$127:$BD$127, MATCH(G349, Inflation!$D$125:$BD$125,0))/10^6</f>
        <v>0</v>
      </c>
      <c r="H350" s="556">
        <f>H63*$C$344*INDEX(Inflation!$D$127:$BD$127, MATCH(H349, Inflation!$D$125:$BD$125,0))/10^6</f>
        <v>0</v>
      </c>
      <c r="I350" s="556">
        <f>I63*$C$344*INDEX(Inflation!$D$127:$BD$127, MATCH(I349, Inflation!$D$125:$BD$125,0))/10^6</f>
        <v>0</v>
      </c>
      <c r="J350" s="556">
        <f>J63*$C$344*INDEX(Inflation!$D$127:$BD$127, MATCH(J349, Inflation!$D$125:$BD$125,0))/10^6</f>
        <v>0</v>
      </c>
      <c r="K350" s="556">
        <f>K63*$C$344*INDEX(Inflation!$D$127:$BD$127, MATCH(K349, Inflation!$D$125:$BD$125,0))/10^6</f>
        <v>0</v>
      </c>
      <c r="L350" s="556">
        <f>L63*$C$344*INDEX(Inflation!$D$127:$BD$127, MATCH(L349, Inflation!$D$125:$BD$125,0))/10^6</f>
        <v>0</v>
      </c>
      <c r="M350" s="556">
        <f>M63*$C$344*INDEX(Inflation!$D$127:$BD$127, MATCH(M349, Inflation!$D$125:$BD$125,0))/10^6</f>
        <v>0</v>
      </c>
      <c r="N350" s="556">
        <f>N63*$C$344*INDEX(Inflation!$D$127:$BD$127, MATCH(N349, Inflation!$D$125:$BD$125,0))/10^6</f>
        <v>0</v>
      </c>
      <c r="O350" s="556">
        <f>O63*$C$344*INDEX(Inflation!$D$127:$BD$127, MATCH(O349, Inflation!$D$125:$BD$125,0))/10^6</f>
        <v>0</v>
      </c>
      <c r="P350" s="556">
        <f>P63*$C$344*INDEX(Inflation!$D$127:$BD$127, MATCH(P349, Inflation!$D$125:$BD$125,0))/10^6</f>
        <v>0</v>
      </c>
      <c r="Q350" s="556">
        <f>Q63*$C$344*INDEX(Inflation!$D$127:$BD$127, MATCH(Q349, Inflation!$D$125:$BD$125,0))/10^6</f>
        <v>0</v>
      </c>
      <c r="R350" s="556">
        <f>R63*$C$344*INDEX(Inflation!$D$127:$BD$127, MATCH(R349, Inflation!$D$125:$BD$125,0))/10^6</f>
        <v>0</v>
      </c>
      <c r="S350" s="556">
        <f>S63*$C$344*INDEX(Inflation!$D$127:$BD$127, MATCH(S349, Inflation!$D$125:$BD$125,0))/10^6</f>
        <v>0</v>
      </c>
      <c r="T350" s="556">
        <f>T63*$C$344*INDEX(Inflation!$D$127:$BD$127, MATCH(T349, Inflation!$D$125:$BD$125,0))/10^6</f>
        <v>0</v>
      </c>
      <c r="U350" s="556">
        <f>U63*$C$344*INDEX(Inflation!$D$127:$BD$127, MATCH(U349, Inflation!$D$125:$BD$125,0))/10^6</f>
        <v>0</v>
      </c>
      <c r="V350" s="556">
        <f>V63*$C$344*INDEX(Inflation!$D$127:$BD$127, MATCH(V349, Inflation!$D$125:$BD$125,0))/10^6</f>
        <v>0</v>
      </c>
      <c r="W350" s="556">
        <f>W63*$C$344*INDEX(Inflation!$D$127:$BD$127, MATCH(W349, Inflation!$D$125:$BD$125,0))/10^6</f>
        <v>0</v>
      </c>
      <c r="X350" s="556">
        <f>X63*$C$344*INDEX(Inflation!$D$127:$BD$127, MATCH(X349, Inflation!$D$125:$BD$125,0))/10^6</f>
        <v>0</v>
      </c>
      <c r="Y350" s="556">
        <f>Y63*$C$344*INDEX(Inflation!$D$127:$BD$127, MATCH(Y349, Inflation!$D$125:$BD$125,0))/10^6</f>
        <v>0</v>
      </c>
      <c r="Z350" s="556">
        <f>Z63*$C$344*INDEX(Inflation!$D$127:$BD$127, MATCH(Z349, Inflation!$D$125:$BD$125,0))/10^6</f>
        <v>0</v>
      </c>
      <c r="AA350" s="556">
        <f>AA63*$C$344*INDEX(Inflation!$D$127:$BD$127, MATCH(AA349, Inflation!$D$125:$BD$125,0))/10^6</f>
        <v>0</v>
      </c>
      <c r="AB350" s="556">
        <f>AB63*$C$344*INDEX(Inflation!$D$127:$BD$127, MATCH(AB349, Inflation!$D$125:$BD$125,0))/10^6</f>
        <v>0</v>
      </c>
      <c r="AC350" s="556">
        <f>AC63*$C$344*INDEX(Inflation!$D$127:$BD$127, MATCH(AC349, Inflation!$D$125:$BD$125,0))/10^6</f>
        <v>0</v>
      </c>
      <c r="AD350" s="556">
        <f>AD63*$C$344*INDEX(Inflation!$D$127:$BD$127, MATCH(AD349, Inflation!$D$125:$BD$125,0))/10^6</f>
        <v>0</v>
      </c>
      <c r="AE350" s="556">
        <f>AE63*$C$344*INDEX(Inflation!$D$127:$BD$127, MATCH(AE349, Inflation!$D$125:$BD$125,0))/10^6</f>
        <v>0</v>
      </c>
      <c r="AF350" s="556">
        <f>AF63*$C$344*INDEX(Inflation!$D$127:$BD$127, MATCH(AF349, Inflation!$D$125:$BD$125,0))/10^6</f>
        <v>0</v>
      </c>
      <c r="AG350" s="556">
        <f>AG63*$C$344*INDEX(Inflation!$D$127:$BD$127, MATCH(AG349, Inflation!$D$125:$BD$125,0))/10^6</f>
        <v>0</v>
      </c>
      <c r="AH350" s="556">
        <f>AH63*$C$344*INDEX(Inflation!$D$127:$BD$127, MATCH(AH349, Inflation!$D$125:$BD$125,0))/10^6</f>
        <v>0</v>
      </c>
      <c r="AI350" s="556">
        <f>AI63*$C$344*INDEX(Inflation!$D$127:$BD$127, MATCH(AI349, Inflation!$D$125:$BD$125,0))/10^6</f>
        <v>0</v>
      </c>
      <c r="AJ350" s="556">
        <f>AJ63*$C$344*INDEX(Inflation!$D$127:$BD$127, MATCH(AJ349, Inflation!$D$125:$BD$125,0))/10^6</f>
        <v>0</v>
      </c>
      <c r="AK350" s="556">
        <f>AK63*$C$344*INDEX(Inflation!$D$127:$BD$127, MATCH(AK349, Inflation!$D$125:$BD$125,0))/10^6</f>
        <v>0</v>
      </c>
      <c r="AL350" s="556">
        <f>AL63*$C$344*INDEX(Inflation!$D$127:$BD$127, MATCH(AL349, Inflation!$D$125:$BD$125,0))/10^6</f>
        <v>0</v>
      </c>
      <c r="AM350" s="556">
        <f>AM63*$C$344*INDEX(Inflation!$D$127:$BD$127, MATCH(AM349, Inflation!$D$125:$BD$125,0))/10^6</f>
        <v>0</v>
      </c>
      <c r="AN350" s="556">
        <f>AN63*$C$344*INDEX(Inflation!$D$127:$BD$127, MATCH(AN349, Inflation!$D$125:$BD$125,0))/10^6</f>
        <v>0</v>
      </c>
      <c r="AO350" s="556">
        <f>AO63*$C$344*INDEX(Inflation!$D$127:$BD$127, MATCH(AO349, Inflation!$D$125:$BD$125,0))/10^6</f>
        <v>0</v>
      </c>
      <c r="AP350" s="556">
        <f>AP63*$C$344*INDEX(Inflation!$D$127:$BD$127, MATCH(AP349, Inflation!$D$125:$BD$125,0))/10^6</f>
        <v>0</v>
      </c>
      <c r="AQ350" s="556">
        <f>AQ63*$C$344*INDEX(Inflation!$D$127:$BD$127, MATCH(AQ349, Inflation!$D$125:$BD$125,0))/10^6</f>
        <v>0</v>
      </c>
      <c r="AR350" s="556">
        <f>AR63*$C$344*INDEX(Inflation!$D$127:$BD$127, MATCH(AR349, Inflation!$D$125:$BD$125,0))/10^6</f>
        <v>0</v>
      </c>
      <c r="AS350" s="556">
        <f>AS63*$C$344*INDEX(Inflation!$D$127:$BD$127, MATCH(AS349, Inflation!$D$125:$BD$125,0))/10^6</f>
        <v>0</v>
      </c>
      <c r="AT350" s="556" t="e">
        <f>AT63*$C$344*INDEX(Inflation!$D$127:$BD$127, MATCH(AT349, Inflation!$D$125:$BD$125,0))/10^6</f>
        <v>#N/A</v>
      </c>
      <c r="AU350" s="556" t="e">
        <f>AU63*$C$344*INDEX(Inflation!$D$127:$BD$127, MATCH(AU349, Inflation!$D$125:$BD$125,0))/10^6</f>
        <v>#N/A</v>
      </c>
      <c r="AV350" s="556" t="e">
        <f>AV63*$C$344*INDEX(Inflation!$D$127:$BD$127, MATCH(AV349, Inflation!$D$125:$BD$125,0))/10^6</f>
        <v>#N/A</v>
      </c>
      <c r="AW350" s="556" t="e">
        <f>AW63*$C$344*INDEX(Inflation!$D$127:$BD$127, MATCH(AW349, Inflation!$D$125:$BD$125,0))/10^6</f>
        <v>#N/A</v>
      </c>
      <c r="AX350" s="556" t="e">
        <f>AX63*$C$344*INDEX(Inflation!$D$127:$BD$127, MATCH(AX349, Inflation!$D$125:$BD$125,0))/10^6</f>
        <v>#N/A</v>
      </c>
      <c r="AY350" s="556" t="e">
        <f>AY63*$C$344*INDEX(Inflation!$D$127:$BD$127, MATCH(AY349, Inflation!$D$125:$BD$125,0))/10^6</f>
        <v>#N/A</v>
      </c>
      <c r="AZ350" s="556" t="e">
        <f>AZ63*$C$344*INDEX(Inflation!$D$127:$BD$127, MATCH(AZ349, Inflation!$D$125:$BD$125,0))/10^6</f>
        <v>#N/A</v>
      </c>
      <c r="BA350" s="556" t="e">
        <f>BA63*$C$344*INDEX(Inflation!$D$127:$BD$127, MATCH(BA349, Inflation!$D$125:$BD$125,0))/10^6</f>
        <v>#N/A</v>
      </c>
    </row>
    <row r="353" spans="1:60">
      <c r="A353" t="s">
        <v>10</v>
      </c>
      <c r="B353" s="9" t="s">
        <v>3230</v>
      </c>
    </row>
    <row r="354" spans="1:60">
      <c r="B354" s="472" t="s">
        <v>3397</v>
      </c>
      <c r="C354" s="512"/>
      <c r="D354" s="512"/>
      <c r="E354" s="512"/>
    </row>
    <row r="355" spans="1:60">
      <c r="A355" s="9"/>
      <c r="B355" s="34"/>
      <c r="C355" s="34">
        <f t="shared" ref="C355:AH355" si="81">C218</f>
        <v>2020</v>
      </c>
      <c r="D355" s="34">
        <f t="shared" si="81"/>
        <v>2021</v>
      </c>
      <c r="E355" s="34">
        <f t="shared" si="81"/>
        <v>2022</v>
      </c>
      <c r="F355" s="34">
        <f t="shared" si="81"/>
        <v>2023</v>
      </c>
      <c r="G355" s="34">
        <f t="shared" si="81"/>
        <v>2024</v>
      </c>
      <c r="H355" s="34">
        <f t="shared" si="81"/>
        <v>2025</v>
      </c>
      <c r="I355" s="34">
        <f t="shared" si="81"/>
        <v>2026</v>
      </c>
      <c r="J355" s="34">
        <f t="shared" si="81"/>
        <v>2027</v>
      </c>
      <c r="K355" s="34">
        <f t="shared" si="81"/>
        <v>2028</v>
      </c>
      <c r="L355" s="34">
        <f t="shared" si="81"/>
        <v>2029</v>
      </c>
      <c r="M355" s="34">
        <f t="shared" si="81"/>
        <v>2030</v>
      </c>
      <c r="N355" s="34">
        <f t="shared" si="81"/>
        <v>2031</v>
      </c>
      <c r="O355" s="34">
        <f t="shared" si="81"/>
        <v>2032</v>
      </c>
      <c r="P355" s="34">
        <f t="shared" si="81"/>
        <v>2033</v>
      </c>
      <c r="Q355" s="34">
        <f t="shared" si="81"/>
        <v>2034</v>
      </c>
      <c r="R355" s="34">
        <f t="shared" si="81"/>
        <v>2035</v>
      </c>
      <c r="S355" s="34">
        <f t="shared" si="81"/>
        <v>2036</v>
      </c>
      <c r="T355" s="34">
        <f t="shared" si="81"/>
        <v>2037</v>
      </c>
      <c r="U355" s="34">
        <f t="shared" si="81"/>
        <v>2038</v>
      </c>
      <c r="V355" s="34">
        <f t="shared" si="81"/>
        <v>2039</v>
      </c>
      <c r="W355" s="34">
        <f t="shared" si="81"/>
        <v>2040</v>
      </c>
      <c r="X355" s="34">
        <f t="shared" si="81"/>
        <v>2041</v>
      </c>
      <c r="Y355" s="34">
        <f t="shared" si="81"/>
        <v>2042</v>
      </c>
      <c r="Z355" s="34">
        <f t="shared" si="81"/>
        <v>2043</v>
      </c>
      <c r="AA355" s="34">
        <f t="shared" si="81"/>
        <v>2044</v>
      </c>
      <c r="AB355" s="34">
        <f t="shared" si="81"/>
        <v>2045</v>
      </c>
      <c r="AC355" s="34">
        <f t="shared" si="81"/>
        <v>2046</v>
      </c>
      <c r="AD355" s="34">
        <f t="shared" si="81"/>
        <v>2047</v>
      </c>
      <c r="AE355" s="34">
        <f t="shared" si="81"/>
        <v>2048</v>
      </c>
      <c r="AF355" s="34">
        <f t="shared" si="81"/>
        <v>2049</v>
      </c>
      <c r="AG355" s="34">
        <f t="shared" si="81"/>
        <v>2050</v>
      </c>
      <c r="AH355" s="34">
        <f t="shared" si="81"/>
        <v>2051</v>
      </c>
      <c r="AI355" s="34">
        <f t="shared" ref="AI355:BA355" si="82">AI218</f>
        <v>2052</v>
      </c>
      <c r="AJ355" s="34">
        <f t="shared" si="82"/>
        <v>2053</v>
      </c>
      <c r="AK355" s="34">
        <f t="shared" si="82"/>
        <v>2054</v>
      </c>
      <c r="AL355" s="34">
        <f t="shared" si="82"/>
        <v>2055</v>
      </c>
      <c r="AM355" s="34">
        <f t="shared" si="82"/>
        <v>2056</v>
      </c>
      <c r="AN355" s="34">
        <f t="shared" si="82"/>
        <v>2057</v>
      </c>
      <c r="AO355" s="34">
        <f t="shared" si="82"/>
        <v>2058</v>
      </c>
      <c r="AP355" s="34">
        <f t="shared" si="82"/>
        <v>2059</v>
      </c>
      <c r="AQ355" s="34">
        <f t="shared" si="82"/>
        <v>2060</v>
      </c>
      <c r="AR355" s="34">
        <f t="shared" si="82"/>
        <v>2061</v>
      </c>
      <c r="AS355" s="34">
        <f t="shared" si="82"/>
        <v>2062</v>
      </c>
      <c r="AT355" s="34">
        <f t="shared" si="82"/>
        <v>2063</v>
      </c>
      <c r="AU355" s="34">
        <f t="shared" si="82"/>
        <v>2064</v>
      </c>
      <c r="AV355" s="34">
        <f t="shared" si="82"/>
        <v>2065</v>
      </c>
      <c r="AW355" s="34">
        <f t="shared" si="82"/>
        <v>2066</v>
      </c>
      <c r="AX355" s="34">
        <f t="shared" si="82"/>
        <v>2067</v>
      </c>
      <c r="AY355" s="34">
        <f t="shared" si="82"/>
        <v>2068</v>
      </c>
      <c r="AZ355" s="34">
        <f t="shared" si="82"/>
        <v>2069</v>
      </c>
      <c r="BA355" s="34">
        <f t="shared" si="82"/>
        <v>2070</v>
      </c>
    </row>
    <row r="356" spans="1:60">
      <c r="A356" s="9"/>
      <c r="B356" s="269" t="s">
        <v>3230</v>
      </c>
      <c r="C356" s="558">
        <f t="shared" ref="C356:AH356" si="83">IF(C$355&lt; $C$6, 0, $H$344)</f>
        <v>0</v>
      </c>
      <c r="D356" s="558">
        <f t="shared" si="83"/>
        <v>0</v>
      </c>
      <c r="E356" s="558">
        <f t="shared" si="83"/>
        <v>0</v>
      </c>
      <c r="F356" s="558">
        <f t="shared" si="83"/>
        <v>0</v>
      </c>
      <c r="G356" s="558">
        <f t="shared" si="83"/>
        <v>118.30911399192775</v>
      </c>
      <c r="H356" s="558">
        <f t="shared" si="83"/>
        <v>118.30911399192775</v>
      </c>
      <c r="I356" s="558">
        <f t="shared" si="83"/>
        <v>118.30911399192775</v>
      </c>
      <c r="J356" s="558">
        <f t="shared" si="83"/>
        <v>118.30911399192775</v>
      </c>
      <c r="K356" s="558">
        <f t="shared" si="83"/>
        <v>118.30911399192775</v>
      </c>
      <c r="L356" s="558">
        <f t="shared" si="83"/>
        <v>118.30911399192775</v>
      </c>
      <c r="M356" s="558">
        <f t="shared" si="83"/>
        <v>118.30911399192775</v>
      </c>
      <c r="N356" s="558">
        <f t="shared" si="83"/>
        <v>118.30911399192775</v>
      </c>
      <c r="O356" s="558">
        <f t="shared" si="83"/>
        <v>118.30911399192775</v>
      </c>
      <c r="P356" s="558">
        <f t="shared" si="83"/>
        <v>118.30911399192775</v>
      </c>
      <c r="Q356" s="558">
        <f t="shared" si="83"/>
        <v>118.30911399192775</v>
      </c>
      <c r="R356" s="558">
        <f t="shared" si="83"/>
        <v>118.30911399192775</v>
      </c>
      <c r="S356" s="558">
        <f t="shared" si="83"/>
        <v>118.30911399192775</v>
      </c>
      <c r="T356" s="558">
        <f t="shared" si="83"/>
        <v>118.30911399192775</v>
      </c>
      <c r="U356" s="558">
        <f t="shared" si="83"/>
        <v>118.30911399192775</v>
      </c>
      <c r="V356" s="558">
        <f t="shared" si="83"/>
        <v>118.30911399192775</v>
      </c>
      <c r="W356" s="558">
        <f t="shared" si="83"/>
        <v>118.30911399192775</v>
      </c>
      <c r="X356" s="558">
        <f t="shared" si="83"/>
        <v>118.30911399192775</v>
      </c>
      <c r="Y356" s="558">
        <f t="shared" si="83"/>
        <v>118.30911399192775</v>
      </c>
      <c r="Z356" s="558">
        <f t="shared" si="83"/>
        <v>118.30911399192775</v>
      </c>
      <c r="AA356" s="558">
        <f t="shared" si="83"/>
        <v>118.30911399192775</v>
      </c>
      <c r="AB356" s="558">
        <f t="shared" si="83"/>
        <v>118.30911399192775</v>
      </c>
      <c r="AC356" s="558">
        <f t="shared" si="83"/>
        <v>118.30911399192775</v>
      </c>
      <c r="AD356" s="558">
        <f t="shared" si="83"/>
        <v>118.30911399192775</v>
      </c>
      <c r="AE356" s="558">
        <f t="shared" si="83"/>
        <v>118.30911399192775</v>
      </c>
      <c r="AF356" s="558">
        <f t="shared" si="83"/>
        <v>118.30911399192775</v>
      </c>
      <c r="AG356" s="558">
        <f t="shared" si="83"/>
        <v>118.30911399192775</v>
      </c>
      <c r="AH356" s="558">
        <f t="shared" si="83"/>
        <v>118.30911399192775</v>
      </c>
      <c r="AI356" s="558">
        <f t="shared" ref="AI356:BA356" si="84">IF(AI$355&lt; $C$6, 0, $H$344)</f>
        <v>118.30911399192775</v>
      </c>
      <c r="AJ356" s="558">
        <f t="shared" si="84"/>
        <v>118.30911399192775</v>
      </c>
      <c r="AK356" s="558">
        <f t="shared" si="84"/>
        <v>118.30911399192775</v>
      </c>
      <c r="AL356" s="558">
        <f t="shared" si="84"/>
        <v>118.30911399192775</v>
      </c>
      <c r="AM356" s="558">
        <f t="shared" si="84"/>
        <v>118.30911399192775</v>
      </c>
      <c r="AN356" s="558">
        <f t="shared" si="84"/>
        <v>118.30911399192775</v>
      </c>
      <c r="AO356" s="558">
        <f t="shared" si="84"/>
        <v>118.30911399192775</v>
      </c>
      <c r="AP356" s="558">
        <f t="shared" si="84"/>
        <v>118.30911399192775</v>
      </c>
      <c r="AQ356" s="558">
        <f t="shared" si="84"/>
        <v>118.30911399192775</v>
      </c>
      <c r="AR356" s="558">
        <f t="shared" si="84"/>
        <v>118.30911399192775</v>
      </c>
      <c r="AS356" s="558">
        <f t="shared" si="84"/>
        <v>118.30911399192775</v>
      </c>
      <c r="AT356" s="558">
        <f t="shared" si="84"/>
        <v>118.30911399192775</v>
      </c>
      <c r="AU356" s="558">
        <f t="shared" si="84"/>
        <v>118.30911399192775</v>
      </c>
      <c r="AV356" s="558">
        <f t="shared" si="84"/>
        <v>118.30911399192775</v>
      </c>
      <c r="AW356" s="558">
        <f t="shared" si="84"/>
        <v>118.30911399192775</v>
      </c>
      <c r="AX356" s="558">
        <f t="shared" si="84"/>
        <v>118.30911399192775</v>
      </c>
      <c r="AY356" s="558">
        <f t="shared" si="84"/>
        <v>118.30911399192775</v>
      </c>
      <c r="AZ356" s="558">
        <f t="shared" si="84"/>
        <v>118.30911399192775</v>
      </c>
      <c r="BA356" s="558">
        <f t="shared" si="84"/>
        <v>118.30911399192775</v>
      </c>
    </row>
    <row r="357" spans="1:60" s="693" customFormat="1" ht="29">
      <c r="B357" s="694" t="s">
        <v>3231</v>
      </c>
      <c r="C357" s="695">
        <f>C356*INDEX(Inflation!$D$127:$BD$127, MATCH(C355, Inflation!$D$125:$BD$125,0))/10^6</f>
        <v>0</v>
      </c>
      <c r="D357" s="695">
        <f>D356*INDEX(Inflation!$D$127:$BD$127, MATCH(D355, Inflation!$D$125:$BD$125,0))/10^6</f>
        <v>0</v>
      </c>
      <c r="E357" s="695">
        <f>E356*INDEX(Inflation!$D$127:$BD$127, MATCH(E355, Inflation!$D$125:$BD$125,0))/10^6</f>
        <v>0</v>
      </c>
      <c r="F357" s="695">
        <f>F356*INDEX(Inflation!$D$127:$BD$127, MATCH(F355, Inflation!$D$125:$BD$125,0))/10^6</f>
        <v>0</v>
      </c>
      <c r="G357" s="695">
        <f>G356*INDEX(Inflation!$D$127:$BD$127, MATCH(G355, Inflation!$D$125:$BD$125,0))/10^6</f>
        <v>1.353599427777306E-4</v>
      </c>
      <c r="H357" s="695">
        <f>H356*INDEX(Inflation!$D$127:$BD$127, MATCH(H355, Inflation!$D$125:$BD$125,0))/10^6</f>
        <v>1.3844614947306283E-4</v>
      </c>
      <c r="I357" s="695">
        <f>I356*INDEX(Inflation!$D$127:$BD$127, MATCH(I355, Inflation!$D$125:$BD$125,0))/10^6</f>
        <v>1.4160272168104864E-4</v>
      </c>
      <c r="J357" s="695">
        <f>J356*INDEX(Inflation!$D$127:$BD$127, MATCH(J355, Inflation!$D$125:$BD$125,0))/10^6</f>
        <v>1.4483126373537655E-4</v>
      </c>
      <c r="K357" s="695">
        <f>K356*INDEX(Inflation!$D$127:$BD$127, MATCH(K355, Inflation!$D$125:$BD$125,0))/10^6</f>
        <v>1.4813341654854314E-4</v>
      </c>
      <c r="L357" s="695">
        <f>L356*INDEX(Inflation!$D$127:$BD$127, MATCH(L355, Inflation!$D$125:$BD$125,0))/10^6</f>
        <v>1.5151085844584993E-4</v>
      </c>
      <c r="M357" s="695">
        <f>M356*INDEX(Inflation!$D$127:$BD$127, MATCH(M355, Inflation!$D$125:$BD$125,0))/10^6</f>
        <v>1.549653060184153E-4</v>
      </c>
      <c r="N357" s="695">
        <f>N356*INDEX(Inflation!$D$127:$BD$127, MATCH(N355, Inflation!$D$125:$BD$125,0))/10^6</f>
        <v>1.5849851499563517E-4</v>
      </c>
      <c r="O357" s="695">
        <f>O356*INDEX(Inflation!$D$127:$BD$127, MATCH(O355, Inflation!$D$125:$BD$125,0))/10^6</f>
        <v>1.6211228113753562E-4</v>
      </c>
      <c r="P357" s="695">
        <f>P356*INDEX(Inflation!$D$127:$BD$127, MATCH(P355, Inflation!$D$125:$BD$125,0))/10^6</f>
        <v>1.6580844114747145E-4</v>
      </c>
      <c r="Q357" s="695">
        <f>Q356*INDEX(Inflation!$D$127:$BD$127, MATCH(Q355, Inflation!$D$125:$BD$125,0))/10^6</f>
        <v>1.695888736056338E-4</v>
      </c>
      <c r="R357" s="695">
        <f>R356*INDEX(Inflation!$D$127:$BD$127, MATCH(R355, Inflation!$D$125:$BD$125,0))/10^6</f>
        <v>1.7345549992384224E-4</v>
      </c>
      <c r="S357" s="695">
        <f>S356*INDEX(Inflation!$D$127:$BD$127, MATCH(S355, Inflation!$D$125:$BD$125,0))/10^6</f>
        <v>1.7741028532210581E-4</v>
      </c>
      <c r="T357" s="695">
        <f>T356*INDEX(Inflation!$D$127:$BD$127, MATCH(T355, Inflation!$D$125:$BD$125,0))/10^6</f>
        <v>1.8145523982744983E-4</v>
      </c>
      <c r="U357" s="695">
        <f>U356*INDEX(Inflation!$D$127:$BD$127, MATCH(U355, Inflation!$D$125:$BD$125,0))/10^6</f>
        <v>1.8559241929551567E-4</v>
      </c>
      <c r="V357" s="695">
        <f>V356*INDEX(Inflation!$D$127:$BD$127, MATCH(V355, Inflation!$D$125:$BD$125,0))/10^6</f>
        <v>1.8982392645545341E-4</v>
      </c>
      <c r="W357" s="695">
        <f>W356*INDEX(Inflation!$D$127:$BD$127, MATCH(W355, Inflation!$D$125:$BD$125,0))/10^6</f>
        <v>1.9415191197863775E-4</v>
      </c>
      <c r="X357" s="695">
        <f>X356*INDEX(Inflation!$D$127:$BD$127, MATCH(X355, Inflation!$D$125:$BD$125,0))/10^6</f>
        <v>1.9857857557175067E-4</v>
      </c>
      <c r="Y357" s="695">
        <f>Y356*INDEX(Inflation!$D$127:$BD$127, MATCH(Y355, Inflation!$D$125:$BD$125,0))/10^6</f>
        <v>2.0310616709478656E-4</v>
      </c>
      <c r="Z357" s="695">
        <f>Z356*INDEX(Inflation!$D$127:$BD$127, MATCH(Z355, Inflation!$D$125:$BD$125,0))/10^6</f>
        <v>2.0773698770454769E-4</v>
      </c>
      <c r="AA357" s="695">
        <f>AA356*INDEX(Inflation!$D$127:$BD$127, MATCH(AA355, Inflation!$D$125:$BD$125,0))/10^6</f>
        <v>2.1247339102421138E-4</v>
      </c>
      <c r="AB357" s="695">
        <f>AB356*INDEX(Inflation!$D$127:$BD$127, MATCH(AB355, Inflation!$D$125:$BD$125,0))/10^6</f>
        <v>2.173177843395634E-4</v>
      </c>
      <c r="AC357" s="695">
        <f>AC356*INDEX(Inflation!$D$127:$BD$127, MATCH(AC355, Inflation!$D$125:$BD$125,0))/10^6</f>
        <v>2.222726298225054E-4</v>
      </c>
      <c r="AD357" s="695">
        <f>AD356*INDEX(Inflation!$D$127:$BD$127, MATCH(AD355, Inflation!$D$125:$BD$125,0))/10^6</f>
        <v>2.2734044578245847E-4</v>
      </c>
      <c r="AE357" s="695">
        <f>AE356*INDEX(Inflation!$D$127:$BD$127, MATCH(AE355, Inflation!$D$125:$BD$125,0))/10^6</f>
        <v>2.3252380794629854E-4</v>
      </c>
      <c r="AF357" s="695">
        <f>AF356*INDEX(Inflation!$D$127:$BD$127, MATCH(AF355, Inflation!$D$125:$BD$125,0))/10^6</f>
        <v>2.3782535076747414E-4</v>
      </c>
      <c r="AG357" s="695">
        <f>AG356*INDEX(Inflation!$D$127:$BD$127, MATCH(AG355, Inflation!$D$125:$BD$125,0))/10^6</f>
        <v>2.4324776876497254E-4</v>
      </c>
      <c r="AH357" s="695">
        <f>AH356*INDEX(Inflation!$D$127:$BD$127, MATCH(AH355, Inflation!$D$125:$BD$125,0))/10^6</f>
        <v>2.4879381789281389E-4</v>
      </c>
      <c r="AI357" s="695">
        <f>AI356*INDEX(Inflation!$D$127:$BD$127, MATCH(AI355, Inflation!$D$125:$BD$125,0))/10^6</f>
        <v>2.5446631694077003E-4</v>
      </c>
      <c r="AJ357" s="695">
        <f>AJ356*INDEX(Inflation!$D$127:$BD$127, MATCH(AJ355, Inflation!$D$125:$BD$125,0))/10^6</f>
        <v>2.6026814896701957E-4</v>
      </c>
      <c r="AK357" s="695">
        <f>AK356*INDEX(Inflation!$D$127:$BD$127, MATCH(AK355, Inflation!$D$125:$BD$125,0))/10^6</f>
        <v>2.6620226276346761E-4</v>
      </c>
      <c r="AL357" s="695">
        <f>AL356*INDEX(Inflation!$D$127:$BD$127, MATCH(AL355, Inflation!$D$125:$BD$125,0))/10^6</f>
        <v>2.7227167435447459E-4</v>
      </c>
      <c r="AM357" s="695">
        <f>AM356*INDEX(Inflation!$D$127:$BD$127, MATCH(AM355, Inflation!$D$125:$BD$125,0))/10^6</f>
        <v>2.7847946852975659E-4</v>
      </c>
      <c r="AN357" s="695">
        <f>AN356*INDEX(Inflation!$D$127:$BD$127, MATCH(AN355, Inflation!$D$125:$BD$125,0))/10^6</f>
        <v>2.8482880041223507E-4</v>
      </c>
      <c r="AO357" s="695">
        <f>AO356*INDEX(Inflation!$D$127:$BD$127, MATCH(AO355, Inflation!$D$125:$BD$125,0))/10^6</f>
        <v>2.9132289706163401E-4</v>
      </c>
      <c r="AP357" s="695">
        <f>AP356*INDEX(Inflation!$D$127:$BD$127, MATCH(AP355, Inflation!$D$125:$BD$125,0))/10^6</f>
        <v>2.9796505911463926E-4</v>
      </c>
      <c r="AQ357" s="695">
        <f>AQ356*INDEX(Inflation!$D$127:$BD$127, MATCH(AQ355, Inflation!$D$125:$BD$125,0))/10^6</f>
        <v>3.0475866246245303E-4</v>
      </c>
      <c r="AR357" s="695">
        <f>AR356*INDEX(Inflation!$D$127:$BD$127, MATCH(AR355, Inflation!$D$125:$BD$125,0))/10^6</f>
        <v>3.1170715996659698E-4</v>
      </c>
      <c r="AS357" s="695">
        <f>AS356*INDEX(Inflation!$D$127:$BD$127, MATCH(AS355, Inflation!$D$125:$BD$125,0))/10^6</f>
        <v>3.188140832138354E-4</v>
      </c>
      <c r="AT357" s="695" t="e">
        <f>AT356*INDEX(Inflation!$D$127:$BD$127, MATCH(AT355, Inflation!$D$125:$BD$125,0))/10^6</f>
        <v>#N/A</v>
      </c>
      <c r="AU357" s="695" t="e">
        <f>AU356*INDEX(Inflation!$D$127:$BD$127, MATCH(AU355, Inflation!$D$125:$BD$125,0))/10^6</f>
        <v>#N/A</v>
      </c>
      <c r="AV357" s="695" t="e">
        <f>AV356*INDEX(Inflation!$D$127:$BD$127, MATCH(AV355, Inflation!$D$125:$BD$125,0))/10^6</f>
        <v>#N/A</v>
      </c>
      <c r="AW357" s="695" t="e">
        <f>AW356*INDEX(Inflation!$D$127:$BD$127, MATCH(AW355, Inflation!$D$125:$BD$125,0))/10^6</f>
        <v>#N/A</v>
      </c>
      <c r="AX357" s="695" t="e">
        <f>AX356*INDEX(Inflation!$D$127:$BD$127, MATCH(AX355, Inflation!$D$125:$BD$125,0))/10^6</f>
        <v>#N/A</v>
      </c>
      <c r="AY357" s="695" t="e">
        <f>AY356*INDEX(Inflation!$D$127:$BD$127, MATCH(AY355, Inflation!$D$125:$BD$125,0))/10^6</f>
        <v>#N/A</v>
      </c>
      <c r="AZ357" s="695" t="e">
        <f>AZ356*INDEX(Inflation!$D$127:$BD$127, MATCH(AZ355, Inflation!$D$125:$BD$125,0))/10^6</f>
        <v>#N/A</v>
      </c>
      <c r="BA357" s="695" t="e">
        <f>BA356*INDEX(Inflation!$D$127:$BD$127, MATCH(BA355, Inflation!$D$125:$BD$125,0))/10^6</f>
        <v>#N/A</v>
      </c>
      <c r="BB357"/>
      <c r="BC357"/>
      <c r="BD357"/>
      <c r="BE357"/>
      <c r="BF357"/>
      <c r="BG357"/>
      <c r="BH357"/>
    </row>
    <row r="358" spans="1:60">
      <c r="B358" s="151" t="s">
        <v>3220</v>
      </c>
    </row>
    <row r="359" spans="1:60">
      <c r="B359" s="49"/>
      <c r="C359" s="512"/>
      <c r="D359" s="512"/>
      <c r="E359" s="512"/>
    </row>
    <row r="360" spans="1:60">
      <c r="B360" s="49"/>
      <c r="C360" s="512"/>
      <c r="D360" s="512"/>
      <c r="E360" s="512"/>
    </row>
    <row r="361" spans="1:60">
      <c r="B361" s="49"/>
      <c r="C361" s="512"/>
      <c r="D361" s="512"/>
      <c r="E361" s="512"/>
    </row>
    <row r="363" spans="1:60" s="588" customFormat="1">
      <c r="A363" s="593" t="s">
        <v>3169</v>
      </c>
    </row>
    <row r="364" spans="1:60">
      <c r="B364" s="151" t="s">
        <v>3171</v>
      </c>
    </row>
    <row r="365" spans="1:60">
      <c r="B365" s="151"/>
    </row>
    <row r="367" spans="1:60">
      <c r="B367" s="9" t="s">
        <v>3170</v>
      </c>
    </row>
    <row r="368" spans="1:60">
      <c r="B368" s="34"/>
      <c r="C368" s="57" t="s">
        <v>3076</v>
      </c>
      <c r="G368" s="57" t="s">
        <v>3172</v>
      </c>
    </row>
    <row r="369" spans="2:7">
      <c r="B369" s="431" t="s">
        <v>3083</v>
      </c>
      <c r="C369" s="481"/>
      <c r="G369" s="506">
        <v>20628</v>
      </c>
    </row>
    <row r="370" spans="2:7">
      <c r="B370" s="431" t="s">
        <v>3072</v>
      </c>
      <c r="C370" s="481">
        <v>1</v>
      </c>
      <c r="G370" s="506">
        <v>26894</v>
      </c>
    </row>
    <row r="371" spans="2:7">
      <c r="B371" s="431" t="s">
        <v>3073</v>
      </c>
      <c r="C371" s="481"/>
      <c r="G371" s="506">
        <v>33411</v>
      </c>
    </row>
    <row r="372" spans="2:7">
      <c r="B372" s="431" t="s">
        <v>3071</v>
      </c>
      <c r="C372" s="481"/>
      <c r="G372" s="506">
        <v>39994</v>
      </c>
    </row>
    <row r="373" spans="2:7">
      <c r="B373" s="431" t="s">
        <v>3405</v>
      </c>
      <c r="C373" s="481">
        <v>1</v>
      </c>
      <c r="G373" s="506">
        <v>65739</v>
      </c>
    </row>
    <row r="374" spans="2:7">
      <c r="G374" s="151" t="s">
        <v>3395</v>
      </c>
    </row>
    <row r="375" spans="2:7">
      <c r="B375" s="9" t="s">
        <v>3173</v>
      </c>
    </row>
    <row r="376" spans="2:7">
      <c r="B376" s="34"/>
      <c r="C376" s="57" t="s">
        <v>3079</v>
      </c>
    </row>
    <row r="377" spans="2:7">
      <c r="B377" s="431" t="s">
        <v>3083</v>
      </c>
      <c r="C377" s="490">
        <f t="shared" ref="C377:C381" si="85">C369*$G369</f>
        <v>0</v>
      </c>
    </row>
    <row r="378" spans="2:7">
      <c r="B378" s="431" t="s">
        <v>3072</v>
      </c>
      <c r="C378" s="490">
        <f t="shared" si="85"/>
        <v>26894</v>
      </c>
    </row>
    <row r="379" spans="2:7">
      <c r="B379" s="431" t="s">
        <v>3073</v>
      </c>
      <c r="C379" s="490">
        <f t="shared" si="85"/>
        <v>0</v>
      </c>
    </row>
    <row r="380" spans="2:7">
      <c r="B380" s="431" t="s">
        <v>3071</v>
      </c>
      <c r="C380" s="490">
        <f t="shared" si="85"/>
        <v>0</v>
      </c>
    </row>
    <row r="381" spans="2:7">
      <c r="B381" s="431" t="s">
        <v>3405</v>
      </c>
      <c r="C381" s="490">
        <f t="shared" si="85"/>
        <v>65739</v>
      </c>
    </row>
    <row r="384" spans="2:7" ht="29">
      <c r="B384" s="269" t="s">
        <v>3174</v>
      </c>
      <c r="C384" s="477">
        <f>'Control Assumptions'!C196</f>
        <v>1</v>
      </c>
      <c r="D384" s="151" t="s">
        <v>3455</v>
      </c>
    </row>
    <row r="385" spans="1:41" ht="29">
      <c r="B385" s="266" t="s">
        <v>3766</v>
      </c>
      <c r="C385" s="912">
        <f>SUM(C377:C381)*C384</f>
        <v>92633</v>
      </c>
    </row>
    <row r="386" spans="1:41">
      <c r="B386" s="508"/>
      <c r="C386" s="911"/>
    </row>
    <row r="387" spans="1:41">
      <c r="B387" s="269" t="s">
        <v>3769</v>
      </c>
      <c r="C387" s="477">
        <f>'Control Assumptions'!C12</f>
        <v>3</v>
      </c>
    </row>
    <row r="388" spans="1:41" ht="29">
      <c r="B388" s="266" t="s">
        <v>3770</v>
      </c>
      <c r="C388" s="912">
        <f>C385*C387</f>
        <v>277899</v>
      </c>
    </row>
    <row r="389" spans="1:41">
      <c r="B389" s="508"/>
      <c r="C389" s="911"/>
    </row>
    <row r="391" spans="1:41">
      <c r="B391" s="34"/>
      <c r="C391" s="57">
        <f>C355</f>
        <v>2020</v>
      </c>
      <c r="D391" s="57">
        <f>C391+1</f>
        <v>2021</v>
      </c>
      <c r="E391" s="57">
        <f>D391+1</f>
        <v>2022</v>
      </c>
      <c r="F391" s="57">
        <f t="shared" ref="F391:AA391" si="86">E391+1</f>
        <v>2023</v>
      </c>
      <c r="G391" s="57">
        <f t="shared" si="86"/>
        <v>2024</v>
      </c>
      <c r="H391" s="57">
        <f t="shared" si="86"/>
        <v>2025</v>
      </c>
      <c r="I391" s="57">
        <f t="shared" si="86"/>
        <v>2026</v>
      </c>
      <c r="J391" s="57">
        <f t="shared" si="86"/>
        <v>2027</v>
      </c>
      <c r="K391" s="57">
        <f t="shared" si="86"/>
        <v>2028</v>
      </c>
      <c r="L391" s="57">
        <f t="shared" si="86"/>
        <v>2029</v>
      </c>
      <c r="M391" s="57">
        <f t="shared" si="86"/>
        <v>2030</v>
      </c>
      <c r="N391" s="57">
        <f t="shared" si="86"/>
        <v>2031</v>
      </c>
      <c r="O391" s="57">
        <f t="shared" si="86"/>
        <v>2032</v>
      </c>
      <c r="P391" s="57">
        <f t="shared" si="86"/>
        <v>2033</v>
      </c>
      <c r="Q391" s="57">
        <f t="shared" si="86"/>
        <v>2034</v>
      </c>
      <c r="R391" s="57">
        <f t="shared" si="86"/>
        <v>2035</v>
      </c>
      <c r="S391" s="57">
        <f t="shared" si="86"/>
        <v>2036</v>
      </c>
      <c r="T391" s="57">
        <f t="shared" si="86"/>
        <v>2037</v>
      </c>
      <c r="U391" s="57">
        <f t="shared" si="86"/>
        <v>2038</v>
      </c>
      <c r="V391" s="57">
        <f t="shared" si="86"/>
        <v>2039</v>
      </c>
      <c r="W391" s="57">
        <f t="shared" si="86"/>
        <v>2040</v>
      </c>
      <c r="X391" s="57">
        <f t="shared" si="86"/>
        <v>2041</v>
      </c>
      <c r="Y391" s="57">
        <f t="shared" si="86"/>
        <v>2042</v>
      </c>
      <c r="Z391" s="57">
        <f t="shared" si="86"/>
        <v>2043</v>
      </c>
      <c r="AA391" s="57">
        <f t="shared" si="86"/>
        <v>2044</v>
      </c>
      <c r="AB391" s="57">
        <f>AA391+1</f>
        <v>2045</v>
      </c>
      <c r="AC391" s="57">
        <f t="shared" ref="AC391:AJ391" si="87">AB391+1</f>
        <v>2046</v>
      </c>
      <c r="AD391" s="57">
        <f t="shared" si="87"/>
        <v>2047</v>
      </c>
      <c r="AE391" s="57">
        <f t="shared" si="87"/>
        <v>2048</v>
      </c>
      <c r="AF391" s="57">
        <f t="shared" si="87"/>
        <v>2049</v>
      </c>
      <c r="AG391" s="57">
        <f t="shared" si="87"/>
        <v>2050</v>
      </c>
      <c r="AH391" s="57">
        <f t="shared" si="87"/>
        <v>2051</v>
      </c>
      <c r="AI391" s="57">
        <f t="shared" si="87"/>
        <v>2052</v>
      </c>
      <c r="AJ391" s="57">
        <f t="shared" si="87"/>
        <v>2053</v>
      </c>
      <c r="AK391" s="57">
        <f>AJ391+1</f>
        <v>2054</v>
      </c>
      <c r="AL391" s="57">
        <f t="shared" ref="AL391:AO391" si="88">AK391+1</f>
        <v>2055</v>
      </c>
      <c r="AM391" s="57">
        <f t="shared" si="88"/>
        <v>2056</v>
      </c>
      <c r="AN391" s="57">
        <f t="shared" si="88"/>
        <v>2057</v>
      </c>
      <c r="AO391" s="57">
        <f t="shared" si="88"/>
        <v>2058</v>
      </c>
    </row>
    <row r="392" spans="1:41" ht="29">
      <c r="B392" s="269" t="s">
        <v>3229</v>
      </c>
      <c r="C392" s="557">
        <f>'Control Assumptions'!$D$184*C63*$C$388*INDEX(Inflation!$D$127:$BD$127, MATCH(C391, Inflation!$D$125:$BD$125,0))/10^6</f>
        <v>0</v>
      </c>
      <c r="D392" s="557">
        <f>'Control Assumptions'!$D$184*D63*$C$388*INDEX(Inflation!$D$127:$BD$127, MATCH(D391, Inflation!$D$125:$BD$125,0))/10^6</f>
        <v>9.9052520553033596E-2</v>
      </c>
      <c r="E392" s="557">
        <f>'Control Assumptions'!$D$184*E63*$C$388*INDEX(Inflation!$D$127:$BD$127, MATCH(E391, Inflation!$D$125:$BD$125,0))/10^6</f>
        <v>0.10131091802164274</v>
      </c>
      <c r="F392" s="557">
        <f>'Control Assumptions'!$D$184*F63*$C$388*INDEX(Inflation!$D$127:$BD$127, MATCH(F391, Inflation!$D$125:$BD$125,0))/10^6</f>
        <v>0.1036208069525362</v>
      </c>
      <c r="G392" s="557">
        <f>'Control Assumptions'!$D$184*G63*$C$388*INDEX(Inflation!$D$127:$BD$127, MATCH(G391, Inflation!$D$125:$BD$125,0))/10^6</f>
        <v>0</v>
      </c>
      <c r="H392" s="557">
        <f>'Control Assumptions'!$D$184*H63*$C$388*INDEX(Inflation!$D$127:$BD$127, MATCH(H391, Inflation!$D$125:$BD$125,0))/10^6</f>
        <v>0</v>
      </c>
      <c r="I392" s="557">
        <f>'Control Assumptions'!$D$184*I63*$C$388*INDEX(Inflation!$D$127:$BD$127, MATCH(I391, Inflation!$D$125:$BD$125,0))/10^6</f>
        <v>0</v>
      </c>
      <c r="J392" s="557">
        <f>'Control Assumptions'!$D$184*J63*$C$388*INDEX(Inflation!$D$127:$BD$127, MATCH(J391, Inflation!$D$125:$BD$125,0))/10^6</f>
        <v>0</v>
      </c>
      <c r="K392" s="557">
        <f>'Control Assumptions'!$D$184*K63*$C$388*INDEX(Inflation!$D$127:$BD$127, MATCH(K391, Inflation!$D$125:$BD$125,0))/10^6</f>
        <v>0</v>
      </c>
      <c r="L392" s="557">
        <f>'Control Assumptions'!$D$184*L63*$C$388*INDEX(Inflation!$D$127:$BD$127, MATCH(L391, Inflation!$D$125:$BD$125,0))/10^6</f>
        <v>0</v>
      </c>
      <c r="M392" s="557">
        <f>'Control Assumptions'!$D$184*M63*$C$388*INDEX(Inflation!$D$127:$BD$127, MATCH(M391, Inflation!$D$125:$BD$125,0))/10^6</f>
        <v>0</v>
      </c>
      <c r="N392" s="557">
        <f>'Control Assumptions'!$D$184*N63*$C$388*INDEX(Inflation!$D$127:$BD$127, MATCH(N391, Inflation!$D$125:$BD$125,0))/10^6</f>
        <v>0</v>
      </c>
      <c r="O392" s="557">
        <f>'Control Assumptions'!$D$184*O63*$C$388*INDEX(Inflation!$D$127:$BD$127, MATCH(O391, Inflation!$D$125:$BD$125,0))/10^6</f>
        <v>0</v>
      </c>
      <c r="P392" s="557">
        <f>'Control Assumptions'!$D$184*P63*$C$388*INDEX(Inflation!$D$127:$BD$127, MATCH(P391, Inflation!$D$125:$BD$125,0))/10^6</f>
        <v>0</v>
      </c>
      <c r="Q392" s="557">
        <f>'Control Assumptions'!$D$184*Q63*$C$388*INDEX(Inflation!$D$127:$BD$127, MATCH(Q391, Inflation!$D$125:$BD$125,0))/10^6</f>
        <v>0</v>
      </c>
      <c r="R392" s="557">
        <f>'Control Assumptions'!$D$184*R63*$C$388*INDEX(Inflation!$D$127:$BD$127, MATCH(R391, Inflation!$D$125:$BD$125,0))/10^6</f>
        <v>0</v>
      </c>
      <c r="S392" s="557">
        <f>'Control Assumptions'!$D$184*S63*$C$388*INDEX(Inflation!$D$127:$BD$127, MATCH(S391, Inflation!$D$125:$BD$125,0))/10^6</f>
        <v>0</v>
      </c>
      <c r="T392" s="557">
        <f>'Control Assumptions'!$D$184*T63*$C$388*INDEX(Inflation!$D$127:$BD$127, MATCH(T391, Inflation!$D$125:$BD$125,0))/10^6</f>
        <v>0</v>
      </c>
      <c r="U392" s="557">
        <f>'Control Assumptions'!$D$184*U63*$C$388*INDEX(Inflation!$D$127:$BD$127, MATCH(U391, Inflation!$D$125:$BD$125,0))/10^6</f>
        <v>0</v>
      </c>
      <c r="V392" s="557">
        <f>'Control Assumptions'!$D$184*V63*$C$388*INDEX(Inflation!$D$127:$BD$127, MATCH(V391, Inflation!$D$125:$BD$125,0))/10^6</f>
        <v>0</v>
      </c>
      <c r="W392" s="557">
        <f>'Control Assumptions'!$D$184*W63*$C$388*INDEX(Inflation!$D$127:$BD$127, MATCH(W391, Inflation!$D$125:$BD$125,0))/10^6</f>
        <v>0</v>
      </c>
      <c r="X392" s="557">
        <f>'Control Assumptions'!$D$184*X63*$C$388*INDEX(Inflation!$D$127:$BD$127, MATCH(X391, Inflation!$D$125:$BD$125,0))/10^6</f>
        <v>0</v>
      </c>
      <c r="Y392" s="557">
        <f>'Control Assumptions'!$D$184*Y63*$C$388*INDEX(Inflation!$D$127:$BD$127, MATCH(Y391, Inflation!$D$125:$BD$125,0))/10^6</f>
        <v>0</v>
      </c>
      <c r="Z392" s="557">
        <f>'Control Assumptions'!$D$184*Z63*$C$388*INDEX(Inflation!$D$127:$BD$127, MATCH(Z391, Inflation!$D$125:$BD$125,0))/10^6</f>
        <v>0</v>
      </c>
      <c r="AA392" s="557">
        <f>'Control Assumptions'!$D$184*AA63*$C$388*INDEX(Inflation!$D$127:$BD$127, MATCH(AA391, Inflation!$D$125:$BD$125,0))/10^6</f>
        <v>0</v>
      </c>
      <c r="AB392" s="557">
        <f>'Control Assumptions'!$D$184*AB63*$C$388*INDEX(Inflation!$D$127:$BD$127, MATCH(AB391, Inflation!$D$125:$BD$125,0))/10^6</f>
        <v>0</v>
      </c>
      <c r="AC392" s="557">
        <f>'Control Assumptions'!$D$184*AC63*$C$388*INDEX(Inflation!$D$127:$BD$127, MATCH(AC391, Inflation!$D$125:$BD$125,0))/10^6</f>
        <v>0</v>
      </c>
      <c r="AD392" s="557">
        <f>'Control Assumptions'!$D$184*AD63*$C$388*INDEX(Inflation!$D$127:$BD$127, MATCH(AD391, Inflation!$D$125:$BD$125,0))/10^6</f>
        <v>0</v>
      </c>
      <c r="AE392" s="557">
        <f>'Control Assumptions'!$D$184*AE63*$C$388*INDEX(Inflation!$D$127:$BD$127, MATCH(AE391, Inflation!$D$125:$BD$125,0))/10^6</f>
        <v>0</v>
      </c>
      <c r="AF392" s="557">
        <f>'Control Assumptions'!$D$184*AF63*$C$388*INDEX(Inflation!$D$127:$BD$127, MATCH(AF391, Inflation!$D$125:$BD$125,0))/10^6</f>
        <v>0</v>
      </c>
      <c r="AG392" s="557">
        <f>'Control Assumptions'!$D$184*AG63*$C$388*INDEX(Inflation!$D$127:$BD$127, MATCH(AG391, Inflation!$D$125:$BD$125,0))/10^6</f>
        <v>0</v>
      </c>
      <c r="AH392" s="557">
        <f>'Control Assumptions'!$D$184*AH63*$C$388*INDEX(Inflation!$D$127:$BD$127, MATCH(AH391, Inflation!$D$125:$BD$125,0))/10^6</f>
        <v>0</v>
      </c>
      <c r="AI392" s="557">
        <f>'Control Assumptions'!$D$184*AI63*$C$388*INDEX(Inflation!$D$127:$BD$127, MATCH(AI391, Inflation!$D$125:$BD$125,0))/10^6</f>
        <v>0</v>
      </c>
      <c r="AJ392" s="557">
        <f>'Control Assumptions'!$D$184*AJ63*$C$388*INDEX(Inflation!$D$127:$BD$127, MATCH(AJ391, Inflation!$D$125:$BD$125,0))/10^6</f>
        <v>0</v>
      </c>
      <c r="AK392" s="557">
        <f>'Control Assumptions'!$D$184*AK63*$C$388*INDEX(Inflation!$D$127:$BD$127, MATCH(AK391, Inflation!$D$125:$BD$125,0))/10^6</f>
        <v>0</v>
      </c>
      <c r="AL392" s="557">
        <f>'Control Assumptions'!$D$184*AL63*$C$388*INDEX(Inflation!$D$127:$BD$127, MATCH(AL391, Inflation!$D$125:$BD$125,0))/10^6</f>
        <v>0</v>
      </c>
      <c r="AM392" s="557">
        <f>'Control Assumptions'!$D$184*AM63*$C$388*INDEX(Inflation!$D$127:$BD$127, MATCH(AM391, Inflation!$D$125:$BD$125,0))/10^6</f>
        <v>0</v>
      </c>
      <c r="AN392" s="557">
        <f>'Control Assumptions'!$D$184*AN63*$C$388*INDEX(Inflation!$D$127:$BD$127, MATCH(AN391, Inflation!$D$125:$BD$125,0))/10^6</f>
        <v>0</v>
      </c>
      <c r="AO392" s="557">
        <f>'Control Assumptions'!$D$184*AO63*$C$388*INDEX(Inflation!$D$127:$BD$127, MATCH(AO391, Inflation!$D$125:$BD$125,0))/10^6</f>
        <v>0</v>
      </c>
    </row>
    <row r="398" spans="1:41" s="588" customFormat="1">
      <c r="A398" s="593" t="s">
        <v>3314</v>
      </c>
    </row>
    <row r="399" spans="1:41">
      <c r="B399" s="151" t="s">
        <v>3171</v>
      </c>
    </row>
    <row r="402" spans="1:53">
      <c r="B402" s="9" t="s">
        <v>3316</v>
      </c>
    </row>
    <row r="403" spans="1:53">
      <c r="B403" s="151" t="s">
        <v>3396</v>
      </c>
    </row>
    <row r="404" spans="1:53">
      <c r="B404" s="34"/>
      <c r="C404" s="57"/>
    </row>
    <row r="405" spans="1:53" ht="29">
      <c r="B405" s="269" t="s">
        <v>3752</v>
      </c>
      <c r="C405" s="709">
        <v>50000</v>
      </c>
    </row>
    <row r="406" spans="1:53">
      <c r="B406" s="269" t="s">
        <v>3753</v>
      </c>
      <c r="C406" s="506">
        <v>300000</v>
      </c>
      <c r="E406" s="18"/>
    </row>
    <row r="407" spans="1:53">
      <c r="E407" s="18"/>
    </row>
    <row r="408" spans="1:53">
      <c r="B408" s="34" t="s">
        <v>2998</v>
      </c>
      <c r="C408" s="34" t="s">
        <v>3076</v>
      </c>
      <c r="E408" s="18"/>
    </row>
    <row r="409" spans="1:53">
      <c r="B409" s="269" t="s">
        <v>3754</v>
      </c>
      <c r="C409" s="467">
        <f>'Control Assumptions'!C47</f>
        <v>150000</v>
      </c>
      <c r="E409" s="18"/>
    </row>
    <row r="410" spans="1:53">
      <c r="E410" s="23"/>
    </row>
    <row r="411" spans="1:53" ht="29" customHeight="1">
      <c r="B411" s="266" t="s">
        <v>3317</v>
      </c>
      <c r="C411" s="484">
        <f>(C409/C406)*C405*'Control Assumptions'!D186</f>
        <v>25000</v>
      </c>
      <c r="D411" s="15"/>
      <c r="E411" s="60"/>
    </row>
    <row r="414" spans="1:53">
      <c r="A414" s="9"/>
      <c r="B414" s="34"/>
      <c r="C414" s="34">
        <f t="shared" ref="C414:AH414" si="89">C355</f>
        <v>2020</v>
      </c>
      <c r="D414" s="34">
        <f t="shared" si="89"/>
        <v>2021</v>
      </c>
      <c r="E414" s="34">
        <f t="shared" si="89"/>
        <v>2022</v>
      </c>
      <c r="F414" s="34">
        <f t="shared" si="89"/>
        <v>2023</v>
      </c>
      <c r="G414" s="34">
        <f t="shared" si="89"/>
        <v>2024</v>
      </c>
      <c r="H414" s="34">
        <f t="shared" si="89"/>
        <v>2025</v>
      </c>
      <c r="I414" s="34">
        <f t="shared" si="89"/>
        <v>2026</v>
      </c>
      <c r="J414" s="34">
        <f t="shared" si="89"/>
        <v>2027</v>
      </c>
      <c r="K414" s="34">
        <f t="shared" si="89"/>
        <v>2028</v>
      </c>
      <c r="L414" s="34">
        <f t="shared" si="89"/>
        <v>2029</v>
      </c>
      <c r="M414" s="34">
        <f t="shared" si="89"/>
        <v>2030</v>
      </c>
      <c r="N414" s="34">
        <f t="shared" si="89"/>
        <v>2031</v>
      </c>
      <c r="O414" s="34">
        <f t="shared" si="89"/>
        <v>2032</v>
      </c>
      <c r="P414" s="34">
        <f t="shared" si="89"/>
        <v>2033</v>
      </c>
      <c r="Q414" s="34">
        <f t="shared" si="89"/>
        <v>2034</v>
      </c>
      <c r="R414" s="34">
        <f t="shared" si="89"/>
        <v>2035</v>
      </c>
      <c r="S414" s="34">
        <f t="shared" si="89"/>
        <v>2036</v>
      </c>
      <c r="T414" s="34">
        <f t="shared" si="89"/>
        <v>2037</v>
      </c>
      <c r="U414" s="34">
        <f t="shared" si="89"/>
        <v>2038</v>
      </c>
      <c r="V414" s="34">
        <f t="shared" si="89"/>
        <v>2039</v>
      </c>
      <c r="W414" s="34">
        <f t="shared" si="89"/>
        <v>2040</v>
      </c>
      <c r="X414" s="34">
        <f t="shared" si="89"/>
        <v>2041</v>
      </c>
      <c r="Y414" s="34">
        <f t="shared" si="89"/>
        <v>2042</v>
      </c>
      <c r="Z414" s="34">
        <f t="shared" si="89"/>
        <v>2043</v>
      </c>
      <c r="AA414" s="34">
        <f t="shared" si="89"/>
        <v>2044</v>
      </c>
      <c r="AB414" s="34">
        <f t="shared" si="89"/>
        <v>2045</v>
      </c>
      <c r="AC414" s="34">
        <f t="shared" si="89"/>
        <v>2046</v>
      </c>
      <c r="AD414" s="34">
        <f t="shared" si="89"/>
        <v>2047</v>
      </c>
      <c r="AE414" s="34">
        <f t="shared" si="89"/>
        <v>2048</v>
      </c>
      <c r="AF414" s="34">
        <f t="shared" si="89"/>
        <v>2049</v>
      </c>
      <c r="AG414" s="34">
        <f t="shared" si="89"/>
        <v>2050</v>
      </c>
      <c r="AH414" s="34">
        <f t="shared" si="89"/>
        <v>2051</v>
      </c>
      <c r="AI414" s="34">
        <f t="shared" ref="AI414:BA414" si="90">AI355</f>
        <v>2052</v>
      </c>
      <c r="AJ414" s="34">
        <f t="shared" si="90"/>
        <v>2053</v>
      </c>
      <c r="AK414" s="34">
        <f t="shared" si="90"/>
        <v>2054</v>
      </c>
      <c r="AL414" s="34">
        <f t="shared" si="90"/>
        <v>2055</v>
      </c>
      <c r="AM414" s="34">
        <f t="shared" si="90"/>
        <v>2056</v>
      </c>
      <c r="AN414" s="34">
        <f t="shared" si="90"/>
        <v>2057</v>
      </c>
      <c r="AO414" s="34">
        <f t="shared" si="90"/>
        <v>2058</v>
      </c>
      <c r="AP414" s="34">
        <f t="shared" si="90"/>
        <v>2059</v>
      </c>
      <c r="AQ414" s="34">
        <f t="shared" si="90"/>
        <v>2060</v>
      </c>
      <c r="AR414" s="34">
        <f t="shared" si="90"/>
        <v>2061</v>
      </c>
      <c r="AS414" s="34">
        <f t="shared" si="90"/>
        <v>2062</v>
      </c>
      <c r="AT414" s="34">
        <f t="shared" si="90"/>
        <v>2063</v>
      </c>
      <c r="AU414" s="34">
        <f t="shared" si="90"/>
        <v>2064</v>
      </c>
      <c r="AV414" s="34">
        <f t="shared" si="90"/>
        <v>2065</v>
      </c>
      <c r="AW414" s="34">
        <f t="shared" si="90"/>
        <v>2066</v>
      </c>
      <c r="AX414" s="34">
        <f t="shared" si="90"/>
        <v>2067</v>
      </c>
      <c r="AY414" s="34">
        <f t="shared" si="90"/>
        <v>2068</v>
      </c>
      <c r="AZ414" s="34">
        <f t="shared" si="90"/>
        <v>2069</v>
      </c>
      <c r="BA414" s="34">
        <f t="shared" si="90"/>
        <v>2070</v>
      </c>
    </row>
    <row r="415" spans="1:53" s="9" customFormat="1" ht="29">
      <c r="B415" s="266" t="s">
        <v>3398</v>
      </c>
      <c r="C415" s="560">
        <f>C78*$C$411*INDEX(Inflation!$D$157:$BD$157, MATCH(C414, Inflation!$D$125:$BD$125,0))/10^6</f>
        <v>0</v>
      </c>
      <c r="D415" s="560">
        <f>D78*$C$411*INDEX(Inflation!$D$157:$BD$157, MATCH(D414, Inflation!$D$125:$BD$125,0))/10^6</f>
        <v>8.8260684999999974E-3</v>
      </c>
      <c r="E415" s="560">
        <f>E78*$C$411*INDEX(Inflation!$D$157:$BD$157, MATCH(E414, Inflation!$D$125:$BD$125,0))/10^6</f>
        <v>1.798752760299999E-2</v>
      </c>
      <c r="F415" s="560">
        <f>F78*$C$411*INDEX(Inflation!$D$157:$BD$157, MATCH(F414, Inflation!$D$125:$BD$125,0))/10^6</f>
        <v>2.7493935941185488E-2</v>
      </c>
      <c r="G415" s="560">
        <f>G78*$C$411*INDEX(Inflation!$D$157:$BD$157, MATCH(G414, Inflation!$D$125:$BD$125,0))/10^6</f>
        <v>2.8016320724068008E-2</v>
      </c>
      <c r="H415" s="560">
        <f>H78*$C$411*INDEX(Inflation!$D$157:$BD$157, MATCH(H414, Inflation!$D$125:$BD$125,0))/10^6</f>
        <v>2.8548630817825299E-2</v>
      </c>
      <c r="I415" s="560">
        <f>I78*$C$411*INDEX(Inflation!$D$157:$BD$157, MATCH(I414, Inflation!$D$125:$BD$125,0))/10^6</f>
        <v>2.9091054803363974E-2</v>
      </c>
      <c r="J415" s="560">
        <f>J78*$C$411*INDEX(Inflation!$D$157:$BD$157, MATCH(J414, Inflation!$D$125:$BD$125,0))/10^6</f>
        <v>2.9643784844627884E-2</v>
      </c>
      <c r="K415" s="560">
        <f>K78*$C$411*INDEX(Inflation!$D$157:$BD$157, MATCH(K414, Inflation!$D$125:$BD$125,0))/10^6</f>
        <v>3.0207016756675812E-2</v>
      </c>
      <c r="L415" s="560">
        <f>L78*$C$411*INDEX(Inflation!$D$157:$BD$157, MATCH(L414, Inflation!$D$125:$BD$125,0))/10^6</f>
        <v>3.0780950075052653E-2</v>
      </c>
      <c r="M415" s="560">
        <f>M78*$C$411*INDEX(Inflation!$D$157:$BD$157, MATCH(M414, Inflation!$D$125:$BD$125,0))/10^6</f>
        <v>3.1365788126478646E-2</v>
      </c>
      <c r="N415" s="560">
        <f>N78*$C$411*INDEX(Inflation!$D$157:$BD$157, MATCH(N414, Inflation!$D$125:$BD$125,0))/10^6</f>
        <v>3.1961738100881744E-2</v>
      </c>
      <c r="O415" s="560">
        <f>O78*$C$411*INDEX(Inflation!$D$157:$BD$157, MATCH(O414, Inflation!$D$125:$BD$125,0))/10^6</f>
        <v>3.2569011124798493E-2</v>
      </c>
      <c r="P415" s="560">
        <f>P78*$C$411*INDEX(Inflation!$D$157:$BD$157, MATCH(P414, Inflation!$D$125:$BD$125,0))/10^6</f>
        <v>3.318782233616966E-2</v>
      </c>
      <c r="Q415" s="560">
        <f>Q78*$C$411*INDEX(Inflation!$D$157:$BD$157, MATCH(Q414, Inflation!$D$125:$BD$125,0))/10^6</f>
        <v>3.3818390960556874E-2</v>
      </c>
      <c r="R415" s="560">
        <f>R78*$C$411*INDEX(Inflation!$D$157:$BD$157, MATCH(R414, Inflation!$D$125:$BD$125,0))/10^6</f>
        <v>3.4460940388807454E-2</v>
      </c>
      <c r="S415" s="560">
        <f>S78*$C$411*INDEX(Inflation!$D$157:$BD$157, MATCH(S414, Inflation!$D$125:$BD$125,0))/10^6</f>
        <v>3.5115698256194795E-2</v>
      </c>
      <c r="T415" s="560">
        <f>T78*$C$411*INDEX(Inflation!$D$157:$BD$157, MATCH(T414, Inflation!$D$125:$BD$125,0))/10^6</f>
        <v>3.5782896523062491E-2</v>
      </c>
      <c r="U415" s="560">
        <f>U78*$C$411*INDEX(Inflation!$D$157:$BD$157, MATCH(U414, Inflation!$D$125:$BD$125,0))/10^6</f>
        <v>3.6462771557000673E-2</v>
      </c>
      <c r="V415" s="560">
        <f>V78*$C$411*INDEX(Inflation!$D$157:$BD$157, MATCH(V414, Inflation!$D$125:$BD$125,0))/10^6</f>
        <v>3.7155564216583684E-2</v>
      </c>
      <c r="W415" s="560">
        <f>W78*$C$411*INDEX(Inflation!$D$157:$BD$157, MATCH(W414, Inflation!$D$125:$BD$125,0))/10^6</f>
        <v>3.7861519936698763E-2</v>
      </c>
      <c r="X415" s="560">
        <f>X78*$C$411*INDEX(Inflation!$D$157:$BD$157, MATCH(X414, Inflation!$D$125:$BD$125,0))/10^6</f>
        <v>3.8580888815496039E-2</v>
      </c>
      <c r="Y415" s="560">
        <f>Y78*$C$411*INDEX(Inflation!$D$157:$BD$157, MATCH(Y414, Inflation!$D$125:$BD$125,0))/10^6</f>
        <v>3.9313925702990464E-2</v>
      </c>
      <c r="Z415" s="560">
        <f>Z78*$C$411*INDEX(Inflation!$D$157:$BD$157, MATCH(Z414, Inflation!$D$125:$BD$125,0))/10^6</f>
        <v>4.0060890291347268E-2</v>
      </c>
      <c r="AA415" s="560">
        <f>AA78*$C$411*INDEX(Inflation!$D$157:$BD$157, MATCH(AA414, Inflation!$D$125:$BD$125,0))/10^6</f>
        <v>4.0822047206882865E-2</v>
      </c>
      <c r="AB415" s="560">
        <f>AB78*$C$411*INDEX(Inflation!$D$157:$BD$157, MATCH(AB414, Inflation!$D$125:$BD$125,0))/10^6</f>
        <v>4.1597666103813637E-2</v>
      </c>
      <c r="AC415" s="560">
        <f>AC78*$C$411*INDEX(Inflation!$D$157:$BD$157, MATCH(AC414, Inflation!$D$125:$BD$125,0))/10^6</f>
        <v>4.2388021759786093E-2</v>
      </c>
      <c r="AD415" s="560">
        <f>AD78*$C$411*INDEX(Inflation!$D$157:$BD$157, MATCH(AD414, Inflation!$D$125:$BD$125,0))/10^6</f>
        <v>4.3193394173222023E-2</v>
      </c>
      <c r="AE415" s="560">
        <f>AE78*$C$411*INDEX(Inflation!$D$157:$BD$157, MATCH(AE414, Inflation!$D$125:$BD$125,0))/10^6</f>
        <v>4.4014068662513235E-2</v>
      </c>
      <c r="AF415" s="560">
        <f>AF78*$C$411*INDEX(Inflation!$D$157:$BD$157, MATCH(AF414, Inflation!$D$125:$BD$125,0))/10^6</f>
        <v>4.4850335967100981E-2</v>
      </c>
      <c r="AG415" s="560">
        <f>AG78*$C$411*INDEX(Inflation!$D$157:$BD$157, MATCH(AG414, Inflation!$D$125:$BD$125,0))/10^6</f>
        <v>4.5702492350475896E-2</v>
      </c>
      <c r="AH415" s="560">
        <f>AH78*$C$411*INDEX(Inflation!$D$157:$BD$157, MATCH(AH414, Inflation!$D$125:$BD$125,0))/10^6</f>
        <v>4.6570839705134939E-2</v>
      </c>
      <c r="AI415" s="560">
        <f>AI78*$C$411*INDEX(Inflation!$D$157:$BD$157, MATCH(AI414, Inflation!$D$125:$BD$125,0))/10^6</f>
        <v>4.7455685659532502E-2</v>
      </c>
      <c r="AJ415" s="560">
        <f>AJ78*$C$411*INDEX(Inflation!$D$157:$BD$157, MATCH(AJ414, Inflation!$D$125:$BD$125,0))/10^6</f>
        <v>4.8357343687063604E-2</v>
      </c>
      <c r="AK415" s="560">
        <f>AK78*$C$411*INDEX(Inflation!$D$157:$BD$157, MATCH(AK414, Inflation!$D$125:$BD$125,0))/10^6</f>
        <v>4.9276133217117817E-2</v>
      </c>
      <c r="AL415" s="560">
        <f>AL78*$C$411*INDEX(Inflation!$D$157:$BD$157, MATCH(AL414, Inflation!$D$125:$BD$125,0))/10^6</f>
        <v>5.0212379748243038E-2</v>
      </c>
      <c r="AM415" s="560">
        <f>AM78*$C$411*INDEX(Inflation!$D$157:$BD$157, MATCH(AM414, Inflation!$D$125:$BD$125,0))/10^6</f>
        <v>5.1166414963459646E-2</v>
      </c>
      <c r="AN415" s="560">
        <f>AN78*$C$411*INDEX(Inflation!$D$157:$BD$157, MATCH(AN414, Inflation!$D$125:$BD$125,0))/10^6</f>
        <v>5.2138576847765385E-2</v>
      </c>
      <c r="AO415" s="560">
        <f>AO78*$C$411*INDEX(Inflation!$D$157:$BD$157, MATCH(AO414, Inflation!$D$125:$BD$125,0))/10^6</f>
        <v>5.3129209807872925E-2</v>
      </c>
      <c r="AP415" s="560">
        <f>AP78*$C$411*INDEX(Inflation!$D$157:$BD$157, MATCH(AP414, Inflation!$D$125:$BD$125,0))/10^6</f>
        <v>5.4138664794222503E-2</v>
      </c>
      <c r="AQ415" s="560">
        <f>AQ78*$C$411*INDEX(Inflation!$D$157:$BD$157, MATCH(AQ414, Inflation!$D$125:$BD$125,0))/10^6</f>
        <v>5.5167299425312719E-2</v>
      </c>
      <c r="AR415" s="560">
        <f>AR78*$C$411*INDEX(Inflation!$D$157:$BD$157, MATCH(AR414, Inflation!$D$125:$BD$125,0))/10^6</f>
        <v>5.6215478114393654E-2</v>
      </c>
      <c r="AS415" s="560">
        <f>AS78*$C$411*INDEX(Inflation!$D$157:$BD$157, MATCH(AS414, Inflation!$D$125:$BD$125,0))/10^6</f>
        <v>5.7283572198567133E-2</v>
      </c>
      <c r="AT415" s="560" t="e">
        <f>AT78*$C$411*INDEX(Inflation!$D$157:$BD$157, MATCH(AT414, Inflation!$D$125:$BD$125,0))/10^6</f>
        <v>#N/A</v>
      </c>
      <c r="AU415" s="560" t="e">
        <f>AU78*$C$411*INDEX(Inflation!$D$157:$BD$157, MATCH(AU414, Inflation!$D$125:$BD$125,0))/10^6</f>
        <v>#N/A</v>
      </c>
      <c r="AV415" s="560" t="e">
        <f>AV78*$C$411*INDEX(Inflation!$D$157:$BD$157, MATCH(AV414, Inflation!$D$125:$BD$125,0))/10^6</f>
        <v>#N/A</v>
      </c>
      <c r="AW415" s="560" t="e">
        <f>AW78*$C$411*INDEX(Inflation!$D$157:$BD$157, MATCH(AW414, Inflation!$D$125:$BD$125,0))/10^6</f>
        <v>#N/A</v>
      </c>
      <c r="AX415" s="560" t="e">
        <f>AX78*$C$411*INDEX(Inflation!$D$157:$BD$157, MATCH(AX414, Inflation!$D$125:$BD$125,0))/10^6</f>
        <v>#N/A</v>
      </c>
      <c r="AY415" s="560" t="e">
        <f>AY78*$C$411*INDEX(Inflation!$D$157:$BD$157, MATCH(AY414, Inflation!$D$125:$BD$125,0))/10^6</f>
        <v>#N/A</v>
      </c>
      <c r="AZ415" s="560" t="e">
        <f>AZ78*$C$411*INDEX(Inflation!$D$157:$BD$157, MATCH(AZ414, Inflation!$D$125:$BD$125,0))/10^6</f>
        <v>#N/A</v>
      </c>
      <c r="BA415" s="560" t="e">
        <f>BA78*$C$411*INDEX(Inflation!$D$157:$BD$157, MATCH(BA414, Inflation!$D$125:$BD$125,0))/10^6</f>
        <v>#N/A</v>
      </c>
    </row>
    <row r="416" spans="1:53">
      <c r="B416" s="151" t="s">
        <v>3323</v>
      </c>
    </row>
    <row r="417" spans="2:53">
      <c r="B417" s="151" t="s">
        <v>3761</v>
      </c>
    </row>
    <row r="422" spans="2:53">
      <c r="B422" s="9" t="s">
        <v>3318</v>
      </c>
    </row>
    <row r="423" spans="2:53">
      <c r="B423" s="151" t="s">
        <v>3315</v>
      </c>
    </row>
    <row r="424" spans="2:53" ht="29">
      <c r="B424" s="269" t="s">
        <v>3321</v>
      </c>
      <c r="C424" s="506">
        <v>1000</v>
      </c>
    </row>
    <row r="426" spans="2:53">
      <c r="B426" s="269" t="s">
        <v>3322</v>
      </c>
      <c r="C426" s="177">
        <f>C107</f>
        <v>0.29448529411764701</v>
      </c>
    </row>
    <row r="427" spans="2:53">
      <c r="B427" s="269" t="s">
        <v>3319</v>
      </c>
      <c r="C427" s="481">
        <v>3</v>
      </c>
    </row>
    <row r="429" spans="2:53">
      <c r="B429" s="266" t="s">
        <v>3320</v>
      </c>
      <c r="C429" s="484">
        <f>C427*C426*C424*'Control Assumptions'!D186</f>
        <v>883.45588235294099</v>
      </c>
      <c r="D429" s="15"/>
    </row>
    <row r="432" spans="2:53">
      <c r="B432" s="34"/>
      <c r="C432" s="57">
        <f>C355</f>
        <v>2020</v>
      </c>
      <c r="D432" s="57">
        <f t="shared" ref="D432:BA432" si="91">D355</f>
        <v>2021</v>
      </c>
      <c r="E432" s="57">
        <f t="shared" si="91"/>
        <v>2022</v>
      </c>
      <c r="F432" s="57">
        <f t="shared" si="91"/>
        <v>2023</v>
      </c>
      <c r="G432" s="57">
        <f t="shared" si="91"/>
        <v>2024</v>
      </c>
      <c r="H432" s="57">
        <f t="shared" si="91"/>
        <v>2025</v>
      </c>
      <c r="I432" s="57">
        <f t="shared" si="91"/>
        <v>2026</v>
      </c>
      <c r="J432" s="57">
        <f t="shared" si="91"/>
        <v>2027</v>
      </c>
      <c r="K432" s="57">
        <f t="shared" si="91"/>
        <v>2028</v>
      </c>
      <c r="L432" s="57">
        <f t="shared" si="91"/>
        <v>2029</v>
      </c>
      <c r="M432" s="57">
        <f t="shared" si="91"/>
        <v>2030</v>
      </c>
      <c r="N432" s="57">
        <f t="shared" si="91"/>
        <v>2031</v>
      </c>
      <c r="O432" s="57">
        <f t="shared" si="91"/>
        <v>2032</v>
      </c>
      <c r="P432" s="57">
        <f t="shared" si="91"/>
        <v>2033</v>
      </c>
      <c r="Q432" s="57">
        <f t="shared" si="91"/>
        <v>2034</v>
      </c>
      <c r="R432" s="57">
        <f t="shared" si="91"/>
        <v>2035</v>
      </c>
      <c r="S432" s="57">
        <f t="shared" si="91"/>
        <v>2036</v>
      </c>
      <c r="T432" s="57">
        <f t="shared" si="91"/>
        <v>2037</v>
      </c>
      <c r="U432" s="57">
        <f t="shared" si="91"/>
        <v>2038</v>
      </c>
      <c r="V432" s="57">
        <f t="shared" si="91"/>
        <v>2039</v>
      </c>
      <c r="W432" s="57">
        <f t="shared" si="91"/>
        <v>2040</v>
      </c>
      <c r="X432" s="57">
        <f t="shared" si="91"/>
        <v>2041</v>
      </c>
      <c r="Y432" s="57">
        <f t="shared" si="91"/>
        <v>2042</v>
      </c>
      <c r="Z432" s="57">
        <f t="shared" si="91"/>
        <v>2043</v>
      </c>
      <c r="AA432" s="57">
        <f t="shared" si="91"/>
        <v>2044</v>
      </c>
      <c r="AB432" s="57">
        <f t="shared" si="91"/>
        <v>2045</v>
      </c>
      <c r="AC432" s="57">
        <f t="shared" si="91"/>
        <v>2046</v>
      </c>
      <c r="AD432" s="57">
        <f t="shared" si="91"/>
        <v>2047</v>
      </c>
      <c r="AE432" s="57">
        <f t="shared" si="91"/>
        <v>2048</v>
      </c>
      <c r="AF432" s="57">
        <f t="shared" si="91"/>
        <v>2049</v>
      </c>
      <c r="AG432" s="57">
        <f t="shared" si="91"/>
        <v>2050</v>
      </c>
      <c r="AH432" s="57">
        <f t="shared" si="91"/>
        <v>2051</v>
      </c>
      <c r="AI432" s="57">
        <f t="shared" si="91"/>
        <v>2052</v>
      </c>
      <c r="AJ432" s="57">
        <f t="shared" si="91"/>
        <v>2053</v>
      </c>
      <c r="AK432" s="57">
        <f t="shared" si="91"/>
        <v>2054</v>
      </c>
      <c r="AL432" s="57">
        <f t="shared" si="91"/>
        <v>2055</v>
      </c>
      <c r="AM432" s="57">
        <f t="shared" si="91"/>
        <v>2056</v>
      </c>
      <c r="AN432" s="57">
        <f t="shared" si="91"/>
        <v>2057</v>
      </c>
      <c r="AO432" s="57">
        <f t="shared" si="91"/>
        <v>2058</v>
      </c>
      <c r="AP432" s="57">
        <f t="shared" si="91"/>
        <v>2059</v>
      </c>
      <c r="AQ432" s="57">
        <f t="shared" si="91"/>
        <v>2060</v>
      </c>
      <c r="AR432" s="57">
        <f t="shared" si="91"/>
        <v>2061</v>
      </c>
      <c r="AS432" s="57">
        <f t="shared" si="91"/>
        <v>2062</v>
      </c>
      <c r="AT432" s="57">
        <f t="shared" si="91"/>
        <v>2063</v>
      </c>
      <c r="AU432" s="57">
        <f t="shared" si="91"/>
        <v>2064</v>
      </c>
      <c r="AV432" s="57">
        <f t="shared" si="91"/>
        <v>2065</v>
      </c>
      <c r="AW432" s="57">
        <f t="shared" si="91"/>
        <v>2066</v>
      </c>
      <c r="AX432" s="57">
        <f t="shared" si="91"/>
        <v>2067</v>
      </c>
      <c r="AY432" s="57">
        <f t="shared" si="91"/>
        <v>2068</v>
      </c>
      <c r="AZ432" s="57">
        <f t="shared" si="91"/>
        <v>2069</v>
      </c>
      <c r="BA432" s="57">
        <f t="shared" si="91"/>
        <v>2070</v>
      </c>
    </row>
    <row r="433" spans="1:53" ht="29">
      <c r="B433" s="266" t="s">
        <v>3409</v>
      </c>
      <c r="C433" s="556">
        <f>C63*$C$429*INDEX(Inflation!$D$157:$BN$157, MATCH(C432, Inflation!$D$125:$BN$125,0))/10^6</f>
        <v>0</v>
      </c>
      <c r="D433" s="556">
        <f>D63*$C$429*INDEX(Inflation!$D$157:$BN$157, MATCH(D432, Inflation!$D$125:$BN$125,0))/10^6</f>
        <v>3.1189768537499986E-4</v>
      </c>
      <c r="E433" s="556">
        <f>E63*$C$429*INDEX(Inflation!$D$157:$BN$157, MATCH(E432, Inflation!$D$125:$BN$125,0))/10^6</f>
        <v>3.1782374139712475E-4</v>
      </c>
      <c r="F433" s="556">
        <f>F63*$C$429*INDEX(Inflation!$D$157:$BN$157, MATCH(F432, Inflation!$D$125:$BN$125,0))/10^6</f>
        <v>3.2386239248367014E-4</v>
      </c>
      <c r="G433" s="556">
        <f>G63*$C$429*INDEX(Inflation!$D$157:$BN$157, MATCH(G432, Inflation!$D$125:$BN$125,0))/10^6</f>
        <v>0</v>
      </c>
      <c r="H433" s="556">
        <f>H63*$C$429*INDEX(Inflation!$D$157:$BN$157, MATCH(H432, Inflation!$D$125:$BN$125,0))/10^6</f>
        <v>0</v>
      </c>
      <c r="I433" s="556">
        <f>I63*$C$429*INDEX(Inflation!$D$157:$BN$157, MATCH(I432, Inflation!$D$125:$BN$125,0))/10^6</f>
        <v>0</v>
      </c>
      <c r="J433" s="556">
        <f>J63*$C$429*INDEX(Inflation!$D$157:$BN$157, MATCH(J432, Inflation!$D$125:$BN$125,0))/10^6</f>
        <v>0</v>
      </c>
      <c r="K433" s="556">
        <f>K63*$C$429*INDEX(Inflation!$D$157:$BN$157, MATCH(K432, Inflation!$D$125:$BN$125,0))/10^6</f>
        <v>0</v>
      </c>
      <c r="L433" s="556">
        <f>L63*$C$429*INDEX(Inflation!$D$157:$BN$157, MATCH(L432, Inflation!$D$125:$BN$125,0))/10^6</f>
        <v>0</v>
      </c>
      <c r="M433" s="556">
        <f>M63*$C$429*INDEX(Inflation!$D$157:$BN$157, MATCH(M432, Inflation!$D$125:$BN$125,0))/10^6</f>
        <v>0</v>
      </c>
      <c r="N433" s="556">
        <f>N63*$C$429*INDEX(Inflation!$D$157:$BN$157, MATCH(N432, Inflation!$D$125:$BN$125,0))/10^6</f>
        <v>0</v>
      </c>
      <c r="O433" s="556">
        <f>O63*$C$429*INDEX(Inflation!$D$157:$BN$157, MATCH(O432, Inflation!$D$125:$BN$125,0))/10^6</f>
        <v>0</v>
      </c>
      <c r="P433" s="556">
        <f>P63*$C$429*INDEX(Inflation!$D$157:$BN$157, MATCH(P432, Inflation!$D$125:$BN$125,0))/10^6</f>
        <v>0</v>
      </c>
      <c r="Q433" s="556">
        <f>Q63*$C$429*INDEX(Inflation!$D$157:$BN$157, MATCH(Q432, Inflation!$D$125:$BN$125,0))/10^6</f>
        <v>0</v>
      </c>
      <c r="R433" s="556">
        <f>R63*$C$429*INDEX(Inflation!$D$157:$BN$157, MATCH(R432, Inflation!$D$125:$BN$125,0))/10^6</f>
        <v>0</v>
      </c>
      <c r="S433" s="556">
        <f>S63*$C$429*INDEX(Inflation!$D$157:$BN$157, MATCH(S432, Inflation!$D$125:$BN$125,0))/10^6</f>
        <v>0</v>
      </c>
      <c r="T433" s="556">
        <f>T63*$C$429*INDEX(Inflation!$D$157:$BN$157, MATCH(T432, Inflation!$D$125:$BN$125,0))/10^6</f>
        <v>0</v>
      </c>
      <c r="U433" s="556">
        <f>U63*$C$429*INDEX(Inflation!$D$157:$BN$157, MATCH(U432, Inflation!$D$125:$BN$125,0))/10^6</f>
        <v>0</v>
      </c>
      <c r="V433" s="556">
        <f>V63*$C$429*INDEX(Inflation!$D$157:$BN$157, MATCH(V432, Inflation!$D$125:$BN$125,0))/10^6</f>
        <v>0</v>
      </c>
      <c r="W433" s="556">
        <f>W63*$C$429*INDEX(Inflation!$D$157:$BN$157, MATCH(W432, Inflation!$D$125:$BN$125,0))/10^6</f>
        <v>0</v>
      </c>
      <c r="X433" s="556">
        <f>X63*$C$429*INDEX(Inflation!$D$157:$BN$157, MATCH(X432, Inflation!$D$125:$BN$125,0))/10^6</f>
        <v>0</v>
      </c>
      <c r="Y433" s="556">
        <f>Y63*$C$429*INDEX(Inflation!$D$157:$BN$157, MATCH(Y432, Inflation!$D$125:$BN$125,0))/10^6</f>
        <v>0</v>
      </c>
      <c r="Z433" s="556">
        <f>Z63*$C$429*INDEX(Inflation!$D$157:$BN$157, MATCH(Z432, Inflation!$D$125:$BN$125,0))/10^6</f>
        <v>0</v>
      </c>
      <c r="AA433" s="556">
        <f>AA63*$C$429*INDEX(Inflation!$D$157:$BN$157, MATCH(AA432, Inflation!$D$125:$BN$125,0))/10^6</f>
        <v>0</v>
      </c>
      <c r="AB433" s="556">
        <f>AB63*$C$429*INDEX(Inflation!$D$157:$BN$157, MATCH(AB432, Inflation!$D$125:$BN$125,0))/10^6</f>
        <v>0</v>
      </c>
      <c r="AC433" s="556">
        <f>AC63*$C$429*INDEX(Inflation!$D$157:$BN$157, MATCH(AC432, Inflation!$D$125:$BN$125,0))/10^6</f>
        <v>0</v>
      </c>
      <c r="AD433" s="556">
        <f>AD63*$C$429*INDEX(Inflation!$D$157:$BN$157, MATCH(AD432, Inflation!$D$125:$BN$125,0))/10^6</f>
        <v>0</v>
      </c>
      <c r="AE433" s="556">
        <f>AE63*$C$429*INDEX(Inflation!$D$157:$BN$157, MATCH(AE432, Inflation!$D$125:$BN$125,0))/10^6</f>
        <v>0</v>
      </c>
      <c r="AF433" s="556">
        <f>AF63*$C$429*INDEX(Inflation!$D$157:$BN$157, MATCH(AF432, Inflation!$D$125:$BN$125,0))/10^6</f>
        <v>0</v>
      </c>
      <c r="AG433" s="556">
        <f>AG63*$C$429*INDEX(Inflation!$D$157:$BN$157, MATCH(AG432, Inflation!$D$125:$BN$125,0))/10^6</f>
        <v>0</v>
      </c>
      <c r="AH433" s="556">
        <f>AH63*$C$429*INDEX(Inflation!$D$157:$BN$157, MATCH(AH432, Inflation!$D$125:$BN$125,0))/10^6</f>
        <v>0</v>
      </c>
      <c r="AI433" s="556">
        <f>AI63*$C$429*INDEX(Inflation!$D$157:$BN$157, MATCH(AI432, Inflation!$D$125:$BN$125,0))/10^6</f>
        <v>0</v>
      </c>
      <c r="AJ433" s="556">
        <f>AJ63*$C$429*INDEX(Inflation!$D$157:$BN$157, MATCH(AJ432, Inflation!$D$125:$BN$125,0))/10^6</f>
        <v>0</v>
      </c>
      <c r="AK433" s="556">
        <f>AK63*$C$429*INDEX(Inflation!$D$157:$BN$157, MATCH(AK432, Inflation!$D$125:$BN$125,0))/10^6</f>
        <v>0</v>
      </c>
      <c r="AL433" s="556">
        <f>AL63*$C$429*INDEX(Inflation!$D$157:$BN$157, MATCH(AL432, Inflation!$D$125:$BN$125,0))/10^6</f>
        <v>0</v>
      </c>
      <c r="AM433" s="556">
        <f>AM63*$C$429*INDEX(Inflation!$D$157:$BN$157, MATCH(AM432, Inflation!$D$125:$BN$125,0))/10^6</f>
        <v>0</v>
      </c>
      <c r="AN433" s="556">
        <f>AN63*$C$429*INDEX(Inflation!$D$157:$BN$157, MATCH(AN432, Inflation!$D$125:$BN$125,0))/10^6</f>
        <v>0</v>
      </c>
      <c r="AO433" s="556">
        <f>AO63*$C$429*INDEX(Inflation!$D$157:$BN$157, MATCH(AO432, Inflation!$D$125:$BN$125,0))/10^6</f>
        <v>0</v>
      </c>
      <c r="AP433" s="556">
        <f>AP63*$C$429*INDEX(Inflation!$D$157:$BN$157, MATCH(AP432, Inflation!$D$125:$BN$125,0))/10^6</f>
        <v>0</v>
      </c>
      <c r="AQ433" s="556">
        <f>AQ63*$C$429*INDEX(Inflation!$D$157:$BN$157, MATCH(AQ432, Inflation!$D$125:$BN$125,0))/10^6</f>
        <v>0</v>
      </c>
      <c r="AR433" s="556">
        <f>AR63*$C$429*INDEX(Inflation!$D$157:$BN$157, MATCH(AR432, Inflation!$D$125:$BN$125,0))/10^6</f>
        <v>0</v>
      </c>
      <c r="AS433" s="556">
        <f>AS63*$C$429*INDEX(Inflation!$D$157:$BN$157, MATCH(AS432, Inflation!$D$125:$BN$125,0))/10^6</f>
        <v>0</v>
      </c>
      <c r="AT433" s="556" t="e">
        <f>AT63*$C$429*INDEX(Inflation!$D$157:$BN$157, MATCH(AT432, Inflation!$D$125:$BN$125,0))/10^6</f>
        <v>#N/A</v>
      </c>
      <c r="AU433" s="556" t="e">
        <f>AU63*$C$429*INDEX(Inflation!$D$157:$BN$157, MATCH(AU432, Inflation!$D$125:$BN$125,0))/10^6</f>
        <v>#N/A</v>
      </c>
      <c r="AV433" s="556" t="e">
        <f>AV63*$C$429*INDEX(Inflation!$D$157:$BN$157, MATCH(AV432, Inflation!$D$125:$BN$125,0))/10^6</f>
        <v>#N/A</v>
      </c>
      <c r="AW433" s="556" t="e">
        <f>AW63*$C$429*INDEX(Inflation!$D$157:$BN$157, MATCH(AW432, Inflation!$D$125:$BN$125,0))/10^6</f>
        <v>#N/A</v>
      </c>
      <c r="AX433" s="556" t="e">
        <f>AX63*$C$429*INDEX(Inflation!$D$157:$BN$157, MATCH(AX432, Inflation!$D$125:$BN$125,0))/10^6</f>
        <v>#N/A</v>
      </c>
      <c r="AY433" s="556" t="e">
        <f>AY63*$C$429*INDEX(Inflation!$D$157:$BN$157, MATCH(AY432, Inflation!$D$125:$BN$125,0))/10^6</f>
        <v>#N/A</v>
      </c>
      <c r="AZ433" s="556" t="e">
        <f>AZ63*$C$429*INDEX(Inflation!$D$157:$BN$157, MATCH(AZ432, Inflation!$D$125:$BN$125,0))/10^6</f>
        <v>#N/A</v>
      </c>
      <c r="BA433" s="556" t="e">
        <f>BA63*$C$429*INDEX(Inflation!$D$157:$BN$157, MATCH(BA432, Inflation!$D$125:$BN$125,0))/10^6</f>
        <v>#N/A</v>
      </c>
    </row>
    <row r="437" spans="1:53" s="588" customFormat="1">
      <c r="A437" s="593" t="s">
        <v>3410</v>
      </c>
    </row>
    <row r="438" spans="1:53">
      <c r="B438" s="151"/>
    </row>
    <row r="439" spans="1:53">
      <c r="B439" s="151"/>
    </row>
    <row r="441" spans="1:53">
      <c r="B441" s="9" t="s">
        <v>3025</v>
      </c>
    </row>
    <row r="442" spans="1:53">
      <c r="B442" s="34"/>
      <c r="C442" s="57" t="s">
        <v>2463</v>
      </c>
    </row>
    <row r="443" spans="1:53" ht="29">
      <c r="B443" s="269" t="s">
        <v>3406</v>
      </c>
      <c r="C443" s="709">
        <v>20000</v>
      </c>
    </row>
    <row r="444" spans="1:53" ht="29">
      <c r="B444" s="269" t="s">
        <v>3174</v>
      </c>
      <c r="C444" s="477">
        <f>C384</f>
        <v>1</v>
      </c>
      <c r="D444" s="151" t="s">
        <v>3455</v>
      </c>
    </row>
    <row r="445" spans="1:53">
      <c r="B445" s="269" t="s">
        <v>150</v>
      </c>
      <c r="C445" s="479">
        <f>C444*C443*'Control Assumptions'!D188</f>
        <v>20000</v>
      </c>
    </row>
    <row r="446" spans="1:53">
      <c r="B446" s="508"/>
      <c r="C446" s="508"/>
    </row>
    <row r="447" spans="1:53" ht="29">
      <c r="B447" s="269" t="s">
        <v>3407</v>
      </c>
      <c r="C447" s="430">
        <v>7</v>
      </c>
    </row>
    <row r="449" spans="2:6">
      <c r="B449" s="34"/>
      <c r="C449" s="57">
        <f>C6+7</f>
        <v>2031</v>
      </c>
      <c r="D449" s="57">
        <f>C449+1</f>
        <v>2032</v>
      </c>
      <c r="E449" s="57">
        <f>D449+1</f>
        <v>2033</v>
      </c>
    </row>
    <row r="450" spans="2:6">
      <c r="B450" s="431" t="s">
        <v>3408</v>
      </c>
      <c r="C450" s="511">
        <f>1/3</f>
        <v>0.33333333333333331</v>
      </c>
      <c r="D450" s="511">
        <f t="shared" ref="D450:E450" si="92">1/3</f>
        <v>0.33333333333333331</v>
      </c>
      <c r="E450" s="511">
        <f t="shared" si="92"/>
        <v>0.33333333333333331</v>
      </c>
      <c r="F450" s="151" t="b">
        <f>SUM(C450:E450)=1</f>
        <v>1</v>
      </c>
    </row>
    <row r="451" spans="2:6" ht="29">
      <c r="B451" s="266" t="s">
        <v>3409</v>
      </c>
      <c r="C451" s="556">
        <f>C450*$C$445*INDEX(Inflation!$D$157:$AN$157, MATCH(C449, Inflation!$D$125:$AN$125,0))/10^6</f>
        <v>8.523130160235131E-3</v>
      </c>
      <c r="D451" s="556">
        <f>D450*$C$445*INDEX(Inflation!$D$157:$AN$157, MATCH(D449, Inflation!$D$125:$AN$125,0))/10^6</f>
        <v>8.6850696332795973E-3</v>
      </c>
      <c r="E451" s="556">
        <f>E450*$C$445*INDEX(Inflation!$D$157:$AN$157, MATCH(E449, Inflation!$D$125:$AN$125,0))/10^6</f>
        <v>8.8500859563119087E-3</v>
      </c>
    </row>
    <row r="453" spans="2:6">
      <c r="E453" s="15"/>
    </row>
    <row r="454" spans="2:6">
      <c r="E454" s="15"/>
    </row>
  </sheetData>
  <phoneticPr fontId="1" type="noConversion"/>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sheetPr>
  <dimension ref="B3"/>
  <sheetViews>
    <sheetView showGridLines="0" workbookViewId="0"/>
  </sheetViews>
  <sheetFormatPr defaultRowHeight="14.5"/>
  <sheetData>
    <row r="3" spans="2:2">
      <c r="B3" s="9" t="s">
        <v>3749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39997558519241921"/>
    <pageSetUpPr autoPageBreaks="0"/>
  </sheetPr>
  <dimension ref="A1:BC256"/>
  <sheetViews>
    <sheetView showGridLines="0" workbookViewId="0"/>
  </sheetViews>
  <sheetFormatPr defaultRowHeight="14.5"/>
  <cols>
    <col min="1" max="1" width="3.08984375" customWidth="1"/>
    <col min="2" max="2" width="21.36328125" customWidth="1"/>
    <col min="3" max="3" width="15" customWidth="1"/>
    <col min="4" max="4" width="17.08984375" customWidth="1"/>
    <col min="5" max="5" width="14.54296875" customWidth="1"/>
    <col min="6" max="6" width="16.08984375" customWidth="1"/>
    <col min="7" max="7" width="14.36328125" customWidth="1"/>
    <col min="8" max="8" width="15" customWidth="1"/>
    <col min="9" max="9" width="14.6328125" bestFit="1" customWidth="1"/>
    <col min="10" max="10" width="17.54296875" customWidth="1"/>
    <col min="11" max="11" width="16.54296875" customWidth="1"/>
    <col min="12" max="14" width="14.6328125" bestFit="1" customWidth="1"/>
    <col min="15" max="15" width="12.90625" customWidth="1"/>
    <col min="16" max="32" width="14.6328125" bestFit="1" customWidth="1"/>
    <col min="33" max="43" width="14.90625" customWidth="1"/>
    <col min="44" max="54" width="15.90625" customWidth="1"/>
  </cols>
  <sheetData>
    <row r="1" spans="1:53" s="588" customFormat="1" ht="18.5">
      <c r="A1" s="587" t="s">
        <v>3540</v>
      </c>
    </row>
    <row r="2" spans="1:53" s="588" customFormat="1">
      <c r="A2" s="588" t="s">
        <v>3541</v>
      </c>
    </row>
    <row r="3" spans="1:53" s="588" customFormat="1"/>
    <row r="4" spans="1:53" s="781" customFormat="1"/>
    <row r="5" spans="1:53">
      <c r="B5" s="784" t="s">
        <v>3198</v>
      </c>
      <c r="C5" s="785">
        <f>'Control Assumptions'!C13</f>
        <v>2024</v>
      </c>
    </row>
    <row r="6" spans="1:53">
      <c r="B6" s="63"/>
      <c r="C6" s="38"/>
      <c r="D6" s="38"/>
      <c r="E6" s="38"/>
      <c r="F6" s="38"/>
      <c r="G6" s="38"/>
      <c r="H6" s="38"/>
      <c r="I6" s="38"/>
      <c r="J6" s="38"/>
      <c r="K6" s="38"/>
      <c r="L6" s="38"/>
      <c r="M6" s="38"/>
      <c r="N6" s="38"/>
      <c r="O6" s="38"/>
      <c r="P6" s="38"/>
      <c r="Q6" s="38"/>
      <c r="R6" s="38"/>
      <c r="S6" s="38"/>
      <c r="T6" s="38"/>
      <c r="U6" s="38"/>
      <c r="V6" s="38"/>
      <c r="W6" s="38"/>
      <c r="X6" s="38"/>
      <c r="Y6" s="38"/>
      <c r="Z6" s="38"/>
      <c r="AA6" s="38"/>
      <c r="AB6" s="38"/>
      <c r="AC6" s="38"/>
      <c r="AD6" s="38"/>
      <c r="AE6" s="38"/>
    </row>
    <row r="7" spans="1:53" s="588" customFormat="1">
      <c r="A7" s="593" t="s">
        <v>10</v>
      </c>
      <c r="B7" s="639" t="s">
        <v>2984</v>
      </c>
      <c r="C7" s="640"/>
      <c r="D7" s="640"/>
      <c r="E7" s="640"/>
      <c r="F7" s="640"/>
      <c r="G7" s="640"/>
      <c r="H7" s="640"/>
      <c r="I7" s="640"/>
      <c r="J7" s="640"/>
      <c r="K7" s="640"/>
      <c r="L7" s="640"/>
      <c r="M7" s="640"/>
      <c r="N7" s="640"/>
      <c r="O7" s="640"/>
      <c r="P7" s="640"/>
      <c r="Q7" s="640"/>
      <c r="R7" s="640"/>
      <c r="S7" s="640"/>
      <c r="T7" s="640"/>
      <c r="U7" s="640"/>
      <c r="V7" s="640"/>
      <c r="W7" s="640"/>
      <c r="X7" s="640"/>
      <c r="Y7" s="640"/>
      <c r="Z7" s="640"/>
      <c r="AA7" s="640"/>
      <c r="AB7" s="640"/>
      <c r="AC7" s="640"/>
      <c r="AD7" s="640"/>
      <c r="AE7" s="640"/>
    </row>
    <row r="8" spans="1:53">
      <c r="B8" s="63"/>
      <c r="C8" s="38"/>
      <c r="D8" s="38"/>
      <c r="E8" s="75"/>
      <c r="F8" s="38"/>
      <c r="G8" s="38"/>
      <c r="H8" s="38"/>
      <c r="I8" s="38"/>
      <c r="J8" s="38"/>
      <c r="K8" s="38"/>
      <c r="L8" s="38"/>
      <c r="M8" s="38"/>
      <c r="N8" s="38"/>
      <c r="O8" s="38"/>
      <c r="P8" s="38"/>
      <c r="Q8" s="38"/>
      <c r="R8" s="38"/>
      <c r="S8" s="38"/>
      <c r="T8" s="38"/>
      <c r="U8" s="38"/>
      <c r="V8" s="38"/>
      <c r="W8" s="38"/>
      <c r="X8" s="38"/>
      <c r="Y8" s="38"/>
      <c r="Z8" s="38"/>
      <c r="AA8" s="38"/>
      <c r="AB8" s="38"/>
      <c r="AC8" s="38"/>
      <c r="AD8" s="38"/>
      <c r="AE8" s="38"/>
    </row>
    <row r="9" spans="1:53">
      <c r="C9" s="72"/>
      <c r="D9" s="69"/>
      <c r="E9" s="75"/>
      <c r="F9" s="38"/>
      <c r="G9" s="38"/>
      <c r="H9" s="38"/>
      <c r="I9" s="38"/>
      <c r="J9" s="38"/>
      <c r="K9" s="38"/>
      <c r="L9" s="38"/>
      <c r="M9" s="38"/>
      <c r="N9" s="38"/>
      <c r="O9" s="38"/>
      <c r="P9" s="38"/>
      <c r="Q9" s="38"/>
      <c r="R9" s="38"/>
      <c r="S9" s="38"/>
      <c r="T9" s="38"/>
      <c r="U9" s="38"/>
      <c r="V9" s="38"/>
      <c r="W9" s="38"/>
      <c r="X9" s="38"/>
      <c r="Y9" s="38"/>
      <c r="Z9" s="38"/>
      <c r="AA9" s="38"/>
      <c r="AB9" s="38"/>
      <c r="AC9" s="38"/>
      <c r="AD9" s="38"/>
      <c r="AE9" s="38"/>
    </row>
    <row r="10" spans="1:53" s="4" customFormat="1">
      <c r="B10" s="67"/>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row>
    <row r="11" spans="1:53" s="4" customFormat="1">
      <c r="C11" s="34">
        <f>'Prevalence projection'!C$21</f>
        <v>2020</v>
      </c>
      <c r="D11" s="34">
        <f>'Prevalence projection'!D$21</f>
        <v>2021</v>
      </c>
      <c r="E11" s="34">
        <f>'Prevalence projection'!E$21</f>
        <v>2022</v>
      </c>
      <c r="F11" s="34">
        <f>'Prevalence projection'!F$21</f>
        <v>2023</v>
      </c>
      <c r="G11" s="34">
        <f>'Prevalence projection'!G$21</f>
        <v>2024</v>
      </c>
      <c r="H11" s="34">
        <f>'Prevalence projection'!H$21</f>
        <v>2025</v>
      </c>
      <c r="I11" s="34">
        <f>'Prevalence projection'!I$21</f>
        <v>2026</v>
      </c>
      <c r="J11" s="34">
        <f>'Prevalence projection'!J$21</f>
        <v>2027</v>
      </c>
      <c r="K11" s="34">
        <f>'Prevalence projection'!K$21</f>
        <v>2028</v>
      </c>
      <c r="L11" s="34">
        <f>'Prevalence projection'!L$21</f>
        <v>2029</v>
      </c>
      <c r="M11" s="34">
        <f>'Prevalence projection'!M$21</f>
        <v>2030</v>
      </c>
      <c r="N11" s="34">
        <f>'Prevalence projection'!N$21</f>
        <v>2031</v>
      </c>
      <c r="O11" s="34">
        <f>'Prevalence projection'!O$21</f>
        <v>2032</v>
      </c>
      <c r="P11" s="34">
        <f>'Prevalence projection'!P$21</f>
        <v>2033</v>
      </c>
      <c r="Q11" s="34">
        <f>'Prevalence projection'!Q$21</f>
        <v>2034</v>
      </c>
      <c r="R11" s="34">
        <f>'Prevalence projection'!R$21</f>
        <v>2035</v>
      </c>
      <c r="S11" s="34">
        <f>'Prevalence projection'!S$21</f>
        <v>2036</v>
      </c>
      <c r="T11" s="34">
        <f>'Prevalence projection'!T$21</f>
        <v>2037</v>
      </c>
      <c r="U11" s="34">
        <f>'Prevalence projection'!U$21</f>
        <v>2038</v>
      </c>
      <c r="V11" s="34">
        <f>'Prevalence projection'!V$21</f>
        <v>2039</v>
      </c>
      <c r="W11" s="34">
        <f>'Prevalence projection'!W$21</f>
        <v>2040</v>
      </c>
      <c r="X11" s="34">
        <f>'Prevalence projection'!X$21</f>
        <v>2041</v>
      </c>
      <c r="Y11" s="34">
        <f>'Prevalence projection'!Y$21</f>
        <v>2042</v>
      </c>
      <c r="Z11" s="34">
        <f>'Prevalence projection'!Z$21</f>
        <v>2043</v>
      </c>
      <c r="AA11" s="34">
        <f>'Prevalence projection'!AA$21</f>
        <v>2044</v>
      </c>
      <c r="AB11" s="34">
        <f>'Prevalence projection'!AB$21</f>
        <v>2045</v>
      </c>
      <c r="AC11" s="34">
        <f>'Prevalence projection'!AC$21</f>
        <v>2046</v>
      </c>
      <c r="AD11" s="34">
        <f>'Prevalence projection'!AD$21</f>
        <v>2047</v>
      </c>
      <c r="AE11" s="34">
        <f>'Prevalence projection'!AE$21</f>
        <v>2048</v>
      </c>
      <c r="AF11" s="34">
        <f>'Prevalence projection'!AF$21</f>
        <v>2049</v>
      </c>
      <c r="AG11" s="34">
        <f>'Prevalence projection'!AG$21</f>
        <v>2050</v>
      </c>
      <c r="AH11" s="34">
        <f>'Prevalence projection'!AH$21</f>
        <v>2051</v>
      </c>
      <c r="AI11" s="34">
        <f>'Prevalence projection'!AI$21</f>
        <v>2052</v>
      </c>
      <c r="AJ11" s="34">
        <f>'Prevalence projection'!AJ$21</f>
        <v>2053</v>
      </c>
      <c r="AK11" s="34">
        <f>'Prevalence projection'!AK$21</f>
        <v>2054</v>
      </c>
      <c r="AL11" s="34">
        <f>'Prevalence projection'!AL$21</f>
        <v>2055</v>
      </c>
      <c r="AM11" s="34">
        <f>'Prevalence projection'!AM$21</f>
        <v>2056</v>
      </c>
      <c r="AN11" s="34">
        <f>'Prevalence projection'!AN$21</f>
        <v>2057</v>
      </c>
      <c r="AO11" s="34">
        <f>'Prevalence projection'!AO$21</f>
        <v>2058</v>
      </c>
      <c r="AP11" s="34">
        <f>'Prevalence projection'!AP$21</f>
        <v>2059</v>
      </c>
      <c r="AQ11" s="34">
        <f>'Prevalence projection'!AQ$21</f>
        <v>2060</v>
      </c>
      <c r="AR11" s="34">
        <f>'Prevalence projection'!AR$21</f>
        <v>2061</v>
      </c>
      <c r="AS11" s="34">
        <f>'Prevalence projection'!AS$21</f>
        <v>2062</v>
      </c>
      <c r="AT11" s="34">
        <f>'Prevalence projection'!AT$21</f>
        <v>2063</v>
      </c>
      <c r="AU11" s="34">
        <f>'Prevalence projection'!AU$21</f>
        <v>2064</v>
      </c>
      <c r="AV11" s="34">
        <f>'Prevalence projection'!AV$21</f>
        <v>2065</v>
      </c>
      <c r="AW11" s="34">
        <f>'Prevalence projection'!AW$21</f>
        <v>2066</v>
      </c>
      <c r="AX11" s="34">
        <f>'Prevalence projection'!AX$21</f>
        <v>2067</v>
      </c>
      <c r="AY11" s="34">
        <f>'Prevalence projection'!AY$21</f>
        <v>2068</v>
      </c>
      <c r="AZ11" s="34">
        <f>'Prevalence projection'!AZ$21</f>
        <v>2069</v>
      </c>
      <c r="BA11" s="34">
        <f>'Prevalence projection'!BA$21</f>
        <v>2070</v>
      </c>
    </row>
    <row r="12" spans="1:53" s="4" customFormat="1">
      <c r="B12" s="12" t="s">
        <v>2985</v>
      </c>
      <c r="C12" s="39">
        <f>'Prevalence projection INT'!C69</f>
        <v>82.5</v>
      </c>
      <c r="D12" s="39">
        <f>'Prevalence projection INT'!D69</f>
        <v>85.671252397034777</v>
      </c>
      <c r="E12" s="39">
        <f>'Prevalence projection INT'!E69</f>
        <v>88.409985944913515</v>
      </c>
      <c r="F12" s="39">
        <f>'Prevalence projection INT'!F69</f>
        <v>90.841470209093458</v>
      </c>
      <c r="G12" s="39">
        <f>'Prevalence projection INT'!G69</f>
        <v>93.082241400315425</v>
      </c>
      <c r="H12" s="39">
        <f>'Prevalence projection INT'!H69</f>
        <v>85.286901679364021</v>
      </c>
      <c r="I12" s="39">
        <f>'Prevalence projection INT'!I69</f>
        <v>80.371125267470873</v>
      </c>
      <c r="J12" s="39">
        <f>'Prevalence projection INT'!J69</f>
        <v>77.423024352014167</v>
      </c>
      <c r="K12" s="39">
        <f>'Prevalence projection INT'!K69</f>
        <v>75.937588943370585</v>
      </c>
      <c r="L12" s="39">
        <f>'Prevalence projection INT'!L69</f>
        <v>75.373960841853631</v>
      </c>
      <c r="M12" s="39">
        <f>'Prevalence projection INT'!M69</f>
        <v>75.399002957624646</v>
      </c>
      <c r="N12" s="39">
        <f>'Prevalence projection INT'!N69</f>
        <v>75.843476439524451</v>
      </c>
      <c r="O12" s="39">
        <f>'Prevalence projection INT'!O69</f>
        <v>76.512346222148111</v>
      </c>
      <c r="P12" s="39">
        <f>'Prevalence projection INT'!P69</f>
        <v>77.316706904841794</v>
      </c>
      <c r="Q12" s="39">
        <f>'Prevalence projection INT'!Q69</f>
        <v>78.215904967552774</v>
      </c>
      <c r="R12" s="39">
        <f>'Prevalence projection INT'!R69</f>
        <v>79.172732163785923</v>
      </c>
      <c r="S12" s="39">
        <f>'Prevalence projection INT'!S69</f>
        <v>80.155030344903821</v>
      </c>
      <c r="T12" s="39">
        <f>'Prevalence projection INT'!T69</f>
        <v>81.159129851206629</v>
      </c>
      <c r="U12" s="39">
        <f>'Prevalence projection INT'!U69</f>
        <v>82.21650286249897</v>
      </c>
      <c r="V12" s="39">
        <f>'Prevalence projection INT'!V69</f>
        <v>83.269470376127629</v>
      </c>
      <c r="W12" s="39">
        <f>'Prevalence projection INT'!W69</f>
        <v>84.304559744743102</v>
      </c>
      <c r="X12" s="39">
        <f>'Prevalence projection INT'!X69</f>
        <v>85.338263741522951</v>
      </c>
      <c r="Y12" s="39">
        <f>'Prevalence projection INT'!Y69</f>
        <v>86.361751387228182</v>
      </c>
      <c r="Z12" s="39">
        <f>'Prevalence projection INT'!Z69</f>
        <v>87.365790951214706</v>
      </c>
      <c r="AA12" s="39">
        <f>'Prevalence projection INT'!AA69</f>
        <v>88.343803133612155</v>
      </c>
      <c r="AB12" s="39">
        <f>'Prevalence projection INT'!AB69</f>
        <v>89.300002386112538</v>
      </c>
      <c r="AC12" s="39">
        <f>'Prevalence projection INT'!AC69</f>
        <v>90.224792989119592</v>
      </c>
      <c r="AD12" s="39">
        <f>'Prevalence projection INT'!AD69</f>
        <v>91.109782246881963</v>
      </c>
      <c r="AE12" s="39">
        <f>'Prevalence projection INT'!AE69</f>
        <v>91.949173834027292</v>
      </c>
      <c r="AF12" s="39">
        <f>'Prevalence projection INT'!AF69</f>
        <v>92.745041204404558</v>
      </c>
      <c r="AG12" s="39">
        <f>'Prevalence projection INT'!AG69</f>
        <v>93.514153714375951</v>
      </c>
      <c r="AH12" s="39">
        <f>'Prevalence projection INT'!AH69</f>
        <v>94.258561793882748</v>
      </c>
      <c r="AI12" s="39">
        <f>'Prevalence projection INT'!AI69</f>
        <v>94.988077339954486</v>
      </c>
      <c r="AJ12" s="39">
        <f>'Prevalence projection INT'!AJ69</f>
        <v>95.692672677062632</v>
      </c>
      <c r="AK12" s="39">
        <f>'Prevalence projection INT'!AK69</f>
        <v>96.356771487241119</v>
      </c>
      <c r="AL12" s="39">
        <f>'Prevalence projection INT'!AL69</f>
        <v>96.971911538641692</v>
      </c>
      <c r="AM12" s="39">
        <f>'Prevalence projection INT'!AM69</f>
        <v>97.532841782974856</v>
      </c>
      <c r="AN12" s="39">
        <f>'Prevalence projection INT'!AN69</f>
        <v>98.035625443233315</v>
      </c>
      <c r="AO12" s="39">
        <f>'Prevalence projection INT'!AO69</f>
        <v>98.476638181047576</v>
      </c>
      <c r="AP12" s="39">
        <f>'Prevalence projection INT'!AP69</f>
        <v>98.882835064317575</v>
      </c>
      <c r="AQ12" s="39">
        <f>'Prevalence projection INT'!AQ69</f>
        <v>99.279335290004056</v>
      </c>
      <c r="AR12" s="39">
        <f>'Prevalence projection INT'!AR69</f>
        <v>99.684238584048231</v>
      </c>
      <c r="AS12" s="39">
        <f>'Prevalence projection INT'!AS69</f>
        <v>99.991730503436131</v>
      </c>
      <c r="AT12" s="39">
        <f>'Prevalence projection INT'!AT69</f>
        <v>100.233547061282</v>
      </c>
      <c r="AU12" s="39">
        <f>'Prevalence projection INT'!AU69</f>
        <v>100.43127619645681</v>
      </c>
      <c r="AV12" s="39">
        <f>'Prevalence projection INT'!AV69</f>
        <v>100.53717739470187</v>
      </c>
      <c r="AW12" s="39">
        <f>'Prevalence projection INT'!AW69</f>
        <v>100.58747474692449</v>
      </c>
      <c r="AX12" s="39">
        <f>'Prevalence projection INT'!AX69</f>
        <v>100.60507142994564</v>
      </c>
      <c r="AY12" s="39">
        <f>'Prevalence projection INT'!AY69</f>
        <v>100.60428805229401</v>
      </c>
      <c r="AZ12" s="39">
        <f>'Prevalence projection INT'!AZ69</f>
        <v>100.59393788143001</v>
      </c>
      <c r="BA12" s="39">
        <f>'Prevalence projection INT'!BA69</f>
        <v>100.57932286004143</v>
      </c>
    </row>
    <row r="13" spans="1:53" s="4" customFormat="1">
      <c r="B13" s="12" t="s">
        <v>97</v>
      </c>
      <c r="C13" s="39">
        <f>'Prevalence projection INT'!C70</f>
        <v>34.65</v>
      </c>
      <c r="D13" s="39">
        <f>'Prevalence projection INT'!D70</f>
        <v>35.981926006754605</v>
      </c>
      <c r="E13" s="39">
        <f>'Prevalence projection INT'!E70</f>
        <v>37.132194096863678</v>
      </c>
      <c r="F13" s="39">
        <f>'Prevalence projection INT'!F70</f>
        <v>38.153417487819254</v>
      </c>
      <c r="G13" s="39">
        <f>'Prevalence projection INT'!G70</f>
        <v>57.978088789740738</v>
      </c>
      <c r="H13" s="39">
        <f>'Prevalence projection INT'!H70</f>
        <v>53.122609466420727</v>
      </c>
      <c r="I13" s="39">
        <f>'Prevalence projection INT'!I70</f>
        <v>50.060722290181246</v>
      </c>
      <c r="J13" s="39">
        <f>'Prevalence projection INT'!J70</f>
        <v>48.22444015874467</v>
      </c>
      <c r="K13" s="39">
        <f>'Prevalence projection INT'!K70</f>
        <v>47.299207754387567</v>
      </c>
      <c r="L13" s="39">
        <f>'Prevalence projection INT'!L70</f>
        <v>46.948141002851088</v>
      </c>
      <c r="M13" s="39">
        <f>'Prevalence projection INT'!M70</f>
        <v>46.963738972880734</v>
      </c>
      <c r="N13" s="39">
        <f>'Prevalence projection INT'!N70</f>
        <v>47.240587946547421</v>
      </c>
      <c r="O13" s="39">
        <f>'Prevalence projection INT'!O70</f>
        <v>47.657206530955484</v>
      </c>
      <c r="P13" s="39">
        <f>'Prevalence projection INT'!P70</f>
        <v>48.158218264005924</v>
      </c>
      <c r="Q13" s="39">
        <f>'Prevalence projection INT'!Q70</f>
        <v>48.718301308151908</v>
      </c>
      <c r="R13" s="39">
        <f>'Prevalence projection INT'!R70</f>
        <v>49.314279781651109</v>
      </c>
      <c r="S13" s="39">
        <f>'Prevalence projection INT'!S70</f>
        <v>49.92612335466869</v>
      </c>
      <c r="T13" s="39">
        <f>'Prevalence projection INT'!T70</f>
        <v>50.551546308116841</v>
      </c>
      <c r="U13" s="39">
        <f>'Prevalence projection INT'!U70</f>
        <v>51.210151702769224</v>
      </c>
      <c r="V13" s="39">
        <f>'Prevalence projection INT'!V70</f>
        <v>51.866013047312094</v>
      </c>
      <c r="W13" s="39">
        <f>'Prevalence projection INT'!W70</f>
        <v>52.510738640680771</v>
      </c>
      <c r="X13" s="39">
        <f>'Prevalence projection INT'!X70</f>
        <v>53.154601328192385</v>
      </c>
      <c r="Y13" s="39">
        <f>'Prevalence projection INT'!Y70</f>
        <v>53.792100562258952</v>
      </c>
      <c r="Z13" s="39">
        <f>'Prevalence projection INT'!Z70</f>
        <v>54.417486179466771</v>
      </c>
      <c r="AA13" s="39">
        <f>'Prevalence projection INT'!AA70</f>
        <v>55.026660134621395</v>
      </c>
      <c r="AB13" s="39">
        <f>'Prevalence projection INT'!AB70</f>
        <v>55.622247481124234</v>
      </c>
      <c r="AC13" s="39">
        <f>'Prevalence projection INT'!AC70</f>
        <v>56.198271337946395</v>
      </c>
      <c r="AD13" s="39">
        <f>'Prevalence projection INT'!AD70</f>
        <v>56.749504150914944</v>
      </c>
      <c r="AE13" s="39">
        <f>'Prevalence projection INT'!AE70</f>
        <v>57.272335565766419</v>
      </c>
      <c r="AF13" s="39">
        <f>'Prevalence projection INT'!AF70</f>
        <v>57.768057073654752</v>
      </c>
      <c r="AG13" s="39">
        <f>'Prevalence projection INT'!AG70</f>
        <v>58.247113795125912</v>
      </c>
      <c r="AH13" s="39">
        <f>'Prevalence projection INT'!AH70</f>
        <v>58.710782880444036</v>
      </c>
      <c r="AI13" s="39">
        <f>'Prevalence projection INT'!AI70</f>
        <v>59.165175860966961</v>
      </c>
      <c r="AJ13" s="39">
        <f>'Prevalence projection INT'!AJ70</f>
        <v>59.604046803491933</v>
      </c>
      <c r="AK13" s="39">
        <f>'Prevalence projection INT'!AK70</f>
        <v>60.017693694697527</v>
      </c>
      <c r="AL13" s="39">
        <f>'Prevalence projection INT'!AL70</f>
        <v>60.400845668497197</v>
      </c>
      <c r="AM13" s="39">
        <f>'Prevalence projection INT'!AM70</f>
        <v>60.750232007089267</v>
      </c>
      <c r="AN13" s="39">
        <f>'Prevalence projection INT'!AN70</f>
        <v>61.063400612163242</v>
      </c>
      <c r="AO13" s="39">
        <f>'Prevalence projection INT'!AO70</f>
        <v>61.338093993905495</v>
      </c>
      <c r="AP13" s="39">
        <f>'Prevalence projection INT'!AP70</f>
        <v>61.591101641874147</v>
      </c>
      <c r="AQ13" s="39">
        <f>'Prevalence projection INT'!AQ70</f>
        <v>61.83806953762064</v>
      </c>
      <c r="AR13" s="39">
        <f>'Prevalence projection INT'!AR70</f>
        <v>62.090271448320145</v>
      </c>
      <c r="AS13" s="39">
        <f>'Prevalence projection INT'!AS70</f>
        <v>62.281798785180541</v>
      </c>
      <c r="AT13" s="39">
        <f>'Prevalence projection INT'!AT70</f>
        <v>62.43241894269611</v>
      </c>
      <c r="AU13" s="39">
        <f>'Prevalence projection INT'!AU70</f>
        <v>62.555578389471577</v>
      </c>
      <c r="AV13" s="39">
        <f>'Prevalence projection INT'!AV70</f>
        <v>62.621541015450752</v>
      </c>
      <c r="AW13" s="39">
        <f>'Prevalence projection INT'!AW70</f>
        <v>62.652869701880967</v>
      </c>
      <c r="AX13" s="39">
        <f>'Prevalence projection INT'!AX70</f>
        <v>62.663830138966034</v>
      </c>
      <c r="AY13" s="39">
        <f>'Prevalence projection INT'!AY70</f>
        <v>62.663342196922969</v>
      </c>
      <c r="AZ13" s="39">
        <f>'Prevalence projection INT'!AZ70</f>
        <v>62.656895391213148</v>
      </c>
      <c r="BA13" s="39">
        <f>'Prevalence projection INT'!BA70</f>
        <v>62.647792140206477</v>
      </c>
    </row>
    <row r="14" spans="1:53" s="4" customFormat="1">
      <c r="B14" s="12" t="s">
        <v>98</v>
      </c>
      <c r="C14" s="39">
        <f>'Prevalence projection INT'!C71</f>
        <v>47.85</v>
      </c>
      <c r="D14" s="39">
        <f>'Prevalence projection INT'!D71</f>
        <v>49.689326390280172</v>
      </c>
      <c r="E14" s="39">
        <f>'Prevalence projection INT'!E71</f>
        <v>51.277791848049837</v>
      </c>
      <c r="F14" s="39">
        <f>'Prevalence projection INT'!F71</f>
        <v>52.688052721274204</v>
      </c>
      <c r="G14" s="39">
        <f>'Prevalence projection INT'!G71</f>
        <v>35.104152610574687</v>
      </c>
      <c r="H14" s="39">
        <f>'Prevalence projection INT'!H71</f>
        <v>32.164292212943295</v>
      </c>
      <c r="I14" s="39">
        <f>'Prevalence projection INT'!I71</f>
        <v>30.310402977289627</v>
      </c>
      <c r="J14" s="39">
        <f>'Prevalence projection INT'!J71</f>
        <v>29.198584193269497</v>
      </c>
      <c r="K14" s="39">
        <f>'Prevalence projection INT'!K71</f>
        <v>28.638381188983018</v>
      </c>
      <c r="L14" s="39">
        <f>'Prevalence projection INT'!L71</f>
        <v>28.425819839002543</v>
      </c>
      <c r="M14" s="39">
        <f>'Prevalence projection INT'!M71</f>
        <v>28.435263984743912</v>
      </c>
      <c r="N14" s="39">
        <f>'Prevalence projection INT'!N71</f>
        <v>28.60288849297703</v>
      </c>
      <c r="O14" s="39">
        <f>'Prevalence projection INT'!O71</f>
        <v>28.855139691192626</v>
      </c>
      <c r="P14" s="39">
        <f>'Prevalence projection INT'!P71</f>
        <v>29.15848864083587</v>
      </c>
      <c r="Q14" s="39">
        <f>'Prevalence projection INT'!Q71</f>
        <v>29.497603659400866</v>
      </c>
      <c r="R14" s="39">
        <f>'Prevalence projection INT'!R71</f>
        <v>29.858452382134814</v>
      </c>
      <c r="S14" s="39">
        <f>'Prevalence projection INT'!S71</f>
        <v>30.228906990235132</v>
      </c>
      <c r="T14" s="39">
        <f>'Prevalence projection INT'!T71</f>
        <v>30.607583543089788</v>
      </c>
      <c r="U14" s="39">
        <f>'Prevalence projection INT'!U71</f>
        <v>31.006351159729746</v>
      </c>
      <c r="V14" s="39">
        <f>'Prevalence projection INT'!V71</f>
        <v>31.403457328815534</v>
      </c>
      <c r="W14" s="39">
        <f>'Prevalence projection INT'!W71</f>
        <v>31.793821104062332</v>
      </c>
      <c r="X14" s="39">
        <f>'Prevalence projection INT'!X71</f>
        <v>32.183662413330566</v>
      </c>
      <c r="Y14" s="39">
        <f>'Prevalence projection INT'!Y71</f>
        <v>32.56965082496923</v>
      </c>
      <c r="Z14" s="39">
        <f>'Prevalence projection INT'!Z71</f>
        <v>32.948304771747935</v>
      </c>
      <c r="AA14" s="39">
        <f>'Prevalence projection INT'!AA71</f>
        <v>33.317142998990761</v>
      </c>
      <c r="AB14" s="39">
        <f>'Prevalence projection INT'!AB71</f>
        <v>33.677754904988305</v>
      </c>
      <c r="AC14" s="39">
        <f>'Prevalence projection INT'!AC71</f>
        <v>34.026521651173198</v>
      </c>
      <c r="AD14" s="39">
        <f>'Prevalence projection INT'!AD71</f>
        <v>34.360278095967018</v>
      </c>
      <c r="AE14" s="39">
        <f>'Prevalence projection INT'!AE71</f>
        <v>34.676838268260873</v>
      </c>
      <c r="AF14" s="39">
        <f>'Prevalence projection INT'!AF71</f>
        <v>34.976984130749806</v>
      </c>
      <c r="AG14" s="39">
        <f>'Prevalence projection INT'!AG71</f>
        <v>35.267039919250038</v>
      </c>
      <c r="AH14" s="39">
        <f>'Prevalence projection INT'!AH71</f>
        <v>35.547778913438712</v>
      </c>
      <c r="AI14" s="39">
        <f>'Prevalence projection INT'!AI71</f>
        <v>35.822901478987525</v>
      </c>
      <c r="AJ14" s="39">
        <f>'Prevalence projection INT'!AJ71</f>
        <v>36.088625873570699</v>
      </c>
      <c r="AK14" s="39">
        <f>'Prevalence projection INT'!AK71</f>
        <v>36.339077792543591</v>
      </c>
      <c r="AL14" s="39">
        <f>'Prevalence projection INT'!AL71</f>
        <v>36.571065870144494</v>
      </c>
      <c r="AM14" s="39">
        <f>'Prevalence projection INT'!AM71</f>
        <v>36.782609775885589</v>
      </c>
      <c r="AN14" s="39">
        <f>'Prevalence projection INT'!AN71</f>
        <v>36.972224831070072</v>
      </c>
      <c r="AO14" s="39">
        <f>'Prevalence projection INT'!AO71</f>
        <v>37.138544187142081</v>
      </c>
      <c r="AP14" s="39">
        <f>'Prevalence projection INT'!AP71</f>
        <v>37.291733422443428</v>
      </c>
      <c r="AQ14" s="39">
        <f>'Prevalence projection INT'!AQ71</f>
        <v>37.441265752383416</v>
      </c>
      <c r="AR14" s="39">
        <f>'Prevalence projection INT'!AR71</f>
        <v>37.593967135728086</v>
      </c>
      <c r="AS14" s="39">
        <f>'Prevalence projection INT'!AS71</f>
        <v>37.709931718255589</v>
      </c>
      <c r="AT14" s="39">
        <f>'Prevalence projection INT'!AT71</f>
        <v>37.801128118585886</v>
      </c>
      <c r="AU14" s="39">
        <f>'Prevalence projection INT'!AU71</f>
        <v>37.875697806985229</v>
      </c>
      <c r="AV14" s="39">
        <f>'Prevalence projection INT'!AV71</f>
        <v>37.915636379251119</v>
      </c>
      <c r="AW14" s="39">
        <f>'Prevalence projection INT'!AW71</f>
        <v>37.934605045043519</v>
      </c>
      <c r="AX14" s="39">
        <f>'Prevalence projection INT'!AX71</f>
        <v>37.941241290979605</v>
      </c>
      <c r="AY14" s="39">
        <f>'Prevalence projection INT'!AY71</f>
        <v>37.940945855371041</v>
      </c>
      <c r="AZ14" s="39">
        <f>'Prevalence projection INT'!AZ71</f>
        <v>37.937042490216861</v>
      </c>
      <c r="BA14" s="39">
        <f>'Prevalence projection INT'!BA71</f>
        <v>37.931530719834953</v>
      </c>
    </row>
    <row r="15" spans="1:53" s="4" customFormat="1">
      <c r="C15" s="75">
        <f>C13/C12</f>
        <v>0.42</v>
      </c>
      <c r="D15" s="75">
        <f t="shared" ref="D15:AE15" si="0">D13/D12</f>
        <v>0.42</v>
      </c>
      <c r="E15" s="75">
        <f t="shared" si="0"/>
        <v>0.42000000000000004</v>
      </c>
      <c r="F15" s="75">
        <f t="shared" si="0"/>
        <v>0.42000000000000004</v>
      </c>
      <c r="G15" s="75">
        <f t="shared" si="0"/>
        <v>0.62286949602337649</v>
      </c>
      <c r="H15" s="75">
        <f t="shared" si="0"/>
        <v>0.62286949602337649</v>
      </c>
      <c r="I15" s="75">
        <f t="shared" si="0"/>
        <v>0.62286949602337649</v>
      </c>
      <c r="J15" s="75">
        <f t="shared" si="0"/>
        <v>0.62286949602337649</v>
      </c>
      <c r="K15" s="75">
        <f t="shared" si="0"/>
        <v>0.62286949602337649</v>
      </c>
      <c r="L15" s="75">
        <f t="shared" si="0"/>
        <v>0.62286949602337649</v>
      </c>
      <c r="M15" s="75">
        <f t="shared" si="0"/>
        <v>0.62286949602337649</v>
      </c>
      <c r="N15" s="75">
        <f t="shared" si="0"/>
        <v>0.62286949602337649</v>
      </c>
      <c r="O15" s="75">
        <f t="shared" si="0"/>
        <v>0.62286949602337649</v>
      </c>
      <c r="P15" s="75">
        <f t="shared" si="0"/>
        <v>0.62286949602337649</v>
      </c>
      <c r="Q15" s="75">
        <f t="shared" si="0"/>
        <v>0.62286949602337649</v>
      </c>
      <c r="R15" s="75">
        <f t="shared" si="0"/>
        <v>0.62286949602337649</v>
      </c>
      <c r="S15" s="75">
        <f t="shared" si="0"/>
        <v>0.62286949602337649</v>
      </c>
      <c r="T15" s="75">
        <f t="shared" si="0"/>
        <v>0.62286949602337649</v>
      </c>
      <c r="U15" s="75">
        <f t="shared" si="0"/>
        <v>0.62286949602337649</v>
      </c>
      <c r="V15" s="75">
        <f t="shared" si="0"/>
        <v>0.62286949602337649</v>
      </c>
      <c r="W15" s="75">
        <f t="shared" si="0"/>
        <v>0.62286949602337649</v>
      </c>
      <c r="X15" s="75">
        <f t="shared" si="0"/>
        <v>0.62286949602337649</v>
      </c>
      <c r="Y15" s="75">
        <f t="shared" si="0"/>
        <v>0.62286949602337649</v>
      </c>
      <c r="Z15" s="75">
        <f t="shared" si="0"/>
        <v>0.62286949602337649</v>
      </c>
      <c r="AA15" s="75">
        <f t="shared" si="0"/>
        <v>0.62286949602337649</v>
      </c>
      <c r="AB15" s="75">
        <f t="shared" si="0"/>
        <v>0.62286949602337649</v>
      </c>
      <c r="AC15" s="75">
        <f t="shared" si="0"/>
        <v>0.62286949602337649</v>
      </c>
      <c r="AD15" s="75">
        <f t="shared" si="0"/>
        <v>0.62286949602337649</v>
      </c>
      <c r="AE15" s="75">
        <f t="shared" si="0"/>
        <v>0.62286949602337649</v>
      </c>
      <c r="AF15" s="75">
        <f t="shared" ref="AF15:AO15" si="1">AF13/AF12</f>
        <v>0.62286949602337649</v>
      </c>
      <c r="AG15" s="75">
        <f t="shared" si="1"/>
        <v>0.62286949602337649</v>
      </c>
      <c r="AH15" s="75">
        <f t="shared" si="1"/>
        <v>0.62286949602337649</v>
      </c>
      <c r="AI15" s="75">
        <f t="shared" si="1"/>
        <v>0.62286949602337649</v>
      </c>
      <c r="AJ15" s="75">
        <f t="shared" si="1"/>
        <v>0.62286949602337649</v>
      </c>
      <c r="AK15" s="75">
        <f t="shared" si="1"/>
        <v>0.62286949602337649</v>
      </c>
      <c r="AL15" s="75">
        <f t="shared" si="1"/>
        <v>0.62286949602337649</v>
      </c>
      <c r="AM15" s="75">
        <f t="shared" si="1"/>
        <v>0.62286949602337649</v>
      </c>
      <c r="AN15" s="75">
        <f t="shared" si="1"/>
        <v>0.62286949602337649</v>
      </c>
      <c r="AO15" s="75">
        <f t="shared" si="1"/>
        <v>0.62286949602337649</v>
      </c>
      <c r="AP15" s="75">
        <f t="shared" ref="AP15:BA15" si="2">AP13/AP12</f>
        <v>0.62286949602337649</v>
      </c>
      <c r="AQ15" s="75">
        <f t="shared" si="2"/>
        <v>0.62286949602337649</v>
      </c>
      <c r="AR15" s="75">
        <f t="shared" si="2"/>
        <v>0.62286949602337649</v>
      </c>
      <c r="AS15" s="75">
        <f t="shared" si="2"/>
        <v>0.62286949602337649</v>
      </c>
      <c r="AT15" s="75">
        <f t="shared" si="2"/>
        <v>0.62286949602337649</v>
      </c>
      <c r="AU15" s="75">
        <f t="shared" si="2"/>
        <v>0.62286949602337649</v>
      </c>
      <c r="AV15" s="75">
        <f t="shared" si="2"/>
        <v>0.62286949602337649</v>
      </c>
      <c r="AW15" s="75">
        <f t="shared" si="2"/>
        <v>0.62286949602337649</v>
      </c>
      <c r="AX15" s="75">
        <f t="shared" si="2"/>
        <v>0.62286949602337649</v>
      </c>
      <c r="AY15" s="75">
        <f t="shared" si="2"/>
        <v>0.62286949602337649</v>
      </c>
      <c r="AZ15" s="75">
        <f t="shared" si="2"/>
        <v>0.62286949602337649</v>
      </c>
      <c r="BA15" s="75">
        <f t="shared" si="2"/>
        <v>0.62286949602337649</v>
      </c>
    </row>
    <row r="16" spans="1:53" s="4" customFormat="1">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75"/>
      <c r="AE16" s="75"/>
    </row>
    <row r="17" spans="1:55" ht="21.65" customHeight="1">
      <c r="B17" s="65"/>
      <c r="C17" s="59" t="s">
        <v>152</v>
      </c>
      <c r="D17" s="98" t="s">
        <v>153</v>
      </c>
      <c r="E17" s="75"/>
      <c r="G17" s="38"/>
      <c r="H17" s="38"/>
      <c r="I17" s="73"/>
      <c r="J17" s="74"/>
      <c r="K17" s="38"/>
      <c r="L17" s="38"/>
      <c r="M17" s="38"/>
      <c r="N17" s="38"/>
      <c r="O17" s="38"/>
      <c r="P17" s="38"/>
      <c r="Q17" s="38"/>
      <c r="R17" s="38"/>
      <c r="S17" s="38"/>
      <c r="T17" s="38"/>
      <c r="U17" s="38"/>
      <c r="V17" s="38"/>
      <c r="W17" s="38"/>
      <c r="X17" s="38"/>
      <c r="Y17" s="38"/>
      <c r="Z17" s="38"/>
      <c r="AA17" s="38"/>
      <c r="AB17" s="38"/>
      <c r="AC17" s="38"/>
      <c r="AD17" s="38"/>
      <c r="AE17" s="38"/>
      <c r="BB17" s="4"/>
      <c r="BC17" s="4"/>
    </row>
    <row r="18" spans="1:55">
      <c r="B18" s="12" t="s">
        <v>2962</v>
      </c>
      <c r="C18" s="24">
        <f>Epidemiology!C102</f>
        <v>0.42</v>
      </c>
      <c r="D18" s="24">
        <f>1-C18</f>
        <v>0.58000000000000007</v>
      </c>
      <c r="E18" s="75"/>
      <c r="G18" s="38"/>
      <c r="H18" s="71"/>
      <c r="I18" s="71"/>
      <c r="J18" s="70"/>
      <c r="K18" s="38"/>
      <c r="L18" s="38"/>
      <c r="M18" s="38"/>
      <c r="N18" s="38"/>
      <c r="O18" s="38"/>
      <c r="P18" s="38"/>
      <c r="Q18" s="38"/>
      <c r="R18" s="38"/>
      <c r="S18" s="38"/>
      <c r="T18" s="38"/>
      <c r="U18" s="38"/>
      <c r="V18" s="38"/>
      <c r="W18" s="38"/>
      <c r="X18" s="38"/>
      <c r="Y18" s="38"/>
      <c r="Z18" s="38"/>
      <c r="AA18" s="38"/>
      <c r="AB18" s="38"/>
      <c r="AC18" s="38"/>
      <c r="AD18" s="38"/>
      <c r="AE18" s="38"/>
    </row>
    <row r="19" spans="1:55">
      <c r="E19" s="75"/>
      <c r="G19" s="38"/>
      <c r="H19" s="71"/>
      <c r="I19" s="71"/>
      <c r="J19" s="38"/>
      <c r="K19" s="38"/>
      <c r="L19" s="38"/>
      <c r="M19" s="38"/>
      <c r="N19" s="38"/>
      <c r="O19" s="38"/>
      <c r="P19" s="38"/>
      <c r="Q19" s="38"/>
      <c r="R19" s="38"/>
      <c r="S19" s="38"/>
      <c r="T19" s="38"/>
      <c r="U19" s="38"/>
      <c r="V19" s="38"/>
      <c r="W19" s="38"/>
      <c r="X19" s="38"/>
      <c r="Y19" s="38"/>
      <c r="Z19" s="38"/>
      <c r="AA19" s="38"/>
      <c r="AB19" s="38"/>
      <c r="AC19" s="38"/>
      <c r="AD19" s="38"/>
      <c r="AE19" s="38"/>
    </row>
    <row r="20" spans="1:55" s="4" customFormat="1">
      <c r="C20" s="75"/>
      <c r="D20" s="75"/>
      <c r="E20" s="75"/>
      <c r="F20" s="75"/>
      <c r="G20" s="75"/>
      <c r="H20" s="75"/>
      <c r="I20" s="75"/>
      <c r="J20" s="75"/>
      <c r="K20" s="75"/>
      <c r="L20" s="75"/>
      <c r="M20" s="75"/>
      <c r="N20" s="75"/>
      <c r="O20" s="75"/>
      <c r="P20" s="75"/>
      <c r="Q20" s="75"/>
      <c r="R20" s="75"/>
      <c r="S20" s="75"/>
      <c r="T20" s="75"/>
      <c r="U20" s="75"/>
      <c r="V20" s="75"/>
      <c r="W20" s="75"/>
      <c r="X20" s="75"/>
      <c r="Y20" s="75"/>
      <c r="Z20" s="75"/>
      <c r="AA20" s="75"/>
      <c r="AB20" s="75"/>
      <c r="AC20" s="75"/>
      <c r="AD20" s="75"/>
      <c r="AE20" s="75"/>
    </row>
    <row r="21" spans="1:55" s="4" customFormat="1">
      <c r="C21" s="38"/>
      <c r="D21" s="38"/>
      <c r="E21" s="38"/>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row>
    <row r="22" spans="1:55" s="588" customFormat="1">
      <c r="A22" s="593" t="s">
        <v>10</v>
      </c>
      <c r="B22" s="639" t="s">
        <v>2928</v>
      </c>
      <c r="J22" s="641"/>
    </row>
    <row r="23" spans="1:55">
      <c r="B23" s="66"/>
      <c r="J23" s="60"/>
    </row>
    <row r="24" spans="1:55">
      <c r="B24" s="108"/>
      <c r="E24" s="151" t="s">
        <v>3419</v>
      </c>
    </row>
    <row r="25" spans="1:55">
      <c r="A25" s="9"/>
      <c r="B25" s="372" t="s">
        <v>2880</v>
      </c>
      <c r="E25" s="151" t="s">
        <v>3420</v>
      </c>
    </row>
    <row r="26" spans="1:55">
      <c r="B26" s="7" t="s">
        <v>9</v>
      </c>
      <c r="C26" s="34" t="s">
        <v>2985</v>
      </c>
      <c r="E26" s="34" t="s">
        <v>97</v>
      </c>
      <c r="F26" s="34" t="s">
        <v>98</v>
      </c>
      <c r="H26" s="34" t="s">
        <v>155</v>
      </c>
      <c r="J26" s="79" t="s">
        <v>124</v>
      </c>
      <c r="L26" s="78"/>
    </row>
    <row r="27" spans="1:55" ht="16.25" customHeight="1">
      <c r="B27" s="100" t="s">
        <v>11</v>
      </c>
      <c r="C27" s="101">
        <f>INDEX('Resource costs'!$D$30:$N$30, MATCH(B27, 'Resource costs'!$D$27:$N$27,0))</f>
        <v>7.3643728009164553</v>
      </c>
      <c r="E27" s="101">
        <f t="shared" ref="E27:E33" si="3">C27/((H27*$D$18)+$C$18)</f>
        <v>4.0273913755011863</v>
      </c>
      <c r="F27" s="101">
        <f t="shared" ref="F27:F33" si="4">E27*H27</f>
        <v>9.7808076262171681</v>
      </c>
      <c r="H27" s="82">
        <f>INDEX('Resource costs'!$F$81:$F$94, MATCH(B27,'Resource costs'!$B$81:$B$94,0))</f>
        <v>2.4285714285714288</v>
      </c>
      <c r="J27" s="78" t="b">
        <f t="shared" ref="J27:J33" si="5">E27*$C$18+F27*$D$18=C27</f>
        <v>1</v>
      </c>
      <c r="L27" s="80"/>
      <c r="M27" s="81"/>
    </row>
    <row r="28" spans="1:55" ht="16.25" customHeight="1">
      <c r="B28" s="104" t="s">
        <v>14</v>
      </c>
      <c r="C28" s="105">
        <f>INDEX('Resource costs'!$D$30:$N$30, MATCH(B28, 'Resource costs'!$D$27:$N$27,0))</f>
        <v>0</v>
      </c>
      <c r="D28" s="106"/>
      <c r="E28" s="105">
        <f t="shared" si="3"/>
        <v>0</v>
      </c>
      <c r="F28" s="105">
        <f t="shared" si="4"/>
        <v>0</v>
      </c>
      <c r="G28" s="106"/>
      <c r="H28" s="107">
        <f>'Resource costs'!E65</f>
        <v>0.91666666666666663</v>
      </c>
      <c r="I28" s="108" t="s">
        <v>162</v>
      </c>
      <c r="J28" s="78" t="b">
        <f t="shared" si="5"/>
        <v>1</v>
      </c>
      <c r="L28" s="80"/>
      <c r="M28" s="81"/>
    </row>
    <row r="29" spans="1:55" ht="16.25" customHeight="1">
      <c r="B29" s="104" t="s">
        <v>15</v>
      </c>
      <c r="C29" s="105">
        <f>INDEX('Resource costs'!$D$30:$N$30, MATCH(B29, 'Resource costs'!$D$27:$N$27,0))</f>
        <v>0.18007732591440961</v>
      </c>
      <c r="D29" s="106"/>
      <c r="E29" s="105">
        <f t="shared" si="3"/>
        <v>0.11615970411283452</v>
      </c>
      <c r="F29" s="105">
        <f t="shared" si="4"/>
        <v>0.22636250032244676</v>
      </c>
      <c r="G29" s="106"/>
      <c r="H29" s="107">
        <f>'Resource costs'!E66</f>
        <v>1.9487179487179487</v>
      </c>
      <c r="I29" s="108" t="s">
        <v>162</v>
      </c>
      <c r="J29" s="78" t="b">
        <f t="shared" si="5"/>
        <v>1</v>
      </c>
      <c r="L29" s="80"/>
      <c r="M29" s="81"/>
    </row>
    <row r="30" spans="1:55" ht="16.25" customHeight="1">
      <c r="B30" s="100" t="s">
        <v>16</v>
      </c>
      <c r="C30" s="101">
        <f>INDEX('Resource costs'!$D$30:$N$30, MATCH(B30, 'Resource costs'!$D$27:$N$27,0))</f>
        <v>0.8975214794206694</v>
      </c>
      <c r="E30" s="101">
        <f t="shared" si="3"/>
        <v>0.14429605778467353</v>
      </c>
      <c r="F30" s="101">
        <f t="shared" si="4"/>
        <v>1.4429605778467351</v>
      </c>
      <c r="H30" s="82">
        <f>INDEX('Resource costs'!$F$81:$F$94, MATCH(B30,'Resource costs'!$B$81:$B$94,0))</f>
        <v>10</v>
      </c>
      <c r="J30" s="78" t="b">
        <f t="shared" si="5"/>
        <v>1</v>
      </c>
      <c r="L30" s="80"/>
      <c r="M30" s="81"/>
    </row>
    <row r="31" spans="1:55" ht="16.25" customHeight="1">
      <c r="B31" s="100" t="s">
        <v>103</v>
      </c>
      <c r="C31" s="101">
        <f>INDEX('Resource costs'!$D$30:$N$30, MATCH(B31, 'Resource costs'!$D$27:$N$27,0))</f>
        <v>0.72726986334997135</v>
      </c>
      <c r="E31" s="101">
        <f t="shared" si="3"/>
        <v>0.46029738186707048</v>
      </c>
      <c r="F31" s="101">
        <f t="shared" si="4"/>
        <v>0.92059476373414095</v>
      </c>
      <c r="H31" s="82">
        <f>INDEX('Resource costs'!$F$81:$F$94, MATCH(B31,'Resource costs'!$B$81:$B$94,0))</f>
        <v>2</v>
      </c>
      <c r="J31" s="78" t="b">
        <f t="shared" si="5"/>
        <v>1</v>
      </c>
      <c r="L31" s="80"/>
      <c r="M31" s="81"/>
    </row>
    <row r="32" spans="1:55" ht="16.25" customHeight="1">
      <c r="B32" s="100" t="s">
        <v>104</v>
      </c>
      <c r="C32" s="101">
        <f>INDEX('Resource costs'!$D$30:$N$30, MATCH(B32, 'Resource costs'!$D$27:$N$27,0))</f>
        <v>50.323214139595777</v>
      </c>
      <c r="E32" s="101">
        <f t="shared" si="3"/>
        <v>70.877766393796875</v>
      </c>
      <c r="F32" s="101">
        <f t="shared" si="4"/>
        <v>35.438883196898438</v>
      </c>
      <c r="H32" s="82">
        <f>INDEX('Resource costs'!$F$81:$F$94, MATCH(B32,'Resource costs'!$B$81:$B$94,0))</f>
        <v>0.5</v>
      </c>
      <c r="J32" s="78" t="b">
        <f t="shared" si="5"/>
        <v>1</v>
      </c>
      <c r="L32" s="80"/>
      <c r="M32" s="81"/>
    </row>
    <row r="33" spans="2:13" s="106" customFormat="1" ht="16.25" customHeight="1">
      <c r="B33" s="104" t="s">
        <v>17</v>
      </c>
      <c r="C33" s="105">
        <f>INDEX('Resource costs'!$D$30:$N$30, MATCH(B33, 'Resource costs'!$D$27:$N$27,0))</f>
        <v>37.640127649128551</v>
      </c>
      <c r="E33" s="105">
        <f t="shared" si="3"/>
        <v>26.032468631640825</v>
      </c>
      <c r="F33" s="105">
        <f t="shared" si="4"/>
        <v>46.045673834205871</v>
      </c>
      <c r="H33" s="107">
        <f>'Resource costs'!E67</f>
        <v>1.7687786158797194</v>
      </c>
      <c r="I33" s="108" t="s">
        <v>162</v>
      </c>
      <c r="J33" s="78" t="b">
        <f t="shared" si="5"/>
        <v>1</v>
      </c>
      <c r="L33" s="109"/>
      <c r="M33" s="109"/>
    </row>
    <row r="34" spans="2:13" ht="16.25" customHeight="1">
      <c r="B34" s="100" t="s">
        <v>19</v>
      </c>
      <c r="C34" s="101">
        <f>INDEX('Resource costs'!$D$30:$N$30, MATCH(B34, 'Resource costs'!$D$27:$N$27,0))</f>
        <v>102.28295556828409</v>
      </c>
      <c r="E34" s="143" t="s">
        <v>6</v>
      </c>
      <c r="F34" s="143" t="s">
        <v>6</v>
      </c>
      <c r="H34" s="143" t="s">
        <v>6</v>
      </c>
      <c r="I34" s="110" t="s">
        <v>157</v>
      </c>
      <c r="J34" s="78"/>
      <c r="L34" s="80"/>
      <c r="M34" s="81"/>
    </row>
    <row r="35" spans="2:13">
      <c r="J35" s="78"/>
    </row>
    <row r="36" spans="2:13">
      <c r="B36" s="371" t="s">
        <v>156</v>
      </c>
      <c r="J36" s="78"/>
    </row>
    <row r="37" spans="2:13" ht="29">
      <c r="B37" s="6" t="s">
        <v>106</v>
      </c>
      <c r="C37" s="102">
        <f>C$34*('Resource costs'!C91/SUM('Resource costs'!C$91:C$92))</f>
        <v>62.168013338130343</v>
      </c>
      <c r="E37" s="102">
        <f>C37/((H37*$D$18)+$C$18)</f>
        <v>25.002031102977824</v>
      </c>
      <c r="F37" s="102">
        <f>E37*H37</f>
        <v>89.081310818758013</v>
      </c>
      <c r="H37" s="82">
        <f>INDEX('Resource costs'!$F$81:$F$94, MATCH(B37,'Resource costs'!$B$81:$B$94,0))</f>
        <v>3.5629629629629624</v>
      </c>
      <c r="I37" s="146"/>
      <c r="J37" s="78" t="b">
        <f>E37*$C$18+F37*$D$18=C37</f>
        <v>1</v>
      </c>
    </row>
    <row r="38" spans="2:13" ht="29">
      <c r="B38" s="6" t="s">
        <v>107</v>
      </c>
      <c r="C38" s="102">
        <f>C$34*('Resource costs'!C92/SUM('Resource costs'!C$91:C$92))</f>
        <v>40.114942230153751</v>
      </c>
      <c r="E38" s="102">
        <f>C38/((H38*$D$18)+$C$18)</f>
        <v>15.873156724176971</v>
      </c>
      <c r="F38" s="102">
        <f>E38*H38</f>
        <v>57.66933863103349</v>
      </c>
      <c r="H38" s="82">
        <f>INDEX('Resource costs'!$F$81:$F$94, MATCH(B38,'Resource costs'!$B$81:$B$94,0))</f>
        <v>3.6331360946745561</v>
      </c>
      <c r="J38" s="78" t="b">
        <f>E38*$C$18+F38*$D$18=C38</f>
        <v>1</v>
      </c>
    </row>
    <row r="39" spans="2:13">
      <c r="C39" s="78" t="b">
        <f>SUM(C37:C38)=C34</f>
        <v>1</v>
      </c>
      <c r="E39" s="78"/>
      <c r="F39" s="78"/>
      <c r="G39" s="78"/>
      <c r="H39" s="78"/>
      <c r="J39" s="78"/>
    </row>
    <row r="40" spans="2:13">
      <c r="B40" s="52"/>
      <c r="C40" s="78"/>
      <c r="E40" s="111"/>
      <c r="F40" s="111"/>
      <c r="H40" s="112"/>
      <c r="J40" s="78"/>
    </row>
    <row r="41" spans="2:13">
      <c r="B41" s="52"/>
      <c r="C41" s="78"/>
      <c r="E41" s="111"/>
      <c r="F41" s="111"/>
      <c r="H41" s="112"/>
      <c r="J41" s="78"/>
    </row>
    <row r="42" spans="2:13">
      <c r="B42" s="370" t="s">
        <v>2881</v>
      </c>
      <c r="C42" s="78"/>
      <c r="H42" s="112"/>
      <c r="J42" s="78"/>
    </row>
    <row r="43" spans="2:13">
      <c r="B43" s="370"/>
      <c r="C43" s="78"/>
      <c r="J43" s="78"/>
    </row>
    <row r="44" spans="2:13">
      <c r="B44" s="370"/>
      <c r="C44" s="78"/>
      <c r="E44" s="4" t="s">
        <v>20</v>
      </c>
      <c r="F44" s="4"/>
      <c r="G44" s="4"/>
      <c r="H44" s="4" t="s">
        <v>3197</v>
      </c>
      <c r="J44" s="78"/>
    </row>
    <row r="45" spans="2:13">
      <c r="B45" s="7" t="s">
        <v>125</v>
      </c>
      <c r="E45" s="344" t="s">
        <v>97</v>
      </c>
      <c r="F45" s="344" t="s">
        <v>2797</v>
      </c>
      <c r="H45" s="543" t="s">
        <v>97</v>
      </c>
      <c r="I45" s="543" t="s">
        <v>2797</v>
      </c>
      <c r="J45" s="78"/>
    </row>
    <row r="46" spans="2:13">
      <c r="B46" s="6" t="s">
        <v>2863</v>
      </c>
      <c r="E46" s="368">
        <f>'Mixed LU Care Pathways'!I151</f>
        <v>20.623835370026402</v>
      </c>
      <c r="F46" s="368">
        <f>'Mixed LU Care Pathways'!J151</f>
        <v>78</v>
      </c>
      <c r="H46" s="368">
        <f>'Mixed LU Care Pathways INT'!I159</f>
        <v>21.028132075471706</v>
      </c>
      <c r="I46" s="368">
        <f>'Mixed LU Care Pathways INT'!J159</f>
        <v>78</v>
      </c>
      <c r="J46" s="78"/>
    </row>
    <row r="47" spans="2:13">
      <c r="B47" s="6" t="s">
        <v>2862</v>
      </c>
      <c r="E47" s="368">
        <f>'Mixed LU Care Pathways'!I152</f>
        <v>41.247670740052804</v>
      </c>
      <c r="F47" s="368">
        <f>'Mixed LU Care Pathways'!J152</f>
        <v>156</v>
      </c>
      <c r="H47" s="368">
        <f>'Mixed LU Care Pathways INT'!I160</f>
        <v>42.056264150943413</v>
      </c>
      <c r="I47" s="368">
        <f>'Mixed LU Care Pathways INT'!J160</f>
        <v>156</v>
      </c>
      <c r="J47" s="78"/>
    </row>
    <row r="48" spans="2:13">
      <c r="B48" s="6" t="s">
        <v>131</v>
      </c>
      <c r="E48" s="368">
        <f>'Mixed LU Care Pathways'!I153</f>
        <v>0</v>
      </c>
      <c r="F48" s="368">
        <f>'Mixed LU Care Pathways'!J153</f>
        <v>0</v>
      </c>
      <c r="H48" s="368">
        <f>'Mixed LU Care Pathways INT'!I161</f>
        <v>0</v>
      </c>
      <c r="I48" s="368">
        <f>'Mixed LU Care Pathways INT'!J161</f>
        <v>0</v>
      </c>
      <c r="J48" s="78"/>
    </row>
    <row r="49" spans="1:10" ht="29">
      <c r="B49" s="6" t="s">
        <v>2869</v>
      </c>
      <c r="E49" s="368">
        <f>'Mixed LU Care Pathways'!I154</f>
        <v>13.152253397204035</v>
      </c>
      <c r="F49" s="368">
        <f>'Mixed LU Care Pathways'!J154</f>
        <v>49.790673575129539</v>
      </c>
      <c r="H49" s="368">
        <f>'Mixed LU Care Pathways INT'!I162</f>
        <v>2.0603773584905669</v>
      </c>
      <c r="I49" s="368">
        <f>'Mixed LU Care Pathways INT'!J162</f>
        <v>7.8000000000000007</v>
      </c>
      <c r="J49" s="78"/>
    </row>
    <row r="50" spans="1:10" ht="29">
      <c r="B50" s="6" t="s">
        <v>2870</v>
      </c>
      <c r="E50" s="368">
        <f>'Mixed LU Care Pathways'!I155</f>
        <v>7.4515201877016342</v>
      </c>
      <c r="F50" s="368">
        <f>'Mixed LU Care Pathways'!J155</f>
        <v>28.209326424870465</v>
      </c>
      <c r="H50" s="368">
        <f>'Mixed LU Care Pathways INT'!I163</f>
        <v>18.543396226415101</v>
      </c>
      <c r="I50" s="368">
        <f>'Mixed LU Care Pathways INT'!J163</f>
        <v>70.2</v>
      </c>
      <c r="J50" s="78"/>
    </row>
    <row r="51" spans="1:10">
      <c r="B51" s="6" t="s">
        <v>102</v>
      </c>
      <c r="E51" s="368">
        <f>'Mixed LU Care Pathways'!I156</f>
        <v>4.0123570241470341E-2</v>
      </c>
      <c r="F51" s="368">
        <f>'Mixed LU Care Pathways'!J156</f>
        <v>0</v>
      </c>
      <c r="H51" s="368">
        <f>'Mixed LU Care Pathways INT'!I164</f>
        <v>0.84871698113207583</v>
      </c>
      <c r="I51" s="368">
        <f>'Mixed LU Care Pathways INT'!J164</f>
        <v>0</v>
      </c>
      <c r="J51" s="78"/>
    </row>
    <row r="52" spans="1:10">
      <c r="B52" s="6" t="s">
        <v>2831</v>
      </c>
      <c r="E52" s="368">
        <f>'Mixed LU Care Pathways'!I157</f>
        <v>483.47568520872056</v>
      </c>
      <c r="F52" s="368">
        <f>'Mixed LU Care Pathways'!J157</f>
        <v>1827.5666735751297</v>
      </c>
      <c r="H52" s="368">
        <f>'Mixed LU Care Pathways INT'!I165</f>
        <v>694.12449056603805</v>
      </c>
      <c r="I52" s="368">
        <f>'Mixed LU Care Pathways INT'!J165</f>
        <v>2541.0059999999999</v>
      </c>
      <c r="J52" s="78"/>
    </row>
    <row r="53" spans="1:10">
      <c r="B53" s="6" t="s">
        <v>2832</v>
      </c>
      <c r="E53" s="368">
        <f>'Mixed LU Care Pathways'!I158</f>
        <v>195.41581308045758</v>
      </c>
      <c r="F53" s="368">
        <f>'Mixed LU Care Pathways'!J158</f>
        <v>737.96567875647668</v>
      </c>
      <c r="H53" s="368">
        <f>'Mixed LU Care Pathways INT'!I166</f>
        <v>62.482528301886816</v>
      </c>
      <c r="I53" s="368">
        <f>'Mixed LU Care Pathways INT'!J166</f>
        <v>226.90199999999999</v>
      </c>
      <c r="J53" s="78"/>
    </row>
    <row r="54" spans="1:10">
      <c r="B54" s="6" t="s">
        <v>2871</v>
      </c>
      <c r="E54" s="368">
        <f>'Mixed LU Care Pathways'!I159</f>
        <v>7.4515201877016342</v>
      </c>
      <c r="F54" s="368">
        <f>'Mixed LU Care Pathways'!J159</f>
        <v>28.209326424870465</v>
      </c>
      <c r="H54" s="368">
        <f>'Mixed LU Care Pathways INT'!I167</f>
        <v>18.543396226415101</v>
      </c>
      <c r="I54" s="368">
        <f>'Mixed LU Care Pathways INT'!J167</f>
        <v>70.2</v>
      </c>
      <c r="J54" s="78"/>
    </row>
    <row r="55" spans="1:10">
      <c r="B55" s="52"/>
      <c r="C55" s="78"/>
      <c r="E55" s="111"/>
      <c r="F55" s="111"/>
      <c r="H55" s="112"/>
      <c r="J55" s="78"/>
    </row>
    <row r="56" spans="1:10">
      <c r="B56" s="52"/>
      <c r="C56" s="111"/>
      <c r="E56" s="111"/>
      <c r="F56" s="111"/>
      <c r="H56" s="112"/>
      <c r="J56" s="78"/>
    </row>
    <row r="57" spans="1:10" s="588" customFormat="1">
      <c r="A57" s="593"/>
      <c r="B57" s="608" t="s">
        <v>2925</v>
      </c>
      <c r="C57" s="643"/>
      <c r="E57" s="643"/>
      <c r="F57" s="643"/>
      <c r="H57" s="644"/>
      <c r="J57" s="642"/>
    </row>
    <row r="58" spans="1:10">
      <c r="A58" s="9"/>
      <c r="B58" s="114"/>
      <c r="C58" s="111"/>
      <c r="E58" s="111"/>
      <c r="F58" s="111"/>
      <c r="H58" s="112"/>
      <c r="J58" s="78"/>
    </row>
    <row r="59" spans="1:10">
      <c r="B59" s="369"/>
      <c r="C59" s="546" t="s">
        <v>20</v>
      </c>
      <c r="E59" s="111"/>
      <c r="F59" s="546" t="s">
        <v>3200</v>
      </c>
      <c r="H59" s="112"/>
      <c r="J59" s="78"/>
    </row>
    <row r="60" spans="1:10">
      <c r="B60" s="7" t="s">
        <v>9</v>
      </c>
      <c r="C60" s="7" t="s">
        <v>97</v>
      </c>
      <c r="D60" s="7" t="s">
        <v>2797</v>
      </c>
      <c r="E60" s="111"/>
      <c r="F60" s="520" t="s">
        <v>97</v>
      </c>
      <c r="G60" s="520" t="s">
        <v>2797</v>
      </c>
      <c r="H60" s="112"/>
      <c r="J60" s="78"/>
    </row>
    <row r="61" spans="1:10">
      <c r="B61" s="6" t="s">
        <v>11</v>
      </c>
      <c r="C61" s="68">
        <f t="shared" ref="C61:C78" si="6">INDEX(E$27:E$54, MATCH($B61, $B$27:$B$54,0))</f>
        <v>4.0273913755011863</v>
      </c>
      <c r="D61" s="68">
        <f t="shared" ref="D61:D78" si="7">INDEX(F$27:F$54, MATCH($B61, $B$27:$B$54,0))</f>
        <v>9.7808076262171681</v>
      </c>
      <c r="E61" s="78"/>
      <c r="F61" s="68">
        <f>INDEX(E$27:E$38, MATCH($B61, $B$27:$B$38,0))</f>
        <v>4.0273913755011863</v>
      </c>
      <c r="G61" s="68">
        <f>INDEX(F$27:F$38, MATCH($B61, $B$27:$B$38,0))</f>
        <v>9.7808076262171681</v>
      </c>
      <c r="H61" s="112"/>
      <c r="J61" s="78"/>
    </row>
    <row r="62" spans="1:10">
      <c r="B62" s="6" t="s">
        <v>14</v>
      </c>
      <c r="C62" s="68">
        <f t="shared" si="6"/>
        <v>0</v>
      </c>
      <c r="D62" s="68">
        <f t="shared" si="7"/>
        <v>0</v>
      </c>
      <c r="E62" s="78"/>
      <c r="F62" s="68">
        <f t="shared" ref="F62:G62" si="8">INDEX(E$27:E$38, MATCH($B62, $B$27:$B$38,0))</f>
        <v>0</v>
      </c>
      <c r="G62" s="68">
        <f t="shared" si="8"/>
        <v>0</v>
      </c>
      <c r="H62" s="112"/>
      <c r="J62" s="78"/>
    </row>
    <row r="63" spans="1:10">
      <c r="B63" s="6" t="s">
        <v>15</v>
      </c>
      <c r="C63" s="68">
        <f t="shared" si="6"/>
        <v>0.11615970411283452</v>
      </c>
      <c r="D63" s="68">
        <f t="shared" si="7"/>
        <v>0.22636250032244676</v>
      </c>
      <c r="E63" s="78"/>
      <c r="F63" s="68">
        <f t="shared" ref="F63:G63" si="9">INDEX(E$27:E$38, MATCH($B63, $B$27:$B$38,0))</f>
        <v>0.11615970411283452</v>
      </c>
      <c r="G63" s="68">
        <f t="shared" si="9"/>
        <v>0.22636250032244676</v>
      </c>
      <c r="H63" s="112"/>
      <c r="J63" s="78"/>
    </row>
    <row r="64" spans="1:10" ht="29">
      <c r="B64" s="6" t="s">
        <v>16</v>
      </c>
      <c r="C64" s="68">
        <f t="shared" si="6"/>
        <v>0.14429605778467353</v>
      </c>
      <c r="D64" s="68">
        <f t="shared" si="7"/>
        <v>1.4429605778467351</v>
      </c>
      <c r="E64" s="78"/>
      <c r="F64" s="68">
        <f t="shared" ref="F64:G64" si="10">INDEX(E$27:E$38, MATCH($B64, $B$27:$B$38,0))</f>
        <v>0.14429605778467353</v>
      </c>
      <c r="G64" s="68">
        <f t="shared" si="10"/>
        <v>1.4429605778467351</v>
      </c>
      <c r="H64" s="112"/>
      <c r="J64" s="78"/>
    </row>
    <row r="65" spans="2:10">
      <c r="B65" s="6" t="s">
        <v>103</v>
      </c>
      <c r="C65" s="68">
        <f t="shared" si="6"/>
        <v>0.46029738186707048</v>
      </c>
      <c r="D65" s="68">
        <f t="shared" si="7"/>
        <v>0.92059476373414095</v>
      </c>
      <c r="E65" s="78"/>
      <c r="F65" s="68">
        <f t="shared" ref="F65:G65" si="11">INDEX(E$27:E$38, MATCH($B65, $B$27:$B$38,0))</f>
        <v>0.46029738186707048</v>
      </c>
      <c r="G65" s="68">
        <f t="shared" si="11"/>
        <v>0.92059476373414095</v>
      </c>
      <c r="H65" s="112"/>
      <c r="J65" s="78"/>
    </row>
    <row r="66" spans="2:10">
      <c r="B66" s="6" t="s">
        <v>104</v>
      </c>
      <c r="C66" s="68">
        <f t="shared" si="6"/>
        <v>70.877766393796875</v>
      </c>
      <c r="D66" s="68">
        <f t="shared" si="7"/>
        <v>35.438883196898438</v>
      </c>
      <c r="E66" s="78"/>
      <c r="F66" s="68">
        <f t="shared" ref="F66:G66" si="12">INDEX(E$27:E$38, MATCH($B66, $B$27:$B$38,0))</f>
        <v>70.877766393796875</v>
      </c>
      <c r="G66" s="68">
        <f t="shared" si="12"/>
        <v>35.438883196898438</v>
      </c>
      <c r="H66" s="112"/>
      <c r="J66" s="78"/>
    </row>
    <row r="67" spans="2:10">
      <c r="B67" s="6" t="s">
        <v>17</v>
      </c>
      <c r="C67" s="68">
        <f t="shared" si="6"/>
        <v>26.032468631640825</v>
      </c>
      <c r="D67" s="68">
        <f t="shared" si="7"/>
        <v>46.045673834205871</v>
      </c>
      <c r="E67" s="78"/>
      <c r="F67" s="68">
        <f t="shared" ref="F67:G67" si="13">INDEX(E$27:E$38, MATCH($B67, $B$27:$B$38,0))</f>
        <v>26.032468631640825</v>
      </c>
      <c r="G67" s="68">
        <f t="shared" si="13"/>
        <v>46.045673834205871</v>
      </c>
      <c r="H67" s="112"/>
      <c r="J67" s="78"/>
    </row>
    <row r="68" spans="2:10" ht="29">
      <c r="B68" s="6" t="s">
        <v>106</v>
      </c>
      <c r="C68" s="68">
        <f t="shared" si="6"/>
        <v>25.002031102977824</v>
      </c>
      <c r="D68" s="68">
        <f t="shared" si="7"/>
        <v>89.081310818758013</v>
      </c>
      <c r="E68" s="78"/>
      <c r="F68" s="68">
        <f t="shared" ref="F68:G68" si="14">INDEX(E$27:E$38, MATCH($B68, $B$27:$B$38,0))</f>
        <v>25.002031102977824</v>
      </c>
      <c r="G68" s="68">
        <f t="shared" si="14"/>
        <v>89.081310818758013</v>
      </c>
      <c r="H68" s="112"/>
      <c r="J68" s="78"/>
    </row>
    <row r="69" spans="2:10" ht="29">
      <c r="B69" s="6" t="s">
        <v>107</v>
      </c>
      <c r="C69" s="68">
        <f t="shared" si="6"/>
        <v>15.873156724176971</v>
      </c>
      <c r="D69" s="68">
        <f t="shared" si="7"/>
        <v>57.66933863103349</v>
      </c>
      <c r="E69" s="78"/>
      <c r="F69" s="548">
        <f t="shared" ref="F69:G69" si="15">INDEX(E$27:E$38, MATCH($B69, $B$27:$B$38,0))</f>
        <v>15.873156724176971</v>
      </c>
      <c r="G69" s="548">
        <f t="shared" si="15"/>
        <v>57.66933863103349</v>
      </c>
      <c r="H69" s="112"/>
      <c r="J69" s="78"/>
    </row>
    <row r="70" spans="2:10">
      <c r="B70" s="6" t="s">
        <v>2863</v>
      </c>
      <c r="C70" s="68">
        <f t="shared" si="6"/>
        <v>20.623835370026402</v>
      </c>
      <c r="D70" s="68">
        <f t="shared" si="7"/>
        <v>78</v>
      </c>
      <c r="F70" s="547">
        <f>INDEX(H$46:H$54, MATCH($B70, $B$46:$B$54,0))</f>
        <v>21.028132075471706</v>
      </c>
      <c r="G70" s="547">
        <f>INDEX(I$46:I$54, MATCH($B70, $B$46:$B$54,0))</f>
        <v>78</v>
      </c>
      <c r="H70" s="112"/>
      <c r="J70" s="78"/>
    </row>
    <row r="71" spans="2:10">
      <c r="B71" s="6" t="s">
        <v>2862</v>
      </c>
      <c r="C71" s="68">
        <f t="shared" si="6"/>
        <v>41.247670740052804</v>
      </c>
      <c r="D71" s="68">
        <f t="shared" si="7"/>
        <v>156</v>
      </c>
      <c r="F71" s="547">
        <f t="shared" ref="F71:F78" si="16">INDEX(H$46:H$54, MATCH($B71, $B$46:$B$54,0))</f>
        <v>42.056264150943413</v>
      </c>
      <c r="G71" s="547">
        <f t="shared" ref="G71:G78" si="17">INDEX(I$46:I$54, MATCH($B71, $B$46:$B$54,0))</f>
        <v>156</v>
      </c>
      <c r="H71" s="112"/>
      <c r="J71" s="78"/>
    </row>
    <row r="72" spans="2:10">
      <c r="B72" s="6" t="s">
        <v>131</v>
      </c>
      <c r="C72" s="68">
        <f t="shared" si="6"/>
        <v>0</v>
      </c>
      <c r="D72" s="68">
        <f t="shared" si="7"/>
        <v>0</v>
      </c>
      <c r="F72" s="547">
        <f t="shared" si="16"/>
        <v>0</v>
      </c>
      <c r="G72" s="547">
        <f t="shared" si="17"/>
        <v>0</v>
      </c>
      <c r="H72" s="112"/>
      <c r="J72" s="78"/>
    </row>
    <row r="73" spans="2:10" ht="29">
      <c r="B73" s="6" t="s">
        <v>2869</v>
      </c>
      <c r="C73" s="68">
        <f t="shared" si="6"/>
        <v>13.152253397204035</v>
      </c>
      <c r="D73" s="68">
        <f t="shared" si="7"/>
        <v>49.790673575129539</v>
      </c>
      <c r="F73" s="547">
        <f t="shared" si="16"/>
        <v>2.0603773584905669</v>
      </c>
      <c r="G73" s="547">
        <f t="shared" si="17"/>
        <v>7.8000000000000007</v>
      </c>
      <c r="H73" s="112"/>
      <c r="J73" s="78"/>
    </row>
    <row r="74" spans="2:10" ht="29">
      <c r="B74" s="6" t="s">
        <v>2870</v>
      </c>
      <c r="C74" s="68">
        <f t="shared" si="6"/>
        <v>7.4515201877016342</v>
      </c>
      <c r="D74" s="68">
        <f t="shared" si="7"/>
        <v>28.209326424870465</v>
      </c>
      <c r="F74" s="547">
        <f t="shared" si="16"/>
        <v>18.543396226415101</v>
      </c>
      <c r="G74" s="547">
        <f t="shared" si="17"/>
        <v>70.2</v>
      </c>
      <c r="H74" s="112"/>
      <c r="J74" s="78"/>
    </row>
    <row r="75" spans="2:10">
      <c r="B75" s="6" t="s">
        <v>102</v>
      </c>
      <c r="C75" s="68">
        <f t="shared" si="6"/>
        <v>4.0123570241470341E-2</v>
      </c>
      <c r="D75" s="68">
        <f t="shared" si="7"/>
        <v>0</v>
      </c>
      <c r="F75" s="547">
        <f t="shared" si="16"/>
        <v>0.84871698113207583</v>
      </c>
      <c r="G75" s="547">
        <f t="shared" si="17"/>
        <v>0</v>
      </c>
      <c r="H75" s="112"/>
      <c r="J75" s="78"/>
    </row>
    <row r="76" spans="2:10">
      <c r="B76" s="6" t="s">
        <v>2831</v>
      </c>
      <c r="C76" s="68">
        <f t="shared" si="6"/>
        <v>483.47568520872056</v>
      </c>
      <c r="D76" s="68">
        <f t="shared" si="7"/>
        <v>1827.5666735751297</v>
      </c>
      <c r="F76" s="547">
        <f t="shared" si="16"/>
        <v>694.12449056603805</v>
      </c>
      <c r="G76" s="547">
        <f t="shared" si="17"/>
        <v>2541.0059999999999</v>
      </c>
      <c r="H76" s="112"/>
      <c r="J76" s="78"/>
    </row>
    <row r="77" spans="2:10">
      <c r="B77" s="6" t="s">
        <v>2832</v>
      </c>
      <c r="C77" s="68">
        <f t="shared" si="6"/>
        <v>195.41581308045758</v>
      </c>
      <c r="D77" s="68">
        <f t="shared" si="7"/>
        <v>737.96567875647668</v>
      </c>
      <c r="F77" s="547">
        <f t="shared" si="16"/>
        <v>62.482528301886816</v>
      </c>
      <c r="G77" s="547">
        <f t="shared" si="17"/>
        <v>226.90199999999999</v>
      </c>
      <c r="H77" s="112"/>
      <c r="J77" s="78"/>
    </row>
    <row r="78" spans="2:10">
      <c r="B78" s="6" t="s">
        <v>2871</v>
      </c>
      <c r="C78" s="68">
        <f t="shared" si="6"/>
        <v>7.4515201877016342</v>
      </c>
      <c r="D78" s="68">
        <f t="shared" si="7"/>
        <v>28.209326424870465</v>
      </c>
      <c r="E78" s="111"/>
      <c r="F78" s="547">
        <f t="shared" si="16"/>
        <v>18.543396226415101</v>
      </c>
      <c r="G78" s="547">
        <f t="shared" si="17"/>
        <v>70.2</v>
      </c>
      <c r="H78" s="112"/>
      <c r="J78" s="78"/>
    </row>
    <row r="79" spans="2:10">
      <c r="C79" s="373" t="b">
        <f>SUM(C61:C78)=SUM(E27:E33,E37:E38,E46:E54)</f>
        <v>1</v>
      </c>
      <c r="D79" s="373" t="b">
        <f>SUM(D61:D78)=SUM(F27:F33,F37:F38,F46:F54)</f>
        <v>1</v>
      </c>
      <c r="F79" s="373" t="b">
        <f>SUM(F61:F78)=SUM(E27:E33,E37:E38,H46:H54)</f>
        <v>1</v>
      </c>
      <c r="G79" s="373" t="b">
        <f>SUM(G61:G78)=SUM(F27:F33,F37:F38,I46:I54)</f>
        <v>1</v>
      </c>
      <c r="H79" s="112"/>
      <c r="J79" s="78"/>
    </row>
    <row r="80" spans="2:10">
      <c r="C80" s="373"/>
      <c r="D80" s="373"/>
      <c r="H80" s="112"/>
      <c r="J80" s="78"/>
    </row>
    <row r="82" spans="1:53" s="588" customFormat="1">
      <c r="A82" s="593" t="s">
        <v>10</v>
      </c>
      <c r="B82" s="608" t="s">
        <v>2929</v>
      </c>
      <c r="C82" s="642"/>
      <c r="E82" s="643"/>
      <c r="F82" s="643"/>
      <c r="H82" s="644"/>
      <c r="J82" s="642"/>
    </row>
    <row r="83" spans="1:53">
      <c r="B83" s="410" t="s">
        <v>3447</v>
      </c>
      <c r="C83" s="78"/>
      <c r="E83" s="111"/>
      <c r="F83" s="111"/>
      <c r="H83" s="112"/>
      <c r="J83" s="78"/>
    </row>
    <row r="84" spans="1:53">
      <c r="B84" s="410"/>
      <c r="C84" s="78"/>
      <c r="E84" s="111"/>
      <c r="F84" s="111"/>
      <c r="H84" s="112"/>
      <c r="J84" s="78"/>
    </row>
    <row r="85" spans="1:53">
      <c r="B85" s="392"/>
      <c r="C85" s="78"/>
      <c r="E85" s="111"/>
      <c r="F85" s="111"/>
      <c r="H85" s="112"/>
      <c r="J85" s="78"/>
    </row>
    <row r="86" spans="1:53">
      <c r="B86" s="52"/>
      <c r="C86" s="34">
        <f>'Prevalence projection'!C$21</f>
        <v>2020</v>
      </c>
      <c r="D86" s="34">
        <f>'Prevalence projection'!D$21</f>
        <v>2021</v>
      </c>
      <c r="E86" s="34">
        <f>'Prevalence projection'!E$21</f>
        <v>2022</v>
      </c>
      <c r="F86" s="34">
        <f>'Prevalence projection'!F$21</f>
        <v>2023</v>
      </c>
      <c r="G86" s="34">
        <f>'Prevalence projection'!G$21</f>
        <v>2024</v>
      </c>
      <c r="H86" s="34">
        <f>'Prevalence projection'!H$21</f>
        <v>2025</v>
      </c>
      <c r="I86" s="34">
        <f>'Prevalence projection'!I$21</f>
        <v>2026</v>
      </c>
      <c r="J86" s="34">
        <f>'Prevalence projection'!J$21</f>
        <v>2027</v>
      </c>
      <c r="K86" s="34">
        <f>'Prevalence projection'!K$21</f>
        <v>2028</v>
      </c>
      <c r="L86" s="34">
        <f>'Prevalence projection'!L$21</f>
        <v>2029</v>
      </c>
      <c r="M86" s="34">
        <f>'Prevalence projection'!M$21</f>
        <v>2030</v>
      </c>
      <c r="N86" s="34">
        <f>'Prevalence projection'!N$21</f>
        <v>2031</v>
      </c>
      <c r="O86" s="34">
        <f>'Prevalence projection'!O$21</f>
        <v>2032</v>
      </c>
      <c r="P86" s="34">
        <f>'Prevalence projection'!P$21</f>
        <v>2033</v>
      </c>
      <c r="Q86" s="34">
        <f>'Prevalence projection'!Q$21</f>
        <v>2034</v>
      </c>
      <c r="R86" s="34">
        <f>'Prevalence projection'!R$21</f>
        <v>2035</v>
      </c>
      <c r="S86" s="34">
        <f>'Prevalence projection'!S$21</f>
        <v>2036</v>
      </c>
      <c r="T86" s="34">
        <f>'Prevalence projection'!T$21</f>
        <v>2037</v>
      </c>
      <c r="U86" s="34">
        <f>'Prevalence projection'!U$21</f>
        <v>2038</v>
      </c>
      <c r="V86" s="34">
        <f>'Prevalence projection'!V$21</f>
        <v>2039</v>
      </c>
      <c r="W86" s="34">
        <f>'Prevalence projection'!W$21</f>
        <v>2040</v>
      </c>
      <c r="X86" s="34">
        <f>'Prevalence projection'!X$21</f>
        <v>2041</v>
      </c>
      <c r="Y86" s="34">
        <f>'Prevalence projection'!Y$21</f>
        <v>2042</v>
      </c>
      <c r="Z86" s="34">
        <f>'Prevalence projection'!Z$21</f>
        <v>2043</v>
      </c>
      <c r="AA86" s="34">
        <f>'Prevalence projection'!AA$21</f>
        <v>2044</v>
      </c>
      <c r="AB86" s="34">
        <f>'Prevalence projection'!AB$21</f>
        <v>2045</v>
      </c>
      <c r="AC86" s="34">
        <f>'Prevalence projection'!AC$21</f>
        <v>2046</v>
      </c>
      <c r="AD86" s="34">
        <f>'Prevalence projection'!AD$21</f>
        <v>2047</v>
      </c>
      <c r="AE86" s="34">
        <f>'Prevalence projection'!AE$21</f>
        <v>2048</v>
      </c>
      <c r="AF86" s="34">
        <f>'Prevalence projection'!AF$21</f>
        <v>2049</v>
      </c>
      <c r="AG86" s="34">
        <f>'Prevalence projection'!AG$21</f>
        <v>2050</v>
      </c>
      <c r="AH86" s="34">
        <f>'Prevalence projection'!AH$21</f>
        <v>2051</v>
      </c>
      <c r="AI86" s="34">
        <f>'Prevalence projection'!AI$21</f>
        <v>2052</v>
      </c>
      <c r="AJ86" s="34">
        <f>'Prevalence projection'!AJ$21</f>
        <v>2053</v>
      </c>
      <c r="AK86" s="34">
        <f>'Prevalence projection'!AK$21</f>
        <v>2054</v>
      </c>
      <c r="AL86" s="34">
        <f>'Prevalence projection'!AL$21</f>
        <v>2055</v>
      </c>
      <c r="AM86" s="34">
        <f>'Prevalence projection'!AM$21</f>
        <v>2056</v>
      </c>
      <c r="AN86" s="34">
        <f>'Prevalence projection'!AN$21</f>
        <v>2057</v>
      </c>
      <c r="AO86" s="34">
        <f>'Prevalence projection'!AO$21</f>
        <v>2058</v>
      </c>
      <c r="AP86" s="34">
        <f>'Prevalence projection'!AP$21</f>
        <v>2059</v>
      </c>
      <c r="AQ86" s="34">
        <f>'Prevalence projection'!AQ$21</f>
        <v>2060</v>
      </c>
      <c r="AR86" s="34">
        <f>'Prevalence projection'!AR$21</f>
        <v>2061</v>
      </c>
      <c r="AS86" s="34">
        <f>'Prevalence projection'!AS$21</f>
        <v>2062</v>
      </c>
      <c r="AT86" s="34">
        <f>'Prevalence projection'!AT$21</f>
        <v>2063</v>
      </c>
      <c r="AU86" s="34">
        <f>'Prevalence projection'!AU$21</f>
        <v>2064</v>
      </c>
      <c r="AV86" s="34">
        <f>'Prevalence projection'!AV$21</f>
        <v>2065</v>
      </c>
      <c r="AW86" s="34">
        <f>'Prevalence projection'!AW$21</f>
        <v>2066</v>
      </c>
      <c r="AX86" s="34">
        <f>'Prevalence projection'!AX$21</f>
        <v>2067</v>
      </c>
      <c r="AY86" s="34">
        <f>'Prevalence projection'!AY$21</f>
        <v>2068</v>
      </c>
      <c r="AZ86" s="34">
        <f>'Prevalence projection'!AZ$21</f>
        <v>2069</v>
      </c>
      <c r="BA86" s="34">
        <f>'Prevalence projection'!BA$21</f>
        <v>2070</v>
      </c>
    </row>
    <row r="87" spans="1:53" ht="43.5">
      <c r="B87" s="411" t="s">
        <v>2982</v>
      </c>
      <c r="C87" s="397">
        <f>'Wound maintenance vols INT'!C201</f>
        <v>0</v>
      </c>
      <c r="D87" s="397">
        <f>'Wound maintenance vols INT'!D201</f>
        <v>0.65790116580310876</v>
      </c>
      <c r="E87" s="397">
        <f>'Wound maintenance vols INT'!E201</f>
        <v>1.3410916728070064</v>
      </c>
      <c r="F87" s="397">
        <f>'Wound maintenance vols INT'!F201</f>
        <v>2.0461223736772496</v>
      </c>
      <c r="G87" s="397">
        <f>'Wound maintenance vols INT'!G201</f>
        <v>2.7705430906933826</v>
      </c>
      <c r="H87" s="397">
        <f>'Wound maintenance vols INT'!H201</f>
        <v>26.055993000873009</v>
      </c>
      <c r="I87" s="397">
        <f>'Wound maintenance vols INT'!I201</f>
        <v>47.391361027824232</v>
      </c>
      <c r="J87" s="397">
        <f>'Wound maintenance vols INT'!J201</f>
        <v>67.496998617618274</v>
      </c>
      <c r="K87" s="397">
        <f>'Wound maintenance vols INT'!K201</f>
        <v>86.865139396374104</v>
      </c>
      <c r="L87" s="397">
        <f>'Wound maintenance vols INT'!L201</f>
        <v>105.86168371073001</v>
      </c>
      <c r="M87" s="397">
        <f>'Wound maintenance vols INT'!M201</f>
        <v>124.71723084100007</v>
      </c>
      <c r="N87" s="397">
        <f>'Wound maintenance vols INT'!N201</f>
        <v>142.92114134018018</v>
      </c>
      <c r="O87" s="397">
        <f>'Wound maintenance vols INT'!O201</f>
        <v>161.21095196720842</v>
      </c>
      <c r="P87" s="397">
        <f>'Wound maintenance vols INT'!P201</f>
        <v>179.64624683933317</v>
      </c>
      <c r="Q87" s="397">
        <f>'Wound maintenance vols INT'!Q201</f>
        <v>198.26337053259843</v>
      </c>
      <c r="R87" s="397">
        <f>'Wound maintenance vols INT'!R201</f>
        <v>194.5444083853053</v>
      </c>
      <c r="S87" s="397">
        <f>'Wound maintenance vols INT'!S201</f>
        <v>193.01488797565972</v>
      </c>
      <c r="T87" s="397">
        <f>'Wound maintenance vols INT'!T201</f>
        <v>192.96082967818447</v>
      </c>
      <c r="U87" s="397">
        <f>'Wound maintenance vols INT'!U201</f>
        <v>193.89545368542608</v>
      </c>
      <c r="V87" s="397">
        <f>'Wound maintenance vols INT'!V201</f>
        <v>195.46618654869488</v>
      </c>
      <c r="W87" s="397">
        <f>'Wound maintenance vols INT'!W201</f>
        <v>197.4413269085515</v>
      </c>
      <c r="X87" s="397">
        <f>'Wound maintenance vols INT'!X201</f>
        <v>199.66914065013174</v>
      </c>
      <c r="Y87" s="397">
        <f>'Wound maintenance vols INT'!Y201</f>
        <v>202.04435627453486</v>
      </c>
      <c r="Z87" s="397">
        <f>'Wound maintenance vols INT'!Z201</f>
        <v>204.50828308985709</v>
      </c>
      <c r="AA87" s="397">
        <f>'Wound maintenance vols INT'!AA201</f>
        <v>207.02216156640407</v>
      </c>
      <c r="AB87" s="397">
        <f>'Wound maintenance vols INT'!AB201</f>
        <v>209.55575618008487</v>
      </c>
      <c r="AC87" s="397">
        <f>'Wound maintenance vols INT'!AC201</f>
        <v>212.08919370738576</v>
      </c>
      <c r="AD87" s="397">
        <f>'Wound maintenance vols INT'!AD201</f>
        <v>214.60824514116968</v>
      </c>
      <c r="AE87" s="397">
        <f>'Wound maintenance vols INT'!AE201</f>
        <v>217.09749995978345</v>
      </c>
      <c r="AF87" s="397">
        <f>'Wound maintenance vols INT'!AF201</f>
        <v>219.53222455375973</v>
      </c>
      <c r="AG87" s="397">
        <f>'Wound maintenance vols INT'!AG201</f>
        <v>221.90263298583955</v>
      </c>
      <c r="AH87" s="397">
        <f>'Wound maintenance vols INT'!AH201</f>
        <v>224.20650465724358</v>
      </c>
      <c r="AI87" s="397">
        <f>'Wound maintenance vols INT'!AI201</f>
        <v>226.43800607316669</v>
      </c>
      <c r="AJ87" s="397">
        <f>'Wound maintenance vols INT'!AJ201</f>
        <v>228.59596744001027</v>
      </c>
      <c r="AK87" s="397">
        <f>'Wound maintenance vols INT'!AK201</f>
        <v>230.6790198506344</v>
      </c>
      <c r="AL87" s="397">
        <f>'Wound maintenance vols INT'!AL201</f>
        <v>232.68354370419996</v>
      </c>
      <c r="AM87" s="397">
        <f>'Wound maintenance vols INT'!AM201</f>
        <v>234.60274820120367</v>
      </c>
      <c r="AN87" s="397">
        <f>'Wound maintenance vols INT'!AN201</f>
        <v>236.43092940494813</v>
      </c>
      <c r="AO87" s="397">
        <f>'Wound maintenance vols INT'!AO201</f>
        <v>238.16349807119701</v>
      </c>
      <c r="AP87" s="397">
        <f>'Wound maintenance vols INT'!AP201</f>
        <v>239.79640829989839</v>
      </c>
      <c r="AQ87" s="397">
        <f>'Wound maintenance vols INT'!AQ201</f>
        <v>241.33183857460949</v>
      </c>
      <c r="AR87" s="397">
        <f>'Wound maintenance vols INT'!AR201</f>
        <v>242.77405617468895</v>
      </c>
      <c r="AS87" s="397">
        <f>'Wound maintenance vols INT'!AS201</f>
        <v>244.13134327076213</v>
      </c>
      <c r="AT87" s="397">
        <f>'Wound maintenance vols INT'!AT201</f>
        <v>245.38305695269943</v>
      </c>
      <c r="AU87" s="397">
        <f>'Wound maintenance vols INT'!AU201</f>
        <v>246.51900191310727</v>
      </c>
      <c r="AV87" s="397">
        <f>'Wound maintenance vols INT'!AV201</f>
        <v>247.53827985364595</v>
      </c>
      <c r="AW87" s="397">
        <f>'Wound maintenance vols INT'!AW201</f>
        <v>248.43016662236616</v>
      </c>
      <c r="AX87" s="397">
        <f>'Wound maintenance vols INT'!AX201</f>
        <v>249.19431348653688</v>
      </c>
      <c r="AY87" s="397">
        <f>'Wound maintenance vols INT'!AY201</f>
        <v>249.83708599523905</v>
      </c>
      <c r="AZ87" s="397">
        <f>'Wound maintenance vols INT'!AZ201</f>
        <v>250.36933880477594</v>
      </c>
      <c r="BA87" s="397">
        <f>'Wound maintenance vols INT'!BA201</f>
        <v>250.79738821935425</v>
      </c>
    </row>
    <row r="88" spans="1:53">
      <c r="B88" s="408"/>
      <c r="C88" s="409"/>
      <c r="D88" s="409"/>
      <c r="E88" s="409"/>
      <c r="F88" s="409"/>
      <c r="G88" s="409"/>
      <c r="H88" s="409"/>
      <c r="I88" s="409"/>
      <c r="J88" s="409"/>
      <c r="K88" s="409"/>
      <c r="L88" s="409"/>
      <c r="M88" s="409"/>
      <c r="N88" s="409"/>
      <c r="O88" s="409"/>
      <c r="P88" s="409"/>
      <c r="Q88" s="409"/>
      <c r="R88" s="409"/>
      <c r="S88" s="409"/>
      <c r="T88" s="409"/>
      <c r="U88" s="409"/>
      <c r="V88" s="409"/>
      <c r="W88" s="409"/>
      <c r="X88" s="409"/>
      <c r="Y88" s="409"/>
      <c r="Z88" s="409"/>
      <c r="AA88" s="409"/>
      <c r="AB88" s="409"/>
      <c r="AC88" s="409"/>
      <c r="AD88" s="409"/>
      <c r="AE88" s="409"/>
    </row>
    <row r="89" spans="1:53">
      <c r="B89" s="52"/>
      <c r="C89" s="78"/>
      <c r="E89" s="111"/>
      <c r="F89" s="111"/>
      <c r="H89" s="112"/>
      <c r="J89" s="78"/>
    </row>
    <row r="90" spans="1:53">
      <c r="B90" s="114" t="s">
        <v>2926</v>
      </c>
      <c r="C90" s="78"/>
      <c r="E90" s="111"/>
      <c r="F90" s="111"/>
      <c r="H90" s="112"/>
      <c r="J90" s="78"/>
    </row>
    <row r="91" spans="1:53">
      <c r="B91" s="114"/>
      <c r="C91" s="78"/>
      <c r="E91" s="111"/>
      <c r="F91" s="111"/>
      <c r="H91" s="112"/>
      <c r="J91" s="78"/>
    </row>
    <row r="92" spans="1:53">
      <c r="B92" s="7" t="s">
        <v>125</v>
      </c>
      <c r="C92" s="344" t="s">
        <v>20</v>
      </c>
      <c r="E92" s="543" t="s">
        <v>2602</v>
      </c>
      <c r="F92" s="111"/>
      <c r="H92" s="112"/>
      <c r="J92" s="78"/>
    </row>
    <row r="93" spans="1:53">
      <c r="B93" s="6" t="s">
        <v>2863</v>
      </c>
      <c r="C93" s="368">
        <f>SUMIFS('Mixed LU Care Pathways'!$J$79:$J$85, 'Mixed LU Care Pathways'!$K$79:$K$85, B93)</f>
        <v>4</v>
      </c>
      <c r="E93" s="368">
        <f>SUMIFS('Mixed LU Care Pathways INT'!$J$84:$J$90, 'Mixed LU Care Pathways INT'!$K$84:$K$90, B93)</f>
        <v>4</v>
      </c>
      <c r="F93" s="111"/>
      <c r="H93" s="112"/>
      <c r="J93" s="78"/>
    </row>
    <row r="94" spans="1:53">
      <c r="B94" s="6" t="s">
        <v>2862</v>
      </c>
      <c r="C94" s="368">
        <f>SUMIFS('Mixed LU Care Pathways'!$J$79:$J$85, 'Mixed LU Care Pathways'!$K$79:$K$85, B94)</f>
        <v>8</v>
      </c>
      <c r="E94" s="368">
        <f>SUMIFS('Mixed LU Care Pathways INT'!$J$84:$J$90, 'Mixed LU Care Pathways INT'!$K$84:$K$90, B94)</f>
        <v>8</v>
      </c>
      <c r="F94" s="111"/>
      <c r="H94" s="112"/>
      <c r="J94" s="78"/>
    </row>
    <row r="95" spans="1:53">
      <c r="B95" s="6" t="s">
        <v>131</v>
      </c>
      <c r="C95" s="368">
        <f>SUMIFS('Mixed LU Care Pathways'!$J$79:$J$85, 'Mixed LU Care Pathways'!$K$79:$K$85, B95)</f>
        <v>0</v>
      </c>
      <c r="E95" s="368">
        <f>SUMIFS('Mixed LU Care Pathways INT'!$J$84:$J$90, 'Mixed LU Care Pathways INT'!$K$84:$K$90, B95)</f>
        <v>0</v>
      </c>
      <c r="F95" s="111"/>
      <c r="H95" s="112"/>
      <c r="J95" s="78"/>
    </row>
    <row r="96" spans="1:53" ht="29">
      <c r="B96" s="6" t="s">
        <v>2869</v>
      </c>
      <c r="C96" s="368">
        <f>SUMIFS('Mixed LU Care Pathways'!$J$79:$J$85, 'Mixed LU Care Pathways'!$K$79:$K$85, B96)</f>
        <v>0</v>
      </c>
      <c r="E96" s="368">
        <f>SUMIFS('Mixed LU Care Pathways INT'!$J$84:$J$90, 'Mixed LU Care Pathways INT'!$K$84:$K$90, B96)</f>
        <v>0</v>
      </c>
      <c r="F96" s="111"/>
      <c r="H96" s="112"/>
      <c r="J96" s="78"/>
    </row>
    <row r="97" spans="2:54" ht="29">
      <c r="B97" s="6" t="s">
        <v>2870</v>
      </c>
      <c r="C97" s="368">
        <f>SUMIFS('Mixed LU Care Pathways'!$J$79:$J$85, 'Mixed LU Care Pathways'!$K$79:$K$85, B97)</f>
        <v>0</v>
      </c>
      <c r="E97" s="368">
        <f>SUMIFS('Mixed LU Care Pathways INT'!$J$84:$J$90, 'Mixed LU Care Pathways INT'!$K$84:$K$90, B97)</f>
        <v>0</v>
      </c>
      <c r="F97" s="111"/>
      <c r="H97" s="112"/>
      <c r="J97" s="78"/>
    </row>
    <row r="98" spans="2:54">
      <c r="B98" s="6" t="s">
        <v>102</v>
      </c>
      <c r="C98" s="368">
        <f>SUMIFS('Mixed LU Care Pathways'!$J$79:$J$85, 'Mixed LU Care Pathways'!$K$79:$K$85, B98)</f>
        <v>8</v>
      </c>
      <c r="E98" s="368">
        <f>SUMIFS('Mixed LU Care Pathways INT'!$J$84:$J$90, 'Mixed LU Care Pathways INT'!$K$84:$K$90, B98)</f>
        <v>8</v>
      </c>
      <c r="F98" s="111"/>
      <c r="H98" s="112"/>
      <c r="J98" s="78"/>
    </row>
    <row r="99" spans="2:54">
      <c r="B99" s="6" t="s">
        <v>2831</v>
      </c>
      <c r="C99" s="368">
        <f>SUMIFS('Mixed LU Care Pathways'!$J$79:$J$85, 'Mixed LU Care Pathways'!$K$79:$K$85, B99)</f>
        <v>144</v>
      </c>
      <c r="E99" s="368">
        <f>SUMIFS('Mixed LU Care Pathways INT'!$J$84:$J$90, 'Mixed LU Care Pathways INT'!$K$84:$K$90, B99)</f>
        <v>216.00000000000003</v>
      </c>
      <c r="F99" s="111"/>
      <c r="H99" s="112"/>
      <c r="J99" s="78"/>
    </row>
    <row r="100" spans="2:54">
      <c r="B100" s="6" t="s">
        <v>2832</v>
      </c>
      <c r="C100" s="368">
        <f>SUMIFS('Mixed LU Care Pathways'!$J$79:$J$85, 'Mixed LU Care Pathways'!$K$79:$K$85, B100)</f>
        <v>96</v>
      </c>
      <c r="E100" s="368">
        <f>SUMIFS('Mixed LU Care Pathways INT'!$J$84:$J$90, 'Mixed LU Care Pathways INT'!$K$84:$K$90, B100)</f>
        <v>24</v>
      </c>
      <c r="F100" s="111"/>
      <c r="H100" s="112"/>
      <c r="J100" s="78"/>
    </row>
    <row r="101" spans="2:54">
      <c r="B101" s="6" t="s">
        <v>2871</v>
      </c>
      <c r="C101" s="368">
        <f>SUMIFS('Mixed LU Care Pathways'!$J$79:$J$85, 'Mixed LU Care Pathways'!$K$79:$K$85, B101)</f>
        <v>0</v>
      </c>
      <c r="E101" s="368">
        <f>SUMIFS('Mixed LU Care Pathways INT'!$J$84:$J$90, 'Mixed LU Care Pathways INT'!$K$84:$K$90, B101)</f>
        <v>0</v>
      </c>
      <c r="F101" s="111"/>
      <c r="H101" s="112"/>
      <c r="J101" s="78"/>
    </row>
    <row r="102" spans="2:54">
      <c r="B102" s="52"/>
      <c r="C102" s="52"/>
      <c r="D102" s="111"/>
      <c r="F102" s="111"/>
      <c r="H102" s="112"/>
      <c r="J102" s="78"/>
    </row>
    <row r="103" spans="2:54">
      <c r="B103" s="52"/>
      <c r="C103" s="52"/>
      <c r="F103" s="111"/>
      <c r="H103" s="112"/>
      <c r="J103" s="78"/>
    </row>
    <row r="104" spans="2:54">
      <c r="B104" s="442" t="s">
        <v>2927</v>
      </c>
      <c r="C104" s="52"/>
      <c r="D104" s="52"/>
      <c r="F104" s="111"/>
      <c r="H104" s="112"/>
      <c r="J104" s="78"/>
    </row>
    <row r="105" spans="2:54">
      <c r="B105" s="7" t="s">
        <v>9</v>
      </c>
      <c r="D105" s="34">
        <f>'Prevalence projection'!C$21</f>
        <v>2020</v>
      </c>
      <c r="E105" s="34">
        <f>'Prevalence projection'!D$21</f>
        <v>2021</v>
      </c>
      <c r="F105" s="34">
        <f>'Prevalence projection'!E$21</f>
        <v>2022</v>
      </c>
      <c r="G105" s="34">
        <f>'Prevalence projection'!F$21</f>
        <v>2023</v>
      </c>
      <c r="H105" s="34">
        <f>'Prevalence projection'!G$21</f>
        <v>2024</v>
      </c>
      <c r="I105" s="34">
        <f>'Prevalence projection'!H$21</f>
        <v>2025</v>
      </c>
      <c r="J105" s="34">
        <f>'Prevalence projection'!I$21</f>
        <v>2026</v>
      </c>
      <c r="K105" s="34">
        <f>'Prevalence projection'!J$21</f>
        <v>2027</v>
      </c>
      <c r="L105" s="34">
        <f>'Prevalence projection'!K$21</f>
        <v>2028</v>
      </c>
      <c r="M105" s="34">
        <f>'Prevalence projection'!L$21</f>
        <v>2029</v>
      </c>
      <c r="N105" s="34">
        <f>'Prevalence projection'!M$21</f>
        <v>2030</v>
      </c>
      <c r="O105" s="34">
        <f>'Prevalence projection'!N$21</f>
        <v>2031</v>
      </c>
      <c r="P105" s="34">
        <f>'Prevalence projection'!O$21</f>
        <v>2032</v>
      </c>
      <c r="Q105" s="34">
        <f>'Prevalence projection'!P$21</f>
        <v>2033</v>
      </c>
      <c r="R105" s="34">
        <f>'Prevalence projection'!Q$21</f>
        <v>2034</v>
      </c>
      <c r="S105" s="34">
        <f>'Prevalence projection'!R$21</f>
        <v>2035</v>
      </c>
      <c r="T105" s="34">
        <f>'Prevalence projection'!S$21</f>
        <v>2036</v>
      </c>
      <c r="U105" s="34">
        <f>'Prevalence projection'!T$21</f>
        <v>2037</v>
      </c>
      <c r="V105" s="34">
        <f>'Prevalence projection'!U$21</f>
        <v>2038</v>
      </c>
      <c r="W105" s="34">
        <f>'Prevalence projection'!V$21</f>
        <v>2039</v>
      </c>
      <c r="X105" s="34">
        <f>'Prevalence projection'!W$21</f>
        <v>2040</v>
      </c>
      <c r="Y105" s="34">
        <f>'Prevalence projection'!X$21</f>
        <v>2041</v>
      </c>
      <c r="Z105" s="34">
        <f>'Prevalence projection'!Y$21</f>
        <v>2042</v>
      </c>
      <c r="AA105" s="34">
        <f>'Prevalence projection'!Z$21</f>
        <v>2043</v>
      </c>
      <c r="AB105" s="34">
        <f>'Prevalence projection'!AA$21</f>
        <v>2044</v>
      </c>
      <c r="AC105" s="34">
        <f>'Prevalence projection'!AB$21</f>
        <v>2045</v>
      </c>
      <c r="AD105" s="34">
        <f>'Prevalence projection'!AC$21</f>
        <v>2046</v>
      </c>
      <c r="AE105" s="34">
        <f>'Prevalence projection'!AD$21</f>
        <v>2047</v>
      </c>
      <c r="AF105" s="34">
        <f>'Prevalence projection'!AE$21</f>
        <v>2048</v>
      </c>
      <c r="AG105" s="34">
        <f>'Prevalence projection'!AF$21</f>
        <v>2049</v>
      </c>
      <c r="AH105" s="34">
        <f>'Prevalence projection'!AG$21</f>
        <v>2050</v>
      </c>
      <c r="AI105" s="34">
        <f>'Prevalence projection'!AH$21</f>
        <v>2051</v>
      </c>
      <c r="AJ105" s="34">
        <f>'Prevalence projection'!AI$21</f>
        <v>2052</v>
      </c>
      <c r="AK105" s="34">
        <f>'Prevalence projection'!AJ$21</f>
        <v>2053</v>
      </c>
      <c r="AL105" s="34">
        <f>'Prevalence projection'!AK$21</f>
        <v>2054</v>
      </c>
      <c r="AM105" s="34">
        <f>'Prevalence projection'!AL$21</f>
        <v>2055</v>
      </c>
      <c r="AN105" s="34">
        <f>'Prevalence projection'!AM$21</f>
        <v>2056</v>
      </c>
      <c r="AO105" s="34">
        <f>'Prevalence projection'!AN$21</f>
        <v>2057</v>
      </c>
      <c r="AP105" s="34">
        <f>'Prevalence projection'!AO$21</f>
        <v>2058</v>
      </c>
      <c r="AQ105" s="34">
        <f>'Prevalence projection'!AP$21</f>
        <v>2059</v>
      </c>
      <c r="AR105" s="34">
        <f>'Prevalence projection'!AQ$21</f>
        <v>2060</v>
      </c>
      <c r="AS105" s="34">
        <f>'Prevalence projection'!AR$21</f>
        <v>2061</v>
      </c>
      <c r="AT105" s="34">
        <f>'Prevalence projection'!AS$21</f>
        <v>2062</v>
      </c>
      <c r="AU105" s="34">
        <f>'Prevalence projection'!AT$21</f>
        <v>2063</v>
      </c>
      <c r="AV105" s="34">
        <f>'Prevalence projection'!AU$21</f>
        <v>2064</v>
      </c>
      <c r="AW105" s="34">
        <f>'Prevalence projection'!AV$21</f>
        <v>2065</v>
      </c>
      <c r="AX105" s="34">
        <f>'Prevalence projection'!AW$21</f>
        <v>2066</v>
      </c>
      <c r="AY105" s="34">
        <f>'Prevalence projection'!AX$21</f>
        <v>2067</v>
      </c>
      <c r="AZ105" s="34">
        <f>'Prevalence projection'!AY$21</f>
        <v>2068</v>
      </c>
      <c r="BA105" s="34">
        <f>'Prevalence projection'!AZ$21</f>
        <v>2069</v>
      </c>
      <c r="BB105" s="34">
        <f>'Prevalence projection'!BA$21</f>
        <v>2070</v>
      </c>
    </row>
    <row r="106" spans="2:54">
      <c r="B106" s="6" t="s">
        <v>11</v>
      </c>
      <c r="D106" s="89">
        <f>IF(D$105&lt;$C$5, SUMIFS($C$93:$C$101,$B$93:$B$101,$B106), SUMIFS($E$93:$E$101,$B$93:$B$101,$B106))       *C$87</f>
        <v>0</v>
      </c>
      <c r="E106" s="89">
        <f t="shared" ref="E106:AF106" si="18">IF(E$105&lt;$C$5, SUMIFS($C$93:$C$101,$B$93:$B$101,$B106), SUMIFS($E$93:$E$101,$B$93:$B$101,$B106))       *D$87</f>
        <v>0</v>
      </c>
      <c r="F106" s="89">
        <f t="shared" si="18"/>
        <v>0</v>
      </c>
      <c r="G106" s="89">
        <f t="shared" si="18"/>
        <v>0</v>
      </c>
      <c r="H106" s="89">
        <f t="shared" si="18"/>
        <v>0</v>
      </c>
      <c r="I106" s="89">
        <f t="shared" si="18"/>
        <v>0</v>
      </c>
      <c r="J106" s="89">
        <f t="shared" si="18"/>
        <v>0</v>
      </c>
      <c r="K106" s="89">
        <f t="shared" si="18"/>
        <v>0</v>
      </c>
      <c r="L106" s="89">
        <f t="shared" si="18"/>
        <v>0</v>
      </c>
      <c r="M106" s="89">
        <f t="shared" si="18"/>
        <v>0</v>
      </c>
      <c r="N106" s="89">
        <f t="shared" si="18"/>
        <v>0</v>
      </c>
      <c r="O106" s="89">
        <f t="shared" si="18"/>
        <v>0</v>
      </c>
      <c r="P106" s="89">
        <f t="shared" si="18"/>
        <v>0</v>
      </c>
      <c r="Q106" s="89">
        <f t="shared" si="18"/>
        <v>0</v>
      </c>
      <c r="R106" s="89">
        <f t="shared" si="18"/>
        <v>0</v>
      </c>
      <c r="S106" s="89">
        <f t="shared" si="18"/>
        <v>0</v>
      </c>
      <c r="T106" s="89">
        <f t="shared" si="18"/>
        <v>0</v>
      </c>
      <c r="U106" s="89">
        <f t="shared" si="18"/>
        <v>0</v>
      </c>
      <c r="V106" s="89">
        <f t="shared" si="18"/>
        <v>0</v>
      </c>
      <c r="W106" s="89">
        <f t="shared" si="18"/>
        <v>0</v>
      </c>
      <c r="X106" s="89">
        <f t="shared" si="18"/>
        <v>0</v>
      </c>
      <c r="Y106" s="89">
        <f t="shared" si="18"/>
        <v>0</v>
      </c>
      <c r="Z106" s="89">
        <f t="shared" si="18"/>
        <v>0</v>
      </c>
      <c r="AA106" s="89">
        <f t="shared" si="18"/>
        <v>0</v>
      </c>
      <c r="AB106" s="89">
        <f t="shared" si="18"/>
        <v>0</v>
      </c>
      <c r="AC106" s="89">
        <f t="shared" si="18"/>
        <v>0</v>
      </c>
      <c r="AD106" s="89">
        <f t="shared" si="18"/>
        <v>0</v>
      </c>
      <c r="AE106" s="89">
        <f t="shared" si="18"/>
        <v>0</v>
      </c>
      <c r="AF106" s="89">
        <f t="shared" si="18"/>
        <v>0</v>
      </c>
      <c r="AG106" s="89">
        <f t="shared" ref="AG106:AG123" si="19">IF(AG$105&lt;$C$5, SUMIFS($C$93:$C$101,$B$93:$B$101,$B106), SUMIFS($E$93:$E$101,$B$93:$B$101,$B106))       *AF$87</f>
        <v>0</v>
      </c>
      <c r="AH106" s="89">
        <f t="shared" ref="AH106:AH123" si="20">IF(AH$105&lt;$C$5, SUMIFS($C$93:$C$101,$B$93:$B$101,$B106), SUMIFS($E$93:$E$101,$B$93:$B$101,$B106))       *AG$87</f>
        <v>0</v>
      </c>
      <c r="AI106" s="89">
        <f t="shared" ref="AI106:AI123" si="21">IF(AI$105&lt;$C$5, SUMIFS($C$93:$C$101,$B$93:$B$101,$B106), SUMIFS($E$93:$E$101,$B$93:$B$101,$B106))       *AH$87</f>
        <v>0</v>
      </c>
      <c r="AJ106" s="89">
        <f t="shared" ref="AJ106:AJ123" si="22">IF(AJ$105&lt;$C$5, SUMIFS($C$93:$C$101,$B$93:$B$101,$B106), SUMIFS($E$93:$E$101,$B$93:$B$101,$B106))       *AI$87</f>
        <v>0</v>
      </c>
      <c r="AK106" s="89">
        <f t="shared" ref="AK106:AK123" si="23">IF(AK$105&lt;$C$5, SUMIFS($C$93:$C$101,$B$93:$B$101,$B106), SUMIFS($E$93:$E$101,$B$93:$B$101,$B106))       *AJ$87</f>
        <v>0</v>
      </c>
      <c r="AL106" s="89">
        <f t="shared" ref="AL106:AL123" si="24">IF(AL$105&lt;$C$5, SUMIFS($C$93:$C$101,$B$93:$B$101,$B106), SUMIFS($E$93:$E$101,$B$93:$B$101,$B106))       *AK$87</f>
        <v>0</v>
      </c>
      <c r="AM106" s="89">
        <f t="shared" ref="AM106:AM123" si="25">IF(AM$105&lt;$C$5, SUMIFS($C$93:$C$101,$B$93:$B$101,$B106), SUMIFS($E$93:$E$101,$B$93:$B$101,$B106))       *AL$87</f>
        <v>0</v>
      </c>
      <c r="AN106" s="89">
        <f t="shared" ref="AN106:AN123" si="26">IF(AN$105&lt;$C$5, SUMIFS($C$93:$C$101,$B$93:$B$101,$B106), SUMIFS($E$93:$E$101,$B$93:$B$101,$B106))       *AM$87</f>
        <v>0</v>
      </c>
      <c r="AO106" s="89">
        <f t="shared" ref="AO106:AO123" si="27">IF(AO$105&lt;$C$5, SUMIFS($C$93:$C$101,$B$93:$B$101,$B106), SUMIFS($E$93:$E$101,$B$93:$B$101,$B106))       *AN$87</f>
        <v>0</v>
      </c>
      <c r="AP106" s="89">
        <f t="shared" ref="AP106:AP123" si="28">IF(AP$105&lt;$C$5, SUMIFS($C$93:$C$101,$B$93:$B$101,$B106), SUMIFS($E$93:$E$101,$B$93:$B$101,$B106))       *AO$87</f>
        <v>0</v>
      </c>
      <c r="AQ106" s="89">
        <f t="shared" ref="AQ106:AQ123" si="29">IF(AQ$105&lt;$C$5, SUMIFS($C$93:$C$101,$B$93:$B$101,$B106), SUMIFS($E$93:$E$101,$B$93:$B$101,$B106))       *AP$87</f>
        <v>0</v>
      </c>
      <c r="AR106" s="89">
        <f t="shared" ref="AR106:AR123" si="30">IF(AR$105&lt;$C$5, SUMIFS($C$93:$C$101,$B$93:$B$101,$B106), SUMIFS($E$93:$E$101,$B$93:$B$101,$B106))       *AQ$87</f>
        <v>0</v>
      </c>
      <c r="AS106" s="89">
        <f t="shared" ref="AS106:AS123" si="31">IF(AS$105&lt;$C$5, SUMIFS($C$93:$C$101,$B$93:$B$101,$B106), SUMIFS($E$93:$E$101,$B$93:$B$101,$B106))       *AR$87</f>
        <v>0</v>
      </c>
      <c r="AT106" s="89">
        <f t="shared" ref="AT106:AT123" si="32">IF(AT$105&lt;$C$5, SUMIFS($C$93:$C$101,$B$93:$B$101,$B106), SUMIFS($E$93:$E$101,$B$93:$B$101,$B106))       *AS$87</f>
        <v>0</v>
      </c>
      <c r="AU106" s="89">
        <f t="shared" ref="AU106:AU123" si="33">IF(AU$105&lt;$C$5, SUMIFS($C$93:$C$101,$B$93:$B$101,$B106), SUMIFS($E$93:$E$101,$B$93:$B$101,$B106))       *AT$87</f>
        <v>0</v>
      </c>
      <c r="AV106" s="89">
        <f t="shared" ref="AV106:AV123" si="34">IF(AV$105&lt;$C$5, SUMIFS($C$93:$C$101,$B$93:$B$101,$B106), SUMIFS($E$93:$E$101,$B$93:$B$101,$B106))       *AU$87</f>
        <v>0</v>
      </c>
      <c r="AW106" s="89">
        <f t="shared" ref="AW106:AW123" si="35">IF(AW$105&lt;$C$5, SUMIFS($C$93:$C$101,$B$93:$B$101,$B106), SUMIFS($E$93:$E$101,$B$93:$B$101,$B106))       *AV$87</f>
        <v>0</v>
      </c>
      <c r="AX106" s="89">
        <f t="shared" ref="AX106:AX123" si="36">IF(AX$105&lt;$C$5, SUMIFS($C$93:$C$101,$B$93:$B$101,$B106), SUMIFS($E$93:$E$101,$B$93:$B$101,$B106))       *AW$87</f>
        <v>0</v>
      </c>
      <c r="AY106" s="89">
        <f t="shared" ref="AY106:AY123" si="37">IF(AY$105&lt;$C$5, SUMIFS($C$93:$C$101,$B$93:$B$101,$B106), SUMIFS($E$93:$E$101,$B$93:$B$101,$B106))       *AX$87</f>
        <v>0</v>
      </c>
      <c r="AZ106" s="89">
        <f t="shared" ref="AZ106:AZ123" si="38">IF(AZ$105&lt;$C$5, SUMIFS($C$93:$C$101,$B$93:$B$101,$B106), SUMIFS($E$93:$E$101,$B$93:$B$101,$B106))       *AY$87</f>
        <v>0</v>
      </c>
      <c r="BA106" s="89">
        <f t="shared" ref="BA106:BB123" si="39">IF(BA$105&lt;$C$5, SUMIFS($C$93:$C$101,$B$93:$B$101,$B106), SUMIFS($E$93:$E$101,$B$93:$B$101,$B106))       *AZ$87</f>
        <v>0</v>
      </c>
      <c r="BB106" s="89">
        <f t="shared" si="39"/>
        <v>0</v>
      </c>
    </row>
    <row r="107" spans="2:54">
      <c r="B107" s="6" t="s">
        <v>14</v>
      </c>
      <c r="C107" s="52"/>
      <c r="D107" s="89">
        <f t="shared" ref="D107:AF107" si="40">IF(D$105&lt;$C$5, SUMIFS($C$93:$C$101,$B$93:$B$101,$B107), SUMIFS($E$93:$E$101,$B$93:$B$101,$B107))       *C$87</f>
        <v>0</v>
      </c>
      <c r="E107" s="89">
        <f t="shared" si="40"/>
        <v>0</v>
      </c>
      <c r="F107" s="89">
        <f t="shared" si="40"/>
        <v>0</v>
      </c>
      <c r="G107" s="89">
        <f t="shared" si="40"/>
        <v>0</v>
      </c>
      <c r="H107" s="89">
        <f t="shared" si="40"/>
        <v>0</v>
      </c>
      <c r="I107" s="89">
        <f t="shared" si="40"/>
        <v>0</v>
      </c>
      <c r="J107" s="89">
        <f t="shared" si="40"/>
        <v>0</v>
      </c>
      <c r="K107" s="89">
        <f t="shared" si="40"/>
        <v>0</v>
      </c>
      <c r="L107" s="89">
        <f t="shared" si="40"/>
        <v>0</v>
      </c>
      <c r="M107" s="89">
        <f t="shared" si="40"/>
        <v>0</v>
      </c>
      <c r="N107" s="89">
        <f t="shared" si="40"/>
        <v>0</v>
      </c>
      <c r="O107" s="89">
        <f t="shared" si="40"/>
        <v>0</v>
      </c>
      <c r="P107" s="89">
        <f t="shared" si="40"/>
        <v>0</v>
      </c>
      <c r="Q107" s="89">
        <f t="shared" si="40"/>
        <v>0</v>
      </c>
      <c r="R107" s="89">
        <f t="shared" si="40"/>
        <v>0</v>
      </c>
      <c r="S107" s="89">
        <f t="shared" si="40"/>
        <v>0</v>
      </c>
      <c r="T107" s="89">
        <f t="shared" si="40"/>
        <v>0</v>
      </c>
      <c r="U107" s="89">
        <f t="shared" si="40"/>
        <v>0</v>
      </c>
      <c r="V107" s="89">
        <f t="shared" si="40"/>
        <v>0</v>
      </c>
      <c r="W107" s="89">
        <f t="shared" si="40"/>
        <v>0</v>
      </c>
      <c r="X107" s="89">
        <f t="shared" si="40"/>
        <v>0</v>
      </c>
      <c r="Y107" s="89">
        <f t="shared" si="40"/>
        <v>0</v>
      </c>
      <c r="Z107" s="89">
        <f t="shared" si="40"/>
        <v>0</v>
      </c>
      <c r="AA107" s="89">
        <f t="shared" si="40"/>
        <v>0</v>
      </c>
      <c r="AB107" s="89">
        <f t="shared" si="40"/>
        <v>0</v>
      </c>
      <c r="AC107" s="89">
        <f t="shared" si="40"/>
        <v>0</v>
      </c>
      <c r="AD107" s="89">
        <f t="shared" si="40"/>
        <v>0</v>
      </c>
      <c r="AE107" s="89">
        <f t="shared" si="40"/>
        <v>0</v>
      </c>
      <c r="AF107" s="89">
        <f t="shared" si="40"/>
        <v>0</v>
      </c>
      <c r="AG107" s="89">
        <f t="shared" si="19"/>
        <v>0</v>
      </c>
      <c r="AH107" s="89">
        <f t="shared" si="20"/>
        <v>0</v>
      </c>
      <c r="AI107" s="89">
        <f t="shared" si="21"/>
        <v>0</v>
      </c>
      <c r="AJ107" s="89">
        <f t="shared" si="22"/>
        <v>0</v>
      </c>
      <c r="AK107" s="89">
        <f t="shared" si="23"/>
        <v>0</v>
      </c>
      <c r="AL107" s="89">
        <f t="shared" si="24"/>
        <v>0</v>
      </c>
      <c r="AM107" s="89">
        <f t="shared" si="25"/>
        <v>0</v>
      </c>
      <c r="AN107" s="89">
        <f t="shared" si="26"/>
        <v>0</v>
      </c>
      <c r="AO107" s="89">
        <f t="shared" si="27"/>
        <v>0</v>
      </c>
      <c r="AP107" s="89">
        <f t="shared" si="28"/>
        <v>0</v>
      </c>
      <c r="AQ107" s="89">
        <f t="shared" si="29"/>
        <v>0</v>
      </c>
      <c r="AR107" s="89">
        <f t="shared" si="30"/>
        <v>0</v>
      </c>
      <c r="AS107" s="89">
        <f t="shared" si="31"/>
        <v>0</v>
      </c>
      <c r="AT107" s="89">
        <f t="shared" si="32"/>
        <v>0</v>
      </c>
      <c r="AU107" s="89">
        <f t="shared" si="33"/>
        <v>0</v>
      </c>
      <c r="AV107" s="89">
        <f t="shared" si="34"/>
        <v>0</v>
      </c>
      <c r="AW107" s="89">
        <f t="shared" si="35"/>
        <v>0</v>
      </c>
      <c r="AX107" s="89">
        <f t="shared" si="36"/>
        <v>0</v>
      </c>
      <c r="AY107" s="89">
        <f t="shared" si="37"/>
        <v>0</v>
      </c>
      <c r="AZ107" s="89">
        <f t="shared" si="38"/>
        <v>0</v>
      </c>
      <c r="BA107" s="89">
        <f t="shared" si="39"/>
        <v>0</v>
      </c>
      <c r="BB107" s="89">
        <f t="shared" si="39"/>
        <v>0</v>
      </c>
    </row>
    <row r="108" spans="2:54">
      <c r="B108" s="6" t="s">
        <v>15</v>
      </c>
      <c r="C108" s="52"/>
      <c r="D108" s="89">
        <f t="shared" ref="D108:AF108" si="41">IF(D$105&lt;$C$5, SUMIFS($C$93:$C$101,$B$93:$B$101,$B108), SUMIFS($E$93:$E$101,$B$93:$B$101,$B108))       *C$87</f>
        <v>0</v>
      </c>
      <c r="E108" s="89">
        <f t="shared" si="41"/>
        <v>0</v>
      </c>
      <c r="F108" s="89">
        <f t="shared" si="41"/>
        <v>0</v>
      </c>
      <c r="G108" s="89">
        <f t="shared" si="41"/>
        <v>0</v>
      </c>
      <c r="H108" s="89">
        <f t="shared" si="41"/>
        <v>0</v>
      </c>
      <c r="I108" s="89">
        <f t="shared" si="41"/>
        <v>0</v>
      </c>
      <c r="J108" s="89">
        <f t="shared" si="41"/>
        <v>0</v>
      </c>
      <c r="K108" s="89">
        <f t="shared" si="41"/>
        <v>0</v>
      </c>
      <c r="L108" s="89">
        <f t="shared" si="41"/>
        <v>0</v>
      </c>
      <c r="M108" s="89">
        <f t="shared" si="41"/>
        <v>0</v>
      </c>
      <c r="N108" s="89">
        <f t="shared" si="41"/>
        <v>0</v>
      </c>
      <c r="O108" s="89">
        <f t="shared" si="41"/>
        <v>0</v>
      </c>
      <c r="P108" s="89">
        <f t="shared" si="41"/>
        <v>0</v>
      </c>
      <c r="Q108" s="89">
        <f t="shared" si="41"/>
        <v>0</v>
      </c>
      <c r="R108" s="89">
        <f t="shared" si="41"/>
        <v>0</v>
      </c>
      <c r="S108" s="89">
        <f t="shared" si="41"/>
        <v>0</v>
      </c>
      <c r="T108" s="89">
        <f t="shared" si="41"/>
        <v>0</v>
      </c>
      <c r="U108" s="89">
        <f t="shared" si="41"/>
        <v>0</v>
      </c>
      <c r="V108" s="89">
        <f t="shared" si="41"/>
        <v>0</v>
      </c>
      <c r="W108" s="89">
        <f t="shared" si="41"/>
        <v>0</v>
      </c>
      <c r="X108" s="89">
        <f t="shared" si="41"/>
        <v>0</v>
      </c>
      <c r="Y108" s="89">
        <f t="shared" si="41"/>
        <v>0</v>
      </c>
      <c r="Z108" s="89">
        <f t="shared" si="41"/>
        <v>0</v>
      </c>
      <c r="AA108" s="89">
        <f t="shared" si="41"/>
        <v>0</v>
      </c>
      <c r="AB108" s="89">
        <f t="shared" si="41"/>
        <v>0</v>
      </c>
      <c r="AC108" s="89">
        <f t="shared" si="41"/>
        <v>0</v>
      </c>
      <c r="AD108" s="89">
        <f t="shared" si="41"/>
        <v>0</v>
      </c>
      <c r="AE108" s="89">
        <f t="shared" si="41"/>
        <v>0</v>
      </c>
      <c r="AF108" s="89">
        <f t="shared" si="41"/>
        <v>0</v>
      </c>
      <c r="AG108" s="89">
        <f t="shared" si="19"/>
        <v>0</v>
      </c>
      <c r="AH108" s="89">
        <f t="shared" si="20"/>
        <v>0</v>
      </c>
      <c r="AI108" s="89">
        <f t="shared" si="21"/>
        <v>0</v>
      </c>
      <c r="AJ108" s="89">
        <f t="shared" si="22"/>
        <v>0</v>
      </c>
      <c r="AK108" s="89">
        <f t="shared" si="23"/>
        <v>0</v>
      </c>
      <c r="AL108" s="89">
        <f t="shared" si="24"/>
        <v>0</v>
      </c>
      <c r="AM108" s="89">
        <f t="shared" si="25"/>
        <v>0</v>
      </c>
      <c r="AN108" s="89">
        <f t="shared" si="26"/>
        <v>0</v>
      </c>
      <c r="AO108" s="89">
        <f t="shared" si="27"/>
        <v>0</v>
      </c>
      <c r="AP108" s="89">
        <f t="shared" si="28"/>
        <v>0</v>
      </c>
      <c r="AQ108" s="89">
        <f t="shared" si="29"/>
        <v>0</v>
      </c>
      <c r="AR108" s="89">
        <f t="shared" si="30"/>
        <v>0</v>
      </c>
      <c r="AS108" s="89">
        <f t="shared" si="31"/>
        <v>0</v>
      </c>
      <c r="AT108" s="89">
        <f t="shared" si="32"/>
        <v>0</v>
      </c>
      <c r="AU108" s="89">
        <f t="shared" si="33"/>
        <v>0</v>
      </c>
      <c r="AV108" s="89">
        <f t="shared" si="34"/>
        <v>0</v>
      </c>
      <c r="AW108" s="89">
        <f t="shared" si="35"/>
        <v>0</v>
      </c>
      <c r="AX108" s="89">
        <f t="shared" si="36"/>
        <v>0</v>
      </c>
      <c r="AY108" s="89">
        <f t="shared" si="37"/>
        <v>0</v>
      </c>
      <c r="AZ108" s="89">
        <f t="shared" si="38"/>
        <v>0</v>
      </c>
      <c r="BA108" s="89">
        <f t="shared" si="39"/>
        <v>0</v>
      </c>
      <c r="BB108" s="89">
        <f t="shared" si="39"/>
        <v>0</v>
      </c>
    </row>
    <row r="109" spans="2:54" ht="29">
      <c r="B109" s="6" t="s">
        <v>16</v>
      </c>
      <c r="C109" s="52"/>
      <c r="D109" s="89">
        <f t="shared" ref="D109:AF109" si="42">IF(D$105&lt;$C$5, SUMIFS($C$93:$C$101,$B$93:$B$101,$B109), SUMIFS($E$93:$E$101,$B$93:$B$101,$B109))       *C$87</f>
        <v>0</v>
      </c>
      <c r="E109" s="89">
        <f t="shared" si="42"/>
        <v>0</v>
      </c>
      <c r="F109" s="89">
        <f t="shared" si="42"/>
        <v>0</v>
      </c>
      <c r="G109" s="89">
        <f t="shared" si="42"/>
        <v>0</v>
      </c>
      <c r="H109" s="89">
        <f t="shared" si="42"/>
        <v>0</v>
      </c>
      <c r="I109" s="89">
        <f t="shared" si="42"/>
        <v>0</v>
      </c>
      <c r="J109" s="89">
        <f t="shared" si="42"/>
        <v>0</v>
      </c>
      <c r="K109" s="89">
        <f t="shared" si="42"/>
        <v>0</v>
      </c>
      <c r="L109" s="89">
        <f t="shared" si="42"/>
        <v>0</v>
      </c>
      <c r="M109" s="89">
        <f t="shared" si="42"/>
        <v>0</v>
      </c>
      <c r="N109" s="89">
        <f t="shared" si="42"/>
        <v>0</v>
      </c>
      <c r="O109" s="89">
        <f t="shared" si="42"/>
        <v>0</v>
      </c>
      <c r="P109" s="89">
        <f t="shared" si="42"/>
        <v>0</v>
      </c>
      <c r="Q109" s="89">
        <f t="shared" si="42"/>
        <v>0</v>
      </c>
      <c r="R109" s="89">
        <f t="shared" si="42"/>
        <v>0</v>
      </c>
      <c r="S109" s="89">
        <f t="shared" si="42"/>
        <v>0</v>
      </c>
      <c r="T109" s="89">
        <f t="shared" si="42"/>
        <v>0</v>
      </c>
      <c r="U109" s="89">
        <f t="shared" si="42"/>
        <v>0</v>
      </c>
      <c r="V109" s="89">
        <f t="shared" si="42"/>
        <v>0</v>
      </c>
      <c r="W109" s="89">
        <f t="shared" si="42"/>
        <v>0</v>
      </c>
      <c r="X109" s="89">
        <f t="shared" si="42"/>
        <v>0</v>
      </c>
      <c r="Y109" s="89">
        <f t="shared" si="42"/>
        <v>0</v>
      </c>
      <c r="Z109" s="89">
        <f t="shared" si="42"/>
        <v>0</v>
      </c>
      <c r="AA109" s="89">
        <f t="shared" si="42"/>
        <v>0</v>
      </c>
      <c r="AB109" s="89">
        <f t="shared" si="42"/>
        <v>0</v>
      </c>
      <c r="AC109" s="89">
        <f t="shared" si="42"/>
        <v>0</v>
      </c>
      <c r="AD109" s="89">
        <f t="shared" si="42"/>
        <v>0</v>
      </c>
      <c r="AE109" s="89">
        <f t="shared" si="42"/>
        <v>0</v>
      </c>
      <c r="AF109" s="89">
        <f t="shared" si="42"/>
        <v>0</v>
      </c>
      <c r="AG109" s="89">
        <f t="shared" si="19"/>
        <v>0</v>
      </c>
      <c r="AH109" s="89">
        <f t="shared" si="20"/>
        <v>0</v>
      </c>
      <c r="AI109" s="89">
        <f t="shared" si="21"/>
        <v>0</v>
      </c>
      <c r="AJ109" s="89">
        <f t="shared" si="22"/>
        <v>0</v>
      </c>
      <c r="AK109" s="89">
        <f t="shared" si="23"/>
        <v>0</v>
      </c>
      <c r="AL109" s="89">
        <f t="shared" si="24"/>
        <v>0</v>
      </c>
      <c r="AM109" s="89">
        <f t="shared" si="25"/>
        <v>0</v>
      </c>
      <c r="AN109" s="89">
        <f t="shared" si="26"/>
        <v>0</v>
      </c>
      <c r="AO109" s="89">
        <f t="shared" si="27"/>
        <v>0</v>
      </c>
      <c r="AP109" s="89">
        <f t="shared" si="28"/>
        <v>0</v>
      </c>
      <c r="AQ109" s="89">
        <f t="shared" si="29"/>
        <v>0</v>
      </c>
      <c r="AR109" s="89">
        <f t="shared" si="30"/>
        <v>0</v>
      </c>
      <c r="AS109" s="89">
        <f t="shared" si="31"/>
        <v>0</v>
      </c>
      <c r="AT109" s="89">
        <f t="shared" si="32"/>
        <v>0</v>
      </c>
      <c r="AU109" s="89">
        <f t="shared" si="33"/>
        <v>0</v>
      </c>
      <c r="AV109" s="89">
        <f t="shared" si="34"/>
        <v>0</v>
      </c>
      <c r="AW109" s="89">
        <f t="shared" si="35"/>
        <v>0</v>
      </c>
      <c r="AX109" s="89">
        <f t="shared" si="36"/>
        <v>0</v>
      </c>
      <c r="AY109" s="89">
        <f t="shared" si="37"/>
        <v>0</v>
      </c>
      <c r="AZ109" s="89">
        <f t="shared" si="38"/>
        <v>0</v>
      </c>
      <c r="BA109" s="89">
        <f t="shared" si="39"/>
        <v>0</v>
      </c>
      <c r="BB109" s="89">
        <f t="shared" si="39"/>
        <v>0</v>
      </c>
    </row>
    <row r="110" spans="2:54">
      <c r="B110" s="6" t="s">
        <v>103</v>
      </c>
      <c r="C110" s="52"/>
      <c r="D110" s="89">
        <f t="shared" ref="D110:AF110" si="43">IF(D$105&lt;$C$5, SUMIFS($C$93:$C$101,$B$93:$B$101,$B110), SUMIFS($E$93:$E$101,$B$93:$B$101,$B110))       *C$87</f>
        <v>0</v>
      </c>
      <c r="E110" s="89">
        <f t="shared" si="43"/>
        <v>0</v>
      </c>
      <c r="F110" s="89">
        <f t="shared" si="43"/>
        <v>0</v>
      </c>
      <c r="G110" s="89">
        <f t="shared" si="43"/>
        <v>0</v>
      </c>
      <c r="H110" s="89">
        <f t="shared" si="43"/>
        <v>0</v>
      </c>
      <c r="I110" s="89">
        <f t="shared" si="43"/>
        <v>0</v>
      </c>
      <c r="J110" s="89">
        <f t="shared" si="43"/>
        <v>0</v>
      </c>
      <c r="K110" s="89">
        <f t="shared" si="43"/>
        <v>0</v>
      </c>
      <c r="L110" s="89">
        <f t="shared" si="43"/>
        <v>0</v>
      </c>
      <c r="M110" s="89">
        <f t="shared" si="43"/>
        <v>0</v>
      </c>
      <c r="N110" s="89">
        <f t="shared" si="43"/>
        <v>0</v>
      </c>
      <c r="O110" s="89">
        <f t="shared" si="43"/>
        <v>0</v>
      </c>
      <c r="P110" s="89">
        <f t="shared" si="43"/>
        <v>0</v>
      </c>
      <c r="Q110" s="89">
        <f t="shared" si="43"/>
        <v>0</v>
      </c>
      <c r="R110" s="89">
        <f t="shared" si="43"/>
        <v>0</v>
      </c>
      <c r="S110" s="89">
        <f t="shared" si="43"/>
        <v>0</v>
      </c>
      <c r="T110" s="89">
        <f t="shared" si="43"/>
        <v>0</v>
      </c>
      <c r="U110" s="89">
        <f t="shared" si="43"/>
        <v>0</v>
      </c>
      <c r="V110" s="89">
        <f t="shared" si="43"/>
        <v>0</v>
      </c>
      <c r="W110" s="89">
        <f t="shared" si="43"/>
        <v>0</v>
      </c>
      <c r="X110" s="89">
        <f t="shared" si="43"/>
        <v>0</v>
      </c>
      <c r="Y110" s="89">
        <f t="shared" si="43"/>
        <v>0</v>
      </c>
      <c r="Z110" s="89">
        <f t="shared" si="43"/>
        <v>0</v>
      </c>
      <c r="AA110" s="89">
        <f t="shared" si="43"/>
        <v>0</v>
      </c>
      <c r="AB110" s="89">
        <f t="shared" si="43"/>
        <v>0</v>
      </c>
      <c r="AC110" s="89">
        <f t="shared" si="43"/>
        <v>0</v>
      </c>
      <c r="AD110" s="89">
        <f t="shared" si="43"/>
        <v>0</v>
      </c>
      <c r="AE110" s="89">
        <f t="shared" si="43"/>
        <v>0</v>
      </c>
      <c r="AF110" s="89">
        <f t="shared" si="43"/>
        <v>0</v>
      </c>
      <c r="AG110" s="89">
        <f t="shared" si="19"/>
        <v>0</v>
      </c>
      <c r="AH110" s="89">
        <f t="shared" si="20"/>
        <v>0</v>
      </c>
      <c r="AI110" s="89">
        <f t="shared" si="21"/>
        <v>0</v>
      </c>
      <c r="AJ110" s="89">
        <f t="shared" si="22"/>
        <v>0</v>
      </c>
      <c r="AK110" s="89">
        <f t="shared" si="23"/>
        <v>0</v>
      </c>
      <c r="AL110" s="89">
        <f t="shared" si="24"/>
        <v>0</v>
      </c>
      <c r="AM110" s="89">
        <f t="shared" si="25"/>
        <v>0</v>
      </c>
      <c r="AN110" s="89">
        <f t="shared" si="26"/>
        <v>0</v>
      </c>
      <c r="AO110" s="89">
        <f t="shared" si="27"/>
        <v>0</v>
      </c>
      <c r="AP110" s="89">
        <f t="shared" si="28"/>
        <v>0</v>
      </c>
      <c r="AQ110" s="89">
        <f t="shared" si="29"/>
        <v>0</v>
      </c>
      <c r="AR110" s="89">
        <f t="shared" si="30"/>
        <v>0</v>
      </c>
      <c r="AS110" s="89">
        <f t="shared" si="31"/>
        <v>0</v>
      </c>
      <c r="AT110" s="89">
        <f t="shared" si="32"/>
        <v>0</v>
      </c>
      <c r="AU110" s="89">
        <f t="shared" si="33"/>
        <v>0</v>
      </c>
      <c r="AV110" s="89">
        <f t="shared" si="34"/>
        <v>0</v>
      </c>
      <c r="AW110" s="89">
        <f t="shared" si="35"/>
        <v>0</v>
      </c>
      <c r="AX110" s="89">
        <f t="shared" si="36"/>
        <v>0</v>
      </c>
      <c r="AY110" s="89">
        <f t="shared" si="37"/>
        <v>0</v>
      </c>
      <c r="AZ110" s="89">
        <f t="shared" si="38"/>
        <v>0</v>
      </c>
      <c r="BA110" s="89">
        <f t="shared" si="39"/>
        <v>0</v>
      </c>
      <c r="BB110" s="89">
        <f t="shared" si="39"/>
        <v>0</v>
      </c>
    </row>
    <row r="111" spans="2:54">
      <c r="B111" s="6" t="s">
        <v>104</v>
      </c>
      <c r="C111" s="52"/>
      <c r="D111" s="89">
        <f t="shared" ref="D111:AF111" si="44">IF(D$105&lt;$C$5, SUMIFS($C$93:$C$101,$B$93:$B$101,$B111), SUMIFS($E$93:$E$101,$B$93:$B$101,$B111))       *C$87</f>
        <v>0</v>
      </c>
      <c r="E111" s="89">
        <f t="shared" si="44"/>
        <v>0</v>
      </c>
      <c r="F111" s="89">
        <f t="shared" si="44"/>
        <v>0</v>
      </c>
      <c r="G111" s="89">
        <f t="shared" si="44"/>
        <v>0</v>
      </c>
      <c r="H111" s="89">
        <f t="shared" si="44"/>
        <v>0</v>
      </c>
      <c r="I111" s="89">
        <f t="shared" si="44"/>
        <v>0</v>
      </c>
      <c r="J111" s="89">
        <f t="shared" si="44"/>
        <v>0</v>
      </c>
      <c r="K111" s="89">
        <f t="shared" si="44"/>
        <v>0</v>
      </c>
      <c r="L111" s="89">
        <f t="shared" si="44"/>
        <v>0</v>
      </c>
      <c r="M111" s="89">
        <f t="shared" si="44"/>
        <v>0</v>
      </c>
      <c r="N111" s="89">
        <f t="shared" si="44"/>
        <v>0</v>
      </c>
      <c r="O111" s="89">
        <f t="shared" si="44"/>
        <v>0</v>
      </c>
      <c r="P111" s="89">
        <f t="shared" si="44"/>
        <v>0</v>
      </c>
      <c r="Q111" s="89">
        <f t="shared" si="44"/>
        <v>0</v>
      </c>
      <c r="R111" s="89">
        <f t="shared" si="44"/>
        <v>0</v>
      </c>
      <c r="S111" s="89">
        <f t="shared" si="44"/>
        <v>0</v>
      </c>
      <c r="T111" s="89">
        <f t="shared" si="44"/>
        <v>0</v>
      </c>
      <c r="U111" s="89">
        <f t="shared" si="44"/>
        <v>0</v>
      </c>
      <c r="V111" s="89">
        <f t="shared" si="44"/>
        <v>0</v>
      </c>
      <c r="W111" s="89">
        <f t="shared" si="44"/>
        <v>0</v>
      </c>
      <c r="X111" s="89">
        <f t="shared" si="44"/>
        <v>0</v>
      </c>
      <c r="Y111" s="89">
        <f t="shared" si="44"/>
        <v>0</v>
      </c>
      <c r="Z111" s="89">
        <f t="shared" si="44"/>
        <v>0</v>
      </c>
      <c r="AA111" s="89">
        <f t="shared" si="44"/>
        <v>0</v>
      </c>
      <c r="AB111" s="89">
        <f t="shared" si="44"/>
        <v>0</v>
      </c>
      <c r="AC111" s="89">
        <f t="shared" si="44"/>
        <v>0</v>
      </c>
      <c r="AD111" s="89">
        <f t="shared" si="44"/>
        <v>0</v>
      </c>
      <c r="AE111" s="89">
        <f t="shared" si="44"/>
        <v>0</v>
      </c>
      <c r="AF111" s="89">
        <f t="shared" si="44"/>
        <v>0</v>
      </c>
      <c r="AG111" s="89">
        <f t="shared" si="19"/>
        <v>0</v>
      </c>
      <c r="AH111" s="89">
        <f t="shared" si="20"/>
        <v>0</v>
      </c>
      <c r="AI111" s="89">
        <f t="shared" si="21"/>
        <v>0</v>
      </c>
      <c r="AJ111" s="89">
        <f t="shared" si="22"/>
        <v>0</v>
      </c>
      <c r="AK111" s="89">
        <f t="shared" si="23"/>
        <v>0</v>
      </c>
      <c r="AL111" s="89">
        <f t="shared" si="24"/>
        <v>0</v>
      </c>
      <c r="AM111" s="89">
        <f t="shared" si="25"/>
        <v>0</v>
      </c>
      <c r="AN111" s="89">
        <f t="shared" si="26"/>
        <v>0</v>
      </c>
      <c r="AO111" s="89">
        <f t="shared" si="27"/>
        <v>0</v>
      </c>
      <c r="AP111" s="89">
        <f t="shared" si="28"/>
        <v>0</v>
      </c>
      <c r="AQ111" s="89">
        <f t="shared" si="29"/>
        <v>0</v>
      </c>
      <c r="AR111" s="89">
        <f t="shared" si="30"/>
        <v>0</v>
      </c>
      <c r="AS111" s="89">
        <f t="shared" si="31"/>
        <v>0</v>
      </c>
      <c r="AT111" s="89">
        <f t="shared" si="32"/>
        <v>0</v>
      </c>
      <c r="AU111" s="89">
        <f t="shared" si="33"/>
        <v>0</v>
      </c>
      <c r="AV111" s="89">
        <f t="shared" si="34"/>
        <v>0</v>
      </c>
      <c r="AW111" s="89">
        <f t="shared" si="35"/>
        <v>0</v>
      </c>
      <c r="AX111" s="89">
        <f t="shared" si="36"/>
        <v>0</v>
      </c>
      <c r="AY111" s="89">
        <f t="shared" si="37"/>
        <v>0</v>
      </c>
      <c r="AZ111" s="89">
        <f t="shared" si="38"/>
        <v>0</v>
      </c>
      <c r="BA111" s="89">
        <f t="shared" si="39"/>
        <v>0</v>
      </c>
      <c r="BB111" s="89">
        <f t="shared" si="39"/>
        <v>0</v>
      </c>
    </row>
    <row r="112" spans="2:54">
      <c r="B112" s="6" t="s">
        <v>17</v>
      </c>
      <c r="C112" s="52"/>
      <c r="D112" s="89">
        <f t="shared" ref="D112:AF112" si="45">IF(D$105&lt;$C$5, SUMIFS($C$93:$C$101,$B$93:$B$101,$B112), SUMIFS($E$93:$E$101,$B$93:$B$101,$B112))       *C$87</f>
        <v>0</v>
      </c>
      <c r="E112" s="89">
        <f t="shared" si="45"/>
        <v>0</v>
      </c>
      <c r="F112" s="89">
        <f t="shared" si="45"/>
        <v>0</v>
      </c>
      <c r="G112" s="89">
        <f t="shared" si="45"/>
        <v>0</v>
      </c>
      <c r="H112" s="89">
        <f t="shared" si="45"/>
        <v>0</v>
      </c>
      <c r="I112" s="89">
        <f t="shared" si="45"/>
        <v>0</v>
      </c>
      <c r="J112" s="89">
        <f t="shared" si="45"/>
        <v>0</v>
      </c>
      <c r="K112" s="89">
        <f t="shared" si="45"/>
        <v>0</v>
      </c>
      <c r="L112" s="89">
        <f t="shared" si="45"/>
        <v>0</v>
      </c>
      <c r="M112" s="89">
        <f t="shared" si="45"/>
        <v>0</v>
      </c>
      <c r="N112" s="89">
        <f t="shared" si="45"/>
        <v>0</v>
      </c>
      <c r="O112" s="89">
        <f t="shared" si="45"/>
        <v>0</v>
      </c>
      <c r="P112" s="89">
        <f t="shared" si="45"/>
        <v>0</v>
      </c>
      <c r="Q112" s="89">
        <f t="shared" si="45"/>
        <v>0</v>
      </c>
      <c r="R112" s="89">
        <f t="shared" si="45"/>
        <v>0</v>
      </c>
      <c r="S112" s="89">
        <f t="shared" si="45"/>
        <v>0</v>
      </c>
      <c r="T112" s="89">
        <f t="shared" si="45"/>
        <v>0</v>
      </c>
      <c r="U112" s="89">
        <f t="shared" si="45"/>
        <v>0</v>
      </c>
      <c r="V112" s="89">
        <f t="shared" si="45"/>
        <v>0</v>
      </c>
      <c r="W112" s="89">
        <f t="shared" si="45"/>
        <v>0</v>
      </c>
      <c r="X112" s="89">
        <f t="shared" si="45"/>
        <v>0</v>
      </c>
      <c r="Y112" s="89">
        <f t="shared" si="45"/>
        <v>0</v>
      </c>
      <c r="Z112" s="89">
        <f t="shared" si="45"/>
        <v>0</v>
      </c>
      <c r="AA112" s="89">
        <f t="shared" si="45"/>
        <v>0</v>
      </c>
      <c r="AB112" s="89">
        <f t="shared" si="45"/>
        <v>0</v>
      </c>
      <c r="AC112" s="89">
        <f t="shared" si="45"/>
        <v>0</v>
      </c>
      <c r="AD112" s="89">
        <f t="shared" si="45"/>
        <v>0</v>
      </c>
      <c r="AE112" s="89">
        <f t="shared" si="45"/>
        <v>0</v>
      </c>
      <c r="AF112" s="89">
        <f t="shared" si="45"/>
        <v>0</v>
      </c>
      <c r="AG112" s="89">
        <f t="shared" si="19"/>
        <v>0</v>
      </c>
      <c r="AH112" s="89">
        <f t="shared" si="20"/>
        <v>0</v>
      </c>
      <c r="AI112" s="89">
        <f t="shared" si="21"/>
        <v>0</v>
      </c>
      <c r="AJ112" s="89">
        <f t="shared" si="22"/>
        <v>0</v>
      </c>
      <c r="AK112" s="89">
        <f t="shared" si="23"/>
        <v>0</v>
      </c>
      <c r="AL112" s="89">
        <f t="shared" si="24"/>
        <v>0</v>
      </c>
      <c r="AM112" s="89">
        <f t="shared" si="25"/>
        <v>0</v>
      </c>
      <c r="AN112" s="89">
        <f t="shared" si="26"/>
        <v>0</v>
      </c>
      <c r="AO112" s="89">
        <f t="shared" si="27"/>
        <v>0</v>
      </c>
      <c r="AP112" s="89">
        <f t="shared" si="28"/>
        <v>0</v>
      </c>
      <c r="AQ112" s="89">
        <f t="shared" si="29"/>
        <v>0</v>
      </c>
      <c r="AR112" s="89">
        <f t="shared" si="30"/>
        <v>0</v>
      </c>
      <c r="AS112" s="89">
        <f t="shared" si="31"/>
        <v>0</v>
      </c>
      <c r="AT112" s="89">
        <f t="shared" si="32"/>
        <v>0</v>
      </c>
      <c r="AU112" s="89">
        <f t="shared" si="33"/>
        <v>0</v>
      </c>
      <c r="AV112" s="89">
        <f t="shared" si="34"/>
        <v>0</v>
      </c>
      <c r="AW112" s="89">
        <f t="shared" si="35"/>
        <v>0</v>
      </c>
      <c r="AX112" s="89">
        <f t="shared" si="36"/>
        <v>0</v>
      </c>
      <c r="AY112" s="89">
        <f t="shared" si="37"/>
        <v>0</v>
      </c>
      <c r="AZ112" s="89">
        <f t="shared" si="38"/>
        <v>0</v>
      </c>
      <c r="BA112" s="89">
        <f t="shared" si="39"/>
        <v>0</v>
      </c>
      <c r="BB112" s="89">
        <f t="shared" si="39"/>
        <v>0</v>
      </c>
    </row>
    <row r="113" spans="1:54" ht="29">
      <c r="B113" s="6" t="s">
        <v>106</v>
      </c>
      <c r="C113" s="52"/>
      <c r="D113" s="89">
        <f t="shared" ref="D113:AF113" si="46">IF(D$105&lt;$C$5, SUMIFS($C$93:$C$101,$B$93:$B$101,$B113), SUMIFS($E$93:$E$101,$B$93:$B$101,$B113))       *C$87</f>
        <v>0</v>
      </c>
      <c r="E113" s="89">
        <f t="shared" si="46"/>
        <v>0</v>
      </c>
      <c r="F113" s="89">
        <f t="shared" si="46"/>
        <v>0</v>
      </c>
      <c r="G113" s="89">
        <f t="shared" si="46"/>
        <v>0</v>
      </c>
      <c r="H113" s="89">
        <f t="shared" si="46"/>
        <v>0</v>
      </c>
      <c r="I113" s="89">
        <f t="shared" si="46"/>
        <v>0</v>
      </c>
      <c r="J113" s="89">
        <f t="shared" si="46"/>
        <v>0</v>
      </c>
      <c r="K113" s="89">
        <f t="shared" si="46"/>
        <v>0</v>
      </c>
      <c r="L113" s="89">
        <f t="shared" si="46"/>
        <v>0</v>
      </c>
      <c r="M113" s="89">
        <f t="shared" si="46"/>
        <v>0</v>
      </c>
      <c r="N113" s="89">
        <f t="shared" si="46"/>
        <v>0</v>
      </c>
      <c r="O113" s="89">
        <f t="shared" si="46"/>
        <v>0</v>
      </c>
      <c r="P113" s="89">
        <f t="shared" si="46"/>
        <v>0</v>
      </c>
      <c r="Q113" s="89">
        <f t="shared" si="46"/>
        <v>0</v>
      </c>
      <c r="R113" s="89">
        <f t="shared" si="46"/>
        <v>0</v>
      </c>
      <c r="S113" s="89">
        <f t="shared" si="46"/>
        <v>0</v>
      </c>
      <c r="T113" s="89">
        <f t="shared" si="46"/>
        <v>0</v>
      </c>
      <c r="U113" s="89">
        <f t="shared" si="46"/>
        <v>0</v>
      </c>
      <c r="V113" s="89">
        <f t="shared" si="46"/>
        <v>0</v>
      </c>
      <c r="W113" s="89">
        <f t="shared" si="46"/>
        <v>0</v>
      </c>
      <c r="X113" s="89">
        <f t="shared" si="46"/>
        <v>0</v>
      </c>
      <c r="Y113" s="89">
        <f t="shared" si="46"/>
        <v>0</v>
      </c>
      <c r="Z113" s="89">
        <f t="shared" si="46"/>
        <v>0</v>
      </c>
      <c r="AA113" s="89">
        <f t="shared" si="46"/>
        <v>0</v>
      </c>
      <c r="AB113" s="89">
        <f t="shared" si="46"/>
        <v>0</v>
      </c>
      <c r="AC113" s="89">
        <f t="shared" si="46"/>
        <v>0</v>
      </c>
      <c r="AD113" s="89">
        <f t="shared" si="46"/>
        <v>0</v>
      </c>
      <c r="AE113" s="89">
        <f t="shared" si="46"/>
        <v>0</v>
      </c>
      <c r="AF113" s="89">
        <f t="shared" si="46"/>
        <v>0</v>
      </c>
      <c r="AG113" s="89">
        <f t="shared" si="19"/>
        <v>0</v>
      </c>
      <c r="AH113" s="89">
        <f t="shared" si="20"/>
        <v>0</v>
      </c>
      <c r="AI113" s="89">
        <f t="shared" si="21"/>
        <v>0</v>
      </c>
      <c r="AJ113" s="89">
        <f t="shared" si="22"/>
        <v>0</v>
      </c>
      <c r="AK113" s="89">
        <f t="shared" si="23"/>
        <v>0</v>
      </c>
      <c r="AL113" s="89">
        <f t="shared" si="24"/>
        <v>0</v>
      </c>
      <c r="AM113" s="89">
        <f t="shared" si="25"/>
        <v>0</v>
      </c>
      <c r="AN113" s="89">
        <f t="shared" si="26"/>
        <v>0</v>
      </c>
      <c r="AO113" s="89">
        <f t="shared" si="27"/>
        <v>0</v>
      </c>
      <c r="AP113" s="89">
        <f t="shared" si="28"/>
        <v>0</v>
      </c>
      <c r="AQ113" s="89">
        <f t="shared" si="29"/>
        <v>0</v>
      </c>
      <c r="AR113" s="89">
        <f t="shared" si="30"/>
        <v>0</v>
      </c>
      <c r="AS113" s="89">
        <f t="shared" si="31"/>
        <v>0</v>
      </c>
      <c r="AT113" s="89">
        <f t="shared" si="32"/>
        <v>0</v>
      </c>
      <c r="AU113" s="89">
        <f t="shared" si="33"/>
        <v>0</v>
      </c>
      <c r="AV113" s="89">
        <f t="shared" si="34"/>
        <v>0</v>
      </c>
      <c r="AW113" s="89">
        <f t="shared" si="35"/>
        <v>0</v>
      </c>
      <c r="AX113" s="89">
        <f t="shared" si="36"/>
        <v>0</v>
      </c>
      <c r="AY113" s="89">
        <f t="shared" si="37"/>
        <v>0</v>
      </c>
      <c r="AZ113" s="89">
        <f t="shared" si="38"/>
        <v>0</v>
      </c>
      <c r="BA113" s="89">
        <f t="shared" si="39"/>
        <v>0</v>
      </c>
      <c r="BB113" s="89">
        <f t="shared" si="39"/>
        <v>0</v>
      </c>
    </row>
    <row r="114" spans="1:54" ht="29">
      <c r="B114" s="6" t="s">
        <v>107</v>
      </c>
      <c r="C114" s="52"/>
      <c r="D114" s="89">
        <f t="shared" ref="D114:AF114" si="47">IF(D$105&lt;$C$5, SUMIFS($C$93:$C$101,$B$93:$B$101,$B114), SUMIFS($E$93:$E$101,$B$93:$B$101,$B114))       *C$87</f>
        <v>0</v>
      </c>
      <c r="E114" s="89">
        <f t="shared" si="47"/>
        <v>0</v>
      </c>
      <c r="F114" s="89">
        <f t="shared" si="47"/>
        <v>0</v>
      </c>
      <c r="G114" s="89">
        <f t="shared" si="47"/>
        <v>0</v>
      </c>
      <c r="H114" s="89">
        <f t="shared" si="47"/>
        <v>0</v>
      </c>
      <c r="I114" s="89">
        <f t="shared" si="47"/>
        <v>0</v>
      </c>
      <c r="J114" s="89">
        <f t="shared" si="47"/>
        <v>0</v>
      </c>
      <c r="K114" s="89">
        <f t="shared" si="47"/>
        <v>0</v>
      </c>
      <c r="L114" s="89">
        <f t="shared" si="47"/>
        <v>0</v>
      </c>
      <c r="M114" s="89">
        <f t="shared" si="47"/>
        <v>0</v>
      </c>
      <c r="N114" s="89">
        <f t="shared" si="47"/>
        <v>0</v>
      </c>
      <c r="O114" s="89">
        <f t="shared" si="47"/>
        <v>0</v>
      </c>
      <c r="P114" s="89">
        <f t="shared" si="47"/>
        <v>0</v>
      </c>
      <c r="Q114" s="89">
        <f t="shared" si="47"/>
        <v>0</v>
      </c>
      <c r="R114" s="89">
        <f t="shared" si="47"/>
        <v>0</v>
      </c>
      <c r="S114" s="89">
        <f t="shared" si="47"/>
        <v>0</v>
      </c>
      <c r="T114" s="89">
        <f t="shared" si="47"/>
        <v>0</v>
      </c>
      <c r="U114" s="89">
        <f t="shared" si="47"/>
        <v>0</v>
      </c>
      <c r="V114" s="89">
        <f t="shared" si="47"/>
        <v>0</v>
      </c>
      <c r="W114" s="89">
        <f t="shared" si="47"/>
        <v>0</v>
      </c>
      <c r="X114" s="89">
        <f t="shared" si="47"/>
        <v>0</v>
      </c>
      <c r="Y114" s="89">
        <f t="shared" si="47"/>
        <v>0</v>
      </c>
      <c r="Z114" s="89">
        <f t="shared" si="47"/>
        <v>0</v>
      </c>
      <c r="AA114" s="89">
        <f t="shared" si="47"/>
        <v>0</v>
      </c>
      <c r="AB114" s="89">
        <f t="shared" si="47"/>
        <v>0</v>
      </c>
      <c r="AC114" s="89">
        <f t="shared" si="47"/>
        <v>0</v>
      </c>
      <c r="AD114" s="89">
        <f t="shared" si="47"/>
        <v>0</v>
      </c>
      <c r="AE114" s="89">
        <f t="shared" si="47"/>
        <v>0</v>
      </c>
      <c r="AF114" s="89">
        <f t="shared" si="47"/>
        <v>0</v>
      </c>
      <c r="AG114" s="89">
        <f t="shared" si="19"/>
        <v>0</v>
      </c>
      <c r="AH114" s="89">
        <f t="shared" si="20"/>
        <v>0</v>
      </c>
      <c r="AI114" s="89">
        <f t="shared" si="21"/>
        <v>0</v>
      </c>
      <c r="AJ114" s="89">
        <f t="shared" si="22"/>
        <v>0</v>
      </c>
      <c r="AK114" s="89">
        <f t="shared" si="23"/>
        <v>0</v>
      </c>
      <c r="AL114" s="89">
        <f t="shared" si="24"/>
        <v>0</v>
      </c>
      <c r="AM114" s="89">
        <f t="shared" si="25"/>
        <v>0</v>
      </c>
      <c r="AN114" s="89">
        <f t="shared" si="26"/>
        <v>0</v>
      </c>
      <c r="AO114" s="89">
        <f t="shared" si="27"/>
        <v>0</v>
      </c>
      <c r="AP114" s="89">
        <f t="shared" si="28"/>
        <v>0</v>
      </c>
      <c r="AQ114" s="89">
        <f t="shared" si="29"/>
        <v>0</v>
      </c>
      <c r="AR114" s="89">
        <f t="shared" si="30"/>
        <v>0</v>
      </c>
      <c r="AS114" s="89">
        <f t="shared" si="31"/>
        <v>0</v>
      </c>
      <c r="AT114" s="89">
        <f t="shared" si="32"/>
        <v>0</v>
      </c>
      <c r="AU114" s="89">
        <f t="shared" si="33"/>
        <v>0</v>
      </c>
      <c r="AV114" s="89">
        <f t="shared" si="34"/>
        <v>0</v>
      </c>
      <c r="AW114" s="89">
        <f t="shared" si="35"/>
        <v>0</v>
      </c>
      <c r="AX114" s="89">
        <f t="shared" si="36"/>
        <v>0</v>
      </c>
      <c r="AY114" s="89">
        <f t="shared" si="37"/>
        <v>0</v>
      </c>
      <c r="AZ114" s="89">
        <f t="shared" si="38"/>
        <v>0</v>
      </c>
      <c r="BA114" s="89">
        <f t="shared" si="39"/>
        <v>0</v>
      </c>
      <c r="BB114" s="89">
        <f t="shared" si="39"/>
        <v>0</v>
      </c>
    </row>
    <row r="115" spans="1:54">
      <c r="B115" s="6" t="s">
        <v>2863</v>
      </c>
      <c r="D115" s="89">
        <f t="shared" ref="D115:AF115" si="48">IF(D$105&lt;$C$5, SUMIFS($C$93:$C$101,$B$93:$B$101,$B115), SUMIFS($E$93:$E$101,$B$93:$B$101,$B115))       *C$87</f>
        <v>0</v>
      </c>
      <c r="E115" s="89">
        <f t="shared" si="48"/>
        <v>2.631604663212435</v>
      </c>
      <c r="F115" s="89">
        <f t="shared" si="48"/>
        <v>5.3643666912280255</v>
      </c>
      <c r="G115" s="89">
        <f t="shared" si="48"/>
        <v>8.1844894947089983</v>
      </c>
      <c r="H115" s="89">
        <f t="shared" si="48"/>
        <v>11.08217236277353</v>
      </c>
      <c r="I115" s="89">
        <f t="shared" si="48"/>
        <v>104.22397200349204</v>
      </c>
      <c r="J115" s="89">
        <f t="shared" si="48"/>
        <v>189.56544411129693</v>
      </c>
      <c r="K115" s="89">
        <f t="shared" si="48"/>
        <v>269.9879944704731</v>
      </c>
      <c r="L115" s="89">
        <f t="shared" si="48"/>
        <v>347.46055758549642</v>
      </c>
      <c r="M115" s="89">
        <f t="shared" si="48"/>
        <v>423.44673484292002</v>
      </c>
      <c r="N115" s="89">
        <f t="shared" si="48"/>
        <v>498.8689233640003</v>
      </c>
      <c r="O115" s="89">
        <f t="shared" si="48"/>
        <v>571.68456536072074</v>
      </c>
      <c r="P115" s="89">
        <f t="shared" si="48"/>
        <v>644.84380786883366</v>
      </c>
      <c r="Q115" s="89">
        <f t="shared" si="48"/>
        <v>718.58498735733269</v>
      </c>
      <c r="R115" s="89">
        <f t="shared" si="48"/>
        <v>793.05348213039372</v>
      </c>
      <c r="S115" s="89">
        <f t="shared" si="48"/>
        <v>778.17763354122121</v>
      </c>
      <c r="T115" s="89">
        <f t="shared" si="48"/>
        <v>772.05955190263887</v>
      </c>
      <c r="U115" s="89">
        <f t="shared" si="48"/>
        <v>771.84331871273787</v>
      </c>
      <c r="V115" s="89">
        <f t="shared" si="48"/>
        <v>775.58181474170431</v>
      </c>
      <c r="W115" s="89">
        <f t="shared" si="48"/>
        <v>781.86474619477951</v>
      </c>
      <c r="X115" s="89">
        <f t="shared" si="48"/>
        <v>789.76530763420601</v>
      </c>
      <c r="Y115" s="89">
        <f t="shared" si="48"/>
        <v>798.67656260052695</v>
      </c>
      <c r="Z115" s="89">
        <f t="shared" si="48"/>
        <v>808.17742509813945</v>
      </c>
      <c r="AA115" s="89">
        <f t="shared" si="48"/>
        <v>818.03313235942835</v>
      </c>
      <c r="AB115" s="89">
        <f t="shared" si="48"/>
        <v>828.08864626561626</v>
      </c>
      <c r="AC115" s="89">
        <f t="shared" si="48"/>
        <v>838.22302472033948</v>
      </c>
      <c r="AD115" s="89">
        <f t="shared" si="48"/>
        <v>848.35677482954304</v>
      </c>
      <c r="AE115" s="89">
        <f t="shared" si="48"/>
        <v>858.4329805646787</v>
      </c>
      <c r="AF115" s="89">
        <f t="shared" si="48"/>
        <v>868.38999983913379</v>
      </c>
      <c r="AG115" s="89">
        <f t="shared" si="19"/>
        <v>878.12889821503893</v>
      </c>
      <c r="AH115" s="89">
        <f t="shared" si="20"/>
        <v>887.61053194335818</v>
      </c>
      <c r="AI115" s="89">
        <f t="shared" si="21"/>
        <v>896.82601862897434</v>
      </c>
      <c r="AJ115" s="89">
        <f t="shared" si="22"/>
        <v>905.75202429266676</v>
      </c>
      <c r="AK115" s="89">
        <f t="shared" si="23"/>
        <v>914.38386976004108</v>
      </c>
      <c r="AL115" s="89">
        <f t="shared" si="24"/>
        <v>922.71607940253762</v>
      </c>
      <c r="AM115" s="89">
        <f t="shared" si="25"/>
        <v>930.73417481679985</v>
      </c>
      <c r="AN115" s="89">
        <f t="shared" si="26"/>
        <v>938.41099280481467</v>
      </c>
      <c r="AO115" s="89">
        <f t="shared" si="27"/>
        <v>945.72371761979252</v>
      </c>
      <c r="AP115" s="89">
        <f t="shared" si="28"/>
        <v>952.65399228478805</v>
      </c>
      <c r="AQ115" s="89">
        <f t="shared" si="29"/>
        <v>959.18563319959355</v>
      </c>
      <c r="AR115" s="89">
        <f t="shared" si="30"/>
        <v>965.32735429843797</v>
      </c>
      <c r="AS115" s="89">
        <f t="shared" si="31"/>
        <v>971.0962246987558</v>
      </c>
      <c r="AT115" s="89">
        <f t="shared" si="32"/>
        <v>976.52537308304852</v>
      </c>
      <c r="AU115" s="89">
        <f t="shared" si="33"/>
        <v>981.53222781079774</v>
      </c>
      <c r="AV115" s="89">
        <f t="shared" si="34"/>
        <v>986.0760076524291</v>
      </c>
      <c r="AW115" s="89">
        <f t="shared" si="35"/>
        <v>990.15311941458378</v>
      </c>
      <c r="AX115" s="89">
        <f t="shared" si="36"/>
        <v>993.72066648946463</v>
      </c>
      <c r="AY115" s="89">
        <f t="shared" si="37"/>
        <v>996.77725394614754</v>
      </c>
      <c r="AZ115" s="89">
        <f t="shared" si="38"/>
        <v>999.3483439809562</v>
      </c>
      <c r="BA115" s="89">
        <f t="shared" si="39"/>
        <v>1001.4773552191037</v>
      </c>
      <c r="BB115" s="89">
        <f t="shared" si="39"/>
        <v>1003.189552877417</v>
      </c>
    </row>
    <row r="116" spans="1:54">
      <c r="B116" s="6" t="s">
        <v>2862</v>
      </c>
      <c r="C116" s="52"/>
      <c r="D116" s="89">
        <f t="shared" ref="D116:AF116" si="49">IF(D$105&lt;$C$5, SUMIFS($C$93:$C$101,$B$93:$B$101,$B116), SUMIFS($E$93:$E$101,$B$93:$B$101,$B116))       *C$87</f>
        <v>0</v>
      </c>
      <c r="E116" s="89">
        <f t="shared" si="49"/>
        <v>5.26320932642487</v>
      </c>
      <c r="F116" s="89">
        <f t="shared" si="49"/>
        <v>10.728733382456051</v>
      </c>
      <c r="G116" s="89">
        <f t="shared" si="49"/>
        <v>16.368978989417997</v>
      </c>
      <c r="H116" s="89">
        <f t="shared" si="49"/>
        <v>22.16434472554706</v>
      </c>
      <c r="I116" s="89">
        <f t="shared" si="49"/>
        <v>208.44794400698407</v>
      </c>
      <c r="J116" s="89">
        <f t="shared" si="49"/>
        <v>379.13088822259385</v>
      </c>
      <c r="K116" s="89">
        <f t="shared" si="49"/>
        <v>539.97598894094619</v>
      </c>
      <c r="L116" s="89">
        <f t="shared" si="49"/>
        <v>694.92111517099283</v>
      </c>
      <c r="M116" s="89">
        <f t="shared" si="49"/>
        <v>846.89346968584005</v>
      </c>
      <c r="N116" s="89">
        <f t="shared" si="49"/>
        <v>997.73784672800059</v>
      </c>
      <c r="O116" s="89">
        <f t="shared" si="49"/>
        <v>1143.3691307214415</v>
      </c>
      <c r="P116" s="89">
        <f t="shared" si="49"/>
        <v>1289.6876157376673</v>
      </c>
      <c r="Q116" s="89">
        <f t="shared" si="49"/>
        <v>1437.1699747146654</v>
      </c>
      <c r="R116" s="89">
        <f t="shared" si="49"/>
        <v>1586.1069642607874</v>
      </c>
      <c r="S116" s="89">
        <f t="shared" si="49"/>
        <v>1556.3552670824424</v>
      </c>
      <c r="T116" s="89">
        <f t="shared" si="49"/>
        <v>1544.1191038052777</v>
      </c>
      <c r="U116" s="89">
        <f t="shared" si="49"/>
        <v>1543.6866374254757</v>
      </c>
      <c r="V116" s="89">
        <f t="shared" si="49"/>
        <v>1551.1636294834086</v>
      </c>
      <c r="W116" s="89">
        <f t="shared" si="49"/>
        <v>1563.729492389559</v>
      </c>
      <c r="X116" s="89">
        <f t="shared" si="49"/>
        <v>1579.530615268412</v>
      </c>
      <c r="Y116" s="89">
        <f t="shared" si="49"/>
        <v>1597.3531252010539</v>
      </c>
      <c r="Z116" s="89">
        <f t="shared" si="49"/>
        <v>1616.3548501962789</v>
      </c>
      <c r="AA116" s="89">
        <f t="shared" si="49"/>
        <v>1636.0662647188567</v>
      </c>
      <c r="AB116" s="89">
        <f t="shared" si="49"/>
        <v>1656.1772925312325</v>
      </c>
      <c r="AC116" s="89">
        <f t="shared" si="49"/>
        <v>1676.446049440679</v>
      </c>
      <c r="AD116" s="89">
        <f t="shared" si="49"/>
        <v>1696.7135496590861</v>
      </c>
      <c r="AE116" s="89">
        <f t="shared" si="49"/>
        <v>1716.8659611293574</v>
      </c>
      <c r="AF116" s="89">
        <f t="shared" si="49"/>
        <v>1736.7799996782676</v>
      </c>
      <c r="AG116" s="89">
        <f t="shared" si="19"/>
        <v>1756.2577964300779</v>
      </c>
      <c r="AH116" s="89">
        <f t="shared" si="20"/>
        <v>1775.2210638867164</v>
      </c>
      <c r="AI116" s="89">
        <f t="shared" si="21"/>
        <v>1793.6520372579487</v>
      </c>
      <c r="AJ116" s="89">
        <f t="shared" si="22"/>
        <v>1811.5040485853335</v>
      </c>
      <c r="AK116" s="89">
        <f t="shared" si="23"/>
        <v>1828.7677395200822</v>
      </c>
      <c r="AL116" s="89">
        <f t="shared" si="24"/>
        <v>1845.4321588050752</v>
      </c>
      <c r="AM116" s="89">
        <f t="shared" si="25"/>
        <v>1861.4683496335997</v>
      </c>
      <c r="AN116" s="89">
        <f t="shared" si="26"/>
        <v>1876.8219856096293</v>
      </c>
      <c r="AO116" s="89">
        <f t="shared" si="27"/>
        <v>1891.447435239585</v>
      </c>
      <c r="AP116" s="89">
        <f t="shared" si="28"/>
        <v>1905.3079845695761</v>
      </c>
      <c r="AQ116" s="89">
        <f t="shared" si="29"/>
        <v>1918.3712663991871</v>
      </c>
      <c r="AR116" s="89">
        <f t="shared" si="30"/>
        <v>1930.6547085968759</v>
      </c>
      <c r="AS116" s="89">
        <f t="shared" si="31"/>
        <v>1942.1924493975116</v>
      </c>
      <c r="AT116" s="89">
        <f t="shared" si="32"/>
        <v>1953.050746166097</v>
      </c>
      <c r="AU116" s="89">
        <f t="shared" si="33"/>
        <v>1963.0644556215955</v>
      </c>
      <c r="AV116" s="89">
        <f t="shared" si="34"/>
        <v>1972.1520153048582</v>
      </c>
      <c r="AW116" s="89">
        <f t="shared" si="35"/>
        <v>1980.3062388291676</v>
      </c>
      <c r="AX116" s="89">
        <f t="shared" si="36"/>
        <v>1987.4413329789293</v>
      </c>
      <c r="AY116" s="89">
        <f t="shared" si="37"/>
        <v>1993.5545078922951</v>
      </c>
      <c r="AZ116" s="89">
        <f t="shared" si="38"/>
        <v>1998.6966879619124</v>
      </c>
      <c r="BA116" s="89">
        <f t="shared" si="39"/>
        <v>2002.9547104382075</v>
      </c>
      <c r="BB116" s="89">
        <f t="shared" si="39"/>
        <v>2006.379105754834</v>
      </c>
    </row>
    <row r="117" spans="1:54">
      <c r="B117" s="6" t="s">
        <v>131</v>
      </c>
      <c r="C117" s="52"/>
      <c r="D117" s="89">
        <f t="shared" ref="D117:AF117" si="50">IF(D$105&lt;$C$5, SUMIFS($C$93:$C$101,$B$93:$B$101,$B117), SUMIFS($E$93:$E$101,$B$93:$B$101,$B117))       *C$87</f>
        <v>0</v>
      </c>
      <c r="E117" s="89">
        <f t="shared" si="50"/>
        <v>0</v>
      </c>
      <c r="F117" s="89">
        <f t="shared" si="50"/>
        <v>0</v>
      </c>
      <c r="G117" s="89">
        <f t="shared" si="50"/>
        <v>0</v>
      </c>
      <c r="H117" s="89">
        <f t="shared" si="50"/>
        <v>0</v>
      </c>
      <c r="I117" s="89">
        <f t="shared" si="50"/>
        <v>0</v>
      </c>
      <c r="J117" s="89">
        <f t="shared" si="50"/>
        <v>0</v>
      </c>
      <c r="K117" s="89">
        <f t="shared" si="50"/>
        <v>0</v>
      </c>
      <c r="L117" s="89">
        <f t="shared" si="50"/>
        <v>0</v>
      </c>
      <c r="M117" s="89">
        <f t="shared" si="50"/>
        <v>0</v>
      </c>
      <c r="N117" s="89">
        <f t="shared" si="50"/>
        <v>0</v>
      </c>
      <c r="O117" s="89">
        <f t="shared" si="50"/>
        <v>0</v>
      </c>
      <c r="P117" s="89">
        <f t="shared" si="50"/>
        <v>0</v>
      </c>
      <c r="Q117" s="89">
        <f t="shared" si="50"/>
        <v>0</v>
      </c>
      <c r="R117" s="89">
        <f t="shared" si="50"/>
        <v>0</v>
      </c>
      <c r="S117" s="89">
        <f t="shared" si="50"/>
        <v>0</v>
      </c>
      <c r="T117" s="89">
        <f t="shared" si="50"/>
        <v>0</v>
      </c>
      <c r="U117" s="89">
        <f t="shared" si="50"/>
        <v>0</v>
      </c>
      <c r="V117" s="89">
        <f t="shared" si="50"/>
        <v>0</v>
      </c>
      <c r="W117" s="89">
        <f t="shared" si="50"/>
        <v>0</v>
      </c>
      <c r="X117" s="89">
        <f t="shared" si="50"/>
        <v>0</v>
      </c>
      <c r="Y117" s="89">
        <f t="shared" si="50"/>
        <v>0</v>
      </c>
      <c r="Z117" s="89">
        <f t="shared" si="50"/>
        <v>0</v>
      </c>
      <c r="AA117" s="89">
        <f t="shared" si="50"/>
        <v>0</v>
      </c>
      <c r="AB117" s="89">
        <f t="shared" si="50"/>
        <v>0</v>
      </c>
      <c r="AC117" s="89">
        <f t="shared" si="50"/>
        <v>0</v>
      </c>
      <c r="AD117" s="89">
        <f t="shared" si="50"/>
        <v>0</v>
      </c>
      <c r="AE117" s="89">
        <f t="shared" si="50"/>
        <v>0</v>
      </c>
      <c r="AF117" s="89">
        <f t="shared" si="50"/>
        <v>0</v>
      </c>
      <c r="AG117" s="89">
        <f t="shared" si="19"/>
        <v>0</v>
      </c>
      <c r="AH117" s="89">
        <f t="shared" si="20"/>
        <v>0</v>
      </c>
      <c r="AI117" s="89">
        <f t="shared" si="21"/>
        <v>0</v>
      </c>
      <c r="AJ117" s="89">
        <f t="shared" si="22"/>
        <v>0</v>
      </c>
      <c r="AK117" s="89">
        <f t="shared" si="23"/>
        <v>0</v>
      </c>
      <c r="AL117" s="89">
        <f t="shared" si="24"/>
        <v>0</v>
      </c>
      <c r="AM117" s="89">
        <f t="shared" si="25"/>
        <v>0</v>
      </c>
      <c r="AN117" s="89">
        <f t="shared" si="26"/>
        <v>0</v>
      </c>
      <c r="AO117" s="89">
        <f t="shared" si="27"/>
        <v>0</v>
      </c>
      <c r="AP117" s="89">
        <f t="shared" si="28"/>
        <v>0</v>
      </c>
      <c r="AQ117" s="89">
        <f t="shared" si="29"/>
        <v>0</v>
      </c>
      <c r="AR117" s="89">
        <f t="shared" si="30"/>
        <v>0</v>
      </c>
      <c r="AS117" s="89">
        <f t="shared" si="31"/>
        <v>0</v>
      </c>
      <c r="AT117" s="89">
        <f t="shared" si="32"/>
        <v>0</v>
      </c>
      <c r="AU117" s="89">
        <f t="shared" si="33"/>
        <v>0</v>
      </c>
      <c r="AV117" s="89">
        <f t="shared" si="34"/>
        <v>0</v>
      </c>
      <c r="AW117" s="89">
        <f t="shared" si="35"/>
        <v>0</v>
      </c>
      <c r="AX117" s="89">
        <f t="shared" si="36"/>
        <v>0</v>
      </c>
      <c r="AY117" s="89">
        <f t="shared" si="37"/>
        <v>0</v>
      </c>
      <c r="AZ117" s="89">
        <f t="shared" si="38"/>
        <v>0</v>
      </c>
      <c r="BA117" s="89">
        <f t="shared" si="39"/>
        <v>0</v>
      </c>
      <c r="BB117" s="89">
        <f t="shared" si="39"/>
        <v>0</v>
      </c>
    </row>
    <row r="118" spans="1:54" ht="29">
      <c r="B118" s="6" t="s">
        <v>2869</v>
      </c>
      <c r="C118" s="52"/>
      <c r="D118" s="89">
        <f t="shared" ref="D118:AF118" si="51">IF(D$105&lt;$C$5, SUMIFS($C$93:$C$101,$B$93:$B$101,$B118), SUMIFS($E$93:$E$101,$B$93:$B$101,$B118))       *C$87</f>
        <v>0</v>
      </c>
      <c r="E118" s="89">
        <f t="shared" si="51"/>
        <v>0</v>
      </c>
      <c r="F118" s="89">
        <f t="shared" si="51"/>
        <v>0</v>
      </c>
      <c r="G118" s="89">
        <f t="shared" si="51"/>
        <v>0</v>
      </c>
      <c r="H118" s="89">
        <f t="shared" si="51"/>
        <v>0</v>
      </c>
      <c r="I118" s="89">
        <f t="shared" si="51"/>
        <v>0</v>
      </c>
      <c r="J118" s="89">
        <f t="shared" si="51"/>
        <v>0</v>
      </c>
      <c r="K118" s="89">
        <f t="shared" si="51"/>
        <v>0</v>
      </c>
      <c r="L118" s="89">
        <f t="shared" si="51"/>
        <v>0</v>
      </c>
      <c r="M118" s="89">
        <f t="shared" si="51"/>
        <v>0</v>
      </c>
      <c r="N118" s="89">
        <f t="shared" si="51"/>
        <v>0</v>
      </c>
      <c r="O118" s="89">
        <f t="shared" si="51"/>
        <v>0</v>
      </c>
      <c r="P118" s="89">
        <f t="shared" si="51"/>
        <v>0</v>
      </c>
      <c r="Q118" s="89">
        <f t="shared" si="51"/>
        <v>0</v>
      </c>
      <c r="R118" s="89">
        <f t="shared" si="51"/>
        <v>0</v>
      </c>
      <c r="S118" s="89">
        <f t="shared" si="51"/>
        <v>0</v>
      </c>
      <c r="T118" s="89">
        <f t="shared" si="51"/>
        <v>0</v>
      </c>
      <c r="U118" s="89">
        <f t="shared" si="51"/>
        <v>0</v>
      </c>
      <c r="V118" s="89">
        <f t="shared" si="51"/>
        <v>0</v>
      </c>
      <c r="W118" s="89">
        <f t="shared" si="51"/>
        <v>0</v>
      </c>
      <c r="X118" s="89">
        <f t="shared" si="51"/>
        <v>0</v>
      </c>
      <c r="Y118" s="89">
        <f t="shared" si="51"/>
        <v>0</v>
      </c>
      <c r="Z118" s="89">
        <f t="shared" si="51"/>
        <v>0</v>
      </c>
      <c r="AA118" s="89">
        <f t="shared" si="51"/>
        <v>0</v>
      </c>
      <c r="AB118" s="89">
        <f t="shared" si="51"/>
        <v>0</v>
      </c>
      <c r="AC118" s="89">
        <f t="shared" si="51"/>
        <v>0</v>
      </c>
      <c r="AD118" s="89">
        <f t="shared" si="51"/>
        <v>0</v>
      </c>
      <c r="AE118" s="89">
        <f t="shared" si="51"/>
        <v>0</v>
      </c>
      <c r="AF118" s="89">
        <f t="shared" si="51"/>
        <v>0</v>
      </c>
      <c r="AG118" s="89">
        <f t="shared" si="19"/>
        <v>0</v>
      </c>
      <c r="AH118" s="89">
        <f t="shared" si="20"/>
        <v>0</v>
      </c>
      <c r="AI118" s="89">
        <f t="shared" si="21"/>
        <v>0</v>
      </c>
      <c r="AJ118" s="89">
        <f t="shared" si="22"/>
        <v>0</v>
      </c>
      <c r="AK118" s="89">
        <f t="shared" si="23"/>
        <v>0</v>
      </c>
      <c r="AL118" s="89">
        <f t="shared" si="24"/>
        <v>0</v>
      </c>
      <c r="AM118" s="89">
        <f t="shared" si="25"/>
        <v>0</v>
      </c>
      <c r="AN118" s="89">
        <f t="shared" si="26"/>
        <v>0</v>
      </c>
      <c r="AO118" s="89">
        <f t="shared" si="27"/>
        <v>0</v>
      </c>
      <c r="AP118" s="89">
        <f t="shared" si="28"/>
        <v>0</v>
      </c>
      <c r="AQ118" s="89">
        <f t="shared" si="29"/>
        <v>0</v>
      </c>
      <c r="AR118" s="89">
        <f t="shared" si="30"/>
        <v>0</v>
      </c>
      <c r="AS118" s="89">
        <f t="shared" si="31"/>
        <v>0</v>
      </c>
      <c r="AT118" s="89">
        <f t="shared" si="32"/>
        <v>0</v>
      </c>
      <c r="AU118" s="89">
        <f t="shared" si="33"/>
        <v>0</v>
      </c>
      <c r="AV118" s="89">
        <f t="shared" si="34"/>
        <v>0</v>
      </c>
      <c r="AW118" s="89">
        <f t="shared" si="35"/>
        <v>0</v>
      </c>
      <c r="AX118" s="89">
        <f t="shared" si="36"/>
        <v>0</v>
      </c>
      <c r="AY118" s="89">
        <f t="shared" si="37"/>
        <v>0</v>
      </c>
      <c r="AZ118" s="89">
        <f t="shared" si="38"/>
        <v>0</v>
      </c>
      <c r="BA118" s="89">
        <f t="shared" si="39"/>
        <v>0</v>
      </c>
      <c r="BB118" s="89">
        <f t="shared" si="39"/>
        <v>0</v>
      </c>
    </row>
    <row r="119" spans="1:54" ht="29">
      <c r="B119" s="6" t="s">
        <v>2870</v>
      </c>
      <c r="C119" s="52"/>
      <c r="D119" s="89">
        <f t="shared" ref="D119:AF119" si="52">IF(D$105&lt;$C$5, SUMIFS($C$93:$C$101,$B$93:$B$101,$B119), SUMIFS($E$93:$E$101,$B$93:$B$101,$B119))       *C$87</f>
        <v>0</v>
      </c>
      <c r="E119" s="89">
        <f t="shared" si="52"/>
        <v>0</v>
      </c>
      <c r="F119" s="89">
        <f t="shared" si="52"/>
        <v>0</v>
      </c>
      <c r="G119" s="89">
        <f t="shared" si="52"/>
        <v>0</v>
      </c>
      <c r="H119" s="89">
        <f t="shared" si="52"/>
        <v>0</v>
      </c>
      <c r="I119" s="89">
        <f t="shared" si="52"/>
        <v>0</v>
      </c>
      <c r="J119" s="89">
        <f t="shared" si="52"/>
        <v>0</v>
      </c>
      <c r="K119" s="89">
        <f t="shared" si="52"/>
        <v>0</v>
      </c>
      <c r="L119" s="89">
        <f t="shared" si="52"/>
        <v>0</v>
      </c>
      <c r="M119" s="89">
        <f t="shared" si="52"/>
        <v>0</v>
      </c>
      <c r="N119" s="89">
        <f t="shared" si="52"/>
        <v>0</v>
      </c>
      <c r="O119" s="89">
        <f t="shared" si="52"/>
        <v>0</v>
      </c>
      <c r="P119" s="89">
        <f t="shared" si="52"/>
        <v>0</v>
      </c>
      <c r="Q119" s="89">
        <f t="shared" si="52"/>
        <v>0</v>
      </c>
      <c r="R119" s="89">
        <f t="shared" si="52"/>
        <v>0</v>
      </c>
      <c r="S119" s="89">
        <f t="shared" si="52"/>
        <v>0</v>
      </c>
      <c r="T119" s="89">
        <f t="shared" si="52"/>
        <v>0</v>
      </c>
      <c r="U119" s="89">
        <f t="shared" si="52"/>
        <v>0</v>
      </c>
      <c r="V119" s="89">
        <f t="shared" si="52"/>
        <v>0</v>
      </c>
      <c r="W119" s="89">
        <f t="shared" si="52"/>
        <v>0</v>
      </c>
      <c r="X119" s="89">
        <f t="shared" si="52"/>
        <v>0</v>
      </c>
      <c r="Y119" s="89">
        <f t="shared" si="52"/>
        <v>0</v>
      </c>
      <c r="Z119" s="89">
        <f t="shared" si="52"/>
        <v>0</v>
      </c>
      <c r="AA119" s="89">
        <f t="shared" si="52"/>
        <v>0</v>
      </c>
      <c r="AB119" s="89">
        <f t="shared" si="52"/>
        <v>0</v>
      </c>
      <c r="AC119" s="89">
        <f t="shared" si="52"/>
        <v>0</v>
      </c>
      <c r="AD119" s="89">
        <f t="shared" si="52"/>
        <v>0</v>
      </c>
      <c r="AE119" s="89">
        <f t="shared" si="52"/>
        <v>0</v>
      </c>
      <c r="AF119" s="89">
        <f t="shared" si="52"/>
        <v>0</v>
      </c>
      <c r="AG119" s="89">
        <f t="shared" si="19"/>
        <v>0</v>
      </c>
      <c r="AH119" s="89">
        <f t="shared" si="20"/>
        <v>0</v>
      </c>
      <c r="AI119" s="89">
        <f t="shared" si="21"/>
        <v>0</v>
      </c>
      <c r="AJ119" s="89">
        <f t="shared" si="22"/>
        <v>0</v>
      </c>
      <c r="AK119" s="89">
        <f t="shared" si="23"/>
        <v>0</v>
      </c>
      <c r="AL119" s="89">
        <f t="shared" si="24"/>
        <v>0</v>
      </c>
      <c r="AM119" s="89">
        <f t="shared" si="25"/>
        <v>0</v>
      </c>
      <c r="AN119" s="89">
        <f t="shared" si="26"/>
        <v>0</v>
      </c>
      <c r="AO119" s="89">
        <f t="shared" si="27"/>
        <v>0</v>
      </c>
      <c r="AP119" s="89">
        <f t="shared" si="28"/>
        <v>0</v>
      </c>
      <c r="AQ119" s="89">
        <f t="shared" si="29"/>
        <v>0</v>
      </c>
      <c r="AR119" s="89">
        <f t="shared" si="30"/>
        <v>0</v>
      </c>
      <c r="AS119" s="89">
        <f t="shared" si="31"/>
        <v>0</v>
      </c>
      <c r="AT119" s="89">
        <f t="shared" si="32"/>
        <v>0</v>
      </c>
      <c r="AU119" s="89">
        <f t="shared" si="33"/>
        <v>0</v>
      </c>
      <c r="AV119" s="89">
        <f t="shared" si="34"/>
        <v>0</v>
      </c>
      <c r="AW119" s="89">
        <f t="shared" si="35"/>
        <v>0</v>
      </c>
      <c r="AX119" s="89">
        <f t="shared" si="36"/>
        <v>0</v>
      </c>
      <c r="AY119" s="89">
        <f t="shared" si="37"/>
        <v>0</v>
      </c>
      <c r="AZ119" s="89">
        <f t="shared" si="38"/>
        <v>0</v>
      </c>
      <c r="BA119" s="89">
        <f t="shared" si="39"/>
        <v>0</v>
      </c>
      <c r="BB119" s="89">
        <f t="shared" si="39"/>
        <v>0</v>
      </c>
    </row>
    <row r="120" spans="1:54">
      <c r="B120" s="6" t="s">
        <v>102</v>
      </c>
      <c r="C120" s="52"/>
      <c r="D120" s="89">
        <f t="shared" ref="D120:AF120" si="53">IF(D$105&lt;$C$5, SUMIFS($C$93:$C$101,$B$93:$B$101,$B120), SUMIFS($E$93:$E$101,$B$93:$B$101,$B120))       *C$87</f>
        <v>0</v>
      </c>
      <c r="E120" s="89">
        <f t="shared" si="53"/>
        <v>5.26320932642487</v>
      </c>
      <c r="F120" s="89">
        <f t="shared" si="53"/>
        <v>10.728733382456051</v>
      </c>
      <c r="G120" s="89">
        <f t="shared" si="53"/>
        <v>16.368978989417997</v>
      </c>
      <c r="H120" s="89">
        <f t="shared" si="53"/>
        <v>22.16434472554706</v>
      </c>
      <c r="I120" s="89">
        <f t="shared" si="53"/>
        <v>208.44794400698407</v>
      </c>
      <c r="J120" s="89">
        <f t="shared" si="53"/>
        <v>379.13088822259385</v>
      </c>
      <c r="K120" s="89">
        <f t="shared" si="53"/>
        <v>539.97598894094619</v>
      </c>
      <c r="L120" s="89">
        <f t="shared" si="53"/>
        <v>694.92111517099283</v>
      </c>
      <c r="M120" s="89">
        <f t="shared" si="53"/>
        <v>846.89346968584005</v>
      </c>
      <c r="N120" s="89">
        <f t="shared" si="53"/>
        <v>997.73784672800059</v>
      </c>
      <c r="O120" s="89">
        <f t="shared" si="53"/>
        <v>1143.3691307214415</v>
      </c>
      <c r="P120" s="89">
        <f t="shared" si="53"/>
        <v>1289.6876157376673</v>
      </c>
      <c r="Q120" s="89">
        <f t="shared" si="53"/>
        <v>1437.1699747146654</v>
      </c>
      <c r="R120" s="89">
        <f t="shared" si="53"/>
        <v>1586.1069642607874</v>
      </c>
      <c r="S120" s="89">
        <f t="shared" si="53"/>
        <v>1556.3552670824424</v>
      </c>
      <c r="T120" s="89">
        <f t="shared" si="53"/>
        <v>1544.1191038052777</v>
      </c>
      <c r="U120" s="89">
        <f t="shared" si="53"/>
        <v>1543.6866374254757</v>
      </c>
      <c r="V120" s="89">
        <f t="shared" si="53"/>
        <v>1551.1636294834086</v>
      </c>
      <c r="W120" s="89">
        <f t="shared" si="53"/>
        <v>1563.729492389559</v>
      </c>
      <c r="X120" s="89">
        <f t="shared" si="53"/>
        <v>1579.530615268412</v>
      </c>
      <c r="Y120" s="89">
        <f t="shared" si="53"/>
        <v>1597.3531252010539</v>
      </c>
      <c r="Z120" s="89">
        <f t="shared" si="53"/>
        <v>1616.3548501962789</v>
      </c>
      <c r="AA120" s="89">
        <f t="shared" si="53"/>
        <v>1636.0662647188567</v>
      </c>
      <c r="AB120" s="89">
        <f t="shared" si="53"/>
        <v>1656.1772925312325</v>
      </c>
      <c r="AC120" s="89">
        <f t="shared" si="53"/>
        <v>1676.446049440679</v>
      </c>
      <c r="AD120" s="89">
        <f t="shared" si="53"/>
        <v>1696.7135496590861</v>
      </c>
      <c r="AE120" s="89">
        <f t="shared" si="53"/>
        <v>1716.8659611293574</v>
      </c>
      <c r="AF120" s="89">
        <f t="shared" si="53"/>
        <v>1736.7799996782676</v>
      </c>
      <c r="AG120" s="89">
        <f t="shared" si="19"/>
        <v>1756.2577964300779</v>
      </c>
      <c r="AH120" s="89">
        <f t="shared" si="20"/>
        <v>1775.2210638867164</v>
      </c>
      <c r="AI120" s="89">
        <f t="shared" si="21"/>
        <v>1793.6520372579487</v>
      </c>
      <c r="AJ120" s="89">
        <f t="shared" si="22"/>
        <v>1811.5040485853335</v>
      </c>
      <c r="AK120" s="89">
        <f t="shared" si="23"/>
        <v>1828.7677395200822</v>
      </c>
      <c r="AL120" s="89">
        <f t="shared" si="24"/>
        <v>1845.4321588050752</v>
      </c>
      <c r="AM120" s="89">
        <f t="shared" si="25"/>
        <v>1861.4683496335997</v>
      </c>
      <c r="AN120" s="89">
        <f t="shared" si="26"/>
        <v>1876.8219856096293</v>
      </c>
      <c r="AO120" s="89">
        <f t="shared" si="27"/>
        <v>1891.447435239585</v>
      </c>
      <c r="AP120" s="89">
        <f t="shared" si="28"/>
        <v>1905.3079845695761</v>
      </c>
      <c r="AQ120" s="89">
        <f t="shared" si="29"/>
        <v>1918.3712663991871</v>
      </c>
      <c r="AR120" s="89">
        <f t="shared" si="30"/>
        <v>1930.6547085968759</v>
      </c>
      <c r="AS120" s="89">
        <f t="shared" si="31"/>
        <v>1942.1924493975116</v>
      </c>
      <c r="AT120" s="89">
        <f t="shared" si="32"/>
        <v>1953.050746166097</v>
      </c>
      <c r="AU120" s="89">
        <f t="shared" si="33"/>
        <v>1963.0644556215955</v>
      </c>
      <c r="AV120" s="89">
        <f t="shared" si="34"/>
        <v>1972.1520153048582</v>
      </c>
      <c r="AW120" s="89">
        <f t="shared" si="35"/>
        <v>1980.3062388291676</v>
      </c>
      <c r="AX120" s="89">
        <f t="shared" si="36"/>
        <v>1987.4413329789293</v>
      </c>
      <c r="AY120" s="89">
        <f t="shared" si="37"/>
        <v>1993.5545078922951</v>
      </c>
      <c r="AZ120" s="89">
        <f t="shared" si="38"/>
        <v>1998.6966879619124</v>
      </c>
      <c r="BA120" s="89">
        <f t="shared" si="39"/>
        <v>2002.9547104382075</v>
      </c>
      <c r="BB120" s="89">
        <f t="shared" si="39"/>
        <v>2006.379105754834</v>
      </c>
    </row>
    <row r="121" spans="1:54">
      <c r="B121" s="6" t="s">
        <v>2831</v>
      </c>
      <c r="C121" s="52"/>
      <c r="D121" s="89">
        <f t="shared" ref="D121:AF121" si="54">IF(D$105&lt;$C$5, SUMIFS($C$93:$C$101,$B$93:$B$101,$B121), SUMIFS($E$93:$E$101,$B$93:$B$101,$B121))       *C$87</f>
        <v>0</v>
      </c>
      <c r="E121" s="89">
        <f t="shared" si="54"/>
        <v>94.737767875647663</v>
      </c>
      <c r="F121" s="89">
        <f t="shared" si="54"/>
        <v>193.11720088420893</v>
      </c>
      <c r="G121" s="89">
        <f t="shared" si="54"/>
        <v>294.64162180952394</v>
      </c>
      <c r="H121" s="89">
        <f t="shared" si="54"/>
        <v>598.43730758977074</v>
      </c>
      <c r="I121" s="89">
        <f t="shared" si="54"/>
        <v>5628.0944881885707</v>
      </c>
      <c r="J121" s="89">
        <f t="shared" si="54"/>
        <v>10236.533982010036</v>
      </c>
      <c r="K121" s="89">
        <f t="shared" si="54"/>
        <v>14579.351701405549</v>
      </c>
      <c r="L121" s="89">
        <f t="shared" si="54"/>
        <v>18762.870109616808</v>
      </c>
      <c r="M121" s="89">
        <f t="shared" si="54"/>
        <v>22866.123681517685</v>
      </c>
      <c r="N121" s="89">
        <f t="shared" si="54"/>
        <v>26938.921861656021</v>
      </c>
      <c r="O121" s="89">
        <f t="shared" si="54"/>
        <v>30870.966529478923</v>
      </c>
      <c r="P121" s="89">
        <f t="shared" si="54"/>
        <v>34821.565624917021</v>
      </c>
      <c r="Q121" s="89">
        <f t="shared" si="54"/>
        <v>38803.58931729597</v>
      </c>
      <c r="R121" s="89">
        <f t="shared" si="54"/>
        <v>42824.888035041266</v>
      </c>
      <c r="S121" s="89">
        <f t="shared" si="54"/>
        <v>42021.59221122595</v>
      </c>
      <c r="T121" s="89">
        <f t="shared" si="54"/>
        <v>41691.215802742503</v>
      </c>
      <c r="U121" s="89">
        <f t="shared" si="54"/>
        <v>41679.539210487848</v>
      </c>
      <c r="V121" s="89">
        <f t="shared" si="54"/>
        <v>41881.417996052041</v>
      </c>
      <c r="W121" s="89">
        <f t="shared" si="54"/>
        <v>42220.6962945181</v>
      </c>
      <c r="X121" s="89">
        <f t="shared" si="54"/>
        <v>42647.326612247132</v>
      </c>
      <c r="Y121" s="89">
        <f t="shared" si="54"/>
        <v>43128.534380428464</v>
      </c>
      <c r="Z121" s="89">
        <f t="shared" si="54"/>
        <v>43641.580955299534</v>
      </c>
      <c r="AA121" s="89">
        <f t="shared" si="54"/>
        <v>44173.789147409138</v>
      </c>
      <c r="AB121" s="89">
        <f t="shared" si="54"/>
        <v>44716.786898343285</v>
      </c>
      <c r="AC121" s="89">
        <f t="shared" si="54"/>
        <v>45264.043334898335</v>
      </c>
      <c r="AD121" s="89">
        <f t="shared" si="54"/>
        <v>45811.265840795328</v>
      </c>
      <c r="AE121" s="89">
        <f t="shared" si="54"/>
        <v>46355.380950492654</v>
      </c>
      <c r="AF121" s="89">
        <f t="shared" si="54"/>
        <v>46893.059991313232</v>
      </c>
      <c r="AG121" s="89">
        <f t="shared" si="19"/>
        <v>47418.960503612107</v>
      </c>
      <c r="AH121" s="89">
        <f t="shared" si="20"/>
        <v>47930.968724941347</v>
      </c>
      <c r="AI121" s="89">
        <f t="shared" si="21"/>
        <v>48428.605005964622</v>
      </c>
      <c r="AJ121" s="89">
        <f t="shared" si="22"/>
        <v>48910.609311804008</v>
      </c>
      <c r="AK121" s="89">
        <f t="shared" si="23"/>
        <v>49376.728967042225</v>
      </c>
      <c r="AL121" s="89">
        <f t="shared" si="24"/>
        <v>49826.66828773704</v>
      </c>
      <c r="AM121" s="89">
        <f t="shared" si="25"/>
        <v>50259.645440107197</v>
      </c>
      <c r="AN121" s="89">
        <f t="shared" si="26"/>
        <v>50674.193611459996</v>
      </c>
      <c r="AO121" s="89">
        <f t="shared" si="27"/>
        <v>51069.080751468806</v>
      </c>
      <c r="AP121" s="89">
        <f t="shared" si="28"/>
        <v>51443.315583378564</v>
      </c>
      <c r="AQ121" s="89">
        <f t="shared" si="29"/>
        <v>51796.024192778059</v>
      </c>
      <c r="AR121" s="89">
        <f t="shared" si="30"/>
        <v>52127.677132115656</v>
      </c>
      <c r="AS121" s="89">
        <f t="shared" si="31"/>
        <v>52439.196133732818</v>
      </c>
      <c r="AT121" s="89">
        <f t="shared" si="32"/>
        <v>52732.370146484624</v>
      </c>
      <c r="AU121" s="89">
        <f t="shared" si="33"/>
        <v>53002.740301783087</v>
      </c>
      <c r="AV121" s="89">
        <f t="shared" si="34"/>
        <v>53248.10441323118</v>
      </c>
      <c r="AW121" s="89">
        <f t="shared" si="35"/>
        <v>53468.268448387535</v>
      </c>
      <c r="AX121" s="89">
        <f t="shared" si="36"/>
        <v>53660.915990431095</v>
      </c>
      <c r="AY121" s="89">
        <f t="shared" si="37"/>
        <v>53825.971713091974</v>
      </c>
      <c r="AZ121" s="89">
        <f t="shared" si="38"/>
        <v>53964.810574971641</v>
      </c>
      <c r="BA121" s="89">
        <f t="shared" si="39"/>
        <v>54079.777181831611</v>
      </c>
      <c r="BB121" s="89">
        <f t="shared" si="39"/>
        <v>54172.235855380524</v>
      </c>
    </row>
    <row r="122" spans="1:54">
      <c r="B122" s="6" t="s">
        <v>2832</v>
      </c>
      <c r="C122" s="52"/>
      <c r="D122" s="89">
        <f t="shared" ref="D122:AF122" si="55">IF(D$105&lt;$C$5, SUMIFS($C$93:$C$101,$B$93:$B$101,$B122), SUMIFS($E$93:$E$101,$B$93:$B$101,$B122))       *C$87</f>
        <v>0</v>
      </c>
      <c r="E122" s="89">
        <f t="shared" si="55"/>
        <v>63.158511917098437</v>
      </c>
      <c r="F122" s="89">
        <f t="shared" si="55"/>
        <v>128.74480058947262</v>
      </c>
      <c r="G122" s="89">
        <f t="shared" si="55"/>
        <v>196.42774787301596</v>
      </c>
      <c r="H122" s="89">
        <f t="shared" si="55"/>
        <v>66.493034176641174</v>
      </c>
      <c r="I122" s="89">
        <f t="shared" si="55"/>
        <v>625.34383202095228</v>
      </c>
      <c r="J122" s="89">
        <f t="shared" si="55"/>
        <v>1137.3926646677814</v>
      </c>
      <c r="K122" s="89">
        <f t="shared" si="55"/>
        <v>1619.9279668228387</v>
      </c>
      <c r="L122" s="89">
        <f t="shared" si="55"/>
        <v>2084.7633455129785</v>
      </c>
      <c r="M122" s="89">
        <f t="shared" si="55"/>
        <v>2540.6804090575201</v>
      </c>
      <c r="N122" s="89">
        <f t="shared" si="55"/>
        <v>2993.2135401840019</v>
      </c>
      <c r="O122" s="89">
        <f t="shared" si="55"/>
        <v>3430.1073921643247</v>
      </c>
      <c r="P122" s="89">
        <f t="shared" si="55"/>
        <v>3869.062847213002</v>
      </c>
      <c r="Q122" s="89">
        <f t="shared" si="55"/>
        <v>4311.5099241439966</v>
      </c>
      <c r="R122" s="89">
        <f t="shared" si="55"/>
        <v>4758.3208927823625</v>
      </c>
      <c r="S122" s="89">
        <f t="shared" si="55"/>
        <v>4669.0658012473268</v>
      </c>
      <c r="T122" s="89">
        <f t="shared" si="55"/>
        <v>4632.3573114158335</v>
      </c>
      <c r="U122" s="89">
        <f t="shared" si="55"/>
        <v>4631.059912276427</v>
      </c>
      <c r="V122" s="89">
        <f t="shared" si="55"/>
        <v>4653.4908884502256</v>
      </c>
      <c r="W122" s="89">
        <f t="shared" si="55"/>
        <v>4691.1884771686773</v>
      </c>
      <c r="X122" s="89">
        <f t="shared" si="55"/>
        <v>4738.5918458052365</v>
      </c>
      <c r="Y122" s="89">
        <f t="shared" si="55"/>
        <v>4792.0593756031612</v>
      </c>
      <c r="Z122" s="89">
        <f t="shared" si="55"/>
        <v>4849.0645505888369</v>
      </c>
      <c r="AA122" s="89">
        <f t="shared" si="55"/>
        <v>4908.1987941565703</v>
      </c>
      <c r="AB122" s="89">
        <f t="shared" si="55"/>
        <v>4968.5318775936976</v>
      </c>
      <c r="AC122" s="89">
        <f t="shared" si="55"/>
        <v>5029.3381483220364</v>
      </c>
      <c r="AD122" s="89">
        <f t="shared" si="55"/>
        <v>5090.140648977258</v>
      </c>
      <c r="AE122" s="89">
        <f t="shared" si="55"/>
        <v>5150.5978833880727</v>
      </c>
      <c r="AF122" s="89">
        <f t="shared" si="55"/>
        <v>5210.3399990348025</v>
      </c>
      <c r="AG122" s="89">
        <f t="shared" si="19"/>
        <v>5268.7733892902334</v>
      </c>
      <c r="AH122" s="89">
        <f t="shared" si="20"/>
        <v>5325.6631916601491</v>
      </c>
      <c r="AI122" s="89">
        <f t="shared" si="21"/>
        <v>5380.9561117738458</v>
      </c>
      <c r="AJ122" s="89">
        <f t="shared" si="22"/>
        <v>5434.5121457560008</v>
      </c>
      <c r="AK122" s="89">
        <f t="shared" si="23"/>
        <v>5486.303218560246</v>
      </c>
      <c r="AL122" s="89">
        <f t="shared" si="24"/>
        <v>5536.2964764152257</v>
      </c>
      <c r="AM122" s="89">
        <f t="shared" si="25"/>
        <v>5584.4050489007986</v>
      </c>
      <c r="AN122" s="89">
        <f t="shared" si="26"/>
        <v>5630.465956828888</v>
      </c>
      <c r="AO122" s="89">
        <f t="shared" si="27"/>
        <v>5674.3423057187556</v>
      </c>
      <c r="AP122" s="89">
        <f t="shared" si="28"/>
        <v>5715.9239537087287</v>
      </c>
      <c r="AQ122" s="89">
        <f t="shared" si="29"/>
        <v>5755.1137991975611</v>
      </c>
      <c r="AR122" s="89">
        <f t="shared" si="30"/>
        <v>5791.9641257906278</v>
      </c>
      <c r="AS122" s="89">
        <f t="shared" si="31"/>
        <v>5826.5773481925353</v>
      </c>
      <c r="AT122" s="89">
        <f t="shared" si="32"/>
        <v>5859.1522384982909</v>
      </c>
      <c r="AU122" s="89">
        <f t="shared" si="33"/>
        <v>5889.1933668647862</v>
      </c>
      <c r="AV122" s="89">
        <f t="shared" si="34"/>
        <v>5916.4560459145741</v>
      </c>
      <c r="AW122" s="89">
        <f t="shared" si="35"/>
        <v>5940.9187164875029</v>
      </c>
      <c r="AX122" s="89">
        <f t="shared" si="36"/>
        <v>5962.3239989367876</v>
      </c>
      <c r="AY122" s="89">
        <f t="shared" si="37"/>
        <v>5980.6635236768852</v>
      </c>
      <c r="AZ122" s="89">
        <f t="shared" si="38"/>
        <v>5996.0900638857374</v>
      </c>
      <c r="BA122" s="89">
        <f t="shared" si="39"/>
        <v>6008.8641313146227</v>
      </c>
      <c r="BB122" s="89">
        <f t="shared" si="39"/>
        <v>6019.1373172645017</v>
      </c>
    </row>
    <row r="123" spans="1:54">
      <c r="B123" s="6" t="s">
        <v>2871</v>
      </c>
      <c r="C123" s="52"/>
      <c r="D123" s="89">
        <f t="shared" ref="D123:AF123" si="56">IF(D$105&lt;$C$5, SUMIFS($C$93:$C$101,$B$93:$B$101,$B123), SUMIFS($E$93:$E$101,$B$93:$B$101,$B123))       *C$87</f>
        <v>0</v>
      </c>
      <c r="E123" s="89">
        <f t="shared" si="56"/>
        <v>0</v>
      </c>
      <c r="F123" s="89">
        <f t="shared" si="56"/>
        <v>0</v>
      </c>
      <c r="G123" s="89">
        <f t="shared" si="56"/>
        <v>0</v>
      </c>
      <c r="H123" s="89">
        <f t="shared" si="56"/>
        <v>0</v>
      </c>
      <c r="I123" s="89">
        <f t="shared" si="56"/>
        <v>0</v>
      </c>
      <c r="J123" s="89">
        <f t="shared" si="56"/>
        <v>0</v>
      </c>
      <c r="K123" s="89">
        <f t="shared" si="56"/>
        <v>0</v>
      </c>
      <c r="L123" s="89">
        <f t="shared" si="56"/>
        <v>0</v>
      </c>
      <c r="M123" s="89">
        <f t="shared" si="56"/>
        <v>0</v>
      </c>
      <c r="N123" s="89">
        <f t="shared" si="56"/>
        <v>0</v>
      </c>
      <c r="O123" s="89">
        <f t="shared" si="56"/>
        <v>0</v>
      </c>
      <c r="P123" s="89">
        <f t="shared" si="56"/>
        <v>0</v>
      </c>
      <c r="Q123" s="89">
        <f t="shared" si="56"/>
        <v>0</v>
      </c>
      <c r="R123" s="89">
        <f t="shared" si="56"/>
        <v>0</v>
      </c>
      <c r="S123" s="89">
        <f t="shared" si="56"/>
        <v>0</v>
      </c>
      <c r="T123" s="89">
        <f t="shared" si="56"/>
        <v>0</v>
      </c>
      <c r="U123" s="89">
        <f t="shared" si="56"/>
        <v>0</v>
      </c>
      <c r="V123" s="89">
        <f t="shared" si="56"/>
        <v>0</v>
      </c>
      <c r="W123" s="89">
        <f t="shared" si="56"/>
        <v>0</v>
      </c>
      <c r="X123" s="89">
        <f t="shared" si="56"/>
        <v>0</v>
      </c>
      <c r="Y123" s="89">
        <f t="shared" si="56"/>
        <v>0</v>
      </c>
      <c r="Z123" s="89">
        <f t="shared" si="56"/>
        <v>0</v>
      </c>
      <c r="AA123" s="89">
        <f t="shared" si="56"/>
        <v>0</v>
      </c>
      <c r="AB123" s="89">
        <f t="shared" si="56"/>
        <v>0</v>
      </c>
      <c r="AC123" s="89">
        <f t="shared" si="56"/>
        <v>0</v>
      </c>
      <c r="AD123" s="89">
        <f t="shared" si="56"/>
        <v>0</v>
      </c>
      <c r="AE123" s="89">
        <f t="shared" si="56"/>
        <v>0</v>
      </c>
      <c r="AF123" s="89">
        <f t="shared" si="56"/>
        <v>0</v>
      </c>
      <c r="AG123" s="89">
        <f t="shared" si="19"/>
        <v>0</v>
      </c>
      <c r="AH123" s="89">
        <f t="shared" si="20"/>
        <v>0</v>
      </c>
      <c r="AI123" s="89">
        <f t="shared" si="21"/>
        <v>0</v>
      </c>
      <c r="AJ123" s="89">
        <f t="shared" si="22"/>
        <v>0</v>
      </c>
      <c r="AK123" s="89">
        <f t="shared" si="23"/>
        <v>0</v>
      </c>
      <c r="AL123" s="89">
        <f t="shared" si="24"/>
        <v>0</v>
      </c>
      <c r="AM123" s="89">
        <f t="shared" si="25"/>
        <v>0</v>
      </c>
      <c r="AN123" s="89">
        <f t="shared" si="26"/>
        <v>0</v>
      </c>
      <c r="AO123" s="89">
        <f t="shared" si="27"/>
        <v>0</v>
      </c>
      <c r="AP123" s="89">
        <f t="shared" si="28"/>
        <v>0</v>
      </c>
      <c r="AQ123" s="89">
        <f t="shared" si="29"/>
        <v>0</v>
      </c>
      <c r="AR123" s="89">
        <f t="shared" si="30"/>
        <v>0</v>
      </c>
      <c r="AS123" s="89">
        <f t="shared" si="31"/>
        <v>0</v>
      </c>
      <c r="AT123" s="89">
        <f t="shared" si="32"/>
        <v>0</v>
      </c>
      <c r="AU123" s="89">
        <f t="shared" si="33"/>
        <v>0</v>
      </c>
      <c r="AV123" s="89">
        <f t="shared" si="34"/>
        <v>0</v>
      </c>
      <c r="AW123" s="89">
        <f t="shared" si="35"/>
        <v>0</v>
      </c>
      <c r="AX123" s="89">
        <f t="shared" si="36"/>
        <v>0</v>
      </c>
      <c r="AY123" s="89">
        <f t="shared" si="37"/>
        <v>0</v>
      </c>
      <c r="AZ123" s="89">
        <f t="shared" si="38"/>
        <v>0</v>
      </c>
      <c r="BA123" s="89">
        <f t="shared" si="39"/>
        <v>0</v>
      </c>
      <c r="BB123" s="89">
        <f t="shared" si="39"/>
        <v>0</v>
      </c>
    </row>
    <row r="124" spans="1:54">
      <c r="B124" s="52"/>
      <c r="C124" s="52"/>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row>
    <row r="125" spans="1:54">
      <c r="B125" s="52"/>
      <c r="C125" s="52"/>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row>
    <row r="126" spans="1:54">
      <c r="A126" s="9"/>
      <c r="B126" s="9"/>
    </row>
    <row r="127" spans="1:54" s="588" customFormat="1">
      <c r="A127" s="593" t="s">
        <v>10</v>
      </c>
      <c r="B127" s="593" t="s">
        <v>2916</v>
      </c>
    </row>
    <row r="129" spans="2:54">
      <c r="B129" s="9" t="s">
        <v>97</v>
      </c>
    </row>
    <row r="131" spans="2:54">
      <c r="B131" s="7" t="s">
        <v>9</v>
      </c>
      <c r="D131" s="34">
        <f>'Prevalence projection'!C$21</f>
        <v>2020</v>
      </c>
      <c r="E131" s="34">
        <f>'Prevalence projection'!D$21</f>
        <v>2021</v>
      </c>
      <c r="F131" s="34">
        <f>'Prevalence projection'!E$21</f>
        <v>2022</v>
      </c>
      <c r="G131" s="34">
        <f>'Prevalence projection'!F$21</f>
        <v>2023</v>
      </c>
      <c r="H131" s="34">
        <f>'Prevalence projection'!G$21</f>
        <v>2024</v>
      </c>
      <c r="I131" s="34">
        <f>'Prevalence projection'!H$21</f>
        <v>2025</v>
      </c>
      <c r="J131" s="34">
        <f>'Prevalence projection'!I$21</f>
        <v>2026</v>
      </c>
      <c r="K131" s="34">
        <f>'Prevalence projection'!J$21</f>
        <v>2027</v>
      </c>
      <c r="L131" s="34">
        <f>'Prevalence projection'!K$21</f>
        <v>2028</v>
      </c>
      <c r="M131" s="34">
        <f>'Prevalence projection'!L$21</f>
        <v>2029</v>
      </c>
      <c r="N131" s="34">
        <f>'Prevalence projection'!M$21</f>
        <v>2030</v>
      </c>
      <c r="O131" s="34">
        <f>'Prevalence projection'!N$21</f>
        <v>2031</v>
      </c>
      <c r="P131" s="34">
        <f>'Prevalence projection'!O$21</f>
        <v>2032</v>
      </c>
      <c r="Q131" s="34">
        <f>'Prevalence projection'!P$21</f>
        <v>2033</v>
      </c>
      <c r="R131" s="34">
        <f>'Prevalence projection'!Q$21</f>
        <v>2034</v>
      </c>
      <c r="S131" s="34">
        <f>'Prevalence projection'!R$21</f>
        <v>2035</v>
      </c>
      <c r="T131" s="34">
        <f>'Prevalence projection'!S$21</f>
        <v>2036</v>
      </c>
      <c r="U131" s="34">
        <f>'Prevalence projection'!T$21</f>
        <v>2037</v>
      </c>
      <c r="V131" s="34">
        <f>'Prevalence projection'!U$21</f>
        <v>2038</v>
      </c>
      <c r="W131" s="34">
        <f>'Prevalence projection'!V$21</f>
        <v>2039</v>
      </c>
      <c r="X131" s="34">
        <f>'Prevalence projection'!W$21</f>
        <v>2040</v>
      </c>
      <c r="Y131" s="34">
        <f>'Prevalence projection'!X$21</f>
        <v>2041</v>
      </c>
      <c r="Z131" s="34">
        <f>'Prevalence projection'!Y$21</f>
        <v>2042</v>
      </c>
      <c r="AA131" s="34">
        <f>'Prevalence projection'!Z$21</f>
        <v>2043</v>
      </c>
      <c r="AB131" s="34">
        <f>'Prevalence projection'!AA$21</f>
        <v>2044</v>
      </c>
      <c r="AC131" s="34">
        <f>'Prevalence projection'!AB$21</f>
        <v>2045</v>
      </c>
      <c r="AD131" s="34">
        <f>'Prevalence projection'!AC$21</f>
        <v>2046</v>
      </c>
      <c r="AE131" s="34">
        <f>'Prevalence projection'!AD$21</f>
        <v>2047</v>
      </c>
      <c r="AF131" s="34">
        <f>'Prevalence projection'!AE$21</f>
        <v>2048</v>
      </c>
      <c r="AG131" s="34">
        <f>'Prevalence projection'!AF$21</f>
        <v>2049</v>
      </c>
      <c r="AH131" s="34">
        <f>'Prevalence projection'!AG$21</f>
        <v>2050</v>
      </c>
      <c r="AI131" s="34">
        <f>'Prevalence projection'!AH$21</f>
        <v>2051</v>
      </c>
      <c r="AJ131" s="34">
        <f>'Prevalence projection'!AI$21</f>
        <v>2052</v>
      </c>
      <c r="AK131" s="34">
        <f>'Prevalence projection'!AJ$21</f>
        <v>2053</v>
      </c>
      <c r="AL131" s="34">
        <f>'Prevalence projection'!AK$21</f>
        <v>2054</v>
      </c>
      <c r="AM131" s="34">
        <f>'Prevalence projection'!AL$21</f>
        <v>2055</v>
      </c>
      <c r="AN131" s="34">
        <f>'Prevalence projection'!AM$21</f>
        <v>2056</v>
      </c>
      <c r="AO131" s="34">
        <f>'Prevalence projection'!AN$21</f>
        <v>2057</v>
      </c>
      <c r="AP131" s="34">
        <f>'Prevalence projection'!AO$21</f>
        <v>2058</v>
      </c>
      <c r="AQ131" s="34">
        <f>'Prevalence projection'!AP$21</f>
        <v>2059</v>
      </c>
      <c r="AR131" s="34">
        <f>'Prevalence projection'!AQ$21</f>
        <v>2060</v>
      </c>
      <c r="AS131" s="34">
        <f>'Prevalence projection'!AR$21</f>
        <v>2061</v>
      </c>
      <c r="AT131" s="34">
        <f>'Prevalence projection'!AS$21</f>
        <v>2062</v>
      </c>
      <c r="AU131" s="34">
        <f>'Prevalence projection'!AT$21</f>
        <v>2063</v>
      </c>
      <c r="AV131" s="34">
        <f>'Prevalence projection'!AU$21</f>
        <v>2064</v>
      </c>
      <c r="AW131" s="34">
        <f>'Prevalence projection'!AV$21</f>
        <v>2065</v>
      </c>
      <c r="AX131" s="34">
        <f>'Prevalence projection'!AW$21</f>
        <v>2066</v>
      </c>
      <c r="AY131" s="34">
        <f>'Prevalence projection'!AX$21</f>
        <v>2067</v>
      </c>
      <c r="AZ131" s="34">
        <f>'Prevalence projection'!AY$21</f>
        <v>2068</v>
      </c>
      <c r="BA131" s="34">
        <f>'Prevalence projection'!AZ$21</f>
        <v>2069</v>
      </c>
      <c r="BB131" s="34">
        <f>'Prevalence projection'!BA$21</f>
        <v>2070</v>
      </c>
    </row>
    <row r="132" spans="2:54">
      <c r="B132" s="6" t="s">
        <v>11</v>
      </c>
      <c r="D132" s="89">
        <f>(   IF(D$131&lt;$C$5,    INDEX($C$61:$C$78,MATCH($B132,$B$61:$B$78,0)),   INDEX($F$61:$F$78,MATCH($B132,$B$61:$B$78,0)) )         *C$13)        +D106</f>
        <v>139.54911116111609</v>
      </c>
      <c r="E132" s="89">
        <f t="shared" ref="E132:AF132" si="57">(   IF(E$131&lt;$C$5,    INDEX($C$61:$C$78,MATCH($B132,$B$61:$B$78,0)),   INDEX($F$61:$F$78,MATCH($B132,$B$61:$B$78,0)) )         *D$13)        +E106</f>
        <v>144.91329847352534</v>
      </c>
      <c r="F132" s="89">
        <f t="shared" si="57"/>
        <v>149.54587825914484</v>
      </c>
      <c r="G132" s="89">
        <f t="shared" si="57"/>
        <v>153.65874453633941</v>
      </c>
      <c r="H132" s="89">
        <f t="shared" si="57"/>
        <v>233.50045475984385</v>
      </c>
      <c r="I132" s="89">
        <f t="shared" si="57"/>
        <v>213.94553920918051</v>
      </c>
      <c r="J132" s="89">
        <f t="shared" si="57"/>
        <v>201.61412120283595</v>
      </c>
      <c r="K132" s="89">
        <f t="shared" si="57"/>
        <v>194.21869438370135</v>
      </c>
      <c r="L132" s="89">
        <f t="shared" si="57"/>
        <v>190.49242137805933</v>
      </c>
      <c r="M132" s="89">
        <f t="shared" si="57"/>
        <v>189.07853817069608</v>
      </c>
      <c r="N132" s="89">
        <f t="shared" si="57"/>
        <v>189.1413573006688</v>
      </c>
      <c r="O132" s="89">
        <f t="shared" si="57"/>
        <v>190.2563364695304</v>
      </c>
      <c r="P132" s="89">
        <f t="shared" si="57"/>
        <v>191.93422256324894</v>
      </c>
      <c r="Q132" s="89">
        <f t="shared" si="57"/>
        <v>193.95199289596118</v>
      </c>
      <c r="R132" s="89">
        <f t="shared" si="57"/>
        <v>196.20766651751916</v>
      </c>
      <c r="S132" s="89">
        <f t="shared" si="57"/>
        <v>198.6079050816742</v>
      </c>
      <c r="T132" s="89">
        <f t="shared" si="57"/>
        <v>201.07203861080103</v>
      </c>
      <c r="U132" s="89">
        <f t="shared" si="57"/>
        <v>203.59086161955861</v>
      </c>
      <c r="V132" s="89">
        <f t="shared" si="57"/>
        <v>206.24332330584016</v>
      </c>
      <c r="W132" s="89">
        <f t="shared" si="57"/>
        <v>208.88473362837672</v>
      </c>
      <c r="X132" s="89">
        <f t="shared" si="57"/>
        <v>211.48129592267463</v>
      </c>
      <c r="Y132" s="89">
        <f t="shared" si="57"/>
        <v>214.07438295736591</v>
      </c>
      <c r="Z132" s="89">
        <f t="shared" si="57"/>
        <v>216.64184187453421</v>
      </c>
      <c r="AA132" s="89">
        <f t="shared" si="57"/>
        <v>219.16051451563948</v>
      </c>
      <c r="AB132" s="89">
        <f t="shared" si="57"/>
        <v>221.61389644880916</v>
      </c>
      <c r="AC132" s="89">
        <f t="shared" si="57"/>
        <v>224.01255979147231</v>
      </c>
      <c r="AD132" s="89">
        <f t="shared" si="57"/>
        <v>226.33243330452083</v>
      </c>
      <c r="AE132" s="89">
        <f t="shared" si="57"/>
        <v>228.55246358136361</v>
      </c>
      <c r="AF132" s="89">
        <f t="shared" si="57"/>
        <v>230.65811031237752</v>
      </c>
      <c r="AG132" s="89">
        <f t="shared" ref="AG132:AG149" si="58">(   IF(AG$131&lt;$C$5,    INDEX($C$61:$C$78,MATCH($B132,$B$61:$B$78,0)),   INDEX($F$61:$F$78,MATCH($B132,$B$61:$B$78,0)) )         *AF$13)        +AG106</f>
        <v>232.65457483789746</v>
      </c>
      <c r="AH132" s="89">
        <f t="shared" ref="AH132:AH149" si="59">(   IF(AH$131&lt;$C$5,    INDEX($C$61:$C$78,MATCH($B132,$B$61:$B$78,0)),   INDEX($F$61:$F$78,MATCH($B132,$B$61:$B$78,0)) )         *AG$13)        +AH106</f>
        <v>234.58392374632626</v>
      </c>
      <c r="AI132" s="89">
        <f t="shared" ref="AI132:AI149" si="60">(   IF(AI$131&lt;$C$5,    INDEX($C$61:$C$78,MATCH($B132,$B$61:$B$78,0)),   INDEX($F$61:$F$78,MATCH($B132,$B$61:$B$78,0)) )         *AH$13)        +AI106</f>
        <v>236.45130062162301</v>
      </c>
      <c r="AJ132" s="89">
        <f t="shared" ref="AJ132:AJ149" si="61">(   IF(AJ$131&lt;$C$5,    INDEX($C$61:$C$78,MATCH($B132,$B$61:$B$78,0)),   INDEX($F$61:$F$78,MATCH($B132,$B$61:$B$78,0)) )         *AI$13)        +AJ106</f>
        <v>238.28131899246932</v>
      </c>
      <c r="AK132" s="89">
        <f t="shared" ref="AK132:AK149" si="62">(   IF(AK$131&lt;$C$5,    INDEX($C$61:$C$78,MATCH($B132,$B$61:$B$78,0)),   INDEX($F$61:$F$78,MATCH($B132,$B$61:$B$78,0)) )         *AJ$13)        +AK106</f>
        <v>240.04882404135247</v>
      </c>
      <c r="AL132" s="89">
        <f t="shared" ref="AL132:AL149" si="63">(   IF(AL$131&lt;$C$5,    INDEX($C$61:$C$78,MATCH($B132,$B$61:$B$78,0)),   INDEX($F$61:$F$78,MATCH($B132,$B$61:$B$78,0)) )         *AK$13)        +AL106</f>
        <v>241.71474196349675</v>
      </c>
      <c r="AM132" s="89">
        <f t="shared" ref="AM132:AM149" si="64">(   IF(AM$131&lt;$C$5,    INDEX($C$61:$C$78,MATCH($B132,$B$61:$B$78,0)),   INDEX($F$61:$F$78,MATCH($B132,$B$61:$B$78,0)) )         *AL$13)        +AM106</f>
        <v>243.25784491828381</v>
      </c>
      <c r="AN132" s="89">
        <f t="shared" ref="AN132:AN149" si="65">(   IF(AN$131&lt;$C$5,    INDEX($C$61:$C$78,MATCH($B132,$B$61:$B$78,0)),   INDEX($F$61:$F$78,MATCH($B132,$B$61:$B$78,0)) )         *AM$13)        +AN106</f>
        <v>244.66496044504743</v>
      </c>
      <c r="AO132" s="89">
        <f t="shared" ref="AO132:AO149" si="66">(   IF(AO$131&lt;$C$5,    INDEX($C$61:$C$78,MATCH($B132,$B$61:$B$78,0)),   INDEX($F$61:$F$78,MATCH($B132,$B$61:$B$78,0)) )         *AN$13)        +AO106</f>
        <v>245.92621298420011</v>
      </c>
      <c r="AP132" s="89">
        <f t="shared" ref="AP132:AP149" si="67">(   IF(AP$131&lt;$C$5,    INDEX($C$61:$C$78,MATCH($B132,$B$61:$B$78,0)),   INDEX($F$61:$F$78,MATCH($B132,$B$61:$B$78,0)) )         *AO$13)        +AP106</f>
        <v>247.03251074073611</v>
      </c>
      <c r="AQ132" s="89">
        <f t="shared" ref="AQ132:AQ149" si="68">(   IF(AQ$131&lt;$C$5,    INDEX($C$61:$C$78,MATCH($B132,$B$61:$B$78,0)),   INDEX($F$61:$F$78,MATCH($B132,$B$61:$B$78,0)) )         *AP$13)        +AQ106</f>
        <v>248.05147156010091</v>
      </c>
      <c r="AR132" s="89">
        <f t="shared" ref="AR132:AR149" si="69">(   IF(AR$131&lt;$C$5,    INDEX($C$61:$C$78,MATCH($B132,$B$61:$B$78,0)),   INDEX($F$61:$F$78,MATCH($B132,$B$61:$B$78,0)) )         *AQ$13)        +AR106</f>
        <v>249.046107933456</v>
      </c>
      <c r="AS132" s="89">
        <f t="shared" ref="AS132:AS149" si="70">(   IF(AS$131&lt;$C$5,    INDEX($C$61:$C$78,MATCH($B132,$B$61:$B$78,0)),   INDEX($F$61:$F$78,MATCH($B132,$B$61:$B$78,0)) )         *AR$13)        +AS106</f>
        <v>250.0618237334921</v>
      </c>
      <c r="AT132" s="89">
        <f t="shared" ref="AT132:AT149" si="71">(   IF(AT$131&lt;$C$5,    INDEX($C$61:$C$78,MATCH($B132,$B$61:$B$78,0)),   INDEX($F$61:$F$78,MATCH($B132,$B$61:$B$78,0)) )         *AS$13)        +AT106</f>
        <v>250.83317927813638</v>
      </c>
      <c r="AU132" s="89">
        <f t="shared" ref="AU132:AU149" si="72">(   IF(AU$131&lt;$C$5,    INDEX($C$61:$C$78,MATCH($B132,$B$61:$B$78,0)),   INDEX($F$61:$F$78,MATCH($B132,$B$61:$B$78,0)) )         *AT$13)        +AU106</f>
        <v>251.4397856014912</v>
      </c>
      <c r="AV132" s="89">
        <f t="shared" ref="AV132:AV149" si="73">(   IF(AV$131&lt;$C$5,    INDEX($C$61:$C$78,MATCH($B132,$B$61:$B$78,0)),   INDEX($F$61:$F$78,MATCH($B132,$B$61:$B$78,0)) )         *AU$13)        +AV106</f>
        <v>251.93579689524623</v>
      </c>
      <c r="AW132" s="89">
        <f t="shared" ref="AW132:AW149" si="74">(   IF(AW$131&lt;$C$5,    INDEX($C$61:$C$78,MATCH($B132,$B$61:$B$78,0)),   INDEX($F$61:$F$78,MATCH($B132,$B$61:$B$78,0)) )         *AV$13)        +AW106</f>
        <v>252.20145420622015</v>
      </c>
      <c r="AX132" s="89">
        <f t="shared" ref="AX132:AX149" si="75">(   IF(AX$131&lt;$C$5,    INDEX($C$61:$C$78,MATCH($B132,$B$61:$B$78,0)),   INDEX($F$61:$F$78,MATCH($B132,$B$61:$B$78,0)) )         *AW$13)        +AX106</f>
        <v>252.32762708775499</v>
      </c>
      <c r="AY132" s="89">
        <f t="shared" ref="AY132:AY149" si="76">(   IF(AY$131&lt;$C$5,    INDEX($C$61:$C$78,MATCH($B132,$B$61:$B$78,0)),   INDEX($F$61:$F$78,MATCH($B132,$B$61:$B$78,0)) )         *AX$13)        +AY106</f>
        <v>252.3717690575431</v>
      </c>
      <c r="AZ132" s="89">
        <f t="shared" ref="AZ132:AZ149" si="77">(   IF(AZ$131&lt;$C$5,    INDEX($C$61:$C$78,MATCH($B132,$B$61:$B$78,0)),   INDEX($F$61:$F$78,MATCH($B132,$B$61:$B$78,0)) )         *AY$13)        +AZ106</f>
        <v>252.36980392396711</v>
      </c>
      <c r="BA132" s="89">
        <f t="shared" ref="BA132:BB149" si="78">(   IF(BA$131&lt;$C$5,    INDEX($C$61:$C$78,MATCH($B132,$B$61:$B$78,0)),   INDEX($F$61:$F$78,MATCH($B132,$B$61:$B$78,0)) )         *AZ$13)        +BA106</f>
        <v>252.34384011425186</v>
      </c>
      <c r="BB132" s="89">
        <f t="shared" si="78"/>
        <v>252.30717775965857</v>
      </c>
    </row>
    <row r="133" spans="2:54">
      <c r="B133" s="6" t="s">
        <v>14</v>
      </c>
      <c r="D133" s="89">
        <f t="shared" ref="D133:AF133" si="79">(   IF(D$131&lt;$C$5,    INDEX($C$61:$C$78,MATCH($B133,$B$61:$B$78,0)),   INDEX($F$61:$F$78,MATCH($B133,$B$61:$B$78,0)) )         *C$13)        +D107</f>
        <v>0</v>
      </c>
      <c r="E133" s="89">
        <f t="shared" si="79"/>
        <v>0</v>
      </c>
      <c r="F133" s="89">
        <f t="shared" si="79"/>
        <v>0</v>
      </c>
      <c r="G133" s="89">
        <f t="shared" si="79"/>
        <v>0</v>
      </c>
      <c r="H133" s="89">
        <f t="shared" si="79"/>
        <v>0</v>
      </c>
      <c r="I133" s="89">
        <f t="shared" si="79"/>
        <v>0</v>
      </c>
      <c r="J133" s="89">
        <f t="shared" si="79"/>
        <v>0</v>
      </c>
      <c r="K133" s="89">
        <f t="shared" si="79"/>
        <v>0</v>
      </c>
      <c r="L133" s="89">
        <f t="shared" si="79"/>
        <v>0</v>
      </c>
      <c r="M133" s="89">
        <f t="shared" si="79"/>
        <v>0</v>
      </c>
      <c r="N133" s="89">
        <f t="shared" si="79"/>
        <v>0</v>
      </c>
      <c r="O133" s="89">
        <f t="shared" si="79"/>
        <v>0</v>
      </c>
      <c r="P133" s="89">
        <f t="shared" si="79"/>
        <v>0</v>
      </c>
      <c r="Q133" s="89">
        <f t="shared" si="79"/>
        <v>0</v>
      </c>
      <c r="R133" s="89">
        <f t="shared" si="79"/>
        <v>0</v>
      </c>
      <c r="S133" s="89">
        <f t="shared" si="79"/>
        <v>0</v>
      </c>
      <c r="T133" s="89">
        <f t="shared" si="79"/>
        <v>0</v>
      </c>
      <c r="U133" s="89">
        <f t="shared" si="79"/>
        <v>0</v>
      </c>
      <c r="V133" s="89">
        <f t="shared" si="79"/>
        <v>0</v>
      </c>
      <c r="W133" s="89">
        <f t="shared" si="79"/>
        <v>0</v>
      </c>
      <c r="X133" s="89">
        <f t="shared" si="79"/>
        <v>0</v>
      </c>
      <c r="Y133" s="89">
        <f t="shared" si="79"/>
        <v>0</v>
      </c>
      <c r="Z133" s="89">
        <f t="shared" si="79"/>
        <v>0</v>
      </c>
      <c r="AA133" s="89">
        <f t="shared" si="79"/>
        <v>0</v>
      </c>
      <c r="AB133" s="89">
        <f t="shared" si="79"/>
        <v>0</v>
      </c>
      <c r="AC133" s="89">
        <f t="shared" si="79"/>
        <v>0</v>
      </c>
      <c r="AD133" s="89">
        <f t="shared" si="79"/>
        <v>0</v>
      </c>
      <c r="AE133" s="89">
        <f t="shared" si="79"/>
        <v>0</v>
      </c>
      <c r="AF133" s="89">
        <f t="shared" si="79"/>
        <v>0</v>
      </c>
      <c r="AG133" s="89">
        <f t="shared" si="58"/>
        <v>0</v>
      </c>
      <c r="AH133" s="89">
        <f t="shared" si="59"/>
        <v>0</v>
      </c>
      <c r="AI133" s="89">
        <f t="shared" si="60"/>
        <v>0</v>
      </c>
      <c r="AJ133" s="89">
        <f t="shared" si="61"/>
        <v>0</v>
      </c>
      <c r="AK133" s="89">
        <f t="shared" si="62"/>
        <v>0</v>
      </c>
      <c r="AL133" s="89">
        <f t="shared" si="63"/>
        <v>0</v>
      </c>
      <c r="AM133" s="89">
        <f t="shared" si="64"/>
        <v>0</v>
      </c>
      <c r="AN133" s="89">
        <f t="shared" si="65"/>
        <v>0</v>
      </c>
      <c r="AO133" s="89">
        <f t="shared" si="66"/>
        <v>0</v>
      </c>
      <c r="AP133" s="89">
        <f t="shared" si="67"/>
        <v>0</v>
      </c>
      <c r="AQ133" s="89">
        <f t="shared" si="68"/>
        <v>0</v>
      </c>
      <c r="AR133" s="89">
        <f t="shared" si="69"/>
        <v>0</v>
      </c>
      <c r="AS133" s="89">
        <f t="shared" si="70"/>
        <v>0</v>
      </c>
      <c r="AT133" s="89">
        <f t="shared" si="71"/>
        <v>0</v>
      </c>
      <c r="AU133" s="89">
        <f t="shared" si="72"/>
        <v>0</v>
      </c>
      <c r="AV133" s="89">
        <f t="shared" si="73"/>
        <v>0</v>
      </c>
      <c r="AW133" s="89">
        <f t="shared" si="74"/>
        <v>0</v>
      </c>
      <c r="AX133" s="89">
        <f t="shared" si="75"/>
        <v>0</v>
      </c>
      <c r="AY133" s="89">
        <f t="shared" si="76"/>
        <v>0</v>
      </c>
      <c r="AZ133" s="89">
        <f t="shared" si="77"/>
        <v>0</v>
      </c>
      <c r="BA133" s="89">
        <f t="shared" si="78"/>
        <v>0</v>
      </c>
      <c r="BB133" s="89">
        <f t="shared" si="78"/>
        <v>0</v>
      </c>
    </row>
    <row r="134" spans="2:54">
      <c r="B134" s="6" t="s">
        <v>15</v>
      </c>
      <c r="D134" s="89">
        <f t="shared" ref="D134:AF134" si="80">(   IF(D$131&lt;$C$5,    INDEX($C$61:$C$78,MATCH($B134,$B$61:$B$78,0)),   INDEX($F$61:$F$78,MATCH($B134,$B$61:$B$78,0)) )         *C$13)        +D108</f>
        <v>4.0249337475097162</v>
      </c>
      <c r="E134" s="89">
        <f t="shared" si="80"/>
        <v>4.1796498783545202</v>
      </c>
      <c r="F134" s="89">
        <f t="shared" si="80"/>
        <v>4.3132646793520255</v>
      </c>
      <c r="G134" s="89">
        <f t="shared" si="80"/>
        <v>4.4318896862785309</v>
      </c>
      <c r="H134" s="89">
        <f t="shared" si="80"/>
        <v>6.7347176388439323</v>
      </c>
      <c r="I134" s="89">
        <f t="shared" si="80"/>
        <v>6.1707065973210939</v>
      </c>
      <c r="J134" s="89">
        <f t="shared" si="80"/>
        <v>5.8150386889022334</v>
      </c>
      <c r="K134" s="89">
        <f t="shared" si="80"/>
        <v>5.6017366998468754</v>
      </c>
      <c r="L134" s="89">
        <f t="shared" si="80"/>
        <v>5.4942619775211483</v>
      </c>
      <c r="M134" s="89">
        <f t="shared" si="80"/>
        <v>5.4534821675388168</v>
      </c>
      <c r="N134" s="89">
        <f t="shared" si="80"/>
        <v>5.4552940231222209</v>
      </c>
      <c r="O134" s="89">
        <f t="shared" si="80"/>
        <v>5.4874527179872858</v>
      </c>
      <c r="P134" s="89">
        <f t="shared" si="80"/>
        <v>5.5358470094800341</v>
      </c>
      <c r="Q134" s="89">
        <f t="shared" si="80"/>
        <v>5.5940443841482317</v>
      </c>
      <c r="R134" s="89">
        <f t="shared" si="80"/>
        <v>5.6591034648348444</v>
      </c>
      <c r="S134" s="89">
        <f t="shared" si="80"/>
        <v>5.7283321479741307</v>
      </c>
      <c r="T134" s="89">
        <f t="shared" si="80"/>
        <v>5.7994037163791923</v>
      </c>
      <c r="U134" s="89">
        <f t="shared" si="80"/>
        <v>5.8720526615971043</v>
      </c>
      <c r="V134" s="89">
        <f t="shared" si="80"/>
        <v>5.9485560693670418</v>
      </c>
      <c r="W134" s="89">
        <f t="shared" si="80"/>
        <v>6.0247407290881876</v>
      </c>
      <c r="X134" s="89">
        <f t="shared" si="80"/>
        <v>6.0996318632478648</v>
      </c>
      <c r="Y134" s="89">
        <f t="shared" si="80"/>
        <v>6.1744227625185086</v>
      </c>
      <c r="Z134" s="89">
        <f t="shared" si="80"/>
        <v>6.2484744849198393</v>
      </c>
      <c r="AA134" s="89">
        <f t="shared" si="80"/>
        <v>6.3211190931711219</v>
      </c>
      <c r="AB134" s="89">
        <f t="shared" si="80"/>
        <v>6.391880559555128</v>
      </c>
      <c r="AC134" s="89">
        <f t="shared" si="80"/>
        <v>6.4610638094982464</v>
      </c>
      <c r="AD134" s="89">
        <f t="shared" si="80"/>
        <v>6.5279745702686425</v>
      </c>
      <c r="AE134" s="89">
        <f t="shared" si="80"/>
        <v>6.5920056107203546</v>
      </c>
      <c r="AF134" s="89">
        <f t="shared" si="80"/>
        <v>6.6527375531703967</v>
      </c>
      <c r="AG134" s="89">
        <f t="shared" si="58"/>
        <v>6.7103204168490738</v>
      </c>
      <c r="AH134" s="89">
        <f t="shared" si="59"/>
        <v>6.7659675038684277</v>
      </c>
      <c r="AI134" s="89">
        <f t="shared" si="60"/>
        <v>6.8198271676252498</v>
      </c>
      <c r="AJ134" s="89">
        <f t="shared" si="61"/>
        <v>6.8726093217937416</v>
      </c>
      <c r="AK134" s="89">
        <f t="shared" si="62"/>
        <v>6.9235884406211632</v>
      </c>
      <c r="AL134" s="89">
        <f t="shared" si="63"/>
        <v>6.9716375411107991</v>
      </c>
      <c r="AM134" s="89">
        <f t="shared" si="64"/>
        <v>7.0161443610176173</v>
      </c>
      <c r="AN134" s="89">
        <f t="shared" si="65"/>
        <v>7.0567289747295385</v>
      </c>
      <c r="AO134" s="89">
        <f t="shared" si="66"/>
        <v>7.0931065472323604</v>
      </c>
      <c r="AP134" s="89">
        <f t="shared" si="67"/>
        <v>7.1250148491772949</v>
      </c>
      <c r="AQ134" s="89">
        <f t="shared" si="68"/>
        <v>7.1544041427036174</v>
      </c>
      <c r="AR134" s="89">
        <f t="shared" si="69"/>
        <v>7.1830918603988998</v>
      </c>
      <c r="AS134" s="89">
        <f t="shared" si="70"/>
        <v>7.2123875597224458</v>
      </c>
      <c r="AT134" s="89">
        <f t="shared" si="71"/>
        <v>7.2346353185016685</v>
      </c>
      <c r="AU134" s="89">
        <f t="shared" si="72"/>
        <v>7.2521313114321053</v>
      </c>
      <c r="AV134" s="89">
        <f t="shared" si="73"/>
        <v>7.2664374763282442</v>
      </c>
      <c r="AW134" s="89">
        <f t="shared" si="74"/>
        <v>7.2740996754444902</v>
      </c>
      <c r="AX134" s="89">
        <f t="shared" si="75"/>
        <v>7.2777388063904676</v>
      </c>
      <c r="AY134" s="89">
        <f t="shared" si="76"/>
        <v>7.2790119675192164</v>
      </c>
      <c r="AZ134" s="89">
        <f t="shared" si="77"/>
        <v>7.2789552883158697</v>
      </c>
      <c r="BA134" s="89">
        <f t="shared" si="78"/>
        <v>7.278206429272144</v>
      </c>
      <c r="BB134" s="89">
        <f t="shared" si="78"/>
        <v>7.2771489983287445</v>
      </c>
    </row>
    <row r="135" spans="2:54" ht="29">
      <c r="B135" s="6" t="s">
        <v>16</v>
      </c>
      <c r="D135" s="89">
        <f t="shared" ref="D135:AF135" si="81">(   IF(D$131&lt;$C$5,    INDEX($C$61:$C$78,MATCH($B135,$B$61:$B$78,0)),   INDEX($F$61:$F$78,MATCH($B135,$B$61:$B$78,0)) )         *C$13)        +D109</f>
        <v>4.9998584022389378</v>
      </c>
      <c r="E135" s="89">
        <f t="shared" si="81"/>
        <v>5.1920500742745093</v>
      </c>
      <c r="F135" s="89">
        <f t="shared" si="81"/>
        <v>5.3580292250727544</v>
      </c>
      <c r="G135" s="89">
        <f t="shared" si="81"/>
        <v>5.505387734505141</v>
      </c>
      <c r="H135" s="89">
        <f t="shared" si="81"/>
        <v>8.3660096502493619</v>
      </c>
      <c r="I135" s="89">
        <f t="shared" si="81"/>
        <v>7.6653831252392903</v>
      </c>
      <c r="J135" s="89">
        <f t="shared" si="81"/>
        <v>7.2235648763264875</v>
      </c>
      <c r="K135" s="89">
        <f t="shared" si="81"/>
        <v>6.9585966037797515</v>
      </c>
      <c r="L135" s="89">
        <f t="shared" si="81"/>
        <v>6.8250892152963862</v>
      </c>
      <c r="M135" s="89">
        <f t="shared" si="81"/>
        <v>6.7744316670304014</v>
      </c>
      <c r="N135" s="89">
        <f t="shared" si="81"/>
        <v>6.7766823926151227</v>
      </c>
      <c r="O135" s="89">
        <f t="shared" si="81"/>
        <v>6.8166306081169585</v>
      </c>
      <c r="P135" s="89">
        <f t="shared" si="81"/>
        <v>6.8767470274468732</v>
      </c>
      <c r="Q135" s="89">
        <f t="shared" si="81"/>
        <v>6.9490410454299187</v>
      </c>
      <c r="R135" s="89">
        <f t="shared" si="81"/>
        <v>7.0298588207322235</v>
      </c>
      <c r="S135" s="89">
        <f t="shared" si="81"/>
        <v>7.1158561649826861</v>
      </c>
      <c r="T135" s="89">
        <f t="shared" si="81"/>
        <v>7.2041427805500113</v>
      </c>
      <c r="U135" s="89">
        <f t="shared" si="81"/>
        <v>7.2943888471806275</v>
      </c>
      <c r="V135" s="89">
        <f t="shared" si="81"/>
        <v>7.3894230092646849</v>
      </c>
      <c r="W135" s="89">
        <f t="shared" si="81"/>
        <v>7.4840612157355766</v>
      </c>
      <c r="X135" s="89">
        <f t="shared" si="81"/>
        <v>7.5770925772115616</v>
      </c>
      <c r="Y135" s="89">
        <f t="shared" si="81"/>
        <v>7.6699994247741321</v>
      </c>
      <c r="Z135" s="89">
        <f t="shared" si="81"/>
        <v>7.7619880510906869</v>
      </c>
      <c r="AA135" s="89">
        <f t="shared" si="81"/>
        <v>7.8522287302490099</v>
      </c>
      <c r="AB135" s="89">
        <f t="shared" si="81"/>
        <v>7.9401301304829195</v>
      </c>
      <c r="AC135" s="89">
        <f t="shared" si="81"/>
        <v>8.0260710366497143</v>
      </c>
      <c r="AD135" s="89">
        <f t="shared" si="81"/>
        <v>8.1091890083790741</v>
      </c>
      <c r="AE135" s="89">
        <f t="shared" si="81"/>
        <v>8.1887297302119926</v>
      </c>
      <c r="AF135" s="89">
        <f t="shared" si="81"/>
        <v>8.2641722422610435</v>
      </c>
      <c r="AG135" s="89">
        <f t="shared" si="58"/>
        <v>8.3357029016084052</v>
      </c>
      <c r="AH135" s="89">
        <f t="shared" si="59"/>
        <v>8.4048288979719423</v>
      </c>
      <c r="AI135" s="89">
        <f t="shared" si="60"/>
        <v>8.4717345190999733</v>
      </c>
      <c r="AJ135" s="89">
        <f t="shared" si="61"/>
        <v>8.5373016348744599</v>
      </c>
      <c r="AK135" s="89">
        <f t="shared" si="62"/>
        <v>8.6006289817570565</v>
      </c>
      <c r="AL135" s="89">
        <f t="shared" si="63"/>
        <v>8.6603165974729102</v>
      </c>
      <c r="AM135" s="89">
        <f t="shared" si="64"/>
        <v>8.7156039168246195</v>
      </c>
      <c r="AN135" s="89">
        <f t="shared" si="65"/>
        <v>8.7660189881272768</v>
      </c>
      <c r="AO135" s="89">
        <f t="shared" si="66"/>
        <v>8.8112079832613759</v>
      </c>
      <c r="AP135" s="89">
        <f t="shared" si="67"/>
        <v>8.8508451553463239</v>
      </c>
      <c r="AQ135" s="89">
        <f t="shared" si="68"/>
        <v>8.8873531615375718</v>
      </c>
      <c r="AR135" s="89">
        <f t="shared" si="69"/>
        <v>8.9229896552931685</v>
      </c>
      <c r="AS135" s="89">
        <f t="shared" si="70"/>
        <v>8.9593813967728693</v>
      </c>
      <c r="AT135" s="89">
        <f t="shared" si="71"/>
        <v>8.9870180364398209</v>
      </c>
      <c r="AU135" s="89">
        <f t="shared" si="72"/>
        <v>9.008751931392224</v>
      </c>
      <c r="AV135" s="89">
        <f t="shared" si="73"/>
        <v>9.0265233540408651</v>
      </c>
      <c r="AW135" s="89">
        <f t="shared" si="74"/>
        <v>9.0360415009307857</v>
      </c>
      <c r="AX135" s="89">
        <f t="shared" si="75"/>
        <v>9.0405621068782374</v>
      </c>
      <c r="AY135" s="89">
        <f t="shared" si="76"/>
        <v>9.04214365474121</v>
      </c>
      <c r="AZ135" s="89">
        <f t="shared" si="77"/>
        <v>9.0420732466279681</v>
      </c>
      <c r="BA135" s="89">
        <f t="shared" si="78"/>
        <v>9.0411429979787368</v>
      </c>
      <c r="BB135" s="89">
        <f t="shared" si="78"/>
        <v>9.0398294347454495</v>
      </c>
    </row>
    <row r="136" spans="2:54">
      <c r="B136" s="6" t="s">
        <v>103</v>
      </c>
      <c r="D136" s="89">
        <f t="shared" ref="D136:AF136" si="82">(   IF(D$131&lt;$C$5,    INDEX($C$61:$C$78,MATCH($B136,$B$61:$B$78,0)),   INDEX($F$61:$F$78,MATCH($B136,$B$61:$B$78,0)) )         *C$13)        +D110</f>
        <v>15.949304281693991</v>
      </c>
      <c r="E136" s="89">
        <f t="shared" si="82"/>
        <v>16.562386335443797</v>
      </c>
      <c r="F136" s="89">
        <f t="shared" si="82"/>
        <v>17.09185172576624</v>
      </c>
      <c r="G136" s="89">
        <f t="shared" si="82"/>
        <v>17.561918178924504</v>
      </c>
      <c r="H136" s="89">
        <f t="shared" si="82"/>
        <v>26.687162475574212</v>
      </c>
      <c r="I136" s="89">
        <f t="shared" si="82"/>
        <v>24.452198055340315</v>
      </c>
      <c r="J136" s="89">
        <f t="shared" si="82"/>
        <v>23.042819404544925</v>
      </c>
      <c r="K136" s="89">
        <f t="shared" si="82"/>
        <v>22.197583547075386</v>
      </c>
      <c r="L136" s="89">
        <f t="shared" si="82"/>
        <v>21.771701493731236</v>
      </c>
      <c r="M136" s="89">
        <f t="shared" si="82"/>
        <v>21.610106387138416</v>
      </c>
      <c r="N136" s="89">
        <f t="shared" si="82"/>
        <v>21.617286091905502</v>
      </c>
      <c r="O136" s="89">
        <f t="shared" si="82"/>
        <v>21.744718949656864</v>
      </c>
      <c r="P136" s="89">
        <f t="shared" si="82"/>
        <v>21.93648739329706</v>
      </c>
      <c r="Q136" s="89">
        <f t="shared" si="82"/>
        <v>22.167101782304862</v>
      </c>
      <c r="R136" s="89">
        <f t="shared" si="82"/>
        <v>22.424906541153398</v>
      </c>
      <c r="S136" s="89">
        <f t="shared" si="82"/>
        <v>22.699233872154213</v>
      </c>
      <c r="T136" s="89">
        <f t="shared" si="82"/>
        <v>22.980863866926398</v>
      </c>
      <c r="U136" s="89">
        <f t="shared" si="82"/>
        <v>23.268744414958153</v>
      </c>
      <c r="V136" s="89">
        <f t="shared" si="82"/>
        <v>23.571898753800173</v>
      </c>
      <c r="W136" s="89">
        <f t="shared" si="82"/>
        <v>23.873790013561074</v>
      </c>
      <c r="X136" s="89">
        <f t="shared" si="82"/>
        <v>24.170555516211369</v>
      </c>
      <c r="Y136" s="89">
        <f t="shared" si="82"/>
        <v>24.466923825554861</v>
      </c>
      <c r="Z136" s="89">
        <f t="shared" si="82"/>
        <v>24.760363053937965</v>
      </c>
      <c r="AA136" s="89">
        <f t="shared" si="82"/>
        <v>25.048226416196044</v>
      </c>
      <c r="AB136" s="89">
        <f t="shared" si="82"/>
        <v>25.328627592855327</v>
      </c>
      <c r="AC136" s="89">
        <f t="shared" si="82"/>
        <v>25.60277488912374</v>
      </c>
      <c r="AD136" s="89">
        <f t="shared" si="82"/>
        <v>25.867917162311954</v>
      </c>
      <c r="AE136" s="89">
        <f t="shared" si="82"/>
        <v>26.121648182920598</v>
      </c>
      <c r="AF136" s="89">
        <f t="shared" si="82"/>
        <v>26.362306114334586</v>
      </c>
      <c r="AG136" s="89">
        <f t="shared" si="58"/>
        <v>26.590485426550785</v>
      </c>
      <c r="AH136" s="89">
        <f t="shared" si="59"/>
        <v>26.81099398120978</v>
      </c>
      <c r="AI136" s="89">
        <f t="shared" si="60"/>
        <v>27.024419647234414</v>
      </c>
      <c r="AJ136" s="89">
        <f t="shared" si="61"/>
        <v>27.23357554650789</v>
      </c>
      <c r="AK136" s="89">
        <f t="shared" si="62"/>
        <v>27.435586692329668</v>
      </c>
      <c r="AL136" s="89">
        <f t="shared" si="63"/>
        <v>27.625987273369056</v>
      </c>
      <c r="AM136" s="89">
        <f t="shared" si="64"/>
        <v>27.802351123766243</v>
      </c>
      <c r="AN136" s="89">
        <f t="shared" si="65"/>
        <v>27.963172740680296</v>
      </c>
      <c r="AO136" s="89">
        <f t="shared" si="66"/>
        <v>28.107323429678811</v>
      </c>
      <c r="AP136" s="89">
        <f t="shared" si="67"/>
        <v>28.233764074110979</v>
      </c>
      <c r="AQ136" s="89">
        <f t="shared" si="68"/>
        <v>28.350222832063295</v>
      </c>
      <c r="AR136" s="89">
        <f t="shared" si="69"/>
        <v>28.463901507880625</v>
      </c>
      <c r="AS136" s="89">
        <f t="shared" si="70"/>
        <v>28.579989387077482</v>
      </c>
      <c r="AT136" s="89">
        <f t="shared" si="71"/>
        <v>28.668148918790294</v>
      </c>
      <c r="AU136" s="89">
        <f t="shared" si="72"/>
        <v>28.737478982951117</v>
      </c>
      <c r="AV136" s="89">
        <f t="shared" si="73"/>
        <v>28.794168953854061</v>
      </c>
      <c r="AW136" s="89">
        <f t="shared" si="74"/>
        <v>28.824531377893351</v>
      </c>
      <c r="AX136" s="89">
        <f t="shared" si="75"/>
        <v>28.838951890234512</v>
      </c>
      <c r="AY136" s="89">
        <f t="shared" si="76"/>
        <v>28.84399695072889</v>
      </c>
      <c r="AZ136" s="89">
        <f t="shared" si="77"/>
        <v>28.843772352283963</v>
      </c>
      <c r="BA136" s="89">
        <f t="shared" si="78"/>
        <v>28.840804904494327</v>
      </c>
      <c r="BB136" s="89">
        <f t="shared" si="78"/>
        <v>28.836614701889477</v>
      </c>
    </row>
    <row r="137" spans="2:54">
      <c r="B137" s="6" t="s">
        <v>104</v>
      </c>
      <c r="D137" s="89">
        <f t="shared" ref="D137:AF137" si="83">(   IF(D$131&lt;$C$5,    INDEX($C$61:$C$78,MATCH($B137,$B$61:$B$78,0)),   INDEX($F$61:$F$78,MATCH($B137,$B$61:$B$78,0)) )         *C$13)        +D111</f>
        <v>2455.9146055450615</v>
      </c>
      <c r="E137" s="89">
        <f t="shared" si="83"/>
        <v>2550.3185459056372</v>
      </c>
      <c r="F137" s="89">
        <f t="shared" si="83"/>
        <v>2631.8469788866273</v>
      </c>
      <c r="G137" s="89">
        <f t="shared" si="83"/>
        <v>2704.2290118266574</v>
      </c>
      <c r="H137" s="89">
        <f t="shared" si="83"/>
        <v>4109.3574331980572</v>
      </c>
      <c r="I137" s="89">
        <f t="shared" si="83"/>
        <v>3765.2119039898707</v>
      </c>
      <c r="J137" s="89">
        <f t="shared" si="83"/>
        <v>3548.1921799882066</v>
      </c>
      <c r="K137" s="89">
        <f t="shared" si="83"/>
        <v>3418.0406040431412</v>
      </c>
      <c r="L137" s="89">
        <f t="shared" si="83"/>
        <v>3352.4621978271475</v>
      </c>
      <c r="M137" s="89">
        <f t="shared" si="83"/>
        <v>3327.5793706231161</v>
      </c>
      <c r="N137" s="89">
        <f t="shared" si="83"/>
        <v>3328.6849198990944</v>
      </c>
      <c r="O137" s="89">
        <f t="shared" si="83"/>
        <v>3348.3073567810047</v>
      </c>
      <c r="P137" s="89">
        <f t="shared" si="83"/>
        <v>3377.8363514819935</v>
      </c>
      <c r="Q137" s="89">
        <f t="shared" si="83"/>
        <v>3413.3469440576941</v>
      </c>
      <c r="R137" s="89">
        <f t="shared" si="83"/>
        <v>3453.0443792217998</v>
      </c>
      <c r="S137" s="89">
        <f t="shared" si="83"/>
        <v>3495.2860022422078</v>
      </c>
      <c r="T137" s="89">
        <f t="shared" si="83"/>
        <v>3538.652108080094</v>
      </c>
      <c r="U137" s="89">
        <f t="shared" si="83"/>
        <v>3582.9806900719104</v>
      </c>
      <c r="V137" s="89">
        <f t="shared" si="83"/>
        <v>3629.6611693797763</v>
      </c>
      <c r="W137" s="89">
        <f t="shared" si="83"/>
        <v>3676.1471565450074</v>
      </c>
      <c r="X137" s="89">
        <f t="shared" si="83"/>
        <v>3721.8438665398944</v>
      </c>
      <c r="Y137" s="89">
        <f t="shared" si="83"/>
        <v>3767.4794156950252</v>
      </c>
      <c r="Z137" s="89">
        <f t="shared" si="83"/>
        <v>3812.6639374834194</v>
      </c>
      <c r="AA137" s="89">
        <f t="shared" si="83"/>
        <v>3856.9898731659159</v>
      </c>
      <c r="AB137" s="89">
        <f t="shared" si="83"/>
        <v>3900.1667624525508</v>
      </c>
      <c r="AC137" s="89">
        <f t="shared" si="83"/>
        <v>3942.3806632650803</v>
      </c>
      <c r="AD137" s="89">
        <f t="shared" si="83"/>
        <v>3983.2079476261752</v>
      </c>
      <c r="AE137" s="89">
        <f t="shared" si="83"/>
        <v>4022.2780981723554</v>
      </c>
      <c r="AF137" s="89">
        <f t="shared" si="83"/>
        <v>4059.3352210575367</v>
      </c>
      <c r="AG137" s="89">
        <f t="shared" si="58"/>
        <v>4094.4708542900266</v>
      </c>
      <c r="AH137" s="89">
        <f t="shared" si="59"/>
        <v>4128.425324683838</v>
      </c>
      <c r="AI137" s="89">
        <f t="shared" si="60"/>
        <v>4161.2891537970409</v>
      </c>
      <c r="AJ137" s="89">
        <f t="shared" si="61"/>
        <v>4193.4955133215262</v>
      </c>
      <c r="AK137" s="89">
        <f t="shared" si="62"/>
        <v>4224.6017054628364</v>
      </c>
      <c r="AL137" s="89">
        <f t="shared" si="63"/>
        <v>4253.920073187227</v>
      </c>
      <c r="AM137" s="89">
        <f t="shared" si="64"/>
        <v>4281.0770292795223</v>
      </c>
      <c r="AN137" s="89">
        <f t="shared" si="65"/>
        <v>4305.8407525674347</v>
      </c>
      <c r="AO137" s="89">
        <f t="shared" si="66"/>
        <v>4328.0374437997398</v>
      </c>
      <c r="AP137" s="89">
        <f t="shared" si="67"/>
        <v>4347.5070971407886</v>
      </c>
      <c r="AQ137" s="89">
        <f t="shared" si="68"/>
        <v>4365.439714109355</v>
      </c>
      <c r="AR137" s="89">
        <f t="shared" si="69"/>
        <v>4382.9442469308424</v>
      </c>
      <c r="AS137" s="89">
        <f t="shared" si="70"/>
        <v>4400.8197550414716</v>
      </c>
      <c r="AT137" s="89">
        <f t="shared" si="71"/>
        <v>4414.3947848814887</v>
      </c>
      <c r="AU137" s="89">
        <f t="shared" si="72"/>
        <v>4425.0704052200736</v>
      </c>
      <c r="AV137" s="89">
        <f t="shared" si="73"/>
        <v>4433.7996717178148</v>
      </c>
      <c r="AW137" s="89">
        <f t="shared" si="74"/>
        <v>4438.4749553126876</v>
      </c>
      <c r="AX137" s="89">
        <f t="shared" si="75"/>
        <v>4440.6954626309134</v>
      </c>
      <c r="AY137" s="89">
        <f t="shared" si="76"/>
        <v>4441.4723139302023</v>
      </c>
      <c r="AZ137" s="89">
        <f t="shared" si="77"/>
        <v>4441.4377296880602</v>
      </c>
      <c r="BA137" s="89">
        <f t="shared" si="78"/>
        <v>4440.9807944989734</v>
      </c>
      <c r="BB137" s="89">
        <f t="shared" si="78"/>
        <v>4440.3355764006983</v>
      </c>
    </row>
    <row r="138" spans="2:54">
      <c r="B138" s="6" t="s">
        <v>17</v>
      </c>
      <c r="D138" s="89">
        <f t="shared" ref="D138:AF138" si="84">(   IF(D$131&lt;$C$5,    INDEX($C$61:$C$78,MATCH($B138,$B$61:$B$78,0)),   INDEX($F$61:$F$78,MATCH($B138,$B$61:$B$78,0)) )         *C$13)        +D112</f>
        <v>902.02503808635458</v>
      </c>
      <c r="E138" s="89">
        <f t="shared" si="84"/>
        <v>936.69836007686047</v>
      </c>
      <c r="F138" s="89">
        <f t="shared" si="84"/>
        <v>966.64267805060229</v>
      </c>
      <c r="G138" s="89">
        <f t="shared" si="84"/>
        <v>993.22764394155126</v>
      </c>
      <c r="H138" s="89">
        <f t="shared" si="84"/>
        <v>1509.3127777414122</v>
      </c>
      <c r="I138" s="89">
        <f t="shared" si="84"/>
        <v>1382.9126645655035</v>
      </c>
      <c r="J138" s="89">
        <f t="shared" si="84"/>
        <v>1303.204182696426</v>
      </c>
      <c r="K138" s="89">
        <f t="shared" si="84"/>
        <v>1255.4012257109607</v>
      </c>
      <c r="L138" s="89">
        <f t="shared" si="84"/>
        <v>1231.3151421675568</v>
      </c>
      <c r="M138" s="89">
        <f t="shared" si="84"/>
        <v>1222.1760079705714</v>
      </c>
      <c r="N138" s="89">
        <f t="shared" si="84"/>
        <v>1222.5820616360854</v>
      </c>
      <c r="O138" s="89">
        <f t="shared" si="84"/>
        <v>1229.7891238587654</v>
      </c>
      <c r="P138" s="89">
        <f t="shared" si="84"/>
        <v>1240.6347340887269</v>
      </c>
      <c r="Q138" s="89">
        <f t="shared" si="84"/>
        <v>1253.6773063134465</v>
      </c>
      <c r="R138" s="89">
        <f t="shared" si="84"/>
        <v>1268.2576505912907</v>
      </c>
      <c r="S138" s="89">
        <f t="shared" si="84"/>
        <v>1283.7724415077919</v>
      </c>
      <c r="T138" s="89">
        <f t="shared" si="84"/>
        <v>1299.700240129843</v>
      </c>
      <c r="U138" s="89">
        <f t="shared" si="84"/>
        <v>1315.9815435469902</v>
      </c>
      <c r="V138" s="89">
        <f t="shared" si="84"/>
        <v>1333.1266678239078</v>
      </c>
      <c r="W138" s="89">
        <f t="shared" si="84"/>
        <v>1350.2003577024259</v>
      </c>
      <c r="X138" s="89">
        <f t="shared" si="84"/>
        <v>1366.984156487812</v>
      </c>
      <c r="Y138" s="89">
        <f t="shared" si="84"/>
        <v>1383.745491703542</v>
      </c>
      <c r="Z138" s="89">
        <f t="shared" si="84"/>
        <v>1400.3411705170749</v>
      </c>
      <c r="AA138" s="89">
        <f t="shared" si="84"/>
        <v>1416.6215019797169</v>
      </c>
      <c r="AB138" s="89">
        <f t="shared" si="84"/>
        <v>1432.4798038584922</v>
      </c>
      <c r="AC138" s="89">
        <f t="shared" si="84"/>
        <v>1447.9844127737294</v>
      </c>
      <c r="AD138" s="89">
        <f t="shared" si="84"/>
        <v>1462.9797357575292</v>
      </c>
      <c r="AE138" s="89">
        <f t="shared" si="84"/>
        <v>1477.329686669864</v>
      </c>
      <c r="AF138" s="89">
        <f t="shared" si="84"/>
        <v>1490.9402790766214</v>
      </c>
      <c r="AG138" s="89">
        <f t="shared" si="58"/>
        <v>1503.8451336807541</v>
      </c>
      <c r="AH138" s="89">
        <f t="shared" si="59"/>
        <v>1516.3161627552288</v>
      </c>
      <c r="AI138" s="89">
        <f t="shared" si="60"/>
        <v>1528.3866136742345</v>
      </c>
      <c r="AJ138" s="89">
        <f t="shared" si="61"/>
        <v>1540.2155846861353</v>
      </c>
      <c r="AK138" s="89">
        <f t="shared" si="62"/>
        <v>1551.6404787307554</v>
      </c>
      <c r="AL138" s="89">
        <f t="shared" si="63"/>
        <v>1562.4087284506406</v>
      </c>
      <c r="AM138" s="89">
        <f t="shared" si="64"/>
        <v>1572.3831201897319</v>
      </c>
      <c r="AN138" s="89">
        <f t="shared" si="65"/>
        <v>1581.4785090894538</v>
      </c>
      <c r="AO138" s="89">
        <f t="shared" si="66"/>
        <v>1589.6310609774569</v>
      </c>
      <c r="AP138" s="89">
        <f t="shared" si="67"/>
        <v>1596.7820078209813</v>
      </c>
      <c r="AQ138" s="89">
        <f t="shared" si="68"/>
        <v>1603.3684214802904</v>
      </c>
      <c r="AR138" s="89">
        <f t="shared" si="69"/>
        <v>1609.7976054793335</v>
      </c>
      <c r="AS138" s="89">
        <f t="shared" si="70"/>
        <v>1616.3630438084581</v>
      </c>
      <c r="AT138" s="89">
        <f t="shared" si="71"/>
        <v>1621.348973197378</v>
      </c>
      <c r="AU138" s="89">
        <f t="shared" si="72"/>
        <v>1625.2699877231948</v>
      </c>
      <c r="AV138" s="89">
        <f t="shared" si="73"/>
        <v>1628.4761321580675</v>
      </c>
      <c r="AW138" s="89">
        <f t="shared" si="74"/>
        <v>1630.1933021497309</v>
      </c>
      <c r="AX138" s="89">
        <f t="shared" si="75"/>
        <v>1631.0088651964961</v>
      </c>
      <c r="AY138" s="89">
        <f t="shared" si="76"/>
        <v>1631.2941924311021</v>
      </c>
      <c r="AZ138" s="89">
        <f t="shared" si="77"/>
        <v>1631.2814900951721</v>
      </c>
      <c r="BA138" s="89">
        <f t="shared" si="78"/>
        <v>1631.1136638277569</v>
      </c>
      <c r="BB138" s="89">
        <f t="shared" si="78"/>
        <v>1630.8766837314797</v>
      </c>
    </row>
    <row r="139" spans="2:54" ht="29">
      <c r="B139" s="6" t="s">
        <v>106</v>
      </c>
      <c r="D139" s="89">
        <f t="shared" ref="D139:AF139" si="85">(   IF(D$131&lt;$C$5,    INDEX($C$61:$C$78,MATCH($B139,$B$61:$B$78,0)),   INDEX($F$61:$F$78,MATCH($B139,$B$61:$B$78,0)) )         *C$13)        +D113</f>
        <v>866.32037771818159</v>
      </c>
      <c r="E139" s="89">
        <f t="shared" si="85"/>
        <v>899.62123316592533</v>
      </c>
      <c r="F139" s="89">
        <f t="shared" si="85"/>
        <v>928.38027173159526</v>
      </c>
      <c r="G139" s="89">
        <f t="shared" si="85"/>
        <v>953.91293071535506</v>
      </c>
      <c r="H139" s="89">
        <f t="shared" si="85"/>
        <v>1449.5699792123078</v>
      </c>
      <c r="I139" s="89">
        <f t="shared" si="85"/>
        <v>1328.1731341507952</v>
      </c>
      <c r="J139" s="89">
        <f t="shared" si="85"/>
        <v>1251.6197357366468</v>
      </c>
      <c r="K139" s="89">
        <f t="shared" si="85"/>
        <v>1205.7089527726271</v>
      </c>
      <c r="L139" s="89">
        <f t="shared" si="85"/>
        <v>1182.5762634214079</v>
      </c>
      <c r="M139" s="89">
        <f t="shared" si="85"/>
        <v>1173.7988815802714</v>
      </c>
      <c r="N139" s="89">
        <f t="shared" si="85"/>
        <v>1174.188862512096</v>
      </c>
      <c r="O139" s="89">
        <f t="shared" si="85"/>
        <v>1181.110649162538</v>
      </c>
      <c r="P139" s="89">
        <f t="shared" si="85"/>
        <v>1191.5269599679868</v>
      </c>
      <c r="Q139" s="89">
        <f t="shared" si="85"/>
        <v>1204.0532709006709</v>
      </c>
      <c r="R139" s="89">
        <f t="shared" si="85"/>
        <v>1218.0564845906592</v>
      </c>
      <c r="S139" s="89">
        <f t="shared" si="85"/>
        <v>1232.9571569217915</v>
      </c>
      <c r="T139" s="89">
        <f t="shared" si="85"/>
        <v>1248.2544889645342</v>
      </c>
      <c r="U139" s="89">
        <f t="shared" si="85"/>
        <v>1263.8913330991611</v>
      </c>
      <c r="V139" s="89">
        <f t="shared" si="85"/>
        <v>1280.357805660849</v>
      </c>
      <c r="W139" s="89">
        <f t="shared" si="85"/>
        <v>1296.7556713963506</v>
      </c>
      <c r="X139" s="89">
        <f t="shared" si="85"/>
        <v>1312.8751207346402</v>
      </c>
      <c r="Y139" s="89">
        <f t="shared" si="85"/>
        <v>1328.9729956738524</v>
      </c>
      <c r="Z139" s="89">
        <f t="shared" si="85"/>
        <v>1344.9117713521093</v>
      </c>
      <c r="AA139" s="89">
        <f t="shared" si="85"/>
        <v>1360.5476820048941</v>
      </c>
      <c r="AB139" s="89">
        <f t="shared" si="85"/>
        <v>1375.778268178794</v>
      </c>
      <c r="AC139" s="89">
        <f t="shared" si="85"/>
        <v>1390.669161540598</v>
      </c>
      <c r="AD139" s="89">
        <f t="shared" si="85"/>
        <v>1405.0709279249229</v>
      </c>
      <c r="AE139" s="89">
        <f t="shared" si="85"/>
        <v>1418.8528678597445</v>
      </c>
      <c r="AF139" s="89">
        <f t="shared" si="85"/>
        <v>1431.924715155475</v>
      </c>
      <c r="AG139" s="89">
        <f t="shared" si="58"/>
        <v>1444.3187597141143</v>
      </c>
      <c r="AH139" s="89">
        <f t="shared" si="59"/>
        <v>1456.2961507644268</v>
      </c>
      <c r="AI139" s="89">
        <f t="shared" si="60"/>
        <v>1467.8888196570397</v>
      </c>
      <c r="AJ139" s="89">
        <f t="shared" si="61"/>
        <v>1479.2495670890487</v>
      </c>
      <c r="AK139" s="89">
        <f t="shared" si="62"/>
        <v>1490.2222320442513</v>
      </c>
      <c r="AL139" s="89">
        <f t="shared" si="63"/>
        <v>1500.5642444838236</v>
      </c>
      <c r="AM139" s="89">
        <f t="shared" si="64"/>
        <v>1510.1438220499303</v>
      </c>
      <c r="AN139" s="89">
        <f t="shared" si="65"/>
        <v>1518.8791901543648</v>
      </c>
      <c r="AO139" s="89">
        <f t="shared" si="66"/>
        <v>1526.7090413589005</v>
      </c>
      <c r="AP139" s="89">
        <f t="shared" si="67"/>
        <v>1533.5769338330024</v>
      </c>
      <c r="AQ139" s="89">
        <f t="shared" si="68"/>
        <v>1539.9026389168059</v>
      </c>
      <c r="AR139" s="89">
        <f t="shared" si="69"/>
        <v>1546.0773379276968</v>
      </c>
      <c r="AS139" s="89">
        <f t="shared" si="70"/>
        <v>1552.3828979432362</v>
      </c>
      <c r="AT139" s="89">
        <f t="shared" si="71"/>
        <v>1557.1714703764903</v>
      </c>
      <c r="AU139" s="89">
        <f t="shared" si="72"/>
        <v>1560.93728023943</v>
      </c>
      <c r="AV139" s="89">
        <f t="shared" si="73"/>
        <v>1564.0165165583358</v>
      </c>
      <c r="AW139" s="89">
        <f t="shared" si="74"/>
        <v>1565.6657161847013</v>
      </c>
      <c r="AX139" s="89">
        <f t="shared" si="75"/>
        <v>1566.4489969772449</v>
      </c>
      <c r="AY139" s="89">
        <f t="shared" si="76"/>
        <v>1566.723030166148</v>
      </c>
      <c r="AZ139" s="89">
        <f t="shared" si="77"/>
        <v>1566.7108306240109</v>
      </c>
      <c r="BA139" s="89">
        <f t="shared" si="78"/>
        <v>1566.549647387139</v>
      </c>
      <c r="BB139" s="89">
        <f t="shared" si="78"/>
        <v>1566.3220476223321</v>
      </c>
    </row>
    <row r="140" spans="2:54" ht="29">
      <c r="B140" s="6" t="s">
        <v>107</v>
      </c>
      <c r="D140" s="89">
        <f t="shared" ref="D140:AF140" si="86">(   IF(D$131&lt;$C$5,    INDEX($C$61:$C$78,MATCH($B140,$B$61:$B$78,0)),   INDEX($F$61:$F$78,MATCH($B140,$B$61:$B$78,0)) )         *C$13)        +D114</f>
        <v>550.00488049273201</v>
      </c>
      <c r="E140" s="89">
        <f t="shared" si="86"/>
        <v>571.14675074295508</v>
      </c>
      <c r="F140" s="89">
        <f t="shared" si="86"/>
        <v>589.4051364120761</v>
      </c>
      <c r="G140" s="89">
        <f t="shared" si="86"/>
        <v>605.61517534710947</v>
      </c>
      <c r="H140" s="89">
        <f t="shared" si="86"/>
        <v>920.29528992780263</v>
      </c>
      <c r="I140" s="89">
        <f t="shared" si="86"/>
        <v>843.22350565774332</v>
      </c>
      <c r="J140" s="89">
        <f t="shared" si="86"/>
        <v>794.62169063754641</v>
      </c>
      <c r="K140" s="89">
        <f t="shared" si="86"/>
        <v>765.4740965754479</v>
      </c>
      <c r="L140" s="89">
        <f t="shared" si="86"/>
        <v>750.78773761480056</v>
      </c>
      <c r="M140" s="89">
        <f t="shared" si="86"/>
        <v>745.21520004701426</v>
      </c>
      <c r="N140" s="89">
        <f t="shared" si="86"/>
        <v>745.46278906987391</v>
      </c>
      <c r="O140" s="89">
        <f t="shared" si="86"/>
        <v>749.85725621781273</v>
      </c>
      <c r="P140" s="89">
        <f t="shared" si="86"/>
        <v>756.47030830232666</v>
      </c>
      <c r="Q140" s="89">
        <f t="shared" si="86"/>
        <v>764.42294606168787</v>
      </c>
      <c r="R140" s="89">
        <f t="shared" si="86"/>
        <v>773.31323199997121</v>
      </c>
      <c r="S140" s="89">
        <f t="shared" si="86"/>
        <v>782.77329171405972</v>
      </c>
      <c r="T140" s="89">
        <f t="shared" si="86"/>
        <v>792.48518063924826</v>
      </c>
      <c r="U140" s="89">
        <f t="shared" si="86"/>
        <v>802.4126171982283</v>
      </c>
      <c r="V140" s="89">
        <f t="shared" si="86"/>
        <v>812.86676384693408</v>
      </c>
      <c r="W140" s="89">
        <f t="shared" si="86"/>
        <v>823.27735375819248</v>
      </c>
      <c r="X140" s="89">
        <f t="shared" si="86"/>
        <v>833.5111841458214</v>
      </c>
      <c r="Y140" s="89">
        <f t="shared" si="86"/>
        <v>843.73131749354309</v>
      </c>
      <c r="Z140" s="89">
        <f t="shared" si="86"/>
        <v>853.85044274742449</v>
      </c>
      <c r="AA140" s="89">
        <f t="shared" si="86"/>
        <v>863.77728666241035</v>
      </c>
      <c r="AB140" s="89">
        <f t="shared" si="86"/>
        <v>873.44680032486644</v>
      </c>
      <c r="AC140" s="89">
        <f t="shared" si="86"/>
        <v>882.90065161884274</v>
      </c>
      <c r="AD140" s="89">
        <f t="shared" si="86"/>
        <v>892.04396857504571</v>
      </c>
      <c r="AE140" s="89">
        <f t="shared" si="86"/>
        <v>900.79377340680446</v>
      </c>
      <c r="AF140" s="89">
        <f t="shared" si="86"/>
        <v>909.09275839506506</v>
      </c>
      <c r="AG140" s="89">
        <f t="shared" si="58"/>
        <v>916.96142358132192</v>
      </c>
      <c r="AH140" s="89">
        <f t="shared" si="59"/>
        <v>924.56556600100407</v>
      </c>
      <c r="AI140" s="89">
        <f t="shared" si="60"/>
        <v>931.92545806041437</v>
      </c>
      <c r="AJ140" s="89">
        <f t="shared" si="61"/>
        <v>939.13810905462071</v>
      </c>
      <c r="AK140" s="89">
        <f t="shared" si="62"/>
        <v>946.10437630700687</v>
      </c>
      <c r="AL140" s="89">
        <f t="shared" si="63"/>
        <v>952.67025823958181</v>
      </c>
      <c r="AM140" s="89">
        <f t="shared" si="64"/>
        <v>958.75208956888173</v>
      </c>
      <c r="AN140" s="89">
        <f t="shared" si="65"/>
        <v>964.29795367864006</v>
      </c>
      <c r="AO140" s="89">
        <f t="shared" si="66"/>
        <v>969.26892802807117</v>
      </c>
      <c r="AP140" s="89">
        <f t="shared" si="67"/>
        <v>973.62917912756006</v>
      </c>
      <c r="AQ140" s="89">
        <f t="shared" si="68"/>
        <v>977.64520917618188</v>
      </c>
      <c r="AR140" s="89">
        <f t="shared" si="69"/>
        <v>981.56536929120614</v>
      </c>
      <c r="AS140" s="89">
        <f t="shared" si="70"/>
        <v>985.5686097458763</v>
      </c>
      <c r="AT140" s="89">
        <f t="shared" si="71"/>
        <v>988.6087531808256</v>
      </c>
      <c r="AU140" s="89">
        <f t="shared" si="72"/>
        <v>990.99957054689048</v>
      </c>
      <c r="AV140" s="89">
        <f t="shared" si="73"/>
        <v>992.95449974762039</v>
      </c>
      <c r="AW140" s="89">
        <f t="shared" si="74"/>
        <v>994.00153484772602</v>
      </c>
      <c r="AX140" s="89">
        <f t="shared" si="75"/>
        <v>994.49881999739546</v>
      </c>
      <c r="AY140" s="89">
        <f t="shared" si="76"/>
        <v>994.67279673301221</v>
      </c>
      <c r="AZ140" s="89">
        <f t="shared" si="77"/>
        <v>994.66505155249035</v>
      </c>
      <c r="BA140" s="89">
        <f t="shared" si="78"/>
        <v>994.56272039508804</v>
      </c>
      <c r="BB140" s="89">
        <f t="shared" si="78"/>
        <v>994.41822306515962</v>
      </c>
    </row>
    <row r="141" spans="2:54">
      <c r="B141" s="6" t="s">
        <v>2863</v>
      </c>
      <c r="D141" s="89">
        <f t="shared" ref="D141:AF141" si="87">(   IF(D$131&lt;$C$5,    INDEX($C$61:$C$78,MATCH($B141,$B$61:$B$78,0)),   INDEX($F$61:$F$78,MATCH($B141,$B$61:$B$78,0)) )         *C$13)        +D115</f>
        <v>714.61589557141485</v>
      </c>
      <c r="E141" s="89">
        <f t="shared" si="87"/>
        <v>744.71692292299088</v>
      </c>
      <c r="F141" s="89">
        <f t="shared" si="87"/>
        <v>771.17262467281068</v>
      </c>
      <c r="G141" s="89">
        <f t="shared" si="87"/>
        <v>795.05429056737967</v>
      </c>
      <c r="H141" s="89">
        <f t="shared" si="87"/>
        <v>1230.2530809168672</v>
      </c>
      <c r="I141" s="89">
        <f t="shared" si="87"/>
        <v>1221.2932200570906</v>
      </c>
      <c r="J141" s="89">
        <f t="shared" si="87"/>
        <v>1242.2489242227387</v>
      </c>
      <c r="K141" s="89">
        <f t="shared" si="87"/>
        <v>1284.0578913942377</v>
      </c>
      <c r="L141" s="89">
        <f t="shared" si="87"/>
        <v>1342.0745453099337</v>
      </c>
      <c r="M141" s="89">
        <f t="shared" si="87"/>
        <v>1410.6784445487415</v>
      </c>
      <c r="N141" s="89">
        <f t="shared" si="87"/>
        <v>1486.4286292437143</v>
      </c>
      <c r="O141" s="89">
        <f t="shared" si="87"/>
        <v>1565.0658880236565</v>
      </c>
      <c r="P141" s="89">
        <f t="shared" si="87"/>
        <v>1646.9858411497985</v>
      </c>
      <c r="Q141" s="89">
        <f t="shared" si="87"/>
        <v>1731.2623615322432</v>
      </c>
      <c r="R141" s="89">
        <f t="shared" si="87"/>
        <v>1817.5083565308382</v>
      </c>
      <c r="S141" s="89">
        <f t="shared" si="87"/>
        <v>1815.1648219965448</v>
      </c>
      <c r="T141" s="89">
        <f t="shared" si="87"/>
        <v>1821.9126678209045</v>
      </c>
      <c r="U141" s="89">
        <f t="shared" si="87"/>
        <v>1834.8479110991429</v>
      </c>
      <c r="V141" s="89">
        <f t="shared" si="87"/>
        <v>1852.435648352478</v>
      </c>
      <c r="W141" s="89">
        <f t="shared" si="87"/>
        <v>1872.5101187817968</v>
      </c>
      <c r="X141" s="89">
        <f t="shared" si="87"/>
        <v>1893.9680551510169</v>
      </c>
      <c r="Y141" s="89">
        <f t="shared" si="87"/>
        <v>1916.4185397488002</v>
      </c>
      <c r="Z141" s="89">
        <f t="shared" si="87"/>
        <v>1939.3248203383764</v>
      </c>
      <c r="AA141" s="89">
        <f t="shared" si="87"/>
        <v>1962.3312189564117</v>
      </c>
      <c r="AB141" s="89">
        <f t="shared" si="87"/>
        <v>1985.1965232485286</v>
      </c>
      <c r="AC141" s="89">
        <f t="shared" si="87"/>
        <v>2007.8549910879933</v>
      </c>
      <c r="AD141" s="89">
        <f t="shared" si="87"/>
        <v>2030.1014469370757</v>
      </c>
      <c r="AE141" s="89">
        <f t="shared" si="87"/>
        <v>2051.7690490676478</v>
      </c>
      <c r="AF141" s="89">
        <f t="shared" si="87"/>
        <v>2072.7202363868055</v>
      </c>
      <c r="AG141" s="89">
        <f t="shared" si="58"/>
        <v>2092.8832321032387</v>
      </c>
      <c r="AH141" s="89">
        <f t="shared" si="59"/>
        <v>2112.4385338422962</v>
      </c>
      <c r="AI141" s="89">
        <f t="shared" si="60"/>
        <v>2131.4041152932946</v>
      </c>
      <c r="AJ141" s="89">
        <f t="shared" si="61"/>
        <v>2149.8851565655905</v>
      </c>
      <c r="AK141" s="89">
        <f t="shared" si="62"/>
        <v>2167.7456381764669</v>
      </c>
      <c r="AL141" s="89">
        <f t="shared" si="63"/>
        <v>2184.7760692798429</v>
      </c>
      <c r="AM141" s="89">
        <f t="shared" si="64"/>
        <v>2200.8511350041417</v>
      </c>
      <c r="AN141" s="89">
        <f t="shared" si="65"/>
        <v>2215.8748950654362</v>
      </c>
      <c r="AO141" s="89">
        <f t="shared" si="66"/>
        <v>2229.772970669801</v>
      </c>
      <c r="AP141" s="89">
        <f t="shared" si="67"/>
        <v>2242.4795340463306</v>
      </c>
      <c r="AQ141" s="89">
        <f t="shared" si="68"/>
        <v>2254.3314531987253</v>
      </c>
      <c r="AR141" s="89">
        <f t="shared" si="69"/>
        <v>2265.6664478277285</v>
      </c>
      <c r="AS141" s="89">
        <f t="shared" si="70"/>
        <v>2276.7386533159215</v>
      </c>
      <c r="AT141" s="89">
        <f t="shared" si="71"/>
        <v>2286.1952638357784</v>
      </c>
      <c r="AU141" s="89">
        <f t="shared" si="72"/>
        <v>2294.3693791289934</v>
      </c>
      <c r="AV141" s="89">
        <f t="shared" si="73"/>
        <v>2301.5029720837611</v>
      </c>
      <c r="AW141" s="89">
        <f t="shared" si="74"/>
        <v>2306.9671546570507</v>
      </c>
      <c r="AX141" s="89">
        <f t="shared" si="75"/>
        <v>2311.1934854879373</v>
      </c>
      <c r="AY141" s="89">
        <f t="shared" si="76"/>
        <v>2314.4805504632495</v>
      </c>
      <c r="AZ141" s="89">
        <f t="shared" si="77"/>
        <v>2317.0413799883318</v>
      </c>
      <c r="BA141" s="89">
        <f t="shared" si="78"/>
        <v>2319.0348269445481</v>
      </c>
      <c r="BB141" s="89">
        <f t="shared" si="78"/>
        <v>2320.5556002383769</v>
      </c>
    </row>
    <row r="142" spans="2:54">
      <c r="B142" s="6" t="s">
        <v>2862</v>
      </c>
      <c r="D142" s="89">
        <f t="shared" ref="D142:AF142" si="88">(   IF(D$131&lt;$C$5,    INDEX($C$61:$C$78,MATCH($B142,$B$61:$B$78,0)),   INDEX($F$61:$F$78,MATCH($B142,$B$61:$B$78,0)) )         *C$13)        +D116</f>
        <v>1429.2317911428297</v>
      </c>
      <c r="E142" s="89">
        <f t="shared" si="88"/>
        <v>1489.4338458459818</v>
      </c>
      <c r="F142" s="89">
        <f t="shared" si="88"/>
        <v>1542.3452493456214</v>
      </c>
      <c r="G142" s="89">
        <f t="shared" si="88"/>
        <v>1590.1085811347593</v>
      </c>
      <c r="H142" s="89">
        <f t="shared" si="88"/>
        <v>2460.5061618337345</v>
      </c>
      <c r="I142" s="89">
        <f t="shared" si="88"/>
        <v>2442.5864401141812</v>
      </c>
      <c r="J142" s="89">
        <f t="shared" si="88"/>
        <v>2484.4978484454773</v>
      </c>
      <c r="K142" s="89">
        <f t="shared" si="88"/>
        <v>2568.1157827884754</v>
      </c>
      <c r="L142" s="89">
        <f t="shared" si="88"/>
        <v>2684.1490906198674</v>
      </c>
      <c r="M142" s="89">
        <f t="shared" si="88"/>
        <v>2821.356889097483</v>
      </c>
      <c r="N142" s="89">
        <f t="shared" si="88"/>
        <v>2972.8572584874287</v>
      </c>
      <c r="O142" s="89">
        <f t="shared" si="88"/>
        <v>3130.131776047313</v>
      </c>
      <c r="P142" s="89">
        <f t="shared" si="88"/>
        <v>3293.971682299597</v>
      </c>
      <c r="Q142" s="89">
        <f t="shared" si="88"/>
        <v>3462.5247230644864</v>
      </c>
      <c r="R142" s="89">
        <f t="shared" si="88"/>
        <v>3635.0167130616765</v>
      </c>
      <c r="S142" s="89">
        <f t="shared" si="88"/>
        <v>3630.3296439930896</v>
      </c>
      <c r="T142" s="89">
        <f t="shared" si="88"/>
        <v>3643.825335641809</v>
      </c>
      <c r="U142" s="89">
        <f t="shared" si="88"/>
        <v>3669.6958221982859</v>
      </c>
      <c r="V142" s="89">
        <f t="shared" si="88"/>
        <v>3704.871296704956</v>
      </c>
      <c r="W142" s="89">
        <f t="shared" si="88"/>
        <v>3745.0202375635936</v>
      </c>
      <c r="X142" s="89">
        <f t="shared" si="88"/>
        <v>3787.9361103020337</v>
      </c>
      <c r="Y142" s="89">
        <f t="shared" si="88"/>
        <v>3832.8370794976004</v>
      </c>
      <c r="Z142" s="89">
        <f t="shared" si="88"/>
        <v>3878.6496406767528</v>
      </c>
      <c r="AA142" s="89">
        <f t="shared" si="88"/>
        <v>3924.6624379128234</v>
      </c>
      <c r="AB142" s="89">
        <f t="shared" si="88"/>
        <v>3970.3930464970572</v>
      </c>
      <c r="AC142" s="89">
        <f t="shared" si="88"/>
        <v>4015.7099821759866</v>
      </c>
      <c r="AD142" s="89">
        <f t="shared" si="88"/>
        <v>4060.2028938741514</v>
      </c>
      <c r="AE142" s="89">
        <f t="shared" si="88"/>
        <v>4103.5380981352955</v>
      </c>
      <c r="AF142" s="89">
        <f t="shared" si="88"/>
        <v>4145.440472773611</v>
      </c>
      <c r="AG142" s="89">
        <f t="shared" si="58"/>
        <v>4185.7664642064774</v>
      </c>
      <c r="AH142" s="89">
        <f t="shared" si="59"/>
        <v>4224.8770676845925</v>
      </c>
      <c r="AI142" s="89">
        <f t="shared" si="60"/>
        <v>4262.8082305865892</v>
      </c>
      <c r="AJ142" s="89">
        <f t="shared" si="61"/>
        <v>4299.770313131181</v>
      </c>
      <c r="AK142" s="89">
        <f t="shared" si="62"/>
        <v>4335.4912763529337</v>
      </c>
      <c r="AL142" s="89">
        <f t="shared" si="63"/>
        <v>4369.5521385596858</v>
      </c>
      <c r="AM142" s="89">
        <f t="shared" si="64"/>
        <v>4401.7022700082834</v>
      </c>
      <c r="AN142" s="89">
        <f t="shared" si="65"/>
        <v>4431.7497901308725</v>
      </c>
      <c r="AO142" s="89">
        <f t="shared" si="66"/>
        <v>4459.545941339602</v>
      </c>
      <c r="AP142" s="89">
        <f t="shared" si="67"/>
        <v>4484.9590680926613</v>
      </c>
      <c r="AQ142" s="89">
        <f t="shared" si="68"/>
        <v>4508.6629063974506</v>
      </c>
      <c r="AR142" s="89">
        <f t="shared" si="69"/>
        <v>4531.3328956554569</v>
      </c>
      <c r="AS142" s="89">
        <f t="shared" si="70"/>
        <v>4553.477306631843</v>
      </c>
      <c r="AT142" s="89">
        <f t="shared" si="71"/>
        <v>4572.3905276715568</v>
      </c>
      <c r="AU142" s="89">
        <f t="shared" si="72"/>
        <v>4588.7387582579868</v>
      </c>
      <c r="AV142" s="89">
        <f t="shared" si="73"/>
        <v>4603.0059441675221</v>
      </c>
      <c r="AW142" s="89">
        <f t="shared" si="74"/>
        <v>4613.9343093141015</v>
      </c>
      <c r="AX142" s="89">
        <f t="shared" si="75"/>
        <v>4622.3869709758746</v>
      </c>
      <c r="AY142" s="89">
        <f t="shared" si="76"/>
        <v>4628.9611009264991</v>
      </c>
      <c r="AZ142" s="89">
        <f t="shared" si="77"/>
        <v>4634.0827599766635</v>
      </c>
      <c r="BA142" s="89">
        <f t="shared" si="78"/>
        <v>4638.0696538890961</v>
      </c>
      <c r="BB142" s="89">
        <f t="shared" si="78"/>
        <v>4641.1112004767538</v>
      </c>
    </row>
    <row r="143" spans="2:54">
      <c r="B143" s="6" t="s">
        <v>131</v>
      </c>
      <c r="D143" s="89">
        <f t="shared" ref="D143:AF143" si="89">(   IF(D$131&lt;$C$5,    INDEX($C$61:$C$78,MATCH($B143,$B$61:$B$78,0)),   INDEX($F$61:$F$78,MATCH($B143,$B$61:$B$78,0)) )         *C$13)        +D117</f>
        <v>0</v>
      </c>
      <c r="E143" s="89">
        <f t="shared" si="89"/>
        <v>0</v>
      </c>
      <c r="F143" s="89">
        <f t="shared" si="89"/>
        <v>0</v>
      </c>
      <c r="G143" s="89">
        <f t="shared" si="89"/>
        <v>0</v>
      </c>
      <c r="H143" s="89">
        <f t="shared" si="89"/>
        <v>0</v>
      </c>
      <c r="I143" s="89">
        <f t="shared" si="89"/>
        <v>0</v>
      </c>
      <c r="J143" s="89">
        <f t="shared" si="89"/>
        <v>0</v>
      </c>
      <c r="K143" s="89">
        <f t="shared" si="89"/>
        <v>0</v>
      </c>
      <c r="L143" s="89">
        <f t="shared" si="89"/>
        <v>0</v>
      </c>
      <c r="M143" s="89">
        <f t="shared" si="89"/>
        <v>0</v>
      </c>
      <c r="N143" s="89">
        <f t="shared" si="89"/>
        <v>0</v>
      </c>
      <c r="O143" s="89">
        <f t="shared" si="89"/>
        <v>0</v>
      </c>
      <c r="P143" s="89">
        <f t="shared" si="89"/>
        <v>0</v>
      </c>
      <c r="Q143" s="89">
        <f t="shared" si="89"/>
        <v>0</v>
      </c>
      <c r="R143" s="89">
        <f t="shared" si="89"/>
        <v>0</v>
      </c>
      <c r="S143" s="89">
        <f t="shared" si="89"/>
        <v>0</v>
      </c>
      <c r="T143" s="89">
        <f t="shared" si="89"/>
        <v>0</v>
      </c>
      <c r="U143" s="89">
        <f t="shared" si="89"/>
        <v>0</v>
      </c>
      <c r="V143" s="89">
        <f t="shared" si="89"/>
        <v>0</v>
      </c>
      <c r="W143" s="89">
        <f t="shared" si="89"/>
        <v>0</v>
      </c>
      <c r="X143" s="89">
        <f t="shared" si="89"/>
        <v>0</v>
      </c>
      <c r="Y143" s="89">
        <f t="shared" si="89"/>
        <v>0</v>
      </c>
      <c r="Z143" s="89">
        <f t="shared" si="89"/>
        <v>0</v>
      </c>
      <c r="AA143" s="89">
        <f t="shared" si="89"/>
        <v>0</v>
      </c>
      <c r="AB143" s="89">
        <f t="shared" si="89"/>
        <v>0</v>
      </c>
      <c r="AC143" s="89">
        <f t="shared" si="89"/>
        <v>0</v>
      </c>
      <c r="AD143" s="89">
        <f t="shared" si="89"/>
        <v>0</v>
      </c>
      <c r="AE143" s="89">
        <f t="shared" si="89"/>
        <v>0</v>
      </c>
      <c r="AF143" s="89">
        <f t="shared" si="89"/>
        <v>0</v>
      </c>
      <c r="AG143" s="89">
        <f t="shared" si="58"/>
        <v>0</v>
      </c>
      <c r="AH143" s="89">
        <f t="shared" si="59"/>
        <v>0</v>
      </c>
      <c r="AI143" s="89">
        <f t="shared" si="60"/>
        <v>0</v>
      </c>
      <c r="AJ143" s="89">
        <f t="shared" si="61"/>
        <v>0</v>
      </c>
      <c r="AK143" s="89">
        <f t="shared" si="62"/>
        <v>0</v>
      </c>
      <c r="AL143" s="89">
        <f t="shared" si="63"/>
        <v>0</v>
      </c>
      <c r="AM143" s="89">
        <f t="shared" si="64"/>
        <v>0</v>
      </c>
      <c r="AN143" s="89">
        <f t="shared" si="65"/>
        <v>0</v>
      </c>
      <c r="AO143" s="89">
        <f t="shared" si="66"/>
        <v>0</v>
      </c>
      <c r="AP143" s="89">
        <f t="shared" si="67"/>
        <v>0</v>
      </c>
      <c r="AQ143" s="89">
        <f t="shared" si="68"/>
        <v>0</v>
      </c>
      <c r="AR143" s="89">
        <f t="shared" si="69"/>
        <v>0</v>
      </c>
      <c r="AS143" s="89">
        <f t="shared" si="70"/>
        <v>0</v>
      </c>
      <c r="AT143" s="89">
        <f t="shared" si="71"/>
        <v>0</v>
      </c>
      <c r="AU143" s="89">
        <f t="shared" si="72"/>
        <v>0</v>
      </c>
      <c r="AV143" s="89">
        <f t="shared" si="73"/>
        <v>0</v>
      </c>
      <c r="AW143" s="89">
        <f t="shared" si="74"/>
        <v>0</v>
      </c>
      <c r="AX143" s="89">
        <f t="shared" si="75"/>
        <v>0</v>
      </c>
      <c r="AY143" s="89">
        <f t="shared" si="76"/>
        <v>0</v>
      </c>
      <c r="AZ143" s="89">
        <f t="shared" si="77"/>
        <v>0</v>
      </c>
      <c r="BA143" s="89">
        <f t="shared" si="78"/>
        <v>0</v>
      </c>
      <c r="BB143" s="89">
        <f t="shared" si="78"/>
        <v>0</v>
      </c>
    </row>
    <row r="144" spans="2:54" ht="29">
      <c r="B144" s="6" t="s">
        <v>2869</v>
      </c>
      <c r="D144" s="89">
        <f t="shared" ref="D144:AF144" si="90">(   IF(D$131&lt;$C$5,    INDEX($C$61:$C$78,MATCH($B144,$B$61:$B$78,0)),   INDEX($F$61:$F$78,MATCH($B144,$B$61:$B$78,0)) )         *C$13)        +D118</f>
        <v>455.72558021311977</v>
      </c>
      <c r="E144" s="89">
        <f t="shared" si="90"/>
        <v>473.24340856028249</v>
      </c>
      <c r="F144" s="89">
        <f t="shared" si="90"/>
        <v>488.3720259561149</v>
      </c>
      <c r="G144" s="89">
        <f t="shared" si="90"/>
        <v>501.80341476911462</v>
      </c>
      <c r="H144" s="89">
        <f t="shared" si="90"/>
        <v>119.45674143093757</v>
      </c>
      <c r="I144" s="89">
        <f t="shared" si="90"/>
        <v>109.45262176854992</v>
      </c>
      <c r="J144" s="89">
        <f t="shared" si="90"/>
        <v>103.14397875637349</v>
      </c>
      <c r="K144" s="89">
        <f t="shared" si="90"/>
        <v>99.360544628960753</v>
      </c>
      <c r="L144" s="89">
        <f t="shared" si="90"/>
        <v>97.454216731681598</v>
      </c>
      <c r="M144" s="89">
        <f t="shared" si="90"/>
        <v>96.730886745497003</v>
      </c>
      <c r="N144" s="89">
        <f t="shared" si="90"/>
        <v>96.763024449784496</v>
      </c>
      <c r="O144" s="89">
        <f t="shared" si="90"/>
        <v>97.333437806848693</v>
      </c>
      <c r="P144" s="89">
        <f t="shared" si="90"/>
        <v>98.19182930528946</v>
      </c>
      <c r="Q144" s="89">
        <f t="shared" si="90"/>
        <v>99.2241025364047</v>
      </c>
      <c r="R144" s="89">
        <f t="shared" si="90"/>
        <v>100.37808495943756</v>
      </c>
      <c r="S144" s="89">
        <f t="shared" si="90"/>
        <v>101.60602551238308</v>
      </c>
      <c r="T144" s="89">
        <f t="shared" si="90"/>
        <v>102.86665415716648</v>
      </c>
      <c r="U144" s="89">
        <f t="shared" si="90"/>
        <v>104.15526144993134</v>
      </c>
      <c r="V144" s="89">
        <f t="shared" si="90"/>
        <v>105.51223709325286</v>
      </c>
      <c r="W144" s="89">
        <f t="shared" si="90"/>
        <v>106.86355895785817</v>
      </c>
      <c r="X144" s="89">
        <f t="shared" si="90"/>
        <v>108.19193697287439</v>
      </c>
      <c r="Y144" s="89">
        <f t="shared" si="90"/>
        <v>109.5185370762002</v>
      </c>
      <c r="Z144" s="89">
        <f t="shared" si="90"/>
        <v>110.83202606412604</v>
      </c>
      <c r="AA144" s="89">
        <f t="shared" si="90"/>
        <v>112.12055643014668</v>
      </c>
      <c r="AB144" s="89">
        <f t="shared" si="90"/>
        <v>113.37568465472941</v>
      </c>
      <c r="AC144" s="89">
        <f t="shared" si="90"/>
        <v>114.60281933846734</v>
      </c>
      <c r="AD144" s="89">
        <f t="shared" si="90"/>
        <v>115.78964585101413</v>
      </c>
      <c r="AE144" s="89">
        <f t="shared" si="90"/>
        <v>116.9253934581116</v>
      </c>
      <c r="AF144" s="89">
        <f t="shared" si="90"/>
        <v>118.00262346757916</v>
      </c>
      <c r="AG144" s="89">
        <f t="shared" si="58"/>
        <v>119.02399683854908</v>
      </c>
      <c r="AH144" s="89">
        <f t="shared" si="59"/>
        <v>120.01103446090099</v>
      </c>
      <c r="AI144" s="89">
        <f t="shared" si="60"/>
        <v>120.96636774612249</v>
      </c>
      <c r="AJ144" s="89">
        <f t="shared" si="61"/>
        <v>121.90258875504897</v>
      </c>
      <c r="AK144" s="89">
        <f t="shared" si="62"/>
        <v>122.80682850832683</v>
      </c>
      <c r="AL144" s="89">
        <f t="shared" si="63"/>
        <v>123.65909719737685</v>
      </c>
      <c r="AM144" s="89">
        <f t="shared" si="64"/>
        <v>124.44853484905465</v>
      </c>
      <c r="AN144" s="89">
        <f t="shared" si="65"/>
        <v>125.16840255045567</v>
      </c>
      <c r="AO144" s="89">
        <f t="shared" si="66"/>
        <v>125.81364805374017</v>
      </c>
      <c r="AP144" s="89">
        <f t="shared" si="67"/>
        <v>126.37962007800911</v>
      </c>
      <c r="AQ144" s="89">
        <f t="shared" si="68"/>
        <v>126.90091130740868</v>
      </c>
      <c r="AR144" s="89">
        <f t="shared" si="69"/>
        <v>127.40975836807881</v>
      </c>
      <c r="AS144" s="89">
        <f t="shared" si="70"/>
        <v>127.92938947465213</v>
      </c>
      <c r="AT144" s="89">
        <f t="shared" si="71"/>
        <v>128.32400806305128</v>
      </c>
      <c r="AU144" s="89">
        <f t="shared" si="72"/>
        <v>128.63434242532864</v>
      </c>
      <c r="AV144" s="89">
        <f t="shared" si="73"/>
        <v>128.88809736094905</v>
      </c>
      <c r="AW144" s="89">
        <f t="shared" si="74"/>
        <v>129.02400526202311</v>
      </c>
      <c r="AX144" s="89">
        <f t="shared" si="75"/>
        <v>129.08855417821519</v>
      </c>
      <c r="AY144" s="89">
        <f t="shared" si="76"/>
        <v>129.11113681462442</v>
      </c>
      <c r="AZ144" s="89">
        <f t="shared" si="77"/>
        <v>129.11013146988662</v>
      </c>
      <c r="BA144" s="89">
        <f t="shared" si="78"/>
        <v>129.09684861736753</v>
      </c>
      <c r="BB144" s="89">
        <f t="shared" si="78"/>
        <v>129.07809248510472</v>
      </c>
    </row>
    <row r="145" spans="2:54" ht="29">
      <c r="B145" s="6" t="s">
        <v>2870</v>
      </c>
      <c r="D145" s="89">
        <f t="shared" ref="D145:AF145" si="91">(   IF(D$131&lt;$C$5,    INDEX($C$61:$C$78,MATCH($B145,$B$61:$B$78,0)),   INDEX($F$61:$F$78,MATCH($B145,$B$61:$B$78,0)) )         *C$13)        +D119</f>
        <v>258.19517450386161</v>
      </c>
      <c r="E145" s="89">
        <f t="shared" si="91"/>
        <v>268.1200480317184</v>
      </c>
      <c r="F145" s="89">
        <f t="shared" si="91"/>
        <v>276.69129392643515</v>
      </c>
      <c r="G145" s="89">
        <f t="shared" si="91"/>
        <v>284.30096064029374</v>
      </c>
      <c r="H145" s="89">
        <f t="shared" si="91"/>
        <v>1075.110672878438</v>
      </c>
      <c r="I145" s="89">
        <f t="shared" si="91"/>
        <v>985.07359591694922</v>
      </c>
      <c r="J145" s="89">
        <f t="shared" si="91"/>
        <v>928.29580880736125</v>
      </c>
      <c r="K145" s="89">
        <f t="shared" si="91"/>
        <v>894.24490166064675</v>
      </c>
      <c r="L145" s="89">
        <f t="shared" si="91"/>
        <v>877.08795058513431</v>
      </c>
      <c r="M145" s="89">
        <f t="shared" si="91"/>
        <v>870.57798070947297</v>
      </c>
      <c r="N145" s="89">
        <f t="shared" si="91"/>
        <v>870.8672200480604</v>
      </c>
      <c r="O145" s="89">
        <f t="shared" si="91"/>
        <v>876.00094026163822</v>
      </c>
      <c r="P145" s="89">
        <f t="shared" si="91"/>
        <v>883.72646374760507</v>
      </c>
      <c r="Q145" s="89">
        <f t="shared" si="91"/>
        <v>893.01692282764225</v>
      </c>
      <c r="R145" s="89">
        <f t="shared" si="91"/>
        <v>903.40276463493797</v>
      </c>
      <c r="S145" s="89">
        <f t="shared" si="91"/>
        <v>914.45422961144766</v>
      </c>
      <c r="T145" s="89">
        <f t="shared" si="91"/>
        <v>925.79988741449824</v>
      </c>
      <c r="U145" s="89">
        <f t="shared" si="91"/>
        <v>937.3973530493821</v>
      </c>
      <c r="V145" s="89">
        <f t="shared" si="91"/>
        <v>949.6101338392757</v>
      </c>
      <c r="W145" s="89">
        <f t="shared" si="91"/>
        <v>961.77203062072351</v>
      </c>
      <c r="X145" s="89">
        <f t="shared" si="91"/>
        <v>973.72743275586947</v>
      </c>
      <c r="Y145" s="89">
        <f t="shared" si="91"/>
        <v>985.66683368580175</v>
      </c>
      <c r="Z145" s="89">
        <f t="shared" si="91"/>
        <v>997.48823457713434</v>
      </c>
      <c r="AA145" s="89">
        <f t="shared" si="91"/>
        <v>1009.08500787132</v>
      </c>
      <c r="AB145" s="89">
        <f t="shared" si="91"/>
        <v>1020.3811618925647</v>
      </c>
      <c r="AC145" s="89">
        <f t="shared" si="91"/>
        <v>1031.4253740462059</v>
      </c>
      <c r="AD145" s="89">
        <f t="shared" si="91"/>
        <v>1042.1068126591272</v>
      </c>
      <c r="AE145" s="89">
        <f t="shared" si="91"/>
        <v>1052.3285411230042</v>
      </c>
      <c r="AF145" s="89">
        <f t="shared" si="91"/>
        <v>1062.0236112082125</v>
      </c>
      <c r="AG145" s="89">
        <f t="shared" si="58"/>
        <v>1071.2159715469418</v>
      </c>
      <c r="AH145" s="89">
        <f t="shared" si="59"/>
        <v>1080.0993101481088</v>
      </c>
      <c r="AI145" s="89">
        <f t="shared" si="60"/>
        <v>1088.6973097151022</v>
      </c>
      <c r="AJ145" s="89">
        <f t="shared" si="61"/>
        <v>1097.1232987954406</v>
      </c>
      <c r="AK145" s="89">
        <f t="shared" si="62"/>
        <v>1105.2614565749413</v>
      </c>
      <c r="AL145" s="89">
        <f t="shared" si="63"/>
        <v>1112.9318747763916</v>
      </c>
      <c r="AM145" s="89">
        <f t="shared" si="64"/>
        <v>1120.0368136414918</v>
      </c>
      <c r="AN145" s="89">
        <f t="shared" si="65"/>
        <v>1126.515622954101</v>
      </c>
      <c r="AO145" s="89">
        <f t="shared" si="66"/>
        <v>1132.3228324836614</v>
      </c>
      <c r="AP145" s="89">
        <f t="shared" si="67"/>
        <v>1137.416580702082</v>
      </c>
      <c r="AQ145" s="89">
        <f t="shared" si="68"/>
        <v>1142.1082017666779</v>
      </c>
      <c r="AR145" s="89">
        <f t="shared" si="69"/>
        <v>1146.6878253127093</v>
      </c>
      <c r="AS145" s="89">
        <f t="shared" si="70"/>
        <v>1151.3645052718691</v>
      </c>
      <c r="AT145" s="89">
        <f t="shared" si="71"/>
        <v>1154.9160725674615</v>
      </c>
      <c r="AU145" s="89">
        <f t="shared" si="72"/>
        <v>1157.7090818279578</v>
      </c>
      <c r="AV145" s="89">
        <f t="shared" si="73"/>
        <v>1159.9928762485413</v>
      </c>
      <c r="AW145" s="89">
        <f t="shared" si="74"/>
        <v>1161.216047358208</v>
      </c>
      <c r="AX145" s="89">
        <f t="shared" si="75"/>
        <v>1161.7969876039365</v>
      </c>
      <c r="AY145" s="89">
        <f t="shared" si="76"/>
        <v>1162.0002313316197</v>
      </c>
      <c r="AZ145" s="89">
        <f t="shared" si="77"/>
        <v>1161.9911832289795</v>
      </c>
      <c r="BA145" s="89">
        <f t="shared" si="78"/>
        <v>1161.8716375563076</v>
      </c>
      <c r="BB145" s="89">
        <f t="shared" si="78"/>
        <v>1161.7028323659424</v>
      </c>
    </row>
    <row r="146" spans="2:54">
      <c r="B146" s="6" t="s">
        <v>102</v>
      </c>
      <c r="D146" s="89">
        <f t="shared" ref="D146:AF146" si="92">(   IF(D$131&lt;$C$5,    INDEX($C$61:$C$78,MATCH($B146,$B$61:$B$78,0)),   INDEX($F$61:$F$78,MATCH($B146,$B$61:$B$78,0)) )         *C$13)        +D120</f>
        <v>1.3902817088669472</v>
      </c>
      <c r="E146" s="89">
        <f t="shared" si="92"/>
        <v>6.7069326619802769</v>
      </c>
      <c r="F146" s="89">
        <f t="shared" si="92"/>
        <v>12.218609580521472</v>
      </c>
      <c r="G146" s="89">
        <f t="shared" si="92"/>
        <v>17.899830315942655</v>
      </c>
      <c r="H146" s="89">
        <f t="shared" si="92"/>
        <v>71.371333214983267</v>
      </c>
      <c r="I146" s="89">
        <f t="shared" si="92"/>
        <v>253.53400474318289</v>
      </c>
      <c r="J146" s="89">
        <f t="shared" si="92"/>
        <v>421.61827331800771</v>
      </c>
      <c r="K146" s="89">
        <f t="shared" si="92"/>
        <v>580.90489020926043</v>
      </c>
      <c r="L146" s="89">
        <f t="shared" si="92"/>
        <v>735.06475598623547</v>
      </c>
      <c r="M146" s="89">
        <f t="shared" si="92"/>
        <v>886.73915418754291</v>
      </c>
      <c r="N146" s="89">
        <f t="shared" si="92"/>
        <v>1037.5967694917388</v>
      </c>
      <c r="O146" s="89">
        <f t="shared" si="92"/>
        <v>1183.4630199103394</v>
      </c>
      <c r="P146" s="89">
        <f t="shared" si="92"/>
        <v>1330.1350961938076</v>
      </c>
      <c r="Q146" s="89">
        <f t="shared" si="92"/>
        <v>1478.0426723363921</v>
      </c>
      <c r="R146" s="89">
        <f t="shared" si="92"/>
        <v>1627.4550138729251</v>
      </c>
      <c r="S146" s="89">
        <f t="shared" si="92"/>
        <v>1598.2091337454278</v>
      </c>
      <c r="T146" s="89">
        <f t="shared" si="92"/>
        <v>1586.4922524984797</v>
      </c>
      <c r="U146" s="89">
        <f t="shared" si="92"/>
        <v>1586.590593199659</v>
      </c>
      <c r="V146" s="89">
        <f t="shared" si="92"/>
        <v>1594.6265548398985</v>
      </c>
      <c r="W146" s="89">
        <f t="shared" si="92"/>
        <v>1607.7490584064305</v>
      </c>
      <c r="X146" s="89">
        <f t="shared" si="92"/>
        <v>1624.097370844546</v>
      </c>
      <c r="Y146" s="89">
        <f t="shared" si="92"/>
        <v>1642.4663379735964</v>
      </c>
      <c r="Z146" s="89">
        <f t="shared" si="92"/>
        <v>1662.0091193942324</v>
      </c>
      <c r="AA146" s="89">
        <f t="shared" si="92"/>
        <v>1682.2513093098903</v>
      </c>
      <c r="AB146" s="89">
        <f t="shared" si="92"/>
        <v>1702.8793534024692</v>
      </c>
      <c r="AC146" s="89">
        <f t="shared" si="92"/>
        <v>1723.6535954066399</v>
      </c>
      <c r="AD146" s="89">
        <f t="shared" si="92"/>
        <v>1744.4099768538692</v>
      </c>
      <c r="AE146" s="89">
        <f t="shared" si="92"/>
        <v>1765.0302289730641</v>
      </c>
      <c r="AF146" s="89">
        <f t="shared" si="92"/>
        <v>1785.3880034220281</v>
      </c>
      <c r="AG146" s="89">
        <f t="shared" si="58"/>
        <v>1805.2865274354956</v>
      </c>
      <c r="AH146" s="89">
        <f t="shared" si="59"/>
        <v>1824.6563784665721</v>
      </c>
      <c r="AI146" s="89">
        <f t="shared" si="60"/>
        <v>1843.4808756641398</v>
      </c>
      <c r="AJ146" s="89">
        <f t="shared" si="61"/>
        <v>1861.7185380302017</v>
      </c>
      <c r="AK146" s="89">
        <f t="shared" si="62"/>
        <v>1879.3547061863967</v>
      </c>
      <c r="AL146" s="89">
        <f t="shared" si="63"/>
        <v>1896.3701946121485</v>
      </c>
      <c r="AM146" s="89">
        <f t="shared" si="64"/>
        <v>1912.731573027191</v>
      </c>
      <c r="AN146" s="89">
        <f t="shared" si="65"/>
        <v>1928.3817391217594</v>
      </c>
      <c r="AO146" s="89">
        <f t="shared" si="66"/>
        <v>1943.2729802647989</v>
      </c>
      <c r="AP146" s="89">
        <f t="shared" si="67"/>
        <v>1957.366666532479</v>
      </c>
      <c r="AQ146" s="89">
        <f t="shared" si="68"/>
        <v>1970.6446802492774</v>
      </c>
      <c r="AR146" s="89">
        <f t="shared" si="69"/>
        <v>1983.1377282938806</v>
      </c>
      <c r="AS146" s="89">
        <f t="shared" si="70"/>
        <v>1994.889517138801</v>
      </c>
      <c r="AT146" s="89">
        <f t="shared" si="71"/>
        <v>2005.910366410531</v>
      </c>
      <c r="AU146" s="89">
        <f t="shared" si="72"/>
        <v>2016.0519097514136</v>
      </c>
      <c r="AV146" s="89">
        <f t="shared" si="73"/>
        <v>2025.2439969485415</v>
      </c>
      <c r="AW146" s="89">
        <f t="shared" si="74"/>
        <v>2033.4542040736394</v>
      </c>
      <c r="AX146" s="89">
        <f t="shared" si="75"/>
        <v>2040.6158874115711</v>
      </c>
      <c r="AY146" s="89">
        <f t="shared" si="76"/>
        <v>2046.7383646340115</v>
      </c>
      <c r="AZ146" s="89">
        <f t="shared" si="77"/>
        <v>2051.8801305789311</v>
      </c>
      <c r="BA146" s="89">
        <f t="shared" si="78"/>
        <v>2056.132681541746</v>
      </c>
      <c r="BB146" s="89">
        <f t="shared" si="78"/>
        <v>2059.5493507746596</v>
      </c>
    </row>
    <row r="147" spans="2:54">
      <c r="B147" s="6" t="s">
        <v>2831</v>
      </c>
      <c r="D147" s="89">
        <f t="shared" ref="D147:AF147" si="93">(   IF(D$131&lt;$C$5,    INDEX($C$61:$C$78,MATCH($B147,$B$61:$B$78,0)),   INDEX($F$61:$F$78,MATCH($B147,$B$61:$B$78,0)) )         *C$13)        +D121</f>
        <v>16752.432492482167</v>
      </c>
      <c r="E147" s="89">
        <f t="shared" si="93"/>
        <v>17491.124099120814</v>
      </c>
      <c r="F147" s="89">
        <f t="shared" si="93"/>
        <v>18145.630185168582</v>
      </c>
      <c r="G147" s="89">
        <f t="shared" si="93"/>
        <v>18740.891284787322</v>
      </c>
      <c r="H147" s="89">
        <f t="shared" si="93"/>
        <v>40842.448652761079</v>
      </c>
      <c r="I147" s="89">
        <f t="shared" si="93"/>
        <v>42501.79872160645</v>
      </c>
      <c r="J147" s="89">
        <f t="shared" si="93"/>
        <v>44984.907339049998</v>
      </c>
      <c r="K147" s="89">
        <f t="shared" si="93"/>
        <v>48053.116659426581</v>
      </c>
      <c r="L147" s="89">
        <f t="shared" si="93"/>
        <v>51594.408596308276</v>
      </c>
      <c r="M147" s="89">
        <f t="shared" si="93"/>
        <v>55453.978138144215</v>
      </c>
      <c r="N147" s="89">
        <f t="shared" si="93"/>
        <v>59537.603251283246</v>
      </c>
      <c r="O147" s="89">
        <f t="shared" si="93"/>
        <v>63661.815571916268</v>
      </c>
      <c r="P147" s="89">
        <f t="shared" si="93"/>
        <v>67901.599830016959</v>
      </c>
      <c r="Q147" s="89">
        <f t="shared" si="93"/>
        <v>72231.388036367149</v>
      </c>
      <c r="R147" s="89">
        <f t="shared" si="93"/>
        <v>76641.454111804953</v>
      </c>
      <c r="S147" s="89">
        <f t="shared" si="93"/>
        <v>76251.841542295588</v>
      </c>
      <c r="T147" s="89">
        <f t="shared" si="93"/>
        <v>76346.160742239081</v>
      </c>
      <c r="U147" s="89">
        <f t="shared" si="93"/>
        <v>76768.605538934935</v>
      </c>
      <c r="V147" s="89">
        <f t="shared" si="93"/>
        <v>77427.638458546251</v>
      </c>
      <c r="W147" s="89">
        <f t="shared" si="93"/>
        <v>78222.166178675092</v>
      </c>
      <c r="X147" s="89">
        <f t="shared" si="93"/>
        <v>79096.316320456041</v>
      </c>
      <c r="Y147" s="89">
        <f t="shared" si="93"/>
        <v>80024.444948600853</v>
      </c>
      <c r="Z147" s="89">
        <f t="shared" si="93"/>
        <v>80979.995354554616</v>
      </c>
      <c r="AA147" s="89">
        <f t="shared" si="93"/>
        <v>81946.299019615923</v>
      </c>
      <c r="AB147" s="89">
        <f t="shared" si="93"/>
        <v>82912.139331837883</v>
      </c>
      <c r="AC147" s="89">
        <f t="shared" si="93"/>
        <v>83872.807531871789</v>
      </c>
      <c r="AD147" s="89">
        <f t="shared" si="93"/>
        <v>84819.862303939357</v>
      </c>
      <c r="AE147" s="89">
        <f t="shared" si="93"/>
        <v>85746.601609121746</v>
      </c>
      <c r="AF147" s="89">
        <f t="shared" si="93"/>
        <v>86647.190739428028</v>
      </c>
      <c r="AG147" s="89">
        <f t="shared" si="58"/>
        <v>87517.183690852515</v>
      </c>
      <c r="AH147" s="89">
        <f t="shared" si="59"/>
        <v>88361.716914925171</v>
      </c>
      <c r="AI147" s="89">
        <f t="shared" si="60"/>
        <v>89181.197263586102</v>
      </c>
      <c r="AJ147" s="89">
        <f t="shared" si="61"/>
        <v>89978.606865547743</v>
      </c>
      <c r="AK147" s="89">
        <f t="shared" si="62"/>
        <v>90749.357590190353</v>
      </c>
      <c r="AL147" s="89">
        <f t="shared" si="63"/>
        <v>91486.419348517476</v>
      </c>
      <c r="AM147" s="89">
        <f t="shared" si="64"/>
        <v>92185.35166951071</v>
      </c>
      <c r="AN147" s="89">
        <f t="shared" si="65"/>
        <v>92842.417455149451</v>
      </c>
      <c r="AO147" s="89">
        <f t="shared" si="66"/>
        <v>93454.682593616511</v>
      </c>
      <c r="AP147" s="89">
        <f t="shared" si="67"/>
        <v>94019.588829189976</v>
      </c>
      <c r="AQ147" s="89">
        <f t="shared" si="68"/>
        <v>94547.916243345011</v>
      </c>
      <c r="AR147" s="89">
        <f t="shared" si="69"/>
        <v>95050.99564750382</v>
      </c>
      <c r="AS147" s="89">
        <f t="shared" si="70"/>
        <v>95537.574171905057</v>
      </c>
      <c r="AT147" s="89">
        <f t="shared" si="71"/>
        <v>95963.691999784554</v>
      </c>
      <c r="AU147" s="89">
        <f t="shared" si="72"/>
        <v>96338.611295187497</v>
      </c>
      <c r="AV147" s="89">
        <f t="shared" si="73"/>
        <v>96669.463394886989</v>
      </c>
      <c r="AW147" s="89">
        <f t="shared" si="74"/>
        <v>96935.413704197548</v>
      </c>
      <c r="AX147" s="89">
        <f t="shared" si="75"/>
        <v>97149.807254749583</v>
      </c>
      <c r="AY147" s="89">
        <f t="shared" si="76"/>
        <v>97322.470885218514</v>
      </c>
      <c r="AZ147" s="89">
        <f t="shared" si="77"/>
        <v>97460.971054576105</v>
      </c>
      <c r="BA147" s="89">
        <f t="shared" si="78"/>
        <v>97571.462775706983</v>
      </c>
      <c r="BB147" s="89">
        <f t="shared" si="78"/>
        <v>97657.60265978839</v>
      </c>
    </row>
    <row r="148" spans="2:54">
      <c r="B148" s="6" t="s">
        <v>2832</v>
      </c>
      <c r="D148" s="89">
        <f t="shared" ref="D148:AF148" si="94">(   IF(D$131&lt;$C$5,    INDEX($C$61:$C$78,MATCH($B148,$B$61:$B$78,0)),   INDEX($F$61:$F$78,MATCH($B148,$B$61:$B$78,0)) )         *C$13)        +D122</f>
        <v>6771.1579232378554</v>
      </c>
      <c r="E148" s="89">
        <f t="shared" si="94"/>
        <v>7094.5958387279125</v>
      </c>
      <c r="F148" s="89">
        <f t="shared" si="94"/>
        <v>7384.9627014894559</v>
      </c>
      <c r="G148" s="89">
        <f t="shared" si="94"/>
        <v>7652.2088480533657</v>
      </c>
      <c r="H148" s="89">
        <f t="shared" si="94"/>
        <v>3689.1106078709236</v>
      </c>
      <c r="I148" s="89">
        <f t="shared" si="94"/>
        <v>3944.5787814766654</v>
      </c>
      <c r="J148" s="89">
        <f t="shared" si="94"/>
        <v>4265.3131619769274</v>
      </c>
      <c r="K148" s="89">
        <f t="shared" si="94"/>
        <v>4633.1129138842498</v>
      </c>
      <c r="L148" s="89">
        <f t="shared" si="94"/>
        <v>5040.1374326833238</v>
      </c>
      <c r="M148" s="89">
        <f t="shared" si="94"/>
        <v>5474.1189579891361</v>
      </c>
      <c r="N148" s="89">
        <f t="shared" si="94"/>
        <v>5927.6266897194473</v>
      </c>
      <c r="O148" s="89">
        <f t="shared" si="94"/>
        <v>6381.8187655322472</v>
      </c>
      <c r="P148" s="89">
        <f t="shared" si="94"/>
        <v>6846.8056030722928</v>
      </c>
      <c r="Q148" s="89">
        <f t="shared" si="94"/>
        <v>7320.5571597931894</v>
      </c>
      <c r="R148" s="89">
        <f t="shared" si="94"/>
        <v>7802.3635330888137</v>
      </c>
      <c r="S148" s="89">
        <f t="shared" si="94"/>
        <v>7750.3466833915072</v>
      </c>
      <c r="T148" s="89">
        <f t="shared" si="94"/>
        <v>7751.8677269274121</v>
      </c>
      <c r="U148" s="89">
        <f t="shared" si="94"/>
        <v>7789.6483351774796</v>
      </c>
      <c r="V148" s="89">
        <f t="shared" si="94"/>
        <v>7853.2306415624207</v>
      </c>
      <c r="W148" s="89">
        <f t="shared" si="94"/>
        <v>7931.908105303386</v>
      </c>
      <c r="X148" s="89">
        <f t="shared" si="94"/>
        <v>8019.5955590745543</v>
      </c>
      <c r="Y148" s="89">
        <f t="shared" si="94"/>
        <v>8113.2932574674523</v>
      </c>
      <c r="Z148" s="89">
        <f t="shared" si="94"/>
        <v>8210.1309963881231</v>
      </c>
      <c r="AA148" s="89">
        <f t="shared" si="94"/>
        <v>8308.3409144826364</v>
      </c>
      <c r="AB148" s="89">
        <f t="shared" si="94"/>
        <v>8406.7367268134858</v>
      </c>
      <c r="AC148" s="89">
        <f t="shared" si="94"/>
        <v>8504.7568007759346</v>
      </c>
      <c r="AD148" s="89">
        <f t="shared" si="94"/>
        <v>8601.5507283676088</v>
      </c>
      <c r="AE148" s="89">
        <f t="shared" si="94"/>
        <v>8696.4503826156597</v>
      </c>
      <c r="AF148" s="89">
        <f t="shared" si="94"/>
        <v>8788.8603269379619</v>
      </c>
      <c r="AG148" s="89">
        <f t="shared" si="58"/>
        <v>8878.2676503398798</v>
      </c>
      <c r="AH148" s="89">
        <f t="shared" si="59"/>
        <v>8965.0901278673264</v>
      </c>
      <c r="AI148" s="89">
        <f t="shared" si="60"/>
        <v>9049.3542647271224</v>
      </c>
      <c r="AJ148" s="89">
        <f t="shared" si="61"/>
        <v>9131.30192097498</v>
      </c>
      <c r="AK148" s="89">
        <f t="shared" si="62"/>
        <v>9210.5147598664171</v>
      </c>
      <c r="AL148" s="89">
        <f t="shared" si="63"/>
        <v>9286.3537213081381</v>
      </c>
      <c r="AM148" s="89">
        <f t="shared" si="64"/>
        <v>9358.4025978405734</v>
      </c>
      <c r="AN148" s="89">
        <f t="shared" si="65"/>
        <v>9426.2940475580326</v>
      </c>
      <c r="AO148" s="89">
        <f t="shared" si="66"/>
        <v>9489.7379626776983</v>
      </c>
      <c r="AP148" s="89">
        <f t="shared" si="67"/>
        <v>9548.4831476667223</v>
      </c>
      <c r="AQ148" s="89">
        <f t="shared" si="68"/>
        <v>9603.4815506803498</v>
      </c>
      <c r="AR148" s="89">
        <f t="shared" si="69"/>
        <v>9655.763055809055</v>
      </c>
      <c r="AS148" s="89">
        <f t="shared" si="70"/>
        <v>9706.1344912340337</v>
      </c>
      <c r="AT148" s="89">
        <f t="shared" si="71"/>
        <v>9750.6764937857533</v>
      </c>
      <c r="AU148" s="89">
        <f t="shared" si="72"/>
        <v>9790.1287504070497</v>
      </c>
      <c r="AV148" s="89">
        <f t="shared" si="73"/>
        <v>9825.0867430756316</v>
      </c>
      <c r="AW148" s="89">
        <f t="shared" si="74"/>
        <v>9853.6709252931705</v>
      </c>
      <c r="AX148" s="89">
        <f t="shared" si="75"/>
        <v>9877.0337032789921</v>
      </c>
      <c r="AY148" s="89">
        <f t="shared" si="76"/>
        <v>9896.0580638394586</v>
      </c>
      <c r="AZ148" s="89">
        <f t="shared" si="77"/>
        <v>9911.454116195795</v>
      </c>
      <c r="BA148" s="89">
        <f t="shared" si="78"/>
        <v>9923.8253709044602</v>
      </c>
      <c r="BB148" s="89">
        <f t="shared" si="78"/>
        <v>9933.529762715676</v>
      </c>
    </row>
    <row r="149" spans="2:54">
      <c r="B149" s="6" t="s">
        <v>2871</v>
      </c>
      <c r="D149" s="89">
        <f t="shared" ref="D149:AF149" si="95">(   IF(D$131&lt;$C$5,    INDEX($C$61:$C$78,MATCH($B149,$B$61:$B$78,0)),   INDEX($F$61:$F$78,MATCH($B149,$B$61:$B$78,0)) )         *C$13)        +D123</f>
        <v>258.19517450386161</v>
      </c>
      <c r="E149" s="89">
        <f t="shared" si="95"/>
        <v>268.1200480317184</v>
      </c>
      <c r="F149" s="89">
        <f t="shared" si="95"/>
        <v>276.69129392643515</v>
      </c>
      <c r="G149" s="89">
        <f t="shared" si="95"/>
        <v>284.30096064029374</v>
      </c>
      <c r="H149" s="89">
        <f t="shared" si="95"/>
        <v>1075.110672878438</v>
      </c>
      <c r="I149" s="89">
        <f t="shared" si="95"/>
        <v>985.07359591694922</v>
      </c>
      <c r="J149" s="89">
        <f t="shared" si="95"/>
        <v>928.29580880736125</v>
      </c>
      <c r="K149" s="89">
        <f t="shared" si="95"/>
        <v>894.24490166064675</v>
      </c>
      <c r="L149" s="89">
        <f t="shared" si="95"/>
        <v>877.08795058513431</v>
      </c>
      <c r="M149" s="89">
        <f t="shared" si="95"/>
        <v>870.57798070947297</v>
      </c>
      <c r="N149" s="89">
        <f t="shared" si="95"/>
        <v>870.8672200480604</v>
      </c>
      <c r="O149" s="89">
        <f t="shared" si="95"/>
        <v>876.00094026163822</v>
      </c>
      <c r="P149" s="89">
        <f t="shared" si="95"/>
        <v>883.72646374760507</v>
      </c>
      <c r="Q149" s="89">
        <f t="shared" si="95"/>
        <v>893.01692282764225</v>
      </c>
      <c r="R149" s="89">
        <f t="shared" si="95"/>
        <v>903.40276463493797</v>
      </c>
      <c r="S149" s="89">
        <f t="shared" si="95"/>
        <v>914.45422961144766</v>
      </c>
      <c r="T149" s="89">
        <f t="shared" si="95"/>
        <v>925.79988741449824</v>
      </c>
      <c r="U149" s="89">
        <f t="shared" si="95"/>
        <v>937.3973530493821</v>
      </c>
      <c r="V149" s="89">
        <f t="shared" si="95"/>
        <v>949.6101338392757</v>
      </c>
      <c r="W149" s="89">
        <f t="shared" si="95"/>
        <v>961.77203062072351</v>
      </c>
      <c r="X149" s="89">
        <f t="shared" si="95"/>
        <v>973.72743275586947</v>
      </c>
      <c r="Y149" s="89">
        <f t="shared" si="95"/>
        <v>985.66683368580175</v>
      </c>
      <c r="Z149" s="89">
        <f t="shared" si="95"/>
        <v>997.48823457713434</v>
      </c>
      <c r="AA149" s="89">
        <f t="shared" si="95"/>
        <v>1009.08500787132</v>
      </c>
      <c r="AB149" s="89">
        <f t="shared" si="95"/>
        <v>1020.3811618925647</v>
      </c>
      <c r="AC149" s="89">
        <f t="shared" si="95"/>
        <v>1031.4253740462059</v>
      </c>
      <c r="AD149" s="89">
        <f t="shared" si="95"/>
        <v>1042.1068126591272</v>
      </c>
      <c r="AE149" s="89">
        <f t="shared" si="95"/>
        <v>1052.3285411230042</v>
      </c>
      <c r="AF149" s="89">
        <f t="shared" si="95"/>
        <v>1062.0236112082125</v>
      </c>
      <c r="AG149" s="89">
        <f t="shared" si="58"/>
        <v>1071.2159715469418</v>
      </c>
      <c r="AH149" s="89">
        <f t="shared" si="59"/>
        <v>1080.0993101481088</v>
      </c>
      <c r="AI149" s="89">
        <f t="shared" si="60"/>
        <v>1088.6973097151022</v>
      </c>
      <c r="AJ149" s="89">
        <f t="shared" si="61"/>
        <v>1097.1232987954406</v>
      </c>
      <c r="AK149" s="89">
        <f t="shared" si="62"/>
        <v>1105.2614565749413</v>
      </c>
      <c r="AL149" s="89">
        <f t="shared" si="63"/>
        <v>1112.9318747763916</v>
      </c>
      <c r="AM149" s="89">
        <f t="shared" si="64"/>
        <v>1120.0368136414918</v>
      </c>
      <c r="AN149" s="89">
        <f t="shared" si="65"/>
        <v>1126.515622954101</v>
      </c>
      <c r="AO149" s="89">
        <f t="shared" si="66"/>
        <v>1132.3228324836614</v>
      </c>
      <c r="AP149" s="89">
        <f t="shared" si="67"/>
        <v>1137.416580702082</v>
      </c>
      <c r="AQ149" s="89">
        <f t="shared" si="68"/>
        <v>1142.1082017666779</v>
      </c>
      <c r="AR149" s="89">
        <f t="shared" si="69"/>
        <v>1146.6878253127093</v>
      </c>
      <c r="AS149" s="89">
        <f t="shared" si="70"/>
        <v>1151.3645052718691</v>
      </c>
      <c r="AT149" s="89">
        <f t="shared" si="71"/>
        <v>1154.9160725674615</v>
      </c>
      <c r="AU149" s="89">
        <f t="shared" si="72"/>
        <v>1157.7090818279578</v>
      </c>
      <c r="AV149" s="89">
        <f t="shared" si="73"/>
        <v>1159.9928762485413</v>
      </c>
      <c r="AW149" s="89">
        <f t="shared" si="74"/>
        <v>1161.216047358208</v>
      </c>
      <c r="AX149" s="89">
        <f t="shared" si="75"/>
        <v>1161.7969876039365</v>
      </c>
      <c r="AY149" s="89">
        <f t="shared" si="76"/>
        <v>1162.0002313316197</v>
      </c>
      <c r="AZ149" s="89">
        <f t="shared" si="77"/>
        <v>1161.9911832289795</v>
      </c>
      <c r="BA149" s="89">
        <f t="shared" si="78"/>
        <v>1161.8716375563076</v>
      </c>
      <c r="BB149" s="89">
        <f t="shared" si="78"/>
        <v>1161.7028323659424</v>
      </c>
    </row>
    <row r="150" spans="2:54">
      <c r="B150" s="52"/>
      <c r="D150" s="116" t="b">
        <f t="shared" ref="D150:AF150" si="96">(SUM(D132:D149) - SUM(D106:D123))/C13=SUM($C$61:$C$78)</f>
        <v>1</v>
      </c>
      <c r="E150" s="116" t="b">
        <f t="shared" si="96"/>
        <v>1</v>
      </c>
      <c r="F150" s="116" t="b">
        <f t="shared" si="96"/>
        <v>1</v>
      </c>
      <c r="G150" s="116" t="b">
        <f t="shared" si="96"/>
        <v>1</v>
      </c>
      <c r="H150" s="116" t="b">
        <f t="shared" si="96"/>
        <v>0</v>
      </c>
      <c r="I150" s="116" t="b">
        <f t="shared" si="96"/>
        <v>0</v>
      </c>
      <c r="J150" s="116" t="b">
        <f t="shared" si="96"/>
        <v>0</v>
      </c>
      <c r="K150" s="116" t="b">
        <f t="shared" si="96"/>
        <v>0</v>
      </c>
      <c r="L150" s="116" t="b">
        <f t="shared" si="96"/>
        <v>0</v>
      </c>
      <c r="M150" s="116" t="b">
        <f t="shared" si="96"/>
        <v>0</v>
      </c>
      <c r="N150" s="116" t="b">
        <f t="shared" si="96"/>
        <v>0</v>
      </c>
      <c r="O150" s="116" t="b">
        <f t="shared" si="96"/>
        <v>0</v>
      </c>
      <c r="P150" s="116" t="b">
        <f t="shared" si="96"/>
        <v>0</v>
      </c>
      <c r="Q150" s="116" t="b">
        <f t="shared" si="96"/>
        <v>0</v>
      </c>
      <c r="R150" s="116" t="b">
        <f t="shared" si="96"/>
        <v>0</v>
      </c>
      <c r="S150" s="116" t="b">
        <f t="shared" si="96"/>
        <v>0</v>
      </c>
      <c r="T150" s="116" t="b">
        <f t="shared" si="96"/>
        <v>0</v>
      </c>
      <c r="U150" s="116" t="b">
        <f t="shared" si="96"/>
        <v>0</v>
      </c>
      <c r="V150" s="116" t="b">
        <f t="shared" si="96"/>
        <v>0</v>
      </c>
      <c r="W150" s="116" t="b">
        <f t="shared" si="96"/>
        <v>0</v>
      </c>
      <c r="X150" s="116" t="b">
        <f t="shared" si="96"/>
        <v>0</v>
      </c>
      <c r="Y150" s="116" t="b">
        <f t="shared" si="96"/>
        <v>0</v>
      </c>
      <c r="Z150" s="116" t="b">
        <f t="shared" si="96"/>
        <v>0</v>
      </c>
      <c r="AA150" s="116" t="b">
        <f t="shared" si="96"/>
        <v>0</v>
      </c>
      <c r="AB150" s="116" t="b">
        <f t="shared" si="96"/>
        <v>0</v>
      </c>
      <c r="AC150" s="116" t="b">
        <f t="shared" si="96"/>
        <v>0</v>
      </c>
      <c r="AD150" s="116" t="b">
        <f t="shared" si="96"/>
        <v>0</v>
      </c>
      <c r="AE150" s="116" t="b">
        <f t="shared" si="96"/>
        <v>0</v>
      </c>
      <c r="AF150" s="116" t="b">
        <f t="shared" si="96"/>
        <v>0</v>
      </c>
      <c r="AG150" s="116" t="b">
        <f t="shared" ref="AG150" si="97">(SUM(AG132:AG149) - SUM(AG106:AG123))/AF13=SUM($C$61:$C$78)</f>
        <v>0</v>
      </c>
      <c r="AH150" s="116" t="b">
        <f t="shared" ref="AH150" si="98">(SUM(AH132:AH149) - SUM(AH106:AH123))/AG13=SUM($C$61:$C$78)</f>
        <v>0</v>
      </c>
      <c r="AI150" s="116" t="b">
        <f t="shared" ref="AI150" si="99">(SUM(AI132:AI149) - SUM(AI106:AI123))/AH13=SUM($C$61:$C$78)</f>
        <v>0</v>
      </c>
      <c r="AJ150" s="116" t="b">
        <f t="shared" ref="AJ150" si="100">(SUM(AJ132:AJ149) - SUM(AJ106:AJ123))/AI13=SUM($C$61:$C$78)</f>
        <v>0</v>
      </c>
      <c r="AK150" s="116" t="b">
        <f t="shared" ref="AK150" si="101">(SUM(AK132:AK149) - SUM(AK106:AK123))/AJ13=SUM($C$61:$C$78)</f>
        <v>0</v>
      </c>
      <c r="AL150" s="116" t="b">
        <f t="shared" ref="AL150" si="102">(SUM(AL132:AL149) - SUM(AL106:AL123))/AK13=SUM($C$61:$C$78)</f>
        <v>0</v>
      </c>
      <c r="AM150" s="116" t="b">
        <f t="shared" ref="AM150" si="103">(SUM(AM132:AM149) - SUM(AM106:AM123))/AL13=SUM($C$61:$C$78)</f>
        <v>0</v>
      </c>
      <c r="AN150" s="116" t="b">
        <f t="shared" ref="AN150" si="104">(SUM(AN132:AN149) - SUM(AN106:AN123))/AM13=SUM($C$61:$C$78)</f>
        <v>0</v>
      </c>
      <c r="AO150" s="116" t="b">
        <f t="shared" ref="AO150" si="105">(SUM(AO132:AO149) - SUM(AO106:AO123))/AN13=SUM($C$61:$C$78)</f>
        <v>0</v>
      </c>
      <c r="AP150" s="116" t="b">
        <f t="shared" ref="AP150" si="106">(SUM(AP132:AP149) - SUM(AP106:AP123))/AO13=SUM($C$61:$C$78)</f>
        <v>0</v>
      </c>
      <c r="AQ150" s="116" t="b">
        <f t="shared" ref="AQ150" si="107">(SUM(AQ132:AQ149) - SUM(AQ106:AQ123))/AP13=SUM($C$61:$C$78)</f>
        <v>0</v>
      </c>
      <c r="AR150" s="116" t="b">
        <f t="shared" ref="AR150" si="108">(SUM(AR132:AR149) - SUM(AR106:AR123))/AQ13=SUM($C$61:$C$78)</f>
        <v>0</v>
      </c>
      <c r="AS150" s="116" t="b">
        <f t="shared" ref="AS150" si="109">(SUM(AS132:AS149) - SUM(AS106:AS123))/AR13=SUM($C$61:$C$78)</f>
        <v>0</v>
      </c>
      <c r="AT150" s="116" t="b">
        <f t="shared" ref="AT150" si="110">(SUM(AT132:AT149) - SUM(AT106:AT123))/AS13=SUM($C$61:$C$78)</f>
        <v>0</v>
      </c>
      <c r="AU150" s="116" t="b">
        <f t="shared" ref="AU150" si="111">(SUM(AU132:AU149) - SUM(AU106:AU123))/AT13=SUM($C$61:$C$78)</f>
        <v>0</v>
      </c>
      <c r="AV150" s="116" t="b">
        <f t="shared" ref="AV150" si="112">(SUM(AV132:AV149) - SUM(AV106:AV123))/AU13=SUM($C$61:$C$78)</f>
        <v>0</v>
      </c>
      <c r="AW150" s="116" t="b">
        <f t="shared" ref="AW150" si="113">(SUM(AW132:AW149) - SUM(AW106:AW123))/AV13=SUM($C$61:$C$78)</f>
        <v>0</v>
      </c>
      <c r="AX150" s="116" t="b">
        <f t="shared" ref="AX150" si="114">(SUM(AX132:AX149) - SUM(AX106:AX123))/AW13=SUM($C$61:$C$78)</f>
        <v>0</v>
      </c>
      <c r="AY150" s="116" t="b">
        <f t="shared" ref="AY150" si="115">(SUM(AY132:AY149) - SUM(AY106:AY123))/AX13=SUM($C$61:$C$78)</f>
        <v>0</v>
      </c>
      <c r="AZ150" s="116" t="b">
        <f t="shared" ref="AZ150" si="116">(SUM(AZ132:AZ149) - SUM(AZ106:AZ123))/AY13=SUM($C$61:$C$78)</f>
        <v>0</v>
      </c>
      <c r="BA150" s="116" t="b">
        <f t="shared" ref="BA150:BB150" si="117">(SUM(BA132:BA149) - SUM(BA106:BA123))/AZ13=SUM($C$61:$C$78)</f>
        <v>0</v>
      </c>
      <c r="BB150" s="116" t="b">
        <f t="shared" si="117"/>
        <v>0</v>
      </c>
    </row>
    <row r="151" spans="2:54">
      <c r="B151" s="113" t="s">
        <v>98</v>
      </c>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row>
    <row r="152" spans="2:54" ht="15" customHeight="1">
      <c r="B152" s="52"/>
      <c r="C152" s="52"/>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row>
    <row r="153" spans="2:54">
      <c r="B153" s="7" t="s">
        <v>9</v>
      </c>
      <c r="C153" s="52"/>
      <c r="D153" s="34">
        <f>'Prevalence projection'!C$21</f>
        <v>2020</v>
      </c>
      <c r="E153" s="34">
        <f>'Prevalence projection'!D$21</f>
        <v>2021</v>
      </c>
      <c r="F153" s="34">
        <f>'Prevalence projection'!E$21</f>
        <v>2022</v>
      </c>
      <c r="G153" s="34">
        <f>'Prevalence projection'!F$21</f>
        <v>2023</v>
      </c>
      <c r="H153" s="34">
        <f>'Prevalence projection'!G$21</f>
        <v>2024</v>
      </c>
      <c r="I153" s="34">
        <f>'Prevalence projection'!H$21</f>
        <v>2025</v>
      </c>
      <c r="J153" s="34">
        <f>'Prevalence projection'!I$21</f>
        <v>2026</v>
      </c>
      <c r="K153" s="34">
        <f>'Prevalence projection'!J$21</f>
        <v>2027</v>
      </c>
      <c r="L153" s="34">
        <f>'Prevalence projection'!K$21</f>
        <v>2028</v>
      </c>
      <c r="M153" s="34">
        <f>'Prevalence projection'!L$21</f>
        <v>2029</v>
      </c>
      <c r="N153" s="34">
        <f>'Prevalence projection'!M$21</f>
        <v>2030</v>
      </c>
      <c r="O153" s="34">
        <f>'Prevalence projection'!N$21</f>
        <v>2031</v>
      </c>
      <c r="P153" s="34">
        <f>'Prevalence projection'!O$21</f>
        <v>2032</v>
      </c>
      <c r="Q153" s="34">
        <f>'Prevalence projection'!P$21</f>
        <v>2033</v>
      </c>
      <c r="R153" s="34">
        <f>'Prevalence projection'!Q$21</f>
        <v>2034</v>
      </c>
      <c r="S153" s="34">
        <f>'Prevalence projection'!R$21</f>
        <v>2035</v>
      </c>
      <c r="T153" s="34">
        <f>'Prevalence projection'!S$21</f>
        <v>2036</v>
      </c>
      <c r="U153" s="34">
        <f>'Prevalence projection'!T$21</f>
        <v>2037</v>
      </c>
      <c r="V153" s="34">
        <f>'Prevalence projection'!U$21</f>
        <v>2038</v>
      </c>
      <c r="W153" s="34">
        <f>'Prevalence projection'!V$21</f>
        <v>2039</v>
      </c>
      <c r="X153" s="34">
        <f>'Prevalence projection'!W$21</f>
        <v>2040</v>
      </c>
      <c r="Y153" s="34">
        <f>'Prevalence projection'!X$21</f>
        <v>2041</v>
      </c>
      <c r="Z153" s="34">
        <f>'Prevalence projection'!Y$21</f>
        <v>2042</v>
      </c>
      <c r="AA153" s="34">
        <f>'Prevalence projection'!Z$21</f>
        <v>2043</v>
      </c>
      <c r="AB153" s="34">
        <f>'Prevalence projection'!AA$21</f>
        <v>2044</v>
      </c>
      <c r="AC153" s="34">
        <f>'Prevalence projection'!AB$21</f>
        <v>2045</v>
      </c>
      <c r="AD153" s="34">
        <f>'Prevalence projection'!AC$21</f>
        <v>2046</v>
      </c>
      <c r="AE153" s="34">
        <f>'Prevalence projection'!AD$21</f>
        <v>2047</v>
      </c>
      <c r="AF153" s="34">
        <f>'Prevalence projection'!AE$21</f>
        <v>2048</v>
      </c>
      <c r="AG153" s="34">
        <f>'Prevalence projection'!AF$21</f>
        <v>2049</v>
      </c>
      <c r="AH153" s="34">
        <f>'Prevalence projection'!AG$21</f>
        <v>2050</v>
      </c>
      <c r="AI153" s="34">
        <f>'Prevalence projection'!AH$21</f>
        <v>2051</v>
      </c>
      <c r="AJ153" s="34">
        <f>'Prevalence projection'!AI$21</f>
        <v>2052</v>
      </c>
      <c r="AK153" s="34">
        <f>'Prevalence projection'!AJ$21</f>
        <v>2053</v>
      </c>
      <c r="AL153" s="34">
        <f>'Prevalence projection'!AK$21</f>
        <v>2054</v>
      </c>
      <c r="AM153" s="34">
        <f>'Prevalence projection'!AL$21</f>
        <v>2055</v>
      </c>
      <c r="AN153" s="34">
        <f>'Prevalence projection'!AM$21</f>
        <v>2056</v>
      </c>
      <c r="AO153" s="34">
        <f>'Prevalence projection'!AN$21</f>
        <v>2057</v>
      </c>
      <c r="AP153" s="34">
        <f>'Prevalence projection'!AO$21</f>
        <v>2058</v>
      </c>
      <c r="AQ153" s="34">
        <f>'Prevalence projection'!AP$21</f>
        <v>2059</v>
      </c>
      <c r="AR153" s="34">
        <f>'Prevalence projection'!AQ$21</f>
        <v>2060</v>
      </c>
      <c r="AS153" s="34">
        <f>'Prevalence projection'!AR$21</f>
        <v>2061</v>
      </c>
      <c r="AT153" s="34">
        <f>'Prevalence projection'!AS$21</f>
        <v>2062</v>
      </c>
      <c r="AU153" s="34">
        <f>'Prevalence projection'!AT$21</f>
        <v>2063</v>
      </c>
      <c r="AV153" s="34">
        <f>'Prevalence projection'!AU$21</f>
        <v>2064</v>
      </c>
      <c r="AW153" s="34">
        <f>'Prevalence projection'!AV$21</f>
        <v>2065</v>
      </c>
      <c r="AX153" s="34">
        <f>'Prevalence projection'!AW$21</f>
        <v>2066</v>
      </c>
      <c r="AY153" s="34">
        <f>'Prevalence projection'!AX$21</f>
        <v>2067</v>
      </c>
      <c r="AZ153" s="34">
        <f>'Prevalence projection'!AY$21</f>
        <v>2068</v>
      </c>
      <c r="BA153" s="34">
        <f>'Prevalence projection'!AZ$21</f>
        <v>2069</v>
      </c>
      <c r="BB153" s="34">
        <f>'Prevalence projection'!BA$21</f>
        <v>2070</v>
      </c>
    </row>
    <row r="154" spans="2:54">
      <c r="B154" s="6" t="s">
        <v>11</v>
      </c>
      <c r="D154" s="89">
        <f xml:space="preserve">  IF(D$153&lt;$C$5,     INDEX($D$61:$D$78,MATCH($B154,$B$61:$B$78,0)), INDEX($G$61:$G$78,MATCH($B154,$B$61:$B$78,0))  )       *C$14</f>
        <v>468.01164491449151</v>
      </c>
      <c r="E154" s="89">
        <f t="shared" ref="E154:AF154" si="118" xml:space="preserve">  IF(E$153&lt;$C$5,     INDEX($D$61:$D$78,MATCH($B154,$B$61:$B$78,0)), INDEX($G$61:$G$78,MATCH($B154,$B$61:$B$78,0))  )       *D$14</f>
        <v>486.0017424996463</v>
      </c>
      <c r="F154" s="89">
        <f t="shared" si="118"/>
        <v>501.53821756298237</v>
      </c>
      <c r="G154" s="89">
        <f t="shared" si="118"/>
        <v>515.3317078667709</v>
      </c>
      <c r="H154" s="89">
        <f t="shared" si="118"/>
        <v>343.34696356540019</v>
      </c>
      <c r="I154" s="89">
        <f t="shared" si="118"/>
        <v>314.59275456823326</v>
      </c>
      <c r="J154" s="89">
        <f t="shared" si="118"/>
        <v>296.46022059398996</v>
      </c>
      <c r="K154" s="89">
        <f t="shared" si="118"/>
        <v>285.58573495227438</v>
      </c>
      <c r="L154" s="89">
        <f t="shared" si="118"/>
        <v>280.10649713571939</v>
      </c>
      <c r="M154" s="89">
        <f t="shared" si="118"/>
        <v>278.02747546279136</v>
      </c>
      <c r="N154" s="89">
        <f t="shared" si="118"/>
        <v>278.11984683548161</v>
      </c>
      <c r="O154" s="89">
        <f t="shared" si="118"/>
        <v>279.75934990394904</v>
      </c>
      <c r="P154" s="89">
        <f t="shared" si="118"/>
        <v>282.22657034717855</v>
      </c>
      <c r="Q154" s="89">
        <f t="shared" si="118"/>
        <v>285.19356806725415</v>
      </c>
      <c r="R154" s="89">
        <f t="shared" si="118"/>
        <v>288.51038682699942</v>
      </c>
      <c r="S154" s="89">
        <f t="shared" si="118"/>
        <v>292.03977876622633</v>
      </c>
      <c r="T154" s="89">
        <f t="shared" si="118"/>
        <v>295.66312402230125</v>
      </c>
      <c r="U154" s="89">
        <f t="shared" si="118"/>
        <v>299.3668865383317</v>
      </c>
      <c r="V154" s="89">
        <f t="shared" si="118"/>
        <v>303.26715588425225</v>
      </c>
      <c r="W154" s="89">
        <f t="shared" si="118"/>
        <v>307.15117493126439</v>
      </c>
      <c r="X154" s="89">
        <f t="shared" si="118"/>
        <v>310.96924792119722</v>
      </c>
      <c r="Y154" s="89">
        <f t="shared" si="118"/>
        <v>314.78221077190244</v>
      </c>
      <c r="Z154" s="89">
        <f t="shared" si="118"/>
        <v>318.55748917208933</v>
      </c>
      <c r="AA154" s="89">
        <f t="shared" si="118"/>
        <v>322.26103058243973</v>
      </c>
      <c r="AB154" s="89">
        <f t="shared" si="118"/>
        <v>325.86856632829677</v>
      </c>
      <c r="AC154" s="89">
        <f t="shared" si="118"/>
        <v>329.39564200858223</v>
      </c>
      <c r="AD154" s="89">
        <f t="shared" si="118"/>
        <v>332.80686245943838</v>
      </c>
      <c r="AE154" s="89">
        <f t="shared" si="118"/>
        <v>336.07127003997692</v>
      </c>
      <c r="AF154" s="89">
        <f t="shared" si="118"/>
        <v>339.16748418730526</v>
      </c>
      <c r="AG154" s="89">
        <f t="shared" ref="AG154:AG171" si="119" xml:space="preserve">  IF(AG$153&lt;$C$5,     INDEX($D$61:$D$78,MATCH($B154,$B$61:$B$78,0)), INDEX($G$61:$G$78,MATCH($B154,$B$61:$B$78,0))  )       *AF$14</f>
        <v>342.10315312811457</v>
      </c>
      <c r="AH154" s="89">
        <f t="shared" ref="AH154:AH171" si="120" xml:space="preserve">  IF(AH$153&lt;$C$5,     INDEX($D$61:$D$78,MATCH($B154,$B$61:$B$78,0)), INDEX($G$61:$G$78,MATCH($B154,$B$61:$B$78,0))  )       *AG$14</f>
        <v>344.94013299630609</v>
      </c>
      <c r="AI154" s="89">
        <f t="shared" ref="AI154:AI171" si="121" xml:space="preserve">  IF(AI$153&lt;$C$5,     INDEX($D$61:$D$78,MATCH($B154,$B$61:$B$78,0)), INDEX($G$61:$G$78,MATCH($B154,$B$61:$B$78,0))  )       *AH$14</f>
        <v>347.6859870916432</v>
      </c>
      <c r="AJ154" s="89">
        <f t="shared" ref="AJ154:AJ171" si="122" xml:space="preserve">  IF(AJ$153&lt;$C$5,     INDEX($D$61:$D$78,MATCH($B154,$B$61:$B$78,0)), INDEX($G$61:$G$78,MATCH($B154,$B$61:$B$78,0))  )       *AI$14</f>
        <v>350.37690797890747</v>
      </c>
      <c r="AK154" s="89">
        <f t="shared" ref="AK154:AK171" si="123" xml:space="preserve">  IF(AK$153&lt;$C$5,     INDEX($D$61:$D$78,MATCH($B154,$B$61:$B$78,0)), INDEX($G$61:$G$78,MATCH($B154,$B$61:$B$78,0))  )       *AJ$14</f>
        <v>352.97590716391852</v>
      </c>
      <c r="AL154" s="89">
        <f t="shared" ref="AL154:AL171" si="124" xml:space="preserve">  IF(AL$153&lt;$C$5,     INDEX($D$61:$D$78,MATCH($B154,$B$61:$B$78,0)), INDEX($G$61:$G$78,MATCH($B154,$B$61:$B$78,0))  )       *AK$14</f>
        <v>355.42552920300932</v>
      </c>
      <c r="AM154" s="89">
        <f t="shared" ref="AM154:AM171" si="125" xml:space="preserve">  IF(AM$153&lt;$C$5,     INDEX($D$61:$D$78,MATCH($B154,$B$61:$B$78,0)), INDEX($G$61:$G$78,MATCH($B154,$B$61:$B$78,0))  )       *AL$14</f>
        <v>357.69455996159968</v>
      </c>
      <c r="AN154" s="89">
        <f t="shared" ref="AN154:AN171" si="126" xml:space="preserve">  IF(AN$153&lt;$C$5,     INDEX($D$61:$D$78,MATCH($B154,$B$61:$B$78,0)), INDEX($G$61:$G$78,MATCH($B154,$B$61:$B$78,0))  )       *AM$14</f>
        <v>359.76363020815194</v>
      </c>
      <c r="AO154" s="89">
        <f t="shared" ref="AO154:AO171" si="127" xml:space="preserve">  IF(AO$153&lt;$C$5,     INDEX($D$61:$D$78,MATCH($B154,$B$61:$B$78,0)), INDEX($G$61:$G$78,MATCH($B154,$B$61:$B$78,0))  )       *AN$14</f>
        <v>361.6182185859459</v>
      </c>
      <c r="AP154" s="89">
        <f t="shared" ref="AP154:AP171" si="128" xml:space="preserve">  IF(AP$153&lt;$C$5,     INDEX($D$61:$D$78,MATCH($B154,$B$61:$B$78,0)), INDEX($G$61:$G$78,MATCH($B154,$B$61:$B$78,0))  )       *AO$14</f>
        <v>363.24495621220257</v>
      </c>
      <c r="AQ154" s="89">
        <f t="shared" ref="AQ154:AQ171" si="129" xml:space="preserve">  IF(AQ$153&lt;$C$5,     INDEX($D$61:$D$78,MATCH($B154,$B$61:$B$78,0)), INDEX($G$61:$G$78,MATCH($B154,$B$61:$B$78,0))  )       *AP$14</f>
        <v>364.74327065309234</v>
      </c>
      <c r="AR154" s="89">
        <f t="shared" ref="AR154:AR171" si="130" xml:space="preserve">  IF(AR$153&lt;$C$5,     INDEX($D$61:$D$78,MATCH($B154,$B$61:$B$78,0)), INDEX($G$61:$G$78,MATCH($B154,$B$61:$B$78,0))  )       *AQ$14</f>
        <v>366.20581760613538</v>
      </c>
      <c r="AS154" s="89">
        <f t="shared" ref="AS154:AS171" si="131" xml:space="preserve">  IF(AS$153&lt;$C$5,     INDEX($D$61:$D$78,MATCH($B154,$B$61:$B$78,0)), INDEX($G$61:$G$78,MATCH($B154,$B$61:$B$78,0))  )       *AR$14</f>
        <v>367.69936046088685</v>
      </c>
      <c r="AT154" s="89">
        <f t="shared" ref="AT154:AT171" si="132" xml:space="preserve">  IF(AT$153&lt;$C$5,     INDEX($D$61:$D$78,MATCH($B154,$B$61:$B$78,0)), INDEX($G$61:$G$78,MATCH($B154,$B$61:$B$78,0))  )       *AS$14</f>
        <v>368.83358773404296</v>
      </c>
      <c r="AU154" s="89">
        <f t="shared" ref="AU154:AU171" si="133" xml:space="preserve">  IF(AU$153&lt;$C$5,     INDEX($D$61:$D$78,MATCH($B154,$B$61:$B$78,0)), INDEX($G$61:$G$78,MATCH($B154,$B$61:$B$78,0))  )       *AT$14</f>
        <v>369.72556218187708</v>
      </c>
      <c r="AV154" s="89">
        <f t="shared" ref="AV154:AV171" si="134" xml:space="preserve">  IF(AV$153&lt;$C$5,     INDEX($D$61:$D$78,MATCH($B154,$B$61:$B$78,0)), INDEX($G$61:$G$78,MATCH($B154,$B$61:$B$78,0))  )       *AU$14</f>
        <v>370.45491395885801</v>
      </c>
      <c r="AW154" s="89">
        <f t="shared" ref="AW154:AW171" si="135" xml:space="preserve">  IF(AW$153&lt;$C$5,     INDEX($D$61:$D$78,MATCH($B154,$B$61:$B$78,0)), INDEX($G$61:$G$78,MATCH($B154,$B$61:$B$78,0))  )       *AV$14</f>
        <v>370.84554545105641</v>
      </c>
      <c r="AX154" s="89">
        <f t="shared" ref="AX154:AX171" si="136" xml:space="preserve">  IF(AX$153&lt;$C$5,     INDEX($D$61:$D$78,MATCH($B154,$B$61:$B$78,0)), INDEX($G$61:$G$78,MATCH($B154,$B$61:$B$78,0))  )       *AW$14</f>
        <v>371.03107432209794</v>
      </c>
      <c r="AY154" s="89">
        <f t="shared" ref="AY154:AY171" si="137" xml:space="preserve">  IF(AY$153&lt;$C$5,     INDEX($D$61:$D$78,MATCH($B154,$B$61:$B$78,0)), INDEX($G$61:$G$78,MATCH($B154,$B$61:$B$78,0))  )       *AX$14</f>
        <v>371.095982166959</v>
      </c>
      <c r="AZ154" s="89">
        <f t="shared" ref="AZ154:AZ171" si="138" xml:space="preserve">  IF(AZ$153&lt;$C$5,     INDEX($D$61:$D$78,MATCH($B154,$B$61:$B$78,0)), INDEX($G$61:$G$78,MATCH($B154,$B$61:$B$78,0))  )       *AY$14</f>
        <v>371.09309256810576</v>
      </c>
      <c r="BA154" s="89">
        <f t="shared" ref="BA154:BB171" si="139" xml:space="preserve">  IF(BA$153&lt;$C$5,     INDEX($D$61:$D$78,MATCH($B154,$B$61:$B$78,0)), INDEX($G$61:$G$78,MATCH($B154,$B$61:$B$78,0))  )       *AZ$14</f>
        <v>371.05491450443782</v>
      </c>
      <c r="BB154" s="89">
        <f t="shared" si="139"/>
        <v>371.0010049386525</v>
      </c>
    </row>
    <row r="155" spans="2:54">
      <c r="B155" s="6" t="s">
        <v>14</v>
      </c>
      <c r="D155" s="89">
        <f t="shared" ref="D155:AF155" si="140" xml:space="preserve">  IF(D$153&lt;$C$5,     INDEX($D$61:$D$78,MATCH($B155,$B$61:$B$78,0)), INDEX($G$61:$G$78,MATCH($B155,$B$61:$B$78,0))  )       *C$14</f>
        <v>0</v>
      </c>
      <c r="E155" s="89">
        <f t="shared" si="140"/>
        <v>0</v>
      </c>
      <c r="F155" s="89">
        <f t="shared" si="140"/>
        <v>0</v>
      </c>
      <c r="G155" s="89">
        <f t="shared" si="140"/>
        <v>0</v>
      </c>
      <c r="H155" s="89">
        <f t="shared" si="140"/>
        <v>0</v>
      </c>
      <c r="I155" s="89">
        <f t="shared" si="140"/>
        <v>0</v>
      </c>
      <c r="J155" s="89">
        <f t="shared" si="140"/>
        <v>0</v>
      </c>
      <c r="K155" s="89">
        <f t="shared" si="140"/>
        <v>0</v>
      </c>
      <c r="L155" s="89">
        <f t="shared" si="140"/>
        <v>0</v>
      </c>
      <c r="M155" s="89">
        <f t="shared" si="140"/>
        <v>0</v>
      </c>
      <c r="N155" s="89">
        <f t="shared" si="140"/>
        <v>0</v>
      </c>
      <c r="O155" s="89">
        <f t="shared" si="140"/>
        <v>0</v>
      </c>
      <c r="P155" s="89">
        <f t="shared" si="140"/>
        <v>0</v>
      </c>
      <c r="Q155" s="89">
        <f t="shared" si="140"/>
        <v>0</v>
      </c>
      <c r="R155" s="89">
        <f t="shared" si="140"/>
        <v>0</v>
      </c>
      <c r="S155" s="89">
        <f t="shared" si="140"/>
        <v>0</v>
      </c>
      <c r="T155" s="89">
        <f t="shared" si="140"/>
        <v>0</v>
      </c>
      <c r="U155" s="89">
        <f t="shared" si="140"/>
        <v>0</v>
      </c>
      <c r="V155" s="89">
        <f t="shared" si="140"/>
        <v>0</v>
      </c>
      <c r="W155" s="89">
        <f t="shared" si="140"/>
        <v>0</v>
      </c>
      <c r="X155" s="89">
        <f t="shared" si="140"/>
        <v>0</v>
      </c>
      <c r="Y155" s="89">
        <f t="shared" si="140"/>
        <v>0</v>
      </c>
      <c r="Z155" s="89">
        <f t="shared" si="140"/>
        <v>0</v>
      </c>
      <c r="AA155" s="89">
        <f t="shared" si="140"/>
        <v>0</v>
      </c>
      <c r="AB155" s="89">
        <f t="shared" si="140"/>
        <v>0</v>
      </c>
      <c r="AC155" s="89">
        <f t="shared" si="140"/>
        <v>0</v>
      </c>
      <c r="AD155" s="89">
        <f t="shared" si="140"/>
        <v>0</v>
      </c>
      <c r="AE155" s="89">
        <f t="shared" si="140"/>
        <v>0</v>
      </c>
      <c r="AF155" s="89">
        <f t="shared" si="140"/>
        <v>0</v>
      </c>
      <c r="AG155" s="89">
        <f t="shared" si="119"/>
        <v>0</v>
      </c>
      <c r="AH155" s="89">
        <f t="shared" si="120"/>
        <v>0</v>
      </c>
      <c r="AI155" s="89">
        <f t="shared" si="121"/>
        <v>0</v>
      </c>
      <c r="AJ155" s="89">
        <f t="shared" si="122"/>
        <v>0</v>
      </c>
      <c r="AK155" s="89">
        <f t="shared" si="123"/>
        <v>0</v>
      </c>
      <c r="AL155" s="89">
        <f t="shared" si="124"/>
        <v>0</v>
      </c>
      <c r="AM155" s="89">
        <f t="shared" si="125"/>
        <v>0</v>
      </c>
      <c r="AN155" s="89">
        <f t="shared" si="126"/>
        <v>0</v>
      </c>
      <c r="AO155" s="89">
        <f t="shared" si="127"/>
        <v>0</v>
      </c>
      <c r="AP155" s="89">
        <f t="shared" si="128"/>
        <v>0</v>
      </c>
      <c r="AQ155" s="89">
        <f t="shared" si="129"/>
        <v>0</v>
      </c>
      <c r="AR155" s="89">
        <f t="shared" si="130"/>
        <v>0</v>
      </c>
      <c r="AS155" s="89">
        <f t="shared" si="131"/>
        <v>0</v>
      </c>
      <c r="AT155" s="89">
        <f t="shared" si="132"/>
        <v>0</v>
      </c>
      <c r="AU155" s="89">
        <f t="shared" si="133"/>
        <v>0</v>
      </c>
      <c r="AV155" s="89">
        <f t="shared" si="134"/>
        <v>0</v>
      </c>
      <c r="AW155" s="89">
        <f t="shared" si="135"/>
        <v>0</v>
      </c>
      <c r="AX155" s="89">
        <f t="shared" si="136"/>
        <v>0</v>
      </c>
      <c r="AY155" s="89">
        <f t="shared" si="137"/>
        <v>0</v>
      </c>
      <c r="AZ155" s="89">
        <f t="shared" si="138"/>
        <v>0</v>
      </c>
      <c r="BA155" s="89">
        <f t="shared" si="139"/>
        <v>0</v>
      </c>
      <c r="BB155" s="89">
        <f t="shared" si="139"/>
        <v>0</v>
      </c>
    </row>
    <row r="156" spans="2:54">
      <c r="B156" s="6" t="s">
        <v>15</v>
      </c>
      <c r="D156" s="89">
        <f t="shared" ref="D156:AF156" si="141" xml:space="preserve">  IF(D$153&lt;$C$5,     INDEX($D$61:$D$78,MATCH($B156,$B$61:$B$78,0)), INDEX($G$61:$G$78,MATCH($B156,$B$61:$B$78,0))  )       *C$14</f>
        <v>10.831445640429077</v>
      </c>
      <c r="E156" s="89">
        <f t="shared" si="141"/>
        <v>11.247800161041958</v>
      </c>
      <c r="F156" s="89">
        <f t="shared" si="141"/>
        <v>11.607369173738538</v>
      </c>
      <c r="G156" s="89">
        <f t="shared" si="141"/>
        <v>11.926599351108523</v>
      </c>
      <c r="H156" s="89">
        <f t="shared" si="141"/>
        <v>7.9462637566304331</v>
      </c>
      <c r="I156" s="89">
        <f t="shared" si="141"/>
        <v>7.2807896064236486</v>
      </c>
      <c r="J156" s="89">
        <f t="shared" si="141"/>
        <v>6.8611386037202147</v>
      </c>
      <c r="K156" s="89">
        <f t="shared" si="141"/>
        <v>6.6094645238639549</v>
      </c>
      <c r="L156" s="89">
        <f t="shared" si="141"/>
        <v>6.4826555711255214</v>
      </c>
      <c r="M156" s="89">
        <f t="shared" si="141"/>
        <v>6.4345396524720266</v>
      </c>
      <c r="N156" s="89">
        <f t="shared" si="141"/>
        <v>6.4366774529154522</v>
      </c>
      <c r="O156" s="89">
        <f t="shared" si="141"/>
        <v>6.4746213557144214</v>
      </c>
      <c r="P156" s="89">
        <f t="shared" si="141"/>
        <v>6.5317215676518368</v>
      </c>
      <c r="Q156" s="89">
        <f t="shared" si="141"/>
        <v>6.6003883943632697</v>
      </c>
      <c r="R156" s="89">
        <f t="shared" si="141"/>
        <v>6.6771513178625348</v>
      </c>
      <c r="S156" s="89">
        <f t="shared" si="141"/>
        <v>6.7588339369787533</v>
      </c>
      <c r="T156" s="89">
        <f t="shared" si="141"/>
        <v>6.8426909683243133</v>
      </c>
      <c r="U156" s="89">
        <f t="shared" si="141"/>
        <v>6.9284091396419782</v>
      </c>
      <c r="V156" s="89">
        <f t="shared" si="141"/>
        <v>7.0186751743922224</v>
      </c>
      <c r="W156" s="89">
        <f t="shared" si="141"/>
        <v>7.1085651197199491</v>
      </c>
      <c r="X156" s="89">
        <f t="shared" si="141"/>
        <v>7.1969288399201243</v>
      </c>
      <c r="Y156" s="89">
        <f t="shared" si="141"/>
        <v>7.2851742934150581</v>
      </c>
      <c r="Z156" s="89">
        <f t="shared" si="141"/>
        <v>7.3725475953690758</v>
      </c>
      <c r="AA156" s="89">
        <f t="shared" si="141"/>
        <v>7.4582606495188664</v>
      </c>
      <c r="AB156" s="89">
        <f t="shared" si="141"/>
        <v>7.5417517928520512</v>
      </c>
      <c r="AC156" s="89">
        <f t="shared" si="141"/>
        <v>7.6233808055396981</v>
      </c>
      <c r="AD156" s="89">
        <f t="shared" si="141"/>
        <v>7.7023285182354346</v>
      </c>
      <c r="AE156" s="89">
        <f t="shared" si="141"/>
        <v>7.7778784615776946</v>
      </c>
      <c r="AF156" s="89">
        <f t="shared" si="141"/>
        <v>7.8495358136806361</v>
      </c>
      <c r="AG156" s="89">
        <f t="shared" si="119"/>
        <v>7.917477581575068</v>
      </c>
      <c r="AH156" s="89">
        <f t="shared" si="120"/>
        <v>7.9831353350929799</v>
      </c>
      <c r="AI156" s="89">
        <f t="shared" si="121"/>
        <v>8.0466841157555358</v>
      </c>
      <c r="AJ156" s="89">
        <f t="shared" si="122"/>
        <v>8.1089615475882919</v>
      </c>
      <c r="AK156" s="89">
        <f t="shared" si="123"/>
        <v>8.1691115859428081</v>
      </c>
      <c r="AL156" s="89">
        <f t="shared" si="124"/>
        <v>8.2258045085320664</v>
      </c>
      <c r="AM156" s="89">
        <f t="shared" si="125"/>
        <v>8.278317909822805</v>
      </c>
      <c r="AN156" s="89">
        <f t="shared" si="126"/>
        <v>8.3262035172543349</v>
      </c>
      <c r="AO156" s="89">
        <f t="shared" si="127"/>
        <v>8.3691252552446738</v>
      </c>
      <c r="AP156" s="89">
        <f t="shared" si="128"/>
        <v>8.4067737205371529</v>
      </c>
      <c r="AQ156" s="89">
        <f t="shared" si="129"/>
        <v>8.4414500188624491</v>
      </c>
      <c r="AR156" s="89">
        <f t="shared" si="130"/>
        <v>8.4752985309467057</v>
      </c>
      <c r="AS156" s="89">
        <f t="shared" si="131"/>
        <v>8.5098643978833017</v>
      </c>
      <c r="AT156" s="89">
        <f t="shared" si="132"/>
        <v>8.5361144307330754</v>
      </c>
      <c r="AU156" s="89">
        <f t="shared" si="133"/>
        <v>8.5567578759322487</v>
      </c>
      <c r="AV156" s="89">
        <f t="shared" si="134"/>
        <v>8.5736376570465893</v>
      </c>
      <c r="AW156" s="89">
        <f t="shared" si="135"/>
        <v>8.5826782521240048</v>
      </c>
      <c r="AX156" s="89">
        <f t="shared" si="136"/>
        <v>8.5869720467405539</v>
      </c>
      <c r="AY156" s="89">
        <f t="shared" si="137"/>
        <v>8.5884742439634003</v>
      </c>
      <c r="AZ156" s="89">
        <f t="shared" si="138"/>
        <v>8.5884073684203628</v>
      </c>
      <c r="BA156" s="89">
        <f t="shared" si="139"/>
        <v>8.5875237929243902</v>
      </c>
      <c r="BB156" s="89">
        <f t="shared" si="139"/>
        <v>8.5862761347995384</v>
      </c>
    </row>
    <row r="157" spans="2:54" ht="29">
      <c r="B157" s="6" t="s">
        <v>16</v>
      </c>
      <c r="D157" s="89">
        <f t="shared" ref="D157:AF157" si="142" xml:space="preserve">  IF(D$153&lt;$C$5,     INDEX($D$61:$D$78,MATCH($B157,$B$61:$B$78,0)), INDEX($G$61:$G$78,MATCH($B157,$B$61:$B$78,0))  )       *C$14</f>
        <v>69.045663649966272</v>
      </c>
      <c r="E157" s="89">
        <f t="shared" si="142"/>
        <v>71.6997391209337</v>
      </c>
      <c r="F157" s="89">
        <f t="shared" si="142"/>
        <v>73.991832155766602</v>
      </c>
      <c r="G157" s="89">
        <f t="shared" si="142"/>
        <v>76.026783000309067</v>
      </c>
      <c r="H157" s="89">
        <f t="shared" si="142"/>
        <v>50.65390833577483</v>
      </c>
      <c r="I157" s="89">
        <f t="shared" si="142"/>
        <v>46.411805677619903</v>
      </c>
      <c r="J157" s="89">
        <f t="shared" si="142"/>
        <v>43.736716594877244</v>
      </c>
      <c r="K157" s="89">
        <f t="shared" si="142"/>
        <v>42.132405919826702</v>
      </c>
      <c r="L157" s="89">
        <f t="shared" si="142"/>
        <v>41.324055069050004</v>
      </c>
      <c r="M157" s="89">
        <f t="shared" si="142"/>
        <v>41.0173374206543</v>
      </c>
      <c r="N157" s="89">
        <f t="shared" si="142"/>
        <v>41.030964950650535</v>
      </c>
      <c r="O157" s="89">
        <f t="shared" si="142"/>
        <v>41.272840507911866</v>
      </c>
      <c r="P157" s="89">
        <f t="shared" si="142"/>
        <v>41.636829042651577</v>
      </c>
      <c r="Q157" s="89">
        <f t="shared" si="142"/>
        <v>42.074549618317988</v>
      </c>
      <c r="R157" s="89">
        <f t="shared" si="142"/>
        <v>42.56387922146304</v>
      </c>
      <c r="S157" s="89">
        <f t="shared" si="142"/>
        <v>43.084569702934481</v>
      </c>
      <c r="T157" s="89">
        <f t="shared" si="142"/>
        <v>43.619121098304895</v>
      </c>
      <c r="U157" s="89">
        <f t="shared" si="142"/>
        <v>44.165536435829061</v>
      </c>
      <c r="V157" s="89">
        <f t="shared" si="142"/>
        <v>44.74094238636242</v>
      </c>
      <c r="W157" s="89">
        <f t="shared" si="142"/>
        <v>45.313950933572954</v>
      </c>
      <c r="X157" s="89">
        <f t="shared" si="142"/>
        <v>45.877230472273503</v>
      </c>
      <c r="Y157" s="89">
        <f t="shared" si="142"/>
        <v>46.439756113163725</v>
      </c>
      <c r="Z157" s="89">
        <f t="shared" si="142"/>
        <v>46.996722174663994</v>
      </c>
      <c r="AA157" s="89">
        <f t="shared" si="142"/>
        <v>47.543104892511742</v>
      </c>
      <c r="AB157" s="89">
        <f t="shared" si="142"/>
        <v>48.075323914026015</v>
      </c>
      <c r="AC157" s="89">
        <f t="shared" si="142"/>
        <v>48.595672678282646</v>
      </c>
      <c r="AD157" s="89">
        <f t="shared" si="142"/>
        <v>49.098929343891321</v>
      </c>
      <c r="AE157" s="89">
        <f t="shared" si="142"/>
        <v>49.580526736331088</v>
      </c>
      <c r="AF157" s="89">
        <f t="shared" si="142"/>
        <v>50.037310585467488</v>
      </c>
      <c r="AG157" s="89">
        <f t="shared" si="119"/>
        <v>50.470409232642822</v>
      </c>
      <c r="AH157" s="89">
        <f t="shared" si="120"/>
        <v>50.888948300824914</v>
      </c>
      <c r="AI157" s="89">
        <f t="shared" si="121"/>
        <v>51.294043602103514</v>
      </c>
      <c r="AJ157" s="89">
        <f t="shared" si="122"/>
        <v>51.691034618266499</v>
      </c>
      <c r="AK157" s="89">
        <f t="shared" si="123"/>
        <v>52.074464444222215</v>
      </c>
      <c r="AL157" s="89">
        <f t="shared" si="124"/>
        <v>52.435856689946164</v>
      </c>
      <c r="AM157" s="89">
        <f t="shared" si="125"/>
        <v>52.770606340454712</v>
      </c>
      <c r="AN157" s="89">
        <f t="shared" si="126"/>
        <v>53.075855856922843</v>
      </c>
      <c r="AO157" s="89">
        <f t="shared" si="127"/>
        <v>53.34946290652028</v>
      </c>
      <c r="AP157" s="89">
        <f t="shared" si="128"/>
        <v>53.589455180665041</v>
      </c>
      <c r="AQ157" s="89">
        <f t="shared" si="129"/>
        <v>53.810501208155372</v>
      </c>
      <c r="AR157" s="89">
        <f t="shared" si="130"/>
        <v>54.026270465372349</v>
      </c>
      <c r="AS157" s="89">
        <f t="shared" si="131"/>
        <v>54.246612541721369</v>
      </c>
      <c r="AT157" s="89">
        <f t="shared" si="132"/>
        <v>54.413944862735008</v>
      </c>
      <c r="AU157" s="89">
        <f t="shared" si="133"/>
        <v>54.545537673253158</v>
      </c>
      <c r="AV157" s="89">
        <f t="shared" si="134"/>
        <v>54.653138793915723</v>
      </c>
      <c r="AW157" s="89">
        <f t="shared" si="135"/>
        <v>54.710768579230887</v>
      </c>
      <c r="AX157" s="89">
        <f t="shared" si="136"/>
        <v>54.738139616183673</v>
      </c>
      <c r="AY157" s="89">
        <f t="shared" si="137"/>
        <v>54.747715457454341</v>
      </c>
      <c r="AZ157" s="89">
        <f t="shared" si="138"/>
        <v>54.74728915551789</v>
      </c>
      <c r="BA157" s="89">
        <f t="shared" si="139"/>
        <v>54.741656753479468</v>
      </c>
      <c r="BB157" s="89">
        <f t="shared" si="139"/>
        <v>54.733703486104233</v>
      </c>
    </row>
    <row r="158" spans="2:54">
      <c r="B158" s="6" t="s">
        <v>103</v>
      </c>
      <c r="D158" s="89">
        <f t="shared" ref="D158:AF158" si="143" xml:space="preserve">  IF(D$153&lt;$C$5,     INDEX($D$61:$D$78,MATCH($B158,$B$61:$B$78,0)), INDEX($G$61:$G$78,MATCH($B158,$B$61:$B$78,0))  )       *C$14</f>
        <v>44.050459444678644</v>
      </c>
      <c r="E158" s="89">
        <f t="shared" si="143"/>
        <v>45.743733688368593</v>
      </c>
      <c r="F158" s="89">
        <f t="shared" si="143"/>
        <v>47.206066671163896</v>
      </c>
      <c r="G158" s="89">
        <f t="shared" si="143"/>
        <v>48.504345446553387</v>
      </c>
      <c r="H158" s="89">
        <f t="shared" si="143"/>
        <v>32.31669907861923</v>
      </c>
      <c r="I158" s="89">
        <f t="shared" si="143"/>
        <v>29.610278990450404</v>
      </c>
      <c r="J158" s="89">
        <f t="shared" si="143"/>
        <v>27.903598267564547</v>
      </c>
      <c r="K158" s="89">
        <f t="shared" si="143"/>
        <v>26.880063716774355</v>
      </c>
      <c r="L158" s="89">
        <f t="shared" si="143"/>
        <v>26.36434376440009</v>
      </c>
      <c r="M158" s="89">
        <f t="shared" si="143"/>
        <v>26.168660898635803</v>
      </c>
      <c r="N158" s="89">
        <f t="shared" si="143"/>
        <v>26.177355129753249</v>
      </c>
      <c r="O158" s="89">
        <f t="shared" si="143"/>
        <v>26.331669374306166</v>
      </c>
      <c r="P158" s="89">
        <f t="shared" si="143"/>
        <v>26.563890506529109</v>
      </c>
      <c r="Q158" s="89">
        <f t="shared" si="143"/>
        <v>26.843151961154931</v>
      </c>
      <c r="R158" s="89">
        <f t="shared" si="143"/>
        <v>27.155339471549471</v>
      </c>
      <c r="S158" s="89">
        <f t="shared" si="143"/>
        <v>27.487534916198499</v>
      </c>
      <c r="T158" s="89">
        <f t="shared" si="143"/>
        <v>27.828573488616833</v>
      </c>
      <c r="U158" s="89">
        <f t="shared" si="143"/>
        <v>28.177181140323725</v>
      </c>
      <c r="V158" s="89">
        <f t="shared" si="143"/>
        <v>28.544284520149212</v>
      </c>
      <c r="W158" s="89">
        <f t="shared" si="143"/>
        <v>28.909858380056114</v>
      </c>
      <c r="X158" s="89">
        <f t="shared" si="143"/>
        <v>29.269225227499806</v>
      </c>
      <c r="Y158" s="89">
        <f t="shared" si="143"/>
        <v>29.628111095499406</v>
      </c>
      <c r="Z158" s="89">
        <f t="shared" si="143"/>
        <v>29.983450006116016</v>
      </c>
      <c r="AA158" s="89">
        <f t="shared" si="143"/>
        <v>30.332036846787759</v>
      </c>
      <c r="AB158" s="89">
        <f t="shared" si="143"/>
        <v>30.671587387452487</v>
      </c>
      <c r="AC158" s="89">
        <f t="shared" si="143"/>
        <v>31.003564819854017</v>
      </c>
      <c r="AD158" s="89">
        <f t="shared" si="143"/>
        <v>31.324637660156423</v>
      </c>
      <c r="AE158" s="89">
        <f t="shared" si="143"/>
        <v>31.631892095596136</v>
      </c>
      <c r="AF158" s="89">
        <f t="shared" si="143"/>
        <v>31.923315732616636</v>
      </c>
      <c r="AG158" s="89">
        <f t="shared" si="119"/>
        <v>32.199628441980416</v>
      </c>
      <c r="AH158" s="89">
        <f t="shared" si="120"/>
        <v>32.466652282064508</v>
      </c>
      <c r="AI158" s="89">
        <f t="shared" si="121"/>
        <v>32.725099130090591</v>
      </c>
      <c r="AJ158" s="89">
        <f t="shared" si="122"/>
        <v>32.978375523319926</v>
      </c>
      <c r="AK158" s="89">
        <f t="shared" si="123"/>
        <v>33.223000009569624</v>
      </c>
      <c r="AL158" s="89">
        <f t="shared" si="124"/>
        <v>33.453564734743239</v>
      </c>
      <c r="AM158" s="89">
        <f t="shared" si="125"/>
        <v>33.667131744231376</v>
      </c>
      <c r="AN158" s="89">
        <f t="shared" si="126"/>
        <v>33.861877956156498</v>
      </c>
      <c r="AO158" s="89">
        <f t="shared" si="127"/>
        <v>34.036436583084495</v>
      </c>
      <c r="AP158" s="89">
        <f t="shared" si="128"/>
        <v>34.189549311392021</v>
      </c>
      <c r="AQ158" s="89">
        <f t="shared" si="129"/>
        <v>34.330574519270876</v>
      </c>
      <c r="AR158" s="89">
        <f t="shared" si="130"/>
        <v>34.468233199222595</v>
      </c>
      <c r="AS158" s="89">
        <f t="shared" si="131"/>
        <v>34.60880929314466</v>
      </c>
      <c r="AT158" s="89">
        <f t="shared" si="132"/>
        <v>34.71556568059809</v>
      </c>
      <c r="AU158" s="89">
        <f t="shared" si="133"/>
        <v>34.799520609213566</v>
      </c>
      <c r="AV158" s="89">
        <f t="shared" si="134"/>
        <v>34.868169073887287</v>
      </c>
      <c r="AW158" s="89">
        <f t="shared" si="135"/>
        <v>34.904936314386283</v>
      </c>
      <c r="AX158" s="89">
        <f t="shared" si="136"/>
        <v>34.92239876878979</v>
      </c>
      <c r="AY158" s="89">
        <f t="shared" si="137"/>
        <v>34.928508062049403</v>
      </c>
      <c r="AZ158" s="89">
        <f t="shared" si="138"/>
        <v>34.928236085575136</v>
      </c>
      <c r="BA158" s="89">
        <f t="shared" si="139"/>
        <v>34.924642668053259</v>
      </c>
      <c r="BB158" s="89">
        <f t="shared" si="139"/>
        <v>34.919568561100768</v>
      </c>
    </row>
    <row r="159" spans="2:54">
      <c r="B159" s="6" t="s">
        <v>104</v>
      </c>
      <c r="D159" s="89">
        <f t="shared" ref="D159:AF159" si="144" xml:space="preserve">  IF(D$153&lt;$C$5,     INDEX($D$61:$D$78,MATCH($B159,$B$61:$B$78,0)), INDEX($G$61:$G$78,MATCH($B159,$B$61:$B$78,0))  )       *C$14</f>
        <v>1695.7505609715904</v>
      </c>
      <c r="E159" s="89">
        <f t="shared" si="144"/>
        <v>1760.9342340777021</v>
      </c>
      <c r="F159" s="89">
        <f t="shared" si="144"/>
        <v>1817.227675897909</v>
      </c>
      <c r="G159" s="89">
        <f t="shared" si="144"/>
        <v>1867.2057462612634</v>
      </c>
      <c r="H159" s="89">
        <f t="shared" si="144"/>
        <v>1244.0519640922537</v>
      </c>
      <c r="I159" s="89">
        <f t="shared" si="144"/>
        <v>1139.8665948454075</v>
      </c>
      <c r="J159" s="89">
        <f t="shared" si="144"/>
        <v>1074.1668307630898</v>
      </c>
      <c r="K159" s="89">
        <f t="shared" si="144"/>
        <v>1034.7652147400827</v>
      </c>
      <c r="L159" s="89">
        <f t="shared" si="144"/>
        <v>1014.9122459046226</v>
      </c>
      <c r="M159" s="89">
        <f t="shared" si="144"/>
        <v>1007.3793090504895</v>
      </c>
      <c r="N159" s="89">
        <f t="shared" si="144"/>
        <v>1007.7139990283123</v>
      </c>
      <c r="O159" s="89">
        <f t="shared" si="144"/>
        <v>1013.6544243965234</v>
      </c>
      <c r="P159" s="89">
        <f t="shared" si="144"/>
        <v>1022.5939251463635</v>
      </c>
      <c r="Q159" s="89">
        <f t="shared" si="144"/>
        <v>1033.3442731406724</v>
      </c>
      <c r="R159" s="89">
        <f t="shared" si="144"/>
        <v>1045.3621306739112</v>
      </c>
      <c r="S159" s="89">
        <f t="shared" si="144"/>
        <v>1058.1502064106296</v>
      </c>
      <c r="T159" s="89">
        <f t="shared" si="144"/>
        <v>1071.2787039968496</v>
      </c>
      <c r="U159" s="89">
        <f t="shared" si="144"/>
        <v>1084.6985781228698</v>
      </c>
      <c r="V159" s="89">
        <f t="shared" si="144"/>
        <v>1098.8304571116789</v>
      </c>
      <c r="W159" s="89">
        <f t="shared" si="144"/>
        <v>1112.9034562546778</v>
      </c>
      <c r="X159" s="89">
        <f t="shared" si="144"/>
        <v>1126.7375124899495</v>
      </c>
      <c r="Y159" s="89">
        <f t="shared" si="144"/>
        <v>1140.5530531144325</v>
      </c>
      <c r="Z159" s="89">
        <f t="shared" si="144"/>
        <v>1154.2320513498514</v>
      </c>
      <c r="AA159" s="89">
        <f t="shared" si="144"/>
        <v>1167.6511243417865</v>
      </c>
      <c r="AB159" s="89">
        <f t="shared" si="144"/>
        <v>1180.7223391955961</v>
      </c>
      <c r="AC159" s="89">
        <f t="shared" si="144"/>
        <v>1193.502022411654</v>
      </c>
      <c r="AD159" s="89">
        <f t="shared" si="144"/>
        <v>1205.8619263926628</v>
      </c>
      <c r="AE159" s="89">
        <f t="shared" si="144"/>
        <v>1217.6898820559229</v>
      </c>
      <c r="AF159" s="89">
        <f t="shared" si="144"/>
        <v>1228.9084210266349</v>
      </c>
      <c r="AG159" s="89">
        <f t="shared" si="119"/>
        <v>1239.5452551894125</v>
      </c>
      <c r="AH159" s="89">
        <f t="shared" si="120"/>
        <v>1249.8245083986567</v>
      </c>
      <c r="AI159" s="89">
        <f t="shared" si="121"/>
        <v>1259.7735848225238</v>
      </c>
      <c r="AJ159" s="89">
        <f t="shared" si="122"/>
        <v>1269.5236212878392</v>
      </c>
      <c r="AK159" s="89">
        <f t="shared" si="123"/>
        <v>1278.9405970700388</v>
      </c>
      <c r="AL159" s="89">
        <f t="shared" si="124"/>
        <v>1287.8163333729583</v>
      </c>
      <c r="AM159" s="89">
        <f t="shared" si="125"/>
        <v>1296.0377317581297</v>
      </c>
      <c r="AN159" s="89">
        <f t="shared" si="126"/>
        <v>1303.5346115247041</v>
      </c>
      <c r="AO159" s="89">
        <f t="shared" si="127"/>
        <v>1310.2543573177604</v>
      </c>
      <c r="AP159" s="89">
        <f t="shared" si="128"/>
        <v>1316.1485295509797</v>
      </c>
      <c r="AQ159" s="89">
        <f t="shared" si="129"/>
        <v>1321.5773849678462</v>
      </c>
      <c r="AR159" s="89">
        <f t="shared" si="130"/>
        <v>1326.8766437427496</v>
      </c>
      <c r="AS159" s="89">
        <f t="shared" si="131"/>
        <v>1332.2882102311062</v>
      </c>
      <c r="AT159" s="89">
        <f t="shared" si="132"/>
        <v>1336.3978655262754</v>
      </c>
      <c r="AU159" s="89">
        <f t="shared" si="133"/>
        <v>1339.6297641055585</v>
      </c>
      <c r="AV159" s="89">
        <f t="shared" si="134"/>
        <v>1342.2724305827719</v>
      </c>
      <c r="AW159" s="89">
        <f t="shared" si="135"/>
        <v>1343.6878089803536</v>
      </c>
      <c r="AX159" s="89">
        <f t="shared" si="136"/>
        <v>1344.3600373117715</v>
      </c>
      <c r="AY159" s="89">
        <f t="shared" si="137"/>
        <v>1344.5952184563664</v>
      </c>
      <c r="AZ159" s="89">
        <f t="shared" si="138"/>
        <v>1344.5847485483423</v>
      </c>
      <c r="BA159" s="89">
        <f t="shared" si="139"/>
        <v>1344.4464176465683</v>
      </c>
      <c r="BB159" s="89">
        <f t="shared" si="139"/>
        <v>1344.2510866597959</v>
      </c>
    </row>
    <row r="160" spans="2:54">
      <c r="B160" s="6" t="s">
        <v>17</v>
      </c>
      <c r="D160" s="89">
        <f t="shared" ref="D160:AF160" si="145" xml:space="preserve">  IF(D$153&lt;$C$5,     INDEX($D$61:$D$78,MATCH($B160,$B$61:$B$78,0)), INDEX($G$61:$G$78,MATCH($B160,$B$61:$B$78,0))  )       *C$14</f>
        <v>2203.285492966751</v>
      </c>
      <c r="E160" s="89">
        <f t="shared" si="145"/>
        <v>2287.9785160082388</v>
      </c>
      <c r="F160" s="89">
        <f t="shared" si="145"/>
        <v>2361.1204783736034</v>
      </c>
      <c r="G160" s="89">
        <f t="shared" si="145"/>
        <v>2426.0568905632349</v>
      </c>
      <c r="H160" s="89">
        <f t="shared" si="145"/>
        <v>1616.3943613327085</v>
      </c>
      <c r="I160" s="89">
        <f t="shared" si="145"/>
        <v>1481.0265083452748</v>
      </c>
      <c r="J160" s="89">
        <f t="shared" si="145"/>
        <v>1395.6629292756206</v>
      </c>
      <c r="K160" s="89">
        <f t="shared" si="145"/>
        <v>1344.4684841838864</v>
      </c>
      <c r="L160" s="89">
        <f t="shared" si="145"/>
        <v>1318.6735593675689</v>
      </c>
      <c r="M160" s="89">
        <f t="shared" si="145"/>
        <v>1308.8860287766095</v>
      </c>
      <c r="N160" s="89">
        <f t="shared" si="145"/>
        <v>1309.3208908310594</v>
      </c>
      <c r="O160" s="89">
        <f t="shared" si="145"/>
        <v>1317.0392742637807</v>
      </c>
      <c r="P160" s="89">
        <f t="shared" si="145"/>
        <v>1328.6543506611035</v>
      </c>
      <c r="Q160" s="89">
        <f t="shared" si="145"/>
        <v>1342.6222574543253</v>
      </c>
      <c r="R160" s="89">
        <f t="shared" si="145"/>
        <v>1358.2370369914497</v>
      </c>
      <c r="S160" s="89">
        <f t="shared" si="145"/>
        <v>1374.8525595819469</v>
      </c>
      <c r="T160" s="89">
        <f t="shared" si="145"/>
        <v>1391.9103916369127</v>
      </c>
      <c r="U160" s="89">
        <f t="shared" si="145"/>
        <v>1409.3468086783198</v>
      </c>
      <c r="V160" s="89">
        <f t="shared" si="145"/>
        <v>1427.7083322897668</v>
      </c>
      <c r="W160" s="89">
        <f t="shared" si="145"/>
        <v>1445.9933534290421</v>
      </c>
      <c r="X160" s="89">
        <f t="shared" si="145"/>
        <v>1463.9679165007453</v>
      </c>
      <c r="Y160" s="89">
        <f t="shared" si="145"/>
        <v>1481.9184222744102</v>
      </c>
      <c r="Z160" s="89">
        <f t="shared" si="145"/>
        <v>1499.6915187805073</v>
      </c>
      <c r="AA160" s="89">
        <f t="shared" si="145"/>
        <v>1517.1268949099144</v>
      </c>
      <c r="AB160" s="89">
        <f t="shared" si="145"/>
        <v>1534.1102996191241</v>
      </c>
      <c r="AC160" s="89">
        <f t="shared" si="145"/>
        <v>1550.7149178234185</v>
      </c>
      <c r="AD160" s="89">
        <f t="shared" si="145"/>
        <v>1566.7741176624652</v>
      </c>
      <c r="AE160" s="89">
        <f t="shared" si="145"/>
        <v>1582.1421580595056</v>
      </c>
      <c r="AF160" s="89">
        <f t="shared" si="145"/>
        <v>1596.7183845018485</v>
      </c>
      <c r="AG160" s="89">
        <f t="shared" si="119"/>
        <v>1610.5388029887004</v>
      </c>
      <c r="AH160" s="89">
        <f t="shared" si="120"/>
        <v>1623.8946172197054</v>
      </c>
      <c r="AI160" s="89">
        <f t="shared" si="121"/>
        <v>1636.8214333786602</v>
      </c>
      <c r="AJ160" s="89">
        <f t="shared" si="122"/>
        <v>1649.4896372963508</v>
      </c>
      <c r="AK160" s="89">
        <f t="shared" si="123"/>
        <v>1661.7250960991194</v>
      </c>
      <c r="AL160" s="89">
        <f t="shared" si="124"/>
        <v>1673.2573234712961</v>
      </c>
      <c r="AM160" s="89">
        <f t="shared" si="125"/>
        <v>1683.9393708259317</v>
      </c>
      <c r="AN160" s="89">
        <f t="shared" si="126"/>
        <v>1693.6800525113001</v>
      </c>
      <c r="AO160" s="89">
        <f t="shared" si="127"/>
        <v>1702.4110054963799</v>
      </c>
      <c r="AP160" s="89">
        <f t="shared" si="128"/>
        <v>1710.0692923183867</v>
      </c>
      <c r="AQ160" s="89">
        <f t="shared" si="129"/>
        <v>1717.122993881984</v>
      </c>
      <c r="AR160" s="89">
        <f t="shared" si="130"/>
        <v>1724.0083107740695</v>
      </c>
      <c r="AS160" s="89">
        <f t="shared" si="131"/>
        <v>1731.0395488655902</v>
      </c>
      <c r="AT160" s="89">
        <f t="shared" si="132"/>
        <v>1736.3792162089715</v>
      </c>
      <c r="AU160" s="89">
        <f t="shared" si="133"/>
        <v>1740.5784159134339</v>
      </c>
      <c r="AV160" s="89">
        <f t="shared" si="134"/>
        <v>1744.0120274633884</v>
      </c>
      <c r="AW160" s="89">
        <f t="shared" si="135"/>
        <v>1745.8510259353475</v>
      </c>
      <c r="AX160" s="89">
        <f t="shared" si="136"/>
        <v>1746.7244509334944</v>
      </c>
      <c r="AY160" s="89">
        <f t="shared" si="137"/>
        <v>1747.030021349351</v>
      </c>
      <c r="AZ160" s="89">
        <f t="shared" si="138"/>
        <v>1747.0164178176801</v>
      </c>
      <c r="BA160" s="89">
        <f t="shared" si="139"/>
        <v>1746.8366847389348</v>
      </c>
      <c r="BB160" s="89">
        <f t="shared" si="139"/>
        <v>1746.5828915576806</v>
      </c>
    </row>
    <row r="161" spans="1:54" ht="29">
      <c r="B161" s="6" t="s">
        <v>106</v>
      </c>
      <c r="D161" s="89">
        <f t="shared" ref="D161:AF161" si="146" xml:space="preserve">  IF(D$153&lt;$C$5,     INDEX($D$61:$D$78,MATCH($B161,$B$61:$B$78,0)), INDEX($G$61:$G$78,MATCH($B161,$B$61:$B$78,0))  )       *C$14</f>
        <v>4262.5407226775715</v>
      </c>
      <c r="E161" s="89">
        <f t="shared" si="146"/>
        <v>4426.3903285472634</v>
      </c>
      <c r="F161" s="89">
        <f t="shared" si="146"/>
        <v>4567.8929137157038</v>
      </c>
      <c r="G161" s="89">
        <f t="shared" si="146"/>
        <v>4693.5208008989366</v>
      </c>
      <c r="H161" s="89">
        <f t="shared" si="146"/>
        <v>3127.1239297317193</v>
      </c>
      <c r="I161" s="89">
        <f t="shared" si="146"/>
        <v>2865.2373118865598</v>
      </c>
      <c r="J161" s="89">
        <f t="shared" si="146"/>
        <v>2700.0904286617456</v>
      </c>
      <c r="K161" s="89">
        <f t="shared" si="146"/>
        <v>2601.0481539883149</v>
      </c>
      <c r="L161" s="89">
        <f t="shared" si="146"/>
        <v>2551.1445360418688</v>
      </c>
      <c r="M161" s="89">
        <f t="shared" si="146"/>
        <v>2532.2092923562032</v>
      </c>
      <c r="N161" s="89">
        <f t="shared" si="146"/>
        <v>2533.0505892384081</v>
      </c>
      <c r="O161" s="89">
        <f t="shared" si="146"/>
        <v>2547.9828001571636</v>
      </c>
      <c r="P161" s="89">
        <f t="shared" si="146"/>
        <v>2570.4536675498116</v>
      </c>
      <c r="Q161" s="89">
        <f t="shared" si="146"/>
        <v>2597.476389619525</v>
      </c>
      <c r="R161" s="89">
        <f t="shared" si="146"/>
        <v>2627.6851999916225</v>
      </c>
      <c r="S161" s="89">
        <f t="shared" si="146"/>
        <v>2659.8300772200369</v>
      </c>
      <c r="T161" s="89">
        <f t="shared" si="146"/>
        <v>2692.8306593084626</v>
      </c>
      <c r="U161" s="89">
        <f t="shared" si="146"/>
        <v>2726.5636630130839</v>
      </c>
      <c r="V161" s="89">
        <f t="shared" si="146"/>
        <v>2762.0864050154437</v>
      </c>
      <c r="W161" s="89">
        <f t="shared" si="146"/>
        <v>2797.4611430918208</v>
      </c>
      <c r="X161" s="89">
        <f t="shared" si="146"/>
        <v>2832.2352598869647</v>
      </c>
      <c r="Y161" s="89">
        <f t="shared" si="146"/>
        <v>2866.9628347278799</v>
      </c>
      <c r="Z161" s="89">
        <f t="shared" si="146"/>
        <v>2901.3471883975021</v>
      </c>
      <c r="AA161" s="89">
        <f t="shared" si="146"/>
        <v>2935.0781783232455</v>
      </c>
      <c r="AB161" s="89">
        <f t="shared" si="146"/>
        <v>2967.9347710861034</v>
      </c>
      <c r="AC161" s="89">
        <f t="shared" si="146"/>
        <v>3000.0585523692152</v>
      </c>
      <c r="AD161" s="89">
        <f t="shared" si="146"/>
        <v>3031.1271512893586</v>
      </c>
      <c r="AE161" s="89">
        <f t="shared" si="146"/>
        <v>3060.8586128858005</v>
      </c>
      <c r="AF161" s="89">
        <f t="shared" si="146"/>
        <v>3089.058207986749</v>
      </c>
      <c r="AG161" s="89">
        <f t="shared" si="119"/>
        <v>3115.7955948540898</v>
      </c>
      <c r="AH161" s="89">
        <f t="shared" si="120"/>
        <v>3141.6341447042591</v>
      </c>
      <c r="AI161" s="89">
        <f t="shared" si="121"/>
        <v>3166.6427423045261</v>
      </c>
      <c r="AJ161" s="89">
        <f t="shared" si="122"/>
        <v>3191.151021079434</v>
      </c>
      <c r="AK161" s="89">
        <f t="shared" si="123"/>
        <v>3214.822098465424</v>
      </c>
      <c r="AL161" s="89">
        <f t="shared" si="124"/>
        <v>3237.1326837046026</v>
      </c>
      <c r="AM161" s="89">
        <f t="shared" si="125"/>
        <v>3257.7984857516149</v>
      </c>
      <c r="AN161" s="89">
        <f t="shared" si="126"/>
        <v>3276.6430941707513</v>
      </c>
      <c r="AO161" s="89">
        <f t="shared" si="127"/>
        <v>3293.534251837556</v>
      </c>
      <c r="AP161" s="89">
        <f t="shared" si="128"/>
        <v>3308.3501980909823</v>
      </c>
      <c r="AQ161" s="89">
        <f t="shared" si="129"/>
        <v>3321.9964959749495</v>
      </c>
      <c r="AR161" s="89">
        <f t="shared" si="130"/>
        <v>3335.3170319357864</v>
      </c>
      <c r="AS161" s="89">
        <f t="shared" si="131"/>
        <v>3348.9198713279675</v>
      </c>
      <c r="AT161" s="89">
        <f t="shared" si="132"/>
        <v>3359.2501483480673</v>
      </c>
      <c r="AU161" s="89">
        <f t="shared" si="133"/>
        <v>3367.3740432314426</v>
      </c>
      <c r="AV161" s="89">
        <f t="shared" si="134"/>
        <v>3374.0168088214023</v>
      </c>
      <c r="AW161" s="89">
        <f t="shared" si="135"/>
        <v>3377.5745891910774</v>
      </c>
      <c r="AX161" s="89">
        <f t="shared" si="136"/>
        <v>3379.2643428043475</v>
      </c>
      <c r="AY161" s="89">
        <f t="shared" si="137"/>
        <v>3379.8555082912499</v>
      </c>
      <c r="AZ161" s="89">
        <f t="shared" si="138"/>
        <v>3379.8291904999764</v>
      </c>
      <c r="BA161" s="89">
        <f t="shared" si="139"/>
        <v>3379.4814736154376</v>
      </c>
      <c r="BB161" s="89">
        <f t="shared" si="139"/>
        <v>3378.9904778848854</v>
      </c>
    </row>
    <row r="162" spans="1:54" ht="29">
      <c r="B162" s="6" t="s">
        <v>107</v>
      </c>
      <c r="D162" s="89">
        <f t="shared" ref="D162:AF162" si="147" xml:space="preserve">  IF(D$153&lt;$C$5,     INDEX($D$61:$D$78,MATCH($B162,$B$61:$B$78,0)), INDEX($G$61:$G$78,MATCH($B162,$B$61:$B$78,0))  )       *C$14</f>
        <v>2759.4778534949528</v>
      </c>
      <c r="E162" s="89">
        <f t="shared" si="147"/>
        <v>2865.5505899490163</v>
      </c>
      <c r="F162" s="89">
        <f t="shared" si="147"/>
        <v>2957.1563423368348</v>
      </c>
      <c r="G162" s="89">
        <f t="shared" si="147"/>
        <v>3038.4851541929074</v>
      </c>
      <c r="H162" s="89">
        <f t="shared" si="147"/>
        <v>2024.4332642547099</v>
      </c>
      <c r="I162" s="89">
        <f t="shared" si="147"/>
        <v>1854.8934594557404</v>
      </c>
      <c r="J162" s="89">
        <f t="shared" si="147"/>
        <v>1747.9808933404013</v>
      </c>
      <c r="K162" s="89">
        <f t="shared" si="147"/>
        <v>1683.8630393884005</v>
      </c>
      <c r="L162" s="89">
        <f t="shared" si="147"/>
        <v>1651.5565026320812</v>
      </c>
      <c r="M162" s="89">
        <f t="shared" si="147"/>
        <v>1639.2982301601876</v>
      </c>
      <c r="N162" s="89">
        <f t="shared" si="147"/>
        <v>1639.8428677990273</v>
      </c>
      <c r="O162" s="89">
        <f t="shared" si="147"/>
        <v>1649.5096623271836</v>
      </c>
      <c r="P162" s="89">
        <f t="shared" si="147"/>
        <v>1664.0568220971627</v>
      </c>
      <c r="Q162" s="89">
        <f t="shared" si="147"/>
        <v>1681.5507553975071</v>
      </c>
      <c r="R162" s="89">
        <f t="shared" si="147"/>
        <v>1701.1072942380013</v>
      </c>
      <c r="S162" s="89">
        <f t="shared" si="147"/>
        <v>1721.9172014239211</v>
      </c>
      <c r="T162" s="89">
        <f t="shared" si="147"/>
        <v>1743.2810736658853</v>
      </c>
      <c r="U162" s="89">
        <f t="shared" si="147"/>
        <v>1765.1191000240929</v>
      </c>
      <c r="V162" s="89">
        <f t="shared" si="147"/>
        <v>1788.1157647431928</v>
      </c>
      <c r="W162" s="89">
        <f t="shared" si="147"/>
        <v>1811.0166148806734</v>
      </c>
      <c r="X162" s="89">
        <f t="shared" si="147"/>
        <v>1833.5286356246697</v>
      </c>
      <c r="Y162" s="89">
        <f t="shared" si="147"/>
        <v>1856.010526101225</v>
      </c>
      <c r="Z162" s="89">
        <f t="shared" si="147"/>
        <v>1878.2702225196697</v>
      </c>
      <c r="AA162" s="89">
        <f t="shared" si="147"/>
        <v>1900.1069452004283</v>
      </c>
      <c r="AB162" s="89">
        <f t="shared" si="147"/>
        <v>1921.377601827365</v>
      </c>
      <c r="AC162" s="89">
        <f t="shared" si="147"/>
        <v>1942.1738519487196</v>
      </c>
      <c r="AD162" s="89">
        <f t="shared" si="147"/>
        <v>1962.2869995377</v>
      </c>
      <c r="AE162" s="89">
        <f t="shared" si="147"/>
        <v>1981.5345129728046</v>
      </c>
      <c r="AF162" s="89">
        <f t="shared" si="147"/>
        <v>1999.7903287459173</v>
      </c>
      <c r="AG162" s="89">
        <f t="shared" si="119"/>
        <v>2017.0995421284952</v>
      </c>
      <c r="AH162" s="89">
        <f t="shared" si="120"/>
        <v>2033.8268676174064</v>
      </c>
      <c r="AI162" s="89">
        <f t="shared" si="121"/>
        <v>2050.0168997402088</v>
      </c>
      <c r="AJ162" s="89">
        <f t="shared" si="122"/>
        <v>2065.8830361378818</v>
      </c>
      <c r="AK162" s="89">
        <f t="shared" si="123"/>
        <v>2081.2071862316257</v>
      </c>
      <c r="AL162" s="89">
        <f t="shared" si="124"/>
        <v>2095.6505827576652</v>
      </c>
      <c r="AM162" s="89">
        <f t="shared" si="125"/>
        <v>2109.0291817631942</v>
      </c>
      <c r="AN162" s="89">
        <f t="shared" si="126"/>
        <v>2121.2287788987092</v>
      </c>
      <c r="AO162" s="89">
        <f t="shared" si="127"/>
        <v>2132.1637537256852</v>
      </c>
      <c r="AP162" s="89">
        <f t="shared" si="128"/>
        <v>2141.7552809918971</v>
      </c>
      <c r="AQ162" s="89">
        <f t="shared" si="129"/>
        <v>2150.5896028771194</v>
      </c>
      <c r="AR162" s="89">
        <f t="shared" si="130"/>
        <v>2159.213033448716</v>
      </c>
      <c r="AS162" s="89">
        <f t="shared" si="131"/>
        <v>2168.0192212342472</v>
      </c>
      <c r="AT162" s="89">
        <f t="shared" si="132"/>
        <v>2174.7068220132323</v>
      </c>
      <c r="AU162" s="89">
        <f t="shared" si="133"/>
        <v>2179.9660581058115</v>
      </c>
      <c r="AV162" s="89">
        <f t="shared" si="134"/>
        <v>2184.2664427177237</v>
      </c>
      <c r="AW162" s="89">
        <f t="shared" si="135"/>
        <v>2186.5696737661651</v>
      </c>
      <c r="AX162" s="89">
        <f t="shared" si="136"/>
        <v>2187.6635841771263</v>
      </c>
      <c r="AY162" s="89">
        <f t="shared" si="137"/>
        <v>2188.0462920912532</v>
      </c>
      <c r="AZ162" s="89">
        <f t="shared" si="138"/>
        <v>2188.0292545150992</v>
      </c>
      <c r="BA162" s="89">
        <f t="shared" si="139"/>
        <v>2187.804150028222</v>
      </c>
      <c r="BB162" s="89">
        <f t="shared" si="139"/>
        <v>2187.4862898756114</v>
      </c>
    </row>
    <row r="163" spans="1:54">
      <c r="B163" s="6" t="s">
        <v>2863</v>
      </c>
      <c r="D163" s="89">
        <f t="shared" ref="D163:AF163" si="148" xml:space="preserve">  IF(D$153&lt;$C$5,     INDEX($D$61:$D$78,MATCH($B163,$B$61:$B$78,0)), INDEX($G$61:$G$78,MATCH($B163,$B$61:$B$78,0))  )       *C$14</f>
        <v>3732.3</v>
      </c>
      <c r="E163" s="89">
        <f t="shared" si="148"/>
        <v>3875.7674584418533</v>
      </c>
      <c r="F163" s="89">
        <f t="shared" si="148"/>
        <v>3999.6677641478873</v>
      </c>
      <c r="G163" s="89">
        <f t="shared" si="148"/>
        <v>4109.6681122593882</v>
      </c>
      <c r="H163" s="89">
        <f t="shared" si="148"/>
        <v>2738.1239036248257</v>
      </c>
      <c r="I163" s="89">
        <f t="shared" si="148"/>
        <v>2508.8147926095771</v>
      </c>
      <c r="J163" s="89">
        <f t="shared" si="148"/>
        <v>2364.2114322285911</v>
      </c>
      <c r="K163" s="89">
        <f t="shared" si="148"/>
        <v>2277.4895670750207</v>
      </c>
      <c r="L163" s="89">
        <f t="shared" si="148"/>
        <v>2233.7937327406753</v>
      </c>
      <c r="M163" s="89">
        <f t="shared" si="148"/>
        <v>2217.2139474421983</v>
      </c>
      <c r="N163" s="89">
        <f t="shared" si="148"/>
        <v>2217.950590810025</v>
      </c>
      <c r="O163" s="89">
        <f t="shared" si="148"/>
        <v>2231.0253024522085</v>
      </c>
      <c r="P163" s="89">
        <f t="shared" si="148"/>
        <v>2250.7008959130249</v>
      </c>
      <c r="Q163" s="89">
        <f t="shared" si="148"/>
        <v>2274.362113985198</v>
      </c>
      <c r="R163" s="89">
        <f t="shared" si="148"/>
        <v>2300.8130854332676</v>
      </c>
      <c r="S163" s="89">
        <f t="shared" si="148"/>
        <v>2328.9592858065157</v>
      </c>
      <c r="T163" s="89">
        <f t="shared" si="148"/>
        <v>2357.8547452383405</v>
      </c>
      <c r="U163" s="89">
        <f t="shared" si="148"/>
        <v>2387.3915163610036</v>
      </c>
      <c r="V163" s="89">
        <f t="shared" si="148"/>
        <v>2418.4953904589202</v>
      </c>
      <c r="W163" s="89">
        <f t="shared" si="148"/>
        <v>2449.4696716476119</v>
      </c>
      <c r="X163" s="89">
        <f t="shared" si="148"/>
        <v>2479.9180461168617</v>
      </c>
      <c r="Y163" s="89">
        <f t="shared" si="148"/>
        <v>2510.3256682397841</v>
      </c>
      <c r="Z163" s="89">
        <f t="shared" si="148"/>
        <v>2540.4327643475999</v>
      </c>
      <c r="AA163" s="89">
        <f t="shared" si="148"/>
        <v>2569.967772196339</v>
      </c>
      <c r="AB163" s="89">
        <f t="shared" si="148"/>
        <v>2598.7371539212795</v>
      </c>
      <c r="AC163" s="89">
        <f t="shared" si="148"/>
        <v>2626.8648825890878</v>
      </c>
      <c r="AD163" s="89">
        <f t="shared" si="148"/>
        <v>2654.0686887915094</v>
      </c>
      <c r="AE163" s="89">
        <f t="shared" si="148"/>
        <v>2680.1016914854276</v>
      </c>
      <c r="AF163" s="89">
        <f t="shared" si="148"/>
        <v>2704.7933849243482</v>
      </c>
      <c r="AG163" s="89">
        <f t="shared" si="119"/>
        <v>2728.2047621984848</v>
      </c>
      <c r="AH163" s="89">
        <f t="shared" si="120"/>
        <v>2750.829113701503</v>
      </c>
      <c r="AI163" s="89">
        <f t="shared" si="121"/>
        <v>2772.7267552482194</v>
      </c>
      <c r="AJ163" s="89">
        <f t="shared" si="122"/>
        <v>2794.186315361027</v>
      </c>
      <c r="AK163" s="89">
        <f t="shared" si="123"/>
        <v>2814.9128181385145</v>
      </c>
      <c r="AL163" s="89">
        <f t="shared" si="124"/>
        <v>2834.4480678184</v>
      </c>
      <c r="AM163" s="89">
        <f t="shared" si="125"/>
        <v>2852.5431378712706</v>
      </c>
      <c r="AN163" s="89">
        <f t="shared" si="126"/>
        <v>2869.0435625190757</v>
      </c>
      <c r="AO163" s="89">
        <f t="shared" si="127"/>
        <v>2883.8335368234657</v>
      </c>
      <c r="AP163" s="89">
        <f t="shared" si="128"/>
        <v>2896.8064465970824</v>
      </c>
      <c r="AQ163" s="89">
        <f t="shared" si="129"/>
        <v>2908.7552069505873</v>
      </c>
      <c r="AR163" s="89">
        <f t="shared" si="130"/>
        <v>2920.4187286859064</v>
      </c>
      <c r="AS163" s="89">
        <f t="shared" si="131"/>
        <v>2932.3294365867905</v>
      </c>
      <c r="AT163" s="89">
        <f t="shared" si="132"/>
        <v>2941.3746740239358</v>
      </c>
      <c r="AU163" s="89">
        <f t="shared" si="133"/>
        <v>2948.4879932496992</v>
      </c>
      <c r="AV163" s="89">
        <f t="shared" si="134"/>
        <v>2954.304428944848</v>
      </c>
      <c r="AW163" s="89">
        <f t="shared" si="135"/>
        <v>2957.4196375815873</v>
      </c>
      <c r="AX163" s="89">
        <f t="shared" si="136"/>
        <v>2958.8991935133945</v>
      </c>
      <c r="AY163" s="89">
        <f t="shared" si="137"/>
        <v>2959.4168206964091</v>
      </c>
      <c r="AZ163" s="89">
        <f t="shared" si="138"/>
        <v>2959.3937767189414</v>
      </c>
      <c r="BA163" s="89">
        <f t="shared" si="139"/>
        <v>2959.089314236915</v>
      </c>
      <c r="BB163" s="89">
        <f t="shared" si="139"/>
        <v>2958.6593961471262</v>
      </c>
    </row>
    <row r="164" spans="1:54">
      <c r="B164" s="6" t="s">
        <v>2862</v>
      </c>
      <c r="D164" s="89">
        <f t="shared" ref="D164:AF164" si="149" xml:space="preserve">  IF(D$153&lt;$C$5,     INDEX($D$61:$D$78,MATCH($B164,$B$61:$B$78,0)), INDEX($G$61:$G$78,MATCH($B164,$B$61:$B$78,0))  )       *C$14</f>
        <v>7464.6</v>
      </c>
      <c r="E164" s="89">
        <f t="shared" si="149"/>
        <v>7751.5349168837065</v>
      </c>
      <c r="F164" s="89">
        <f t="shared" si="149"/>
        <v>7999.3355282957746</v>
      </c>
      <c r="G164" s="89">
        <f t="shared" si="149"/>
        <v>8219.3362245187764</v>
      </c>
      <c r="H164" s="89">
        <f t="shared" si="149"/>
        <v>5476.2478072496515</v>
      </c>
      <c r="I164" s="89">
        <f t="shared" si="149"/>
        <v>5017.6295852191543</v>
      </c>
      <c r="J164" s="89">
        <f t="shared" si="149"/>
        <v>4728.4228644571822</v>
      </c>
      <c r="K164" s="89">
        <f t="shared" si="149"/>
        <v>4554.9791341500413</v>
      </c>
      <c r="L164" s="89">
        <f t="shared" si="149"/>
        <v>4467.5874654813506</v>
      </c>
      <c r="M164" s="89">
        <f t="shared" si="149"/>
        <v>4434.4278948843967</v>
      </c>
      <c r="N164" s="89">
        <f t="shared" si="149"/>
        <v>4435.90118162005</v>
      </c>
      <c r="O164" s="89">
        <f t="shared" si="149"/>
        <v>4462.050604904417</v>
      </c>
      <c r="P164" s="89">
        <f t="shared" si="149"/>
        <v>4501.4017918260497</v>
      </c>
      <c r="Q164" s="89">
        <f t="shared" si="149"/>
        <v>4548.724227970396</v>
      </c>
      <c r="R164" s="89">
        <f t="shared" si="149"/>
        <v>4601.6261708665352</v>
      </c>
      <c r="S164" s="89">
        <f t="shared" si="149"/>
        <v>4657.9185716130314</v>
      </c>
      <c r="T164" s="89">
        <f t="shared" si="149"/>
        <v>4715.7094904766809</v>
      </c>
      <c r="U164" s="89">
        <f t="shared" si="149"/>
        <v>4774.7830327220072</v>
      </c>
      <c r="V164" s="89">
        <f t="shared" si="149"/>
        <v>4836.9907809178403</v>
      </c>
      <c r="W164" s="89">
        <f t="shared" si="149"/>
        <v>4898.9393432952238</v>
      </c>
      <c r="X164" s="89">
        <f t="shared" si="149"/>
        <v>4959.8360922337233</v>
      </c>
      <c r="Y164" s="89">
        <f t="shared" si="149"/>
        <v>5020.6513364795683</v>
      </c>
      <c r="Z164" s="89">
        <f t="shared" si="149"/>
        <v>5080.8655286951998</v>
      </c>
      <c r="AA164" s="89">
        <f t="shared" si="149"/>
        <v>5139.9355443926779</v>
      </c>
      <c r="AB164" s="89">
        <f t="shared" si="149"/>
        <v>5197.474307842559</v>
      </c>
      <c r="AC164" s="89">
        <f t="shared" si="149"/>
        <v>5253.7297651781755</v>
      </c>
      <c r="AD164" s="89">
        <f t="shared" si="149"/>
        <v>5308.1373775830189</v>
      </c>
      <c r="AE164" s="89">
        <f t="shared" si="149"/>
        <v>5360.2033829708553</v>
      </c>
      <c r="AF164" s="89">
        <f t="shared" si="149"/>
        <v>5409.5867698486963</v>
      </c>
      <c r="AG164" s="89">
        <f t="shared" si="119"/>
        <v>5456.4095243969696</v>
      </c>
      <c r="AH164" s="89">
        <f t="shared" si="120"/>
        <v>5501.6582274030061</v>
      </c>
      <c r="AI164" s="89">
        <f t="shared" si="121"/>
        <v>5545.4535104964389</v>
      </c>
      <c r="AJ164" s="89">
        <f t="shared" si="122"/>
        <v>5588.3726307220541</v>
      </c>
      <c r="AK164" s="89">
        <f t="shared" si="123"/>
        <v>5629.8256362770289</v>
      </c>
      <c r="AL164" s="89">
        <f t="shared" si="124"/>
        <v>5668.8961356368</v>
      </c>
      <c r="AM164" s="89">
        <f t="shared" si="125"/>
        <v>5705.0862757425411</v>
      </c>
      <c r="AN164" s="89">
        <f t="shared" si="126"/>
        <v>5738.0871250381515</v>
      </c>
      <c r="AO164" s="89">
        <f t="shared" si="127"/>
        <v>5767.6670736469314</v>
      </c>
      <c r="AP164" s="89">
        <f t="shared" si="128"/>
        <v>5793.6128931941648</v>
      </c>
      <c r="AQ164" s="89">
        <f t="shared" si="129"/>
        <v>5817.5104139011746</v>
      </c>
      <c r="AR164" s="89">
        <f t="shared" si="130"/>
        <v>5840.8374573718129</v>
      </c>
      <c r="AS164" s="89">
        <f t="shared" si="131"/>
        <v>5864.658873173581</v>
      </c>
      <c r="AT164" s="89">
        <f t="shared" si="132"/>
        <v>5882.7493480478715</v>
      </c>
      <c r="AU164" s="89">
        <f t="shared" si="133"/>
        <v>5896.9759864993985</v>
      </c>
      <c r="AV164" s="89">
        <f t="shared" si="134"/>
        <v>5908.6088578896961</v>
      </c>
      <c r="AW164" s="89">
        <f t="shared" si="135"/>
        <v>5914.8392751631745</v>
      </c>
      <c r="AX164" s="89">
        <f t="shared" si="136"/>
        <v>5917.798387026789</v>
      </c>
      <c r="AY164" s="89">
        <f t="shared" si="137"/>
        <v>5918.8336413928182</v>
      </c>
      <c r="AZ164" s="89">
        <f t="shared" si="138"/>
        <v>5918.7875534378827</v>
      </c>
      <c r="BA164" s="89">
        <f t="shared" si="139"/>
        <v>5918.17862847383</v>
      </c>
      <c r="BB164" s="89">
        <f t="shared" si="139"/>
        <v>5917.3187922942525</v>
      </c>
    </row>
    <row r="165" spans="1:54">
      <c r="B165" s="6" t="s">
        <v>131</v>
      </c>
      <c r="D165" s="89">
        <f t="shared" ref="D165:AF165" si="150" xml:space="preserve">  IF(D$153&lt;$C$5,     INDEX($D$61:$D$78,MATCH($B165,$B$61:$B$78,0)), INDEX($G$61:$G$78,MATCH($B165,$B$61:$B$78,0))  )       *C$14</f>
        <v>0</v>
      </c>
      <c r="E165" s="89">
        <f t="shared" si="150"/>
        <v>0</v>
      </c>
      <c r="F165" s="89">
        <f t="shared" si="150"/>
        <v>0</v>
      </c>
      <c r="G165" s="89">
        <f t="shared" si="150"/>
        <v>0</v>
      </c>
      <c r="H165" s="89">
        <f t="shared" si="150"/>
        <v>0</v>
      </c>
      <c r="I165" s="89">
        <f t="shared" si="150"/>
        <v>0</v>
      </c>
      <c r="J165" s="89">
        <f t="shared" si="150"/>
        <v>0</v>
      </c>
      <c r="K165" s="89">
        <f t="shared" si="150"/>
        <v>0</v>
      </c>
      <c r="L165" s="89">
        <f t="shared" si="150"/>
        <v>0</v>
      </c>
      <c r="M165" s="89">
        <f t="shared" si="150"/>
        <v>0</v>
      </c>
      <c r="N165" s="89">
        <f t="shared" si="150"/>
        <v>0</v>
      </c>
      <c r="O165" s="89">
        <f t="shared" si="150"/>
        <v>0</v>
      </c>
      <c r="P165" s="89">
        <f t="shared" si="150"/>
        <v>0</v>
      </c>
      <c r="Q165" s="89">
        <f t="shared" si="150"/>
        <v>0</v>
      </c>
      <c r="R165" s="89">
        <f t="shared" si="150"/>
        <v>0</v>
      </c>
      <c r="S165" s="89">
        <f t="shared" si="150"/>
        <v>0</v>
      </c>
      <c r="T165" s="89">
        <f t="shared" si="150"/>
        <v>0</v>
      </c>
      <c r="U165" s="89">
        <f t="shared" si="150"/>
        <v>0</v>
      </c>
      <c r="V165" s="89">
        <f t="shared" si="150"/>
        <v>0</v>
      </c>
      <c r="W165" s="89">
        <f t="shared" si="150"/>
        <v>0</v>
      </c>
      <c r="X165" s="89">
        <f t="shared" si="150"/>
        <v>0</v>
      </c>
      <c r="Y165" s="89">
        <f t="shared" si="150"/>
        <v>0</v>
      </c>
      <c r="Z165" s="89">
        <f t="shared" si="150"/>
        <v>0</v>
      </c>
      <c r="AA165" s="89">
        <f t="shared" si="150"/>
        <v>0</v>
      </c>
      <c r="AB165" s="89">
        <f t="shared" si="150"/>
        <v>0</v>
      </c>
      <c r="AC165" s="89">
        <f t="shared" si="150"/>
        <v>0</v>
      </c>
      <c r="AD165" s="89">
        <f t="shared" si="150"/>
        <v>0</v>
      </c>
      <c r="AE165" s="89">
        <f t="shared" si="150"/>
        <v>0</v>
      </c>
      <c r="AF165" s="89">
        <f t="shared" si="150"/>
        <v>0</v>
      </c>
      <c r="AG165" s="89">
        <f t="shared" si="119"/>
        <v>0</v>
      </c>
      <c r="AH165" s="89">
        <f t="shared" si="120"/>
        <v>0</v>
      </c>
      <c r="AI165" s="89">
        <f t="shared" si="121"/>
        <v>0</v>
      </c>
      <c r="AJ165" s="89">
        <f t="shared" si="122"/>
        <v>0</v>
      </c>
      <c r="AK165" s="89">
        <f t="shared" si="123"/>
        <v>0</v>
      </c>
      <c r="AL165" s="89">
        <f t="shared" si="124"/>
        <v>0</v>
      </c>
      <c r="AM165" s="89">
        <f t="shared" si="125"/>
        <v>0</v>
      </c>
      <c r="AN165" s="89">
        <f t="shared" si="126"/>
        <v>0</v>
      </c>
      <c r="AO165" s="89">
        <f t="shared" si="127"/>
        <v>0</v>
      </c>
      <c r="AP165" s="89">
        <f t="shared" si="128"/>
        <v>0</v>
      </c>
      <c r="AQ165" s="89">
        <f t="shared" si="129"/>
        <v>0</v>
      </c>
      <c r="AR165" s="89">
        <f t="shared" si="130"/>
        <v>0</v>
      </c>
      <c r="AS165" s="89">
        <f t="shared" si="131"/>
        <v>0</v>
      </c>
      <c r="AT165" s="89">
        <f t="shared" si="132"/>
        <v>0</v>
      </c>
      <c r="AU165" s="89">
        <f t="shared" si="133"/>
        <v>0</v>
      </c>
      <c r="AV165" s="89">
        <f t="shared" si="134"/>
        <v>0</v>
      </c>
      <c r="AW165" s="89">
        <f t="shared" si="135"/>
        <v>0</v>
      </c>
      <c r="AX165" s="89">
        <f t="shared" si="136"/>
        <v>0</v>
      </c>
      <c r="AY165" s="89">
        <f t="shared" si="137"/>
        <v>0</v>
      </c>
      <c r="AZ165" s="89">
        <f t="shared" si="138"/>
        <v>0</v>
      </c>
      <c r="BA165" s="89">
        <f t="shared" si="139"/>
        <v>0</v>
      </c>
      <c r="BB165" s="89">
        <f t="shared" si="139"/>
        <v>0</v>
      </c>
    </row>
    <row r="166" spans="1:54" ht="29">
      <c r="B166" s="6" t="s">
        <v>2869</v>
      </c>
      <c r="D166" s="89">
        <f t="shared" ref="D166:AF166" si="151" xml:space="preserve">  IF(D$153&lt;$C$5,     INDEX($D$61:$D$78,MATCH($B166,$B$61:$B$78,0)), INDEX($G$61:$G$78,MATCH($B166,$B$61:$B$78,0))  )       *C$14</f>
        <v>2382.4837305699484</v>
      </c>
      <c r="E166" s="89">
        <f t="shared" si="151"/>
        <v>2474.0650304665096</v>
      </c>
      <c r="F166" s="89">
        <f t="shared" si="151"/>
        <v>2553.1557955596877</v>
      </c>
      <c r="G166" s="89">
        <f t="shared" si="151"/>
        <v>2623.3736343541796</v>
      </c>
      <c r="H166" s="89">
        <f t="shared" si="151"/>
        <v>273.81239036248257</v>
      </c>
      <c r="I166" s="89">
        <f t="shared" si="151"/>
        <v>250.88147926095772</v>
      </c>
      <c r="J166" s="89">
        <f t="shared" si="151"/>
        <v>236.42114322285911</v>
      </c>
      <c r="K166" s="89">
        <f t="shared" si="151"/>
        <v>227.74895670750209</v>
      </c>
      <c r="L166" s="89">
        <f t="shared" si="151"/>
        <v>223.37937327406758</v>
      </c>
      <c r="M166" s="89">
        <f t="shared" si="151"/>
        <v>221.72139474421985</v>
      </c>
      <c r="N166" s="89">
        <f t="shared" si="151"/>
        <v>221.79505908100253</v>
      </c>
      <c r="O166" s="89">
        <f t="shared" si="151"/>
        <v>223.10253024522086</v>
      </c>
      <c r="P166" s="89">
        <f t="shared" si="151"/>
        <v>225.07008959130249</v>
      </c>
      <c r="Q166" s="89">
        <f t="shared" si="151"/>
        <v>227.43621139851982</v>
      </c>
      <c r="R166" s="89">
        <f t="shared" si="151"/>
        <v>230.08130854332677</v>
      </c>
      <c r="S166" s="89">
        <f t="shared" si="151"/>
        <v>232.89592858065157</v>
      </c>
      <c r="T166" s="89">
        <f t="shared" si="151"/>
        <v>235.78547452383404</v>
      </c>
      <c r="U166" s="89">
        <f t="shared" si="151"/>
        <v>238.73915163610036</v>
      </c>
      <c r="V166" s="89">
        <f t="shared" si="151"/>
        <v>241.84953904589204</v>
      </c>
      <c r="W166" s="89">
        <f t="shared" si="151"/>
        <v>244.94696716476119</v>
      </c>
      <c r="X166" s="89">
        <f t="shared" si="151"/>
        <v>247.99180461168621</v>
      </c>
      <c r="Y166" s="89">
        <f t="shared" si="151"/>
        <v>251.03256682397844</v>
      </c>
      <c r="Z166" s="89">
        <f t="shared" si="151"/>
        <v>254.04327643476003</v>
      </c>
      <c r="AA166" s="89">
        <f t="shared" si="151"/>
        <v>256.99677721963394</v>
      </c>
      <c r="AB166" s="89">
        <f t="shared" si="151"/>
        <v>259.87371539212796</v>
      </c>
      <c r="AC166" s="89">
        <f t="shared" si="151"/>
        <v>262.68648825890881</v>
      </c>
      <c r="AD166" s="89">
        <f t="shared" si="151"/>
        <v>265.40686887915098</v>
      </c>
      <c r="AE166" s="89">
        <f t="shared" si="151"/>
        <v>268.01016914854279</v>
      </c>
      <c r="AF166" s="89">
        <f t="shared" si="151"/>
        <v>270.47933849243486</v>
      </c>
      <c r="AG166" s="89">
        <f t="shared" si="119"/>
        <v>272.8204762198485</v>
      </c>
      <c r="AH166" s="89">
        <f t="shared" si="120"/>
        <v>275.08291137015033</v>
      </c>
      <c r="AI166" s="89">
        <f t="shared" si="121"/>
        <v>277.27267552482198</v>
      </c>
      <c r="AJ166" s="89">
        <f t="shared" si="122"/>
        <v>279.41863153610274</v>
      </c>
      <c r="AK166" s="89">
        <f t="shared" si="123"/>
        <v>281.49128181385146</v>
      </c>
      <c r="AL166" s="89">
        <f t="shared" si="124"/>
        <v>283.44480678184004</v>
      </c>
      <c r="AM166" s="89">
        <f t="shared" si="125"/>
        <v>285.2543137871271</v>
      </c>
      <c r="AN166" s="89">
        <f t="shared" si="126"/>
        <v>286.90435625190764</v>
      </c>
      <c r="AO166" s="89">
        <f t="shared" si="127"/>
        <v>288.38335368234658</v>
      </c>
      <c r="AP166" s="89">
        <f t="shared" si="128"/>
        <v>289.68064465970826</v>
      </c>
      <c r="AQ166" s="89">
        <f t="shared" si="129"/>
        <v>290.87552069505875</v>
      </c>
      <c r="AR166" s="89">
        <f t="shared" si="130"/>
        <v>292.04187286859064</v>
      </c>
      <c r="AS166" s="89">
        <f t="shared" si="131"/>
        <v>293.23294365867912</v>
      </c>
      <c r="AT166" s="89">
        <f t="shared" si="132"/>
        <v>294.13746740239361</v>
      </c>
      <c r="AU166" s="89">
        <f t="shared" si="133"/>
        <v>294.84879932496995</v>
      </c>
      <c r="AV166" s="89">
        <f t="shared" si="134"/>
        <v>295.43044289448483</v>
      </c>
      <c r="AW166" s="89">
        <f t="shared" si="135"/>
        <v>295.74196375815876</v>
      </c>
      <c r="AX166" s="89">
        <f t="shared" si="136"/>
        <v>295.88991935133947</v>
      </c>
      <c r="AY166" s="89">
        <f t="shared" si="137"/>
        <v>295.94168206964093</v>
      </c>
      <c r="AZ166" s="89">
        <f t="shared" si="138"/>
        <v>295.93937767189414</v>
      </c>
      <c r="BA166" s="89">
        <f t="shared" si="139"/>
        <v>295.90893142369151</v>
      </c>
      <c r="BB166" s="89">
        <f t="shared" si="139"/>
        <v>295.86593961471266</v>
      </c>
    </row>
    <row r="167" spans="1:54" ht="29">
      <c r="B167" s="6" t="s">
        <v>2870</v>
      </c>
      <c r="D167" s="89">
        <f t="shared" ref="D167:AF167" si="152" xml:space="preserve">  IF(D$153&lt;$C$5,     INDEX($D$61:$D$78,MATCH($B167,$B$61:$B$78,0)), INDEX($G$61:$G$78,MATCH($B167,$B$61:$B$78,0))  )       *C$14</f>
        <v>1349.8162694300518</v>
      </c>
      <c r="E167" s="89">
        <f t="shared" si="152"/>
        <v>1401.7024279753439</v>
      </c>
      <c r="F167" s="89">
        <f t="shared" si="152"/>
        <v>1446.5119685881996</v>
      </c>
      <c r="G167" s="89">
        <f t="shared" si="152"/>
        <v>1486.2944779052086</v>
      </c>
      <c r="H167" s="89">
        <f t="shared" si="152"/>
        <v>2464.3115132623429</v>
      </c>
      <c r="I167" s="89">
        <f t="shared" si="152"/>
        <v>2257.9333133486193</v>
      </c>
      <c r="J167" s="89">
        <f t="shared" si="152"/>
        <v>2127.7902890057317</v>
      </c>
      <c r="K167" s="89">
        <f t="shared" si="152"/>
        <v>2049.7406103675189</v>
      </c>
      <c r="L167" s="89">
        <f t="shared" si="152"/>
        <v>2010.4143594666079</v>
      </c>
      <c r="M167" s="89">
        <f t="shared" si="152"/>
        <v>1995.4925526979787</v>
      </c>
      <c r="N167" s="89">
        <f t="shared" si="152"/>
        <v>1996.1555317290226</v>
      </c>
      <c r="O167" s="89">
        <f t="shared" si="152"/>
        <v>2007.9227722069875</v>
      </c>
      <c r="P167" s="89">
        <f t="shared" si="152"/>
        <v>2025.6308063217225</v>
      </c>
      <c r="Q167" s="89">
        <f t="shared" si="152"/>
        <v>2046.9259025866781</v>
      </c>
      <c r="R167" s="89">
        <f t="shared" si="152"/>
        <v>2070.7317768899411</v>
      </c>
      <c r="S167" s="89">
        <f t="shared" si="152"/>
        <v>2096.0633572258639</v>
      </c>
      <c r="T167" s="89">
        <f t="shared" si="152"/>
        <v>2122.0692707145063</v>
      </c>
      <c r="U167" s="89">
        <f t="shared" si="152"/>
        <v>2148.6523647249032</v>
      </c>
      <c r="V167" s="89">
        <f t="shared" si="152"/>
        <v>2176.6458514130281</v>
      </c>
      <c r="W167" s="89">
        <f t="shared" si="152"/>
        <v>2204.5227044828507</v>
      </c>
      <c r="X167" s="89">
        <f t="shared" si="152"/>
        <v>2231.9262415051758</v>
      </c>
      <c r="Y167" s="89">
        <f t="shared" si="152"/>
        <v>2259.2931014158057</v>
      </c>
      <c r="Z167" s="89">
        <f t="shared" si="152"/>
        <v>2286.3894879128402</v>
      </c>
      <c r="AA167" s="89">
        <f t="shared" si="152"/>
        <v>2312.9709949767052</v>
      </c>
      <c r="AB167" s="89">
        <f t="shared" si="152"/>
        <v>2338.8634385291516</v>
      </c>
      <c r="AC167" s="89">
        <f t="shared" si="152"/>
        <v>2364.1783943301789</v>
      </c>
      <c r="AD167" s="89">
        <f t="shared" si="152"/>
        <v>2388.6618199123586</v>
      </c>
      <c r="AE167" s="89">
        <f t="shared" si="152"/>
        <v>2412.0915223368847</v>
      </c>
      <c r="AF167" s="89">
        <f t="shared" si="152"/>
        <v>2434.3140464319135</v>
      </c>
      <c r="AG167" s="89">
        <f t="shared" si="119"/>
        <v>2455.3842859786364</v>
      </c>
      <c r="AH167" s="89">
        <f t="shared" si="120"/>
        <v>2475.7462023313528</v>
      </c>
      <c r="AI167" s="89">
        <f t="shared" si="121"/>
        <v>2495.4540797233976</v>
      </c>
      <c r="AJ167" s="89">
        <f t="shared" si="122"/>
        <v>2514.7676838249245</v>
      </c>
      <c r="AK167" s="89">
        <f t="shared" si="123"/>
        <v>2533.4215363246631</v>
      </c>
      <c r="AL167" s="89">
        <f t="shared" si="124"/>
        <v>2551.0032610365602</v>
      </c>
      <c r="AM167" s="89">
        <f t="shared" si="125"/>
        <v>2567.2888240841435</v>
      </c>
      <c r="AN167" s="89">
        <f t="shared" si="126"/>
        <v>2582.1392062671684</v>
      </c>
      <c r="AO167" s="89">
        <f t="shared" si="127"/>
        <v>2595.4501831411189</v>
      </c>
      <c r="AP167" s="89">
        <f t="shared" si="128"/>
        <v>2607.125801937374</v>
      </c>
      <c r="AQ167" s="89">
        <f t="shared" si="129"/>
        <v>2617.8796862555287</v>
      </c>
      <c r="AR167" s="89">
        <f t="shared" si="130"/>
        <v>2628.376855817316</v>
      </c>
      <c r="AS167" s="89">
        <f t="shared" si="131"/>
        <v>2639.0964929281117</v>
      </c>
      <c r="AT167" s="89">
        <f t="shared" si="132"/>
        <v>2647.2372066215426</v>
      </c>
      <c r="AU167" s="89">
        <f t="shared" si="133"/>
        <v>2653.6391939247292</v>
      </c>
      <c r="AV167" s="89">
        <f t="shared" si="134"/>
        <v>2658.8739860503633</v>
      </c>
      <c r="AW167" s="89">
        <f t="shared" si="135"/>
        <v>2661.6776738234284</v>
      </c>
      <c r="AX167" s="89">
        <f t="shared" si="136"/>
        <v>2663.0092741620551</v>
      </c>
      <c r="AY167" s="89">
        <f t="shared" si="137"/>
        <v>2663.4751386267685</v>
      </c>
      <c r="AZ167" s="89">
        <f t="shared" si="138"/>
        <v>2663.454399047047</v>
      </c>
      <c r="BA167" s="89">
        <f t="shared" si="139"/>
        <v>2663.1803828132238</v>
      </c>
      <c r="BB167" s="89">
        <f t="shared" si="139"/>
        <v>2662.793456532414</v>
      </c>
    </row>
    <row r="168" spans="1:54">
      <c r="B168" s="6" t="s">
        <v>102</v>
      </c>
      <c r="D168" s="89">
        <f t="shared" ref="D168:AF168" si="153" xml:space="preserve">  IF(D$153&lt;$C$5,     INDEX($D$61:$D$78,MATCH($B168,$B$61:$B$78,0)), INDEX($G$61:$G$78,MATCH($B168,$B$61:$B$78,0))  )       *C$14</f>
        <v>0</v>
      </c>
      <c r="E168" s="89">
        <f t="shared" si="153"/>
        <v>0</v>
      </c>
      <c r="F168" s="89">
        <f t="shared" si="153"/>
        <v>0</v>
      </c>
      <c r="G168" s="89">
        <f t="shared" si="153"/>
        <v>0</v>
      </c>
      <c r="H168" s="89">
        <f t="shared" si="153"/>
        <v>0</v>
      </c>
      <c r="I168" s="89">
        <f t="shared" si="153"/>
        <v>0</v>
      </c>
      <c r="J168" s="89">
        <f t="shared" si="153"/>
        <v>0</v>
      </c>
      <c r="K168" s="89">
        <f t="shared" si="153"/>
        <v>0</v>
      </c>
      <c r="L168" s="89">
        <f t="shared" si="153"/>
        <v>0</v>
      </c>
      <c r="M168" s="89">
        <f t="shared" si="153"/>
        <v>0</v>
      </c>
      <c r="N168" s="89">
        <f t="shared" si="153"/>
        <v>0</v>
      </c>
      <c r="O168" s="89">
        <f t="shared" si="153"/>
        <v>0</v>
      </c>
      <c r="P168" s="89">
        <f t="shared" si="153"/>
        <v>0</v>
      </c>
      <c r="Q168" s="89">
        <f t="shared" si="153"/>
        <v>0</v>
      </c>
      <c r="R168" s="89">
        <f t="shared" si="153"/>
        <v>0</v>
      </c>
      <c r="S168" s="89">
        <f t="shared" si="153"/>
        <v>0</v>
      </c>
      <c r="T168" s="89">
        <f t="shared" si="153"/>
        <v>0</v>
      </c>
      <c r="U168" s="89">
        <f t="shared" si="153"/>
        <v>0</v>
      </c>
      <c r="V168" s="89">
        <f t="shared" si="153"/>
        <v>0</v>
      </c>
      <c r="W168" s="89">
        <f t="shared" si="153"/>
        <v>0</v>
      </c>
      <c r="X168" s="89">
        <f t="shared" si="153"/>
        <v>0</v>
      </c>
      <c r="Y168" s="89">
        <f t="shared" si="153"/>
        <v>0</v>
      </c>
      <c r="Z168" s="89">
        <f t="shared" si="153"/>
        <v>0</v>
      </c>
      <c r="AA168" s="89">
        <f t="shared" si="153"/>
        <v>0</v>
      </c>
      <c r="AB168" s="89">
        <f t="shared" si="153"/>
        <v>0</v>
      </c>
      <c r="AC168" s="89">
        <f t="shared" si="153"/>
        <v>0</v>
      </c>
      <c r="AD168" s="89">
        <f t="shared" si="153"/>
        <v>0</v>
      </c>
      <c r="AE168" s="89">
        <f t="shared" si="153"/>
        <v>0</v>
      </c>
      <c r="AF168" s="89">
        <f t="shared" si="153"/>
        <v>0</v>
      </c>
      <c r="AG168" s="89">
        <f t="shared" si="119"/>
        <v>0</v>
      </c>
      <c r="AH168" s="89">
        <f t="shared" si="120"/>
        <v>0</v>
      </c>
      <c r="AI168" s="89">
        <f t="shared" si="121"/>
        <v>0</v>
      </c>
      <c r="AJ168" s="89">
        <f t="shared" si="122"/>
        <v>0</v>
      </c>
      <c r="AK168" s="89">
        <f t="shared" si="123"/>
        <v>0</v>
      </c>
      <c r="AL168" s="89">
        <f t="shared" si="124"/>
        <v>0</v>
      </c>
      <c r="AM168" s="89">
        <f t="shared" si="125"/>
        <v>0</v>
      </c>
      <c r="AN168" s="89">
        <f t="shared" si="126"/>
        <v>0</v>
      </c>
      <c r="AO168" s="89">
        <f t="shared" si="127"/>
        <v>0</v>
      </c>
      <c r="AP168" s="89">
        <f t="shared" si="128"/>
        <v>0</v>
      </c>
      <c r="AQ168" s="89">
        <f t="shared" si="129"/>
        <v>0</v>
      </c>
      <c r="AR168" s="89">
        <f t="shared" si="130"/>
        <v>0</v>
      </c>
      <c r="AS168" s="89">
        <f t="shared" si="131"/>
        <v>0</v>
      </c>
      <c r="AT168" s="89">
        <f t="shared" si="132"/>
        <v>0</v>
      </c>
      <c r="AU168" s="89">
        <f t="shared" si="133"/>
        <v>0</v>
      </c>
      <c r="AV168" s="89">
        <f t="shared" si="134"/>
        <v>0</v>
      </c>
      <c r="AW168" s="89">
        <f t="shared" si="135"/>
        <v>0</v>
      </c>
      <c r="AX168" s="89">
        <f t="shared" si="136"/>
        <v>0</v>
      </c>
      <c r="AY168" s="89">
        <f t="shared" si="137"/>
        <v>0</v>
      </c>
      <c r="AZ168" s="89">
        <f t="shared" si="138"/>
        <v>0</v>
      </c>
      <c r="BA168" s="89">
        <f t="shared" si="139"/>
        <v>0</v>
      </c>
      <c r="BB168" s="89">
        <f t="shared" si="139"/>
        <v>0</v>
      </c>
    </row>
    <row r="169" spans="1:54">
      <c r="B169" s="6" t="s">
        <v>2831</v>
      </c>
      <c r="D169" s="89">
        <f t="shared" ref="D169:AF169" si="154" xml:space="preserve">  IF(D$153&lt;$C$5,     INDEX($D$61:$D$78,MATCH($B169,$B$61:$B$78,0)), INDEX($G$61:$G$78,MATCH($B169,$B$61:$B$78,0))  )       *C$14</f>
        <v>87449.065330569952</v>
      </c>
      <c r="E169" s="89">
        <f t="shared" si="154"/>
        <v>90810.556943273245</v>
      </c>
      <c r="F169" s="89">
        <f t="shared" si="154"/>
        <v>93713.58347601835</v>
      </c>
      <c r="G169" s="89">
        <f t="shared" si="154"/>
        <v>96290.929248970162</v>
      </c>
      <c r="H169" s="89">
        <f t="shared" si="154"/>
        <v>89199.862408385932</v>
      </c>
      <c r="I169" s="89">
        <f t="shared" si="154"/>
        <v>81729.659498842186</v>
      </c>
      <c r="J169" s="89">
        <f t="shared" si="154"/>
        <v>77018.915827710807</v>
      </c>
      <c r="K169" s="89">
        <f t="shared" si="154"/>
        <v>74193.77762660294</v>
      </c>
      <c r="L169" s="89">
        <f t="shared" si="154"/>
        <v>72770.298431492978</v>
      </c>
      <c r="M169" s="89">
        <f t="shared" si="154"/>
        <v>72230.178765824487</v>
      </c>
      <c r="N169" s="89">
        <f t="shared" si="154"/>
        <v>72254.176396818191</v>
      </c>
      <c r="O169" s="89">
        <f t="shared" si="154"/>
        <v>72680.11127798559</v>
      </c>
      <c r="P169" s="89">
        <f t="shared" si="154"/>
        <v>73321.0830861586</v>
      </c>
      <c r="Q169" s="89">
        <f t="shared" si="154"/>
        <v>74091.894587295785</v>
      </c>
      <c r="R169" s="89">
        <f t="shared" si="154"/>
        <v>74953.587884159555</v>
      </c>
      <c r="S169" s="89">
        <f t="shared" si="154"/>
        <v>75870.506653718854</v>
      </c>
      <c r="T169" s="89">
        <f t="shared" si="154"/>
        <v>76811.834035629407</v>
      </c>
      <c r="U169" s="89">
        <f t="shared" si="154"/>
        <v>77774.053428492407</v>
      </c>
      <c r="V169" s="89">
        <f t="shared" si="154"/>
        <v>78787.324334980236</v>
      </c>
      <c r="W169" s="89">
        <f t="shared" si="154"/>
        <v>79796.37349326424</v>
      </c>
      <c r="X169" s="89">
        <f t="shared" si="154"/>
        <v>80788.290188348998</v>
      </c>
      <c r="Y169" s="89">
        <f t="shared" si="154"/>
        <v>81778.879294247439</v>
      </c>
      <c r="Z169" s="89">
        <f t="shared" si="154"/>
        <v>82759.678164151759</v>
      </c>
      <c r="AA169" s="89">
        <f t="shared" si="154"/>
        <v>83721.840114840132</v>
      </c>
      <c r="AB169" s="89">
        <f t="shared" si="154"/>
        <v>84659.060263293519</v>
      </c>
      <c r="AC169" s="89">
        <f t="shared" si="154"/>
        <v>85575.377280104702</v>
      </c>
      <c r="AD169" s="89">
        <f t="shared" si="154"/>
        <v>86461.595674761003</v>
      </c>
      <c r="AE169" s="89">
        <f t="shared" si="154"/>
        <v>87309.672803520763</v>
      </c>
      <c r="AF169" s="89">
        <f t="shared" si="154"/>
        <v>88114.054100680485</v>
      </c>
      <c r="AG169" s="89">
        <f t="shared" si="119"/>
        <v>88876.726538140036</v>
      </c>
      <c r="AH169" s="89">
        <f t="shared" si="120"/>
        <v>89613.760037053857</v>
      </c>
      <c r="AI169" s="89">
        <f t="shared" si="121"/>
        <v>90327.119505721246</v>
      </c>
      <c r="AJ169" s="89">
        <f t="shared" si="122"/>
        <v>91026.207595516171</v>
      </c>
      <c r="AK169" s="89">
        <f t="shared" si="123"/>
        <v>91701.414876498384</v>
      </c>
      <c r="AL169" s="89">
        <f t="shared" si="124"/>
        <v>92337.814705320023</v>
      </c>
      <c r="AM169" s="89">
        <f t="shared" si="125"/>
        <v>92927.297802432382</v>
      </c>
      <c r="AN169" s="89">
        <f t="shared" si="126"/>
        <v>93464.832136183933</v>
      </c>
      <c r="AO169" s="89">
        <f t="shared" si="127"/>
        <v>93946.645129098033</v>
      </c>
      <c r="AP169" s="89">
        <f t="shared" si="128"/>
        <v>94369.263610793147</v>
      </c>
      <c r="AQ169" s="89">
        <f t="shared" si="129"/>
        <v>94758.518376829277</v>
      </c>
      <c r="AR169" s="89">
        <f t="shared" si="130"/>
        <v>95138.480924400763</v>
      </c>
      <c r="AS169" s="89">
        <f t="shared" si="131"/>
        <v>95526.49605568788</v>
      </c>
      <c r="AT169" s="89">
        <f t="shared" si="132"/>
        <v>95821.162755677753</v>
      </c>
      <c r="AU169" s="89">
        <f t="shared" si="133"/>
        <v>96052.893356095447</v>
      </c>
      <c r="AV169" s="89">
        <f t="shared" si="134"/>
        <v>96242.375381736303</v>
      </c>
      <c r="AW169" s="89">
        <f t="shared" si="135"/>
        <v>96343.859533495357</v>
      </c>
      <c r="AX169" s="89">
        <f t="shared" si="136"/>
        <v>96392.059027085852</v>
      </c>
      <c r="AY169" s="89">
        <f t="shared" si="137"/>
        <v>96408.92176782692</v>
      </c>
      <c r="AZ169" s="89">
        <f t="shared" si="138"/>
        <v>96408.171064172944</v>
      </c>
      <c r="BA169" s="89">
        <f t="shared" si="139"/>
        <v>96398.252589895972</v>
      </c>
      <c r="BB169" s="89">
        <f t="shared" si="139"/>
        <v>96384.247148284936</v>
      </c>
    </row>
    <row r="170" spans="1:54">
      <c r="B170" s="6" t="s">
        <v>2832</v>
      </c>
      <c r="D170" s="89">
        <f t="shared" ref="D170:AF170" si="155" xml:space="preserve">  IF(D$153&lt;$C$5,     INDEX($D$61:$D$78,MATCH($B170,$B$61:$B$78,0)), INDEX($G$61:$G$78,MATCH($B170,$B$61:$B$78,0))  )       *C$14</f>
        <v>35311.657728497412</v>
      </c>
      <c r="E170" s="89">
        <f t="shared" si="155"/>
        <v>36669.017476555215</v>
      </c>
      <c r="F170" s="89">
        <f t="shared" si="155"/>
        <v>37841.250466279424</v>
      </c>
      <c r="G170" s="89">
        <f t="shared" si="155"/>
        <v>38881.974588812147</v>
      </c>
      <c r="H170" s="89">
        <f t="shared" si="155"/>
        <v>7965.2024356446173</v>
      </c>
      <c r="I170" s="89">
        <f t="shared" si="155"/>
        <v>7298.1422317012593</v>
      </c>
      <c r="J170" s="89">
        <f t="shared" si="155"/>
        <v>6877.4910563529702</v>
      </c>
      <c r="K170" s="89">
        <f t="shared" si="155"/>
        <v>6625.2171506212353</v>
      </c>
      <c r="L170" s="89">
        <f t="shared" si="155"/>
        <v>6498.1059685426244</v>
      </c>
      <c r="M170" s="89">
        <f t="shared" si="155"/>
        <v>6449.8753731093548</v>
      </c>
      <c r="N170" s="89">
        <f t="shared" si="155"/>
        <v>6452.0182686663629</v>
      </c>
      <c r="O170" s="89">
        <f t="shared" si="155"/>
        <v>6490.0526048334741</v>
      </c>
      <c r="P170" s="89">
        <f t="shared" si="155"/>
        <v>6547.2889062109889</v>
      </c>
      <c r="Q170" s="89">
        <f t="shared" si="155"/>
        <v>6616.1193895829401</v>
      </c>
      <c r="R170" s="89">
        <f t="shared" si="155"/>
        <v>6693.0652655253753</v>
      </c>
      <c r="S170" s="89">
        <f t="shared" si="155"/>
        <v>6774.9425624111536</v>
      </c>
      <c r="T170" s="89">
        <f t="shared" si="155"/>
        <v>6858.999453898331</v>
      </c>
      <c r="U170" s="89">
        <f t="shared" si="155"/>
        <v>6944.9219210941583</v>
      </c>
      <c r="V170" s="89">
        <f t="shared" si="155"/>
        <v>7035.4030908449986</v>
      </c>
      <c r="W170" s="89">
        <f t="shared" si="155"/>
        <v>7125.5072748229022</v>
      </c>
      <c r="X170" s="89">
        <f t="shared" si="155"/>
        <v>7214.0815961539511</v>
      </c>
      <c r="Y170" s="89">
        <f t="shared" si="155"/>
        <v>7302.5373689095313</v>
      </c>
      <c r="Z170" s="89">
        <f t="shared" si="155"/>
        <v>7390.1189114871677</v>
      </c>
      <c r="AA170" s="89">
        <f t="shared" si="155"/>
        <v>7476.0362493191496</v>
      </c>
      <c r="AB170" s="89">
        <f t="shared" si="155"/>
        <v>7559.7263807570016</v>
      </c>
      <c r="AC170" s="89">
        <f t="shared" si="155"/>
        <v>7641.549943451656</v>
      </c>
      <c r="AD170" s="89">
        <f t="shared" si="155"/>
        <v>7720.6858156945009</v>
      </c>
      <c r="AE170" s="89">
        <f t="shared" si="155"/>
        <v>7796.4158205311078</v>
      </c>
      <c r="AF170" s="89">
        <f t="shared" si="155"/>
        <v>7868.2439567449283</v>
      </c>
      <c r="AG170" s="89">
        <f t="shared" si="119"/>
        <v>7936.3476532353916</v>
      </c>
      <c r="AH170" s="89">
        <f t="shared" si="120"/>
        <v>8002.1618917576716</v>
      </c>
      <c r="AI170" s="89">
        <f t="shared" si="121"/>
        <v>8065.8621310170702</v>
      </c>
      <c r="AJ170" s="89">
        <f t="shared" si="122"/>
        <v>8128.2879913852266</v>
      </c>
      <c r="AK170" s="89">
        <f t="shared" si="123"/>
        <v>8188.5813879649386</v>
      </c>
      <c r="AL170" s="89">
        <f t="shared" si="124"/>
        <v>8245.4094292837253</v>
      </c>
      <c r="AM170" s="89">
        <f t="shared" si="125"/>
        <v>8298.0479880675248</v>
      </c>
      <c r="AN170" s="89">
        <f t="shared" si="126"/>
        <v>8346.0477233679921</v>
      </c>
      <c r="AO170" s="89">
        <f t="shared" si="127"/>
        <v>8389.0717586194605</v>
      </c>
      <c r="AP170" s="89">
        <f t="shared" si="128"/>
        <v>8426.8099531509124</v>
      </c>
      <c r="AQ170" s="89">
        <f t="shared" si="129"/>
        <v>8461.5688970192587</v>
      </c>
      <c r="AR170" s="89">
        <f t="shared" si="130"/>
        <v>8495.4980817473006</v>
      </c>
      <c r="AS170" s="89">
        <f t="shared" si="131"/>
        <v>8530.1463310309737</v>
      </c>
      <c r="AT170" s="89">
        <f t="shared" si="132"/>
        <v>8556.4589267356296</v>
      </c>
      <c r="AU170" s="89">
        <f t="shared" si="133"/>
        <v>8577.1515723633747</v>
      </c>
      <c r="AV170" s="89">
        <f t="shared" si="134"/>
        <v>8594.0715838005617</v>
      </c>
      <c r="AW170" s="89">
        <f t="shared" si="135"/>
        <v>8603.133725724836</v>
      </c>
      <c r="AX170" s="89">
        <f t="shared" si="136"/>
        <v>8607.4377539304642</v>
      </c>
      <c r="AY170" s="89">
        <f t="shared" si="137"/>
        <v>8608.9435314058537</v>
      </c>
      <c r="AZ170" s="89">
        <f t="shared" si="138"/>
        <v>8608.8764964753991</v>
      </c>
      <c r="BA170" s="89">
        <f t="shared" si="139"/>
        <v>8607.9908151151849</v>
      </c>
      <c r="BB170" s="89">
        <f t="shared" si="139"/>
        <v>8606.7401833919903</v>
      </c>
    </row>
    <row r="171" spans="1:54">
      <c r="B171" s="6" t="s">
        <v>2871</v>
      </c>
      <c r="D171" s="89">
        <f t="shared" ref="D171:AF171" si="156" xml:space="preserve">  IF(D$153&lt;$C$5,     INDEX($D$61:$D$78,MATCH($B171,$B$61:$B$78,0)), INDEX($G$61:$G$78,MATCH($B171,$B$61:$B$78,0))  )       *C$14</f>
        <v>1349.8162694300518</v>
      </c>
      <c r="E171" s="89">
        <f t="shared" si="156"/>
        <v>1401.7024279753439</v>
      </c>
      <c r="F171" s="89">
        <f t="shared" si="156"/>
        <v>1446.5119685881996</v>
      </c>
      <c r="G171" s="89">
        <f t="shared" si="156"/>
        <v>1486.2944779052086</v>
      </c>
      <c r="H171" s="89">
        <f t="shared" si="156"/>
        <v>2464.3115132623429</v>
      </c>
      <c r="I171" s="89">
        <f t="shared" si="156"/>
        <v>2257.9333133486193</v>
      </c>
      <c r="J171" s="89">
        <f t="shared" si="156"/>
        <v>2127.7902890057317</v>
      </c>
      <c r="K171" s="89">
        <f t="shared" si="156"/>
        <v>2049.7406103675189</v>
      </c>
      <c r="L171" s="89">
        <f t="shared" si="156"/>
        <v>2010.4143594666079</v>
      </c>
      <c r="M171" s="89">
        <f t="shared" si="156"/>
        <v>1995.4925526979787</v>
      </c>
      <c r="N171" s="89">
        <f t="shared" si="156"/>
        <v>1996.1555317290226</v>
      </c>
      <c r="O171" s="89">
        <f t="shared" si="156"/>
        <v>2007.9227722069875</v>
      </c>
      <c r="P171" s="89">
        <f t="shared" si="156"/>
        <v>2025.6308063217225</v>
      </c>
      <c r="Q171" s="89">
        <f t="shared" si="156"/>
        <v>2046.9259025866781</v>
      </c>
      <c r="R171" s="89">
        <f t="shared" si="156"/>
        <v>2070.7317768899411</v>
      </c>
      <c r="S171" s="89">
        <f t="shared" si="156"/>
        <v>2096.0633572258639</v>
      </c>
      <c r="T171" s="89">
        <f t="shared" si="156"/>
        <v>2122.0692707145063</v>
      </c>
      <c r="U171" s="89">
        <f t="shared" si="156"/>
        <v>2148.6523647249032</v>
      </c>
      <c r="V171" s="89">
        <f t="shared" si="156"/>
        <v>2176.6458514130281</v>
      </c>
      <c r="W171" s="89">
        <f t="shared" si="156"/>
        <v>2204.5227044828507</v>
      </c>
      <c r="X171" s="89">
        <f t="shared" si="156"/>
        <v>2231.9262415051758</v>
      </c>
      <c r="Y171" s="89">
        <f t="shared" si="156"/>
        <v>2259.2931014158057</v>
      </c>
      <c r="Z171" s="89">
        <f t="shared" si="156"/>
        <v>2286.3894879128402</v>
      </c>
      <c r="AA171" s="89">
        <f t="shared" si="156"/>
        <v>2312.9709949767052</v>
      </c>
      <c r="AB171" s="89">
        <f t="shared" si="156"/>
        <v>2338.8634385291516</v>
      </c>
      <c r="AC171" s="89">
        <f t="shared" si="156"/>
        <v>2364.1783943301789</v>
      </c>
      <c r="AD171" s="89">
        <f t="shared" si="156"/>
        <v>2388.6618199123586</v>
      </c>
      <c r="AE171" s="89">
        <f t="shared" si="156"/>
        <v>2412.0915223368847</v>
      </c>
      <c r="AF171" s="89">
        <f t="shared" si="156"/>
        <v>2434.3140464319135</v>
      </c>
      <c r="AG171" s="89">
        <f t="shared" si="119"/>
        <v>2455.3842859786364</v>
      </c>
      <c r="AH171" s="89">
        <f t="shared" si="120"/>
        <v>2475.7462023313528</v>
      </c>
      <c r="AI171" s="89">
        <f t="shared" si="121"/>
        <v>2495.4540797233976</v>
      </c>
      <c r="AJ171" s="89">
        <f t="shared" si="122"/>
        <v>2514.7676838249245</v>
      </c>
      <c r="AK171" s="89">
        <f t="shared" si="123"/>
        <v>2533.4215363246631</v>
      </c>
      <c r="AL171" s="89">
        <f t="shared" si="124"/>
        <v>2551.0032610365602</v>
      </c>
      <c r="AM171" s="89">
        <f t="shared" si="125"/>
        <v>2567.2888240841435</v>
      </c>
      <c r="AN171" s="89">
        <f t="shared" si="126"/>
        <v>2582.1392062671684</v>
      </c>
      <c r="AO171" s="89">
        <f t="shared" si="127"/>
        <v>2595.4501831411189</v>
      </c>
      <c r="AP171" s="89">
        <f t="shared" si="128"/>
        <v>2607.125801937374</v>
      </c>
      <c r="AQ171" s="89">
        <f t="shared" si="129"/>
        <v>2617.8796862555287</v>
      </c>
      <c r="AR171" s="89">
        <f t="shared" si="130"/>
        <v>2628.376855817316</v>
      </c>
      <c r="AS171" s="89">
        <f t="shared" si="131"/>
        <v>2639.0964929281117</v>
      </c>
      <c r="AT171" s="89">
        <f t="shared" si="132"/>
        <v>2647.2372066215426</v>
      </c>
      <c r="AU171" s="89">
        <f t="shared" si="133"/>
        <v>2653.6391939247292</v>
      </c>
      <c r="AV171" s="89">
        <f t="shared" si="134"/>
        <v>2658.8739860503633</v>
      </c>
      <c r="AW171" s="89">
        <f t="shared" si="135"/>
        <v>2661.6776738234284</v>
      </c>
      <c r="AX171" s="89">
        <f t="shared" si="136"/>
        <v>2663.0092741620551</v>
      </c>
      <c r="AY171" s="89">
        <f t="shared" si="137"/>
        <v>2663.4751386267685</v>
      </c>
      <c r="AZ171" s="89">
        <f t="shared" si="138"/>
        <v>2663.454399047047</v>
      </c>
      <c r="BA171" s="89">
        <f t="shared" si="139"/>
        <v>2663.1803828132238</v>
      </c>
      <c r="BB171" s="89">
        <f t="shared" si="139"/>
        <v>2662.793456532414</v>
      </c>
    </row>
    <row r="172" spans="1:54">
      <c r="B172" s="142"/>
      <c r="C172" s="52"/>
      <c r="D172" s="116"/>
      <c r="E172" s="116"/>
      <c r="F172" s="116"/>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row>
    <row r="174" spans="1:54" s="588" customFormat="1">
      <c r="A174" s="593" t="s">
        <v>10</v>
      </c>
      <c r="B174" s="593" t="s">
        <v>2891</v>
      </c>
      <c r="C174" s="593"/>
      <c r="D174" s="645"/>
    </row>
    <row r="175" spans="1:54">
      <c r="D175" s="23"/>
    </row>
    <row r="177" spans="2:54">
      <c r="B177" s="9" t="s">
        <v>97</v>
      </c>
      <c r="C177" s="9"/>
    </row>
    <row r="179" spans="2:54">
      <c r="B179" s="7" t="s">
        <v>9</v>
      </c>
      <c r="D179" s="34">
        <f>'Prevalence projection'!C$21</f>
        <v>2020</v>
      </c>
      <c r="E179" s="34">
        <f>'Prevalence projection'!D$21</f>
        <v>2021</v>
      </c>
      <c r="F179" s="34">
        <f>'Prevalence projection'!E$21</f>
        <v>2022</v>
      </c>
      <c r="G179" s="34">
        <f>'Prevalence projection'!F$21</f>
        <v>2023</v>
      </c>
      <c r="H179" s="34">
        <f>'Prevalence projection'!G$21</f>
        <v>2024</v>
      </c>
      <c r="I179" s="34">
        <f>'Prevalence projection'!H$21</f>
        <v>2025</v>
      </c>
      <c r="J179" s="34">
        <f>'Prevalence projection'!I$21</f>
        <v>2026</v>
      </c>
      <c r="K179" s="34">
        <f>'Prevalence projection'!J$21</f>
        <v>2027</v>
      </c>
      <c r="L179" s="34">
        <f>'Prevalence projection'!K$21</f>
        <v>2028</v>
      </c>
      <c r="M179" s="34">
        <f>'Prevalence projection'!L$21</f>
        <v>2029</v>
      </c>
      <c r="N179" s="34">
        <f>'Prevalence projection'!M$21</f>
        <v>2030</v>
      </c>
      <c r="O179" s="34">
        <f>'Prevalence projection'!N$21</f>
        <v>2031</v>
      </c>
      <c r="P179" s="34">
        <f>'Prevalence projection'!O$21</f>
        <v>2032</v>
      </c>
      <c r="Q179" s="34">
        <f>'Prevalence projection'!P$21</f>
        <v>2033</v>
      </c>
      <c r="R179" s="34">
        <f>'Prevalence projection'!Q$21</f>
        <v>2034</v>
      </c>
      <c r="S179" s="34">
        <f>'Prevalence projection'!R$21</f>
        <v>2035</v>
      </c>
      <c r="T179" s="34">
        <f>'Prevalence projection'!S$21</f>
        <v>2036</v>
      </c>
      <c r="U179" s="34">
        <f>'Prevalence projection'!T$21</f>
        <v>2037</v>
      </c>
      <c r="V179" s="34">
        <f>'Prevalence projection'!U$21</f>
        <v>2038</v>
      </c>
      <c r="W179" s="34">
        <f>'Prevalence projection'!V$21</f>
        <v>2039</v>
      </c>
      <c r="X179" s="34">
        <f>'Prevalence projection'!W$21</f>
        <v>2040</v>
      </c>
      <c r="Y179" s="34">
        <f>'Prevalence projection'!X$21</f>
        <v>2041</v>
      </c>
      <c r="Z179" s="34">
        <f>'Prevalence projection'!Y$21</f>
        <v>2042</v>
      </c>
      <c r="AA179" s="34">
        <f>'Prevalence projection'!Z$21</f>
        <v>2043</v>
      </c>
      <c r="AB179" s="34">
        <f>'Prevalence projection'!AA$21</f>
        <v>2044</v>
      </c>
      <c r="AC179" s="34">
        <f>'Prevalence projection'!AB$21</f>
        <v>2045</v>
      </c>
      <c r="AD179" s="34">
        <f>'Prevalence projection'!AC$21</f>
        <v>2046</v>
      </c>
      <c r="AE179" s="34">
        <f>'Prevalence projection'!AD$21</f>
        <v>2047</v>
      </c>
      <c r="AF179" s="34">
        <f>'Prevalence projection'!AE$21</f>
        <v>2048</v>
      </c>
      <c r="AG179" s="34">
        <f>'Prevalence projection'!AF$21</f>
        <v>2049</v>
      </c>
      <c r="AH179" s="34">
        <f>'Prevalence projection'!AG$21</f>
        <v>2050</v>
      </c>
      <c r="AI179" s="34">
        <f>'Prevalence projection'!AH$21</f>
        <v>2051</v>
      </c>
      <c r="AJ179" s="34">
        <f>'Prevalence projection'!AI$21</f>
        <v>2052</v>
      </c>
      <c r="AK179" s="34">
        <f>'Prevalence projection'!AJ$21</f>
        <v>2053</v>
      </c>
      <c r="AL179" s="34">
        <f>'Prevalence projection'!AK$21</f>
        <v>2054</v>
      </c>
      <c r="AM179" s="34">
        <f>'Prevalence projection'!AL$21</f>
        <v>2055</v>
      </c>
      <c r="AN179" s="34">
        <f>'Prevalence projection'!AM$21</f>
        <v>2056</v>
      </c>
      <c r="AO179" s="34">
        <f>'Prevalence projection'!AN$21</f>
        <v>2057</v>
      </c>
      <c r="AP179" s="34">
        <f>'Prevalence projection'!AO$21</f>
        <v>2058</v>
      </c>
      <c r="AQ179" s="34">
        <f>'Prevalence projection'!AP$21</f>
        <v>2059</v>
      </c>
      <c r="AR179" s="34">
        <f>'Prevalence projection'!AQ$21</f>
        <v>2060</v>
      </c>
      <c r="AS179" s="34">
        <f>'Prevalence projection'!AR$21</f>
        <v>2061</v>
      </c>
      <c r="AT179" s="34">
        <f>'Prevalence projection'!AS$21</f>
        <v>2062</v>
      </c>
      <c r="AU179" s="34">
        <f>'Prevalence projection'!AT$21</f>
        <v>2063</v>
      </c>
      <c r="AV179" s="34">
        <f>'Prevalence projection'!AU$21</f>
        <v>2064</v>
      </c>
      <c r="AW179" s="34">
        <f>'Prevalence projection'!AV$21</f>
        <v>2065</v>
      </c>
      <c r="AX179" s="34">
        <f>'Prevalence projection'!AW$21</f>
        <v>2066</v>
      </c>
      <c r="AY179" s="34">
        <f>'Prevalence projection'!AX$21</f>
        <v>2067</v>
      </c>
      <c r="AZ179" s="34">
        <f>'Prevalence projection'!AY$21</f>
        <v>2068</v>
      </c>
      <c r="BA179" s="34">
        <f>'Prevalence projection'!AZ$21</f>
        <v>2069</v>
      </c>
      <c r="BB179" s="34">
        <f>'Prevalence projection'!BA$21</f>
        <v>2070</v>
      </c>
    </row>
    <row r="180" spans="2:54">
      <c r="B180" s="6" t="s">
        <v>11</v>
      </c>
      <c r="D180" s="90">
        <f>INDEX(D$132:D$149,MATCH($B180,$B$132:$B$149,0))*INDEX('Resource costs'!$C$121:$C$142, MATCH($B180, 'Resource costs'!$B$121:$B$142,0))</f>
        <v>13420.177324222803</v>
      </c>
      <c r="E180" s="90">
        <f>INDEX(E$132:E$149,MATCH($B180,$B$132:$B$149,0))*INDEX('Resource costs'!$C$121:$C$142, MATCH($B180, 'Resource costs'!$B$121:$B$142,0))</f>
        <v>13936.041197047936</v>
      </c>
      <c r="F180" s="90">
        <f>INDEX(F$132:F$149,MATCH($B180,$B$132:$B$149,0))*INDEX('Resource costs'!$C$121:$C$142, MATCH($B180, 'Resource costs'!$B$121:$B$142,0))</f>
        <v>14381.547740761034</v>
      </c>
      <c r="G180" s="90">
        <f>INDEX(G$132:G$149,MATCH($B180,$B$132:$B$149,0))*INDEX('Resource costs'!$C$121:$C$142, MATCH($B180, 'Resource costs'!$B$121:$B$142,0))</f>
        <v>14777.074407262273</v>
      </c>
      <c r="H180" s="90">
        <f>INDEX(H$132:H$149,MATCH($B180,$B$132:$B$149,0))*INDEX('Resource costs'!$C$121:$C$142, MATCH($B180, 'Resource costs'!$B$121:$B$142,0))</f>
        <v>22455.30252461342</v>
      </c>
      <c r="I180" s="90">
        <f>INDEX(I$132:I$149,MATCH($B180,$B$132:$B$149,0))*INDEX('Resource costs'!$C$121:$C$142, MATCH($B180, 'Resource costs'!$B$121:$B$142,0))</f>
        <v>20574.742827267044</v>
      </c>
      <c r="J180" s="90">
        <f>INDEX(J$132:J$149,MATCH($B180,$B$132:$B$149,0))*INDEX('Resource costs'!$C$121:$C$142, MATCH($B180, 'Resource costs'!$B$121:$B$142,0))</f>
        <v>19388.853394311845</v>
      </c>
      <c r="K180" s="90">
        <f>INDEX(K$132:K$149,MATCH($B180,$B$132:$B$149,0))*INDEX('Resource costs'!$C$121:$C$142, MATCH($B180, 'Resource costs'!$B$121:$B$142,0))</f>
        <v>18677.649012748188</v>
      </c>
      <c r="L180" s="90">
        <f>INDEX(L$132:L$149,MATCH($B180,$B$132:$B$149,0))*INDEX('Resource costs'!$C$121:$C$142, MATCH($B180, 'Resource costs'!$B$121:$B$142,0))</f>
        <v>18319.30029896495</v>
      </c>
      <c r="M180" s="90">
        <f>INDEX(M$132:M$149,MATCH($B180,$B$132:$B$149,0))*INDEX('Resource costs'!$C$121:$C$142, MATCH($B180, 'Resource costs'!$B$121:$B$142,0))</f>
        <v>18183.329792233104</v>
      </c>
      <c r="N180" s="90">
        <f>INDEX(N$132:N$149,MATCH($B180,$B$132:$B$149,0))*INDEX('Resource costs'!$C$121:$C$142, MATCH($B180, 'Resource costs'!$B$121:$B$142,0))</f>
        <v>18189.37099060816</v>
      </c>
      <c r="O180" s="90">
        <f>INDEX(O$132:O$149,MATCH($B180,$B$132:$B$149,0))*INDEX('Resource costs'!$C$121:$C$142, MATCH($B180, 'Resource costs'!$B$121:$B$142,0))</f>
        <v>18296.596454349463</v>
      </c>
      <c r="P180" s="90">
        <f>INDEX(P$132:P$149,MATCH($B180,$B$132:$B$149,0))*INDEX('Resource costs'!$C$121:$C$142, MATCH($B180, 'Resource costs'!$B$121:$B$142,0))</f>
        <v>18457.955625469891</v>
      </c>
      <c r="Q180" s="90">
        <f>INDEX(Q$132:Q$149,MATCH($B180,$B$132:$B$149,0))*INDEX('Resource costs'!$C$121:$C$142, MATCH($B180, 'Resource costs'!$B$121:$B$142,0))</f>
        <v>18652.000828905766</v>
      </c>
      <c r="R180" s="90">
        <f>INDEX(R$132:R$149,MATCH($B180,$B$132:$B$149,0))*INDEX('Resource costs'!$C$121:$C$142, MATCH($B180, 'Resource costs'!$B$121:$B$142,0))</f>
        <v>18868.924747195222</v>
      </c>
      <c r="S180" s="90">
        <f>INDEX(S$132:S$149,MATCH($B180,$B$132:$B$149,0))*INDEX('Resource costs'!$C$121:$C$142, MATCH($B180, 'Resource costs'!$B$121:$B$142,0))</f>
        <v>19099.751205947858</v>
      </c>
      <c r="T180" s="90">
        <f>INDEX(T$132:T$149,MATCH($B180,$B$132:$B$149,0))*INDEX('Resource costs'!$C$121:$C$142, MATCH($B180, 'Resource costs'!$B$121:$B$142,0))</f>
        <v>19336.722324117614</v>
      </c>
      <c r="U180" s="90">
        <f>INDEX(U$132:U$149,MATCH($B180,$B$132:$B$149,0))*INDEX('Resource costs'!$C$121:$C$142, MATCH($B180, 'Resource costs'!$B$121:$B$142,0))</f>
        <v>19578.952827376295</v>
      </c>
      <c r="V180" s="90">
        <f>INDEX(V$132:V$149,MATCH($B180,$B$132:$B$149,0))*INDEX('Resource costs'!$C$121:$C$142, MATCH($B180, 'Resource costs'!$B$121:$B$142,0))</f>
        <v>19834.035112597787</v>
      </c>
      <c r="W180" s="90">
        <f>INDEX(W$132:W$149,MATCH($B180,$B$132:$B$149,0))*INDEX('Resource costs'!$C$121:$C$142, MATCH($B180, 'Resource costs'!$B$121:$B$142,0))</f>
        <v>20088.054608813327</v>
      </c>
      <c r="X180" s="90">
        <f>INDEX(X$132:X$149,MATCH($B180,$B$132:$B$149,0))*INDEX('Resource costs'!$C$121:$C$142, MATCH($B180, 'Resource costs'!$B$121:$B$142,0))</f>
        <v>20337.761153935189</v>
      </c>
      <c r="Y180" s="90">
        <f>INDEX(Y$132:Y$149,MATCH($B180,$B$132:$B$149,0))*INDEX('Resource costs'!$C$121:$C$142, MATCH($B180, 'Resource costs'!$B$121:$B$142,0))</f>
        <v>20587.133489832922</v>
      </c>
      <c r="Z180" s="90">
        <f>INDEX(Z$132:Z$149,MATCH($B180,$B$132:$B$149,0))*INDEX('Resource costs'!$C$121:$C$142, MATCH($B180, 'Resource costs'!$B$121:$B$142,0))</f>
        <v>20834.041217545175</v>
      </c>
      <c r="AA180" s="90">
        <f>INDEX(AA$132:AA$149,MATCH($B180,$B$132:$B$149,0))*INDEX('Resource costs'!$C$121:$C$142, MATCH($B180, 'Resource costs'!$B$121:$B$142,0))</f>
        <v>21076.257260227641</v>
      </c>
      <c r="AB180" s="90">
        <f>INDEX(AB$132:AB$149,MATCH($B180,$B$132:$B$149,0))*INDEX('Resource costs'!$C$121:$C$142, MATCH($B180, 'Resource costs'!$B$121:$B$142,0))</f>
        <v>21312.194417499595</v>
      </c>
      <c r="AC180" s="90">
        <f>INDEX(AC$132:AC$149,MATCH($B180,$B$132:$B$149,0))*INDEX('Resource costs'!$C$121:$C$142, MATCH($B180, 'Resource costs'!$B$121:$B$142,0))</f>
        <v>21542.869390144082</v>
      </c>
      <c r="AD180" s="90">
        <f>INDEX(AD$132:AD$149,MATCH($B180,$B$132:$B$149,0))*INDEX('Resource costs'!$C$121:$C$142, MATCH($B180, 'Resource costs'!$B$121:$B$142,0))</f>
        <v>21765.967292064317</v>
      </c>
      <c r="AE180" s="90">
        <f>INDEX(AE$132:AE$149,MATCH($B180,$B$132:$B$149,0))*INDEX('Resource costs'!$C$121:$C$142, MATCH($B180, 'Resource costs'!$B$121:$B$142,0))</f>
        <v>21979.463456478978</v>
      </c>
      <c r="AF180" s="90">
        <f>INDEX(AF$132:AF$149,MATCH($B180,$B$132:$B$149,0))*INDEX('Resource costs'!$C$121:$C$142, MATCH($B180, 'Resource costs'!$B$121:$B$142,0))</f>
        <v>22181.959568974824</v>
      </c>
      <c r="AG180" s="90">
        <f>INDEX(AG$132:AG$149,MATCH($B180,$B$132:$B$149,0))*INDEX('Resource costs'!$C$121:$C$142, MATCH($B180, 'Resource costs'!$B$121:$B$142,0))</f>
        <v>22373.955832735071</v>
      </c>
      <c r="AH180" s="90">
        <f>INDEX(AH$132:AH$149,MATCH($B180,$B$132:$B$149,0))*INDEX('Resource costs'!$C$121:$C$142, MATCH($B180, 'Resource costs'!$B$121:$B$142,0))</f>
        <v>22559.49771298049</v>
      </c>
      <c r="AI180" s="90">
        <f>INDEX(AI$132:AI$149,MATCH($B180,$B$132:$B$149,0))*INDEX('Resource costs'!$C$121:$C$142, MATCH($B180, 'Resource costs'!$B$121:$B$142,0))</f>
        <v>22739.079858571527</v>
      </c>
      <c r="AJ180" s="90">
        <f>INDEX(AJ$132:AJ$149,MATCH($B180,$B$132:$B$149,0))*INDEX('Resource costs'!$C$121:$C$142, MATCH($B180, 'Resource costs'!$B$121:$B$142,0))</f>
        <v>22915.069306580179</v>
      </c>
      <c r="AK180" s="90">
        <f>INDEX(AK$132:AK$149,MATCH($B180,$B$132:$B$149,0))*INDEX('Resource costs'!$C$121:$C$142, MATCH($B180, 'Resource costs'!$B$121:$B$142,0))</f>
        <v>23085.046965198766</v>
      </c>
      <c r="AL180" s="90">
        <f>INDEX(AL$132:AL$149,MATCH($B180,$B$132:$B$149,0))*INDEX('Resource costs'!$C$121:$C$142, MATCH($B180, 'Resource costs'!$B$121:$B$142,0))</f>
        <v>23245.255179617019</v>
      </c>
      <c r="AM180" s="90">
        <f>INDEX(AM$132:AM$149,MATCH($B180,$B$132:$B$149,0))*INDEX('Resource costs'!$C$121:$C$142, MATCH($B180, 'Resource costs'!$B$121:$B$142,0))</f>
        <v>23393.652508059084</v>
      </c>
      <c r="AN180" s="90">
        <f>INDEX(AN$132:AN$149,MATCH($B180,$B$132:$B$149,0))*INDEX('Resource costs'!$C$121:$C$142, MATCH($B180, 'Resource costs'!$B$121:$B$142,0))</f>
        <v>23528.972179590586</v>
      </c>
      <c r="AO180" s="90">
        <f>INDEX(AO$132:AO$149,MATCH($B180,$B$132:$B$149,0))*INDEX('Resource costs'!$C$121:$C$142, MATCH($B180, 'Resource costs'!$B$121:$B$142,0))</f>
        <v>23650.264480094836</v>
      </c>
      <c r="AP180" s="90">
        <f>INDEX(AP$132:AP$149,MATCH($B180,$B$132:$B$149,0))*INDEX('Resource costs'!$C$121:$C$142, MATCH($B180, 'Resource costs'!$B$121:$B$142,0))</f>
        <v>23756.655068630807</v>
      </c>
      <c r="AQ180" s="90">
        <f>INDEX(AQ$132:AQ$149,MATCH($B180,$B$132:$B$149,0))*INDEX('Resource costs'!$C$121:$C$142, MATCH($B180, 'Resource costs'!$B$121:$B$142,0))</f>
        <v>23854.646627075941</v>
      </c>
      <c r="AR180" s="90">
        <f>INDEX(AR$132:AR$149,MATCH($B180,$B$132:$B$149,0))*INDEX('Resource costs'!$C$121:$C$142, MATCH($B180, 'Resource costs'!$B$121:$B$142,0))</f>
        <v>23950.298948989595</v>
      </c>
      <c r="AS180" s="90">
        <f>INDEX(AS$132:AS$149,MATCH($B180,$B$132:$B$149,0))*INDEX('Resource costs'!$C$121:$C$142, MATCH($B180, 'Resource costs'!$B$121:$B$142,0))</f>
        <v>24047.978439988012</v>
      </c>
      <c r="AT180" s="90">
        <f>INDEX(AT$132:AT$149,MATCH($B180,$B$132:$B$149,0))*INDEX('Resource costs'!$C$121:$C$142, MATCH($B180, 'Resource costs'!$B$121:$B$142,0))</f>
        <v>24122.158261722576</v>
      </c>
      <c r="AU180" s="90">
        <f>INDEX(AU$132:AU$149,MATCH($B180,$B$132:$B$149,0))*INDEX('Resource costs'!$C$121:$C$142, MATCH($B180, 'Resource costs'!$B$121:$B$142,0))</f>
        <v>24180.494458619007</v>
      </c>
      <c r="AV180" s="90">
        <f>INDEX(AV$132:AV$149,MATCH($B180,$B$132:$B$149,0))*INDEX('Resource costs'!$C$121:$C$142, MATCH($B180, 'Resource costs'!$B$121:$B$142,0))</f>
        <v>24228.194938124921</v>
      </c>
      <c r="AW180" s="90">
        <f>INDEX(AW$132:AW$149,MATCH($B180,$B$132:$B$149,0))*INDEX('Resource costs'!$C$121:$C$142, MATCH($B180, 'Resource costs'!$B$121:$B$142,0))</f>
        <v>24253.742705438395</v>
      </c>
      <c r="AX180" s="90">
        <f>INDEX(AX$132:AX$149,MATCH($B180,$B$132:$B$149,0))*INDEX('Resource costs'!$C$121:$C$142, MATCH($B180, 'Resource costs'!$B$121:$B$142,0))</f>
        <v>24265.876515748019</v>
      </c>
      <c r="AY180" s="90">
        <f>INDEX(AY$132:AY$149,MATCH($B180,$B$132:$B$149,0))*INDEX('Resource costs'!$C$121:$C$142, MATCH($B180, 'Resource costs'!$B$121:$B$142,0))</f>
        <v>24270.121566519523</v>
      </c>
      <c r="AZ180" s="90">
        <f>INDEX(AZ$132:AZ$149,MATCH($B180,$B$132:$B$149,0))*INDEX('Resource costs'!$C$121:$C$142, MATCH($B180, 'Resource costs'!$B$121:$B$142,0))</f>
        <v>24269.932583294649</v>
      </c>
      <c r="BA180" s="90">
        <f>INDEX(BA$132:BA$149,MATCH($B180,$B$132:$B$149,0))*INDEX('Resource costs'!$C$121:$C$142, MATCH($B180, 'Resource costs'!$B$121:$B$142,0))</f>
        <v>24267.435692218154</v>
      </c>
      <c r="BB180" s="90">
        <f>INDEX(BB$132:BB$149,MATCH($B180,$B$132:$B$149,0))*INDEX('Resource costs'!$C$121:$C$142, MATCH($B180, 'Resource costs'!$B$121:$B$142,0))</f>
        <v>24263.909942067028</v>
      </c>
    </row>
    <row r="181" spans="2:54" s="97" customFormat="1">
      <c r="B181" s="6" t="s">
        <v>14</v>
      </c>
      <c r="C181" s="315"/>
      <c r="D181" s="90">
        <f>INDEX(D$132:D$149,MATCH($B181,$B$132:$B$149,0))*INDEX('Resource costs'!$C$121:$C$142, MATCH($B181, 'Resource costs'!$B$121:$B$142,0))</f>
        <v>0</v>
      </c>
      <c r="E181" s="90">
        <f>INDEX(E$132:E$149,MATCH($B181,$B$132:$B$149,0))*INDEX('Resource costs'!$C$121:$C$142, MATCH($B181, 'Resource costs'!$B$121:$B$142,0))</f>
        <v>0</v>
      </c>
      <c r="F181" s="90">
        <f>INDEX(F$132:F$149,MATCH($B181,$B$132:$B$149,0))*INDEX('Resource costs'!$C$121:$C$142, MATCH($B181, 'Resource costs'!$B$121:$B$142,0))</f>
        <v>0</v>
      </c>
      <c r="G181" s="90">
        <f>INDEX(G$132:G$149,MATCH($B181,$B$132:$B$149,0))*INDEX('Resource costs'!$C$121:$C$142, MATCH($B181, 'Resource costs'!$B$121:$B$142,0))</f>
        <v>0</v>
      </c>
      <c r="H181" s="90">
        <f>INDEX(H$132:H$149,MATCH($B181,$B$132:$B$149,0))*INDEX('Resource costs'!$C$121:$C$142, MATCH($B181, 'Resource costs'!$B$121:$B$142,0))</f>
        <v>0</v>
      </c>
      <c r="I181" s="90">
        <f>INDEX(I$132:I$149,MATCH($B181,$B$132:$B$149,0))*INDEX('Resource costs'!$C$121:$C$142, MATCH($B181, 'Resource costs'!$B$121:$B$142,0))</f>
        <v>0</v>
      </c>
      <c r="J181" s="90">
        <f>INDEX(J$132:J$149,MATCH($B181,$B$132:$B$149,0))*INDEX('Resource costs'!$C$121:$C$142, MATCH($B181, 'Resource costs'!$B$121:$B$142,0))</f>
        <v>0</v>
      </c>
      <c r="K181" s="90">
        <f>INDEX(K$132:K$149,MATCH($B181,$B$132:$B$149,0))*INDEX('Resource costs'!$C$121:$C$142, MATCH($B181, 'Resource costs'!$B$121:$B$142,0))</f>
        <v>0</v>
      </c>
      <c r="L181" s="90">
        <f>INDEX(L$132:L$149,MATCH($B181,$B$132:$B$149,0))*INDEX('Resource costs'!$C$121:$C$142, MATCH($B181, 'Resource costs'!$B$121:$B$142,0))</f>
        <v>0</v>
      </c>
      <c r="M181" s="90">
        <f>INDEX(M$132:M$149,MATCH($B181,$B$132:$B$149,0))*INDEX('Resource costs'!$C$121:$C$142, MATCH($B181, 'Resource costs'!$B$121:$B$142,0))</f>
        <v>0</v>
      </c>
      <c r="N181" s="90">
        <f>INDEX(N$132:N$149,MATCH($B181,$B$132:$B$149,0))*INDEX('Resource costs'!$C$121:$C$142, MATCH($B181, 'Resource costs'!$B$121:$B$142,0))</f>
        <v>0</v>
      </c>
      <c r="O181" s="90">
        <f>INDEX(O$132:O$149,MATCH($B181,$B$132:$B$149,0))*INDEX('Resource costs'!$C$121:$C$142, MATCH($B181, 'Resource costs'!$B$121:$B$142,0))</f>
        <v>0</v>
      </c>
      <c r="P181" s="90">
        <f>INDEX(P$132:P$149,MATCH($B181,$B$132:$B$149,0))*INDEX('Resource costs'!$C$121:$C$142, MATCH($B181, 'Resource costs'!$B$121:$B$142,0))</f>
        <v>0</v>
      </c>
      <c r="Q181" s="90">
        <f>INDEX(Q$132:Q$149,MATCH($B181,$B$132:$B$149,0))*INDEX('Resource costs'!$C$121:$C$142, MATCH($B181, 'Resource costs'!$B$121:$B$142,0))</f>
        <v>0</v>
      </c>
      <c r="R181" s="90">
        <f>INDEX(R$132:R$149,MATCH($B181,$B$132:$B$149,0))*INDEX('Resource costs'!$C$121:$C$142, MATCH($B181, 'Resource costs'!$B$121:$B$142,0))</f>
        <v>0</v>
      </c>
      <c r="S181" s="90">
        <f>INDEX(S$132:S$149,MATCH($B181,$B$132:$B$149,0))*INDEX('Resource costs'!$C$121:$C$142, MATCH($B181, 'Resource costs'!$B$121:$B$142,0))</f>
        <v>0</v>
      </c>
      <c r="T181" s="90">
        <f>INDEX(T$132:T$149,MATCH($B181,$B$132:$B$149,0))*INDEX('Resource costs'!$C$121:$C$142, MATCH($B181, 'Resource costs'!$B$121:$B$142,0))</f>
        <v>0</v>
      </c>
      <c r="U181" s="90">
        <f>INDEX(U$132:U$149,MATCH($B181,$B$132:$B$149,0))*INDEX('Resource costs'!$C$121:$C$142, MATCH($B181, 'Resource costs'!$B$121:$B$142,0))</f>
        <v>0</v>
      </c>
      <c r="V181" s="90">
        <f>INDEX(V$132:V$149,MATCH($B181,$B$132:$B$149,0))*INDEX('Resource costs'!$C$121:$C$142, MATCH($B181, 'Resource costs'!$B$121:$B$142,0))</f>
        <v>0</v>
      </c>
      <c r="W181" s="90">
        <f>INDEX(W$132:W$149,MATCH($B181,$B$132:$B$149,0))*INDEX('Resource costs'!$C$121:$C$142, MATCH($B181, 'Resource costs'!$B$121:$B$142,0))</f>
        <v>0</v>
      </c>
      <c r="X181" s="90">
        <f>INDEX(X$132:X$149,MATCH($B181,$B$132:$B$149,0))*INDEX('Resource costs'!$C$121:$C$142, MATCH($B181, 'Resource costs'!$B$121:$B$142,0))</f>
        <v>0</v>
      </c>
      <c r="Y181" s="90">
        <f>INDEX(Y$132:Y$149,MATCH($B181,$B$132:$B$149,0))*INDEX('Resource costs'!$C$121:$C$142, MATCH($B181, 'Resource costs'!$B$121:$B$142,0))</f>
        <v>0</v>
      </c>
      <c r="Z181" s="90">
        <f>INDEX(Z$132:Z$149,MATCH($B181,$B$132:$B$149,0))*INDEX('Resource costs'!$C$121:$C$142, MATCH($B181, 'Resource costs'!$B$121:$B$142,0))</f>
        <v>0</v>
      </c>
      <c r="AA181" s="90">
        <f>INDEX(AA$132:AA$149,MATCH($B181,$B$132:$B$149,0))*INDEX('Resource costs'!$C$121:$C$142, MATCH($B181, 'Resource costs'!$B$121:$B$142,0))</f>
        <v>0</v>
      </c>
      <c r="AB181" s="90">
        <f>INDEX(AB$132:AB$149,MATCH($B181,$B$132:$B$149,0))*INDEX('Resource costs'!$C$121:$C$142, MATCH($B181, 'Resource costs'!$B$121:$B$142,0))</f>
        <v>0</v>
      </c>
      <c r="AC181" s="90">
        <f>INDEX(AC$132:AC$149,MATCH($B181,$B$132:$B$149,0))*INDEX('Resource costs'!$C$121:$C$142, MATCH($B181, 'Resource costs'!$B$121:$B$142,0))</f>
        <v>0</v>
      </c>
      <c r="AD181" s="90">
        <f>INDEX(AD$132:AD$149,MATCH($B181,$B$132:$B$149,0))*INDEX('Resource costs'!$C$121:$C$142, MATCH($B181, 'Resource costs'!$B$121:$B$142,0))</f>
        <v>0</v>
      </c>
      <c r="AE181" s="90">
        <f>INDEX(AE$132:AE$149,MATCH($B181,$B$132:$B$149,0))*INDEX('Resource costs'!$C$121:$C$142, MATCH($B181, 'Resource costs'!$B$121:$B$142,0))</f>
        <v>0</v>
      </c>
      <c r="AF181" s="90">
        <f>INDEX(AF$132:AF$149,MATCH($B181,$B$132:$B$149,0))*INDEX('Resource costs'!$C$121:$C$142, MATCH($B181, 'Resource costs'!$B$121:$B$142,0))</f>
        <v>0</v>
      </c>
      <c r="AG181" s="90">
        <f>INDEX(AG$132:AG$149,MATCH($B181,$B$132:$B$149,0))*INDEX('Resource costs'!$C$121:$C$142, MATCH($B181, 'Resource costs'!$B$121:$B$142,0))</f>
        <v>0</v>
      </c>
      <c r="AH181" s="90">
        <f>INDEX(AH$132:AH$149,MATCH($B181,$B$132:$B$149,0))*INDEX('Resource costs'!$C$121:$C$142, MATCH($B181, 'Resource costs'!$B$121:$B$142,0))</f>
        <v>0</v>
      </c>
      <c r="AI181" s="90">
        <f>INDEX(AI$132:AI$149,MATCH($B181,$B$132:$B$149,0))*INDEX('Resource costs'!$C$121:$C$142, MATCH($B181, 'Resource costs'!$B$121:$B$142,0))</f>
        <v>0</v>
      </c>
      <c r="AJ181" s="90">
        <f>INDEX(AJ$132:AJ$149,MATCH($B181,$B$132:$B$149,0))*INDEX('Resource costs'!$C$121:$C$142, MATCH($B181, 'Resource costs'!$B$121:$B$142,0))</f>
        <v>0</v>
      </c>
      <c r="AK181" s="90">
        <f>INDEX(AK$132:AK$149,MATCH($B181,$B$132:$B$149,0))*INDEX('Resource costs'!$C$121:$C$142, MATCH($B181, 'Resource costs'!$B$121:$B$142,0))</f>
        <v>0</v>
      </c>
      <c r="AL181" s="90">
        <f>INDEX(AL$132:AL$149,MATCH($B181,$B$132:$B$149,0))*INDEX('Resource costs'!$C$121:$C$142, MATCH($B181, 'Resource costs'!$B$121:$B$142,0))</f>
        <v>0</v>
      </c>
      <c r="AM181" s="90">
        <f>INDEX(AM$132:AM$149,MATCH($B181,$B$132:$B$149,0))*INDEX('Resource costs'!$C$121:$C$142, MATCH($B181, 'Resource costs'!$B$121:$B$142,0))</f>
        <v>0</v>
      </c>
      <c r="AN181" s="90">
        <f>INDEX(AN$132:AN$149,MATCH($B181,$B$132:$B$149,0))*INDEX('Resource costs'!$C$121:$C$142, MATCH($B181, 'Resource costs'!$B$121:$B$142,0))</f>
        <v>0</v>
      </c>
      <c r="AO181" s="90">
        <f>INDEX(AO$132:AO$149,MATCH($B181,$B$132:$B$149,0))*INDEX('Resource costs'!$C$121:$C$142, MATCH($B181, 'Resource costs'!$B$121:$B$142,0))</f>
        <v>0</v>
      </c>
      <c r="AP181" s="90">
        <f>INDEX(AP$132:AP$149,MATCH($B181,$B$132:$B$149,0))*INDEX('Resource costs'!$C$121:$C$142, MATCH($B181, 'Resource costs'!$B$121:$B$142,0))</f>
        <v>0</v>
      </c>
      <c r="AQ181" s="90">
        <f>INDEX(AQ$132:AQ$149,MATCH($B181,$B$132:$B$149,0))*INDEX('Resource costs'!$C$121:$C$142, MATCH($B181, 'Resource costs'!$B$121:$B$142,0))</f>
        <v>0</v>
      </c>
      <c r="AR181" s="90">
        <f>INDEX(AR$132:AR$149,MATCH($B181,$B$132:$B$149,0))*INDEX('Resource costs'!$C$121:$C$142, MATCH($B181, 'Resource costs'!$B$121:$B$142,0))</f>
        <v>0</v>
      </c>
      <c r="AS181" s="90">
        <f>INDEX(AS$132:AS$149,MATCH($B181,$B$132:$B$149,0))*INDEX('Resource costs'!$C$121:$C$142, MATCH($B181, 'Resource costs'!$B$121:$B$142,0))</f>
        <v>0</v>
      </c>
      <c r="AT181" s="90">
        <f>INDEX(AT$132:AT$149,MATCH($B181,$B$132:$B$149,0))*INDEX('Resource costs'!$C$121:$C$142, MATCH($B181, 'Resource costs'!$B$121:$B$142,0))</f>
        <v>0</v>
      </c>
      <c r="AU181" s="90">
        <f>INDEX(AU$132:AU$149,MATCH($B181,$B$132:$B$149,0))*INDEX('Resource costs'!$C$121:$C$142, MATCH($B181, 'Resource costs'!$B$121:$B$142,0))</f>
        <v>0</v>
      </c>
      <c r="AV181" s="90">
        <f>INDEX(AV$132:AV$149,MATCH($B181,$B$132:$B$149,0))*INDEX('Resource costs'!$C$121:$C$142, MATCH($B181, 'Resource costs'!$B$121:$B$142,0))</f>
        <v>0</v>
      </c>
      <c r="AW181" s="90">
        <f>INDEX(AW$132:AW$149,MATCH($B181,$B$132:$B$149,0))*INDEX('Resource costs'!$C$121:$C$142, MATCH($B181, 'Resource costs'!$B$121:$B$142,0))</f>
        <v>0</v>
      </c>
      <c r="AX181" s="90">
        <f>INDEX(AX$132:AX$149,MATCH($B181,$B$132:$B$149,0))*INDEX('Resource costs'!$C$121:$C$142, MATCH($B181, 'Resource costs'!$B$121:$B$142,0))</f>
        <v>0</v>
      </c>
      <c r="AY181" s="90">
        <f>INDEX(AY$132:AY$149,MATCH($B181,$B$132:$B$149,0))*INDEX('Resource costs'!$C$121:$C$142, MATCH($B181, 'Resource costs'!$B$121:$B$142,0))</f>
        <v>0</v>
      </c>
      <c r="AZ181" s="90">
        <f>INDEX(AZ$132:AZ$149,MATCH($B181,$B$132:$B$149,0))*INDEX('Resource costs'!$C$121:$C$142, MATCH($B181, 'Resource costs'!$B$121:$B$142,0))</f>
        <v>0</v>
      </c>
      <c r="BA181" s="90">
        <f>INDEX(BA$132:BA$149,MATCH($B181,$B$132:$B$149,0))*INDEX('Resource costs'!$C$121:$C$142, MATCH($B181, 'Resource costs'!$B$121:$B$142,0))</f>
        <v>0</v>
      </c>
      <c r="BB181" s="90">
        <f>INDEX(BB$132:BB$149,MATCH($B181,$B$132:$B$149,0))*INDEX('Resource costs'!$C$121:$C$142, MATCH($B181, 'Resource costs'!$B$121:$B$142,0))</f>
        <v>0</v>
      </c>
    </row>
    <row r="182" spans="2:54" s="97" customFormat="1">
      <c r="B182" s="6" t="s">
        <v>15</v>
      </c>
      <c r="C182" s="315"/>
      <c r="D182" s="90">
        <f>INDEX(D$132:D$149,MATCH($B182,$B$132:$B$149,0))*INDEX('Resource costs'!$C$121:$C$142, MATCH($B182, 'Resource costs'!$B$121:$B$142,0))</f>
        <v>299.76581724878702</v>
      </c>
      <c r="E182" s="90">
        <f>INDEX(E$132:E$149,MATCH($B182,$B$132:$B$149,0))*INDEX('Resource costs'!$C$121:$C$142, MATCH($B182, 'Resource costs'!$B$121:$B$142,0))</f>
        <v>311.28864229726338</v>
      </c>
      <c r="F182" s="90">
        <f>INDEX(F$132:F$149,MATCH($B182,$B$132:$B$149,0))*INDEX('Resource costs'!$C$121:$C$142, MATCH($B182, 'Resource costs'!$B$121:$B$142,0))</f>
        <v>321.23989926946393</v>
      </c>
      <c r="G182" s="90">
        <f>INDEX(G$132:G$149,MATCH($B182,$B$132:$B$149,0))*INDEX('Resource costs'!$C$121:$C$142, MATCH($B182, 'Resource costs'!$B$121:$B$142,0))</f>
        <v>330.07475827042714</v>
      </c>
      <c r="H182" s="90">
        <f>INDEX(H$132:H$149,MATCH($B182,$B$132:$B$149,0))*INDEX('Resource costs'!$C$121:$C$142, MATCH($B182, 'Resource costs'!$B$121:$B$142,0))</f>
        <v>501.58294858814918</v>
      </c>
      <c r="I182" s="90">
        <f>INDEX(I$132:I$149,MATCH($B182,$B$132:$B$149,0))*INDEX('Resource costs'!$C$121:$C$142, MATCH($B182, 'Resource costs'!$B$121:$B$142,0))</f>
        <v>459.57698242683284</v>
      </c>
      <c r="J182" s="90">
        <f>INDEX(J$132:J$149,MATCH($B182,$B$132:$B$149,0))*INDEX('Resource costs'!$C$121:$C$142, MATCH($B182, 'Resource costs'!$B$121:$B$142,0))</f>
        <v>433.08783057375899</v>
      </c>
      <c r="K182" s="90">
        <f>INDEX(K$132:K$149,MATCH($B182,$B$132:$B$149,0))*INDEX('Resource costs'!$C$121:$C$142, MATCH($B182, 'Resource costs'!$B$121:$B$142,0))</f>
        <v>417.2016945325056</v>
      </c>
      <c r="L182" s="90">
        <f>INDEX(L$132:L$149,MATCH($B182,$B$132:$B$149,0))*INDEX('Resource costs'!$C$121:$C$142, MATCH($B182, 'Resource costs'!$B$121:$B$142,0))</f>
        <v>409.19727756750802</v>
      </c>
      <c r="M182" s="90">
        <f>INDEX(M$132:M$149,MATCH($B182,$B$132:$B$149,0))*INDEX('Resource costs'!$C$121:$C$142, MATCH($B182, 'Resource costs'!$B$121:$B$142,0))</f>
        <v>406.16011128516431</v>
      </c>
      <c r="N182" s="90">
        <f>INDEX(N$132:N$149,MATCH($B182,$B$132:$B$149,0))*INDEX('Resource costs'!$C$121:$C$142, MATCH($B182, 'Resource costs'!$B$121:$B$142,0))</f>
        <v>406.29505322552097</v>
      </c>
      <c r="O182" s="90">
        <f>INDEX(O$132:O$149,MATCH($B182,$B$132:$B$149,0))*INDEX('Resource costs'!$C$121:$C$142, MATCH($B182, 'Resource costs'!$B$121:$B$142,0))</f>
        <v>408.69014294689714</v>
      </c>
      <c r="P182" s="90">
        <f>INDEX(P$132:P$149,MATCH($B182,$B$132:$B$149,0))*INDEX('Resource costs'!$C$121:$C$142, MATCH($B182, 'Resource costs'!$B$121:$B$142,0))</f>
        <v>412.29441453235501</v>
      </c>
      <c r="Q182" s="90">
        <f>INDEX(Q$132:Q$149,MATCH($B182,$B$132:$B$149,0))*INDEX('Resource costs'!$C$121:$C$142, MATCH($B182, 'Resource costs'!$B$121:$B$142,0))</f>
        <v>416.62879235657135</v>
      </c>
      <c r="R182" s="90">
        <f>INDEX(R$132:R$149,MATCH($B182,$B$132:$B$149,0))*INDEX('Resource costs'!$C$121:$C$142, MATCH($B182, 'Resource costs'!$B$121:$B$142,0))</f>
        <v>421.47421086899868</v>
      </c>
      <c r="S182" s="90">
        <f>INDEX(S$132:S$149,MATCH($B182,$B$132:$B$149,0))*INDEX('Resource costs'!$C$121:$C$142, MATCH($B182, 'Resource costs'!$B$121:$B$142,0))</f>
        <v>426.63016971953761</v>
      </c>
      <c r="T182" s="90">
        <f>INDEX(T$132:T$149,MATCH($B182,$B$132:$B$149,0))*INDEX('Resource costs'!$C$121:$C$142, MATCH($B182, 'Resource costs'!$B$121:$B$142,0))</f>
        <v>431.92338151445921</v>
      </c>
      <c r="U182" s="90">
        <f>INDEX(U$132:U$149,MATCH($B182,$B$132:$B$149,0))*INDEX('Resource costs'!$C$121:$C$142, MATCH($B182, 'Resource costs'!$B$121:$B$142,0))</f>
        <v>437.33407192619177</v>
      </c>
      <c r="V182" s="90">
        <f>INDEX(V$132:V$149,MATCH($B182,$B$132:$B$149,0))*INDEX('Resource costs'!$C$121:$C$142, MATCH($B182, 'Resource costs'!$B$121:$B$142,0))</f>
        <v>443.03183193694019</v>
      </c>
      <c r="W182" s="90">
        <f>INDEX(W$132:W$149,MATCH($B182,$B$132:$B$149,0))*INDEX('Resource costs'!$C$121:$C$142, MATCH($B182, 'Resource costs'!$B$121:$B$142,0))</f>
        <v>448.70585248380257</v>
      </c>
      <c r="X182" s="90">
        <f>INDEX(X$132:X$149,MATCH($B182,$B$132:$B$149,0))*INDEX('Resource costs'!$C$121:$C$142, MATCH($B182, 'Resource costs'!$B$121:$B$142,0))</f>
        <v>454.2835348617931</v>
      </c>
      <c r="Y182" s="90">
        <f>INDEX(Y$132:Y$149,MATCH($B182,$B$132:$B$149,0))*INDEX('Resource costs'!$C$121:$C$142, MATCH($B182, 'Resource costs'!$B$121:$B$142,0))</f>
        <v>459.85375202536943</v>
      </c>
      <c r="Z182" s="90">
        <f>INDEX(Z$132:Z$149,MATCH($B182,$B$132:$B$149,0))*INDEX('Resource costs'!$C$121:$C$142, MATCH($B182, 'Resource costs'!$B$121:$B$142,0))</f>
        <v>465.36891736145714</v>
      </c>
      <c r="AA182" s="90">
        <f>INDEX(AA$132:AA$149,MATCH($B182,$B$132:$B$149,0))*INDEX('Resource costs'!$C$121:$C$142, MATCH($B182, 'Resource costs'!$B$121:$B$142,0))</f>
        <v>470.77928476803544</v>
      </c>
      <c r="AB182" s="90">
        <f>INDEX(AB$132:AB$149,MATCH($B182,$B$132:$B$149,0))*INDEX('Resource costs'!$C$121:$C$142, MATCH($B182, 'Resource costs'!$B$121:$B$142,0))</f>
        <v>476.04940103105423</v>
      </c>
      <c r="AC182" s="90">
        <f>INDEX(AC$132:AC$149,MATCH($B182,$B$132:$B$149,0))*INDEX('Resource costs'!$C$121:$C$142, MATCH($B182, 'Resource costs'!$B$121:$B$142,0))</f>
        <v>481.20197614411228</v>
      </c>
      <c r="AD182" s="90">
        <f>INDEX(AD$132:AD$149,MATCH($B182,$B$132:$B$149,0))*INDEX('Resource costs'!$C$121:$C$142, MATCH($B182, 'Resource costs'!$B$121:$B$142,0))</f>
        <v>486.18530261438917</v>
      </c>
      <c r="AE182" s="90">
        <f>INDEX(AE$132:AE$149,MATCH($B182,$B$132:$B$149,0))*INDEX('Resource costs'!$C$121:$C$142, MATCH($B182, 'Resource costs'!$B$121:$B$142,0))</f>
        <v>490.95415556312986</v>
      </c>
      <c r="AF182" s="90">
        <f>INDEX(AF$132:AF$149,MATCH($B182,$B$132:$B$149,0))*INDEX('Resource costs'!$C$121:$C$142, MATCH($B182, 'Resource costs'!$B$121:$B$142,0))</f>
        <v>495.47730091251782</v>
      </c>
      <c r="AG182" s="90">
        <f>INDEX(AG$132:AG$149,MATCH($B182,$B$132:$B$149,0))*INDEX('Resource costs'!$C$121:$C$142, MATCH($B182, 'Resource costs'!$B$121:$B$142,0))</f>
        <v>499.76591167557547</v>
      </c>
      <c r="AH182" s="90">
        <f>INDEX(AH$132:AH$149,MATCH($B182,$B$132:$B$149,0))*INDEX('Resource costs'!$C$121:$C$142, MATCH($B182, 'Resource costs'!$B$121:$B$142,0))</f>
        <v>503.91035120285756</v>
      </c>
      <c r="AI182" s="90">
        <f>INDEX(AI$132:AI$149,MATCH($B182,$B$132:$B$149,0))*INDEX('Resource costs'!$C$121:$C$142, MATCH($B182, 'Resource costs'!$B$121:$B$142,0))</f>
        <v>507.92166844076189</v>
      </c>
      <c r="AJ182" s="90">
        <f>INDEX(AJ$132:AJ$149,MATCH($B182,$B$132:$B$149,0))*INDEX('Resource costs'!$C$121:$C$142, MATCH($B182, 'Resource costs'!$B$121:$B$142,0))</f>
        <v>511.85273577578545</v>
      </c>
      <c r="AK182" s="90">
        <f>INDEX(AK$132:AK$149,MATCH($B182,$B$132:$B$149,0))*INDEX('Resource costs'!$C$121:$C$142, MATCH($B182, 'Resource costs'!$B$121:$B$142,0))</f>
        <v>515.64951807745194</v>
      </c>
      <c r="AL182" s="90">
        <f>INDEX(AL$132:AL$149,MATCH($B182,$B$132:$B$149,0))*INDEX('Resource costs'!$C$121:$C$142, MATCH($B182, 'Resource costs'!$B$121:$B$142,0))</f>
        <v>519.22808080168477</v>
      </c>
      <c r="AM182" s="90">
        <f>INDEX(AM$132:AM$149,MATCH($B182,$B$132:$B$149,0))*INDEX('Resource costs'!$C$121:$C$142, MATCH($B182, 'Resource costs'!$B$121:$B$142,0))</f>
        <v>522.5428243675301</v>
      </c>
      <c r="AN182" s="90">
        <f>INDEX(AN$132:AN$149,MATCH($B182,$B$132:$B$149,0))*INDEX('Resource costs'!$C$121:$C$142, MATCH($B182, 'Resource costs'!$B$121:$B$142,0))</f>
        <v>525.5654529771582</v>
      </c>
      <c r="AO182" s="90">
        <f>INDEX(AO$132:AO$149,MATCH($B182,$B$132:$B$149,0))*INDEX('Resource costs'!$C$121:$C$142, MATCH($B182, 'Resource costs'!$B$121:$B$142,0))</f>
        <v>528.27475291472422</v>
      </c>
      <c r="AP182" s="90">
        <f>INDEX(AP$132:AP$149,MATCH($B182,$B$132:$B$149,0))*INDEX('Resource costs'!$C$121:$C$142, MATCH($B182, 'Resource costs'!$B$121:$B$142,0))</f>
        <v>530.65119407116867</v>
      </c>
      <c r="AQ182" s="90">
        <f>INDEX(AQ$132:AQ$149,MATCH($B182,$B$132:$B$149,0))*INDEX('Resource costs'!$C$121:$C$142, MATCH($B182, 'Resource costs'!$B$121:$B$142,0))</f>
        <v>532.84002652033223</v>
      </c>
      <c r="AR182" s="90">
        <f>INDEX(AR$132:AR$149,MATCH($B182,$B$132:$B$149,0))*INDEX('Resource costs'!$C$121:$C$142, MATCH($B182, 'Resource costs'!$B$121:$B$142,0))</f>
        <v>534.97660756225605</v>
      </c>
      <c r="AS182" s="90">
        <f>INDEX(AS$132:AS$149,MATCH($B182,$B$132:$B$149,0))*INDEX('Resource costs'!$C$121:$C$142, MATCH($B182, 'Resource costs'!$B$121:$B$142,0))</f>
        <v>537.15846937675951</v>
      </c>
      <c r="AT182" s="90">
        <f>INDEX(AT$132:AT$149,MATCH($B182,$B$132:$B$149,0))*INDEX('Resource costs'!$C$121:$C$142, MATCH($B182, 'Resource costs'!$B$121:$B$142,0))</f>
        <v>538.81542027602177</v>
      </c>
      <c r="AU182" s="90">
        <f>INDEX(AU$132:AU$149,MATCH($B182,$B$132:$B$149,0))*INDEX('Resource costs'!$C$121:$C$142, MATCH($B182, 'Resource costs'!$B$121:$B$142,0))</f>
        <v>540.11847293437086</v>
      </c>
      <c r="AV182" s="90">
        <f>INDEX(AV$132:AV$149,MATCH($B182,$B$132:$B$149,0))*INDEX('Resource costs'!$C$121:$C$142, MATCH($B182, 'Resource costs'!$B$121:$B$142,0))</f>
        <v>541.18395611516621</v>
      </c>
      <c r="AW182" s="90">
        <f>INDEX(AW$132:AW$149,MATCH($B182,$B$132:$B$149,0))*INDEX('Resource costs'!$C$121:$C$142, MATCH($B182, 'Resource costs'!$B$121:$B$142,0))</f>
        <v>541.75461529220865</v>
      </c>
      <c r="AX182" s="90">
        <f>INDEX(AX$132:AX$149,MATCH($B182,$B$132:$B$149,0))*INDEX('Resource costs'!$C$121:$C$142, MATCH($B182, 'Resource costs'!$B$121:$B$142,0))</f>
        <v>542.02564759498159</v>
      </c>
      <c r="AY182" s="90">
        <f>INDEX(AY$132:AY$149,MATCH($B182,$B$132:$B$149,0))*INDEX('Resource costs'!$C$121:$C$142, MATCH($B182, 'Resource costs'!$B$121:$B$142,0))</f>
        <v>542.12046907781598</v>
      </c>
      <c r="AZ182" s="90">
        <f>INDEX(AZ$132:AZ$149,MATCH($B182,$B$132:$B$149,0))*INDEX('Resource costs'!$C$121:$C$142, MATCH($B182, 'Resource costs'!$B$121:$B$142,0))</f>
        <v>542.11624776914903</v>
      </c>
      <c r="BA182" s="90">
        <f>INDEX(BA$132:BA$149,MATCH($B182,$B$132:$B$149,0))*INDEX('Resource costs'!$C$121:$C$142, MATCH($B182, 'Resource costs'!$B$121:$B$142,0))</f>
        <v>542.06047484036833</v>
      </c>
      <c r="BB182" s="90">
        <f>INDEX(BB$132:BB$149,MATCH($B182,$B$132:$B$149,0))*INDEX('Resource costs'!$C$121:$C$142, MATCH($B182, 'Resource costs'!$B$121:$B$142,0))</f>
        <v>541.9817203388493</v>
      </c>
    </row>
    <row r="183" spans="2:54" s="97" customFormat="1" ht="29">
      <c r="B183" s="6" t="s">
        <v>16</v>
      </c>
      <c r="C183" s="315"/>
      <c r="D183" s="90">
        <f>INDEX(D$132:D$149,MATCH($B183,$B$132:$B$149,0))*INDEX('Resource costs'!$C$121:$C$142, MATCH($B183, 'Resource costs'!$B$121:$B$142,0))</f>
        <v>739.193129639223</v>
      </c>
      <c r="E183" s="90">
        <f>INDEX(E$132:E$149,MATCH($B183,$B$132:$B$149,0))*INDEX('Resource costs'!$C$121:$C$142, MATCH($B183, 'Resource costs'!$B$121:$B$142,0))</f>
        <v>767.60728702395045</v>
      </c>
      <c r="F183" s="90">
        <f>INDEX(F$132:F$149,MATCH($B183,$B$132:$B$149,0))*INDEX('Resource costs'!$C$121:$C$142, MATCH($B183, 'Resource costs'!$B$121:$B$142,0))</f>
        <v>792.14611153915553</v>
      </c>
      <c r="G183" s="90">
        <f>INDEX(G$132:G$149,MATCH($B183,$B$132:$B$149,0))*INDEX('Resource costs'!$C$121:$C$142, MATCH($B183, 'Resource costs'!$B$121:$B$142,0))</f>
        <v>813.93200805924891</v>
      </c>
      <c r="H183" s="90">
        <f>INDEX(H$132:H$149,MATCH($B183,$B$132:$B$149,0))*INDEX('Resource costs'!$C$121:$C$142, MATCH($B183, 'Resource costs'!$B$121:$B$142,0))</f>
        <v>1236.8543983546667</v>
      </c>
      <c r="I183" s="90">
        <f>INDEX(I$132:I$149,MATCH($B183,$B$132:$B$149,0))*INDEX('Resource costs'!$C$121:$C$142, MATCH($B183, 'Resource costs'!$B$121:$B$142,0))</f>
        <v>1133.2718021958369</v>
      </c>
      <c r="J183" s="90">
        <f>INDEX(J$132:J$149,MATCH($B183,$B$132:$B$149,0))*INDEX('Resource costs'!$C$121:$C$142, MATCH($B183, 'Resource costs'!$B$121:$B$142,0))</f>
        <v>1067.952149543408</v>
      </c>
      <c r="K183" s="90">
        <f>INDEX(K$132:K$149,MATCH($B183,$B$132:$B$149,0))*INDEX('Resource costs'!$C$121:$C$142, MATCH($B183, 'Resource costs'!$B$121:$B$142,0))</f>
        <v>1028.7784948352639</v>
      </c>
      <c r="L183" s="90">
        <f>INDEX(L$132:L$149,MATCH($B183,$B$132:$B$149,0))*INDEX('Resource costs'!$C$121:$C$142, MATCH($B183, 'Resource costs'!$B$121:$B$142,0))</f>
        <v>1009.0403869962928</v>
      </c>
      <c r="M183" s="90">
        <f>INDEX(M$132:M$149,MATCH($B183,$B$132:$B$149,0))*INDEX('Resource costs'!$C$121:$C$142, MATCH($B183, 'Resource costs'!$B$121:$B$142,0))</f>
        <v>1001.5510325726125</v>
      </c>
      <c r="N183" s="90">
        <f>INDEX(N$132:N$149,MATCH($B183,$B$132:$B$149,0))*INDEX('Resource costs'!$C$121:$C$142, MATCH($B183, 'Resource costs'!$B$121:$B$142,0))</f>
        <v>1001.8837861738314</v>
      </c>
      <c r="O183" s="90">
        <f>INDEX(O$132:O$149,MATCH($B183,$B$132:$B$149,0))*INDEX('Resource costs'!$C$121:$C$142, MATCH($B183, 'Resource costs'!$B$121:$B$142,0))</f>
        <v>1007.7898427187689</v>
      </c>
      <c r="P183" s="90">
        <f>INDEX(P$132:P$149,MATCH($B183,$B$132:$B$149,0))*INDEX('Resource costs'!$C$121:$C$142, MATCH($B183, 'Resource costs'!$B$121:$B$142,0))</f>
        <v>1016.6776232461702</v>
      </c>
      <c r="Q183" s="90">
        <f>INDEX(Q$132:Q$149,MATCH($B183,$B$132:$B$149,0))*INDEX('Resource costs'!$C$121:$C$142, MATCH($B183, 'Resource costs'!$B$121:$B$142,0))</f>
        <v>1027.3657742112359</v>
      </c>
      <c r="R183" s="90">
        <f>INDEX(R$132:R$149,MATCH($B183,$B$132:$B$149,0))*INDEX('Resource costs'!$C$121:$C$142, MATCH($B183, 'Resource costs'!$B$121:$B$142,0))</f>
        <v>1039.3141014337505</v>
      </c>
      <c r="S183" s="90">
        <f>INDEX(S$132:S$149,MATCH($B183,$B$132:$B$149,0))*INDEX('Resource costs'!$C$121:$C$142, MATCH($B183, 'Resource costs'!$B$121:$B$142,0))</f>
        <v>1052.0281906984976</v>
      </c>
      <c r="T183" s="90">
        <f>INDEX(T$132:T$149,MATCH($B183,$B$132:$B$149,0))*INDEX('Resource costs'!$C$121:$C$142, MATCH($B183, 'Resource costs'!$B$121:$B$142,0))</f>
        <v>1065.0807322739233</v>
      </c>
      <c r="U183" s="90">
        <f>INDEX(U$132:U$149,MATCH($B183,$B$132:$B$149,0))*INDEX('Resource costs'!$C$121:$C$142, MATCH($B183, 'Resource costs'!$B$121:$B$142,0))</f>
        <v>1078.4229646060317</v>
      </c>
      <c r="V183" s="90">
        <f>INDEX(V$132:V$149,MATCH($B183,$B$132:$B$149,0))*INDEX('Resource costs'!$C$121:$C$142, MATCH($B183, 'Resource costs'!$B$121:$B$142,0))</f>
        <v>1092.4730824377882</v>
      </c>
      <c r="W183" s="90">
        <f>INDEX(W$132:W$149,MATCH($B183,$B$132:$B$149,0))*INDEX('Resource costs'!$C$121:$C$142, MATCH($B183, 'Resource costs'!$B$121:$B$142,0))</f>
        <v>1106.4646610779623</v>
      </c>
      <c r="X183" s="90">
        <f>INDEX(X$132:X$149,MATCH($B183,$B$132:$B$149,0))*INDEX('Resource costs'!$C$121:$C$142, MATCH($B183, 'Resource costs'!$B$121:$B$142,0))</f>
        <v>1120.2186792344039</v>
      </c>
      <c r="Y183" s="90">
        <f>INDEX(Y$132:Y$149,MATCH($B183,$B$132:$B$149,0))*INDEX('Resource costs'!$C$121:$C$142, MATCH($B183, 'Resource costs'!$B$121:$B$142,0))</f>
        <v>1133.9542889036572</v>
      </c>
      <c r="Z183" s="90">
        <f>INDEX(Z$132:Z$149,MATCH($B183,$B$132:$B$149,0))*INDEX('Resource costs'!$C$121:$C$142, MATCH($B183, 'Resource costs'!$B$121:$B$142,0))</f>
        <v>1147.5541461611544</v>
      </c>
      <c r="AA183" s="90">
        <f>INDEX(AA$132:AA$149,MATCH($B183,$B$132:$B$149,0))*INDEX('Resource costs'!$C$121:$C$142, MATCH($B183, 'Resource costs'!$B$121:$B$142,0))</f>
        <v>1160.895581994205</v>
      </c>
      <c r="AB183" s="90">
        <f>INDEX(AB$132:AB$149,MATCH($B183,$B$132:$B$149,0))*INDEX('Resource costs'!$C$121:$C$142, MATCH($B183, 'Resource costs'!$B$121:$B$142,0))</f>
        <v>1173.8911722512164</v>
      </c>
      <c r="AC183" s="90">
        <f>INDEX(AC$132:AC$149,MATCH($B183,$B$132:$B$149,0))*INDEX('Resource costs'!$C$121:$C$142, MATCH($B183, 'Resource costs'!$B$121:$B$142,0))</f>
        <v>1186.5969175509267</v>
      </c>
      <c r="AD183" s="90">
        <f>INDEX(AD$132:AD$149,MATCH($B183,$B$132:$B$149,0))*INDEX('Resource costs'!$C$121:$C$142, MATCH($B183, 'Resource costs'!$B$121:$B$142,0))</f>
        <v>1198.8853122831408</v>
      </c>
      <c r="AE183" s="90">
        <f>INDEX(AE$132:AE$149,MATCH($B183,$B$132:$B$149,0))*INDEX('Resource costs'!$C$121:$C$142, MATCH($B183, 'Resource costs'!$B$121:$B$142,0))</f>
        <v>1210.6448363286836</v>
      </c>
      <c r="AF183" s="90">
        <f>INDEX(AF$132:AF$149,MATCH($B183,$B$132:$B$149,0))*INDEX('Resource costs'!$C$121:$C$142, MATCH($B183, 'Resource costs'!$B$121:$B$142,0))</f>
        <v>1221.7984695124576</v>
      </c>
      <c r="AG183" s="90">
        <f>INDEX(AG$132:AG$149,MATCH($B183,$B$132:$B$149,0))*INDEX('Resource costs'!$C$121:$C$142, MATCH($B183, 'Resource costs'!$B$121:$B$142,0))</f>
        <v>1232.3737633896712</v>
      </c>
      <c r="AH183" s="90">
        <f>INDEX(AH$132:AH$149,MATCH($B183,$B$132:$B$149,0))*INDEX('Resource costs'!$C$121:$C$142, MATCH($B183, 'Resource costs'!$B$121:$B$142,0))</f>
        <v>1242.5935451275923</v>
      </c>
      <c r="AI183" s="90">
        <f>INDEX(AI$132:AI$149,MATCH($B183,$B$132:$B$149,0))*INDEX('Resource costs'!$C$121:$C$142, MATCH($B183, 'Resource costs'!$B$121:$B$142,0))</f>
        <v>1252.485060345291</v>
      </c>
      <c r="AJ183" s="90">
        <f>INDEX(AJ$132:AJ$149,MATCH($B183,$B$132:$B$149,0))*INDEX('Resource costs'!$C$121:$C$142, MATCH($B183, 'Resource costs'!$B$121:$B$142,0))</f>
        <v>1262.1786871666141</v>
      </c>
      <c r="AK183" s="90">
        <f>INDEX(AK$132:AK$149,MATCH($B183,$B$132:$B$149,0))*INDEX('Resource costs'!$C$121:$C$142, MATCH($B183, 'Resource costs'!$B$121:$B$142,0))</f>
        <v>1271.541180255005</v>
      </c>
      <c r="AL183" s="90">
        <f>INDEX(AL$132:AL$149,MATCH($B183,$B$132:$B$149,0))*INDEX('Resource costs'!$C$121:$C$142, MATCH($B183, 'Resource costs'!$B$121:$B$142,0))</f>
        <v>1280.3655652499776</v>
      </c>
      <c r="AM183" s="90">
        <f>INDEX(AM$132:AM$149,MATCH($B183,$B$132:$B$149,0))*INDEX('Resource costs'!$C$121:$C$142, MATCH($B183, 'Resource costs'!$B$121:$B$142,0))</f>
        <v>1288.5393980534529</v>
      </c>
      <c r="AN183" s="90">
        <f>INDEX(AN$132:AN$149,MATCH($B183,$B$132:$B$149,0))*INDEX('Resource costs'!$C$121:$C$142, MATCH($B183, 'Resource costs'!$B$121:$B$142,0))</f>
        <v>1295.9929040008431</v>
      </c>
      <c r="AO183" s="90">
        <f>INDEX(AO$132:AO$149,MATCH($B183,$B$132:$B$149,0))*INDEX('Resource costs'!$C$121:$C$142, MATCH($B183, 'Resource costs'!$B$121:$B$142,0))</f>
        <v>1302.6737721477225</v>
      </c>
      <c r="AP183" s="90">
        <f>INDEX(AP$132:AP$149,MATCH($B183,$B$132:$B$149,0))*INDEX('Resource costs'!$C$121:$C$142, MATCH($B183, 'Resource costs'!$B$121:$B$142,0))</f>
        <v>1308.5338431590137</v>
      </c>
      <c r="AQ183" s="90">
        <f>INDEX(AQ$132:AQ$149,MATCH($B183,$B$132:$B$149,0))*INDEX('Resource costs'!$C$121:$C$142, MATCH($B183, 'Resource costs'!$B$121:$B$142,0))</f>
        <v>1313.9312894829561</v>
      </c>
      <c r="AR183" s="90">
        <f>INDEX(AR$132:AR$149,MATCH($B183,$B$132:$B$149,0))*INDEX('Resource costs'!$C$121:$C$142, MATCH($B183, 'Resource costs'!$B$121:$B$142,0))</f>
        <v>1319.1998889570477</v>
      </c>
      <c r="AS183" s="90">
        <f>INDEX(AS$132:AS$149,MATCH($B183,$B$132:$B$149,0))*INDEX('Resource costs'!$C$121:$C$142, MATCH($B183, 'Resource costs'!$B$121:$B$142,0))</f>
        <v>1324.580146379009</v>
      </c>
      <c r="AT183" s="90">
        <f>INDEX(AT$132:AT$149,MATCH($B183,$B$132:$B$149,0))*INDEX('Resource costs'!$C$121:$C$142, MATCH($B183, 'Resource costs'!$B$121:$B$142,0))</f>
        <v>1328.6660249228848</v>
      </c>
      <c r="AU183" s="90">
        <f>INDEX(AU$132:AU$149,MATCH($B183,$B$132:$B$149,0))*INDEX('Resource costs'!$C$121:$C$142, MATCH($B183, 'Resource costs'!$B$121:$B$142,0))</f>
        <v>1331.8792250850979</v>
      </c>
      <c r="AV183" s="90">
        <f>INDEX(AV$132:AV$149,MATCH($B183,$B$132:$B$149,0))*INDEX('Resource costs'!$C$121:$C$142, MATCH($B183, 'Resource costs'!$B$121:$B$142,0))</f>
        <v>1334.5066021963994</v>
      </c>
      <c r="AW183" s="90">
        <f>INDEX(AW$132:AW$149,MATCH($B183,$B$132:$B$149,0))*INDEX('Resource costs'!$C$121:$C$142, MATCH($B183, 'Resource costs'!$B$121:$B$142,0))</f>
        <v>1335.9137918049641</v>
      </c>
      <c r="AX183" s="90">
        <f>INDEX(AX$132:AX$149,MATCH($B183,$B$132:$B$149,0))*INDEX('Resource costs'!$C$121:$C$142, MATCH($B183, 'Resource costs'!$B$121:$B$142,0))</f>
        <v>1336.5821309036608</v>
      </c>
      <c r="AY183" s="90">
        <f>INDEX(AY$132:AY$149,MATCH($B183,$B$132:$B$149,0))*INDEX('Resource costs'!$C$121:$C$142, MATCH($B183, 'Resource costs'!$B$121:$B$142,0))</f>
        <v>1336.8159513882531</v>
      </c>
      <c r="AZ183" s="90">
        <f>INDEX(AZ$132:AZ$149,MATCH($B183,$B$132:$B$149,0))*INDEX('Resource costs'!$C$121:$C$142, MATCH($B183, 'Resource costs'!$B$121:$B$142,0))</f>
        <v>1336.8055420547496</v>
      </c>
      <c r="BA183" s="90">
        <f>INDEX(BA$132:BA$149,MATCH($B183,$B$132:$B$149,0))*INDEX('Resource costs'!$C$121:$C$142, MATCH($B183, 'Resource costs'!$B$121:$B$142,0))</f>
        <v>1336.6680114778717</v>
      </c>
      <c r="BB183" s="90">
        <f>INDEX(BB$132:BB$149,MATCH($B183,$B$132:$B$149,0))*INDEX('Resource costs'!$C$121:$C$142, MATCH($B183, 'Resource costs'!$B$121:$B$142,0))</f>
        <v>1336.473810594711</v>
      </c>
    </row>
    <row r="184" spans="2:54" s="97" customFormat="1">
      <c r="B184" s="6" t="s">
        <v>103</v>
      </c>
      <c r="C184" s="315"/>
      <c r="D184" s="90">
        <f>INDEX(D$132:D$149,MATCH($B184,$B$132:$B$149,0))*INDEX('Resource costs'!$C$121:$C$142, MATCH($B184, 'Resource costs'!$B$121:$B$142,0))</f>
        <v>52521.058999618312</v>
      </c>
      <c r="E184" s="90">
        <f>INDEX(E$132:E$149,MATCH($B184,$B$132:$B$149,0))*INDEX('Resource costs'!$C$121:$C$142, MATCH($B184, 'Resource costs'!$B$121:$B$142,0))</f>
        <v>54539.938202616424</v>
      </c>
      <c r="F184" s="90">
        <f>INDEX(F$132:F$149,MATCH($B184,$B$132:$B$149,0))*INDEX('Resource costs'!$C$121:$C$142, MATCH($B184, 'Resource costs'!$B$121:$B$142,0))</f>
        <v>56283.467732948229</v>
      </c>
      <c r="G184" s="90">
        <f>INDEX(G$132:G$149,MATCH($B184,$B$132:$B$149,0))*INDEX('Resource costs'!$C$121:$C$142, MATCH($B184, 'Resource costs'!$B$121:$B$142,0))</f>
        <v>57831.396563198388</v>
      </c>
      <c r="H184" s="90">
        <f>INDEX(H$132:H$149,MATCH($B184,$B$132:$B$149,0))*INDEX('Resource costs'!$C$121:$C$142, MATCH($B184, 'Resource costs'!$B$121:$B$142,0))</f>
        <v>87880.826032065874</v>
      </c>
      <c r="I184" s="90">
        <f>INDEX(I$132:I$149,MATCH($B184,$B$132:$B$149,0))*INDEX('Resource costs'!$C$121:$C$142, MATCH($B184, 'Resource costs'!$B$121:$B$142,0))</f>
        <v>80521.088196235651</v>
      </c>
      <c r="J184" s="90">
        <f>INDEX(J$132:J$149,MATCH($B184,$B$132:$B$149,0))*INDEX('Resource costs'!$C$121:$C$142, MATCH($B184, 'Resource costs'!$B$121:$B$142,0))</f>
        <v>75880.004299166438</v>
      </c>
      <c r="K184" s="90">
        <f>INDEX(K$132:K$149,MATCH($B184,$B$132:$B$149,0))*INDEX('Resource costs'!$C$121:$C$142, MATCH($B184, 'Resource costs'!$B$121:$B$142,0))</f>
        <v>73096.64262051924</v>
      </c>
      <c r="L184" s="90">
        <f>INDEX(L$132:L$149,MATCH($B184,$B$132:$B$149,0))*INDEX('Resource costs'!$C$121:$C$142, MATCH($B184, 'Resource costs'!$B$121:$B$142,0))</f>
        <v>71694.213018856957</v>
      </c>
      <c r="M184" s="90">
        <f>INDEX(M$132:M$149,MATCH($B184,$B$132:$B$149,0))*INDEX('Resource costs'!$C$121:$C$142, MATCH($B184, 'Resource costs'!$B$121:$B$142,0))</f>
        <v>71162.080332846803</v>
      </c>
      <c r="N184" s="90">
        <f>INDEX(N$132:N$149,MATCH($B184,$B$132:$B$149,0))*INDEX('Resource costs'!$C$121:$C$142, MATCH($B184, 'Resource costs'!$B$121:$B$142,0))</f>
        <v>71185.723100644813</v>
      </c>
      <c r="O184" s="90">
        <f>INDEX(O$132:O$149,MATCH($B184,$B$132:$B$149,0))*INDEX('Resource costs'!$C$121:$C$142, MATCH($B184, 'Resource costs'!$B$121:$B$142,0))</f>
        <v>71605.359501220053</v>
      </c>
      <c r="P184" s="90">
        <f>INDEX(P$132:P$149,MATCH($B184,$B$132:$B$149,0))*INDEX('Resource costs'!$C$121:$C$142, MATCH($B184, 'Resource costs'!$B$121:$B$142,0))</f>
        <v>72236.852986127225</v>
      </c>
      <c r="Q184" s="90">
        <f>INDEX(Q$132:Q$149,MATCH($B184,$B$132:$B$149,0))*INDEX('Resource costs'!$C$121:$C$142, MATCH($B184, 'Resource costs'!$B$121:$B$142,0))</f>
        <v>72996.266169129914</v>
      </c>
      <c r="R184" s="90">
        <f>INDEX(R$132:R$149,MATCH($B184,$B$132:$B$149,0))*INDEX('Resource costs'!$C$121:$C$142, MATCH($B184, 'Resource costs'!$B$121:$B$142,0))</f>
        <v>73845.217240018144</v>
      </c>
      <c r="S184" s="90">
        <f>INDEX(S$132:S$149,MATCH($B184,$B$132:$B$149,0))*INDEX('Resource costs'!$C$121:$C$142, MATCH($B184, 'Resource costs'!$B$121:$B$142,0))</f>
        <v>74748.577141003829</v>
      </c>
      <c r="T184" s="90">
        <f>INDEX(T$132:T$149,MATCH($B184,$B$132:$B$149,0))*INDEX('Resource costs'!$C$121:$C$142, MATCH($B184, 'Resource costs'!$B$121:$B$142,0))</f>
        <v>75675.984713788625</v>
      </c>
      <c r="U184" s="90">
        <f>INDEX(U$132:U$149,MATCH($B184,$B$132:$B$149,0))*INDEX('Resource costs'!$C$121:$C$142, MATCH($B184, 'Resource costs'!$B$121:$B$142,0))</f>
        <v>76623.975358457203</v>
      </c>
      <c r="V184" s="90">
        <f>INDEX(V$132:V$149,MATCH($B184,$B$132:$B$149,0))*INDEX('Resource costs'!$C$121:$C$142, MATCH($B184, 'Resource costs'!$B$121:$B$142,0))</f>
        <v>77622.262596263972</v>
      </c>
      <c r="W184" s="90">
        <f>INDEX(W$132:W$149,MATCH($B184,$B$132:$B$149,0))*INDEX('Resource costs'!$C$121:$C$142, MATCH($B184, 'Resource costs'!$B$121:$B$142,0))</f>
        <v>78616.39051465661</v>
      </c>
      <c r="X184" s="90">
        <f>INDEX(X$132:X$149,MATCH($B184,$B$132:$B$149,0))*INDEX('Resource costs'!$C$121:$C$142, MATCH($B184, 'Resource costs'!$B$121:$B$142,0))</f>
        <v>79593.639314884043</v>
      </c>
      <c r="Y184" s="90">
        <f>INDEX(Y$132:Y$149,MATCH($B184,$B$132:$B$149,0))*INDEX('Resource costs'!$C$121:$C$142, MATCH($B184, 'Resource costs'!$B$121:$B$142,0))</f>
        <v>80569.580157552162</v>
      </c>
      <c r="Z184" s="90">
        <f>INDEX(Z$132:Z$149,MATCH($B184,$B$132:$B$149,0))*INDEX('Resource costs'!$C$121:$C$142, MATCH($B184, 'Resource costs'!$B$121:$B$142,0))</f>
        <v>81535.875536617721</v>
      </c>
      <c r="AA184" s="90">
        <f>INDEX(AA$132:AA$149,MATCH($B184,$B$132:$B$149,0))*INDEX('Resource costs'!$C$121:$C$142, MATCH($B184, 'Resource costs'!$B$121:$B$142,0))</f>
        <v>82483.809588533579</v>
      </c>
      <c r="AB184" s="90">
        <f>INDEX(AB$132:AB$149,MATCH($B184,$B$132:$B$149,0))*INDEX('Resource costs'!$C$121:$C$142, MATCH($B184, 'Resource costs'!$B$121:$B$142,0))</f>
        <v>83407.170663272584</v>
      </c>
      <c r="AC184" s="90">
        <f>INDEX(AC$132:AC$149,MATCH($B184,$B$132:$B$149,0))*INDEX('Resource costs'!$C$121:$C$142, MATCH($B184, 'Resource costs'!$B$121:$B$142,0))</f>
        <v>84309.937709884471</v>
      </c>
      <c r="AD184" s="90">
        <f>INDEX(AD$132:AD$149,MATCH($B184,$B$132:$B$149,0))*INDEX('Resource costs'!$C$121:$C$142, MATCH($B184, 'Resource costs'!$B$121:$B$142,0))</f>
        <v>85183.051215493266</v>
      </c>
      <c r="AE184" s="90">
        <f>INDEX(AE$132:AE$149,MATCH($B184,$B$132:$B$149,0))*INDEX('Resource costs'!$C$121:$C$142, MATCH($B184, 'Resource costs'!$B$121:$B$142,0))</f>
        <v>86018.587466357523</v>
      </c>
      <c r="AF184" s="90">
        <f>INDEX(AF$132:AF$149,MATCH($B184,$B$132:$B$149,0))*INDEX('Resource costs'!$C$121:$C$142, MATCH($B184, 'Resource costs'!$B$121:$B$142,0))</f>
        <v>86811.074034503792</v>
      </c>
      <c r="AG184" s="90">
        <f>INDEX(AG$132:AG$149,MATCH($B184,$B$132:$B$149,0))*INDEX('Resource costs'!$C$121:$C$142, MATCH($B184, 'Resource costs'!$B$121:$B$142,0))</f>
        <v>87562.468509631741</v>
      </c>
      <c r="AH184" s="90">
        <f>INDEX(AH$132:AH$149,MATCH($B184,$B$132:$B$149,0))*INDEX('Resource costs'!$C$121:$C$142, MATCH($B184, 'Resource costs'!$B$121:$B$142,0))</f>
        <v>88288.603180123799</v>
      </c>
      <c r="AI184" s="90">
        <f>INDEX(AI$132:AI$149,MATCH($B184,$B$132:$B$149,0))*INDEX('Resource costs'!$C$121:$C$142, MATCH($B184, 'Resource costs'!$B$121:$B$142,0))</f>
        <v>88991.413898342929</v>
      </c>
      <c r="AJ184" s="90">
        <f>INDEX(AJ$132:AJ$149,MATCH($B184,$B$132:$B$149,0))*INDEX('Resource costs'!$C$121:$C$142, MATCH($B184, 'Resource costs'!$B$121:$B$142,0))</f>
        <v>89680.16427465048</v>
      </c>
      <c r="AK184" s="90">
        <f>INDEX(AK$132:AK$149,MATCH($B184,$B$132:$B$149,0))*INDEX('Resource costs'!$C$121:$C$142, MATCH($B184, 'Resource costs'!$B$121:$B$142,0))</f>
        <v>90345.386977841597</v>
      </c>
      <c r="AL184" s="90">
        <f>INDEX(AL$132:AL$149,MATCH($B184,$B$132:$B$149,0))*INDEX('Resource costs'!$C$121:$C$142, MATCH($B184, 'Resource costs'!$B$121:$B$142,0))</f>
        <v>90972.376091204307</v>
      </c>
      <c r="AM184" s="90">
        <f>INDEX(AM$132:AM$149,MATCH($B184,$B$132:$B$149,0))*INDEX('Resource costs'!$C$121:$C$142, MATCH($B184, 'Resource costs'!$B$121:$B$142,0))</f>
        <v>91553.142250562232</v>
      </c>
      <c r="AN184" s="90">
        <f>INDEX(AN$132:AN$149,MATCH($B184,$B$132:$B$149,0))*INDEX('Resource costs'!$C$121:$C$142, MATCH($B184, 'Resource costs'!$B$121:$B$142,0))</f>
        <v>92082.727835060214</v>
      </c>
      <c r="AO184" s="90">
        <f>INDEX(AO$132:AO$149,MATCH($B184,$B$132:$B$149,0))*INDEX('Resource costs'!$C$121:$C$142, MATCH($B184, 'Resource costs'!$B$121:$B$142,0))</f>
        <v>92557.41605393232</v>
      </c>
      <c r="AP184" s="90">
        <f>INDEX(AP$132:AP$149,MATCH($B184,$B$132:$B$149,0))*INDEX('Resource costs'!$C$121:$C$142, MATCH($B184, 'Resource costs'!$B$121:$B$142,0))</f>
        <v>92973.785096047461</v>
      </c>
      <c r="AQ184" s="90">
        <f>INDEX(AQ$132:AQ$149,MATCH($B184,$B$132:$B$149,0))*INDEX('Resource costs'!$C$121:$C$142, MATCH($B184, 'Resource costs'!$B$121:$B$142,0))</f>
        <v>93357.283785984429</v>
      </c>
      <c r="AR184" s="90">
        <f>INDEX(AR$132:AR$149,MATCH($B184,$B$132:$B$149,0))*INDEX('Resource costs'!$C$121:$C$142, MATCH($B184, 'Resource costs'!$B$121:$B$142,0))</f>
        <v>93731.627665450898</v>
      </c>
      <c r="AS184" s="90">
        <f>INDEX(AS$132:AS$149,MATCH($B184,$B$132:$B$149,0))*INDEX('Resource costs'!$C$121:$C$142, MATCH($B184, 'Resource costs'!$B$121:$B$142,0))</f>
        <v>94113.905051646143</v>
      </c>
      <c r="AT184" s="90">
        <f>INDEX(AT$132:AT$149,MATCH($B184,$B$132:$B$149,0))*INDEX('Resource costs'!$C$121:$C$142, MATCH($B184, 'Resource costs'!$B$121:$B$142,0))</f>
        <v>94404.214389576431</v>
      </c>
      <c r="AU184" s="90">
        <f>INDEX(AU$132:AU$149,MATCH($B184,$B$132:$B$149,0))*INDEX('Resource costs'!$C$121:$C$142, MATCH($B184, 'Resource costs'!$B$121:$B$142,0))</f>
        <v>94632.518290858032</v>
      </c>
      <c r="AV184" s="90">
        <f>INDEX(AV$132:AV$149,MATCH($B184,$B$132:$B$149,0))*INDEX('Resource costs'!$C$121:$C$142, MATCH($B184, 'Resource costs'!$B$121:$B$142,0))</f>
        <v>94819.198365041419</v>
      </c>
      <c r="AW184" s="90">
        <f>INDEX(AW$132:AW$149,MATCH($B184,$B$132:$B$149,0))*INDEX('Resource costs'!$C$121:$C$142, MATCH($B184, 'Resource costs'!$B$121:$B$142,0))</f>
        <v>94919.181827402805</v>
      </c>
      <c r="AX184" s="90">
        <f>INDEX(AX$132:AX$149,MATCH($B184,$B$132:$B$149,0))*INDEX('Resource costs'!$C$121:$C$142, MATCH($B184, 'Resource costs'!$B$121:$B$142,0))</f>
        <v>94966.668574542244</v>
      </c>
      <c r="AY184" s="90">
        <f>INDEX(AY$132:AY$149,MATCH($B184,$B$132:$B$149,0))*INDEX('Resource costs'!$C$121:$C$142, MATCH($B184, 'Resource costs'!$B$121:$B$142,0))</f>
        <v>94983.281958750231</v>
      </c>
      <c r="AZ184" s="90">
        <f>INDEX(AZ$132:AZ$149,MATCH($B184,$B$132:$B$149,0))*INDEX('Resource costs'!$C$121:$C$142, MATCH($B184, 'Resource costs'!$B$121:$B$142,0))</f>
        <v>94982.542356071091</v>
      </c>
      <c r="BA184" s="90">
        <f>INDEX(BA$132:BA$149,MATCH($B184,$B$132:$B$149,0))*INDEX('Resource costs'!$C$121:$C$142, MATCH($B184, 'Resource costs'!$B$121:$B$142,0))</f>
        <v>94972.770550499816</v>
      </c>
      <c r="BB184" s="90">
        <f>INDEX(BB$132:BB$149,MATCH($B184,$B$132:$B$149,0))*INDEX('Resource costs'!$C$121:$C$142, MATCH($B184, 'Resource costs'!$B$121:$B$142,0))</f>
        <v>94958.972213322049</v>
      </c>
    </row>
    <row r="185" spans="2:54">
      <c r="B185" s="6" t="s">
        <v>104</v>
      </c>
      <c r="C185" s="52"/>
      <c r="D185" s="90">
        <f>INDEX(D$132:D$149,MATCH($B185,$B$132:$B$149,0))*INDEX('Resource costs'!$C$121:$C$142, MATCH($B185, 'Resource costs'!$B$121:$B$142,0))</f>
        <v>18535.659289927229</v>
      </c>
      <c r="E185" s="90">
        <f>INDEX(E$132:E$149,MATCH($B185,$B$132:$B$149,0))*INDEX('Resource costs'!$C$121:$C$142, MATCH($B185, 'Resource costs'!$B$121:$B$142,0))</f>
        <v>19248.159337852099</v>
      </c>
      <c r="F185" s="90">
        <f>INDEX(F$132:F$149,MATCH($B185,$B$132:$B$149,0))*INDEX('Resource costs'!$C$121:$C$142, MATCH($B185, 'Resource costs'!$B$121:$B$142,0))</f>
        <v>19863.483361238454</v>
      </c>
      <c r="G185" s="90">
        <f>INDEX(G$132:G$149,MATCH($B185,$B$132:$B$149,0))*INDEX('Resource costs'!$C$121:$C$142, MATCH($B185, 'Resource costs'!$B$121:$B$142,0))</f>
        <v>20409.776256870678</v>
      </c>
      <c r="H185" s="90">
        <f>INDEX(H$132:H$149,MATCH($B185,$B$132:$B$149,0))*INDEX('Resource costs'!$C$121:$C$142, MATCH($B185, 'Resource costs'!$B$121:$B$142,0))</f>
        <v>31014.779223312664</v>
      </c>
      <c r="I185" s="90">
        <f>INDEX(I$132:I$149,MATCH($B185,$B$132:$B$149,0))*INDEX('Resource costs'!$C$121:$C$142, MATCH($B185, 'Resource costs'!$B$121:$B$142,0))</f>
        <v>28417.390755019846</v>
      </c>
      <c r="J185" s="90">
        <f>INDEX(J$132:J$149,MATCH($B185,$B$132:$B$149,0))*INDEX('Resource costs'!$C$121:$C$142, MATCH($B185, 'Resource costs'!$B$121:$B$142,0))</f>
        <v>26779.465863736372</v>
      </c>
      <c r="K185" s="90">
        <f>INDEX(K$132:K$149,MATCH($B185,$B$132:$B$149,0))*INDEX('Resource costs'!$C$121:$C$142, MATCH($B185, 'Resource costs'!$B$121:$B$142,0))</f>
        <v>25797.165720922814</v>
      </c>
      <c r="L185" s="90">
        <f>INDEX(L$132:L$149,MATCH($B185,$B$132:$B$149,0))*INDEX('Resource costs'!$C$121:$C$142, MATCH($B185, 'Resource costs'!$B$121:$B$142,0))</f>
        <v>25302.222211221128</v>
      </c>
      <c r="M185" s="90">
        <f>INDEX(M$132:M$149,MATCH($B185,$B$132:$B$149,0))*INDEX('Resource costs'!$C$121:$C$142, MATCH($B185, 'Resource costs'!$B$121:$B$142,0))</f>
        <v>25114.422681798282</v>
      </c>
      <c r="N185" s="90">
        <f>INDEX(N$132:N$149,MATCH($B185,$B$132:$B$149,0))*INDEX('Resource costs'!$C$121:$C$142, MATCH($B185, 'Resource costs'!$B$121:$B$142,0))</f>
        <v>25122.766654614556</v>
      </c>
      <c r="O185" s="90">
        <f>INDEX(O$132:O$149,MATCH($B185,$B$132:$B$149,0))*INDEX('Resource costs'!$C$121:$C$142, MATCH($B185, 'Resource costs'!$B$121:$B$142,0))</f>
        <v>25270.864151025864</v>
      </c>
      <c r="P185" s="90">
        <f>INDEX(P$132:P$149,MATCH($B185,$B$132:$B$149,0))*INDEX('Resource costs'!$C$121:$C$142, MATCH($B185, 'Resource costs'!$B$121:$B$142,0))</f>
        <v>25493.729955771596</v>
      </c>
      <c r="Q185" s="90">
        <f>INDEX(Q$132:Q$149,MATCH($B185,$B$132:$B$149,0))*INDEX('Resource costs'!$C$121:$C$142, MATCH($B185, 'Resource costs'!$B$121:$B$142,0))</f>
        <v>25761.741002931161</v>
      </c>
      <c r="R185" s="90">
        <f>INDEX(R$132:R$149,MATCH($B185,$B$132:$B$149,0))*INDEX('Resource costs'!$C$121:$C$142, MATCH($B185, 'Resource costs'!$B$121:$B$142,0))</f>
        <v>26061.351637284846</v>
      </c>
      <c r="S185" s="90">
        <f>INDEX(S$132:S$149,MATCH($B185,$B$132:$B$149,0))*INDEX('Resource costs'!$C$121:$C$142, MATCH($B185, 'Resource costs'!$B$121:$B$142,0))</f>
        <v>26380.164160485776</v>
      </c>
      <c r="T185" s="90">
        <f>INDEX(T$132:T$149,MATCH($B185,$B$132:$B$149,0))*INDEX('Resource costs'!$C$121:$C$142, MATCH($B185, 'Resource costs'!$B$121:$B$142,0))</f>
        <v>26707.463554661404</v>
      </c>
      <c r="U185" s="90">
        <f>INDEX(U$132:U$149,MATCH($B185,$B$132:$B$149,0))*INDEX('Resource costs'!$C$121:$C$142, MATCH($B185, 'Resource costs'!$B$121:$B$142,0))</f>
        <v>27042.027098015373</v>
      </c>
      <c r="V185" s="90">
        <f>INDEX(V$132:V$149,MATCH($B185,$B$132:$B$149,0))*INDEX('Resource costs'!$C$121:$C$142, MATCH($B185, 'Resource costs'!$B$121:$B$142,0))</f>
        <v>27394.341245253021</v>
      </c>
      <c r="W185" s="90">
        <f>INDEX(W$132:W$149,MATCH($B185,$B$132:$B$149,0))*INDEX('Resource costs'!$C$121:$C$142, MATCH($B185, 'Resource costs'!$B$121:$B$142,0))</f>
        <v>27745.187491252451</v>
      </c>
      <c r="X185" s="90">
        <f>INDEX(X$132:X$149,MATCH($B185,$B$132:$B$149,0))*INDEX('Resource costs'!$C$121:$C$142, MATCH($B185, 'Resource costs'!$B$121:$B$142,0))</f>
        <v>28090.076782282118</v>
      </c>
      <c r="Y185" s="90">
        <f>INDEX(Y$132:Y$149,MATCH($B185,$B$132:$B$149,0))*INDEX('Resource costs'!$C$121:$C$142, MATCH($B185, 'Resource costs'!$B$121:$B$142,0))</f>
        <v>28434.504470744232</v>
      </c>
      <c r="Z185" s="90">
        <f>INDEX(Z$132:Z$149,MATCH($B185,$B$132:$B$149,0))*INDEX('Resource costs'!$C$121:$C$142, MATCH($B185, 'Resource costs'!$B$121:$B$142,0))</f>
        <v>28775.528095570997</v>
      </c>
      <c r="AA185" s="90">
        <f>INDEX(AA$132:AA$149,MATCH($B185,$B$132:$B$149,0))*INDEX('Resource costs'!$C$121:$C$142, MATCH($B185, 'Resource costs'!$B$121:$B$142,0))</f>
        <v>29110.071666289179</v>
      </c>
      <c r="AB185" s="90">
        <f>INDEX(AB$132:AB$149,MATCH($B185,$B$132:$B$149,0))*INDEX('Resource costs'!$C$121:$C$142, MATCH($B185, 'Resource costs'!$B$121:$B$142,0))</f>
        <v>29435.942975987404</v>
      </c>
      <c r="AC185" s="90">
        <f>INDEX(AC$132:AC$149,MATCH($B185,$B$132:$B$149,0))*INDEX('Resource costs'!$C$121:$C$142, MATCH($B185, 'Resource costs'!$B$121:$B$142,0))</f>
        <v>29754.546269845079</v>
      </c>
      <c r="AD185" s="90">
        <f>INDEX(AD$132:AD$149,MATCH($B185,$B$132:$B$149,0))*INDEX('Resource costs'!$C$121:$C$142, MATCH($B185, 'Resource costs'!$B$121:$B$142,0))</f>
        <v>30062.684277144515</v>
      </c>
      <c r="AE185" s="90">
        <f>INDEX(AE$132:AE$149,MATCH($B185,$B$132:$B$149,0))*INDEX('Resource costs'!$C$121:$C$142, MATCH($B185, 'Resource costs'!$B$121:$B$142,0))</f>
        <v>30357.560571823105</v>
      </c>
      <c r="AF185" s="90">
        <f>INDEX(AF$132:AF$149,MATCH($B185,$B$132:$B$149,0))*INDEX('Resource costs'!$C$121:$C$142, MATCH($B185, 'Resource costs'!$B$121:$B$142,0))</f>
        <v>30637.243832191289</v>
      </c>
      <c r="AG185" s="90">
        <f>INDEX(AG$132:AG$149,MATCH($B185,$B$132:$B$149,0))*INDEX('Resource costs'!$C$121:$C$142, MATCH($B185, 'Resource costs'!$B$121:$B$142,0))</f>
        <v>30902.424928090484</v>
      </c>
      <c r="AH185" s="90">
        <f>INDEX(AH$132:AH$149,MATCH($B185,$B$132:$B$149,0))*INDEX('Resource costs'!$C$121:$C$142, MATCH($B185, 'Resource costs'!$B$121:$B$142,0))</f>
        <v>31158.691368775595</v>
      </c>
      <c r="AI185" s="90">
        <f>INDEX(AI$132:AI$149,MATCH($B185,$B$132:$B$149,0))*INDEX('Resource costs'!$C$121:$C$142, MATCH($B185, 'Resource costs'!$B$121:$B$142,0))</f>
        <v>31406.726352577291</v>
      </c>
      <c r="AJ185" s="90">
        <f>INDEX(AJ$132:AJ$149,MATCH($B185,$B$132:$B$149,0))*INDEX('Resource costs'!$C$121:$C$142, MATCH($B185, 'Resource costs'!$B$121:$B$142,0))</f>
        <v>31649.799180014739</v>
      </c>
      <c r="AK185" s="90">
        <f>INDEX(AK$132:AK$149,MATCH($B185,$B$132:$B$149,0))*INDEX('Resource costs'!$C$121:$C$142, MATCH($B185, 'Resource costs'!$B$121:$B$142,0))</f>
        <v>31884.568653691276</v>
      </c>
      <c r="AL185" s="90">
        <f>INDEX(AL$132:AL$149,MATCH($B185,$B$132:$B$149,0))*INDEX('Resource costs'!$C$121:$C$142, MATCH($B185, 'Resource costs'!$B$121:$B$142,0))</f>
        <v>32105.844781879576</v>
      </c>
      <c r="AM185" s="90">
        <f>INDEX(AM$132:AM$149,MATCH($B185,$B$132:$B$149,0))*INDEX('Resource costs'!$C$121:$C$142, MATCH($B185, 'Resource costs'!$B$121:$B$142,0))</f>
        <v>32310.807969256599</v>
      </c>
      <c r="AN185" s="90">
        <f>INDEX(AN$132:AN$149,MATCH($B185,$B$132:$B$149,0))*INDEX('Resource costs'!$C$121:$C$142, MATCH($B185, 'Resource costs'!$B$121:$B$142,0))</f>
        <v>32497.708579146863</v>
      </c>
      <c r="AO185" s="90">
        <f>INDEX(AO$132:AO$149,MATCH($B185,$B$132:$B$149,0))*INDEX('Resource costs'!$C$121:$C$142, MATCH($B185, 'Resource costs'!$B$121:$B$142,0))</f>
        <v>32665.234886908856</v>
      </c>
      <c r="AP185" s="90">
        <f>INDEX(AP$132:AP$149,MATCH($B185,$B$132:$B$149,0))*INDEX('Resource costs'!$C$121:$C$142, MATCH($B185, 'Resource costs'!$B$121:$B$142,0))</f>
        <v>32812.17927170459</v>
      </c>
      <c r="AQ185" s="90">
        <f>INDEX(AQ$132:AQ$149,MATCH($B185,$B$132:$B$149,0))*INDEX('Resource costs'!$C$121:$C$142, MATCH($B185, 'Resource costs'!$B$121:$B$142,0))</f>
        <v>32947.523097404242</v>
      </c>
      <c r="AR185" s="90">
        <f>INDEX(AR$132:AR$149,MATCH($B185,$B$132:$B$149,0))*INDEX('Resource costs'!$C$121:$C$142, MATCH($B185, 'Resource costs'!$B$121:$B$142,0))</f>
        <v>33079.636020091319</v>
      </c>
      <c r="AS185" s="90">
        <f>INDEX(AS$132:AS$149,MATCH($B185,$B$132:$B$149,0))*INDEX('Resource costs'!$C$121:$C$142, MATCH($B185, 'Resource costs'!$B$121:$B$142,0))</f>
        <v>33214.548824968515</v>
      </c>
      <c r="AT185" s="90">
        <f>INDEX(AT$132:AT$149,MATCH($B185,$B$132:$B$149,0))*INDEX('Resource costs'!$C$121:$C$142, MATCH($B185, 'Resource costs'!$B$121:$B$142,0))</f>
        <v>33317.004393821364</v>
      </c>
      <c r="AU185" s="90">
        <f>INDEX(AU$132:AU$149,MATCH($B185,$B$132:$B$149,0))*INDEX('Resource costs'!$C$121:$C$142, MATCH($B185, 'Resource costs'!$B$121:$B$142,0))</f>
        <v>33397.577089980201</v>
      </c>
      <c r="AV185" s="90">
        <f>INDEX(AV$132:AV$149,MATCH($B185,$B$132:$B$149,0))*INDEX('Resource costs'!$C$121:$C$142, MATCH($B185, 'Resource costs'!$B$121:$B$142,0))</f>
        <v>33463.459962816167</v>
      </c>
      <c r="AW185" s="90">
        <f>INDEX(AW$132:AW$149,MATCH($B185,$B$132:$B$149,0))*INDEX('Resource costs'!$C$121:$C$142, MATCH($B185, 'Resource costs'!$B$121:$B$142,0))</f>
        <v>33498.745987665192</v>
      </c>
      <c r="AX185" s="90">
        <f>INDEX(AX$132:AX$149,MATCH($B185,$B$132:$B$149,0))*INDEX('Resource costs'!$C$121:$C$142, MATCH($B185, 'Resource costs'!$B$121:$B$142,0))</f>
        <v>33515.504944596549</v>
      </c>
      <c r="AY185" s="90">
        <f>INDEX(AY$132:AY$149,MATCH($B185,$B$132:$B$149,0))*INDEX('Resource costs'!$C$121:$C$142, MATCH($B185, 'Resource costs'!$B$121:$B$142,0))</f>
        <v>33521.368117106715</v>
      </c>
      <c r="AZ185" s="90">
        <f>INDEX(AZ$132:AZ$149,MATCH($B185,$B$132:$B$149,0))*INDEX('Resource costs'!$C$121:$C$142, MATCH($B185, 'Resource costs'!$B$121:$B$142,0))</f>
        <v>33521.107097555105</v>
      </c>
      <c r="BA185" s="90">
        <f>INDEX(BA$132:BA$149,MATCH($B185,$B$132:$B$149,0))*INDEX('Resource costs'!$C$121:$C$142, MATCH($B185, 'Resource costs'!$B$121:$B$142,0))</f>
        <v>33517.65844548741</v>
      </c>
      <c r="BB185" s="90">
        <f>INDEX(BB$132:BB$149,MATCH($B185,$B$132:$B$149,0))*INDEX('Resource costs'!$C$121:$C$142, MATCH($B185, 'Resource costs'!$B$121:$B$142,0))</f>
        <v>33512.78875547037</v>
      </c>
    </row>
    <row r="186" spans="2:54" s="97" customFormat="1">
      <c r="B186" s="6" t="s">
        <v>17</v>
      </c>
      <c r="C186" s="315"/>
      <c r="D186" s="90">
        <f>INDEX(D$132:D$149,MATCH($B186,$B$132:$B$149,0))*INDEX('Resource costs'!$C$121:$C$142, MATCH($B186, 'Resource costs'!$B$121:$B$142,0))</f>
        <v>626.78328833101114</v>
      </c>
      <c r="E186" s="90">
        <f>INDEX(E$132:E$149,MATCH($B186,$B$132:$B$149,0))*INDEX('Resource costs'!$C$121:$C$142, MATCH($B186, 'Resource costs'!$B$121:$B$142,0))</f>
        <v>650.87647627696333</v>
      </c>
      <c r="F186" s="90">
        <f>INDEX(F$132:F$149,MATCH($B186,$B$132:$B$149,0))*INDEX('Resource costs'!$C$121:$C$142, MATCH($B186, 'Resource costs'!$B$121:$B$142,0))</f>
        <v>671.68365711334991</v>
      </c>
      <c r="G186" s="90">
        <f>INDEX(G$132:G$149,MATCH($B186,$B$132:$B$149,0))*INDEX('Resource costs'!$C$121:$C$142, MATCH($B186, 'Resource costs'!$B$121:$B$142,0))</f>
        <v>690.15655047853568</v>
      </c>
      <c r="H186" s="90">
        <f>INDEX(H$132:H$149,MATCH($B186,$B$132:$B$149,0))*INDEX('Resource costs'!$C$121:$C$142, MATCH($B186, 'Resource costs'!$B$121:$B$142,0))</f>
        <v>1048.7647083053689</v>
      </c>
      <c r="I186" s="90">
        <f>INDEX(I$132:I$149,MATCH($B186,$B$132:$B$149,0))*INDEX('Resource costs'!$C$121:$C$142, MATCH($B186, 'Resource costs'!$B$121:$B$142,0))</f>
        <v>960.93402153210059</v>
      </c>
      <c r="J186" s="90">
        <f>INDEX(J$132:J$149,MATCH($B186,$B$132:$B$149,0))*INDEX('Resource costs'!$C$121:$C$142, MATCH($B186, 'Resource costs'!$B$121:$B$142,0))</f>
        <v>905.54759403363198</v>
      </c>
      <c r="K186" s="90">
        <f>INDEX(K$132:K$149,MATCH($B186,$B$132:$B$149,0))*INDEX('Resource costs'!$C$121:$C$142, MATCH($B186, 'Resource costs'!$B$121:$B$142,0))</f>
        <v>872.3311163238111</v>
      </c>
      <c r="L186" s="90">
        <f>INDEX(L$132:L$149,MATCH($B186,$B$132:$B$149,0))*INDEX('Resource costs'!$C$121:$C$142, MATCH($B186, 'Resource costs'!$B$121:$B$142,0))</f>
        <v>855.5946023592121</v>
      </c>
      <c r="M186" s="90">
        <f>INDEX(M$132:M$149,MATCH($B186,$B$132:$B$149,0))*INDEX('Resource costs'!$C$121:$C$142, MATCH($B186, 'Resource costs'!$B$121:$B$142,0))</f>
        <v>849.24416158138479</v>
      </c>
      <c r="N186" s="90">
        <f>INDEX(N$132:N$149,MATCH($B186,$B$132:$B$149,0))*INDEX('Resource costs'!$C$121:$C$142, MATCH($B186, 'Resource costs'!$B$121:$B$142,0))</f>
        <v>849.52631300841131</v>
      </c>
      <c r="O186" s="90">
        <f>INDEX(O$132:O$149,MATCH($B186,$B$132:$B$149,0))*INDEX('Resource costs'!$C$121:$C$142, MATCH($B186, 'Resource costs'!$B$121:$B$142,0))</f>
        <v>854.53422960540615</v>
      </c>
      <c r="P186" s="90">
        <f>INDEX(P$132:P$149,MATCH($B186,$B$132:$B$149,0))*INDEX('Resource costs'!$C$121:$C$142, MATCH($B186, 'Resource costs'!$B$121:$B$142,0))</f>
        <v>862.0704364254666</v>
      </c>
      <c r="Q186" s="90">
        <f>INDEX(Q$132:Q$149,MATCH($B186,$B$132:$B$149,0))*INDEX('Resource costs'!$C$121:$C$142, MATCH($B186, 'Resource costs'!$B$121:$B$142,0))</f>
        <v>871.13322954332443</v>
      </c>
      <c r="R186" s="90">
        <f>INDEX(R$132:R$149,MATCH($B186,$B$132:$B$149,0))*INDEX('Resource costs'!$C$121:$C$142, MATCH($B186, 'Resource costs'!$B$121:$B$142,0))</f>
        <v>881.2645626500564</v>
      </c>
      <c r="S186" s="90">
        <f>INDEX(S$132:S$149,MATCH($B186,$B$132:$B$149,0))*INDEX('Resource costs'!$C$121:$C$142, MATCH($B186, 'Resource costs'!$B$121:$B$142,0))</f>
        <v>892.04520759650165</v>
      </c>
      <c r="T186" s="90">
        <f>INDEX(T$132:T$149,MATCH($B186,$B$132:$B$149,0))*INDEX('Resource costs'!$C$121:$C$142, MATCH($B186, 'Resource costs'!$B$121:$B$142,0))</f>
        <v>903.11283607096493</v>
      </c>
      <c r="U186" s="90">
        <f>INDEX(U$132:U$149,MATCH($B186,$B$132:$B$149,0))*INDEX('Resource costs'!$C$121:$C$142, MATCH($B186, 'Resource costs'!$B$121:$B$142,0))</f>
        <v>914.42610173791809</v>
      </c>
      <c r="V186" s="90">
        <f>INDEX(V$132:V$149,MATCH($B186,$B$132:$B$149,0))*INDEX('Resource costs'!$C$121:$C$142, MATCH($B186, 'Resource costs'!$B$121:$B$142,0))</f>
        <v>926.33960404593438</v>
      </c>
      <c r="W186" s="90">
        <f>INDEX(W$132:W$149,MATCH($B186,$B$132:$B$149,0))*INDEX('Resource costs'!$C$121:$C$142, MATCH($B186, 'Resource costs'!$B$121:$B$142,0))</f>
        <v>938.20346927600008</v>
      </c>
      <c r="X186" s="90">
        <f>INDEX(X$132:X$149,MATCH($B186,$B$132:$B$149,0))*INDEX('Resource costs'!$C$121:$C$142, MATCH($B186, 'Resource costs'!$B$121:$B$142,0))</f>
        <v>949.86590008358405</v>
      </c>
      <c r="Y186" s="90">
        <f>INDEX(Y$132:Y$149,MATCH($B186,$B$132:$B$149,0))*INDEX('Resource costs'!$C$121:$C$142, MATCH($B186, 'Resource costs'!$B$121:$B$142,0))</f>
        <v>961.51272180110698</v>
      </c>
      <c r="Z186" s="90">
        <f>INDEX(Z$132:Z$149,MATCH($B186,$B$132:$B$149,0))*INDEX('Resource costs'!$C$121:$C$142, MATCH($B186, 'Resource costs'!$B$121:$B$142,0))</f>
        <v>973.04443511241266</v>
      </c>
      <c r="AA186" s="90">
        <f>INDEX(AA$132:AA$149,MATCH($B186,$B$132:$B$149,0))*INDEX('Resource costs'!$C$121:$C$142, MATCH($B186, 'Resource costs'!$B$121:$B$142,0))</f>
        <v>984.35702540471971</v>
      </c>
      <c r="AB186" s="90">
        <f>INDEX(AB$132:AB$149,MATCH($B186,$B$132:$B$149,0))*INDEX('Resource costs'!$C$121:$C$142, MATCH($B186, 'Resource costs'!$B$121:$B$142,0))</f>
        <v>995.37636320493391</v>
      </c>
      <c r="AC186" s="90">
        <f>INDEX(AC$132:AC$149,MATCH($B186,$B$132:$B$149,0))*INDEX('Resource costs'!$C$121:$C$142, MATCH($B186, 'Resource costs'!$B$121:$B$142,0))</f>
        <v>1006.1499330614819</v>
      </c>
      <c r="AD186" s="90">
        <f>INDEX(AD$132:AD$149,MATCH($B186,$B$132:$B$149,0))*INDEX('Resource costs'!$C$121:$C$142, MATCH($B186, 'Resource costs'!$B$121:$B$142,0))</f>
        <v>1016.5696192703161</v>
      </c>
      <c r="AE186" s="90">
        <f>INDEX(AE$132:AE$149,MATCH($B186,$B$132:$B$149,0))*INDEX('Resource costs'!$C$121:$C$142, MATCH($B186, 'Resource costs'!$B$121:$B$142,0))</f>
        <v>1026.5408606887397</v>
      </c>
      <c r="AF186" s="90">
        <f>INDEX(AF$132:AF$149,MATCH($B186,$B$132:$B$149,0))*INDEX('Resource costs'!$C$121:$C$142, MATCH($B186, 'Resource costs'!$B$121:$B$142,0))</f>
        <v>1035.9983496770042</v>
      </c>
      <c r="AG186" s="90">
        <f>INDEX(AG$132:AG$149,MATCH($B186,$B$132:$B$149,0))*INDEX('Resource costs'!$C$121:$C$142, MATCH($B186, 'Resource costs'!$B$121:$B$142,0))</f>
        <v>1044.965447997658</v>
      </c>
      <c r="AH186" s="90">
        <f>INDEX(AH$132:AH$149,MATCH($B186,$B$132:$B$149,0))*INDEX('Resource costs'!$C$121:$C$142, MATCH($B186, 'Resource costs'!$B$121:$B$142,0))</f>
        <v>1053.6310972669444</v>
      </c>
      <c r="AI186" s="90">
        <f>INDEX(AI$132:AI$149,MATCH($B186,$B$132:$B$149,0))*INDEX('Resource costs'!$C$121:$C$142, MATCH($B186, 'Resource costs'!$B$121:$B$142,0))</f>
        <v>1062.0183998352884</v>
      </c>
      <c r="AJ186" s="90">
        <f>INDEX(AJ$132:AJ$149,MATCH($B186,$B$132:$B$149,0))*INDEX('Resource costs'!$C$121:$C$142, MATCH($B186, 'Resource costs'!$B$121:$B$142,0))</f>
        <v>1070.2379070943559</v>
      </c>
      <c r="AK186" s="90">
        <f>INDEX(AK$132:AK$149,MATCH($B186,$B$132:$B$149,0))*INDEX('Resource costs'!$C$121:$C$142, MATCH($B186, 'Resource costs'!$B$121:$B$142,0))</f>
        <v>1078.1766364596874</v>
      </c>
      <c r="AL186" s="90">
        <f>INDEX(AL$132:AL$149,MATCH($B186,$B$132:$B$149,0))*INDEX('Resource costs'!$C$121:$C$142, MATCH($B186, 'Resource costs'!$B$121:$B$142,0))</f>
        <v>1085.659088369579</v>
      </c>
      <c r="AM186" s="90">
        <f>INDEX(AM$132:AM$149,MATCH($B186,$B$132:$B$149,0))*INDEX('Resource costs'!$C$121:$C$142, MATCH($B186, 'Resource costs'!$B$121:$B$142,0))</f>
        <v>1092.5899182128308</v>
      </c>
      <c r="AN186" s="90">
        <f>INDEX(AN$132:AN$149,MATCH($B186,$B$132:$B$149,0))*INDEX('Resource costs'!$C$121:$C$142, MATCH($B186, 'Resource costs'!$B$121:$B$142,0))</f>
        <v>1098.9099620281459</v>
      </c>
      <c r="AO186" s="90">
        <f>INDEX(AO$132:AO$149,MATCH($B186,$B$132:$B$149,0))*INDEX('Resource costs'!$C$121:$C$142, MATCH($B186, 'Resource costs'!$B$121:$B$142,0))</f>
        <v>1104.5748638489338</v>
      </c>
      <c r="AP186" s="90">
        <f>INDEX(AP$132:AP$149,MATCH($B186,$B$132:$B$149,0))*INDEX('Resource costs'!$C$121:$C$142, MATCH($B186, 'Resource costs'!$B$121:$B$142,0))</f>
        <v>1109.5437879785493</v>
      </c>
      <c r="AQ186" s="90">
        <f>INDEX(AQ$132:AQ$149,MATCH($B186,$B$132:$B$149,0))*INDEX('Resource costs'!$C$121:$C$142, MATCH($B186, 'Resource costs'!$B$121:$B$142,0))</f>
        <v>1114.1204392214549</v>
      </c>
      <c r="AR186" s="90">
        <f>INDEX(AR$132:AR$149,MATCH($B186,$B$132:$B$149,0))*INDEX('Resource costs'!$C$121:$C$142, MATCH($B186, 'Resource costs'!$B$121:$B$142,0))</f>
        <v>1118.5878374843173</v>
      </c>
      <c r="AS186" s="90">
        <f>INDEX(AS$132:AS$149,MATCH($B186,$B$132:$B$149,0))*INDEX('Resource costs'!$C$121:$C$142, MATCH($B186, 'Resource costs'!$B$121:$B$142,0))</f>
        <v>1123.1499137588223</v>
      </c>
      <c r="AT186" s="90">
        <f>INDEX(AT$132:AT$149,MATCH($B186,$B$132:$B$149,0))*INDEX('Resource costs'!$C$121:$C$142, MATCH($B186, 'Resource costs'!$B$121:$B$142,0))</f>
        <v>1126.6144486506735</v>
      </c>
      <c r="AU186" s="90">
        <f>INDEX(AU$132:AU$149,MATCH($B186,$B$132:$B$149,0))*INDEX('Resource costs'!$C$121:$C$142, MATCH($B186, 'Resource costs'!$B$121:$B$142,0))</f>
        <v>1129.3390142384524</v>
      </c>
      <c r="AV186" s="90">
        <f>INDEX(AV$132:AV$149,MATCH($B186,$B$132:$B$149,0))*INDEX('Resource costs'!$C$121:$C$142, MATCH($B186, 'Resource costs'!$B$121:$B$142,0))</f>
        <v>1131.5668434747859</v>
      </c>
      <c r="AW186" s="90">
        <f>INDEX(AW$132:AW$149,MATCH($B186,$B$132:$B$149,0))*INDEX('Resource costs'!$C$121:$C$142, MATCH($B186, 'Resource costs'!$B$121:$B$142,0))</f>
        <v>1132.7600403468832</v>
      </c>
      <c r="AX186" s="90">
        <f>INDEX(AX$132:AX$149,MATCH($B186,$B$132:$B$149,0))*INDEX('Resource costs'!$C$121:$C$142, MATCH($B186, 'Resource costs'!$B$121:$B$142,0))</f>
        <v>1133.3267444478884</v>
      </c>
      <c r="AY186" s="90">
        <f>INDEX(AY$132:AY$149,MATCH($B186,$B$132:$B$149,0))*INDEX('Resource costs'!$C$121:$C$142, MATCH($B186, 'Resource costs'!$B$121:$B$142,0))</f>
        <v>1133.5250076166537</v>
      </c>
      <c r="AZ186" s="90">
        <f>INDEX(AZ$132:AZ$149,MATCH($B186,$B$132:$B$149,0))*INDEX('Resource costs'!$C$121:$C$142, MATCH($B186, 'Resource costs'!$B$121:$B$142,0))</f>
        <v>1133.5161812409463</v>
      </c>
      <c r="BA186" s="90">
        <f>INDEX(BA$132:BA$149,MATCH($B186,$B$132:$B$149,0))*INDEX('Resource costs'!$C$121:$C$142, MATCH($B186, 'Resource costs'!$B$121:$B$142,0))</f>
        <v>1133.3995650769627</v>
      </c>
      <c r="BB186" s="90">
        <f>INDEX(BB$132:BB$149,MATCH($B186,$B$132:$B$149,0))*INDEX('Resource costs'!$C$121:$C$142, MATCH($B186, 'Resource costs'!$B$121:$B$142,0))</f>
        <v>1133.2348965170647</v>
      </c>
    </row>
    <row r="187" spans="2:54" ht="29">
      <c r="B187" s="6" t="s">
        <v>106</v>
      </c>
      <c r="C187" s="52"/>
      <c r="D187" s="90">
        <f>INDEX(D$132:D$149,MATCH($B187,$B$132:$B$149,0))*INDEX('Resource costs'!$C$121:$C$142, MATCH($B187, 'Resource costs'!$B$121:$B$142,0))</f>
        <v>4016.45276171046</v>
      </c>
      <c r="E187" s="90">
        <f>INDEX(E$132:E$149,MATCH($B187,$B$132:$B$149,0))*INDEX('Resource costs'!$C$121:$C$142, MATCH($B187, 'Resource costs'!$B$121:$B$142,0))</f>
        <v>4170.8428883547176</v>
      </c>
      <c r="F187" s="90">
        <f>INDEX(F$132:F$149,MATCH($B187,$B$132:$B$149,0))*INDEX('Resource costs'!$C$121:$C$142, MATCH($B187, 'Resource costs'!$B$121:$B$142,0))</f>
        <v>4304.1761480149198</v>
      </c>
      <c r="G187" s="90">
        <f>INDEX(G$132:G$149,MATCH($B187,$B$132:$B$149,0))*INDEX('Resource costs'!$C$121:$C$142, MATCH($B187, 'Resource costs'!$B$121:$B$142,0))</f>
        <v>4422.551198777599</v>
      </c>
      <c r="H187" s="90">
        <f>INDEX(H$132:H$149,MATCH($B187,$B$132:$B$149,0))*INDEX('Resource costs'!$C$121:$C$142, MATCH($B187, 'Resource costs'!$B$121:$B$142,0))</f>
        <v>6720.5268351586847</v>
      </c>
      <c r="I187" s="90">
        <f>INDEX(I$132:I$149,MATCH($B187,$B$132:$B$149,0))*INDEX('Resource costs'!$C$121:$C$142, MATCH($B187, 'Resource costs'!$B$121:$B$142,0))</f>
        <v>6157.7042280136147</v>
      </c>
      <c r="J187" s="90">
        <f>INDEX(J$132:J$149,MATCH($B187,$B$132:$B$149,0))*INDEX('Resource costs'!$C$121:$C$142, MATCH($B187, 'Resource costs'!$B$121:$B$142,0))</f>
        <v>5802.785751677312</v>
      </c>
      <c r="K187" s="90">
        <f>INDEX(K$132:K$149,MATCH($B187,$B$132:$B$149,0))*INDEX('Resource costs'!$C$121:$C$142, MATCH($B187, 'Resource costs'!$B$121:$B$142,0))</f>
        <v>5589.9332137815536</v>
      </c>
      <c r="L187" s="90">
        <f>INDEX(L$132:L$149,MATCH($B187,$B$132:$B$149,0))*INDEX('Resource costs'!$C$121:$C$142, MATCH($B187, 'Resource costs'!$B$121:$B$142,0))</f>
        <v>5482.684952722273</v>
      </c>
      <c r="M187" s="90">
        <f>INDEX(M$132:M$149,MATCH($B187,$B$132:$B$149,0))*INDEX('Resource costs'!$C$121:$C$142, MATCH($B187, 'Resource costs'!$B$121:$B$142,0))</f>
        <v>5441.9910703628666</v>
      </c>
      <c r="N187" s="90">
        <f>INDEX(N$132:N$149,MATCH($B187,$B$132:$B$149,0))*INDEX('Resource costs'!$C$121:$C$142, MATCH($B187, 'Resource costs'!$B$121:$B$142,0))</f>
        <v>5443.7991081638093</v>
      </c>
      <c r="O187" s="90">
        <f>INDEX(O$132:O$149,MATCH($B187,$B$132:$B$149,0))*INDEX('Resource costs'!$C$121:$C$142, MATCH($B187, 'Resource costs'!$B$121:$B$142,0))</f>
        <v>5475.89004106021</v>
      </c>
      <c r="P187" s="90">
        <f>INDEX(P$132:P$149,MATCH($B187,$B$132:$B$149,0))*INDEX('Resource costs'!$C$121:$C$142, MATCH($B187, 'Resource costs'!$B$121:$B$142,0))</f>
        <v>5524.1823603654229</v>
      </c>
      <c r="Q187" s="90">
        <f>INDEX(Q$132:Q$149,MATCH($B187,$B$132:$B$149,0))*INDEX('Resource costs'!$C$121:$C$142, MATCH($B187, 'Resource costs'!$B$121:$B$142,0))</f>
        <v>5582.2571066528635</v>
      </c>
      <c r="R187" s="90">
        <f>INDEX(R$132:R$149,MATCH($B187,$B$132:$B$149,0))*INDEX('Resource costs'!$C$121:$C$142, MATCH($B187, 'Resource costs'!$B$121:$B$142,0))</f>
        <v>5647.1791005763071</v>
      </c>
      <c r="S187" s="90">
        <f>INDEX(S$132:S$149,MATCH($B187,$B$132:$B$149,0))*INDEX('Resource costs'!$C$121:$C$142, MATCH($B187, 'Resource costs'!$B$121:$B$142,0))</f>
        <v>5716.2619111334743</v>
      </c>
      <c r="T187" s="90">
        <f>INDEX(T$132:T$149,MATCH($B187,$B$132:$B$149,0))*INDEX('Resource costs'!$C$121:$C$142, MATCH($B187, 'Resource costs'!$B$121:$B$142,0))</f>
        <v>5787.1837237909431</v>
      </c>
      <c r="U187" s="90">
        <f>INDEX(U$132:U$149,MATCH($B187,$B$132:$B$149,0))*INDEX('Resource costs'!$C$121:$C$142, MATCH($B187, 'Resource costs'!$B$121:$B$142,0))</f>
        <v>5859.6795895518071</v>
      </c>
      <c r="V187" s="90">
        <f>INDEX(V$132:V$149,MATCH($B187,$B$132:$B$149,0))*INDEX('Resource costs'!$C$121:$C$142, MATCH($B187, 'Resource costs'!$B$121:$B$142,0))</f>
        <v>5936.0217960807813</v>
      </c>
      <c r="W187" s="90">
        <f>INDEX(W$132:W$149,MATCH($B187,$B$132:$B$149,0))*INDEX('Resource costs'!$C$121:$C$142, MATCH($B187, 'Resource costs'!$B$121:$B$142,0))</f>
        <v>6012.0459261987708</v>
      </c>
      <c r="X187" s="90">
        <f>INDEX(X$132:X$149,MATCH($B187,$B$132:$B$149,0))*INDEX('Resource costs'!$C$121:$C$142, MATCH($B187, 'Resource costs'!$B$121:$B$142,0))</f>
        <v>6086.7792563583971</v>
      </c>
      <c r="Y187" s="90">
        <f>INDEX(Y$132:Y$149,MATCH($B187,$B$132:$B$149,0))*INDEX('Resource costs'!$C$121:$C$142, MATCH($B187, 'Resource costs'!$B$121:$B$142,0))</f>
        <v>6161.4125628351167</v>
      </c>
      <c r="Z187" s="90">
        <f>INDEX(Z$132:Z$149,MATCH($B187,$B$132:$B$149,0))*INDEX('Resource costs'!$C$121:$C$142, MATCH($B187, 'Resource costs'!$B$121:$B$142,0))</f>
        <v>6235.3082499709026</v>
      </c>
      <c r="AA187" s="90">
        <f>INDEX(AA$132:AA$149,MATCH($B187,$B$132:$B$149,0))*INDEX('Resource costs'!$C$121:$C$142, MATCH($B187, 'Resource costs'!$B$121:$B$142,0))</f>
        <v>6307.7997879036102</v>
      </c>
      <c r="AB187" s="90">
        <f>INDEX(AB$132:AB$149,MATCH($B187,$B$132:$B$149,0))*INDEX('Resource costs'!$C$121:$C$142, MATCH($B187, 'Resource costs'!$B$121:$B$142,0))</f>
        <v>6378.4121519596811</v>
      </c>
      <c r="AC187" s="90">
        <f>INDEX(AC$132:AC$149,MATCH($B187,$B$132:$B$149,0))*INDEX('Resource costs'!$C$121:$C$142, MATCH($B187, 'Resource costs'!$B$121:$B$142,0))</f>
        <v>6447.4496250535094</v>
      </c>
      <c r="AD187" s="90">
        <f>INDEX(AD$132:AD$149,MATCH($B187,$B$132:$B$149,0))*INDEX('Resource costs'!$C$121:$C$142, MATCH($B187, 'Resource costs'!$B$121:$B$142,0))</f>
        <v>6514.2193973635949</v>
      </c>
      <c r="AE187" s="90">
        <f>INDEX(AE$132:AE$149,MATCH($B187,$B$132:$B$149,0))*INDEX('Resource costs'!$C$121:$C$142, MATCH($B187, 'Resource costs'!$B$121:$B$142,0))</f>
        <v>6578.1155172479521</v>
      </c>
      <c r="AF187" s="90">
        <f>INDEX(AF$132:AF$149,MATCH($B187,$B$132:$B$149,0))*INDEX('Resource costs'!$C$121:$C$142, MATCH($B187, 'Resource costs'!$B$121:$B$142,0))</f>
        <v>6638.7194906993</v>
      </c>
      <c r="AG187" s="90">
        <f>INDEX(AG$132:AG$149,MATCH($B187,$B$132:$B$149,0))*INDEX('Resource costs'!$C$121:$C$142, MATCH($B187, 'Resource costs'!$B$121:$B$142,0))</f>
        <v>6696.1810208406387</v>
      </c>
      <c r="AH187" s="90">
        <f>INDEX(AH$132:AH$149,MATCH($B187,$B$132:$B$149,0))*INDEX('Resource costs'!$C$121:$C$142, MATCH($B187, 'Resource costs'!$B$121:$B$142,0))</f>
        <v>6751.7108532206903</v>
      </c>
      <c r="AI187" s="90">
        <f>INDEX(AI$132:AI$149,MATCH($B187,$B$132:$B$149,0))*INDEX('Resource costs'!$C$121:$C$142, MATCH($B187, 'Resource costs'!$B$121:$B$142,0))</f>
        <v>6805.4570286390372</v>
      </c>
      <c r="AJ187" s="90">
        <f>INDEX(AJ$132:AJ$149,MATCH($B187,$B$132:$B$149,0))*INDEX('Resource costs'!$C$121:$C$142, MATCH($B187, 'Resource costs'!$B$121:$B$142,0))</f>
        <v>6858.1279649023318</v>
      </c>
      <c r="AK187" s="90">
        <f>INDEX(AK$132:AK$149,MATCH($B187,$B$132:$B$149,0))*INDEX('Resource costs'!$C$121:$C$142, MATCH($B187, 'Resource costs'!$B$121:$B$142,0))</f>
        <v>6908.9996650217809</v>
      </c>
      <c r="AL187" s="90">
        <f>INDEX(AL$132:AL$149,MATCH($B187,$B$132:$B$149,0))*INDEX('Resource costs'!$C$121:$C$142, MATCH($B187, 'Resource costs'!$B$121:$B$142,0))</f>
        <v>6956.9475206799525</v>
      </c>
      <c r="AM187" s="90">
        <f>INDEX(AM$132:AM$149,MATCH($B187,$B$132:$B$149,0))*INDEX('Resource costs'!$C$121:$C$142, MATCH($B187, 'Resource costs'!$B$121:$B$142,0))</f>
        <v>7001.3605597368787</v>
      </c>
      <c r="AN187" s="90">
        <f>INDEX(AN$132:AN$149,MATCH($B187,$B$132:$B$149,0))*INDEX('Resource costs'!$C$121:$C$142, MATCH($B187, 'Resource costs'!$B$121:$B$142,0))</f>
        <v>7041.8596571262588</v>
      </c>
      <c r="AO187" s="90">
        <f>INDEX(AO$132:AO$149,MATCH($B187,$B$132:$B$149,0))*INDEX('Resource costs'!$C$121:$C$142, MATCH($B187, 'Resource costs'!$B$121:$B$142,0))</f>
        <v>7078.1605780131385</v>
      </c>
      <c r="AP187" s="90">
        <f>INDEX(AP$132:AP$149,MATCH($B187,$B$132:$B$149,0))*INDEX('Resource costs'!$C$121:$C$142, MATCH($B187, 'Resource costs'!$B$121:$B$142,0))</f>
        <v>7110.00164559531</v>
      </c>
      <c r="AQ187" s="90">
        <f>INDEX(AQ$132:AQ$149,MATCH($B187,$B$132:$B$149,0))*INDEX('Resource costs'!$C$121:$C$142, MATCH($B187, 'Resource costs'!$B$121:$B$142,0))</f>
        <v>7139.3290125914882</v>
      </c>
      <c r="AR187" s="90">
        <f>INDEX(AR$132:AR$149,MATCH($B187,$B$132:$B$149,0))*INDEX('Resource costs'!$C$121:$C$142, MATCH($B187, 'Resource costs'!$B$121:$B$142,0))</f>
        <v>7167.9562820554083</v>
      </c>
      <c r="AS187" s="90">
        <f>INDEX(AS$132:AS$149,MATCH($B187,$B$132:$B$149,0))*INDEX('Resource costs'!$C$121:$C$142, MATCH($B187, 'Resource costs'!$B$121:$B$142,0))</f>
        <v>7197.190252062268</v>
      </c>
      <c r="AT187" s="90">
        <f>INDEX(AT$132:AT$149,MATCH($B187,$B$132:$B$149,0))*INDEX('Resource costs'!$C$121:$C$142, MATCH($B187, 'Resource costs'!$B$121:$B$142,0))</f>
        <v>7219.391132324201</v>
      </c>
      <c r="AU187" s="90">
        <f>INDEX(AU$132:AU$149,MATCH($B187,$B$132:$B$149,0))*INDEX('Resource costs'!$C$121:$C$142, MATCH($B187, 'Resource costs'!$B$121:$B$142,0))</f>
        <v>7236.8502592397181</v>
      </c>
      <c r="AV187" s="90">
        <f>INDEX(AV$132:AV$149,MATCH($B187,$B$132:$B$149,0))*INDEX('Resource costs'!$C$121:$C$142, MATCH($B187, 'Resource costs'!$B$121:$B$142,0))</f>
        <v>7251.1262794455488</v>
      </c>
      <c r="AW187" s="90">
        <f>INDEX(AW$132:AW$149,MATCH($B187,$B$132:$B$149,0))*INDEX('Resource costs'!$C$121:$C$142, MATCH($B187, 'Resource costs'!$B$121:$B$142,0))</f>
        <v>7258.7723334508519</v>
      </c>
      <c r="AX187" s="90">
        <f>INDEX(AX$132:AX$149,MATCH($B187,$B$132:$B$149,0))*INDEX('Resource costs'!$C$121:$C$142, MATCH($B187, 'Resource costs'!$B$121:$B$142,0))</f>
        <v>7262.4037963407045</v>
      </c>
      <c r="AY187" s="90">
        <f>INDEX(AY$132:AY$149,MATCH($B187,$B$132:$B$149,0))*INDEX('Resource costs'!$C$121:$C$142, MATCH($B187, 'Resource costs'!$B$121:$B$142,0))</f>
        <v>7263.6742747764874</v>
      </c>
      <c r="AZ187" s="90">
        <f>INDEX(AZ$132:AZ$149,MATCH($B187,$B$132:$B$149,0))*INDEX('Resource costs'!$C$121:$C$142, MATCH($B187, 'Resource costs'!$B$121:$B$142,0))</f>
        <v>7263.6177150025651</v>
      </c>
      <c r="BA187" s="90">
        <f>INDEX(BA$132:BA$149,MATCH($B187,$B$132:$B$149,0))*INDEX('Resource costs'!$C$121:$C$142, MATCH($B187, 'Resource costs'!$B$121:$B$142,0))</f>
        <v>7262.8704338886419</v>
      </c>
      <c r="BB187" s="90">
        <f>INDEX(BB$132:BB$149,MATCH($B187,$B$132:$B$149,0))*INDEX('Resource costs'!$C$121:$C$142, MATCH($B187, 'Resource costs'!$B$121:$B$142,0))</f>
        <v>7261.8152310705673</v>
      </c>
    </row>
    <row r="188" spans="2:54" ht="29">
      <c r="B188" s="6" t="s">
        <v>107</v>
      </c>
      <c r="C188" s="52"/>
      <c r="D188" s="90">
        <f>INDEX(D$132:D$149,MATCH($B188,$B$132:$B$149,0))*INDEX('Resource costs'!$C$121:$C$142, MATCH($B188, 'Resource costs'!$B$121:$B$142,0))</f>
        <v>8943.7104445652021</v>
      </c>
      <c r="E188" s="90">
        <f>INDEX(E$132:E$149,MATCH($B188,$B$132:$B$149,0))*INDEX('Resource costs'!$C$121:$C$142, MATCH($B188, 'Resource costs'!$B$121:$B$142,0))</f>
        <v>9287.5015134829282</v>
      </c>
      <c r="F188" s="90">
        <f>INDEX(F$132:F$149,MATCH($B188,$B$132:$B$149,0))*INDEX('Resource costs'!$C$121:$C$142, MATCH($B188, 'Resource costs'!$B$121:$B$142,0))</f>
        <v>9584.4038145380109</v>
      </c>
      <c r="G188" s="90">
        <f>INDEX(G$132:G$149,MATCH($B188,$B$132:$B$149,0))*INDEX('Resource costs'!$C$121:$C$142, MATCH($B188, 'Resource costs'!$B$121:$B$142,0))</f>
        <v>9847.9976473785209</v>
      </c>
      <c r="H188" s="90">
        <f>INDEX(H$132:H$149,MATCH($B188,$B$132:$B$149,0))*INDEX('Resource costs'!$C$121:$C$142, MATCH($B188, 'Resource costs'!$B$121:$B$142,0))</f>
        <v>14965.057381377574</v>
      </c>
      <c r="I188" s="90">
        <f>INDEX(I$132:I$149,MATCH($B188,$B$132:$B$149,0))*INDEX('Resource costs'!$C$121:$C$142, MATCH($B188, 'Resource costs'!$B$121:$B$142,0))</f>
        <v>13711.781735278077</v>
      </c>
      <c r="J188" s="90">
        <f>INDEX(J$132:J$149,MATCH($B188,$B$132:$B$149,0))*INDEX('Resource costs'!$C$121:$C$142, MATCH($B188, 'Resource costs'!$B$121:$B$142,0))</f>
        <v>12921.460456253162</v>
      </c>
      <c r="K188" s="90">
        <f>INDEX(K$132:K$149,MATCH($B188,$B$132:$B$149,0))*INDEX('Resource costs'!$C$121:$C$142, MATCH($B188, 'Resource costs'!$B$121:$B$142,0))</f>
        <v>12447.487132209937</v>
      </c>
      <c r="L188" s="90">
        <f>INDEX(L$132:L$149,MATCH($B188,$B$132:$B$149,0))*INDEX('Resource costs'!$C$121:$C$142, MATCH($B188, 'Resource costs'!$B$121:$B$142,0))</f>
        <v>12208.670084057014</v>
      </c>
      <c r="M188" s="90">
        <f>INDEX(M$132:M$149,MATCH($B188,$B$132:$B$149,0))*INDEX('Resource costs'!$C$121:$C$142, MATCH($B188, 'Resource costs'!$B$121:$B$142,0))</f>
        <v>12118.054229152067</v>
      </c>
      <c r="N188" s="90">
        <f>INDEX(N$132:N$149,MATCH($B188,$B$132:$B$149,0))*INDEX('Resource costs'!$C$121:$C$142, MATCH($B188, 'Resource costs'!$B$121:$B$142,0))</f>
        <v>12122.080310752881</v>
      </c>
      <c r="O188" s="90">
        <f>INDEX(O$132:O$149,MATCH($B188,$B$132:$B$149,0))*INDEX('Resource costs'!$C$121:$C$142, MATCH($B188, 'Resource costs'!$B$121:$B$142,0))</f>
        <v>12193.539388887077</v>
      </c>
      <c r="P188" s="90">
        <f>INDEX(P$132:P$149,MATCH($B188,$B$132:$B$149,0))*INDEX('Resource costs'!$C$121:$C$142, MATCH($B188, 'Resource costs'!$B$121:$B$142,0))</f>
        <v>12301.075203743363</v>
      </c>
      <c r="Q188" s="90">
        <f>INDEX(Q$132:Q$149,MATCH($B188,$B$132:$B$149,0))*INDEX('Resource costs'!$C$121:$C$142, MATCH($B188, 'Resource costs'!$B$121:$B$142,0))</f>
        <v>12430.394218742873</v>
      </c>
      <c r="R188" s="90">
        <f>INDEX(R$132:R$149,MATCH($B188,$B$132:$B$149,0))*INDEX('Resource costs'!$C$121:$C$142, MATCH($B188, 'Resource costs'!$B$121:$B$142,0))</f>
        <v>12574.960469009895</v>
      </c>
      <c r="S188" s="90">
        <f>INDEX(S$132:S$149,MATCH($B188,$B$132:$B$149,0))*INDEX('Resource costs'!$C$121:$C$142, MATCH($B188, 'Resource costs'!$B$121:$B$142,0))</f>
        <v>12728.791894642529</v>
      </c>
      <c r="T188" s="90">
        <f>INDEX(T$132:T$149,MATCH($B188,$B$132:$B$149,0))*INDEX('Resource costs'!$C$121:$C$142, MATCH($B188, 'Resource costs'!$B$121:$B$142,0))</f>
        <v>12886.718352202051</v>
      </c>
      <c r="U188" s="90">
        <f>INDEX(U$132:U$149,MATCH($B188,$B$132:$B$149,0))*INDEX('Resource costs'!$C$121:$C$142, MATCH($B188, 'Resource costs'!$B$121:$B$142,0))</f>
        <v>13048.149861611142</v>
      </c>
      <c r="V188" s="90">
        <f>INDEX(V$132:V$149,MATCH($B188,$B$132:$B$149,0))*INDEX('Resource costs'!$C$121:$C$142, MATCH($B188, 'Resource costs'!$B$121:$B$142,0))</f>
        <v>13218.14628143797</v>
      </c>
      <c r="W188" s="90">
        <f>INDEX(W$132:W$149,MATCH($B188,$B$132:$B$149,0))*INDEX('Resource costs'!$C$121:$C$142, MATCH($B188, 'Resource costs'!$B$121:$B$142,0))</f>
        <v>13387.434418735938</v>
      </c>
      <c r="X188" s="90">
        <f>INDEX(X$132:X$149,MATCH($B188,$B$132:$B$149,0))*INDEX('Resource costs'!$C$121:$C$142, MATCH($B188, 'Resource costs'!$B$121:$B$142,0))</f>
        <v>13553.84824336191</v>
      </c>
      <c r="Y188" s="90">
        <f>INDEX(Y$132:Y$149,MATCH($B188,$B$132:$B$149,0))*INDEX('Resource costs'!$C$121:$C$142, MATCH($B188, 'Resource costs'!$B$121:$B$142,0))</f>
        <v>13720.039338402703</v>
      </c>
      <c r="Z188" s="90">
        <f>INDEX(Z$132:Z$149,MATCH($B188,$B$132:$B$149,0))*INDEX('Resource costs'!$C$121:$C$142, MATCH($B188, 'Resource costs'!$B$121:$B$142,0))</f>
        <v>13884.587925938735</v>
      </c>
      <c r="AA188" s="90">
        <f>INDEX(AA$132:AA$149,MATCH($B188,$B$132:$B$149,0))*INDEX('Resource costs'!$C$121:$C$142, MATCH($B188, 'Resource costs'!$B$121:$B$142,0))</f>
        <v>14046.009798276466</v>
      </c>
      <c r="AB188" s="90">
        <f>INDEX(AB$132:AB$149,MATCH($B188,$B$132:$B$149,0))*INDEX('Resource costs'!$C$121:$C$142, MATCH($B188, 'Resource costs'!$B$121:$B$142,0))</f>
        <v>14203.247185441647</v>
      </c>
      <c r="AC188" s="90">
        <f>INDEX(AC$132:AC$149,MATCH($B188,$B$132:$B$149,0))*INDEX('Resource costs'!$C$121:$C$142, MATCH($B188, 'Resource costs'!$B$121:$B$142,0))</f>
        <v>14356.977655039578</v>
      </c>
      <c r="AD188" s="90">
        <f>INDEX(AD$132:AD$149,MATCH($B188,$B$132:$B$149,0))*INDEX('Resource costs'!$C$121:$C$142, MATCH($B188, 'Resource costs'!$B$121:$B$142,0))</f>
        <v>14505.658479991354</v>
      </c>
      <c r="AE188" s="90">
        <f>INDEX(AE$132:AE$149,MATCH($B188,$B$132:$B$149,0))*INDEX('Resource costs'!$C$121:$C$142, MATCH($B188, 'Resource costs'!$B$121:$B$142,0))</f>
        <v>14647.940346275162</v>
      </c>
      <c r="AF188" s="90">
        <f>INDEX(AF$132:AF$149,MATCH($B188,$B$132:$B$149,0))*INDEX('Resource costs'!$C$121:$C$142, MATCH($B188, 'Resource costs'!$B$121:$B$142,0))</f>
        <v>14782.891364623038</v>
      </c>
      <c r="AG188" s="90">
        <f>INDEX(AG$132:AG$149,MATCH($B188,$B$132:$B$149,0))*INDEX('Resource costs'!$C$121:$C$142, MATCH($B188, 'Resource costs'!$B$121:$B$142,0))</f>
        <v>14910.844889231883</v>
      </c>
      <c r="AH188" s="90">
        <f>INDEX(AH$132:AH$149,MATCH($B188,$B$132:$B$149,0))*INDEX('Resource costs'!$C$121:$C$142, MATCH($B188, 'Resource costs'!$B$121:$B$142,0))</f>
        <v>15034.496970136957</v>
      </c>
      <c r="AI188" s="90">
        <f>INDEX(AI$132:AI$149,MATCH($B188,$B$132:$B$149,0))*INDEX('Resource costs'!$C$121:$C$142, MATCH($B188, 'Resource costs'!$B$121:$B$142,0))</f>
        <v>15154.177259925749</v>
      </c>
      <c r="AJ188" s="90">
        <f>INDEX(AJ$132:AJ$149,MATCH($B188,$B$132:$B$149,0))*INDEX('Resource costs'!$C$121:$C$142, MATCH($B188, 'Resource costs'!$B$121:$B$142,0))</f>
        <v>15271.463241046675</v>
      </c>
      <c r="AK188" s="90">
        <f>INDEX(AK$132:AK$149,MATCH($B188,$B$132:$B$149,0))*INDEX('Resource costs'!$C$121:$C$142, MATCH($B188, 'Resource costs'!$B$121:$B$142,0))</f>
        <v>15384.742739819452</v>
      </c>
      <c r="AL188" s="90">
        <f>INDEX(AL$132:AL$149,MATCH($B188,$B$132:$B$149,0))*INDEX('Resource costs'!$C$121:$C$142, MATCH($B188, 'Resource costs'!$B$121:$B$142,0))</f>
        <v>15491.511513881138</v>
      </c>
      <c r="AM188" s="90">
        <f>INDEX(AM$132:AM$149,MATCH($B188,$B$132:$B$149,0))*INDEX('Resource costs'!$C$121:$C$142, MATCH($B188, 'Resource costs'!$B$121:$B$142,0))</f>
        <v>15590.409069723211</v>
      </c>
      <c r="AN188" s="90">
        <f>INDEX(AN$132:AN$149,MATCH($B188,$B$132:$B$149,0))*INDEX('Resource costs'!$C$121:$C$142, MATCH($B188, 'Resource costs'!$B$121:$B$142,0))</f>
        <v>15680.591183594908</v>
      </c>
      <c r="AO188" s="90">
        <f>INDEX(AO$132:AO$149,MATCH($B188,$B$132:$B$149,0))*INDEX('Resource costs'!$C$121:$C$142, MATCH($B188, 'Resource costs'!$B$121:$B$142,0))</f>
        <v>15761.424930322471</v>
      </c>
      <c r="AP188" s="90">
        <f>INDEX(AP$132:AP$149,MATCH($B188,$B$132:$B$149,0))*INDEX('Resource costs'!$C$121:$C$142, MATCH($B188, 'Resource costs'!$B$121:$B$142,0))</f>
        <v>15832.327616248622</v>
      </c>
      <c r="AQ188" s="90">
        <f>INDEX(AQ$132:AQ$149,MATCH($B188,$B$132:$B$149,0))*INDEX('Resource costs'!$C$121:$C$142, MATCH($B188, 'Resource costs'!$B$121:$B$142,0))</f>
        <v>15897.632872920833</v>
      </c>
      <c r="AR188" s="90">
        <f>INDEX(AR$132:AR$149,MATCH($B188,$B$132:$B$149,0))*INDEX('Resource costs'!$C$121:$C$142, MATCH($B188, 'Resource costs'!$B$121:$B$142,0))</f>
        <v>15961.379174469466</v>
      </c>
      <c r="AS188" s="90">
        <f>INDEX(AS$132:AS$149,MATCH($B188,$B$132:$B$149,0))*INDEX('Resource costs'!$C$121:$C$142, MATCH($B188, 'Resource costs'!$B$121:$B$142,0))</f>
        <v>16026.476457668961</v>
      </c>
      <c r="AT188" s="90">
        <f>INDEX(AT$132:AT$149,MATCH($B188,$B$132:$B$149,0))*INDEX('Resource costs'!$C$121:$C$142, MATCH($B188, 'Resource costs'!$B$121:$B$142,0))</f>
        <v>16075.912678248993</v>
      </c>
      <c r="AU188" s="90">
        <f>INDEX(AU$132:AU$149,MATCH($B188,$B$132:$B$149,0))*INDEX('Resource costs'!$C$121:$C$142, MATCH($B188, 'Resource costs'!$B$121:$B$142,0))</f>
        <v>16114.790111897884</v>
      </c>
      <c r="AV188" s="90">
        <f>INDEX(AV$132:AV$149,MATCH($B188,$B$132:$B$149,0))*INDEX('Resource costs'!$C$121:$C$142, MATCH($B188, 'Resource costs'!$B$121:$B$142,0))</f>
        <v>16146.579503830715</v>
      </c>
      <c r="AW188" s="90">
        <f>INDEX(AW$132:AW$149,MATCH($B188,$B$132:$B$149,0))*INDEX('Resource costs'!$C$121:$C$142, MATCH($B188, 'Resource costs'!$B$121:$B$142,0))</f>
        <v>16163.605495949643</v>
      </c>
      <c r="AX188" s="90">
        <f>INDEX(AX$132:AX$149,MATCH($B188,$B$132:$B$149,0))*INDEX('Resource costs'!$C$121:$C$142, MATCH($B188, 'Resource costs'!$B$121:$B$142,0))</f>
        <v>16171.691923079237</v>
      </c>
      <c r="AY188" s="90">
        <f>INDEX(AY$132:AY$149,MATCH($B188,$B$132:$B$149,0))*INDEX('Resource costs'!$C$121:$C$142, MATCH($B188, 'Resource costs'!$B$121:$B$142,0))</f>
        <v>16174.520984425117</v>
      </c>
      <c r="AZ188" s="90">
        <f>INDEX(AZ$132:AZ$149,MATCH($B188,$B$132:$B$149,0))*INDEX('Resource costs'!$C$121:$C$142, MATCH($B188, 'Resource costs'!$B$121:$B$142,0))</f>
        <v>16174.39503890284</v>
      </c>
      <c r="BA188" s="90">
        <f>INDEX(BA$132:BA$149,MATCH($B188,$B$132:$B$149,0))*INDEX('Resource costs'!$C$121:$C$142, MATCH($B188, 'Resource costs'!$B$121:$B$142,0))</f>
        <v>16172.731016866446</v>
      </c>
      <c r="BB188" s="90">
        <f>INDEX(BB$132:BB$149,MATCH($B188,$B$132:$B$149,0))*INDEX('Resource costs'!$C$121:$C$142, MATCH($B188, 'Resource costs'!$B$121:$B$142,0))</f>
        <v>16170.381324482381</v>
      </c>
    </row>
    <row r="189" spans="2:54">
      <c r="B189" s="6" t="s">
        <v>2863</v>
      </c>
      <c r="C189" s="52"/>
      <c r="D189" s="90">
        <f>INDEX(D$132:D$149,MATCH($B189,$B$132:$B$149,0))*INDEX('Resource costs'!$C$121:$C$142, MATCH($B189, 'Resource costs'!$B$121:$B$142,0))</f>
        <v>428.76953734284888</v>
      </c>
      <c r="E189" s="90">
        <f>INDEX(E$132:E$149,MATCH($B189,$B$132:$B$149,0))*INDEX('Resource costs'!$C$121:$C$142, MATCH($B189, 'Resource costs'!$B$121:$B$142,0))</f>
        <v>446.83015375379449</v>
      </c>
      <c r="F189" s="90">
        <f>INDEX(F$132:F$149,MATCH($B189,$B$132:$B$149,0))*INDEX('Resource costs'!$C$121:$C$142, MATCH($B189, 'Resource costs'!$B$121:$B$142,0))</f>
        <v>462.70357480368637</v>
      </c>
      <c r="G189" s="90">
        <f>INDEX(G$132:G$149,MATCH($B189,$B$132:$B$149,0))*INDEX('Resource costs'!$C$121:$C$142, MATCH($B189, 'Resource costs'!$B$121:$B$142,0))</f>
        <v>477.0325743404278</v>
      </c>
      <c r="H189" s="90">
        <f>INDEX(H$132:H$149,MATCH($B189,$B$132:$B$149,0))*INDEX('Resource costs'!$C$121:$C$142, MATCH($B189, 'Resource costs'!$B$121:$B$142,0))</f>
        <v>738.15184855012035</v>
      </c>
      <c r="I189" s="90">
        <f>INDEX(I$132:I$149,MATCH($B189,$B$132:$B$149,0))*INDEX('Resource costs'!$C$121:$C$142, MATCH($B189, 'Resource costs'!$B$121:$B$142,0))</f>
        <v>732.77593203425431</v>
      </c>
      <c r="J189" s="90">
        <f>INDEX(J$132:J$149,MATCH($B189,$B$132:$B$149,0))*INDEX('Resource costs'!$C$121:$C$142, MATCH($B189, 'Resource costs'!$B$121:$B$142,0))</f>
        <v>745.34935453364312</v>
      </c>
      <c r="K189" s="90">
        <f>INDEX(K$132:K$149,MATCH($B189,$B$132:$B$149,0))*INDEX('Resource costs'!$C$121:$C$142, MATCH($B189, 'Resource costs'!$B$121:$B$142,0))</f>
        <v>770.43473483654259</v>
      </c>
      <c r="L189" s="90">
        <f>INDEX(L$132:L$149,MATCH($B189,$B$132:$B$149,0))*INDEX('Resource costs'!$C$121:$C$142, MATCH($B189, 'Resource costs'!$B$121:$B$142,0))</f>
        <v>805.24472718596019</v>
      </c>
      <c r="M189" s="90">
        <f>INDEX(M$132:M$149,MATCH($B189,$B$132:$B$149,0))*INDEX('Resource costs'!$C$121:$C$142, MATCH($B189, 'Resource costs'!$B$121:$B$142,0))</f>
        <v>846.40706672924489</v>
      </c>
      <c r="N189" s="90">
        <f>INDEX(N$132:N$149,MATCH($B189,$B$132:$B$149,0))*INDEX('Resource costs'!$C$121:$C$142, MATCH($B189, 'Resource costs'!$B$121:$B$142,0))</f>
        <v>891.85717754622863</v>
      </c>
      <c r="O189" s="90">
        <f>INDEX(O$132:O$149,MATCH($B189,$B$132:$B$149,0))*INDEX('Resource costs'!$C$121:$C$142, MATCH($B189, 'Resource costs'!$B$121:$B$142,0))</f>
        <v>939.03953281419388</v>
      </c>
      <c r="P189" s="90">
        <f>INDEX(P$132:P$149,MATCH($B189,$B$132:$B$149,0))*INDEX('Resource costs'!$C$121:$C$142, MATCH($B189, 'Resource costs'!$B$121:$B$142,0))</f>
        <v>988.19150468987903</v>
      </c>
      <c r="Q189" s="90">
        <f>INDEX(Q$132:Q$149,MATCH($B189,$B$132:$B$149,0))*INDEX('Resource costs'!$C$121:$C$142, MATCH($B189, 'Resource costs'!$B$121:$B$142,0))</f>
        <v>1038.7574169193458</v>
      </c>
      <c r="R189" s="90">
        <f>INDEX(R$132:R$149,MATCH($B189,$B$132:$B$149,0))*INDEX('Resource costs'!$C$121:$C$142, MATCH($B189, 'Resource costs'!$B$121:$B$142,0))</f>
        <v>1090.505013918503</v>
      </c>
      <c r="S189" s="90">
        <f>INDEX(S$132:S$149,MATCH($B189,$B$132:$B$149,0))*INDEX('Resource costs'!$C$121:$C$142, MATCH($B189, 'Resource costs'!$B$121:$B$142,0))</f>
        <v>1089.0988931979268</v>
      </c>
      <c r="T189" s="90">
        <f>INDEX(T$132:T$149,MATCH($B189,$B$132:$B$149,0))*INDEX('Resource costs'!$C$121:$C$142, MATCH($B189, 'Resource costs'!$B$121:$B$142,0))</f>
        <v>1093.1476006925427</v>
      </c>
      <c r="U189" s="90">
        <f>INDEX(U$132:U$149,MATCH($B189,$B$132:$B$149,0))*INDEX('Resource costs'!$C$121:$C$142, MATCH($B189, 'Resource costs'!$B$121:$B$142,0))</f>
        <v>1100.9087466594858</v>
      </c>
      <c r="V189" s="90">
        <f>INDEX(V$132:V$149,MATCH($B189,$B$132:$B$149,0))*INDEX('Resource costs'!$C$121:$C$142, MATCH($B189, 'Resource costs'!$B$121:$B$142,0))</f>
        <v>1111.4613890114867</v>
      </c>
      <c r="W189" s="90">
        <f>INDEX(W$132:W$149,MATCH($B189,$B$132:$B$149,0))*INDEX('Resource costs'!$C$121:$C$142, MATCH($B189, 'Resource costs'!$B$121:$B$142,0))</f>
        <v>1123.5060712690781</v>
      </c>
      <c r="X189" s="90">
        <f>INDEX(X$132:X$149,MATCH($B189,$B$132:$B$149,0))*INDEX('Resource costs'!$C$121:$C$142, MATCH($B189, 'Resource costs'!$B$121:$B$142,0))</f>
        <v>1136.3808330906102</v>
      </c>
      <c r="Y189" s="90">
        <f>INDEX(Y$132:Y$149,MATCH($B189,$B$132:$B$149,0))*INDEX('Resource costs'!$C$121:$C$142, MATCH($B189, 'Resource costs'!$B$121:$B$142,0))</f>
        <v>1149.8511238492802</v>
      </c>
      <c r="Z189" s="90">
        <f>INDEX(Z$132:Z$149,MATCH($B189,$B$132:$B$149,0))*INDEX('Resource costs'!$C$121:$C$142, MATCH($B189, 'Resource costs'!$B$121:$B$142,0))</f>
        <v>1163.5948922030259</v>
      </c>
      <c r="AA189" s="90">
        <f>INDEX(AA$132:AA$149,MATCH($B189,$B$132:$B$149,0))*INDEX('Resource costs'!$C$121:$C$142, MATCH($B189, 'Resource costs'!$B$121:$B$142,0))</f>
        <v>1177.3987313738469</v>
      </c>
      <c r="AB189" s="90">
        <f>INDEX(AB$132:AB$149,MATCH($B189,$B$132:$B$149,0))*INDEX('Resource costs'!$C$121:$C$142, MATCH($B189, 'Resource costs'!$B$121:$B$142,0))</f>
        <v>1191.1179139491171</v>
      </c>
      <c r="AC189" s="90">
        <f>INDEX(AC$132:AC$149,MATCH($B189,$B$132:$B$149,0))*INDEX('Resource costs'!$C$121:$C$142, MATCH($B189, 'Resource costs'!$B$121:$B$142,0))</f>
        <v>1204.7129946527959</v>
      </c>
      <c r="AD189" s="90">
        <f>INDEX(AD$132:AD$149,MATCH($B189,$B$132:$B$149,0))*INDEX('Resource costs'!$C$121:$C$142, MATCH($B189, 'Resource costs'!$B$121:$B$142,0))</f>
        <v>1218.0608681622455</v>
      </c>
      <c r="AE189" s="90">
        <f>INDEX(AE$132:AE$149,MATCH($B189,$B$132:$B$149,0))*INDEX('Resource costs'!$C$121:$C$142, MATCH($B189, 'Resource costs'!$B$121:$B$142,0))</f>
        <v>1231.0614294405887</v>
      </c>
      <c r="AF189" s="90">
        <f>INDEX(AF$132:AF$149,MATCH($B189,$B$132:$B$149,0))*INDEX('Resource costs'!$C$121:$C$142, MATCH($B189, 'Resource costs'!$B$121:$B$142,0))</f>
        <v>1243.6321418320833</v>
      </c>
      <c r="AG189" s="90">
        <f>INDEX(AG$132:AG$149,MATCH($B189,$B$132:$B$149,0))*INDEX('Resource costs'!$C$121:$C$142, MATCH($B189, 'Resource costs'!$B$121:$B$142,0))</f>
        <v>1255.7299392619432</v>
      </c>
      <c r="AH189" s="90">
        <f>INDEX(AH$132:AH$149,MATCH($B189,$B$132:$B$149,0))*INDEX('Resource costs'!$C$121:$C$142, MATCH($B189, 'Resource costs'!$B$121:$B$142,0))</f>
        <v>1267.4631203053777</v>
      </c>
      <c r="AI189" s="90">
        <f>INDEX(AI$132:AI$149,MATCH($B189,$B$132:$B$149,0))*INDEX('Resource costs'!$C$121:$C$142, MATCH($B189, 'Resource costs'!$B$121:$B$142,0))</f>
        <v>1278.8424691759767</v>
      </c>
      <c r="AJ189" s="90">
        <f>INDEX(AJ$132:AJ$149,MATCH($B189,$B$132:$B$149,0))*INDEX('Resource costs'!$C$121:$C$142, MATCH($B189, 'Resource costs'!$B$121:$B$142,0))</f>
        <v>1289.9310939393542</v>
      </c>
      <c r="AK189" s="90">
        <f>INDEX(AK$132:AK$149,MATCH($B189,$B$132:$B$149,0))*INDEX('Resource costs'!$C$121:$C$142, MATCH($B189, 'Resource costs'!$B$121:$B$142,0))</f>
        <v>1300.64738290588</v>
      </c>
      <c r="AL189" s="90">
        <f>INDEX(AL$132:AL$149,MATCH($B189,$B$132:$B$149,0))*INDEX('Resource costs'!$C$121:$C$142, MATCH($B189, 'Resource costs'!$B$121:$B$142,0))</f>
        <v>1310.8656415679056</v>
      </c>
      <c r="AM189" s="90">
        <f>INDEX(AM$132:AM$149,MATCH($B189,$B$132:$B$149,0))*INDEX('Resource costs'!$C$121:$C$142, MATCH($B189, 'Resource costs'!$B$121:$B$142,0))</f>
        <v>1320.5106810024849</v>
      </c>
      <c r="AN189" s="90">
        <f>INDEX(AN$132:AN$149,MATCH($B189,$B$132:$B$149,0))*INDEX('Resource costs'!$C$121:$C$142, MATCH($B189, 'Resource costs'!$B$121:$B$142,0))</f>
        <v>1329.5249370392617</v>
      </c>
      <c r="AO189" s="90">
        <f>INDEX(AO$132:AO$149,MATCH($B189,$B$132:$B$149,0))*INDEX('Resource costs'!$C$121:$C$142, MATCH($B189, 'Resource costs'!$B$121:$B$142,0))</f>
        <v>1337.8637824018806</v>
      </c>
      <c r="AP189" s="90">
        <f>INDEX(AP$132:AP$149,MATCH($B189,$B$132:$B$149,0))*INDEX('Resource costs'!$C$121:$C$142, MATCH($B189, 'Resource costs'!$B$121:$B$142,0))</f>
        <v>1345.4877204277984</v>
      </c>
      <c r="AQ189" s="90">
        <f>INDEX(AQ$132:AQ$149,MATCH($B189,$B$132:$B$149,0))*INDEX('Resource costs'!$C$121:$C$142, MATCH($B189, 'Resource costs'!$B$121:$B$142,0))</f>
        <v>1352.5988719192351</v>
      </c>
      <c r="AR189" s="90">
        <f>INDEX(AR$132:AR$149,MATCH($B189,$B$132:$B$149,0))*INDEX('Resource costs'!$C$121:$C$142, MATCH($B189, 'Resource costs'!$B$121:$B$142,0))</f>
        <v>1359.399868696637</v>
      </c>
      <c r="AS189" s="90">
        <f>INDEX(AS$132:AS$149,MATCH($B189,$B$132:$B$149,0))*INDEX('Resource costs'!$C$121:$C$142, MATCH($B189, 'Resource costs'!$B$121:$B$142,0))</f>
        <v>1366.043191989553</v>
      </c>
      <c r="AT189" s="90">
        <f>INDEX(AT$132:AT$149,MATCH($B189,$B$132:$B$149,0))*INDEX('Resource costs'!$C$121:$C$142, MATCH($B189, 'Resource costs'!$B$121:$B$142,0))</f>
        <v>1371.717158301467</v>
      </c>
      <c r="AU189" s="90">
        <f>INDEX(AU$132:AU$149,MATCH($B189,$B$132:$B$149,0))*INDEX('Resource costs'!$C$121:$C$142, MATCH($B189, 'Resource costs'!$B$121:$B$142,0))</f>
        <v>1376.621627477396</v>
      </c>
      <c r="AV189" s="90">
        <f>INDEX(AV$132:AV$149,MATCH($B189,$B$132:$B$149,0))*INDEX('Resource costs'!$C$121:$C$142, MATCH($B189, 'Resource costs'!$B$121:$B$142,0))</f>
        <v>1380.9017832502566</v>
      </c>
      <c r="AW189" s="90">
        <f>INDEX(AW$132:AW$149,MATCH($B189,$B$132:$B$149,0))*INDEX('Resource costs'!$C$121:$C$142, MATCH($B189, 'Resource costs'!$B$121:$B$142,0))</f>
        <v>1384.1802927942304</v>
      </c>
      <c r="AX189" s="90">
        <f>INDEX(AX$132:AX$149,MATCH($B189,$B$132:$B$149,0))*INDEX('Resource costs'!$C$121:$C$142, MATCH($B189, 'Resource costs'!$B$121:$B$142,0))</f>
        <v>1386.7160912927623</v>
      </c>
      <c r="AY189" s="90">
        <f>INDEX(AY$132:AY$149,MATCH($B189,$B$132:$B$149,0))*INDEX('Resource costs'!$C$121:$C$142, MATCH($B189, 'Resource costs'!$B$121:$B$142,0))</f>
        <v>1388.6883302779497</v>
      </c>
      <c r="AZ189" s="90">
        <f>INDEX(AZ$132:AZ$149,MATCH($B189,$B$132:$B$149,0))*INDEX('Resource costs'!$C$121:$C$142, MATCH($B189, 'Resource costs'!$B$121:$B$142,0))</f>
        <v>1390.2248279929991</v>
      </c>
      <c r="BA189" s="90">
        <f>INDEX(BA$132:BA$149,MATCH($B189,$B$132:$B$149,0))*INDEX('Resource costs'!$C$121:$C$142, MATCH($B189, 'Resource costs'!$B$121:$B$142,0))</f>
        <v>1391.4208961667289</v>
      </c>
      <c r="BB189" s="90">
        <f>INDEX(BB$132:BB$149,MATCH($B189,$B$132:$B$149,0))*INDEX('Resource costs'!$C$121:$C$142, MATCH($B189, 'Resource costs'!$B$121:$B$142,0))</f>
        <v>1392.3333601430261</v>
      </c>
    </row>
    <row r="190" spans="2:54">
      <c r="B190" s="6" t="s">
        <v>2862</v>
      </c>
      <c r="C190" s="52"/>
      <c r="D190" s="90">
        <f>INDEX(D$132:D$149,MATCH($B190,$B$132:$B$149,0))*INDEX('Resource costs'!$C$121:$C$142, MATCH($B190, 'Resource costs'!$B$121:$B$142,0))</f>
        <v>556.37506812820197</v>
      </c>
      <c r="E190" s="90">
        <f>INDEX(E$132:E$149,MATCH($B190,$B$132:$B$149,0))*INDEX('Resource costs'!$C$121:$C$142, MATCH($B190, 'Resource costs'!$B$121:$B$142,0))</f>
        <v>579.81068052816192</v>
      </c>
      <c r="F190" s="90">
        <f>INDEX(F$132:F$149,MATCH($B190,$B$132:$B$149,0))*INDEX('Resource costs'!$C$121:$C$142, MATCH($B190, 'Resource costs'!$B$121:$B$142,0))</f>
        <v>600.40816926953073</v>
      </c>
      <c r="G190" s="90">
        <f>INDEX(G$132:G$149,MATCH($B190,$B$132:$B$149,0))*INDEX('Resource costs'!$C$121:$C$142, MATCH($B190, 'Resource costs'!$B$121:$B$142,0))</f>
        <v>619.001603268758</v>
      </c>
      <c r="H190" s="90">
        <f>INDEX(H$132:H$149,MATCH($B190,$B$132:$B$149,0))*INDEX('Resource costs'!$C$121:$C$142, MATCH($B190, 'Resource costs'!$B$121:$B$142,0))</f>
        <v>957.8322368028671</v>
      </c>
      <c r="I190" s="90">
        <f>INDEX(I$132:I$149,MATCH($B190,$B$132:$B$149,0))*INDEX('Resource costs'!$C$121:$C$142, MATCH($B190, 'Resource costs'!$B$121:$B$142,0))</f>
        <v>950.8564009347167</v>
      </c>
      <c r="J190" s="90">
        <f>INDEX(J$132:J$149,MATCH($B190,$B$132:$B$149,0))*INDEX('Resource costs'!$C$121:$C$142, MATCH($B190, 'Resource costs'!$B$121:$B$142,0))</f>
        <v>967.17178295335214</v>
      </c>
      <c r="K190" s="90">
        <f>INDEX(K$132:K$149,MATCH($B190,$B$132:$B$149,0))*INDEX('Resource costs'!$C$121:$C$142, MATCH($B190, 'Resource costs'!$B$121:$B$142,0))</f>
        <v>999.72278986848994</v>
      </c>
      <c r="L190" s="90">
        <f>INDEX(L$132:L$149,MATCH($B190,$B$132:$B$149,0))*INDEX('Resource costs'!$C$121:$C$142, MATCH($B190, 'Resource costs'!$B$121:$B$142,0))</f>
        <v>1044.8925376658085</v>
      </c>
      <c r="M190" s="90">
        <f>INDEX(M$132:M$149,MATCH($B190,$B$132:$B$149,0))*INDEX('Resource costs'!$C$121:$C$142, MATCH($B190, 'Resource costs'!$B$121:$B$142,0))</f>
        <v>1098.3051462425196</v>
      </c>
      <c r="N190" s="90">
        <f>INDEX(N$132:N$149,MATCH($B190,$B$132:$B$149,0))*INDEX('Resource costs'!$C$121:$C$142, MATCH($B190, 'Resource costs'!$B$121:$B$142,0))</f>
        <v>1157.2816039893619</v>
      </c>
      <c r="O190" s="90">
        <f>INDEX(O$132:O$149,MATCH($B190,$B$132:$B$149,0))*INDEX('Resource costs'!$C$121:$C$142, MATCH($B190, 'Resource costs'!$B$121:$B$142,0))</f>
        <v>1218.5058371504799</v>
      </c>
      <c r="P190" s="90">
        <f>INDEX(P$132:P$149,MATCH($B190,$B$132:$B$149,0))*INDEX('Resource costs'!$C$121:$C$142, MATCH($B190, 'Resource costs'!$B$121:$B$142,0))</f>
        <v>1282.2858618939422</v>
      </c>
      <c r="Q190" s="90">
        <f>INDEX(Q$132:Q$149,MATCH($B190,$B$132:$B$149,0))*INDEX('Resource costs'!$C$121:$C$142, MATCH($B190, 'Resource costs'!$B$121:$B$142,0))</f>
        <v>1347.9006278961695</v>
      </c>
      <c r="R190" s="90">
        <f>INDEX(R$132:R$149,MATCH($B190,$B$132:$B$149,0))*INDEX('Resource costs'!$C$121:$C$142, MATCH($B190, 'Resource costs'!$B$121:$B$142,0))</f>
        <v>1415.0487582981086</v>
      </c>
      <c r="S190" s="90">
        <f>INDEX(S$132:S$149,MATCH($B190,$B$132:$B$149,0))*INDEX('Resource costs'!$C$121:$C$142, MATCH($B190, 'Resource costs'!$B$121:$B$142,0))</f>
        <v>1413.2241638631699</v>
      </c>
      <c r="T190" s="90">
        <f>INDEX(T$132:T$149,MATCH($B190,$B$132:$B$149,0))*INDEX('Resource costs'!$C$121:$C$142, MATCH($B190, 'Resource costs'!$B$121:$B$142,0))</f>
        <v>1418.4778018014147</v>
      </c>
      <c r="U190" s="90">
        <f>INDEX(U$132:U$149,MATCH($B190,$B$132:$B$149,0))*INDEX('Resource costs'!$C$121:$C$142, MATCH($B190, 'Resource costs'!$B$121:$B$142,0))</f>
        <v>1428.5487320798829</v>
      </c>
      <c r="V190" s="90">
        <f>INDEX(V$132:V$149,MATCH($B190,$B$132:$B$149,0))*INDEX('Resource costs'!$C$121:$C$142, MATCH($B190, 'Resource costs'!$B$121:$B$142,0))</f>
        <v>1442.2419322636274</v>
      </c>
      <c r="W190" s="90">
        <f>INDEX(W$132:W$149,MATCH($B190,$B$132:$B$149,0))*INDEX('Resource costs'!$C$121:$C$142, MATCH($B190, 'Resource costs'!$B$121:$B$142,0))</f>
        <v>1457.8712163615119</v>
      </c>
      <c r="X190" s="90">
        <f>INDEX(X$132:X$149,MATCH($B190,$B$132:$B$149,0))*INDEX('Resource costs'!$C$121:$C$142, MATCH($B190, 'Resource costs'!$B$121:$B$142,0))</f>
        <v>1474.5776188964976</v>
      </c>
      <c r="Y190" s="90">
        <f>INDEX(Y$132:Y$149,MATCH($B190,$B$132:$B$149,0))*INDEX('Resource costs'!$C$121:$C$142, MATCH($B190, 'Resource costs'!$B$121:$B$142,0))</f>
        <v>1492.0567849422166</v>
      </c>
      <c r="Z190" s="90">
        <f>INDEX(Z$132:Z$149,MATCH($B190,$B$132:$B$149,0))*INDEX('Resource costs'!$C$121:$C$142, MATCH($B190, 'Resource costs'!$B$121:$B$142,0))</f>
        <v>1509.8908178857441</v>
      </c>
      <c r="AA190" s="90">
        <f>INDEX(AA$132:AA$149,MATCH($B190,$B$132:$B$149,0))*INDEX('Resource costs'!$C$121:$C$142, MATCH($B190, 'Resource costs'!$B$121:$B$142,0))</f>
        <v>1527.8027992421885</v>
      </c>
      <c r="AB190" s="90">
        <f>INDEX(AB$132:AB$149,MATCH($B190,$B$132:$B$149,0))*INDEX('Resource costs'!$C$121:$C$142, MATCH($B190, 'Resource costs'!$B$121:$B$142,0))</f>
        <v>1545.6049294664626</v>
      </c>
      <c r="AC190" s="90">
        <f>INDEX(AC$132:AC$149,MATCH($B190,$B$132:$B$149,0))*INDEX('Resource costs'!$C$121:$C$142, MATCH($B190, 'Resource costs'!$B$121:$B$142,0))</f>
        <v>1563.2460240264745</v>
      </c>
      <c r="AD190" s="90">
        <f>INDEX(AD$132:AD$149,MATCH($B190,$B$132:$B$149,0))*INDEX('Resource costs'!$C$121:$C$142, MATCH($B190, 'Resource costs'!$B$121:$B$142,0))</f>
        <v>1580.5663403885212</v>
      </c>
      <c r="AE190" s="90">
        <f>INDEX(AE$132:AE$149,MATCH($B190,$B$132:$B$149,0))*INDEX('Resource costs'!$C$121:$C$142, MATCH($B190, 'Resource costs'!$B$121:$B$142,0))</f>
        <v>1597.4359813890649</v>
      </c>
      <c r="AF190" s="90">
        <f>INDEX(AF$132:AF$149,MATCH($B190,$B$132:$B$149,0))*INDEX('Resource costs'!$C$121:$C$142, MATCH($B190, 'Resource costs'!$B$121:$B$142,0))</f>
        <v>1613.7478467482063</v>
      </c>
      <c r="AG190" s="90">
        <f>INDEX(AG$132:AG$149,MATCH($B190,$B$132:$B$149,0))*INDEX('Resource costs'!$C$121:$C$142, MATCH($B190, 'Resource costs'!$B$121:$B$142,0))</f>
        <v>1629.4460535540163</v>
      </c>
      <c r="AH190" s="90">
        <f>INDEX(AH$132:AH$149,MATCH($B190,$B$132:$B$149,0))*INDEX('Resource costs'!$C$121:$C$142, MATCH($B190, 'Resource costs'!$B$121:$B$142,0))</f>
        <v>1644.6711309763928</v>
      </c>
      <c r="AI190" s="90">
        <f>INDEX(AI$132:AI$149,MATCH($B190,$B$132:$B$149,0))*INDEX('Resource costs'!$C$121:$C$142, MATCH($B190, 'Resource costs'!$B$121:$B$142,0))</f>
        <v>1659.4370727043649</v>
      </c>
      <c r="AJ190" s="90">
        <f>INDEX(AJ$132:AJ$149,MATCH($B190,$B$132:$B$149,0))*INDEX('Resource costs'!$C$121:$C$142, MATCH($B190, 'Resource costs'!$B$121:$B$142,0))</f>
        <v>1673.8257683108793</v>
      </c>
      <c r="AK190" s="90">
        <f>INDEX(AK$132:AK$149,MATCH($B190,$B$132:$B$149,0))*INDEX('Resource costs'!$C$121:$C$142, MATCH($B190, 'Resource costs'!$B$121:$B$142,0))</f>
        <v>1687.7313177600809</v>
      </c>
      <c r="AL190" s="90">
        <f>INDEX(AL$132:AL$149,MATCH($B190,$B$132:$B$149,0))*INDEX('Resource costs'!$C$121:$C$142, MATCH($B190, 'Resource costs'!$B$121:$B$142,0))</f>
        <v>1700.9906187693553</v>
      </c>
      <c r="AM190" s="90">
        <f>INDEX(AM$132:AM$149,MATCH($B190,$B$132:$B$149,0))*INDEX('Resource costs'!$C$121:$C$142, MATCH($B190, 'Resource costs'!$B$121:$B$142,0))</f>
        <v>1713.5061055405674</v>
      </c>
      <c r="AN190" s="90">
        <f>INDEX(AN$132:AN$149,MATCH($B190,$B$132:$B$149,0))*INDEX('Resource costs'!$C$121:$C$142, MATCH($B190, 'Resource costs'!$B$121:$B$142,0))</f>
        <v>1725.203082307311</v>
      </c>
      <c r="AO190" s="90">
        <f>INDEX(AO$132:AO$149,MATCH($B190,$B$132:$B$149,0))*INDEX('Resource costs'!$C$121:$C$142, MATCH($B190, 'Resource costs'!$B$121:$B$142,0))</f>
        <v>1736.0236403289687</v>
      </c>
      <c r="AP190" s="90">
        <f>INDEX(AP$132:AP$149,MATCH($B190,$B$132:$B$149,0))*INDEX('Resource costs'!$C$121:$C$142, MATCH($B190, 'Resource costs'!$B$121:$B$142,0))</f>
        <v>1745.9165283938767</v>
      </c>
      <c r="AQ190" s="90">
        <f>INDEX(AQ$132:AQ$149,MATCH($B190,$B$132:$B$149,0))*INDEX('Resource costs'!$C$121:$C$142, MATCH($B190, 'Resource costs'!$B$121:$B$142,0))</f>
        <v>1755.1440202069307</v>
      </c>
      <c r="AR190" s="90">
        <f>INDEX(AR$132:AR$149,MATCH($B190,$B$132:$B$149,0))*INDEX('Resource costs'!$C$121:$C$142, MATCH($B190, 'Resource costs'!$B$121:$B$142,0))</f>
        <v>1763.969052574706</v>
      </c>
      <c r="AS190" s="90">
        <f>INDEX(AS$132:AS$149,MATCH($B190,$B$132:$B$149,0))*INDEX('Resource costs'!$C$121:$C$142, MATCH($B190, 'Resource costs'!$B$121:$B$142,0))</f>
        <v>1772.589486462336</v>
      </c>
      <c r="AT190" s="90">
        <f>INDEX(AT$132:AT$149,MATCH($B190,$B$132:$B$149,0))*INDEX('Resource costs'!$C$121:$C$142, MATCH($B190, 'Resource costs'!$B$121:$B$142,0))</f>
        <v>1779.952074329263</v>
      </c>
      <c r="AU190" s="90">
        <f>INDEX(AU$132:AU$149,MATCH($B190,$B$132:$B$149,0))*INDEX('Resource costs'!$C$121:$C$142, MATCH($B190, 'Resource costs'!$B$121:$B$142,0))</f>
        <v>1786.3161560427179</v>
      </c>
      <c r="AV190" s="90">
        <f>INDEX(AV$132:AV$149,MATCH($B190,$B$132:$B$149,0))*INDEX('Resource costs'!$C$121:$C$142, MATCH($B190, 'Resource costs'!$B$121:$B$142,0))</f>
        <v>1791.8701232729516</v>
      </c>
      <c r="AW190" s="90">
        <f>INDEX(AW$132:AW$149,MATCH($B190,$B$132:$B$149,0))*INDEX('Resource costs'!$C$121:$C$142, MATCH($B190, 'Resource costs'!$B$121:$B$142,0))</f>
        <v>1796.124345674551</v>
      </c>
      <c r="AX190" s="90">
        <f>INDEX(AX$132:AX$149,MATCH($B190,$B$132:$B$149,0))*INDEX('Resource costs'!$C$121:$C$142, MATCH($B190, 'Resource costs'!$B$121:$B$142,0))</f>
        <v>1799.4148197859429</v>
      </c>
      <c r="AY190" s="90">
        <f>INDEX(AY$132:AY$149,MATCH($B190,$B$132:$B$149,0))*INDEX('Resource costs'!$C$121:$C$142, MATCH($B190, 'Resource costs'!$B$121:$B$142,0))</f>
        <v>1801.9740141880193</v>
      </c>
      <c r="AZ190" s="90">
        <f>INDEX(AZ$132:AZ$149,MATCH($B190,$B$132:$B$149,0))*INDEX('Resource costs'!$C$121:$C$142, MATCH($B190, 'Resource costs'!$B$121:$B$142,0))</f>
        <v>1803.9677869410632</v>
      </c>
      <c r="BA190" s="90">
        <f>INDEX(BA$132:BA$149,MATCH($B190,$B$132:$B$149,0))*INDEX('Resource costs'!$C$121:$C$142, MATCH($B190, 'Resource costs'!$B$121:$B$142,0))</f>
        <v>1805.5198153705287</v>
      </c>
      <c r="BB190" s="90">
        <f>INDEX(BB$132:BB$149,MATCH($B190,$B$132:$B$149,0))*INDEX('Resource costs'!$C$121:$C$142, MATCH($B190, 'Resource costs'!$B$121:$B$142,0))</f>
        <v>1806.7038365351923</v>
      </c>
    </row>
    <row r="191" spans="2:54" s="97" customFormat="1">
      <c r="B191" s="6" t="s">
        <v>131</v>
      </c>
      <c r="C191" s="315"/>
      <c r="D191" s="90">
        <f>INDEX(D$132:D$149,MATCH($B191,$B$132:$B$149,0))*INDEX('Resource costs'!$C$121:$C$142, MATCH($B191, 'Resource costs'!$B$121:$B$142,0))</f>
        <v>0</v>
      </c>
      <c r="E191" s="90">
        <f>INDEX(E$132:E$149,MATCH($B191,$B$132:$B$149,0))*INDEX('Resource costs'!$C$121:$C$142, MATCH($B191, 'Resource costs'!$B$121:$B$142,0))</f>
        <v>0</v>
      </c>
      <c r="F191" s="90">
        <f>INDEX(F$132:F$149,MATCH($B191,$B$132:$B$149,0))*INDEX('Resource costs'!$C$121:$C$142, MATCH($B191, 'Resource costs'!$B$121:$B$142,0))</f>
        <v>0</v>
      </c>
      <c r="G191" s="90">
        <f>INDEX(G$132:G$149,MATCH($B191,$B$132:$B$149,0))*INDEX('Resource costs'!$C$121:$C$142, MATCH($B191, 'Resource costs'!$B$121:$B$142,0))</f>
        <v>0</v>
      </c>
      <c r="H191" s="90">
        <f>INDEX(H$132:H$149,MATCH($B191,$B$132:$B$149,0))*INDEX('Resource costs'!$C$121:$C$142, MATCH($B191, 'Resource costs'!$B$121:$B$142,0))</f>
        <v>0</v>
      </c>
      <c r="I191" s="90">
        <f>INDEX(I$132:I$149,MATCH($B191,$B$132:$B$149,0))*INDEX('Resource costs'!$C$121:$C$142, MATCH($B191, 'Resource costs'!$B$121:$B$142,0))</f>
        <v>0</v>
      </c>
      <c r="J191" s="90">
        <f>INDEX(J$132:J$149,MATCH($B191,$B$132:$B$149,0))*INDEX('Resource costs'!$C$121:$C$142, MATCH($B191, 'Resource costs'!$B$121:$B$142,0))</f>
        <v>0</v>
      </c>
      <c r="K191" s="90">
        <f>INDEX(K$132:K$149,MATCH($B191,$B$132:$B$149,0))*INDEX('Resource costs'!$C$121:$C$142, MATCH($B191, 'Resource costs'!$B$121:$B$142,0))</f>
        <v>0</v>
      </c>
      <c r="L191" s="90">
        <f>INDEX(L$132:L$149,MATCH($B191,$B$132:$B$149,0))*INDEX('Resource costs'!$C$121:$C$142, MATCH($B191, 'Resource costs'!$B$121:$B$142,0))</f>
        <v>0</v>
      </c>
      <c r="M191" s="90">
        <f>INDEX(M$132:M$149,MATCH($B191,$B$132:$B$149,0))*INDEX('Resource costs'!$C$121:$C$142, MATCH($B191, 'Resource costs'!$B$121:$B$142,0))</f>
        <v>0</v>
      </c>
      <c r="N191" s="90">
        <f>INDEX(N$132:N$149,MATCH($B191,$B$132:$B$149,0))*INDEX('Resource costs'!$C$121:$C$142, MATCH($B191, 'Resource costs'!$B$121:$B$142,0))</f>
        <v>0</v>
      </c>
      <c r="O191" s="90">
        <f>INDEX(O$132:O$149,MATCH($B191,$B$132:$B$149,0))*INDEX('Resource costs'!$C$121:$C$142, MATCH($B191, 'Resource costs'!$B$121:$B$142,0))</f>
        <v>0</v>
      </c>
      <c r="P191" s="90">
        <f>INDEX(P$132:P$149,MATCH($B191,$B$132:$B$149,0))*INDEX('Resource costs'!$C$121:$C$142, MATCH($B191, 'Resource costs'!$B$121:$B$142,0))</f>
        <v>0</v>
      </c>
      <c r="Q191" s="90">
        <f>INDEX(Q$132:Q$149,MATCH($B191,$B$132:$B$149,0))*INDEX('Resource costs'!$C$121:$C$142, MATCH($B191, 'Resource costs'!$B$121:$B$142,0))</f>
        <v>0</v>
      </c>
      <c r="R191" s="90">
        <f>INDEX(R$132:R$149,MATCH($B191,$B$132:$B$149,0))*INDEX('Resource costs'!$C$121:$C$142, MATCH($B191, 'Resource costs'!$B$121:$B$142,0))</f>
        <v>0</v>
      </c>
      <c r="S191" s="90">
        <f>INDEX(S$132:S$149,MATCH($B191,$B$132:$B$149,0))*INDEX('Resource costs'!$C$121:$C$142, MATCH($B191, 'Resource costs'!$B$121:$B$142,0))</f>
        <v>0</v>
      </c>
      <c r="T191" s="90">
        <f>INDEX(T$132:T$149,MATCH($B191,$B$132:$B$149,0))*INDEX('Resource costs'!$C$121:$C$142, MATCH($B191, 'Resource costs'!$B$121:$B$142,0))</f>
        <v>0</v>
      </c>
      <c r="U191" s="90">
        <f>INDEX(U$132:U$149,MATCH($B191,$B$132:$B$149,0))*INDEX('Resource costs'!$C$121:$C$142, MATCH($B191, 'Resource costs'!$B$121:$B$142,0))</f>
        <v>0</v>
      </c>
      <c r="V191" s="90">
        <f>INDEX(V$132:V$149,MATCH($B191,$B$132:$B$149,0))*INDEX('Resource costs'!$C$121:$C$142, MATCH($B191, 'Resource costs'!$B$121:$B$142,0))</f>
        <v>0</v>
      </c>
      <c r="W191" s="90">
        <f>INDEX(W$132:W$149,MATCH($B191,$B$132:$B$149,0))*INDEX('Resource costs'!$C$121:$C$142, MATCH($B191, 'Resource costs'!$B$121:$B$142,0))</f>
        <v>0</v>
      </c>
      <c r="X191" s="90">
        <f>INDEX(X$132:X$149,MATCH($B191,$B$132:$B$149,0))*INDEX('Resource costs'!$C$121:$C$142, MATCH($B191, 'Resource costs'!$B$121:$B$142,0))</f>
        <v>0</v>
      </c>
      <c r="Y191" s="90">
        <f>INDEX(Y$132:Y$149,MATCH($B191,$B$132:$B$149,0))*INDEX('Resource costs'!$C$121:$C$142, MATCH($B191, 'Resource costs'!$B$121:$B$142,0))</f>
        <v>0</v>
      </c>
      <c r="Z191" s="90">
        <f>INDEX(Z$132:Z$149,MATCH($B191,$B$132:$B$149,0))*INDEX('Resource costs'!$C$121:$C$142, MATCH($B191, 'Resource costs'!$B$121:$B$142,0))</f>
        <v>0</v>
      </c>
      <c r="AA191" s="90">
        <f>INDEX(AA$132:AA$149,MATCH($B191,$B$132:$B$149,0))*INDEX('Resource costs'!$C$121:$C$142, MATCH($B191, 'Resource costs'!$B$121:$B$142,0))</f>
        <v>0</v>
      </c>
      <c r="AB191" s="90">
        <f>INDEX(AB$132:AB$149,MATCH($B191,$B$132:$B$149,0))*INDEX('Resource costs'!$C$121:$C$142, MATCH($B191, 'Resource costs'!$B$121:$B$142,0))</f>
        <v>0</v>
      </c>
      <c r="AC191" s="90">
        <f>INDEX(AC$132:AC$149,MATCH($B191,$B$132:$B$149,0))*INDEX('Resource costs'!$C$121:$C$142, MATCH($B191, 'Resource costs'!$B$121:$B$142,0))</f>
        <v>0</v>
      </c>
      <c r="AD191" s="90">
        <f>INDEX(AD$132:AD$149,MATCH($B191,$B$132:$B$149,0))*INDEX('Resource costs'!$C$121:$C$142, MATCH($B191, 'Resource costs'!$B$121:$B$142,0))</f>
        <v>0</v>
      </c>
      <c r="AE191" s="90">
        <f>INDEX(AE$132:AE$149,MATCH($B191,$B$132:$B$149,0))*INDEX('Resource costs'!$C$121:$C$142, MATCH($B191, 'Resource costs'!$B$121:$B$142,0))</f>
        <v>0</v>
      </c>
      <c r="AF191" s="90">
        <f>INDEX(AF$132:AF$149,MATCH($B191,$B$132:$B$149,0))*INDEX('Resource costs'!$C$121:$C$142, MATCH($B191, 'Resource costs'!$B$121:$B$142,0))</f>
        <v>0</v>
      </c>
      <c r="AG191" s="90">
        <f>INDEX(AG$132:AG$149,MATCH($B191,$B$132:$B$149,0))*INDEX('Resource costs'!$C$121:$C$142, MATCH($B191, 'Resource costs'!$B$121:$B$142,0))</f>
        <v>0</v>
      </c>
      <c r="AH191" s="90">
        <f>INDEX(AH$132:AH$149,MATCH($B191,$B$132:$B$149,0))*INDEX('Resource costs'!$C$121:$C$142, MATCH($B191, 'Resource costs'!$B$121:$B$142,0))</f>
        <v>0</v>
      </c>
      <c r="AI191" s="90">
        <f>INDEX(AI$132:AI$149,MATCH($B191,$B$132:$B$149,0))*INDEX('Resource costs'!$C$121:$C$142, MATCH($B191, 'Resource costs'!$B$121:$B$142,0))</f>
        <v>0</v>
      </c>
      <c r="AJ191" s="90">
        <f>INDEX(AJ$132:AJ$149,MATCH($B191,$B$132:$B$149,0))*INDEX('Resource costs'!$C$121:$C$142, MATCH($B191, 'Resource costs'!$B$121:$B$142,0))</f>
        <v>0</v>
      </c>
      <c r="AK191" s="90">
        <f>INDEX(AK$132:AK$149,MATCH($B191,$B$132:$B$149,0))*INDEX('Resource costs'!$C$121:$C$142, MATCH($B191, 'Resource costs'!$B$121:$B$142,0))</f>
        <v>0</v>
      </c>
      <c r="AL191" s="90">
        <f>INDEX(AL$132:AL$149,MATCH($B191,$B$132:$B$149,0))*INDEX('Resource costs'!$C$121:$C$142, MATCH($B191, 'Resource costs'!$B$121:$B$142,0))</f>
        <v>0</v>
      </c>
      <c r="AM191" s="90">
        <f>INDEX(AM$132:AM$149,MATCH($B191,$B$132:$B$149,0))*INDEX('Resource costs'!$C$121:$C$142, MATCH($B191, 'Resource costs'!$B$121:$B$142,0))</f>
        <v>0</v>
      </c>
      <c r="AN191" s="90">
        <f>INDEX(AN$132:AN$149,MATCH($B191,$B$132:$B$149,0))*INDEX('Resource costs'!$C$121:$C$142, MATCH($B191, 'Resource costs'!$B$121:$B$142,0))</f>
        <v>0</v>
      </c>
      <c r="AO191" s="90">
        <f>INDEX(AO$132:AO$149,MATCH($B191,$B$132:$B$149,0))*INDEX('Resource costs'!$C$121:$C$142, MATCH($B191, 'Resource costs'!$B$121:$B$142,0))</f>
        <v>0</v>
      </c>
      <c r="AP191" s="90">
        <f>INDEX(AP$132:AP$149,MATCH($B191,$B$132:$B$149,0))*INDEX('Resource costs'!$C$121:$C$142, MATCH($B191, 'Resource costs'!$B$121:$B$142,0))</f>
        <v>0</v>
      </c>
      <c r="AQ191" s="90">
        <f>INDEX(AQ$132:AQ$149,MATCH($B191,$B$132:$B$149,0))*INDEX('Resource costs'!$C$121:$C$142, MATCH($B191, 'Resource costs'!$B$121:$B$142,0))</f>
        <v>0</v>
      </c>
      <c r="AR191" s="90">
        <f>INDEX(AR$132:AR$149,MATCH($B191,$B$132:$B$149,0))*INDEX('Resource costs'!$C$121:$C$142, MATCH($B191, 'Resource costs'!$B$121:$B$142,0))</f>
        <v>0</v>
      </c>
      <c r="AS191" s="90">
        <f>INDEX(AS$132:AS$149,MATCH($B191,$B$132:$B$149,0))*INDEX('Resource costs'!$C$121:$C$142, MATCH($B191, 'Resource costs'!$B$121:$B$142,0))</f>
        <v>0</v>
      </c>
      <c r="AT191" s="90">
        <f>INDEX(AT$132:AT$149,MATCH($B191,$B$132:$B$149,0))*INDEX('Resource costs'!$C$121:$C$142, MATCH($B191, 'Resource costs'!$B$121:$B$142,0))</f>
        <v>0</v>
      </c>
      <c r="AU191" s="90">
        <f>INDEX(AU$132:AU$149,MATCH($B191,$B$132:$B$149,0))*INDEX('Resource costs'!$C$121:$C$142, MATCH($B191, 'Resource costs'!$B$121:$B$142,0))</f>
        <v>0</v>
      </c>
      <c r="AV191" s="90">
        <f>INDEX(AV$132:AV$149,MATCH($B191,$B$132:$B$149,0))*INDEX('Resource costs'!$C$121:$C$142, MATCH($B191, 'Resource costs'!$B$121:$B$142,0))</f>
        <v>0</v>
      </c>
      <c r="AW191" s="90">
        <f>INDEX(AW$132:AW$149,MATCH($B191,$B$132:$B$149,0))*INDEX('Resource costs'!$C$121:$C$142, MATCH($B191, 'Resource costs'!$B$121:$B$142,0))</f>
        <v>0</v>
      </c>
      <c r="AX191" s="90">
        <f>INDEX(AX$132:AX$149,MATCH($B191,$B$132:$B$149,0))*INDEX('Resource costs'!$C$121:$C$142, MATCH($B191, 'Resource costs'!$B$121:$B$142,0))</f>
        <v>0</v>
      </c>
      <c r="AY191" s="90">
        <f>INDEX(AY$132:AY$149,MATCH($B191,$B$132:$B$149,0))*INDEX('Resource costs'!$C$121:$C$142, MATCH($B191, 'Resource costs'!$B$121:$B$142,0))</f>
        <v>0</v>
      </c>
      <c r="AZ191" s="90">
        <f>INDEX(AZ$132:AZ$149,MATCH($B191,$B$132:$B$149,0))*INDEX('Resource costs'!$C$121:$C$142, MATCH($B191, 'Resource costs'!$B$121:$B$142,0))</f>
        <v>0</v>
      </c>
      <c r="BA191" s="90">
        <f>INDEX(BA$132:BA$149,MATCH($B191,$B$132:$B$149,0))*INDEX('Resource costs'!$C$121:$C$142, MATCH($B191, 'Resource costs'!$B$121:$B$142,0))</f>
        <v>0</v>
      </c>
      <c r="BB191" s="90">
        <f>INDEX(BB$132:BB$149,MATCH($B191,$B$132:$B$149,0))*INDEX('Resource costs'!$C$121:$C$142, MATCH($B191, 'Resource costs'!$B$121:$B$142,0))</f>
        <v>0</v>
      </c>
    </row>
    <row r="192" spans="2:54" ht="29">
      <c r="B192" s="6" t="s">
        <v>2869</v>
      </c>
      <c r="C192" s="52"/>
      <c r="D192" s="90">
        <f>INDEX(D$132:D$149,MATCH($B192,$B$132:$B$149,0))*INDEX('Resource costs'!$C$121:$C$142, MATCH($B192, 'Resource costs'!$B$121:$B$142,0))</f>
        <v>3718.7207345390575</v>
      </c>
      <c r="E192" s="90">
        <f>INDEX(E$132:E$149,MATCH($B192,$B$132:$B$149,0))*INDEX('Resource costs'!$C$121:$C$142, MATCH($B192, 'Resource costs'!$B$121:$B$142,0))</f>
        <v>3861.666213851905</v>
      </c>
      <c r="F192" s="90">
        <f>INDEX(F$132:F$149,MATCH($B192,$B$132:$B$149,0))*INDEX('Resource costs'!$C$121:$C$142, MATCH($B192, 'Resource costs'!$B$121:$B$142,0))</f>
        <v>3985.1157318018977</v>
      </c>
      <c r="G192" s="90">
        <f>INDEX(G$132:G$149,MATCH($B192,$B$132:$B$149,0))*INDEX('Resource costs'!$C$121:$C$142, MATCH($B192, 'Resource costs'!$B$121:$B$142,0))</f>
        <v>4094.7158645159752</v>
      </c>
      <c r="H192" s="90">
        <f>INDEX(H$132:H$149,MATCH($B192,$B$132:$B$149,0))*INDEX('Resource costs'!$C$121:$C$142, MATCH($B192, 'Resource costs'!$B$121:$B$142,0))</f>
        <v>974.76701007645056</v>
      </c>
      <c r="I192" s="90">
        <f>INDEX(I$132:I$149,MATCH($B192,$B$132:$B$149,0))*INDEX('Resource costs'!$C$121:$C$142, MATCH($B192, 'Resource costs'!$B$121:$B$142,0))</f>
        <v>893.13339363136731</v>
      </c>
      <c r="J192" s="90">
        <f>INDEX(J$132:J$149,MATCH($B192,$B$132:$B$149,0))*INDEX('Resource costs'!$C$121:$C$142, MATCH($B192, 'Resource costs'!$B$121:$B$142,0))</f>
        <v>841.65486665200763</v>
      </c>
      <c r="K192" s="90">
        <f>INDEX(K$132:K$149,MATCH($B192,$B$132:$B$149,0))*INDEX('Resource costs'!$C$121:$C$142, MATCH($B192, 'Resource costs'!$B$121:$B$142,0))</f>
        <v>810.78204417231973</v>
      </c>
      <c r="L192" s="90">
        <f>INDEX(L$132:L$149,MATCH($B192,$B$132:$B$149,0))*INDEX('Resource costs'!$C$121:$C$142, MATCH($B192, 'Resource costs'!$B$121:$B$142,0))</f>
        <v>795.22640853052189</v>
      </c>
      <c r="M192" s="90">
        <f>INDEX(M$132:M$149,MATCH($B192,$B$132:$B$149,0))*INDEX('Resource costs'!$C$121:$C$142, MATCH($B192, 'Resource costs'!$B$121:$B$142,0))</f>
        <v>789.3240358432555</v>
      </c>
      <c r="N192" s="90">
        <f>INDEX(N$132:N$149,MATCH($B192,$B$132:$B$149,0))*INDEX('Resource costs'!$C$121:$C$142, MATCH($B192, 'Resource costs'!$B$121:$B$142,0))</f>
        <v>789.58627951024152</v>
      </c>
      <c r="O192" s="90">
        <f>INDEX(O$132:O$149,MATCH($B192,$B$132:$B$149,0))*INDEX('Resource costs'!$C$121:$C$142, MATCH($B192, 'Resource costs'!$B$121:$B$142,0))</f>
        <v>794.24085250388532</v>
      </c>
      <c r="P192" s="90">
        <f>INDEX(P$132:P$149,MATCH($B192,$B$132:$B$149,0))*INDEX('Resource costs'!$C$121:$C$142, MATCH($B192, 'Resource costs'!$B$121:$B$142,0))</f>
        <v>801.24532713116196</v>
      </c>
      <c r="Q192" s="90">
        <f>INDEX(Q$132:Q$149,MATCH($B192,$B$132:$B$149,0))*INDEX('Resource costs'!$C$121:$C$142, MATCH($B192, 'Resource costs'!$B$121:$B$142,0))</f>
        <v>809.66867669706232</v>
      </c>
      <c r="R192" s="90">
        <f>INDEX(R$132:R$149,MATCH($B192,$B$132:$B$149,0))*INDEX('Resource costs'!$C$121:$C$142, MATCH($B192, 'Resource costs'!$B$121:$B$142,0))</f>
        <v>819.08517326901051</v>
      </c>
      <c r="S192" s="90">
        <f>INDEX(S$132:S$149,MATCH($B192,$B$132:$B$149,0))*INDEX('Resource costs'!$C$121:$C$142, MATCH($B192, 'Resource costs'!$B$121:$B$142,0))</f>
        <v>829.105168181046</v>
      </c>
      <c r="T192" s="90">
        <f>INDEX(T$132:T$149,MATCH($B192,$B$132:$B$149,0))*INDEX('Resource costs'!$C$121:$C$142, MATCH($B192, 'Resource costs'!$B$121:$B$142,0))</f>
        <v>839.39189792247851</v>
      </c>
      <c r="U192" s="90">
        <f>INDEX(U$132:U$149,MATCH($B192,$B$132:$B$149,0))*INDEX('Resource costs'!$C$121:$C$142, MATCH($B192, 'Resource costs'!$B$121:$B$142,0))</f>
        <v>849.90693343143982</v>
      </c>
      <c r="V192" s="90">
        <f>INDEX(V$132:V$149,MATCH($B192,$B$132:$B$149,0))*INDEX('Resource costs'!$C$121:$C$142, MATCH($B192, 'Resource costs'!$B$121:$B$142,0))</f>
        <v>860.97985468094339</v>
      </c>
      <c r="W192" s="90">
        <f>INDEX(W$132:W$149,MATCH($B192,$B$132:$B$149,0))*INDEX('Resource costs'!$C$121:$C$142, MATCH($B192, 'Resource costs'!$B$121:$B$142,0))</f>
        <v>872.00664109612273</v>
      </c>
      <c r="X192" s="90">
        <f>INDEX(X$132:X$149,MATCH($B192,$B$132:$B$149,0))*INDEX('Resource costs'!$C$121:$C$142, MATCH($B192, 'Resource costs'!$B$121:$B$142,0))</f>
        <v>882.84620569865501</v>
      </c>
      <c r="Y192" s="90">
        <f>INDEX(Y$132:Y$149,MATCH($B192,$B$132:$B$149,0))*INDEX('Resource costs'!$C$121:$C$142, MATCH($B192, 'Resource costs'!$B$121:$B$142,0))</f>
        <v>893.67126254179368</v>
      </c>
      <c r="Z192" s="90">
        <f>INDEX(Z$132:Z$149,MATCH($B192,$B$132:$B$149,0))*INDEX('Resource costs'!$C$121:$C$142, MATCH($B192, 'Resource costs'!$B$121:$B$142,0))</f>
        <v>904.38933268326855</v>
      </c>
      <c r="AA192" s="90">
        <f>INDEX(AA$132:AA$149,MATCH($B192,$B$132:$B$149,0))*INDEX('Resource costs'!$C$121:$C$142, MATCH($B192, 'Resource costs'!$B$121:$B$142,0))</f>
        <v>914.90374046999693</v>
      </c>
      <c r="AB192" s="90">
        <f>INDEX(AB$132:AB$149,MATCH($B192,$B$132:$B$149,0))*INDEX('Resource costs'!$C$121:$C$142, MATCH($B192, 'Resource costs'!$B$121:$B$142,0))</f>
        <v>925.14558678259198</v>
      </c>
      <c r="AC192" s="90">
        <f>INDEX(AC$132:AC$149,MATCH($B192,$B$132:$B$149,0))*INDEX('Resource costs'!$C$121:$C$142, MATCH($B192, 'Resource costs'!$B$121:$B$142,0))</f>
        <v>935.1590058018935</v>
      </c>
      <c r="AD192" s="90">
        <f>INDEX(AD$132:AD$149,MATCH($B192,$B$132:$B$149,0))*INDEX('Resource costs'!$C$121:$C$142, MATCH($B192, 'Resource costs'!$B$121:$B$142,0))</f>
        <v>944.84351014427534</v>
      </c>
      <c r="AE192" s="90">
        <f>INDEX(AE$132:AE$149,MATCH($B192,$B$132:$B$149,0))*INDEX('Resource costs'!$C$121:$C$142, MATCH($B192, 'Resource costs'!$B$121:$B$142,0))</f>
        <v>954.11121061819063</v>
      </c>
      <c r="AF192" s="90">
        <f>INDEX(AF$132:AF$149,MATCH($B192,$B$132:$B$149,0))*INDEX('Resource costs'!$C$121:$C$142, MATCH($B192, 'Resource costs'!$B$121:$B$142,0))</f>
        <v>962.90140749544594</v>
      </c>
      <c r="AG192" s="90">
        <f>INDEX(AG$132:AG$149,MATCH($B192,$B$132:$B$149,0))*INDEX('Resource costs'!$C$121:$C$142, MATCH($B192, 'Resource costs'!$B$121:$B$142,0))</f>
        <v>971.2358142025605</v>
      </c>
      <c r="AH192" s="90">
        <f>INDEX(AH$132:AH$149,MATCH($B192,$B$132:$B$149,0))*INDEX('Resource costs'!$C$121:$C$142, MATCH($B192, 'Resource costs'!$B$121:$B$142,0))</f>
        <v>979.29004120095203</v>
      </c>
      <c r="AI192" s="90">
        <f>INDEX(AI$132:AI$149,MATCH($B192,$B$132:$B$149,0))*INDEX('Resource costs'!$C$121:$C$142, MATCH($B192, 'Resource costs'!$B$121:$B$142,0))</f>
        <v>987.08556080835956</v>
      </c>
      <c r="AJ192" s="90">
        <f>INDEX(AJ$132:AJ$149,MATCH($B192,$B$132:$B$149,0))*INDEX('Resource costs'!$C$121:$C$142, MATCH($B192, 'Resource costs'!$B$121:$B$142,0))</f>
        <v>994.72512424119964</v>
      </c>
      <c r="AK192" s="90">
        <f>INDEX(AK$132:AK$149,MATCH($B192,$B$132:$B$149,0))*INDEX('Resource costs'!$C$121:$C$142, MATCH($B192, 'Resource costs'!$B$121:$B$142,0))</f>
        <v>1002.1037206279469</v>
      </c>
      <c r="AL192" s="90">
        <f>INDEX(AL$132:AL$149,MATCH($B192,$B$132:$B$149,0))*INDEX('Resource costs'!$C$121:$C$142, MATCH($B192, 'Resource costs'!$B$121:$B$142,0))</f>
        <v>1009.0582331305951</v>
      </c>
      <c r="AM192" s="90">
        <f>INDEX(AM$132:AM$149,MATCH($B192,$B$132:$B$149,0))*INDEX('Resource costs'!$C$121:$C$142, MATCH($B192, 'Resource costs'!$B$121:$B$142,0))</f>
        <v>1015.500044368286</v>
      </c>
      <c r="AN192" s="90">
        <f>INDEX(AN$132:AN$149,MATCH($B192,$B$132:$B$149,0))*INDEX('Resource costs'!$C$121:$C$142, MATCH($B192, 'Resource costs'!$B$121:$B$142,0))</f>
        <v>1021.3741648117183</v>
      </c>
      <c r="AO192" s="90">
        <f>INDEX(AO$132:AO$149,MATCH($B192,$B$132:$B$149,0))*INDEX('Resource costs'!$C$121:$C$142, MATCH($B192, 'Resource costs'!$B$121:$B$142,0))</f>
        <v>1026.6393681185198</v>
      </c>
      <c r="AP192" s="90">
        <f>INDEX(AP$132:AP$149,MATCH($B192,$B$132:$B$149,0))*INDEX('Resource costs'!$C$121:$C$142, MATCH($B192, 'Resource costs'!$B$121:$B$142,0))</f>
        <v>1031.2576998365544</v>
      </c>
      <c r="AQ192" s="90">
        <f>INDEX(AQ$132:AQ$149,MATCH($B192,$B$132:$B$149,0))*INDEX('Resource costs'!$C$121:$C$142, MATCH($B192, 'Resource costs'!$B$121:$B$142,0))</f>
        <v>1035.5114362684549</v>
      </c>
      <c r="AR192" s="90">
        <f>INDEX(AR$132:AR$149,MATCH($B192,$B$132:$B$149,0))*INDEX('Resource costs'!$C$121:$C$142, MATCH($B192, 'Resource costs'!$B$121:$B$142,0))</f>
        <v>1039.6636282835232</v>
      </c>
      <c r="AS192" s="90">
        <f>INDEX(AS$132:AS$149,MATCH($B192,$B$132:$B$149,0))*INDEX('Resource costs'!$C$121:$C$142, MATCH($B192, 'Resource costs'!$B$121:$B$142,0))</f>
        <v>1043.9038181131614</v>
      </c>
      <c r="AT192" s="90">
        <f>INDEX(AT$132:AT$149,MATCH($B192,$B$132:$B$149,0))*INDEX('Resource costs'!$C$121:$C$142, MATCH($B192, 'Resource costs'!$B$121:$B$142,0))</f>
        <v>1047.1239057944986</v>
      </c>
      <c r="AU192" s="90">
        <f>INDEX(AU$132:AU$149,MATCH($B192,$B$132:$B$149,0))*INDEX('Resource costs'!$C$121:$C$142, MATCH($B192, 'Resource costs'!$B$121:$B$142,0))</f>
        <v>1049.6562341906817</v>
      </c>
      <c r="AV192" s="90">
        <f>INDEX(AV$132:AV$149,MATCH($B192,$B$132:$B$149,0))*INDEX('Resource costs'!$C$121:$C$142, MATCH($B192, 'Resource costs'!$B$121:$B$142,0))</f>
        <v>1051.7268744653443</v>
      </c>
      <c r="AW192" s="90">
        <f>INDEX(AW$132:AW$149,MATCH($B192,$B$132:$B$149,0))*INDEX('Resource costs'!$C$121:$C$142, MATCH($B192, 'Resource costs'!$B$121:$B$142,0))</f>
        <v>1052.8358829381086</v>
      </c>
      <c r="AX192" s="90">
        <f>INDEX(AX$132:AX$149,MATCH($B192,$B$132:$B$149,0))*INDEX('Resource costs'!$C$121:$C$142, MATCH($B192, 'Resource costs'!$B$121:$B$142,0))</f>
        <v>1053.3626020942361</v>
      </c>
      <c r="AY192" s="90">
        <f>INDEX(AY$132:AY$149,MATCH($B192,$B$132:$B$149,0))*INDEX('Resource costs'!$C$121:$C$142, MATCH($B192, 'Resource costs'!$B$121:$B$142,0))</f>
        <v>1053.5468764073353</v>
      </c>
      <c r="AZ192" s="90">
        <f>INDEX(AZ$132:AZ$149,MATCH($B192,$B$132:$B$149,0))*INDEX('Resource costs'!$C$121:$C$142, MATCH($B192, 'Resource costs'!$B$121:$B$142,0))</f>
        <v>1053.5386727942748</v>
      </c>
      <c r="BA192" s="90">
        <f>INDEX(BA$132:BA$149,MATCH($B192,$B$132:$B$149,0))*INDEX('Resource costs'!$C$121:$C$142, MATCH($B192, 'Resource costs'!$B$121:$B$142,0))</f>
        <v>1053.4302847177191</v>
      </c>
      <c r="BB192" s="90">
        <f>INDEX(BB$132:BB$149,MATCH($B192,$B$132:$B$149,0))*INDEX('Resource costs'!$C$121:$C$142, MATCH($B192, 'Resource costs'!$B$121:$B$142,0))</f>
        <v>1053.2772346784545</v>
      </c>
    </row>
    <row r="193" spans="2:54" ht="29">
      <c r="B193" s="6" t="s">
        <v>2870</v>
      </c>
      <c r="C193" s="52"/>
      <c r="D193" s="90">
        <f>INDEX(D$132:D$149,MATCH($B193,$B$132:$B$149,0))*INDEX('Resource costs'!$C$121:$C$142, MATCH($B193, 'Resource costs'!$B$121:$B$142,0))</f>
        <v>1817.5419190324803</v>
      </c>
      <c r="E193" s="90">
        <f>INDEX(E$132:E$149,MATCH($B193,$B$132:$B$149,0))*INDEX('Resource costs'!$C$121:$C$142, MATCH($B193, 'Resource costs'!$B$121:$B$142,0))</f>
        <v>1887.4071816681524</v>
      </c>
      <c r="F193" s="90">
        <f>INDEX(F$132:F$149,MATCH($B193,$B$132:$B$149,0))*INDEX('Resource costs'!$C$121:$C$142, MATCH($B193, 'Resource costs'!$B$121:$B$142,0))</f>
        <v>1947.7437032236696</v>
      </c>
      <c r="G193" s="90">
        <f>INDEX(G$132:G$149,MATCH($B193,$B$132:$B$149,0))*INDEX('Resource costs'!$C$121:$C$142, MATCH($B193, 'Resource costs'!$B$121:$B$142,0))</f>
        <v>2001.3112738371833</v>
      </c>
      <c r="H193" s="90">
        <f>INDEX(H$132:H$149,MATCH($B193,$B$132:$B$149,0))*INDEX('Resource costs'!$C$121:$C$142, MATCH($B193, 'Resource costs'!$B$121:$B$142,0))</f>
        <v>7568.1457614791798</v>
      </c>
      <c r="I193" s="90">
        <f>INDEX(I$132:I$149,MATCH($B193,$B$132:$B$149,0))*INDEX('Resource costs'!$C$121:$C$142, MATCH($B193, 'Resource costs'!$B$121:$B$142,0))</f>
        <v>6934.337782847836</v>
      </c>
      <c r="J193" s="90">
        <f>INDEX(J$132:J$149,MATCH($B193,$B$132:$B$149,0))*INDEX('Resource costs'!$C$121:$C$142, MATCH($B193, 'Resource costs'!$B$121:$B$142,0))</f>
        <v>6534.6556108635004</v>
      </c>
      <c r="K193" s="90">
        <f>INDEX(K$132:K$149,MATCH($B193,$B$132:$B$149,0))*INDEX('Resource costs'!$C$121:$C$142, MATCH($B193, 'Resource costs'!$B$121:$B$142,0))</f>
        <v>6294.9572848232874</v>
      </c>
      <c r="L193" s="90">
        <f>INDEX(L$132:L$149,MATCH($B193,$B$132:$B$149,0))*INDEX('Resource costs'!$C$121:$C$142, MATCH($B193, 'Resource costs'!$B$121:$B$142,0))</f>
        <v>6174.182456856598</v>
      </c>
      <c r="M193" s="90">
        <f>INDEX(M$132:M$149,MATCH($B193,$B$132:$B$149,0))*INDEX('Resource costs'!$C$121:$C$142, MATCH($B193, 'Resource costs'!$B$121:$B$142,0))</f>
        <v>6128.35610412406</v>
      </c>
      <c r="N193" s="90">
        <f>INDEX(N$132:N$149,MATCH($B193,$B$132:$B$149,0))*INDEX('Resource costs'!$C$121:$C$142, MATCH($B193, 'Resource costs'!$B$121:$B$142,0))</f>
        <v>6130.3921786693181</v>
      </c>
      <c r="O193" s="90">
        <f>INDEX(O$132:O$149,MATCH($B193,$B$132:$B$149,0))*INDEX('Resource costs'!$C$121:$C$142, MATCH($B193, 'Resource costs'!$B$121:$B$142,0))</f>
        <v>6166.5305445651629</v>
      </c>
      <c r="P193" s="90">
        <f>INDEX(P$132:P$149,MATCH($B193,$B$132:$B$149,0))*INDEX('Resource costs'!$C$121:$C$142, MATCH($B193, 'Resource costs'!$B$121:$B$142,0))</f>
        <v>6220.913678600089</v>
      </c>
      <c r="Q193" s="90">
        <f>INDEX(Q$132:Q$149,MATCH($B193,$B$132:$B$149,0))*INDEX('Resource costs'!$C$121:$C$142, MATCH($B193, 'Resource costs'!$B$121:$B$142,0))</f>
        <v>6286.3130372731193</v>
      </c>
      <c r="R193" s="90">
        <f>INDEX(R$132:R$149,MATCH($B193,$B$132:$B$149,0))*INDEX('Resource costs'!$C$121:$C$142, MATCH($B193, 'Resource costs'!$B$121:$B$142,0))</f>
        <v>6359.4232450276704</v>
      </c>
      <c r="S193" s="90">
        <f>INDEX(S$132:S$149,MATCH($B193,$B$132:$B$149,0))*INDEX('Resource costs'!$C$121:$C$142, MATCH($B193, 'Resource costs'!$B$121:$B$142,0))</f>
        <v>6437.2190477576141</v>
      </c>
      <c r="T193" s="90">
        <f>INDEX(T$132:T$149,MATCH($B193,$B$132:$B$149,0))*INDEX('Resource costs'!$C$121:$C$142, MATCH($B193, 'Resource costs'!$B$121:$B$142,0))</f>
        <v>6517.0857946697797</v>
      </c>
      <c r="U193" s="90">
        <f>INDEX(U$132:U$149,MATCH($B193,$B$132:$B$149,0))*INDEX('Resource costs'!$C$121:$C$142, MATCH($B193, 'Resource costs'!$B$121:$B$142,0))</f>
        <v>6598.7251203715259</v>
      </c>
      <c r="V193" s="90">
        <f>INDEX(V$132:V$149,MATCH($B193,$B$132:$B$149,0))*INDEX('Resource costs'!$C$121:$C$142, MATCH($B193, 'Resource costs'!$B$121:$B$142,0))</f>
        <v>6684.6959022664223</v>
      </c>
      <c r="W193" s="90">
        <f>INDEX(W$132:W$149,MATCH($B193,$B$132:$B$149,0))*INDEX('Resource costs'!$C$121:$C$142, MATCH($B193, 'Resource costs'!$B$121:$B$142,0))</f>
        <v>6770.3084907189505</v>
      </c>
      <c r="X193" s="90">
        <f>INDEX(X$132:X$149,MATCH($B193,$B$132:$B$149,0))*INDEX('Resource costs'!$C$121:$C$142, MATCH($B193, 'Resource costs'!$B$121:$B$142,0))</f>
        <v>6854.4674785128645</v>
      </c>
      <c r="Y193" s="90">
        <f>INDEX(Y$132:Y$149,MATCH($B193,$B$132:$B$149,0))*INDEX('Resource costs'!$C$121:$C$142, MATCH($B193, 'Resource costs'!$B$121:$B$142,0))</f>
        <v>6938.5138272488002</v>
      </c>
      <c r="Z193" s="90">
        <f>INDEX(Z$132:Z$149,MATCH($B193,$B$132:$B$149,0))*INDEX('Resource costs'!$C$121:$C$142, MATCH($B193, 'Resource costs'!$B$121:$B$142,0))</f>
        <v>7021.7295252298782</v>
      </c>
      <c r="AA193" s="90">
        <f>INDEX(AA$132:AA$149,MATCH($B193,$B$132:$B$149,0))*INDEX('Resource costs'!$C$121:$C$142, MATCH($B193, 'Resource costs'!$B$121:$B$142,0))</f>
        <v>7103.3639772609849</v>
      </c>
      <c r="AB193" s="90">
        <f>INDEX(AB$132:AB$149,MATCH($B193,$B$132:$B$149,0))*INDEX('Resource costs'!$C$121:$C$142, MATCH($B193, 'Resource costs'!$B$121:$B$142,0))</f>
        <v>7182.8822467131995</v>
      </c>
      <c r="AC193" s="90">
        <f>INDEX(AC$132:AC$149,MATCH($B193,$B$132:$B$149,0))*INDEX('Resource costs'!$C$121:$C$142, MATCH($B193, 'Resource costs'!$B$121:$B$142,0))</f>
        <v>7260.6269938429741</v>
      </c>
      <c r="AD193" s="90">
        <f>INDEX(AD$132:AD$149,MATCH($B193,$B$132:$B$149,0))*INDEX('Resource costs'!$C$121:$C$142, MATCH($B193, 'Resource costs'!$B$121:$B$142,0))</f>
        <v>7335.8180289653837</v>
      </c>
      <c r="AE193" s="90">
        <f>INDEX(AE$132:AE$149,MATCH($B193,$B$132:$B$149,0))*INDEX('Resource costs'!$C$121:$C$142, MATCH($B193, 'Resource costs'!$B$121:$B$142,0))</f>
        <v>7407.7729754656957</v>
      </c>
      <c r="AF193" s="90">
        <f>INDEX(AF$132:AF$149,MATCH($B193,$B$132:$B$149,0))*INDEX('Resource costs'!$C$121:$C$142, MATCH($B193, 'Resource costs'!$B$121:$B$142,0))</f>
        <v>7476.0205572482919</v>
      </c>
      <c r="AG193" s="90">
        <f>INDEX(AG$132:AG$149,MATCH($B193,$B$132:$B$149,0))*INDEX('Resource costs'!$C$121:$C$142, MATCH($B193, 'Resource costs'!$B$121:$B$142,0))</f>
        <v>7540.7293585750267</v>
      </c>
      <c r="AH193" s="90">
        <f>INDEX(AH$132:AH$149,MATCH($B193,$B$132:$B$149,0))*INDEX('Resource costs'!$C$121:$C$142, MATCH($B193, 'Resource costs'!$B$121:$B$142,0))</f>
        <v>7603.2628289220447</v>
      </c>
      <c r="AI193" s="90">
        <f>INDEX(AI$132:AI$149,MATCH($B193,$B$132:$B$149,0))*INDEX('Resource costs'!$C$121:$C$142, MATCH($B193, 'Resource costs'!$B$121:$B$142,0))</f>
        <v>7663.7876805691067</v>
      </c>
      <c r="AJ193" s="90">
        <f>INDEX(AJ$132:AJ$149,MATCH($B193,$B$132:$B$149,0))*INDEX('Resource costs'!$C$121:$C$142, MATCH($B193, 'Resource costs'!$B$121:$B$142,0))</f>
        <v>7723.1016797259581</v>
      </c>
      <c r="AK193" s="90">
        <f>INDEX(AK$132:AK$149,MATCH($B193,$B$132:$B$149,0))*INDEX('Resource costs'!$C$121:$C$142, MATCH($B193, 'Resource costs'!$B$121:$B$142,0))</f>
        <v>7780.3895160937973</v>
      </c>
      <c r="AL193" s="90">
        <f>INDEX(AL$132:AL$149,MATCH($B193,$B$132:$B$149,0))*INDEX('Resource costs'!$C$121:$C$142, MATCH($B193, 'Resource costs'!$B$121:$B$142,0))</f>
        <v>7834.3847413896792</v>
      </c>
      <c r="AM193" s="90">
        <f>INDEX(AM$132:AM$149,MATCH($B193,$B$132:$B$149,0))*INDEX('Resource costs'!$C$121:$C$142, MATCH($B193, 'Resource costs'!$B$121:$B$142,0))</f>
        <v>7884.3993252962018</v>
      </c>
      <c r="AN193" s="90">
        <f>INDEX(AN$132:AN$149,MATCH($B193,$B$132:$B$149,0))*INDEX('Resource costs'!$C$121:$C$142, MATCH($B193, 'Resource costs'!$B$121:$B$142,0))</f>
        <v>7930.0063260223487</v>
      </c>
      <c r="AO193" s="90">
        <f>INDEX(AO$132:AO$149,MATCH($B193,$B$132:$B$149,0))*INDEX('Resource costs'!$C$121:$C$142, MATCH($B193, 'Resource costs'!$B$121:$B$142,0))</f>
        <v>7970.8856599326846</v>
      </c>
      <c r="AP193" s="90">
        <f>INDEX(AP$132:AP$149,MATCH($B193,$B$132:$B$149,0))*INDEX('Resource costs'!$C$121:$C$142, MATCH($B193, 'Resource costs'!$B$121:$B$142,0))</f>
        <v>8006.7426465311619</v>
      </c>
      <c r="AQ193" s="90">
        <f>INDEX(AQ$132:AQ$149,MATCH($B193,$B$132:$B$149,0))*INDEX('Resource costs'!$C$121:$C$142, MATCH($B193, 'Resource costs'!$B$121:$B$142,0))</f>
        <v>8039.7688948702507</v>
      </c>
      <c r="AR193" s="90">
        <f>INDEX(AR$132:AR$149,MATCH($B193,$B$132:$B$149,0))*INDEX('Resource costs'!$C$121:$C$142, MATCH($B193, 'Resource costs'!$B$121:$B$142,0))</f>
        <v>8072.0067466592882</v>
      </c>
      <c r="AS193" s="90">
        <f>INDEX(AS$132:AS$149,MATCH($B193,$B$132:$B$149,0))*INDEX('Resource costs'!$C$121:$C$142, MATCH($B193, 'Resource costs'!$B$121:$B$142,0))</f>
        <v>8104.9278184182995</v>
      </c>
      <c r="AT193" s="90">
        <f>INDEX(AT$132:AT$149,MATCH($B193,$B$132:$B$149,0))*INDEX('Resource costs'!$C$121:$C$142, MATCH($B193, 'Resource costs'!$B$121:$B$142,0))</f>
        <v>8129.9287598588508</v>
      </c>
      <c r="AU193" s="90">
        <f>INDEX(AU$132:AU$149,MATCH($B193,$B$132:$B$149,0))*INDEX('Resource costs'!$C$121:$C$142, MATCH($B193, 'Resource costs'!$B$121:$B$142,0))</f>
        <v>8149.5898996185406</v>
      </c>
      <c r="AV193" s="90">
        <f>INDEX(AV$132:AV$149,MATCH($B193,$B$132:$B$149,0))*INDEX('Resource costs'!$C$121:$C$142, MATCH($B193, 'Resource costs'!$B$121:$B$142,0))</f>
        <v>8165.6664668969152</v>
      </c>
      <c r="AW193" s="90">
        <f>INDEX(AW$132:AW$149,MATCH($B193,$B$132:$B$149,0))*INDEX('Resource costs'!$C$121:$C$142, MATCH($B193, 'Resource costs'!$B$121:$B$142,0))</f>
        <v>8174.2768709071406</v>
      </c>
      <c r="AX193" s="90">
        <f>INDEX(AX$132:AX$149,MATCH($B193,$B$132:$B$149,0))*INDEX('Resource costs'!$C$121:$C$142, MATCH($B193, 'Resource costs'!$B$121:$B$142,0))</f>
        <v>8178.3663479901006</v>
      </c>
      <c r="AY193" s="90">
        <f>INDEX(AY$132:AY$149,MATCH($B193,$B$132:$B$149,0))*INDEX('Resource costs'!$C$121:$C$142, MATCH($B193, 'Resource costs'!$B$121:$B$142,0))</f>
        <v>8179.7970640968388</v>
      </c>
      <c r="AZ193" s="90">
        <f>INDEX(AZ$132:AZ$149,MATCH($B193,$B$132:$B$149,0))*INDEX('Resource costs'!$C$121:$C$142, MATCH($B193, 'Resource costs'!$B$121:$B$142,0))</f>
        <v>8179.7333707847238</v>
      </c>
      <c r="BA193" s="90">
        <f>INDEX(BA$132:BA$149,MATCH($B193,$B$132:$B$149,0))*INDEX('Resource costs'!$C$121:$C$142, MATCH($B193, 'Resource costs'!$B$121:$B$142,0))</f>
        <v>8178.8918396765703</v>
      </c>
      <c r="BB193" s="90">
        <f>INDEX(BB$132:BB$149,MATCH($B193,$B$132:$B$149,0))*INDEX('Resource costs'!$C$121:$C$142, MATCH($B193, 'Resource costs'!$B$121:$B$142,0))</f>
        <v>8177.7035505839158</v>
      </c>
    </row>
    <row r="194" spans="2:54">
      <c r="B194" s="6" t="s">
        <v>102</v>
      </c>
      <c r="C194" s="52"/>
      <c r="D194" s="90">
        <f>INDEX(D$132:D$149,MATCH($B194,$B$132:$B$149,0))*INDEX('Resource costs'!$C$121:$C$142, MATCH($B194, 'Resource costs'!$B$121:$B$142,0))</f>
        <v>32.113140080281397</v>
      </c>
      <c r="E194" s="90">
        <f>INDEX(E$132:E$149,MATCH($B194,$B$132:$B$149,0))*INDEX('Resource costs'!$C$121:$C$142, MATCH($B194, 'Resource costs'!$B$121:$B$142,0))</f>
        <v>154.91872381656975</v>
      </c>
      <c r="F194" s="90">
        <f>INDEX(F$132:F$149,MATCH($B194,$B$132:$B$149,0))*INDEX('Resource costs'!$C$121:$C$142, MATCH($B194, 'Resource costs'!$B$121:$B$142,0))</f>
        <v>282.22907526082236</v>
      </c>
      <c r="G194" s="90">
        <f>INDEX(G$132:G$149,MATCH($B194,$B$132:$B$149,0))*INDEX('Resource costs'!$C$121:$C$142, MATCH($B194, 'Resource costs'!$B$121:$B$142,0))</f>
        <v>413.4556001730046</v>
      </c>
      <c r="H194" s="90">
        <f>INDEX(H$132:H$149,MATCH($B194,$B$132:$B$149,0))*INDEX('Resource costs'!$C$121:$C$142, MATCH($B194, 'Resource costs'!$B$121:$B$142,0))</f>
        <v>1648.5562649868273</v>
      </c>
      <c r="I194" s="90">
        <f>INDEX(I$132:I$149,MATCH($B194,$B$132:$B$149,0))*INDEX('Resource costs'!$C$121:$C$142, MATCH($B194, 'Resource costs'!$B$121:$B$142,0))</f>
        <v>5856.2037876970626</v>
      </c>
      <c r="J194" s="90">
        <f>INDEX(J$132:J$149,MATCH($B194,$B$132:$B$149,0))*INDEX('Resource costs'!$C$121:$C$142, MATCH($B194, 'Resource costs'!$B$121:$B$142,0))</f>
        <v>9738.664175120286</v>
      </c>
      <c r="K194" s="90">
        <f>INDEX(K$132:K$149,MATCH($B194,$B$132:$B$149,0))*INDEX('Resource costs'!$C$121:$C$142, MATCH($B194, 'Resource costs'!$B$121:$B$142,0))</f>
        <v>13417.913789438884</v>
      </c>
      <c r="L194" s="90">
        <f>INDEX(L$132:L$149,MATCH($B194,$B$132:$B$149,0))*INDEX('Resource costs'!$C$121:$C$142, MATCH($B194, 'Resource costs'!$B$121:$B$142,0))</f>
        <v>16978.744182933729</v>
      </c>
      <c r="M194" s="90">
        <f>INDEX(M$132:M$149,MATCH($B194,$B$132:$B$149,0))*INDEX('Resource costs'!$C$121:$C$142, MATCH($B194, 'Resource costs'!$B$121:$B$142,0))</f>
        <v>20482.164507725694</v>
      </c>
      <c r="N194" s="90">
        <f>INDEX(N$132:N$149,MATCH($B194,$B$132:$B$149,0))*INDEX('Resource costs'!$C$121:$C$142, MATCH($B194, 'Resource costs'!$B$121:$B$142,0))</f>
        <v>23966.718538425721</v>
      </c>
      <c r="O194" s="90">
        <f>INDEX(O$132:O$149,MATCH($B194,$B$132:$B$149,0))*INDEX('Resource costs'!$C$121:$C$142, MATCH($B194, 'Resource costs'!$B$121:$B$142,0))</f>
        <v>27335.980539646669</v>
      </c>
      <c r="P194" s="90">
        <f>INDEX(P$132:P$149,MATCH($B194,$B$132:$B$149,0))*INDEX('Resource costs'!$C$121:$C$142, MATCH($B194, 'Resource costs'!$B$121:$B$142,0))</f>
        <v>30723.855746172529</v>
      </c>
      <c r="Q194" s="90">
        <f>INDEX(Q$132:Q$149,MATCH($B194,$B$132:$B$149,0))*INDEX('Resource costs'!$C$121:$C$142, MATCH($B194, 'Resource costs'!$B$121:$B$142,0))</f>
        <v>34140.268895614507</v>
      </c>
      <c r="R194" s="90">
        <f>INDEX(R$132:R$149,MATCH($B194,$B$132:$B$149,0))*INDEX('Resource costs'!$C$121:$C$142, MATCH($B194, 'Resource costs'!$B$121:$B$142,0))</f>
        <v>37591.43956331745</v>
      </c>
      <c r="S194" s="90">
        <f>INDEX(S$132:S$149,MATCH($B194,$B$132:$B$149,0))*INDEX('Resource costs'!$C$121:$C$142, MATCH($B194, 'Resource costs'!$B$121:$B$142,0))</f>
        <v>36915.909532737642</v>
      </c>
      <c r="T194" s="90">
        <f>INDEX(T$132:T$149,MATCH($B194,$B$132:$B$149,0))*INDEX('Resource costs'!$C$121:$C$142, MATCH($B194, 'Resource costs'!$B$121:$B$142,0))</f>
        <v>36645.269527631106</v>
      </c>
      <c r="U194" s="90">
        <f>INDEX(U$132:U$149,MATCH($B194,$B$132:$B$149,0))*INDEX('Resource costs'!$C$121:$C$142, MATCH($B194, 'Resource costs'!$B$121:$B$142,0))</f>
        <v>36647.541030372187</v>
      </c>
      <c r="V194" s="90">
        <f>INDEX(V$132:V$149,MATCH($B194,$B$132:$B$149,0))*INDEX('Resource costs'!$C$121:$C$142, MATCH($B194, 'Resource costs'!$B$121:$B$142,0))</f>
        <v>36833.158060494156</v>
      </c>
      <c r="W194" s="90">
        <f>INDEX(W$132:W$149,MATCH($B194,$B$132:$B$149,0))*INDEX('Resource costs'!$C$121:$C$142, MATCH($B194, 'Resource costs'!$B$121:$B$142,0))</f>
        <v>37136.265547666291</v>
      </c>
      <c r="X194" s="90">
        <f>INDEX(X$132:X$149,MATCH($B194,$B$132:$B$149,0))*INDEX('Resource costs'!$C$121:$C$142, MATCH($B194, 'Resource costs'!$B$121:$B$142,0))</f>
        <v>37513.883726811626</v>
      </c>
      <c r="Y194" s="90">
        <f>INDEX(Y$132:Y$149,MATCH($B194,$B$132:$B$149,0))*INDEX('Resource costs'!$C$121:$C$142, MATCH($B194, 'Resource costs'!$B$121:$B$142,0))</f>
        <v>37938.175588513543</v>
      </c>
      <c r="Z194" s="90">
        <f>INDEX(Z$132:Z$149,MATCH($B194,$B$132:$B$149,0))*INDEX('Resource costs'!$C$121:$C$142, MATCH($B194, 'Resource costs'!$B$121:$B$142,0))</f>
        <v>38389.580561560819</v>
      </c>
      <c r="AA194" s="90">
        <f>INDEX(AA$132:AA$149,MATCH($B194,$B$132:$B$149,0))*INDEX('Resource costs'!$C$121:$C$142, MATCH($B194, 'Resource costs'!$B$121:$B$142,0))</f>
        <v>38857.140679878823</v>
      </c>
      <c r="AB194" s="90">
        <f>INDEX(AB$132:AB$149,MATCH($B194,$B$132:$B$149,0))*INDEX('Resource costs'!$C$121:$C$142, MATCH($B194, 'Resource costs'!$B$121:$B$142,0))</f>
        <v>39333.613372644861</v>
      </c>
      <c r="AC194" s="90">
        <f>INDEX(AC$132:AC$149,MATCH($B194,$B$132:$B$149,0))*INDEX('Resource costs'!$C$121:$C$142, MATCH($B194, 'Resource costs'!$B$121:$B$142,0))</f>
        <v>39813.462988220468</v>
      </c>
      <c r="AD194" s="90">
        <f>INDEX(AD$132:AD$149,MATCH($B194,$B$132:$B$149,0))*INDEX('Resource costs'!$C$121:$C$142, MATCH($B194, 'Resource costs'!$B$121:$B$142,0))</f>
        <v>40292.900055343976</v>
      </c>
      <c r="AE194" s="90">
        <f>INDEX(AE$132:AE$149,MATCH($B194,$B$132:$B$149,0))*INDEX('Resource costs'!$C$121:$C$142, MATCH($B194, 'Resource costs'!$B$121:$B$142,0))</f>
        <v>40769.192766793145</v>
      </c>
      <c r="AF194" s="90">
        <f>INDEX(AF$132:AF$149,MATCH($B194,$B$132:$B$149,0))*INDEX('Resource costs'!$C$121:$C$142, MATCH($B194, 'Resource costs'!$B$121:$B$142,0))</f>
        <v>41239.422691011277</v>
      </c>
      <c r="AG194" s="90">
        <f>INDEX(AG$132:AG$149,MATCH($B194,$B$132:$B$149,0))*INDEX('Resource costs'!$C$121:$C$142, MATCH($B194, 'Resource costs'!$B$121:$B$142,0))</f>
        <v>41699.044712188625</v>
      </c>
      <c r="AH194" s="90">
        <f>INDEX(AH$132:AH$149,MATCH($B194,$B$132:$B$149,0))*INDEX('Resource costs'!$C$121:$C$142, MATCH($B194, 'Resource costs'!$B$121:$B$142,0))</f>
        <v>42146.455287705787</v>
      </c>
      <c r="AI194" s="90">
        <f>INDEX(AI$132:AI$149,MATCH($B194,$B$132:$B$149,0))*INDEX('Resource costs'!$C$121:$C$142, MATCH($B194, 'Resource costs'!$B$121:$B$142,0))</f>
        <v>42581.269118306365</v>
      </c>
      <c r="AJ194" s="90">
        <f>INDEX(AJ$132:AJ$149,MATCH($B194,$B$132:$B$149,0))*INDEX('Resource costs'!$C$121:$C$142, MATCH($B194, 'Resource costs'!$B$121:$B$142,0))</f>
        <v>43002.528063571153</v>
      </c>
      <c r="AK194" s="90">
        <f>INDEX(AK$132:AK$149,MATCH($B194,$B$132:$B$149,0))*INDEX('Resource costs'!$C$121:$C$142, MATCH($B194, 'Resource costs'!$B$121:$B$142,0))</f>
        <v>43409.893516822245</v>
      </c>
      <c r="AL194" s="90">
        <f>INDEX(AL$132:AL$149,MATCH($B194,$B$132:$B$149,0))*INDEX('Resource costs'!$C$121:$C$142, MATCH($B194, 'Resource costs'!$B$121:$B$142,0))</f>
        <v>43802.922325203748</v>
      </c>
      <c r="AM194" s="90">
        <f>INDEX(AM$132:AM$149,MATCH($B194,$B$132:$B$149,0))*INDEX('Resource costs'!$C$121:$C$142, MATCH($B194, 'Resource costs'!$B$121:$B$142,0))</f>
        <v>44180.842306167142</v>
      </c>
      <c r="AN194" s="90">
        <f>INDEX(AN$132:AN$149,MATCH($B194,$B$132:$B$149,0))*INDEX('Resource costs'!$C$121:$C$142, MATCH($B194, 'Resource costs'!$B$121:$B$142,0))</f>
        <v>44542.334493591618</v>
      </c>
      <c r="AO194" s="90">
        <f>INDEX(AO$132:AO$149,MATCH($B194,$B$132:$B$149,0))*INDEX('Resource costs'!$C$121:$C$142, MATCH($B194, 'Resource costs'!$B$121:$B$142,0))</f>
        <v>44886.296806945655</v>
      </c>
      <c r="AP194" s="90">
        <f>INDEX(AP$132:AP$149,MATCH($B194,$B$132:$B$149,0))*INDEX('Resource costs'!$C$121:$C$142, MATCH($B194, 'Resource costs'!$B$121:$B$142,0))</f>
        <v>45211.836960768436</v>
      </c>
      <c r="AQ194" s="90">
        <f>INDEX(AQ$132:AQ$149,MATCH($B194,$B$132:$B$149,0))*INDEX('Resource costs'!$C$121:$C$142, MATCH($B194, 'Resource costs'!$B$121:$B$142,0))</f>
        <v>45518.536467606478</v>
      </c>
      <c r="AR194" s="90">
        <f>INDEX(AR$132:AR$149,MATCH($B194,$B$132:$B$149,0))*INDEX('Resource costs'!$C$121:$C$142, MATCH($B194, 'Resource costs'!$B$121:$B$142,0))</f>
        <v>45807.10460406926</v>
      </c>
      <c r="AS194" s="90">
        <f>INDEX(AS$132:AS$149,MATCH($B194,$B$132:$B$149,0))*INDEX('Resource costs'!$C$121:$C$142, MATCH($B194, 'Resource costs'!$B$121:$B$142,0))</f>
        <v>46078.550915247724</v>
      </c>
      <c r="AT194" s="90">
        <f>INDEX(AT$132:AT$149,MATCH($B194,$B$132:$B$149,0))*INDEX('Resource costs'!$C$121:$C$142, MATCH($B194, 'Resource costs'!$B$121:$B$142,0))</f>
        <v>46333.113766941402</v>
      </c>
      <c r="AU194" s="90">
        <f>INDEX(AU$132:AU$149,MATCH($B194,$B$132:$B$149,0))*INDEX('Resource costs'!$C$121:$C$142, MATCH($B194, 'Resource costs'!$B$121:$B$142,0))</f>
        <v>46567.366148929097</v>
      </c>
      <c r="AV194" s="90">
        <f>INDEX(AV$132:AV$149,MATCH($B194,$B$132:$B$149,0))*INDEX('Resource costs'!$C$121:$C$142, MATCH($B194, 'Resource costs'!$B$121:$B$142,0))</f>
        <v>46779.687710745588</v>
      </c>
      <c r="AW194" s="90">
        <f>INDEX(AW$132:AW$149,MATCH($B194,$B$132:$B$149,0))*INDEX('Resource costs'!$C$121:$C$142, MATCH($B194, 'Resource costs'!$B$121:$B$142,0))</f>
        <v>46969.32951485971</v>
      </c>
      <c r="AX194" s="90">
        <f>INDEX(AX$132:AX$149,MATCH($B194,$B$132:$B$149,0))*INDEX('Resource costs'!$C$121:$C$142, MATCH($B194, 'Resource costs'!$B$121:$B$142,0))</f>
        <v>47134.752204933829</v>
      </c>
      <c r="AY194" s="90">
        <f>INDEX(AY$132:AY$149,MATCH($B194,$B$132:$B$149,0))*INDEX('Resource costs'!$C$121:$C$142, MATCH($B194, 'Resource costs'!$B$121:$B$142,0))</f>
        <v>47276.171003317359</v>
      </c>
      <c r="AZ194" s="90">
        <f>INDEX(AZ$132:AZ$149,MATCH($B194,$B$132:$B$149,0))*INDEX('Resource costs'!$C$121:$C$142, MATCH($B194, 'Resource costs'!$B$121:$B$142,0))</f>
        <v>47394.937041161444</v>
      </c>
      <c r="BA194" s="90">
        <f>INDEX(BA$132:BA$149,MATCH($B194,$B$132:$B$149,0))*INDEX('Resource costs'!$C$121:$C$142, MATCH($B194, 'Resource costs'!$B$121:$B$142,0))</f>
        <v>47493.163727088788</v>
      </c>
      <c r="BB194" s="90">
        <f>INDEX(BB$132:BB$149,MATCH($B194,$B$132:$B$149,0))*INDEX('Resource costs'!$C$121:$C$142, MATCH($B194, 'Resource costs'!$B$121:$B$142,0))</f>
        <v>47572.082968408562</v>
      </c>
    </row>
    <row r="195" spans="2:54">
      <c r="B195" s="6" t="s">
        <v>2831</v>
      </c>
      <c r="D195" s="90">
        <f>INDEX(D$132:D$149,MATCH($B195,$B$132:$B$149,0))*INDEX('Resource costs'!$C$121:$C$142, MATCH($B195, 'Resource costs'!$B$121:$B$142,0))</f>
        <v>10503.118214649357</v>
      </c>
      <c r="E195" s="90">
        <f>INDEX(E$132:E$149,MATCH($B195,$B$132:$B$149,0))*INDEX('Resource costs'!$C$121:$C$142, MATCH($B195, 'Resource costs'!$B$121:$B$142,0))</f>
        <v>10966.248883713492</v>
      </c>
      <c r="F195" s="90">
        <f>INDEX(F$132:F$149,MATCH($B195,$B$132:$B$149,0))*INDEX('Resource costs'!$C$121:$C$142, MATCH($B195, 'Resource costs'!$B$121:$B$142,0))</f>
        <v>11376.598532760107</v>
      </c>
      <c r="G195" s="90">
        <f>INDEX(G$132:G$149,MATCH($B195,$B$132:$B$149,0))*INDEX('Resource costs'!$C$121:$C$142, MATCH($B195, 'Resource costs'!$B$121:$B$142,0))</f>
        <v>11749.803898648521</v>
      </c>
      <c r="H195" s="90">
        <f>INDEX(H$132:H$149,MATCH($B195,$B$132:$B$149,0))*INDEX('Resource costs'!$C$121:$C$142, MATCH($B195, 'Resource costs'!$B$121:$B$142,0))</f>
        <v>25606.613640628148</v>
      </c>
      <c r="I195" s="90">
        <f>INDEX(I$132:I$149,MATCH($B195,$B$132:$B$149,0))*INDEX('Resource costs'!$C$121:$C$142, MATCH($B195, 'Resource costs'!$B$121:$B$142,0))</f>
        <v>26646.961061242477</v>
      </c>
      <c r="J195" s="90">
        <f>INDEX(J$132:J$149,MATCH($B195,$B$132:$B$149,0))*INDEX('Resource costs'!$C$121:$C$142, MATCH($B195, 'Resource costs'!$B$121:$B$142,0))</f>
        <v>28203.772787571052</v>
      </c>
      <c r="K195" s="90">
        <f>INDEX(K$132:K$149,MATCH($B195,$B$132:$B$149,0))*INDEX('Resource costs'!$C$121:$C$142, MATCH($B195, 'Resource costs'!$B$121:$B$142,0))</f>
        <v>30127.419709513037</v>
      </c>
      <c r="L195" s="90">
        <f>INDEX(L$132:L$149,MATCH($B195,$B$132:$B$149,0))*INDEX('Resource costs'!$C$121:$C$142, MATCH($B195, 'Resource costs'!$B$121:$B$142,0))</f>
        <v>32347.670879744259</v>
      </c>
      <c r="M195" s="90">
        <f>INDEX(M$132:M$149,MATCH($B195,$B$132:$B$149,0))*INDEX('Resource costs'!$C$121:$C$142, MATCH($B195, 'Resource costs'!$B$121:$B$142,0))</f>
        <v>34767.469626807084</v>
      </c>
      <c r="N195" s="90">
        <f>INDEX(N$132:N$149,MATCH($B195,$B$132:$B$149,0))*INDEX('Resource costs'!$C$121:$C$142, MATCH($B195, 'Resource costs'!$B$121:$B$142,0))</f>
        <v>37327.74243058396</v>
      </c>
      <c r="O195" s="90">
        <f>INDEX(O$132:O$149,MATCH($B195,$B$132:$B$149,0))*INDEX('Resource costs'!$C$121:$C$142, MATCH($B195, 'Resource costs'!$B$121:$B$142,0))</f>
        <v>39913.461821804369</v>
      </c>
      <c r="P195" s="90">
        <f>INDEX(P$132:P$149,MATCH($B195,$B$132:$B$149,0))*INDEX('Resource costs'!$C$121:$C$142, MATCH($B195, 'Resource costs'!$B$121:$B$142,0))</f>
        <v>42571.640285584159</v>
      </c>
      <c r="Q195" s="90">
        <f>INDEX(Q$132:Q$149,MATCH($B195,$B$132:$B$149,0))*INDEX('Resource costs'!$C$121:$C$142, MATCH($B195, 'Resource costs'!$B$121:$B$142,0))</f>
        <v>45286.247695349797</v>
      </c>
      <c r="R195" s="90">
        <f>INDEX(R$132:R$149,MATCH($B195,$B$132:$B$149,0))*INDEX('Resource costs'!$C$121:$C$142, MATCH($B195, 'Resource costs'!$B$121:$B$142,0))</f>
        <v>48051.186180881632</v>
      </c>
      <c r="S195" s="90">
        <f>INDEX(S$132:S$149,MATCH($B195,$B$132:$B$149,0))*INDEX('Resource costs'!$C$121:$C$142, MATCH($B195, 'Resource costs'!$B$121:$B$142,0))</f>
        <v>47806.914378723559</v>
      </c>
      <c r="T195" s="90">
        <f>INDEX(T$132:T$149,MATCH($B195,$B$132:$B$149,0))*INDEX('Resource costs'!$C$121:$C$142, MATCH($B195, 'Resource costs'!$B$121:$B$142,0))</f>
        <v>47866.048818295974</v>
      </c>
      <c r="U195" s="90">
        <f>INDEX(U$132:U$149,MATCH($B195,$B$132:$B$149,0))*INDEX('Resource costs'!$C$121:$C$142, MATCH($B195, 'Resource costs'!$B$121:$B$142,0))</f>
        <v>48130.905139361654</v>
      </c>
      <c r="V195" s="90">
        <f>INDEX(V$132:V$149,MATCH($B195,$B$132:$B$149,0))*INDEX('Resource costs'!$C$121:$C$142, MATCH($B195, 'Resource costs'!$B$121:$B$142,0))</f>
        <v>48544.092935529734</v>
      </c>
      <c r="W195" s="90">
        <f>INDEX(W$132:W$149,MATCH($B195,$B$132:$B$149,0))*INDEX('Resource costs'!$C$121:$C$142, MATCH($B195, 'Resource costs'!$B$121:$B$142,0))</f>
        <v>49042.230658100707</v>
      </c>
      <c r="X195" s="90">
        <f>INDEX(X$132:X$149,MATCH($B195,$B$132:$B$149,0))*INDEX('Resource costs'!$C$121:$C$142, MATCH($B195, 'Resource costs'!$B$121:$B$142,0))</f>
        <v>49590.288516599641</v>
      </c>
      <c r="Y195" s="90">
        <f>INDEX(Y$132:Y$149,MATCH($B195,$B$132:$B$149,0))*INDEX('Resource costs'!$C$121:$C$142, MATCH($B195, 'Resource costs'!$B$121:$B$142,0))</f>
        <v>50172.188769245338</v>
      </c>
      <c r="Z195" s="90">
        <f>INDEX(Z$132:Z$149,MATCH($B195,$B$132:$B$149,0))*INDEX('Resource costs'!$C$121:$C$142, MATCH($B195, 'Resource costs'!$B$121:$B$142,0))</f>
        <v>50771.281401213411</v>
      </c>
      <c r="AA195" s="90">
        <f>INDEX(AA$132:AA$149,MATCH($B195,$B$132:$B$149,0))*INDEX('Resource costs'!$C$121:$C$142, MATCH($B195, 'Resource costs'!$B$121:$B$142,0))</f>
        <v>51377.115904945473</v>
      </c>
      <c r="AB195" s="90">
        <f>INDEX(AB$132:AB$149,MATCH($B195,$B$132:$B$149,0))*INDEX('Resource costs'!$C$121:$C$142, MATCH($B195, 'Resource costs'!$B$121:$B$142,0))</f>
        <v>51982.659904617969</v>
      </c>
      <c r="AC195" s="90">
        <f>INDEX(AC$132:AC$149,MATCH($B195,$B$132:$B$149,0))*INDEX('Resource costs'!$C$121:$C$142, MATCH($B195, 'Resource costs'!$B$121:$B$142,0))</f>
        <v>52584.961192776478</v>
      </c>
      <c r="AD195" s="90">
        <f>INDEX(AD$132:AD$149,MATCH($B195,$B$132:$B$149,0))*INDEX('Resource costs'!$C$121:$C$142, MATCH($B195, 'Resource costs'!$B$121:$B$142,0))</f>
        <v>53178.727395460017</v>
      </c>
      <c r="AE195" s="90">
        <f>INDEX(AE$132:AE$149,MATCH($B195,$B$132:$B$149,0))*INDEX('Resource costs'!$C$121:$C$142, MATCH($B195, 'Resource costs'!$B$121:$B$142,0))</f>
        <v>53759.756597091524</v>
      </c>
      <c r="AF195" s="90">
        <f>INDEX(AF$132:AF$149,MATCH($B195,$B$132:$B$149,0))*INDEX('Resource costs'!$C$121:$C$142, MATCH($B195, 'Resource costs'!$B$121:$B$142,0))</f>
        <v>54324.390664572769</v>
      </c>
      <c r="AG195" s="90">
        <f>INDEX(AG$132:AG$149,MATCH($B195,$B$132:$B$149,0))*INDEX('Resource costs'!$C$121:$C$142, MATCH($B195, 'Resource costs'!$B$121:$B$142,0))</f>
        <v>54869.84212774528</v>
      </c>
      <c r="AH195" s="90">
        <f>INDEX(AH$132:AH$149,MATCH($B195,$B$132:$B$149,0))*INDEX('Resource costs'!$C$121:$C$142, MATCH($B195, 'Resource costs'!$B$121:$B$142,0))</f>
        <v>55399.331340288867</v>
      </c>
      <c r="AI195" s="90">
        <f>INDEX(AI$132:AI$149,MATCH($B195,$B$132:$B$149,0))*INDEX('Resource costs'!$C$121:$C$142, MATCH($B195, 'Resource costs'!$B$121:$B$142,0))</f>
        <v>55913.113382415009</v>
      </c>
      <c r="AJ195" s="90">
        <f>INDEX(AJ$132:AJ$149,MATCH($B195,$B$132:$B$149,0))*INDEX('Resource costs'!$C$121:$C$142, MATCH($B195, 'Resource costs'!$B$121:$B$142,0))</f>
        <v>56413.057931880176</v>
      </c>
      <c r="AK195" s="90">
        <f>INDEX(AK$132:AK$149,MATCH($B195,$B$132:$B$149,0))*INDEX('Resource costs'!$C$121:$C$142, MATCH($B195, 'Resource costs'!$B$121:$B$142,0))</f>
        <v>56896.288410712477</v>
      </c>
      <c r="AL195" s="90">
        <f>INDEX(AL$132:AL$149,MATCH($B195,$B$132:$B$149,0))*INDEX('Resource costs'!$C$121:$C$142, MATCH($B195, 'Resource costs'!$B$121:$B$142,0))</f>
        <v>57358.39722880091</v>
      </c>
      <c r="AM195" s="90">
        <f>INDEX(AM$132:AM$149,MATCH($B195,$B$132:$B$149,0))*INDEX('Resource costs'!$C$121:$C$142, MATCH($B195, 'Resource costs'!$B$121:$B$142,0))</f>
        <v>57796.600384953039</v>
      </c>
      <c r="AN195" s="90">
        <f>INDEX(AN$132:AN$149,MATCH($B195,$B$132:$B$149,0))*INDEX('Resource costs'!$C$121:$C$142, MATCH($B195, 'Resource costs'!$B$121:$B$142,0))</f>
        <v>58208.554865262813</v>
      </c>
      <c r="AO195" s="90">
        <f>INDEX(AO$132:AO$149,MATCH($B195,$B$132:$B$149,0))*INDEX('Resource costs'!$C$121:$C$142, MATCH($B195, 'Resource costs'!$B$121:$B$142,0))</f>
        <v>58592.421096684076</v>
      </c>
      <c r="AP195" s="90">
        <f>INDEX(AP$132:AP$149,MATCH($B195,$B$132:$B$149,0))*INDEX('Resource costs'!$C$121:$C$142, MATCH($B195, 'Resource costs'!$B$121:$B$142,0))</f>
        <v>58946.595153202928</v>
      </c>
      <c r="AQ195" s="90">
        <f>INDEX(AQ$132:AQ$149,MATCH($B195,$B$132:$B$149,0))*INDEX('Resource costs'!$C$121:$C$142, MATCH($B195, 'Resource costs'!$B$121:$B$142,0))</f>
        <v>59277.835723156015</v>
      </c>
      <c r="AR195" s="90">
        <f>INDEX(AR$132:AR$149,MATCH($B195,$B$132:$B$149,0))*INDEX('Resource costs'!$C$121:$C$142, MATCH($B195, 'Resource costs'!$B$121:$B$142,0))</f>
        <v>59593.246780959504</v>
      </c>
      <c r="AS195" s="90">
        <f>INDEX(AS$132:AS$149,MATCH($B195,$B$132:$B$149,0))*INDEX('Resource costs'!$C$121:$C$142, MATCH($B195, 'Resource costs'!$B$121:$B$142,0))</f>
        <v>59898.312434248313</v>
      </c>
      <c r="AT195" s="90">
        <f>INDEX(AT$132:AT$149,MATCH($B195,$B$132:$B$149,0))*INDEX('Resource costs'!$C$121:$C$142, MATCH($B195, 'Resource costs'!$B$121:$B$142,0))</f>
        <v>60165.47160182571</v>
      </c>
      <c r="AU195" s="90">
        <f>INDEX(AU$132:AU$149,MATCH($B195,$B$132:$B$149,0))*INDEX('Resource costs'!$C$121:$C$142, MATCH($B195, 'Resource costs'!$B$121:$B$142,0))</f>
        <v>60400.531297325884</v>
      </c>
      <c r="AV195" s="90">
        <f>INDEX(AV$132:AV$149,MATCH($B195,$B$132:$B$149,0))*INDEX('Resource costs'!$C$121:$C$142, MATCH($B195, 'Resource costs'!$B$121:$B$142,0))</f>
        <v>60607.962589245319</v>
      </c>
      <c r="AW195" s="90">
        <f>INDEX(AW$132:AW$149,MATCH($B195,$B$132:$B$149,0))*INDEX('Resource costs'!$C$121:$C$142, MATCH($B195, 'Resource costs'!$B$121:$B$142,0))</f>
        <v>60774.703003759147</v>
      </c>
      <c r="AX195" s="90">
        <f>INDEX(AX$132:AX$149,MATCH($B195,$B$132:$B$149,0))*INDEX('Resource costs'!$C$121:$C$142, MATCH($B195, 'Resource costs'!$B$121:$B$142,0))</f>
        <v>60909.119352365058</v>
      </c>
      <c r="AY195" s="90">
        <f>INDEX(AY$132:AY$149,MATCH($B195,$B$132:$B$149,0))*INDEX('Resource costs'!$C$121:$C$142, MATCH($B195, 'Resource costs'!$B$121:$B$142,0))</f>
        <v>61017.372677546315</v>
      </c>
      <c r="AZ195" s="90">
        <f>INDEX(AZ$132:AZ$149,MATCH($B195,$B$132:$B$149,0))*INDEX('Resource costs'!$C$121:$C$142, MATCH($B195, 'Resource costs'!$B$121:$B$142,0))</f>
        <v>61104.206852354335</v>
      </c>
      <c r="BA195" s="90">
        <f>INDEX(BA$132:BA$149,MATCH($B195,$B$132:$B$149,0))*INDEX('Resource costs'!$C$121:$C$142, MATCH($B195, 'Resource costs'!$B$121:$B$142,0))</f>
        <v>61173.480828494721</v>
      </c>
      <c r="BB195" s="90">
        <f>INDEX(BB$132:BB$149,MATCH($B195,$B$132:$B$149,0))*INDEX('Resource costs'!$C$121:$C$142, MATCH($B195, 'Resource costs'!$B$121:$B$142,0))</f>
        <v>61227.487157779091</v>
      </c>
    </row>
    <row r="196" spans="2:54" s="97" customFormat="1">
      <c r="B196" s="6" t="s">
        <v>2832</v>
      </c>
      <c r="C196" s="315"/>
      <c r="D196" s="90">
        <f>INDEX(D$132:D$149,MATCH($B196,$B$132:$B$149,0))*INDEX('Resource costs'!$C$121:$C$142, MATCH($B196, 'Resource costs'!$B$121:$B$142,0))</f>
        <v>4175.5473859966778</v>
      </c>
      <c r="E196" s="90">
        <f>INDEX(E$132:E$149,MATCH($B196,$B$132:$B$149,0))*INDEX('Resource costs'!$C$121:$C$142, MATCH($B196, 'Resource costs'!$B$121:$B$142,0))</f>
        <v>4375.0007672155461</v>
      </c>
      <c r="F196" s="90">
        <f>INDEX(F$132:F$149,MATCH($B196,$B$132:$B$149,0))*INDEX('Resource costs'!$C$121:$C$142, MATCH($B196, 'Resource costs'!$B$121:$B$142,0))</f>
        <v>4554.0603325851644</v>
      </c>
      <c r="G196" s="90">
        <f>INDEX(G$132:G$149,MATCH($B196,$B$132:$B$149,0))*INDEX('Resource costs'!$C$121:$C$142, MATCH($B196, 'Resource costs'!$B$121:$B$142,0))</f>
        <v>4718.8621229662422</v>
      </c>
      <c r="H196" s="90">
        <f>INDEX(H$132:H$149,MATCH($B196,$B$132:$B$149,0))*INDEX('Resource costs'!$C$121:$C$142, MATCH($B196, 'Resource costs'!$B$121:$B$142,0))</f>
        <v>2274.9515415204028</v>
      </c>
      <c r="I196" s="90">
        <f>INDEX(I$132:I$149,MATCH($B196,$B$132:$B$149,0))*INDEX('Resource costs'!$C$121:$C$142, MATCH($B196, 'Resource costs'!$B$121:$B$142,0))</f>
        <v>2432.4902485772773</v>
      </c>
      <c r="J196" s="90">
        <f>INDEX(J$132:J$149,MATCH($B196,$B$132:$B$149,0))*INDEX('Resource costs'!$C$121:$C$142, MATCH($B196, 'Resource costs'!$B$121:$B$142,0))</f>
        <v>2630.2764498857719</v>
      </c>
      <c r="K196" s="90">
        <f>INDEX(K$132:K$149,MATCH($B196,$B$132:$B$149,0))*INDEX('Resource costs'!$C$121:$C$142, MATCH($B196, 'Resource costs'!$B$121:$B$142,0))</f>
        <v>2857.0862968952874</v>
      </c>
      <c r="L196" s="90">
        <f>INDEX(L$132:L$149,MATCH($B196,$B$132:$B$149,0))*INDEX('Resource costs'!$C$121:$C$142, MATCH($B196, 'Resource costs'!$B$121:$B$142,0))</f>
        <v>3108.0847501547164</v>
      </c>
      <c r="M196" s="90">
        <f>INDEX(M$132:M$149,MATCH($B196,$B$132:$B$149,0))*INDEX('Resource costs'!$C$121:$C$142, MATCH($B196, 'Resource costs'!$B$121:$B$142,0))</f>
        <v>3375.7066907599674</v>
      </c>
      <c r="N196" s="90">
        <f>INDEX(N$132:N$149,MATCH($B196,$B$132:$B$149,0))*INDEX('Resource costs'!$C$121:$C$142, MATCH($B196, 'Resource costs'!$B$121:$B$142,0))</f>
        <v>3655.3697919936594</v>
      </c>
      <c r="O196" s="90">
        <f>INDEX(O$132:O$149,MATCH($B196,$B$132:$B$149,0))*INDEX('Resource costs'!$C$121:$C$142, MATCH($B196, 'Resource costs'!$B$121:$B$142,0))</f>
        <v>3935.4549054115528</v>
      </c>
      <c r="P196" s="90">
        <f>INDEX(P$132:P$149,MATCH($B196,$B$132:$B$149,0))*INDEX('Resource costs'!$C$121:$C$142, MATCH($B196, 'Resource costs'!$B$121:$B$142,0))</f>
        <v>4222.1967885612476</v>
      </c>
      <c r="Q196" s="90">
        <f>INDEX(Q$132:Q$149,MATCH($B196,$B$132:$B$149,0))*INDEX('Resource costs'!$C$121:$C$142, MATCH($B196, 'Resource costs'!$B$121:$B$142,0))</f>
        <v>4514.3435818724674</v>
      </c>
      <c r="R196" s="90">
        <f>INDEX(R$132:R$149,MATCH($B196,$B$132:$B$149,0))*INDEX('Resource costs'!$C$121:$C$142, MATCH($B196, 'Resource costs'!$B$121:$B$142,0))</f>
        <v>4811.4575120714353</v>
      </c>
      <c r="S196" s="90">
        <f>INDEX(S$132:S$149,MATCH($B196,$B$132:$B$149,0))*INDEX('Resource costs'!$C$121:$C$142, MATCH($B196, 'Resource costs'!$B$121:$B$142,0))</f>
        <v>4779.3804547580967</v>
      </c>
      <c r="T196" s="90">
        <f>INDEX(T$132:T$149,MATCH($B196,$B$132:$B$149,0))*INDEX('Resource costs'!$C$121:$C$142, MATCH($B196, 'Resource costs'!$B$121:$B$142,0))</f>
        <v>4780.3184316052375</v>
      </c>
      <c r="U196" s="90">
        <f>INDEX(U$132:U$149,MATCH($B196,$B$132:$B$149,0))*INDEX('Resource costs'!$C$121:$C$142, MATCH($B196, 'Resource costs'!$B$121:$B$142,0))</f>
        <v>4803.616473359446</v>
      </c>
      <c r="V196" s="90">
        <f>INDEX(V$132:V$149,MATCH($B196,$B$132:$B$149,0))*INDEX('Resource costs'!$C$121:$C$142, MATCH($B196, 'Resource costs'!$B$121:$B$142,0))</f>
        <v>4842.8255622968263</v>
      </c>
      <c r="W196" s="90">
        <f>INDEX(W$132:W$149,MATCH($B196,$B$132:$B$149,0))*INDEX('Resource costs'!$C$121:$C$142, MATCH($B196, 'Resource costs'!$B$121:$B$142,0))</f>
        <v>4891.3433316037554</v>
      </c>
      <c r="X196" s="90">
        <f>INDEX(X$132:X$149,MATCH($B196,$B$132:$B$149,0))*INDEX('Resource costs'!$C$121:$C$142, MATCH($B196, 'Resource costs'!$B$121:$B$142,0))</f>
        <v>4945.4172614293084</v>
      </c>
      <c r="Y196" s="90">
        <f>INDEX(Y$132:Y$149,MATCH($B196,$B$132:$B$149,0))*INDEX('Resource costs'!$C$121:$C$142, MATCH($B196, 'Resource costs'!$B$121:$B$142,0))</f>
        <v>5003.1975087715955</v>
      </c>
      <c r="Z196" s="90">
        <f>INDEX(Z$132:Z$149,MATCH($B196,$B$132:$B$149,0))*INDEX('Resource costs'!$C$121:$C$142, MATCH($B196, 'Resource costs'!$B$121:$B$142,0))</f>
        <v>5062.9141144393425</v>
      </c>
      <c r="AA196" s="90">
        <f>INDEX(AA$132:AA$149,MATCH($B196,$B$132:$B$149,0))*INDEX('Resource costs'!$C$121:$C$142, MATCH($B196, 'Resource costs'!$B$121:$B$142,0))</f>
        <v>5123.4768972642923</v>
      </c>
      <c r="AB196" s="90">
        <f>INDEX(AB$132:AB$149,MATCH($B196,$B$132:$B$149,0))*INDEX('Resource costs'!$C$121:$C$142, MATCH($B196, 'Resource costs'!$B$121:$B$142,0))</f>
        <v>5184.1543148683168</v>
      </c>
      <c r="AC196" s="90">
        <f>INDEX(AC$132:AC$149,MATCH($B196,$B$132:$B$149,0))*INDEX('Resource costs'!$C$121:$C$142, MATCH($B196, 'Resource costs'!$B$121:$B$142,0))</f>
        <v>5244.6000271451603</v>
      </c>
      <c r="AD196" s="90">
        <f>INDEX(AD$132:AD$149,MATCH($B196,$B$132:$B$149,0))*INDEX('Resource costs'!$C$121:$C$142, MATCH($B196, 'Resource costs'!$B$121:$B$142,0))</f>
        <v>5304.2896158266922</v>
      </c>
      <c r="AE196" s="90">
        <f>INDEX(AE$132:AE$149,MATCH($B196,$B$132:$B$149,0))*INDEX('Resource costs'!$C$121:$C$142, MATCH($B196, 'Resource costs'!$B$121:$B$142,0))</f>
        <v>5362.8110692796572</v>
      </c>
      <c r="AF196" s="90">
        <f>INDEX(AF$132:AF$149,MATCH($B196,$B$132:$B$149,0))*INDEX('Resource costs'!$C$121:$C$142, MATCH($B196, 'Resource costs'!$B$121:$B$142,0))</f>
        <v>5419.7972016117437</v>
      </c>
      <c r="AG196" s="90">
        <f>INDEX(AG$132:AG$149,MATCH($B196,$B$132:$B$149,0))*INDEX('Resource costs'!$C$121:$C$142, MATCH($B196, 'Resource costs'!$B$121:$B$142,0))</f>
        <v>5474.9317177095927</v>
      </c>
      <c r="AH196" s="90">
        <f>INDEX(AH$132:AH$149,MATCH($B196,$B$132:$B$149,0))*INDEX('Resource costs'!$C$121:$C$142, MATCH($B196, 'Resource costs'!$B$121:$B$142,0))</f>
        <v>5528.4722455181845</v>
      </c>
      <c r="AI196" s="90">
        <f>INDEX(AI$132:AI$149,MATCH($B196,$B$132:$B$149,0))*INDEX('Resource costs'!$C$121:$C$142, MATCH($B196, 'Resource costs'!$B$121:$B$142,0))</f>
        <v>5580.4351299150594</v>
      </c>
      <c r="AJ196" s="90">
        <f>INDEX(AJ$132:AJ$149,MATCH($B196,$B$132:$B$149,0))*INDEX('Resource costs'!$C$121:$C$142, MATCH($B196, 'Resource costs'!$B$121:$B$142,0))</f>
        <v>5630.9695179345708</v>
      </c>
      <c r="AK196" s="90">
        <f>INDEX(AK$132:AK$149,MATCH($B196,$B$132:$B$149,0))*INDEX('Resource costs'!$C$121:$C$142, MATCH($B196, 'Resource costs'!$B$121:$B$142,0))</f>
        <v>5679.8174352509577</v>
      </c>
      <c r="AL196" s="90">
        <f>INDEX(AL$132:AL$149,MATCH($B196,$B$132:$B$149,0))*INDEX('Resource costs'!$C$121:$C$142, MATCH($B196, 'Resource costs'!$B$121:$B$142,0))</f>
        <v>5726.5847948066857</v>
      </c>
      <c r="AM196" s="90">
        <f>INDEX(AM$132:AM$149,MATCH($B196,$B$132:$B$149,0))*INDEX('Resource costs'!$C$121:$C$142, MATCH($B196, 'Resource costs'!$B$121:$B$142,0))</f>
        <v>5771.0149353350207</v>
      </c>
      <c r="AN196" s="90">
        <f>INDEX(AN$132:AN$149,MATCH($B196,$B$132:$B$149,0))*INDEX('Resource costs'!$C$121:$C$142, MATCH($B196, 'Resource costs'!$B$121:$B$142,0))</f>
        <v>5812.8813293274534</v>
      </c>
      <c r="AO196" s="90">
        <f>INDEX(AO$132:AO$149,MATCH($B196,$B$132:$B$149,0))*INDEX('Resource costs'!$C$121:$C$142, MATCH($B196, 'Resource costs'!$B$121:$B$142,0))</f>
        <v>5852.0050769845811</v>
      </c>
      <c r="AP196" s="90">
        <f>INDEX(AP$132:AP$149,MATCH($B196,$B$132:$B$149,0))*INDEX('Resource costs'!$C$121:$C$142, MATCH($B196, 'Resource costs'!$B$121:$B$142,0))</f>
        <v>5888.2312743944794</v>
      </c>
      <c r="AQ196" s="90">
        <f>INDEX(AQ$132:AQ$149,MATCH($B196,$B$132:$B$149,0))*INDEX('Resource costs'!$C$121:$C$142, MATCH($B196, 'Resource costs'!$B$121:$B$142,0))</f>
        <v>5922.1469562528828</v>
      </c>
      <c r="AR196" s="90">
        <f>INDEX(AR$132:AR$149,MATCH($B196,$B$132:$B$149,0))*INDEX('Resource costs'!$C$121:$C$142, MATCH($B196, 'Resource costs'!$B$121:$B$142,0))</f>
        <v>5954.3872177489175</v>
      </c>
      <c r="AS196" s="90">
        <f>INDEX(AS$132:AS$149,MATCH($B196,$B$132:$B$149,0))*INDEX('Resource costs'!$C$121:$C$142, MATCH($B196, 'Resource costs'!$B$121:$B$142,0))</f>
        <v>5985.4496029276543</v>
      </c>
      <c r="AT196" s="90">
        <f>INDEX(AT$132:AT$149,MATCH($B196,$B$132:$B$149,0))*INDEX('Resource costs'!$C$121:$C$142, MATCH($B196, 'Resource costs'!$B$121:$B$142,0))</f>
        <v>6012.9171711678819</v>
      </c>
      <c r="AU196" s="90">
        <f>INDEX(AU$132:AU$149,MATCH($B196,$B$132:$B$149,0))*INDEX('Resource costs'!$C$121:$C$142, MATCH($B196, 'Resource costs'!$B$121:$B$142,0))</f>
        <v>6037.2460627510145</v>
      </c>
      <c r="AV196" s="90">
        <f>INDEX(AV$132:AV$149,MATCH($B196,$B$132:$B$149,0))*INDEX('Resource costs'!$C$121:$C$142, MATCH($B196, 'Resource costs'!$B$121:$B$142,0))</f>
        <v>6058.8034915633061</v>
      </c>
      <c r="AW196" s="90">
        <f>INDEX(AW$132:AW$149,MATCH($B196,$B$132:$B$149,0))*INDEX('Resource costs'!$C$121:$C$142, MATCH($B196, 'Resource costs'!$B$121:$B$142,0))</f>
        <v>6076.430403930789</v>
      </c>
      <c r="AX196" s="90">
        <f>INDEX(AX$132:AX$149,MATCH($B196,$B$132:$B$149,0))*INDEX('Resource costs'!$C$121:$C$142, MATCH($B196, 'Resource costs'!$B$121:$B$142,0))</f>
        <v>6090.8374503553787</v>
      </c>
      <c r="AY196" s="90">
        <f>INDEX(AY$132:AY$149,MATCH($B196,$B$132:$B$149,0))*INDEX('Resource costs'!$C$121:$C$142, MATCH($B196, 'Resource costs'!$B$121:$B$142,0))</f>
        <v>6102.5691393676661</v>
      </c>
      <c r="AZ196" s="90">
        <f>INDEX(AZ$132:AZ$149,MATCH($B196,$B$132:$B$149,0))*INDEX('Resource costs'!$C$121:$C$142, MATCH($B196, 'Resource costs'!$B$121:$B$142,0))</f>
        <v>6112.0633716540742</v>
      </c>
      <c r="BA196" s="90">
        <f>INDEX(BA$132:BA$149,MATCH($B196,$B$132:$B$149,0))*INDEX('Resource costs'!$C$121:$C$142, MATCH($B196, 'Resource costs'!$B$121:$B$142,0))</f>
        <v>6119.6923120577503</v>
      </c>
      <c r="BB196" s="90">
        <f>INDEX(BB$132:BB$149,MATCH($B196,$B$132:$B$149,0))*INDEX('Resource costs'!$C$121:$C$142, MATCH($B196, 'Resource costs'!$B$121:$B$142,0))</f>
        <v>6125.676687008001</v>
      </c>
    </row>
    <row r="197" spans="2:54" s="97" customFormat="1">
      <c r="B197" s="6" t="s">
        <v>2871</v>
      </c>
      <c r="C197" s="315"/>
      <c r="D197" s="90">
        <f>INDEX(D$132:D$149,MATCH($B197,$B$132:$B$149,0))*INDEX('Resource costs'!$C$121:$C$142, MATCH($B197, 'Resource costs'!$B$121:$B$142,0))</f>
        <v>206.55613960308929</v>
      </c>
      <c r="E197" s="90">
        <f>INDEX(E$132:E$149,MATCH($B197,$B$132:$B$149,0))*INDEX('Resource costs'!$C$121:$C$142, MATCH($B197, 'Resource costs'!$B$121:$B$142,0))</f>
        <v>214.49603842537473</v>
      </c>
      <c r="F197" s="90">
        <f>INDEX(F$132:F$149,MATCH($B197,$B$132:$B$149,0))*INDEX('Resource costs'!$C$121:$C$142, MATCH($B197, 'Resource costs'!$B$121:$B$142,0))</f>
        <v>221.35303514114813</v>
      </c>
      <c r="G197" s="90">
        <f>INDEX(G$132:G$149,MATCH($B197,$B$132:$B$149,0))*INDEX('Resource costs'!$C$121:$C$142, MATCH($B197, 'Resource costs'!$B$121:$B$142,0))</f>
        <v>227.440768512235</v>
      </c>
      <c r="H197" s="90">
        <f>INDEX(H$132:H$149,MATCH($B197,$B$132:$B$149,0))*INDEX('Resource costs'!$C$121:$C$142, MATCH($B197, 'Resource costs'!$B$121:$B$142,0))</f>
        <v>860.08853830275041</v>
      </c>
      <c r="I197" s="90">
        <f>INDEX(I$132:I$149,MATCH($B197,$B$132:$B$149,0))*INDEX('Resource costs'!$C$121:$C$142, MATCH($B197, 'Resource costs'!$B$121:$B$142,0))</f>
        <v>788.05887673355937</v>
      </c>
      <c r="J197" s="90">
        <f>INDEX(J$132:J$149,MATCH($B197,$B$132:$B$149,0))*INDEX('Resource costs'!$C$121:$C$142, MATCH($B197, 'Resource costs'!$B$121:$B$142,0))</f>
        <v>742.63664704588905</v>
      </c>
      <c r="K197" s="90">
        <f>INDEX(K$132:K$149,MATCH($B197,$B$132:$B$149,0))*INDEX('Resource costs'!$C$121:$C$142, MATCH($B197, 'Resource costs'!$B$121:$B$142,0))</f>
        <v>715.39592132851749</v>
      </c>
      <c r="L197" s="90">
        <f>INDEX(L$132:L$149,MATCH($B197,$B$132:$B$149,0))*INDEX('Resource costs'!$C$121:$C$142, MATCH($B197, 'Resource costs'!$B$121:$B$142,0))</f>
        <v>701.67036046810745</v>
      </c>
      <c r="M197" s="90">
        <f>INDEX(M$132:M$149,MATCH($B197,$B$132:$B$149,0))*INDEX('Resource costs'!$C$121:$C$142, MATCH($B197, 'Resource costs'!$B$121:$B$142,0))</f>
        <v>696.4623845675784</v>
      </c>
      <c r="N197" s="90">
        <f>INDEX(N$132:N$149,MATCH($B197,$B$132:$B$149,0))*INDEX('Resource costs'!$C$121:$C$142, MATCH($B197, 'Resource costs'!$B$121:$B$142,0))</f>
        <v>696.69377603844839</v>
      </c>
      <c r="O197" s="90">
        <f>INDEX(O$132:O$149,MATCH($B197,$B$132:$B$149,0))*INDEX('Resource costs'!$C$121:$C$142, MATCH($B197, 'Resource costs'!$B$121:$B$142,0))</f>
        <v>700.80075220931064</v>
      </c>
      <c r="P197" s="90">
        <f>INDEX(P$132:P$149,MATCH($B197,$B$132:$B$149,0))*INDEX('Resource costs'!$C$121:$C$142, MATCH($B197, 'Resource costs'!$B$121:$B$142,0))</f>
        <v>706.98117099808405</v>
      </c>
      <c r="Q197" s="90">
        <f>INDEX(Q$132:Q$149,MATCH($B197,$B$132:$B$149,0))*INDEX('Resource costs'!$C$121:$C$142, MATCH($B197, 'Resource costs'!$B$121:$B$142,0))</f>
        <v>714.41353826211389</v>
      </c>
      <c r="R197" s="90">
        <f>INDEX(R$132:R$149,MATCH($B197,$B$132:$B$149,0))*INDEX('Resource costs'!$C$121:$C$142, MATCH($B197, 'Resource costs'!$B$121:$B$142,0))</f>
        <v>722.72221170795046</v>
      </c>
      <c r="S197" s="90">
        <f>INDEX(S$132:S$149,MATCH($B197,$B$132:$B$149,0))*INDEX('Resource costs'!$C$121:$C$142, MATCH($B197, 'Resource costs'!$B$121:$B$142,0))</f>
        <v>731.56338368915817</v>
      </c>
      <c r="T197" s="90">
        <f>INDEX(T$132:T$149,MATCH($B197,$B$132:$B$149,0))*INDEX('Resource costs'!$C$121:$C$142, MATCH($B197, 'Resource costs'!$B$121:$B$142,0))</f>
        <v>740.63990993159859</v>
      </c>
      <c r="U197" s="90">
        <f>INDEX(U$132:U$149,MATCH($B197,$B$132:$B$149,0))*INDEX('Resource costs'!$C$121:$C$142, MATCH($B197, 'Resource costs'!$B$121:$B$142,0))</f>
        <v>749.91788243950577</v>
      </c>
      <c r="V197" s="90">
        <f>INDEX(V$132:V$149,MATCH($B197,$B$132:$B$149,0))*INDEX('Resource costs'!$C$121:$C$142, MATCH($B197, 'Resource costs'!$B$121:$B$142,0))</f>
        <v>759.68810707142063</v>
      </c>
      <c r="W197" s="90">
        <f>INDEX(W$132:W$149,MATCH($B197,$B$132:$B$149,0))*INDEX('Resource costs'!$C$121:$C$142, MATCH($B197, 'Resource costs'!$B$121:$B$142,0))</f>
        <v>769.41762449657881</v>
      </c>
      <c r="X197" s="90">
        <f>INDEX(X$132:X$149,MATCH($B197,$B$132:$B$149,0))*INDEX('Resource costs'!$C$121:$C$142, MATCH($B197, 'Resource costs'!$B$121:$B$142,0))</f>
        <v>778.98194620469565</v>
      </c>
      <c r="Y197" s="90">
        <f>INDEX(Y$132:Y$149,MATCH($B197,$B$132:$B$149,0))*INDEX('Resource costs'!$C$121:$C$142, MATCH($B197, 'Resource costs'!$B$121:$B$142,0))</f>
        <v>788.53346694864149</v>
      </c>
      <c r="Z197" s="90">
        <f>INDEX(Z$132:Z$149,MATCH($B197,$B$132:$B$149,0))*INDEX('Resource costs'!$C$121:$C$142, MATCH($B197, 'Resource costs'!$B$121:$B$142,0))</f>
        <v>797.99058766170754</v>
      </c>
      <c r="AA197" s="90">
        <f>INDEX(AA$132:AA$149,MATCH($B197,$B$132:$B$149,0))*INDEX('Resource costs'!$C$121:$C$142, MATCH($B197, 'Resource costs'!$B$121:$B$142,0))</f>
        <v>807.2680062970561</v>
      </c>
      <c r="AB197" s="90">
        <f>INDEX(AB$132:AB$149,MATCH($B197,$B$132:$B$149,0))*INDEX('Resource costs'!$C$121:$C$142, MATCH($B197, 'Resource costs'!$B$121:$B$142,0))</f>
        <v>816.30492951405176</v>
      </c>
      <c r="AC197" s="90">
        <f>INDEX(AC$132:AC$149,MATCH($B197,$B$132:$B$149,0))*INDEX('Resource costs'!$C$121:$C$142, MATCH($B197, 'Resource costs'!$B$121:$B$142,0))</f>
        <v>825.14029923696478</v>
      </c>
      <c r="AD197" s="90">
        <f>INDEX(AD$132:AD$149,MATCH($B197,$B$132:$B$149,0))*INDEX('Resource costs'!$C$121:$C$142, MATCH($B197, 'Resource costs'!$B$121:$B$142,0))</f>
        <v>833.68545012730181</v>
      </c>
      <c r="AE197" s="90">
        <f>INDEX(AE$132:AE$149,MATCH($B197,$B$132:$B$149,0))*INDEX('Resource costs'!$C$121:$C$142, MATCH($B197, 'Resource costs'!$B$121:$B$142,0))</f>
        <v>841.86283289840344</v>
      </c>
      <c r="AF197" s="90">
        <f>INDEX(AF$132:AF$149,MATCH($B197,$B$132:$B$149,0))*INDEX('Resource costs'!$C$121:$C$142, MATCH($B197, 'Resource costs'!$B$121:$B$142,0))</f>
        <v>849.61888896657001</v>
      </c>
      <c r="AG197" s="90">
        <f>INDEX(AG$132:AG$149,MATCH($B197,$B$132:$B$149,0))*INDEX('Resource costs'!$C$121:$C$142, MATCH($B197, 'Resource costs'!$B$121:$B$142,0))</f>
        <v>856.97277723755349</v>
      </c>
      <c r="AH197" s="90">
        <f>INDEX(AH$132:AH$149,MATCH($B197,$B$132:$B$149,0))*INDEX('Resource costs'!$C$121:$C$142, MATCH($B197, 'Resource costs'!$B$121:$B$142,0))</f>
        <v>864.07944811848711</v>
      </c>
      <c r="AI197" s="90">
        <f>INDEX(AI$132:AI$149,MATCH($B197,$B$132:$B$149,0))*INDEX('Resource costs'!$C$121:$C$142, MATCH($B197, 'Resource costs'!$B$121:$B$142,0))</f>
        <v>870.95784777208178</v>
      </c>
      <c r="AJ197" s="90">
        <f>INDEX(AJ$132:AJ$149,MATCH($B197,$B$132:$B$149,0))*INDEX('Resource costs'!$C$121:$C$142, MATCH($B197, 'Resource costs'!$B$121:$B$142,0))</f>
        <v>877.69863903635257</v>
      </c>
      <c r="AK197" s="90">
        <f>INDEX(AK$132:AK$149,MATCH($B197,$B$132:$B$149,0))*INDEX('Resource costs'!$C$121:$C$142, MATCH($B197, 'Resource costs'!$B$121:$B$142,0))</f>
        <v>884.20916525995312</v>
      </c>
      <c r="AL197" s="90">
        <f>INDEX(AL$132:AL$149,MATCH($B197,$B$132:$B$149,0))*INDEX('Resource costs'!$C$121:$C$142, MATCH($B197, 'Resource costs'!$B$121:$B$142,0))</f>
        <v>890.34549982111332</v>
      </c>
      <c r="AM197" s="90">
        <f>INDEX(AM$132:AM$149,MATCH($B197,$B$132:$B$149,0))*INDEX('Resource costs'!$C$121:$C$142, MATCH($B197, 'Resource costs'!$B$121:$B$142,0))</f>
        <v>896.0294509131935</v>
      </c>
      <c r="AN197" s="90">
        <f>INDEX(AN$132:AN$149,MATCH($B197,$B$132:$B$149,0))*INDEX('Resource costs'!$C$121:$C$142, MATCH($B197, 'Resource costs'!$B$121:$B$142,0))</f>
        <v>901.21249836328082</v>
      </c>
      <c r="AO197" s="90">
        <f>INDEX(AO$132:AO$149,MATCH($B197,$B$132:$B$149,0))*INDEX('Resource costs'!$C$121:$C$142, MATCH($B197, 'Resource costs'!$B$121:$B$142,0))</f>
        <v>905.85826598692915</v>
      </c>
      <c r="AP197" s="90">
        <f>INDEX(AP$132:AP$149,MATCH($B197,$B$132:$B$149,0))*INDEX('Resource costs'!$C$121:$C$142, MATCH($B197, 'Resource costs'!$B$121:$B$142,0))</f>
        <v>909.93326456166562</v>
      </c>
      <c r="AQ197" s="90">
        <f>INDEX(AQ$132:AQ$149,MATCH($B197,$B$132:$B$149,0))*INDEX('Resource costs'!$C$121:$C$142, MATCH($B197, 'Resource costs'!$B$121:$B$142,0))</f>
        <v>913.68656141334236</v>
      </c>
      <c r="AR197" s="90">
        <f>INDEX(AR$132:AR$149,MATCH($B197,$B$132:$B$149,0))*INDEX('Resource costs'!$C$121:$C$142, MATCH($B197, 'Resource costs'!$B$121:$B$142,0))</f>
        <v>917.35026025016748</v>
      </c>
      <c r="AS197" s="90">
        <f>INDEX(AS$132:AS$149,MATCH($B197,$B$132:$B$149,0))*INDEX('Resource costs'!$C$121:$C$142, MATCH($B197, 'Resource costs'!$B$121:$B$142,0))</f>
        <v>921.09160421749539</v>
      </c>
      <c r="AT197" s="90">
        <f>INDEX(AT$132:AT$149,MATCH($B197,$B$132:$B$149,0))*INDEX('Resource costs'!$C$121:$C$142, MATCH($B197, 'Resource costs'!$B$121:$B$142,0))</f>
        <v>923.9328580539692</v>
      </c>
      <c r="AU197" s="90">
        <f>INDEX(AU$132:AU$149,MATCH($B197,$B$132:$B$149,0))*INDEX('Resource costs'!$C$121:$C$142, MATCH($B197, 'Resource costs'!$B$121:$B$142,0))</f>
        <v>926.16726546236623</v>
      </c>
      <c r="AV197" s="90">
        <f>INDEX(AV$132:AV$149,MATCH($B197,$B$132:$B$149,0))*INDEX('Resource costs'!$C$121:$C$142, MATCH($B197, 'Resource costs'!$B$121:$B$142,0))</f>
        <v>927.99430099883307</v>
      </c>
      <c r="AW197" s="90">
        <f>INDEX(AW$132:AW$149,MATCH($B197,$B$132:$B$149,0))*INDEX('Resource costs'!$C$121:$C$142, MATCH($B197, 'Resource costs'!$B$121:$B$142,0))</f>
        <v>928.97283788656648</v>
      </c>
      <c r="AX197" s="90">
        <f>INDEX(AX$132:AX$149,MATCH($B197,$B$132:$B$149,0))*INDEX('Resource costs'!$C$121:$C$142, MATCH($B197, 'Resource costs'!$B$121:$B$142,0))</f>
        <v>929.43759008314919</v>
      </c>
      <c r="AY197" s="90">
        <f>INDEX(AY$132:AY$149,MATCH($B197,$B$132:$B$149,0))*INDEX('Resource costs'!$C$121:$C$142, MATCH($B197, 'Resource costs'!$B$121:$B$142,0))</f>
        <v>929.60018506529582</v>
      </c>
      <c r="AZ197" s="90">
        <f>INDEX(AZ$132:AZ$149,MATCH($B197,$B$132:$B$149,0))*INDEX('Resource costs'!$C$121:$C$142, MATCH($B197, 'Resource costs'!$B$121:$B$142,0))</f>
        <v>929.59294658318368</v>
      </c>
      <c r="BA197" s="90">
        <f>INDEX(BA$132:BA$149,MATCH($B197,$B$132:$B$149,0))*INDEX('Resource costs'!$C$121:$C$142, MATCH($B197, 'Resource costs'!$B$121:$B$142,0))</f>
        <v>929.49731004504611</v>
      </c>
      <c r="BB197" s="90">
        <f>INDEX(BB$132:BB$149,MATCH($B197,$B$132:$B$149,0))*INDEX('Resource costs'!$C$121:$C$142, MATCH($B197, 'Resource costs'!$B$121:$B$142,0))</f>
        <v>929.36226589275395</v>
      </c>
    </row>
    <row r="198" spans="2:54">
      <c r="B198" s="52"/>
      <c r="C198" s="52"/>
      <c r="D198" s="116"/>
      <c r="E198" s="116"/>
      <c r="F198" s="116"/>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row>
    <row r="199" spans="2:54">
      <c r="B199" s="113" t="s">
        <v>98</v>
      </c>
      <c r="C199" s="113"/>
      <c r="D199" s="116"/>
      <c r="E199" s="116"/>
      <c r="F199" s="116"/>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row>
    <row r="200" spans="2:54" ht="15" customHeight="1">
      <c r="B200" s="52"/>
      <c r="C200" s="113"/>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row>
    <row r="201" spans="2:54">
      <c r="B201" s="7" t="s">
        <v>9</v>
      </c>
      <c r="C201" s="113"/>
      <c r="D201" s="34">
        <f>'Prevalence projection'!C$21</f>
        <v>2020</v>
      </c>
      <c r="E201" s="34">
        <f>'Prevalence projection'!D$21</f>
        <v>2021</v>
      </c>
      <c r="F201" s="34">
        <f>'Prevalence projection'!E$21</f>
        <v>2022</v>
      </c>
      <c r="G201" s="34">
        <f>'Prevalence projection'!F$21</f>
        <v>2023</v>
      </c>
      <c r="H201" s="34">
        <f>'Prevalence projection'!G$21</f>
        <v>2024</v>
      </c>
      <c r="I201" s="34">
        <f>'Prevalence projection'!H$21</f>
        <v>2025</v>
      </c>
      <c r="J201" s="34">
        <f>'Prevalence projection'!I$21</f>
        <v>2026</v>
      </c>
      <c r="K201" s="34">
        <f>'Prevalence projection'!J$21</f>
        <v>2027</v>
      </c>
      <c r="L201" s="34">
        <f>'Prevalence projection'!K$21</f>
        <v>2028</v>
      </c>
      <c r="M201" s="34">
        <f>'Prevalence projection'!L$21</f>
        <v>2029</v>
      </c>
      <c r="N201" s="34">
        <f>'Prevalence projection'!M$21</f>
        <v>2030</v>
      </c>
      <c r="O201" s="34">
        <f>'Prevalence projection'!N$21</f>
        <v>2031</v>
      </c>
      <c r="P201" s="34">
        <f>'Prevalence projection'!O$21</f>
        <v>2032</v>
      </c>
      <c r="Q201" s="34">
        <f>'Prevalence projection'!P$21</f>
        <v>2033</v>
      </c>
      <c r="R201" s="34">
        <f>'Prevalence projection'!Q$21</f>
        <v>2034</v>
      </c>
      <c r="S201" s="34">
        <f>'Prevalence projection'!R$21</f>
        <v>2035</v>
      </c>
      <c r="T201" s="34">
        <f>'Prevalence projection'!S$21</f>
        <v>2036</v>
      </c>
      <c r="U201" s="34">
        <f>'Prevalence projection'!T$21</f>
        <v>2037</v>
      </c>
      <c r="V201" s="34">
        <f>'Prevalence projection'!U$21</f>
        <v>2038</v>
      </c>
      <c r="W201" s="34">
        <f>'Prevalence projection'!V$21</f>
        <v>2039</v>
      </c>
      <c r="X201" s="34">
        <f>'Prevalence projection'!W$21</f>
        <v>2040</v>
      </c>
      <c r="Y201" s="34">
        <f>'Prevalence projection'!X$21</f>
        <v>2041</v>
      </c>
      <c r="Z201" s="34">
        <f>'Prevalence projection'!Y$21</f>
        <v>2042</v>
      </c>
      <c r="AA201" s="34">
        <f>'Prevalence projection'!Z$21</f>
        <v>2043</v>
      </c>
      <c r="AB201" s="34">
        <f>'Prevalence projection'!AA$21</f>
        <v>2044</v>
      </c>
      <c r="AC201" s="34">
        <f>'Prevalence projection'!AB$21</f>
        <v>2045</v>
      </c>
      <c r="AD201" s="34">
        <f>'Prevalence projection'!AC$21</f>
        <v>2046</v>
      </c>
      <c r="AE201" s="34">
        <f>'Prevalence projection'!AD$21</f>
        <v>2047</v>
      </c>
      <c r="AF201" s="34">
        <f>'Prevalence projection'!AE$21</f>
        <v>2048</v>
      </c>
      <c r="AG201" s="34">
        <f>'Prevalence projection'!AF$21</f>
        <v>2049</v>
      </c>
      <c r="AH201" s="34">
        <f>'Prevalence projection'!AG$21</f>
        <v>2050</v>
      </c>
      <c r="AI201" s="34">
        <f>'Prevalence projection'!AH$21</f>
        <v>2051</v>
      </c>
      <c r="AJ201" s="34">
        <f>'Prevalence projection'!AI$21</f>
        <v>2052</v>
      </c>
      <c r="AK201" s="34">
        <f>'Prevalence projection'!AJ$21</f>
        <v>2053</v>
      </c>
      <c r="AL201" s="34">
        <f>'Prevalence projection'!AK$21</f>
        <v>2054</v>
      </c>
      <c r="AM201" s="34">
        <f>'Prevalence projection'!AL$21</f>
        <v>2055</v>
      </c>
      <c r="AN201" s="34">
        <f>'Prevalence projection'!AM$21</f>
        <v>2056</v>
      </c>
      <c r="AO201" s="34">
        <f>'Prevalence projection'!AN$21</f>
        <v>2057</v>
      </c>
      <c r="AP201" s="34">
        <f>'Prevalence projection'!AO$21</f>
        <v>2058</v>
      </c>
      <c r="AQ201" s="34">
        <f>'Prevalence projection'!AP$21</f>
        <v>2059</v>
      </c>
      <c r="AR201" s="34">
        <f>'Prevalence projection'!AQ$21</f>
        <v>2060</v>
      </c>
      <c r="AS201" s="34">
        <f>'Prevalence projection'!AR$21</f>
        <v>2061</v>
      </c>
      <c r="AT201" s="34">
        <f>'Prevalence projection'!AS$21</f>
        <v>2062</v>
      </c>
      <c r="AU201" s="34">
        <f>'Prevalence projection'!AT$21</f>
        <v>2063</v>
      </c>
      <c r="AV201" s="34">
        <f>'Prevalence projection'!AU$21</f>
        <v>2064</v>
      </c>
      <c r="AW201" s="34">
        <f>'Prevalence projection'!AV$21</f>
        <v>2065</v>
      </c>
      <c r="AX201" s="34">
        <f>'Prevalence projection'!AW$21</f>
        <v>2066</v>
      </c>
      <c r="AY201" s="34">
        <f>'Prevalence projection'!AX$21</f>
        <v>2067</v>
      </c>
      <c r="AZ201" s="34">
        <f>'Prevalence projection'!AY$21</f>
        <v>2068</v>
      </c>
      <c r="BA201" s="34">
        <f>'Prevalence projection'!AZ$21</f>
        <v>2069</v>
      </c>
      <c r="BB201" s="34">
        <f>'Prevalence projection'!BA$21</f>
        <v>2070</v>
      </c>
    </row>
    <row r="202" spans="2:54">
      <c r="B202" s="6" t="s">
        <v>11</v>
      </c>
      <c r="C202" s="113"/>
      <c r="D202" s="90">
        <f>INDEX(D$154:D$171,MATCH($B202,$B$154:$B$171,0))*INDEX('Resource costs'!$C$121:$C$142, MATCH($B202, 'Resource costs'!$B$121:$B$142,0))</f>
        <v>45007.805583958121</v>
      </c>
      <c r="E202" s="90">
        <f>INDEX(E$154:E$171,MATCH($B202,$B$154:$B$171,0))*INDEX('Resource costs'!$C$121:$C$142, MATCH($B202, 'Resource costs'!$B$121:$B$142,0))</f>
        <v>46737.879660847844</v>
      </c>
      <c r="F202" s="90">
        <f>INDEX(F$154:F$171,MATCH($B202,$B$154:$B$171,0))*INDEX('Resource costs'!$C$121:$C$142, MATCH($B202, 'Resource costs'!$B$121:$B$142,0))</f>
        <v>48231.993443504689</v>
      </c>
      <c r="G202" s="90">
        <f>INDEX(G$154:G$171,MATCH($B202,$B$154:$B$171,0))*INDEX('Resource costs'!$C$121:$C$142, MATCH($B202, 'Resource costs'!$B$121:$B$142,0))</f>
        <v>49558.487637961225</v>
      </c>
      <c r="H202" s="90">
        <f>INDEX(H$154:H$171,MATCH($B202,$B$154:$B$171,0))*INDEX('Resource costs'!$C$121:$C$142, MATCH($B202, 'Resource costs'!$B$121:$B$142,0))</f>
        <v>33019.03606868007</v>
      </c>
      <c r="I202" s="90">
        <f>INDEX(I$154:I$171,MATCH($B202,$B$154:$B$171,0))*INDEX('Resource costs'!$C$121:$C$142, MATCH($B202, 'Resource costs'!$B$121:$B$142,0))</f>
        <v>30253.797506076695</v>
      </c>
      <c r="J202" s="90">
        <f>INDEX(J$154:J$171,MATCH($B202,$B$154:$B$171,0))*INDEX('Resource costs'!$C$121:$C$142, MATCH($B202, 'Resource costs'!$B$121:$B$142,0))</f>
        <v>28510.025587738284</v>
      </c>
      <c r="K202" s="90">
        <f>INDEX(K$154:K$171,MATCH($B202,$B$154:$B$171,0))*INDEX('Resource costs'!$C$121:$C$142, MATCH($B202, 'Resource costs'!$B$121:$B$142,0))</f>
        <v>27464.246618547673</v>
      </c>
      <c r="L202" s="90">
        <f>INDEX(L$154:L$171,MATCH($B202,$B$154:$B$171,0))*INDEX('Resource costs'!$C$121:$C$142, MATCH($B202, 'Resource costs'!$B$121:$B$142,0))</f>
        <v>26937.31855366836</v>
      </c>
      <c r="M202" s="90">
        <f>INDEX(M$154:M$171,MATCH($B202,$B$154:$B$171,0))*INDEX('Resource costs'!$C$121:$C$142, MATCH($B202, 'Resource costs'!$B$121:$B$142,0))</f>
        <v>26737.382923269513</v>
      </c>
      <c r="N202" s="90">
        <f>INDEX(N$154:N$171,MATCH($B202,$B$154:$B$171,0))*INDEX('Resource costs'!$C$121:$C$142, MATCH($B202, 'Resource costs'!$B$121:$B$142,0))</f>
        <v>26746.26610561923</v>
      </c>
      <c r="O202" s="90">
        <f>INDEX(O$154:O$171,MATCH($B202,$B$154:$B$171,0))*INDEX('Resource costs'!$C$121:$C$142, MATCH($B202, 'Resource costs'!$B$121:$B$142,0))</f>
        <v>26903.93405290581</v>
      </c>
      <c r="P202" s="90">
        <f>INDEX(P$154:P$171,MATCH($B202,$B$154:$B$171,0))*INDEX('Resource costs'!$C$121:$C$142, MATCH($B202, 'Resource costs'!$B$121:$B$142,0))</f>
        <v>27141.202033838057</v>
      </c>
      <c r="Q202" s="90">
        <f>INDEX(Q$154:Q$171,MATCH($B202,$B$154:$B$171,0))*INDEX('Resource costs'!$C$121:$C$142, MATCH($B202, 'Resource costs'!$B$121:$B$142,0))</f>
        <v>27426.532661834735</v>
      </c>
      <c r="R202" s="90">
        <f>INDEX(R$154:R$171,MATCH($B202,$B$154:$B$171,0))*INDEX('Resource costs'!$C$121:$C$142, MATCH($B202, 'Resource costs'!$B$121:$B$142,0))</f>
        <v>27745.504925704612</v>
      </c>
      <c r="S202" s="90">
        <f>INDEX(S$154:S$171,MATCH($B202,$B$154:$B$171,0))*INDEX('Resource costs'!$C$121:$C$142, MATCH($B202, 'Resource costs'!$B$121:$B$142,0))</f>
        <v>28084.919955130506</v>
      </c>
      <c r="T202" s="90">
        <f>INDEX(T$154:T$171,MATCH($B202,$B$154:$B$171,0))*INDEX('Resource costs'!$C$121:$C$142, MATCH($B202, 'Resource costs'!$B$121:$B$142,0))</f>
        <v>28433.370299520488</v>
      </c>
      <c r="U202" s="90">
        <f>INDEX(U$154:U$171,MATCH($B202,$B$154:$B$171,0))*INDEX('Resource costs'!$C$121:$C$142, MATCH($B202, 'Resource costs'!$B$121:$B$142,0))</f>
        <v>28789.55422157035</v>
      </c>
      <c r="V202" s="90">
        <f>INDEX(V$154:V$171,MATCH($B202,$B$154:$B$171,0))*INDEX('Resource costs'!$C$121:$C$142, MATCH($B202, 'Resource costs'!$B$121:$B$142,0))</f>
        <v>29164.63583835007</v>
      </c>
      <c r="W202" s="90">
        <f>INDEX(W$154:W$171,MATCH($B202,$B$154:$B$171,0))*INDEX('Resource costs'!$C$121:$C$142, MATCH($B202, 'Resource costs'!$B$121:$B$142,0))</f>
        <v>29538.154694241468</v>
      </c>
      <c r="X202" s="90">
        <f>INDEX(X$154:X$171,MATCH($B202,$B$154:$B$171,0))*INDEX('Resource costs'!$C$121:$C$142, MATCH($B202, 'Resource costs'!$B$121:$B$142,0))</f>
        <v>29905.331641019482</v>
      </c>
      <c r="Y202" s="90">
        <f>INDEX(Y$154:Y$171,MATCH($B202,$B$154:$B$171,0))*INDEX('Resource costs'!$C$121:$C$142, MATCH($B202, 'Resource costs'!$B$121:$B$142,0))</f>
        <v>30272.017155254387</v>
      </c>
      <c r="Z202" s="90">
        <f>INDEX(Z$154:Z$171,MATCH($B202,$B$154:$B$171,0))*INDEX('Resource costs'!$C$121:$C$142, MATCH($B202, 'Resource costs'!$B$121:$B$142,0))</f>
        <v>30635.078626282473</v>
      </c>
      <c r="AA202" s="90">
        <f>INDEX(AA$154:AA$171,MATCH($B202,$B$154:$B$171,0))*INDEX('Resource costs'!$C$121:$C$142, MATCH($B202, 'Resource costs'!$B$121:$B$142,0))</f>
        <v>30991.241285012136</v>
      </c>
      <c r="AB202" s="90">
        <f>INDEX(AB$154:AB$171,MATCH($B202,$B$154:$B$171,0))*INDEX('Resource costs'!$C$121:$C$142, MATCH($B202, 'Resource costs'!$B$121:$B$142,0))</f>
        <v>31338.171258338713</v>
      </c>
      <c r="AC202" s="90">
        <f>INDEX(AC$154:AC$171,MATCH($B202,$B$154:$B$171,0))*INDEX('Resource costs'!$C$121:$C$142, MATCH($B202, 'Resource costs'!$B$121:$B$142,0))</f>
        <v>31677.363537469286</v>
      </c>
      <c r="AD202" s="90">
        <f>INDEX(AD$154:AD$171,MATCH($B202,$B$154:$B$171,0))*INDEX('Resource costs'!$C$121:$C$142, MATCH($B202, 'Resource costs'!$B$121:$B$142,0))</f>
        <v>32005.414235618489</v>
      </c>
      <c r="AE202" s="90">
        <f>INDEX(AE$154:AE$171,MATCH($B202,$B$154:$B$171,0))*INDEX('Resource costs'!$C$121:$C$142, MATCH($B202, 'Resource costs'!$B$121:$B$142,0))</f>
        <v>32319.346214295048</v>
      </c>
      <c r="AF202" s="90">
        <f>INDEX(AF$154:AF$171,MATCH($B202,$B$154:$B$171,0))*INDEX('Resource costs'!$C$121:$C$142, MATCH($B202, 'Resource costs'!$B$121:$B$142,0))</f>
        <v>32617.103344707299</v>
      </c>
      <c r="AG202" s="90">
        <f>INDEX(AG$154:AG$171,MATCH($B202,$B$154:$B$171,0))*INDEX('Resource costs'!$C$121:$C$142, MATCH($B202, 'Resource costs'!$B$121:$B$142,0))</f>
        <v>32899.421142528226</v>
      </c>
      <c r="AH202" s="90">
        <f>INDEX(AH$154:AH$171,MATCH($B202,$B$154:$B$171,0))*INDEX('Resource costs'!$C$121:$C$142, MATCH($B202, 'Resource costs'!$B$121:$B$142,0))</f>
        <v>33172.248196599699</v>
      </c>
      <c r="AI202" s="90">
        <f>INDEX(AI$154:AI$171,MATCH($B202,$B$154:$B$171,0))*INDEX('Resource costs'!$C$121:$C$142, MATCH($B202, 'Resource costs'!$B$121:$B$142,0))</f>
        <v>33436.311855330729</v>
      </c>
      <c r="AJ202" s="90">
        <f>INDEX(AJ$154:AJ$171,MATCH($B202,$B$154:$B$171,0))*INDEX('Resource costs'!$C$121:$C$142, MATCH($B202, 'Resource costs'!$B$121:$B$142,0))</f>
        <v>33695.092690063873</v>
      </c>
      <c r="AK202" s="90">
        <f>INDEX(AK$154:AK$171,MATCH($B202,$B$154:$B$171,0))*INDEX('Resource costs'!$C$121:$C$142, MATCH($B202, 'Resource costs'!$B$121:$B$142,0))</f>
        <v>33945.033586413185</v>
      </c>
      <c r="AL202" s="90">
        <f>INDEX(AL$154:AL$171,MATCH($B202,$B$154:$B$171,0))*INDEX('Resource costs'!$C$121:$C$142, MATCH($B202, 'Resource costs'!$B$121:$B$142,0))</f>
        <v>34180.609161695545</v>
      </c>
      <c r="AM202" s="90">
        <f>INDEX(AM$154:AM$171,MATCH($B202,$B$154:$B$171,0))*INDEX('Resource costs'!$C$121:$C$142, MATCH($B202, 'Resource costs'!$B$121:$B$142,0))</f>
        <v>34398.817610900514</v>
      </c>
      <c r="AN202" s="90">
        <f>INDEX(AN$154:AN$171,MATCH($B202,$B$154:$B$171,0))*INDEX('Resource costs'!$C$121:$C$142, MATCH($B202, 'Resource costs'!$B$121:$B$142,0))</f>
        <v>34597.796231215376</v>
      </c>
      <c r="AO202" s="90">
        <f>INDEX(AO$154:AO$171,MATCH($B202,$B$154:$B$171,0))*INDEX('Resource costs'!$C$121:$C$142, MATCH($B202, 'Resource costs'!$B$121:$B$142,0))</f>
        <v>34776.148530892176</v>
      </c>
      <c r="AP202" s="90">
        <f>INDEX(AP$154:AP$171,MATCH($B202,$B$154:$B$171,0))*INDEX('Resource costs'!$C$121:$C$142, MATCH($B202, 'Resource costs'!$B$121:$B$142,0))</f>
        <v>34932.588849448875</v>
      </c>
      <c r="AQ202" s="90">
        <f>INDEX(AQ$154:AQ$171,MATCH($B202,$B$154:$B$171,0))*INDEX('Resource costs'!$C$121:$C$142, MATCH($B202, 'Resource costs'!$B$121:$B$142,0))</f>
        <v>35076.678950180292</v>
      </c>
      <c r="AR202" s="90">
        <f>INDEX(AR$154:AR$171,MATCH($B202,$B$154:$B$171,0))*INDEX('Resource costs'!$C$121:$C$142, MATCH($B202, 'Resource costs'!$B$121:$B$142,0))</f>
        <v>35217.329358423871</v>
      </c>
      <c r="AS202" s="90">
        <f>INDEX(AS$154:AS$171,MATCH($B202,$B$154:$B$171,0))*INDEX('Resource costs'!$C$121:$C$142, MATCH($B202, 'Resource costs'!$B$121:$B$142,0))</f>
        <v>35360.960584630317</v>
      </c>
      <c r="AT202" s="90">
        <f>INDEX(AT$154:AT$171,MATCH($B202,$B$154:$B$171,0))*INDEX('Resource costs'!$C$121:$C$142, MATCH($B202, 'Resource costs'!$B$121:$B$142,0))</f>
        <v>35470.037102603623</v>
      </c>
      <c r="AU202" s="90">
        <f>INDEX(AU$154:AU$171,MATCH($B202,$B$154:$B$171,0))*INDEX('Resource costs'!$C$121:$C$142, MATCH($B202, 'Resource costs'!$B$121:$B$142,0))</f>
        <v>35555.816618925935</v>
      </c>
      <c r="AV202" s="90">
        <f>INDEX(AV$154:AV$171,MATCH($B202,$B$154:$B$171,0))*INDEX('Resource costs'!$C$121:$C$142, MATCH($B202, 'Resource costs'!$B$121:$B$142,0))</f>
        <v>35625.957016792898</v>
      </c>
      <c r="AW202" s="90">
        <f>INDEX(AW$154:AW$171,MATCH($B202,$B$154:$B$171,0))*INDEX('Resource costs'!$C$121:$C$142, MATCH($B202, 'Resource costs'!$B$121:$B$142,0))</f>
        <v>35663.523317646475</v>
      </c>
      <c r="AX202" s="90">
        <f>INDEX(AX$154:AX$171,MATCH($B202,$B$154:$B$171,0))*INDEX('Resource costs'!$C$121:$C$142, MATCH($B202, 'Resource costs'!$B$121:$B$142,0))</f>
        <v>35681.365282582141</v>
      </c>
      <c r="AY202" s="90">
        <f>INDEX(AY$154:AY$171,MATCH($B202,$B$154:$B$171,0))*INDEX('Resource costs'!$C$121:$C$142, MATCH($B202, 'Resource costs'!$B$121:$B$142,0))</f>
        <v>35687.607348766018</v>
      </c>
      <c r="AZ202" s="90">
        <f>INDEX(AZ$154:AZ$171,MATCH($B202,$B$154:$B$171,0))*INDEX('Resource costs'!$C$121:$C$142, MATCH($B202, 'Resource costs'!$B$121:$B$142,0))</f>
        <v>35687.329461442452</v>
      </c>
      <c r="BA202" s="90">
        <f>INDEX(BA$154:BA$171,MATCH($B202,$B$154:$B$171,0))*INDEX('Resource costs'!$C$121:$C$142, MATCH($B202, 'Resource costs'!$B$121:$B$142,0))</f>
        <v>35683.657948381166</v>
      </c>
      <c r="BB202" s="90">
        <f>INDEX(BB$154:BB$171,MATCH($B202,$B$154:$B$171,0))*INDEX('Resource costs'!$C$121:$C$142, MATCH($B202, 'Resource costs'!$B$121:$B$142,0))</f>
        <v>35678.473566149769</v>
      </c>
    </row>
    <row r="203" spans="2:54" s="97" customFormat="1">
      <c r="B203" s="6" t="s">
        <v>14</v>
      </c>
      <c r="C203" s="316"/>
      <c r="D203" s="90">
        <f>INDEX(D$154:D$171,MATCH($B203,$B$154:$B$171,0))*INDEX('Resource costs'!$C$121:$C$142, MATCH($B203, 'Resource costs'!$B$121:$B$142,0))</f>
        <v>0</v>
      </c>
      <c r="E203" s="90">
        <f>INDEX(E$154:E$171,MATCH($B203,$B$154:$B$171,0))*INDEX('Resource costs'!$C$121:$C$142, MATCH($B203, 'Resource costs'!$B$121:$B$142,0))</f>
        <v>0</v>
      </c>
      <c r="F203" s="90">
        <f>INDEX(F$154:F$171,MATCH($B203,$B$154:$B$171,0))*INDEX('Resource costs'!$C$121:$C$142, MATCH($B203, 'Resource costs'!$B$121:$B$142,0))</f>
        <v>0</v>
      </c>
      <c r="G203" s="90">
        <f>INDEX(G$154:G$171,MATCH($B203,$B$154:$B$171,0))*INDEX('Resource costs'!$C$121:$C$142, MATCH($B203, 'Resource costs'!$B$121:$B$142,0))</f>
        <v>0</v>
      </c>
      <c r="H203" s="90">
        <f>INDEX(H$154:H$171,MATCH($B203,$B$154:$B$171,0))*INDEX('Resource costs'!$C$121:$C$142, MATCH($B203, 'Resource costs'!$B$121:$B$142,0))</f>
        <v>0</v>
      </c>
      <c r="I203" s="90">
        <f>INDEX(I$154:I$171,MATCH($B203,$B$154:$B$171,0))*INDEX('Resource costs'!$C$121:$C$142, MATCH($B203, 'Resource costs'!$B$121:$B$142,0))</f>
        <v>0</v>
      </c>
      <c r="J203" s="90">
        <f>INDEX(J$154:J$171,MATCH($B203,$B$154:$B$171,0))*INDEX('Resource costs'!$C$121:$C$142, MATCH($B203, 'Resource costs'!$B$121:$B$142,0))</f>
        <v>0</v>
      </c>
      <c r="K203" s="90">
        <f>INDEX(K$154:K$171,MATCH($B203,$B$154:$B$171,0))*INDEX('Resource costs'!$C$121:$C$142, MATCH($B203, 'Resource costs'!$B$121:$B$142,0))</f>
        <v>0</v>
      </c>
      <c r="L203" s="90">
        <f>INDEX(L$154:L$171,MATCH($B203,$B$154:$B$171,0))*INDEX('Resource costs'!$C$121:$C$142, MATCH($B203, 'Resource costs'!$B$121:$B$142,0))</f>
        <v>0</v>
      </c>
      <c r="M203" s="90">
        <f>INDEX(M$154:M$171,MATCH($B203,$B$154:$B$171,0))*INDEX('Resource costs'!$C$121:$C$142, MATCH($B203, 'Resource costs'!$B$121:$B$142,0))</f>
        <v>0</v>
      </c>
      <c r="N203" s="90">
        <f>INDEX(N$154:N$171,MATCH($B203,$B$154:$B$171,0))*INDEX('Resource costs'!$C$121:$C$142, MATCH($B203, 'Resource costs'!$B$121:$B$142,0))</f>
        <v>0</v>
      </c>
      <c r="O203" s="90">
        <f>INDEX(O$154:O$171,MATCH($B203,$B$154:$B$171,0))*INDEX('Resource costs'!$C$121:$C$142, MATCH($B203, 'Resource costs'!$B$121:$B$142,0))</f>
        <v>0</v>
      </c>
      <c r="P203" s="90">
        <f>INDEX(P$154:P$171,MATCH($B203,$B$154:$B$171,0))*INDEX('Resource costs'!$C$121:$C$142, MATCH($B203, 'Resource costs'!$B$121:$B$142,0))</f>
        <v>0</v>
      </c>
      <c r="Q203" s="90">
        <f>INDEX(Q$154:Q$171,MATCH($B203,$B$154:$B$171,0))*INDEX('Resource costs'!$C$121:$C$142, MATCH($B203, 'Resource costs'!$B$121:$B$142,0))</f>
        <v>0</v>
      </c>
      <c r="R203" s="90">
        <f>INDEX(R$154:R$171,MATCH($B203,$B$154:$B$171,0))*INDEX('Resource costs'!$C$121:$C$142, MATCH($B203, 'Resource costs'!$B$121:$B$142,0))</f>
        <v>0</v>
      </c>
      <c r="S203" s="90">
        <f>INDEX(S$154:S$171,MATCH($B203,$B$154:$B$171,0))*INDEX('Resource costs'!$C$121:$C$142, MATCH($B203, 'Resource costs'!$B$121:$B$142,0))</f>
        <v>0</v>
      </c>
      <c r="T203" s="90">
        <f>INDEX(T$154:T$171,MATCH($B203,$B$154:$B$171,0))*INDEX('Resource costs'!$C$121:$C$142, MATCH($B203, 'Resource costs'!$B$121:$B$142,0))</f>
        <v>0</v>
      </c>
      <c r="U203" s="90">
        <f>INDEX(U$154:U$171,MATCH($B203,$B$154:$B$171,0))*INDEX('Resource costs'!$C$121:$C$142, MATCH($B203, 'Resource costs'!$B$121:$B$142,0))</f>
        <v>0</v>
      </c>
      <c r="V203" s="90">
        <f>INDEX(V$154:V$171,MATCH($B203,$B$154:$B$171,0))*INDEX('Resource costs'!$C$121:$C$142, MATCH($B203, 'Resource costs'!$B$121:$B$142,0))</f>
        <v>0</v>
      </c>
      <c r="W203" s="90">
        <f>INDEX(W$154:W$171,MATCH($B203,$B$154:$B$171,0))*INDEX('Resource costs'!$C$121:$C$142, MATCH($B203, 'Resource costs'!$B$121:$B$142,0))</f>
        <v>0</v>
      </c>
      <c r="X203" s="90">
        <f>INDEX(X$154:X$171,MATCH($B203,$B$154:$B$171,0))*INDEX('Resource costs'!$C$121:$C$142, MATCH($B203, 'Resource costs'!$B$121:$B$142,0))</f>
        <v>0</v>
      </c>
      <c r="Y203" s="90">
        <f>INDEX(Y$154:Y$171,MATCH($B203,$B$154:$B$171,0))*INDEX('Resource costs'!$C$121:$C$142, MATCH($B203, 'Resource costs'!$B$121:$B$142,0))</f>
        <v>0</v>
      </c>
      <c r="Z203" s="90">
        <f>INDEX(Z$154:Z$171,MATCH($B203,$B$154:$B$171,0))*INDEX('Resource costs'!$C$121:$C$142, MATCH($B203, 'Resource costs'!$B$121:$B$142,0))</f>
        <v>0</v>
      </c>
      <c r="AA203" s="90">
        <f>INDEX(AA$154:AA$171,MATCH($B203,$B$154:$B$171,0))*INDEX('Resource costs'!$C$121:$C$142, MATCH($B203, 'Resource costs'!$B$121:$B$142,0))</f>
        <v>0</v>
      </c>
      <c r="AB203" s="90">
        <f>INDEX(AB$154:AB$171,MATCH($B203,$B$154:$B$171,0))*INDEX('Resource costs'!$C$121:$C$142, MATCH($B203, 'Resource costs'!$B$121:$B$142,0))</f>
        <v>0</v>
      </c>
      <c r="AC203" s="90">
        <f>INDEX(AC$154:AC$171,MATCH($B203,$B$154:$B$171,0))*INDEX('Resource costs'!$C$121:$C$142, MATCH($B203, 'Resource costs'!$B$121:$B$142,0))</f>
        <v>0</v>
      </c>
      <c r="AD203" s="90">
        <f>INDEX(AD$154:AD$171,MATCH($B203,$B$154:$B$171,0))*INDEX('Resource costs'!$C$121:$C$142, MATCH($B203, 'Resource costs'!$B$121:$B$142,0))</f>
        <v>0</v>
      </c>
      <c r="AE203" s="90">
        <f>INDEX(AE$154:AE$171,MATCH($B203,$B$154:$B$171,0))*INDEX('Resource costs'!$C$121:$C$142, MATCH($B203, 'Resource costs'!$B$121:$B$142,0))</f>
        <v>0</v>
      </c>
      <c r="AF203" s="90">
        <f>INDEX(AF$154:AF$171,MATCH($B203,$B$154:$B$171,0))*INDEX('Resource costs'!$C$121:$C$142, MATCH($B203, 'Resource costs'!$B$121:$B$142,0))</f>
        <v>0</v>
      </c>
      <c r="AG203" s="90">
        <f>INDEX(AG$154:AG$171,MATCH($B203,$B$154:$B$171,0))*INDEX('Resource costs'!$C$121:$C$142, MATCH($B203, 'Resource costs'!$B$121:$B$142,0))</f>
        <v>0</v>
      </c>
      <c r="AH203" s="90">
        <f>INDEX(AH$154:AH$171,MATCH($B203,$B$154:$B$171,0))*INDEX('Resource costs'!$C$121:$C$142, MATCH($B203, 'Resource costs'!$B$121:$B$142,0))</f>
        <v>0</v>
      </c>
      <c r="AI203" s="90">
        <f>INDEX(AI$154:AI$171,MATCH($B203,$B$154:$B$171,0))*INDEX('Resource costs'!$C$121:$C$142, MATCH($B203, 'Resource costs'!$B$121:$B$142,0))</f>
        <v>0</v>
      </c>
      <c r="AJ203" s="90">
        <f>INDEX(AJ$154:AJ$171,MATCH($B203,$B$154:$B$171,0))*INDEX('Resource costs'!$C$121:$C$142, MATCH($B203, 'Resource costs'!$B$121:$B$142,0))</f>
        <v>0</v>
      </c>
      <c r="AK203" s="90">
        <f>INDEX(AK$154:AK$171,MATCH($B203,$B$154:$B$171,0))*INDEX('Resource costs'!$C$121:$C$142, MATCH($B203, 'Resource costs'!$B$121:$B$142,0))</f>
        <v>0</v>
      </c>
      <c r="AL203" s="90">
        <f>INDEX(AL$154:AL$171,MATCH($B203,$B$154:$B$171,0))*INDEX('Resource costs'!$C$121:$C$142, MATCH($B203, 'Resource costs'!$B$121:$B$142,0))</f>
        <v>0</v>
      </c>
      <c r="AM203" s="90">
        <f>INDEX(AM$154:AM$171,MATCH($B203,$B$154:$B$171,0))*INDEX('Resource costs'!$C$121:$C$142, MATCH($B203, 'Resource costs'!$B$121:$B$142,0))</f>
        <v>0</v>
      </c>
      <c r="AN203" s="90">
        <f>INDEX(AN$154:AN$171,MATCH($B203,$B$154:$B$171,0))*INDEX('Resource costs'!$C$121:$C$142, MATCH($B203, 'Resource costs'!$B$121:$B$142,0))</f>
        <v>0</v>
      </c>
      <c r="AO203" s="90">
        <f>INDEX(AO$154:AO$171,MATCH($B203,$B$154:$B$171,0))*INDEX('Resource costs'!$C$121:$C$142, MATCH($B203, 'Resource costs'!$B$121:$B$142,0))</f>
        <v>0</v>
      </c>
      <c r="AP203" s="90">
        <f>INDEX(AP$154:AP$171,MATCH($B203,$B$154:$B$171,0))*INDEX('Resource costs'!$C$121:$C$142, MATCH($B203, 'Resource costs'!$B$121:$B$142,0))</f>
        <v>0</v>
      </c>
      <c r="AQ203" s="90">
        <f>INDEX(AQ$154:AQ$171,MATCH($B203,$B$154:$B$171,0))*INDEX('Resource costs'!$C$121:$C$142, MATCH($B203, 'Resource costs'!$B$121:$B$142,0))</f>
        <v>0</v>
      </c>
      <c r="AR203" s="90">
        <f>INDEX(AR$154:AR$171,MATCH($B203,$B$154:$B$171,0))*INDEX('Resource costs'!$C$121:$C$142, MATCH($B203, 'Resource costs'!$B$121:$B$142,0))</f>
        <v>0</v>
      </c>
      <c r="AS203" s="90">
        <f>INDEX(AS$154:AS$171,MATCH($B203,$B$154:$B$171,0))*INDEX('Resource costs'!$C$121:$C$142, MATCH($B203, 'Resource costs'!$B$121:$B$142,0))</f>
        <v>0</v>
      </c>
      <c r="AT203" s="90">
        <f>INDEX(AT$154:AT$171,MATCH($B203,$B$154:$B$171,0))*INDEX('Resource costs'!$C$121:$C$142, MATCH($B203, 'Resource costs'!$B$121:$B$142,0))</f>
        <v>0</v>
      </c>
      <c r="AU203" s="90">
        <f>INDEX(AU$154:AU$171,MATCH($B203,$B$154:$B$171,0))*INDEX('Resource costs'!$C$121:$C$142, MATCH($B203, 'Resource costs'!$B$121:$B$142,0))</f>
        <v>0</v>
      </c>
      <c r="AV203" s="90">
        <f>INDEX(AV$154:AV$171,MATCH($B203,$B$154:$B$171,0))*INDEX('Resource costs'!$C$121:$C$142, MATCH($B203, 'Resource costs'!$B$121:$B$142,0))</f>
        <v>0</v>
      </c>
      <c r="AW203" s="90">
        <f>INDEX(AW$154:AW$171,MATCH($B203,$B$154:$B$171,0))*INDEX('Resource costs'!$C$121:$C$142, MATCH($B203, 'Resource costs'!$B$121:$B$142,0))</f>
        <v>0</v>
      </c>
      <c r="AX203" s="90">
        <f>INDEX(AX$154:AX$171,MATCH($B203,$B$154:$B$171,0))*INDEX('Resource costs'!$C$121:$C$142, MATCH($B203, 'Resource costs'!$B$121:$B$142,0))</f>
        <v>0</v>
      </c>
      <c r="AY203" s="90">
        <f>INDEX(AY$154:AY$171,MATCH($B203,$B$154:$B$171,0))*INDEX('Resource costs'!$C$121:$C$142, MATCH($B203, 'Resource costs'!$B$121:$B$142,0))</f>
        <v>0</v>
      </c>
      <c r="AZ203" s="90">
        <f>INDEX(AZ$154:AZ$171,MATCH($B203,$B$154:$B$171,0))*INDEX('Resource costs'!$C$121:$C$142, MATCH($B203, 'Resource costs'!$B$121:$B$142,0))</f>
        <v>0</v>
      </c>
      <c r="BA203" s="90">
        <f>INDEX(BA$154:BA$171,MATCH($B203,$B$154:$B$171,0))*INDEX('Resource costs'!$C$121:$C$142, MATCH($B203, 'Resource costs'!$B$121:$B$142,0))</f>
        <v>0</v>
      </c>
      <c r="BB203" s="90">
        <f>INDEX(BB$154:BB$171,MATCH($B203,$B$154:$B$171,0))*INDEX('Resource costs'!$C$121:$C$142, MATCH($B203, 'Resource costs'!$B$121:$B$142,0))</f>
        <v>0</v>
      </c>
    </row>
    <row r="204" spans="2:54" s="97" customFormat="1">
      <c r="B204" s="6" t="s">
        <v>15</v>
      </c>
      <c r="C204" s="316"/>
      <c r="D204" s="90">
        <f>INDEX(D$154:D$171,MATCH($B204,$B$154:$B$171,0))*INDEX('Resource costs'!$C$121:$C$142, MATCH($B204, 'Resource costs'!$B$121:$B$142,0))</f>
        <v>806.69580124093591</v>
      </c>
      <c r="E204" s="90">
        <f>INDEX(E$154:E$171,MATCH($B204,$B$154:$B$171,0))*INDEX('Resource costs'!$C$121:$C$142, MATCH($B204, 'Resource costs'!$B$121:$B$142,0))</f>
        <v>837.70472237261129</v>
      </c>
      <c r="F204" s="90">
        <f>INDEX(F$154:F$171,MATCH($B204,$B$154:$B$171,0))*INDEX('Resource costs'!$C$121:$C$142, MATCH($B204, 'Resource costs'!$B$121:$B$142,0))</f>
        <v>864.48441757008345</v>
      </c>
      <c r="G204" s="90">
        <f>INDEX(G$154:G$171,MATCH($B204,$B$154:$B$171,0))*INDEX('Resource costs'!$C$121:$C$142, MATCH($B204, 'Resource costs'!$B$121:$B$142,0))</f>
        <v>888.25978904520309</v>
      </c>
      <c r="H204" s="90">
        <f>INDEX(H$154:H$171,MATCH($B204,$B$154:$B$171,0))*INDEX('Resource costs'!$C$121:$C$142, MATCH($B204, 'Resource costs'!$B$121:$B$142,0))</f>
        <v>591.81551759815341</v>
      </c>
      <c r="I204" s="90">
        <f>INDEX(I$154:I$171,MATCH($B204,$B$154:$B$171,0))*INDEX('Resource costs'!$C$121:$C$142, MATCH($B204, 'Resource costs'!$B$121:$B$142,0))</f>
        <v>542.25286265554632</v>
      </c>
      <c r="J204" s="90">
        <f>INDEX(J$154:J$171,MATCH($B204,$B$154:$B$171,0))*INDEX('Resource costs'!$C$121:$C$142, MATCH($B204, 'Resource costs'!$B$121:$B$142,0))</f>
        <v>510.99842875026764</v>
      </c>
      <c r="K204" s="90">
        <f>INDEX(K$154:K$171,MATCH($B204,$B$154:$B$171,0))*INDEX('Resource costs'!$C$121:$C$142, MATCH($B204, 'Resource costs'!$B$121:$B$142,0))</f>
        <v>492.25444662258019</v>
      </c>
      <c r="L204" s="90">
        <f>INDEX(L$154:L$171,MATCH($B204,$B$154:$B$171,0))*INDEX('Resource costs'!$C$121:$C$142, MATCH($B204, 'Resource costs'!$B$121:$B$142,0))</f>
        <v>482.81007020877752</v>
      </c>
      <c r="M204" s="90">
        <f>INDEX(M$154:M$171,MATCH($B204,$B$154:$B$171,0))*INDEX('Resource costs'!$C$121:$C$142, MATCH($B204, 'Resource costs'!$B$121:$B$142,0))</f>
        <v>479.22653105443362</v>
      </c>
      <c r="N204" s="90">
        <f>INDEX(N$154:N$171,MATCH($B204,$B$154:$B$171,0))*INDEX('Resource costs'!$C$121:$C$142, MATCH($B204, 'Resource costs'!$B$121:$B$142,0))</f>
        <v>479.38574845706415</v>
      </c>
      <c r="O204" s="90">
        <f>INDEX(O$154:O$171,MATCH($B204,$B$154:$B$171,0))*INDEX('Resource costs'!$C$121:$C$142, MATCH($B204, 'Resource costs'!$B$121:$B$142,0))</f>
        <v>482.21170429774821</v>
      </c>
      <c r="P204" s="90">
        <f>INDEX(P$154:P$171,MATCH($B204,$B$154:$B$171,0))*INDEX('Resource costs'!$C$121:$C$142, MATCH($B204, 'Resource costs'!$B$121:$B$142,0))</f>
        <v>486.46436850795754</v>
      </c>
      <c r="Q204" s="90">
        <f>INDEX(Q$154:Q$171,MATCH($B204,$B$154:$B$171,0))*INDEX('Resource costs'!$C$121:$C$142, MATCH($B204, 'Resource costs'!$B$121:$B$142,0))</f>
        <v>491.57848186193985</v>
      </c>
      <c r="R204" s="90">
        <f>INDEX(R$154:R$171,MATCH($B204,$B$154:$B$171,0))*INDEX('Resource costs'!$C$121:$C$142, MATCH($B204, 'Resource costs'!$B$121:$B$142,0))</f>
        <v>497.29556987895393</v>
      </c>
      <c r="S204" s="90">
        <f>INDEX(S$154:S$171,MATCH($B204,$B$154:$B$171,0))*INDEX('Resource costs'!$C$121:$C$142, MATCH($B204, 'Resource costs'!$B$121:$B$142,0))</f>
        <v>503.37906307671011</v>
      </c>
      <c r="T204" s="90">
        <f>INDEX(T$154:T$171,MATCH($B204,$B$154:$B$171,0))*INDEX('Resource costs'!$C$121:$C$142, MATCH($B204, 'Resource costs'!$B$121:$B$142,0))</f>
        <v>509.62450042059476</v>
      </c>
      <c r="U204" s="90">
        <f>INDEX(U$154:U$171,MATCH($B204,$B$154:$B$171,0))*INDEX('Resource costs'!$C$121:$C$142, MATCH($B204, 'Resource costs'!$B$121:$B$142,0))</f>
        <v>516.00855026837417</v>
      </c>
      <c r="V204" s="90">
        <f>INDEX(V$154:V$171,MATCH($B204,$B$154:$B$171,0))*INDEX('Resource costs'!$C$121:$C$142, MATCH($B204, 'Resource costs'!$B$121:$B$142,0))</f>
        <v>522.73131227494275</v>
      </c>
      <c r="W204" s="90">
        <f>INDEX(W$154:W$171,MATCH($B204,$B$154:$B$171,0))*INDEX('Resource costs'!$C$121:$C$142, MATCH($B204, 'Resource costs'!$B$121:$B$142,0))</f>
        <v>529.42606419235926</v>
      </c>
      <c r="X204" s="90">
        <f>INDEX(X$154:X$171,MATCH($B204,$B$154:$B$171,0))*INDEX('Resource costs'!$C$121:$C$142, MATCH($B204, 'Resource costs'!$B$121:$B$142,0))</f>
        <v>536.00714712753484</v>
      </c>
      <c r="Y204" s="90">
        <f>INDEX(Y$154:Y$171,MATCH($B204,$B$154:$B$171,0))*INDEX('Resource costs'!$C$121:$C$142, MATCH($B204, 'Resource costs'!$B$121:$B$142,0))</f>
        <v>542.57942188901768</v>
      </c>
      <c r="Z204" s="90">
        <f>INDEX(Z$154:Z$171,MATCH($B204,$B$154:$B$171,0))*INDEX('Resource costs'!$C$121:$C$142, MATCH($B204, 'Resource costs'!$B$121:$B$142,0))</f>
        <v>549.08674124108802</v>
      </c>
      <c r="AA204" s="90">
        <f>INDEX(AA$154:AA$171,MATCH($B204,$B$154:$B$171,0))*INDEX('Resource costs'!$C$121:$C$142, MATCH($B204, 'Resource costs'!$B$121:$B$142,0))</f>
        <v>555.47040997650481</v>
      </c>
      <c r="AB204" s="90">
        <f>INDEX(AB$154:AB$171,MATCH($B204,$B$154:$B$171,0))*INDEX('Resource costs'!$C$121:$C$142, MATCH($B204, 'Resource costs'!$B$121:$B$142,0))</f>
        <v>561.68859700375538</v>
      </c>
      <c r="AC204" s="90">
        <f>INDEX(AC$154:AC$171,MATCH($B204,$B$154:$B$171,0))*INDEX('Resource costs'!$C$121:$C$142, MATCH($B204, 'Resource costs'!$B$121:$B$142,0))</f>
        <v>567.76809774452249</v>
      </c>
      <c r="AD204" s="90">
        <f>INDEX(AD$154:AD$171,MATCH($B204,$B$154:$B$171,0))*INDEX('Resource costs'!$C$121:$C$142, MATCH($B204, 'Resource costs'!$B$121:$B$142,0))</f>
        <v>573.64790275517703</v>
      </c>
      <c r="AE204" s="90">
        <f>INDEX(AE$154:AE$171,MATCH($B204,$B$154:$B$171,0))*INDEX('Resource costs'!$C$121:$C$142, MATCH($B204, 'Resource costs'!$B$121:$B$142,0))</f>
        <v>579.27465139994763</v>
      </c>
      <c r="AF204" s="90">
        <f>INDEX(AF$154:AF$171,MATCH($B204,$B$154:$B$171,0))*INDEX('Resource costs'!$C$121:$C$142, MATCH($B204, 'Resource costs'!$B$121:$B$142,0))</f>
        <v>584.61149072762919</v>
      </c>
      <c r="AG204" s="90">
        <f>INDEX(AG$154:AG$171,MATCH($B204,$B$154:$B$171,0))*INDEX('Resource costs'!$C$121:$C$142, MATCH($B204, 'Resource costs'!$B$121:$B$142,0))</f>
        <v>589.67160372720411</v>
      </c>
      <c r="AH204" s="90">
        <f>INDEX(AH$154:AH$171,MATCH($B204,$B$154:$B$171,0))*INDEX('Resource costs'!$C$121:$C$142, MATCH($B204, 'Resource costs'!$B$121:$B$142,0))</f>
        <v>594.56160971902784</v>
      </c>
      <c r="AI204" s="90">
        <f>INDEX(AI$154:AI$171,MATCH($B204,$B$154:$B$171,0))*INDEX('Resource costs'!$C$121:$C$142, MATCH($B204, 'Resource costs'!$B$121:$B$142,0))</f>
        <v>599.29454530641772</v>
      </c>
      <c r="AJ204" s="90">
        <f>INDEX(AJ$154:AJ$171,MATCH($B204,$B$154:$B$171,0))*INDEX('Resource costs'!$C$121:$C$142, MATCH($B204, 'Resource costs'!$B$121:$B$142,0))</f>
        <v>603.93279438593413</v>
      </c>
      <c r="AK204" s="90">
        <f>INDEX(AK$154:AK$171,MATCH($B204,$B$154:$B$171,0))*INDEX('Resource costs'!$C$121:$C$142, MATCH($B204, 'Resource costs'!$B$121:$B$142,0))</f>
        <v>608.41260114450347</v>
      </c>
      <c r="AL204" s="90">
        <f>INDEX(AL$154:AL$171,MATCH($B204,$B$154:$B$171,0))*INDEX('Resource costs'!$C$121:$C$142, MATCH($B204, 'Resource costs'!$B$121:$B$142,0))</f>
        <v>612.63493158229164</v>
      </c>
      <c r="AM204" s="90">
        <f>INDEX(AM$154:AM$171,MATCH($B204,$B$154:$B$171,0))*INDEX('Resource costs'!$C$121:$C$142, MATCH($B204, 'Resource costs'!$B$121:$B$142,0))</f>
        <v>616.54598295404935</v>
      </c>
      <c r="AN204" s="90">
        <f>INDEX(AN$154:AN$171,MATCH($B204,$B$154:$B$171,0))*INDEX('Resource costs'!$C$121:$C$142, MATCH($B204, 'Resource costs'!$B$121:$B$142,0))</f>
        <v>620.11236917221959</v>
      </c>
      <c r="AO204" s="90">
        <f>INDEX(AO$154:AO$171,MATCH($B204,$B$154:$B$171,0))*INDEX('Resource costs'!$C$121:$C$142, MATCH($B204, 'Resource costs'!$B$121:$B$142,0))</f>
        <v>623.30906026666878</v>
      </c>
      <c r="AP204" s="90">
        <f>INDEX(AP$154:AP$171,MATCH($B204,$B$154:$B$171,0))*INDEX('Resource costs'!$C$121:$C$142, MATCH($B204, 'Resource costs'!$B$121:$B$142,0))</f>
        <v>626.11301274751281</v>
      </c>
      <c r="AQ204" s="90">
        <f>INDEX(AQ$154:AQ$171,MATCH($B204,$B$154:$B$171,0))*INDEX('Resource costs'!$C$121:$C$142, MATCH($B204, 'Resource costs'!$B$121:$B$142,0))</f>
        <v>628.69560653879603</v>
      </c>
      <c r="AR204" s="90">
        <f>INDEX(AR$154:AR$171,MATCH($B204,$B$154:$B$171,0))*INDEX('Resource costs'!$C$121:$C$142, MATCH($B204, 'Resource costs'!$B$121:$B$142,0))</f>
        <v>631.21654912421639</v>
      </c>
      <c r="AS204" s="90">
        <f>INDEX(AS$154:AS$171,MATCH($B204,$B$154:$B$171,0))*INDEX('Resource costs'!$C$121:$C$142, MATCH($B204, 'Resource costs'!$B$121:$B$142,0))</f>
        <v>633.79091829428592</v>
      </c>
      <c r="AT204" s="90">
        <f>INDEX(AT$154:AT$171,MATCH($B204,$B$154:$B$171,0))*INDEX('Resource costs'!$C$121:$C$142, MATCH($B204, 'Resource costs'!$B$121:$B$142,0))</f>
        <v>635.74594738138296</v>
      </c>
      <c r="AU204" s="90">
        <f>INDEX(AU$154:AU$171,MATCH($B204,$B$154:$B$171,0))*INDEX('Resource costs'!$C$121:$C$142, MATCH($B204, 'Resource costs'!$B$121:$B$142,0))</f>
        <v>637.28341348869208</v>
      </c>
      <c r="AV204" s="90">
        <f>INDEX(AV$154:AV$171,MATCH($B204,$B$154:$B$171,0))*INDEX('Resource costs'!$C$121:$C$142, MATCH($B204, 'Resource costs'!$B$121:$B$142,0))</f>
        <v>638.54057241307225</v>
      </c>
      <c r="AW204" s="90">
        <f>INDEX(AW$154:AW$171,MATCH($B204,$B$154:$B$171,0))*INDEX('Resource costs'!$C$121:$C$142, MATCH($B204, 'Resource costs'!$B$121:$B$142,0))</f>
        <v>639.21389066917368</v>
      </c>
      <c r="AX204" s="90">
        <f>INDEX(AX$154:AX$171,MATCH($B204,$B$154:$B$171,0))*INDEX('Resource costs'!$C$121:$C$142, MATCH($B204, 'Resource costs'!$B$121:$B$142,0))</f>
        <v>639.53368049257745</v>
      </c>
      <c r="AY204" s="90">
        <f>INDEX(AY$154:AY$171,MATCH($B204,$B$154:$B$171,0))*INDEX('Resource costs'!$C$121:$C$142, MATCH($B204, 'Resource costs'!$B$121:$B$142,0))</f>
        <v>639.64555994362536</v>
      </c>
      <c r="AZ204" s="90">
        <f>INDEX(AZ$154:AZ$171,MATCH($B204,$B$154:$B$171,0))*INDEX('Resource costs'!$C$121:$C$142, MATCH($B204, 'Resource costs'!$B$121:$B$142,0))</f>
        <v>639.64057924007341</v>
      </c>
      <c r="BA204" s="90">
        <f>INDEX(BA$154:BA$171,MATCH($B204,$B$154:$B$171,0))*INDEX('Resource costs'!$C$121:$C$142, MATCH($B204, 'Resource costs'!$B$121:$B$142,0))</f>
        <v>639.57477300641426</v>
      </c>
      <c r="BB204" s="90">
        <f>INDEX(BB$154:BB$171,MATCH($B204,$B$154:$B$171,0))*INDEX('Resource costs'!$C$121:$C$142, MATCH($B204, 'Resource costs'!$B$121:$B$142,0))</f>
        <v>639.4818509160383</v>
      </c>
    </row>
    <row r="205" spans="2:54" s="97" customFormat="1" ht="29">
      <c r="B205" s="6" t="s">
        <v>16</v>
      </c>
      <c r="C205" s="316"/>
      <c r="D205" s="90">
        <f>INDEX(D$154:D$171,MATCH($B205,$B$154:$B$171,0))*INDEX('Resource costs'!$C$121:$C$142, MATCH($B205, 'Resource costs'!$B$121:$B$142,0))</f>
        <v>10207.905123589268</v>
      </c>
      <c r="E205" s="90">
        <f>INDEX(E$154:E$171,MATCH($B205,$B$154:$B$171,0))*INDEX('Resource costs'!$C$121:$C$142, MATCH($B205, 'Resource costs'!$B$121:$B$142,0))</f>
        <v>10600.291106521219</v>
      </c>
      <c r="F205" s="90">
        <f>INDEX(F$154:F$171,MATCH($B205,$B$154:$B$171,0))*INDEX('Resource costs'!$C$121:$C$142, MATCH($B205, 'Resource costs'!$B$121:$B$142,0))</f>
        <v>10939.160587921671</v>
      </c>
      <c r="G205" s="90">
        <f>INDEX(G$154:G$171,MATCH($B205,$B$154:$B$171,0))*INDEX('Resource costs'!$C$121:$C$142, MATCH($B205, 'Resource costs'!$B$121:$B$142,0))</f>
        <v>11240.013444627721</v>
      </c>
      <c r="H205" s="90">
        <f>INDEX(H$154:H$171,MATCH($B205,$B$154:$B$171,0))*INDEX('Resource costs'!$C$121:$C$142, MATCH($B205, 'Resource costs'!$B$121:$B$142,0))</f>
        <v>7488.8162861597693</v>
      </c>
      <c r="I205" s="90">
        <f>INDEX(I$154:I$171,MATCH($B205,$B$154:$B$171,0))*INDEX('Resource costs'!$C$121:$C$142, MATCH($B205, 'Resource costs'!$B$121:$B$142,0))</f>
        <v>6861.6518971186269</v>
      </c>
      <c r="J205" s="90">
        <f>INDEX(J$154:J$171,MATCH($B205,$B$154:$B$171,0))*INDEX('Resource costs'!$C$121:$C$142, MATCH($B205, 'Resource costs'!$B$121:$B$142,0))</f>
        <v>6466.1592027153647</v>
      </c>
      <c r="K205" s="90">
        <f>INDEX(K$154:K$171,MATCH($B205,$B$154:$B$171,0))*INDEX('Resource costs'!$C$121:$C$142, MATCH($B205, 'Resource costs'!$B$121:$B$142,0))</f>
        <v>6228.9733999587952</v>
      </c>
      <c r="L205" s="90">
        <f>INDEX(L$154:L$171,MATCH($B205,$B$154:$B$171,0))*INDEX('Resource costs'!$C$121:$C$142, MATCH($B205, 'Resource costs'!$B$121:$B$142,0))</f>
        <v>6109.464536474864</v>
      </c>
      <c r="M205" s="90">
        <f>INDEX(M$154:M$171,MATCH($B205,$B$154:$B$171,0))*INDEX('Resource costs'!$C$121:$C$142, MATCH($B205, 'Resource costs'!$B$121:$B$142,0))</f>
        <v>6064.1185366098125</v>
      </c>
      <c r="N205" s="90">
        <f>INDEX(N$154:N$171,MATCH($B205,$B$154:$B$171,0))*INDEX('Resource costs'!$C$121:$C$142, MATCH($B205, 'Resource costs'!$B$121:$B$142,0))</f>
        <v>6066.1332689755654</v>
      </c>
      <c r="O205" s="90">
        <f>INDEX(O$154:O$171,MATCH($B205,$B$154:$B$171,0))*INDEX('Resource costs'!$C$121:$C$142, MATCH($B205, 'Resource costs'!$B$121:$B$142,0))</f>
        <v>6101.8928317014161</v>
      </c>
      <c r="P205" s="90">
        <f>INDEX(P$154:P$171,MATCH($B205,$B$154:$B$171,0))*INDEX('Resource costs'!$C$121:$C$142, MATCH($B205, 'Resource costs'!$B$121:$B$142,0))</f>
        <v>6155.7059204934021</v>
      </c>
      <c r="Q205" s="90">
        <f>INDEX(Q$154:Q$171,MATCH($B205,$B$154:$B$171,0))*INDEX('Resource costs'!$C$121:$C$142, MATCH($B205, 'Resource costs'!$B$121:$B$142,0))</f>
        <v>6220.4197616072715</v>
      </c>
      <c r="R205" s="90">
        <f>INDEX(R$154:R$171,MATCH($B205,$B$154:$B$171,0))*INDEX('Resource costs'!$C$121:$C$142, MATCH($B205, 'Resource costs'!$B$121:$B$142,0))</f>
        <v>6292.7636265079127</v>
      </c>
      <c r="S205" s="90">
        <f>INDEX(S$154:S$171,MATCH($B205,$B$154:$B$171,0))*INDEX('Resource costs'!$C$121:$C$142, MATCH($B205, 'Resource costs'!$B$121:$B$142,0))</f>
        <v>6369.7439718712685</v>
      </c>
      <c r="T205" s="90">
        <f>INDEX(T$154:T$171,MATCH($B205,$B$154:$B$171,0))*INDEX('Resource costs'!$C$121:$C$142, MATCH($B205, 'Resource costs'!$B$121:$B$142,0))</f>
        <v>6448.7735537330118</v>
      </c>
      <c r="U205" s="90">
        <f>INDEX(U$154:U$171,MATCH($B205,$B$154:$B$171,0))*INDEX('Resource costs'!$C$121:$C$142, MATCH($B205, 'Resource costs'!$B$121:$B$142,0))</f>
        <v>6529.5571341733084</v>
      </c>
      <c r="V205" s="90">
        <f>INDEX(V$154:V$171,MATCH($B205,$B$154:$B$171,0))*INDEX('Resource costs'!$C$121:$C$142, MATCH($B205, 'Resource costs'!$B$121:$B$142,0))</f>
        <v>6614.6267683848137</v>
      </c>
      <c r="W205" s="90">
        <f>INDEX(W$154:W$171,MATCH($B205,$B$154:$B$171,0))*INDEX('Resource costs'!$C$121:$C$142, MATCH($B205, 'Resource costs'!$B$121:$B$142,0))</f>
        <v>6699.3419637457273</v>
      </c>
      <c r="X205" s="90">
        <f>INDEX(X$154:X$171,MATCH($B205,$B$154:$B$171,0))*INDEX('Resource costs'!$C$121:$C$142, MATCH($B205, 'Resource costs'!$B$121:$B$142,0))</f>
        <v>6782.6187951230613</v>
      </c>
      <c r="Y205" s="90">
        <f>INDEX(Y$154:Y$171,MATCH($B205,$B$154:$B$171,0))*INDEX('Resource costs'!$C$121:$C$142, MATCH($B205, 'Resource costs'!$B$121:$B$142,0))</f>
        <v>6865.784168127575</v>
      </c>
      <c r="Z205" s="90">
        <f>INDEX(Z$154:Z$171,MATCH($B205,$B$154:$B$171,0))*INDEX('Resource costs'!$C$121:$C$142, MATCH($B205, 'Resource costs'!$B$121:$B$142,0))</f>
        <v>6948.1275972772592</v>
      </c>
      <c r="AA205" s="90">
        <f>INDEX(AA$154:AA$171,MATCH($B205,$B$154:$B$171,0))*INDEX('Resource costs'!$C$121:$C$142, MATCH($B205, 'Resource costs'!$B$121:$B$142,0))</f>
        <v>7028.9063551328418</v>
      </c>
      <c r="AB205" s="90">
        <f>INDEX(AB$154:AB$171,MATCH($B205,$B$154:$B$171,0))*INDEX('Resource costs'!$C$121:$C$142, MATCH($B205, 'Resource costs'!$B$121:$B$142,0))</f>
        <v>7107.5911122832622</v>
      </c>
      <c r="AC205" s="90">
        <f>INDEX(AC$154:AC$171,MATCH($B205,$B$154:$B$171,0))*INDEX('Resource costs'!$C$121:$C$142, MATCH($B205, 'Resource costs'!$B$121:$B$142,0))</f>
        <v>7184.5209372124082</v>
      </c>
      <c r="AD205" s="90">
        <f>INDEX(AD$154:AD$171,MATCH($B205,$B$154:$B$171,0))*INDEX('Resource costs'!$C$121:$C$142, MATCH($B205, 'Resource costs'!$B$121:$B$142,0))</f>
        <v>7258.9238182012969</v>
      </c>
      <c r="AE205" s="90">
        <f>INDEX(AE$154:AE$171,MATCH($B205,$B$154:$B$171,0))*INDEX('Resource costs'!$C$121:$C$142, MATCH($B205, 'Resource costs'!$B$121:$B$142,0))</f>
        <v>7330.1245313223371</v>
      </c>
      <c r="AF205" s="90">
        <f>INDEX(AF$154:AF$171,MATCH($B205,$B$154:$B$171,0))*INDEX('Resource costs'!$C$121:$C$142, MATCH($B205, 'Resource costs'!$B$121:$B$142,0))</f>
        <v>7397.6567404066163</v>
      </c>
      <c r="AG205" s="90">
        <f>INDEX(AG$154:AG$171,MATCH($B205,$B$154:$B$171,0))*INDEX('Resource costs'!$C$121:$C$142, MATCH($B205, 'Resource costs'!$B$121:$B$142,0))</f>
        <v>7461.687262611943</v>
      </c>
      <c r="AH205" s="90">
        <f>INDEX(AH$154:AH$171,MATCH($B205,$B$154:$B$171,0))*INDEX('Resource costs'!$C$121:$C$142, MATCH($B205, 'Resource costs'!$B$121:$B$142,0))</f>
        <v>7523.5652557061594</v>
      </c>
      <c r="AI205" s="90">
        <f>INDEX(AI$154:AI$171,MATCH($B205,$B$154:$B$171,0))*INDEX('Resource costs'!$C$121:$C$142, MATCH($B205, 'Resource costs'!$B$121:$B$142,0))</f>
        <v>7583.4556844871395</v>
      </c>
      <c r="AJ205" s="90">
        <f>INDEX(AJ$154:AJ$171,MATCH($B205,$B$154:$B$171,0))*INDEX('Resource costs'!$C$121:$C$142, MATCH($B205, 'Resource costs'!$B$121:$B$142,0))</f>
        <v>7642.1479529611352</v>
      </c>
      <c r="AK205" s="90">
        <f>INDEX(AK$154:AK$171,MATCH($B205,$B$154:$B$171,0))*INDEX('Resource costs'!$C$121:$C$142, MATCH($B205, 'Resource costs'!$B$121:$B$142,0))</f>
        <v>7698.8352969303778</v>
      </c>
      <c r="AL205" s="90">
        <f>INDEX(AL$154:AL$171,MATCH($B205,$B$154:$B$171,0))*INDEX('Resource costs'!$C$121:$C$142, MATCH($B205, 'Resource costs'!$B$121:$B$142,0))</f>
        <v>7752.2645430515095</v>
      </c>
      <c r="AM205" s="90">
        <f>INDEX(AM$154:AM$171,MATCH($B205,$B$154:$B$171,0))*INDEX('Resource costs'!$C$121:$C$142, MATCH($B205, 'Resource costs'!$B$121:$B$142,0))</f>
        <v>7801.7548729565015</v>
      </c>
      <c r="AN205" s="90">
        <f>INDEX(AN$154:AN$171,MATCH($B205,$B$154:$B$171,0))*INDEX('Resource costs'!$C$121:$C$142, MATCH($B205, 'Resource costs'!$B$121:$B$142,0))</f>
        <v>7846.8838200678629</v>
      </c>
      <c r="AO205" s="90">
        <f>INDEX(AO$154:AO$171,MATCH($B205,$B$154:$B$171,0))*INDEX('Resource costs'!$C$121:$C$142, MATCH($B205, 'Resource costs'!$B$121:$B$142,0))</f>
        <v>7887.3346558740759</v>
      </c>
      <c r="AP205" s="90">
        <f>INDEX(AP$154:AP$171,MATCH($B205,$B$154:$B$171,0))*INDEX('Resource costs'!$C$121:$C$142, MATCH($B205, 'Resource costs'!$B$121:$B$142,0))</f>
        <v>7922.8157887267307</v>
      </c>
      <c r="AQ205" s="90">
        <f>INDEX(AQ$154:AQ$171,MATCH($B205,$B$154:$B$171,0))*INDEX('Resource costs'!$C$121:$C$142, MATCH($B205, 'Resource costs'!$B$121:$B$142,0))</f>
        <v>7955.4958551825584</v>
      </c>
      <c r="AR205" s="90">
        <f>INDEX(AR$154:AR$171,MATCH($B205,$B$154:$B$171,0))*INDEX('Resource costs'!$C$121:$C$142, MATCH($B205, 'Resource costs'!$B$121:$B$142,0))</f>
        <v>7987.3957890788315</v>
      </c>
      <c r="AS205" s="90">
        <f>INDEX(AS$154:AS$171,MATCH($B205,$B$154:$B$171,0))*INDEX('Resource costs'!$C$121:$C$142, MATCH($B205, 'Resource costs'!$B$121:$B$142,0))</f>
        <v>8019.9717814178748</v>
      </c>
      <c r="AT205" s="90">
        <f>INDEX(AT$154:AT$171,MATCH($B205,$B$154:$B$171,0))*INDEX('Resource costs'!$C$121:$C$142, MATCH($B205, 'Resource costs'!$B$121:$B$142,0))</f>
        <v>8044.7106624238804</v>
      </c>
      <c r="AU205" s="90">
        <f>INDEX(AU$154:AU$171,MATCH($B205,$B$154:$B$171,0))*INDEX('Resource costs'!$C$121:$C$142, MATCH($B205, 'Resource costs'!$B$121:$B$142,0))</f>
        <v>8064.1657136712065</v>
      </c>
      <c r="AV205" s="90">
        <f>INDEX(AV$154:AV$171,MATCH($B205,$B$154:$B$171,0))*INDEX('Resource costs'!$C$121:$C$142, MATCH($B205, 'Resource costs'!$B$121:$B$142,0))</f>
        <v>8080.0737660071745</v>
      </c>
      <c r="AW205" s="90">
        <f>INDEX(AW$154:AW$171,MATCH($B205,$B$154:$B$171,0))*INDEX('Resource costs'!$C$121:$C$142, MATCH($B205, 'Resource costs'!$B$121:$B$142,0))</f>
        <v>8088.593915567506</v>
      </c>
      <c r="AX205" s="90">
        <f>INDEX(AX$154:AX$171,MATCH($B205,$B$154:$B$171,0))*INDEX('Resource costs'!$C$121:$C$142, MATCH($B205, 'Resource costs'!$B$121:$B$142,0))</f>
        <v>8092.64052665904</v>
      </c>
      <c r="AY205" s="90">
        <f>INDEX(AY$154:AY$171,MATCH($B205,$B$154:$B$171,0))*INDEX('Resource costs'!$C$121:$C$142, MATCH($B205, 'Resource costs'!$B$121:$B$142,0))</f>
        <v>8094.0562459671355</v>
      </c>
      <c r="AZ205" s="90">
        <f>INDEX(AZ$154:AZ$171,MATCH($B205,$B$154:$B$171,0))*INDEX('Resource costs'!$C$121:$C$142, MATCH($B205, 'Resource costs'!$B$121:$B$142,0))</f>
        <v>8093.9932202897617</v>
      </c>
      <c r="BA205" s="90">
        <f>INDEX(BA$154:BA$171,MATCH($B205,$B$154:$B$171,0))*INDEX('Resource costs'!$C$121:$C$142, MATCH($B205, 'Resource costs'!$B$121:$B$142,0))</f>
        <v>8093.1605101297491</v>
      </c>
      <c r="BB205" s="90">
        <f>INDEX(BB$154:BB$171,MATCH($B205,$B$154:$B$171,0))*INDEX('Resource costs'!$C$121:$C$142, MATCH($B205, 'Resource costs'!$B$121:$B$142,0))</f>
        <v>8091.9846767102817</v>
      </c>
    </row>
    <row r="206" spans="2:54" s="97" customFormat="1">
      <c r="B206" s="6" t="s">
        <v>103</v>
      </c>
      <c r="C206" s="316"/>
      <c r="D206" s="90">
        <f>INDEX(D$154:D$171,MATCH($B206,$B$154:$B$171,0))*INDEX('Resource costs'!$C$121:$C$142, MATCH($B206, 'Resource costs'!$B$121:$B$142,0))</f>
        <v>145058.16295132678</v>
      </c>
      <c r="E206" s="90">
        <f>INDEX(E$154:E$171,MATCH($B206,$B$154:$B$171,0))*INDEX('Resource costs'!$C$121:$C$142, MATCH($B206, 'Resource costs'!$B$121:$B$142,0))</f>
        <v>150634.11503579779</v>
      </c>
      <c r="F206" s="90">
        <f>INDEX(F$154:F$171,MATCH($B206,$B$154:$B$171,0))*INDEX('Resource costs'!$C$121:$C$142, MATCH($B206, 'Resource costs'!$B$121:$B$142,0))</f>
        <v>155449.5775481427</v>
      </c>
      <c r="G206" s="90">
        <f>INDEX(G$154:G$171,MATCH($B206,$B$154:$B$171,0))*INDEX('Resource costs'!$C$121:$C$142, MATCH($B206, 'Resource costs'!$B$121:$B$142,0))</f>
        <v>159724.80955550031</v>
      </c>
      <c r="H206" s="90">
        <f>INDEX(H$154:H$171,MATCH($B206,$B$154:$B$171,0))*INDEX('Resource costs'!$C$121:$C$142, MATCH($B206, 'Resource costs'!$B$121:$B$142,0))</f>
        <v>106418.89006589312</v>
      </c>
      <c r="I206" s="90">
        <f>INDEX(I$154:I$171,MATCH($B206,$B$154:$B$171,0))*INDEX('Resource costs'!$C$121:$C$142, MATCH($B206, 'Resource costs'!$B$121:$B$142,0))</f>
        <v>97506.648715553179</v>
      </c>
      <c r="J206" s="90">
        <f>INDEX(J$154:J$171,MATCH($B206,$B$154:$B$171,0))*INDEX('Resource costs'!$C$121:$C$142, MATCH($B206, 'Resource costs'!$B$121:$B$142,0))</f>
        <v>91886.549095090057</v>
      </c>
      <c r="K206" s="90">
        <f>INDEX(K$154:K$171,MATCH($B206,$B$154:$B$171,0))*INDEX('Resource costs'!$C$121:$C$142, MATCH($B206, 'Resource costs'!$B$121:$B$142,0))</f>
        <v>88516.049819337946</v>
      </c>
      <c r="L206" s="90">
        <f>INDEX(L$154:L$171,MATCH($B206,$B$154:$B$171,0))*INDEX('Resource costs'!$C$121:$C$142, MATCH($B206, 'Resource costs'!$B$121:$B$142,0))</f>
        <v>86817.784016169491</v>
      </c>
      <c r="M206" s="90">
        <f>INDEX(M$154:M$171,MATCH($B206,$B$154:$B$171,0))*INDEX('Resource costs'!$C$121:$C$142, MATCH($B206, 'Resource costs'!$B$121:$B$142,0))</f>
        <v>86173.400339207699</v>
      </c>
      <c r="N206" s="90">
        <f>INDEX(N$154:N$171,MATCH($B206,$B$154:$B$171,0))*INDEX('Resource costs'!$C$121:$C$142, MATCH($B206, 'Resource costs'!$B$121:$B$142,0))</f>
        <v>86202.03044227745</v>
      </c>
      <c r="O206" s="90">
        <f>INDEX(O$154:O$171,MATCH($B206,$B$154:$B$171,0))*INDEX('Resource costs'!$C$121:$C$142, MATCH($B206, 'Resource costs'!$B$121:$B$142,0))</f>
        <v>86710.187249590206</v>
      </c>
      <c r="P206" s="90">
        <f>INDEX(P$154:P$171,MATCH($B206,$B$154:$B$171,0))*INDEX('Resource costs'!$C$121:$C$142, MATCH($B206, 'Resource costs'!$B$121:$B$142,0))</f>
        <v>87474.891438000355</v>
      </c>
      <c r="Q206" s="90">
        <f>INDEX(Q$154:Q$171,MATCH($B206,$B$154:$B$171,0))*INDEX('Resource costs'!$C$121:$C$142, MATCH($B206, 'Resource costs'!$B$121:$B$142,0))</f>
        <v>88394.499408083182</v>
      </c>
      <c r="R206" s="90">
        <f>INDEX(R$154:R$171,MATCH($B206,$B$154:$B$171,0))*INDEX('Resource costs'!$C$121:$C$142, MATCH($B206, 'Resource costs'!$B$121:$B$142,0))</f>
        <v>89422.53287981241</v>
      </c>
      <c r="S206" s="90">
        <f>INDEX(S$154:S$171,MATCH($B206,$B$154:$B$171,0))*INDEX('Resource costs'!$C$121:$C$142, MATCH($B206, 'Resource costs'!$B$121:$B$142,0))</f>
        <v>90516.452479041662</v>
      </c>
      <c r="T206" s="90">
        <f>INDEX(T$154:T$171,MATCH($B206,$B$154:$B$171,0))*INDEX('Resource costs'!$C$121:$C$142, MATCH($B206, 'Resource costs'!$B$121:$B$142,0))</f>
        <v>91639.492498015228</v>
      </c>
      <c r="U206" s="90">
        <f>INDEX(U$154:U$171,MATCH($B206,$B$154:$B$171,0))*INDEX('Resource costs'!$C$121:$C$142, MATCH($B206, 'Resource costs'!$B$121:$B$142,0))</f>
        <v>92787.457495086026</v>
      </c>
      <c r="V206" s="90">
        <f>INDEX(V$154:V$171,MATCH($B206,$B$154:$B$171,0))*INDEX('Resource costs'!$C$121:$C$142, MATCH($B206, 'Resource costs'!$B$121:$B$142,0))</f>
        <v>93996.328924851361</v>
      </c>
      <c r="W206" s="90">
        <f>INDEX(W$154:W$171,MATCH($B206,$B$154:$B$171,0))*INDEX('Resource costs'!$C$121:$C$142, MATCH($B206, 'Resource costs'!$B$121:$B$142,0))</f>
        <v>95200.163645524779</v>
      </c>
      <c r="X206" s="90">
        <f>INDEX(X$154:X$171,MATCH($B206,$B$154:$B$171,0))*INDEX('Resource costs'!$C$121:$C$142, MATCH($B206, 'Resource costs'!$B$121:$B$142,0))</f>
        <v>96383.558674156855</v>
      </c>
      <c r="Y206" s="90">
        <f>INDEX(Y$154:Y$171,MATCH($B206,$B$154:$B$171,0))*INDEX('Resource costs'!$C$121:$C$142, MATCH($B206, 'Resource costs'!$B$121:$B$142,0))</f>
        <v>97565.369837479549</v>
      </c>
      <c r="Z206" s="90">
        <f>INDEX(Z$154:Z$171,MATCH($B206,$B$154:$B$171,0))*INDEX('Resource costs'!$C$121:$C$142, MATCH($B206, 'Resource costs'!$B$121:$B$142,0))</f>
        <v>98735.500870140037</v>
      </c>
      <c r="AA206" s="90">
        <f>INDEX(AA$154:AA$171,MATCH($B206,$B$154:$B$171,0))*INDEX('Resource costs'!$C$121:$C$142, MATCH($B206, 'Resource costs'!$B$121:$B$142,0))</f>
        <v>99883.397336472088</v>
      </c>
      <c r="AB206" s="90">
        <f>INDEX(AB$154:AB$171,MATCH($B206,$B$154:$B$171,0))*INDEX('Resource costs'!$C$121:$C$142, MATCH($B206, 'Resource costs'!$B$121:$B$142,0))</f>
        <v>101001.53726688105</v>
      </c>
      <c r="AC206" s="90">
        <f>INDEX(AC$154:AC$171,MATCH($B206,$B$154:$B$171,0))*INDEX('Resource costs'!$C$121:$C$142, MATCH($B206, 'Resource costs'!$B$121:$B$142,0))</f>
        <v>102094.73895177928</v>
      </c>
      <c r="AD206" s="90">
        <f>INDEX(AD$154:AD$171,MATCH($B206,$B$154:$B$171,0))*INDEX('Resource costs'!$C$121:$C$142, MATCH($B206, 'Resource costs'!$B$121:$B$142,0))</f>
        <v>103152.0318148951</v>
      </c>
      <c r="AE206" s="90">
        <f>INDEX(AE$154:AE$171,MATCH($B206,$B$154:$B$171,0))*INDEX('Resource costs'!$C$121:$C$142, MATCH($B206, 'Resource costs'!$B$121:$B$142,0))</f>
        <v>104163.82067079807</v>
      </c>
      <c r="AF206" s="90">
        <f>INDEX(AF$154:AF$171,MATCH($B206,$B$154:$B$171,0))*INDEX('Resource costs'!$C$121:$C$142, MATCH($B206, 'Resource costs'!$B$121:$B$142,0))</f>
        <v>105123.47870750658</v>
      </c>
      <c r="AG206" s="90">
        <f>INDEX(AG$154:AG$171,MATCH($B206,$B$154:$B$171,0))*INDEX('Resource costs'!$C$121:$C$142, MATCH($B206, 'Resource costs'!$B$121:$B$142,0))</f>
        <v>106033.37645944151</v>
      </c>
      <c r="AH206" s="90">
        <f>INDEX(AH$154:AH$171,MATCH($B206,$B$154:$B$171,0))*INDEX('Resource costs'!$C$121:$C$142, MATCH($B206, 'Resource costs'!$B$121:$B$142,0))</f>
        <v>106912.68596483843</v>
      </c>
      <c r="AI206" s="90">
        <f>INDEX(AI$154:AI$171,MATCH($B206,$B$154:$B$171,0))*INDEX('Resource costs'!$C$121:$C$142, MATCH($B206, 'Resource costs'!$B$121:$B$142,0))</f>
        <v>107763.75143538832</v>
      </c>
      <c r="AJ206" s="90">
        <f>INDEX(AJ$154:AJ$171,MATCH($B206,$B$154:$B$171,0))*INDEX('Resource costs'!$C$121:$C$142, MATCH($B206, 'Resource costs'!$B$121:$B$142,0))</f>
        <v>108597.79059829251</v>
      </c>
      <c r="AK206" s="90">
        <f>INDEX(AK$154:AK$171,MATCH($B206,$B$154:$B$171,0))*INDEX('Resource costs'!$C$121:$C$142, MATCH($B206, 'Resource costs'!$B$121:$B$142,0))</f>
        <v>109403.33903151278</v>
      </c>
      <c r="AL206" s="90">
        <f>INDEX(AL$154:AL$171,MATCH($B206,$B$154:$B$171,0))*INDEX('Resource costs'!$C$121:$C$142, MATCH($B206, 'Resource costs'!$B$121:$B$142,0))</f>
        <v>110162.58867150948</v>
      </c>
      <c r="AM206" s="90">
        <f>INDEX(AM$154:AM$171,MATCH($B206,$B$154:$B$171,0))*INDEX('Resource costs'!$C$121:$C$142, MATCH($B206, 'Resource costs'!$B$121:$B$142,0))</f>
        <v>110865.86483375392</v>
      </c>
      <c r="AN206" s="90">
        <f>INDEX(AN$154:AN$171,MATCH($B206,$B$154:$B$171,0))*INDEX('Resource costs'!$C$121:$C$142, MATCH($B206, 'Resource costs'!$B$121:$B$142,0))</f>
        <v>111507.16410962335</v>
      </c>
      <c r="AO206" s="90">
        <f>INDEX(AO$154:AO$171,MATCH($B206,$B$154:$B$171,0))*INDEX('Resource costs'!$C$121:$C$142, MATCH($B206, 'Resource costs'!$B$121:$B$142,0))</f>
        <v>112081.98566809724</v>
      </c>
      <c r="AP206" s="90">
        <f>INDEX(AP$154:AP$171,MATCH($B206,$B$154:$B$171,0))*INDEX('Resource costs'!$C$121:$C$142, MATCH($B206, 'Resource costs'!$B$121:$B$142,0))</f>
        <v>112586.18588241392</v>
      </c>
      <c r="AQ206" s="90">
        <f>INDEX(AQ$154:AQ$171,MATCH($B206,$B$154:$B$171,0))*INDEX('Resource costs'!$C$121:$C$142, MATCH($B206, 'Resource costs'!$B$121:$B$142,0))</f>
        <v>113050.58189195899</v>
      </c>
      <c r="AR206" s="90">
        <f>INDEX(AR$154:AR$171,MATCH($B206,$B$154:$B$171,0))*INDEX('Resource costs'!$C$121:$C$142, MATCH($B206, 'Resource costs'!$B$121:$B$142,0))</f>
        <v>113503.89192504001</v>
      </c>
      <c r="AS206" s="90">
        <f>INDEX(AS$154:AS$171,MATCH($B206,$B$154:$B$171,0))*INDEX('Resource costs'!$C$121:$C$142, MATCH($B206, 'Resource costs'!$B$121:$B$142,0))</f>
        <v>113966.80900232536</v>
      </c>
      <c r="AT206" s="90">
        <f>INDEX(AT$154:AT$171,MATCH($B206,$B$154:$B$171,0))*INDEX('Resource costs'!$C$121:$C$142, MATCH($B206, 'Resource costs'!$B$121:$B$142,0))</f>
        <v>114318.35778620951</v>
      </c>
      <c r="AU206" s="90">
        <f>INDEX(AU$154:AU$171,MATCH($B206,$B$154:$B$171,0))*INDEX('Resource costs'!$C$121:$C$142, MATCH($B206, 'Resource costs'!$B$121:$B$142,0))</f>
        <v>114594.82136614027</v>
      </c>
      <c r="AV206" s="90">
        <f>INDEX(AV$154:AV$171,MATCH($B206,$B$154:$B$171,0))*INDEX('Resource costs'!$C$121:$C$142, MATCH($B206, 'Resource costs'!$B$121:$B$142,0))</f>
        <v>114820.88076031084</v>
      </c>
      <c r="AW206" s="90">
        <f>INDEX(AW$154:AW$171,MATCH($B206,$B$154:$B$171,0))*INDEX('Resource costs'!$C$121:$C$142, MATCH($B206, 'Resource costs'!$B$121:$B$142,0))</f>
        <v>114941.95528327403</v>
      </c>
      <c r="AX206" s="90">
        <f>INDEX(AX$154:AX$171,MATCH($B206,$B$154:$B$171,0))*INDEX('Resource costs'!$C$121:$C$142, MATCH($B206, 'Resource costs'!$B$121:$B$142,0))</f>
        <v>114999.45914562477</v>
      </c>
      <c r="AY206" s="90">
        <f>INDEX(AY$154:AY$171,MATCH($B206,$B$154:$B$171,0))*INDEX('Resource costs'!$C$121:$C$142, MATCH($B206, 'Resource costs'!$B$121:$B$142,0))</f>
        <v>115019.57704832869</v>
      </c>
      <c r="AZ206" s="90">
        <f>INDEX(AZ$154:AZ$171,MATCH($B206,$B$154:$B$171,0))*INDEX('Resource costs'!$C$121:$C$142, MATCH($B206, 'Resource costs'!$B$121:$B$142,0))</f>
        <v>115018.68142979892</v>
      </c>
      <c r="BA206" s="90">
        <f>INDEX(BA$154:BA$171,MATCH($B206,$B$154:$B$171,0))*INDEX('Resource costs'!$C$121:$C$142, MATCH($B206, 'Resource costs'!$B$121:$B$142,0))</f>
        <v>115006.84830589939</v>
      </c>
      <c r="BB206" s="90">
        <f>INDEX(BB$154:BB$171,MATCH($B206,$B$154:$B$171,0))*INDEX('Resource costs'!$C$121:$C$142, MATCH($B206, 'Resource costs'!$B$121:$B$142,0))</f>
        <v>114990.13927170483</v>
      </c>
    </row>
    <row r="207" spans="2:54" s="97" customFormat="1">
      <c r="B207" s="6" t="s">
        <v>104</v>
      </c>
      <c r="C207" s="315"/>
      <c r="D207" s="90">
        <f>INDEX(D$154:D$171,MATCH($B207,$B$154:$B$171,0))*INDEX('Resource costs'!$C$121:$C$142, MATCH($B207, 'Resource costs'!$B$121:$B$142,0))</f>
        <v>12798.431414473565</v>
      </c>
      <c r="E207" s="90">
        <f>INDEX(E$154:E$171,MATCH($B207,$B$154:$B$171,0))*INDEX('Resource costs'!$C$121:$C$142, MATCH($B207, 'Resource costs'!$B$121:$B$142,0))</f>
        <v>13290.395733278832</v>
      </c>
      <c r="F207" s="90">
        <f>INDEX(F$154:F$171,MATCH($B207,$B$154:$B$171,0))*INDEX('Resource costs'!$C$121:$C$142, MATCH($B207, 'Resource costs'!$B$121:$B$142,0))</f>
        <v>13715.262320855119</v>
      </c>
      <c r="G207" s="90">
        <f>INDEX(G$154:G$171,MATCH($B207,$B$154:$B$171,0))*INDEX('Resource costs'!$C$121:$C$142, MATCH($B207, 'Resource costs'!$B$121:$B$142,0))</f>
        <v>14092.464558315469</v>
      </c>
      <c r="H207" s="90">
        <f>INDEX(H$154:H$171,MATCH($B207,$B$154:$B$171,0))*INDEX('Resource costs'!$C$121:$C$142, MATCH($B207, 'Resource costs'!$B$121:$B$142,0))</f>
        <v>9389.3017669728997</v>
      </c>
      <c r="I207" s="90">
        <f>INDEX(I$154:I$171,MATCH($B207,$B$154:$B$171,0))*INDEX('Resource costs'!$C$121:$C$142, MATCH($B207, 'Resource costs'!$B$121:$B$142,0))</f>
        <v>8602.9778031858095</v>
      </c>
      <c r="J207" s="90">
        <f>INDEX(J$154:J$171,MATCH($B207,$B$154:$B$171,0))*INDEX('Resource costs'!$C$121:$C$142, MATCH($B207, 'Resource costs'!$B$121:$B$142,0))</f>
        <v>8107.1183625892718</v>
      </c>
      <c r="K207" s="90">
        <f>INDEX(K$154:K$171,MATCH($B207,$B$154:$B$171,0))*INDEX('Resource costs'!$C$121:$C$142, MATCH($B207, 'Resource costs'!$B$121:$B$142,0))</f>
        <v>7809.7403802986746</v>
      </c>
      <c r="L207" s="90">
        <f>INDEX(L$154:L$171,MATCH($B207,$B$154:$B$171,0))*INDEX('Resource costs'!$C$121:$C$142, MATCH($B207, 'Resource costs'!$B$121:$B$142,0))</f>
        <v>7659.9029774033243</v>
      </c>
      <c r="M207" s="90">
        <f>INDEX(M$154:M$171,MATCH($B207,$B$154:$B$171,0))*INDEX('Resource costs'!$C$121:$C$142, MATCH($B207, 'Resource costs'!$B$121:$B$142,0))</f>
        <v>7603.0492290419234</v>
      </c>
      <c r="N207" s="90">
        <f>INDEX(N$154:N$171,MATCH($B207,$B$154:$B$171,0))*INDEX('Resource costs'!$C$121:$C$142, MATCH($B207, 'Resource costs'!$B$121:$B$142,0))</f>
        <v>7605.5752531075286</v>
      </c>
      <c r="O207" s="90">
        <f>INDEX(O$154:O$171,MATCH($B207,$B$154:$B$171,0))*INDEX('Resource costs'!$C$121:$C$142, MATCH($B207, 'Resource costs'!$B$121:$B$142,0))</f>
        <v>7650.409752000035</v>
      </c>
      <c r="P207" s="90">
        <f>INDEX(P$154:P$171,MATCH($B207,$B$154:$B$171,0))*INDEX('Resource costs'!$C$121:$C$142, MATCH($B207, 'Resource costs'!$B$121:$B$142,0))</f>
        <v>7717.8793373622311</v>
      </c>
      <c r="Q207" s="90">
        <f>INDEX(Q$154:Q$171,MATCH($B207,$B$154:$B$171,0))*INDEX('Resource costs'!$C$121:$C$142, MATCH($B207, 'Resource costs'!$B$121:$B$142,0))</f>
        <v>7799.0160296644608</v>
      </c>
      <c r="R207" s="90">
        <f>INDEX(R$154:R$171,MATCH($B207,$B$154:$B$171,0))*INDEX('Resource costs'!$C$121:$C$142, MATCH($B207, 'Resource costs'!$B$121:$B$142,0))</f>
        <v>7889.7190663775636</v>
      </c>
      <c r="S207" s="90">
        <f>INDEX(S$154:S$171,MATCH($B207,$B$154:$B$171,0))*INDEX('Resource costs'!$C$121:$C$142, MATCH($B207, 'Resource costs'!$B$121:$B$142,0))</f>
        <v>7986.2352132722517</v>
      </c>
      <c r="T207" s="90">
        <f>INDEX(T$154:T$171,MATCH($B207,$B$154:$B$171,0))*INDEX('Resource costs'!$C$121:$C$142, MATCH($B207, 'Resource costs'!$B$121:$B$142,0))</f>
        <v>8085.3206447027142</v>
      </c>
      <c r="U207" s="90">
        <f>INDEX(U$154:U$171,MATCH($B207,$B$154:$B$171,0))*INDEX('Resource costs'!$C$121:$C$142, MATCH($B207, 'Resource costs'!$B$121:$B$142,0))</f>
        <v>8186.6051983073021</v>
      </c>
      <c r="V207" s="90">
        <f>INDEX(V$154:V$171,MATCH($B207,$B$154:$B$171,0))*INDEX('Resource costs'!$C$121:$C$142, MATCH($B207, 'Resource costs'!$B$121:$B$142,0))</f>
        <v>8293.2635053476297</v>
      </c>
      <c r="W207" s="90">
        <f>INDEX(W$154:W$171,MATCH($B207,$B$154:$B$171,0))*INDEX('Resource costs'!$C$121:$C$142, MATCH($B207, 'Resource costs'!$B$121:$B$142,0))</f>
        <v>8399.4774252913867</v>
      </c>
      <c r="X207" s="90">
        <f>INDEX(X$154:X$171,MATCH($B207,$B$154:$B$171,0))*INDEX('Resource costs'!$C$121:$C$142, MATCH($B207, 'Resource costs'!$B$121:$B$142,0))</f>
        <v>8503.8879582943355</v>
      </c>
      <c r="Y207" s="90">
        <f>INDEX(Y$154:Y$171,MATCH($B207,$B$154:$B$171,0))*INDEX('Resource costs'!$C$121:$C$142, MATCH($B207, 'Resource costs'!$B$121:$B$142,0))</f>
        <v>8608.1587474102835</v>
      </c>
      <c r="Z207" s="90">
        <f>INDEX(Z$154:Z$171,MATCH($B207,$B$154:$B$171,0))*INDEX('Resource costs'!$C$121:$C$142, MATCH($B207, 'Resource costs'!$B$121:$B$142,0))</f>
        <v>8711.3990026482988</v>
      </c>
      <c r="AA207" s="90">
        <f>INDEX(AA$154:AA$171,MATCH($B207,$B$154:$B$171,0))*INDEX('Resource costs'!$C$121:$C$142, MATCH($B207, 'Resource costs'!$B$121:$B$142,0))</f>
        <v>8812.6775098095732</v>
      </c>
      <c r="AB207" s="90">
        <f>INDEX(AB$154:AB$171,MATCH($B207,$B$154:$B$171,0))*INDEX('Resource costs'!$C$121:$C$142, MATCH($B207, 'Resource costs'!$B$121:$B$142,0))</f>
        <v>8911.3306081252103</v>
      </c>
      <c r="AC207" s="90">
        <f>INDEX(AC$154:AC$171,MATCH($B207,$B$154:$B$171,0))*INDEX('Resource costs'!$C$121:$C$142, MATCH($B207, 'Resource costs'!$B$121:$B$142,0))</f>
        <v>9007.7834136874299</v>
      </c>
      <c r="AD207" s="90">
        <f>INDEX(AD$154:AD$171,MATCH($B207,$B$154:$B$171,0))*INDEX('Resource costs'!$C$121:$C$142, MATCH($B207, 'Resource costs'!$B$121:$B$142,0))</f>
        <v>9101.0679963561124</v>
      </c>
      <c r="AE207" s="90">
        <f>INDEX(AE$154:AE$171,MATCH($B207,$B$154:$B$171,0))*INDEX('Resource costs'!$C$121:$C$142, MATCH($B207, 'Resource costs'!$B$121:$B$142,0))</f>
        <v>9190.3377762481123</v>
      </c>
      <c r="AF207" s="90">
        <f>INDEX(AF$154:AF$171,MATCH($B207,$B$154:$B$171,0))*INDEX('Resource costs'!$C$121:$C$142, MATCH($B207, 'Resource costs'!$B$121:$B$142,0))</f>
        <v>9275.008072040313</v>
      </c>
      <c r="AG207" s="90">
        <f>INDEX(AG$154:AG$171,MATCH($B207,$B$154:$B$171,0))*INDEX('Resource costs'!$C$121:$C$142, MATCH($B207, 'Resource costs'!$B$121:$B$142,0))</f>
        <v>9355.2880351626263</v>
      </c>
      <c r="AH207" s="90">
        <f>INDEX(AH$154:AH$171,MATCH($B207,$B$154:$B$171,0))*INDEX('Resource costs'!$C$121:$C$142, MATCH($B207, 'Resource costs'!$B$121:$B$142,0))</f>
        <v>9432.8692079001667</v>
      </c>
      <c r="AI207" s="90">
        <f>INDEX(AI$154:AI$171,MATCH($B207,$B$154:$B$171,0))*INDEX('Resource costs'!$C$121:$C$142, MATCH($B207, 'Resource costs'!$B$121:$B$142,0))</f>
        <v>9507.9584192375132</v>
      </c>
      <c r="AJ207" s="90">
        <f>INDEX(AJ$154:AJ$171,MATCH($B207,$B$154:$B$171,0))*INDEX('Resource costs'!$C$121:$C$142, MATCH($B207, 'Resource costs'!$B$121:$B$142,0))</f>
        <v>9581.5454053556005</v>
      </c>
      <c r="AK207" s="90">
        <f>INDEX(AK$154:AK$171,MATCH($B207,$B$154:$B$171,0))*INDEX('Resource costs'!$C$121:$C$142, MATCH($B207, 'Resource costs'!$B$121:$B$142,0))</f>
        <v>9652.6186642735793</v>
      </c>
      <c r="AL207" s="90">
        <f>INDEX(AL$154:AL$171,MATCH($B207,$B$154:$B$171,0))*INDEX('Resource costs'!$C$121:$C$142, MATCH($B207, 'Resource costs'!$B$121:$B$142,0))</f>
        <v>9719.6069967207659</v>
      </c>
      <c r="AM207" s="90">
        <f>INDEX(AM$154:AM$171,MATCH($B207,$B$154:$B$171,0))*INDEX('Resource costs'!$C$121:$C$142, MATCH($B207, 'Resource costs'!$B$121:$B$142,0))</f>
        <v>9781.6568086361403</v>
      </c>
      <c r="AN207" s="90">
        <f>INDEX(AN$154:AN$171,MATCH($B207,$B$154:$B$171,0))*INDEX('Resource costs'!$C$121:$C$142, MATCH($B207, 'Resource costs'!$B$121:$B$142,0))</f>
        <v>9838.2384213587593</v>
      </c>
      <c r="AO207" s="90">
        <f>INDEX(AO$154:AO$171,MATCH($B207,$B$154:$B$171,0))*INDEX('Resource costs'!$C$121:$C$142, MATCH($B207, 'Resource costs'!$B$121:$B$142,0))</f>
        <v>9888.9547281284613</v>
      </c>
      <c r="AP207" s="90">
        <f>INDEX(AP$154:AP$171,MATCH($B207,$B$154:$B$171,0))*INDEX('Resource costs'!$C$121:$C$142, MATCH($B207, 'Resource costs'!$B$121:$B$142,0))</f>
        <v>9933.4401381929747</v>
      </c>
      <c r="AQ207" s="90">
        <f>INDEX(AQ$154:AQ$171,MATCH($B207,$B$154:$B$171,0))*INDEX('Resource costs'!$C$121:$C$142, MATCH($B207, 'Resource costs'!$B$121:$B$142,0))</f>
        <v>9974.4136370736414</v>
      </c>
      <c r="AR207" s="90">
        <f>INDEX(AR$154:AR$171,MATCH($B207,$B$154:$B$171,0))*INDEX('Resource costs'!$C$121:$C$142, MATCH($B207, 'Resource costs'!$B$121:$B$142,0))</f>
        <v>10014.409024095237</v>
      </c>
      <c r="AS207" s="90">
        <f>INDEX(AS$154:AS$171,MATCH($B207,$B$154:$B$171,0))*INDEX('Resource costs'!$C$121:$C$142, MATCH($B207, 'Resource costs'!$B$121:$B$142,0))</f>
        <v>10055.25203729549</v>
      </c>
      <c r="AT207" s="90">
        <f>INDEX(AT$154:AT$171,MATCH($B207,$B$154:$B$171,0))*INDEX('Resource costs'!$C$121:$C$142, MATCH($B207, 'Resource costs'!$B$121:$B$142,0))</f>
        <v>10086.269064588829</v>
      </c>
      <c r="AU207" s="90">
        <f>INDEX(AU$154:AU$171,MATCH($B207,$B$154:$B$171,0))*INDEX('Resource costs'!$C$121:$C$142, MATCH($B207, 'Resource costs'!$B$121:$B$142,0))</f>
        <v>10110.661350375123</v>
      </c>
      <c r="AV207" s="90">
        <f>INDEX(AV$154:AV$171,MATCH($B207,$B$154:$B$171,0))*INDEX('Resource costs'!$C$121:$C$142, MATCH($B207, 'Resource costs'!$B$121:$B$142,0))</f>
        <v>10130.606492330769</v>
      </c>
      <c r="AW207" s="90">
        <f>INDEX(AW$154:AW$171,MATCH($B207,$B$154:$B$171,0))*INDEX('Resource costs'!$C$121:$C$142, MATCH($B207, 'Resource costs'!$B$121:$B$142,0))</f>
        <v>10141.288855506045</v>
      </c>
      <c r="AX207" s="90">
        <f>INDEX(AX$154:AX$171,MATCH($B207,$B$154:$B$171,0))*INDEX('Resource costs'!$C$121:$C$142, MATCH($B207, 'Resource costs'!$B$121:$B$142,0))</f>
        <v>10146.36240134028</v>
      </c>
      <c r="AY207" s="90">
        <f>INDEX(AY$154:AY$171,MATCH($B207,$B$154:$B$171,0))*INDEX('Resource costs'!$C$121:$C$142, MATCH($B207, 'Resource costs'!$B$121:$B$142,0))</f>
        <v>10148.137396919436</v>
      </c>
      <c r="AZ207" s="90">
        <f>INDEX(AZ$154:AZ$171,MATCH($B207,$B$154:$B$171,0))*INDEX('Resource costs'!$C$121:$C$142, MATCH($B207, 'Resource costs'!$B$121:$B$142,0))</f>
        <v>10148.058376807134</v>
      </c>
      <c r="BA207" s="90">
        <f>INDEX(BA$154:BA$171,MATCH($B207,$B$154:$B$171,0))*INDEX('Resource costs'!$C$121:$C$142, MATCH($B207, 'Resource costs'!$B$121:$B$142,0))</f>
        <v>10147.014344388921</v>
      </c>
      <c r="BB207" s="90">
        <f>INDEX(BB$154:BB$171,MATCH($B207,$B$154:$B$171,0))*INDEX('Resource costs'!$C$121:$C$142, MATCH($B207, 'Resource costs'!$B$121:$B$142,0))</f>
        <v>10145.540112096232</v>
      </c>
    </row>
    <row r="208" spans="2:54" s="97" customFormat="1">
      <c r="B208" s="6" t="s">
        <v>17</v>
      </c>
      <c r="C208" s="315"/>
      <c r="D208" s="90">
        <f>INDEX(D$154:D$171,MATCH($B208,$B$154:$B$171,0))*INDEX('Resource costs'!$C$121:$C$142, MATCH($B208, 'Resource costs'!$B$121:$B$142,0))</f>
        <v>1530.980258977585</v>
      </c>
      <c r="E208" s="90">
        <f>INDEX(E$154:E$171,MATCH($B208,$B$154:$B$171,0))*INDEX('Resource costs'!$C$121:$C$142, MATCH($B208, 'Resource costs'!$B$121:$B$142,0))</f>
        <v>1589.8302567484404</v>
      </c>
      <c r="F208" s="90">
        <f>INDEX(F$154:F$171,MATCH($B208,$B$154:$B$171,0))*INDEX('Resource costs'!$C$121:$C$142, MATCH($B208, 'Resource costs'!$B$121:$B$142,0))</f>
        <v>1640.6538567048283</v>
      </c>
      <c r="G208" s="90">
        <f>INDEX(G$154:G$171,MATCH($B208,$B$154:$B$171,0))*INDEX('Resource costs'!$C$121:$C$142, MATCH($B208, 'Resource costs'!$B$121:$B$142,0))</f>
        <v>1685.7757283226965</v>
      </c>
      <c r="H208" s="90">
        <f>INDEX(H$154:H$171,MATCH($B208,$B$154:$B$171,0))*INDEX('Resource costs'!$C$121:$C$142, MATCH($B208, 'Resource costs'!$B$121:$B$142,0))</f>
        <v>1123.1716751290762</v>
      </c>
      <c r="I208" s="90">
        <f>INDEX(I$154:I$171,MATCH($B208,$B$154:$B$171,0))*INDEX('Resource costs'!$C$121:$C$142, MATCH($B208, 'Resource costs'!$B$121:$B$142,0))</f>
        <v>1029.1096430930543</v>
      </c>
      <c r="J208" s="90">
        <f>INDEX(J$154:J$171,MATCH($B208,$B$154:$B$171,0))*INDEX('Resource costs'!$C$121:$C$142, MATCH($B208, 'Resource costs'!$B$121:$B$142,0))</f>
        <v>969.79370114703931</v>
      </c>
      <c r="K208" s="90">
        <f>INDEX(K$154:K$171,MATCH($B208,$B$154:$B$171,0))*INDEX('Resource costs'!$C$121:$C$142, MATCH($B208, 'Resource costs'!$B$121:$B$142,0))</f>
        <v>934.22060585142219</v>
      </c>
      <c r="L208" s="90">
        <f>INDEX(L$154:L$171,MATCH($B208,$B$154:$B$171,0))*INDEX('Resource costs'!$C$121:$C$142, MATCH($B208, 'Resource costs'!$B$121:$B$142,0))</f>
        <v>916.29668232827623</v>
      </c>
      <c r="M208" s="90">
        <f>INDEX(M$154:M$171,MATCH($B208,$B$154:$B$171,0))*INDEX('Resource costs'!$C$121:$C$142, MATCH($B208, 'Resource costs'!$B$121:$B$142,0))</f>
        <v>909.49569527202266</v>
      </c>
      <c r="N208" s="90">
        <f>INDEX(N$154:N$171,MATCH($B208,$B$154:$B$171,0))*INDEX('Resource costs'!$C$121:$C$142, MATCH($B208, 'Resource costs'!$B$121:$B$142,0))</f>
        <v>909.79786456550119</v>
      </c>
      <c r="O208" s="90">
        <f>INDEX(O$154:O$171,MATCH($B208,$B$154:$B$171,0))*INDEX('Resource costs'!$C$121:$C$142, MATCH($B208, 'Resource costs'!$B$121:$B$142,0))</f>
        <v>915.16107904879755</v>
      </c>
      <c r="P208" s="90">
        <f>INDEX(P$154:P$171,MATCH($B208,$B$154:$B$171,0))*INDEX('Resource costs'!$C$121:$C$142, MATCH($B208, 'Resource costs'!$B$121:$B$142,0))</f>
        <v>923.23195898132656</v>
      </c>
      <c r="Q208" s="90">
        <f>INDEX(Q$154:Q$171,MATCH($B208,$B$154:$B$171,0))*INDEX('Resource costs'!$C$121:$C$142, MATCH($B208, 'Resource costs'!$B$121:$B$142,0))</f>
        <v>932.93773230390536</v>
      </c>
      <c r="R208" s="90">
        <f>INDEX(R$154:R$171,MATCH($B208,$B$154:$B$171,0))*INDEX('Resource costs'!$C$121:$C$142, MATCH($B208, 'Resource costs'!$B$121:$B$142,0))</f>
        <v>943.78785558385982</v>
      </c>
      <c r="S208" s="90">
        <f>INDEX(S$154:S$171,MATCH($B208,$B$154:$B$171,0))*INDEX('Resource costs'!$C$121:$C$142, MATCH($B208, 'Resource costs'!$B$121:$B$142,0))</f>
        <v>955.33335758977319</v>
      </c>
      <c r="T208" s="90">
        <f>INDEX(T$154:T$171,MATCH($B208,$B$154:$B$171,0))*INDEX('Resource costs'!$C$121:$C$142, MATCH($B208, 'Resource costs'!$B$121:$B$142,0))</f>
        <v>967.18620381440974</v>
      </c>
      <c r="U208" s="90">
        <f>INDEX(U$154:U$171,MATCH($B208,$B$154:$B$171,0))*INDEX('Resource costs'!$C$121:$C$142, MATCH($B208, 'Resource costs'!$B$121:$B$142,0))</f>
        <v>979.30211451364005</v>
      </c>
      <c r="V208" s="90">
        <f>INDEX(V$154:V$171,MATCH($B208,$B$154:$B$171,0))*INDEX('Resource costs'!$C$121:$C$142, MATCH($B208, 'Resource costs'!$B$121:$B$142,0))</f>
        <v>992.06084699003111</v>
      </c>
      <c r="W208" s="90">
        <f>INDEX(W$154:W$171,MATCH($B208,$B$154:$B$171,0))*INDEX('Resource costs'!$C$121:$C$142, MATCH($B208, 'Resource costs'!$B$121:$B$142,0))</f>
        <v>1004.7664207745361</v>
      </c>
      <c r="X208" s="90">
        <f>INDEX(X$154:X$171,MATCH($B208,$B$154:$B$171,0))*INDEX('Resource costs'!$C$121:$C$142, MATCH($B208, 'Resource costs'!$B$121:$B$142,0))</f>
        <v>1017.2562689192133</v>
      </c>
      <c r="Y208" s="90">
        <f>INDEX(Y$154:Y$171,MATCH($B208,$B$154:$B$171,0))*INDEX('Resource costs'!$C$121:$C$142, MATCH($B208, 'Resource costs'!$B$121:$B$142,0))</f>
        <v>1029.7294005518913</v>
      </c>
      <c r="Z208" s="90">
        <f>INDEX(Z$154:Z$171,MATCH($B208,$B$154:$B$171,0))*INDEX('Resource costs'!$C$121:$C$142, MATCH($B208, 'Resource costs'!$B$121:$B$142,0))</f>
        <v>1042.0792571540419</v>
      </c>
      <c r="AA208" s="90">
        <f>INDEX(AA$154:AA$171,MATCH($B208,$B$154:$B$171,0))*INDEX('Resource costs'!$C$121:$C$142, MATCH($B208, 'Resource costs'!$B$121:$B$142,0))</f>
        <v>1054.1944445626552</v>
      </c>
      <c r="AB208" s="90">
        <f>INDEX(AB$154:AB$171,MATCH($B208,$B$154:$B$171,0))*INDEX('Resource costs'!$C$121:$C$142, MATCH($B208, 'Resource costs'!$B$121:$B$142,0))</f>
        <v>1065.9955740227399</v>
      </c>
      <c r="AC208" s="90">
        <f>INDEX(AC$154:AC$171,MATCH($B208,$B$154:$B$171,0))*INDEX('Resource costs'!$C$121:$C$142, MATCH($B208, 'Resource costs'!$B$121:$B$142,0))</f>
        <v>1077.5334989806192</v>
      </c>
      <c r="AD208" s="90">
        <f>INDEX(AD$154:AD$171,MATCH($B208,$B$154:$B$171,0))*INDEX('Resource costs'!$C$121:$C$142, MATCH($B208, 'Resource costs'!$B$121:$B$142,0))</f>
        <v>1088.6924332208891</v>
      </c>
      <c r="AE208" s="90">
        <f>INDEX(AE$154:AE$171,MATCH($B208,$B$154:$B$171,0))*INDEX('Resource costs'!$C$121:$C$142, MATCH($B208, 'Resource costs'!$B$121:$B$142,0))</f>
        <v>1099.3711067482848</v>
      </c>
      <c r="AF208" s="90">
        <f>INDEX(AF$154:AF$171,MATCH($B208,$B$154:$B$171,0))*INDEX('Resource costs'!$C$121:$C$142, MATCH($B208, 'Resource costs'!$B$121:$B$142,0))</f>
        <v>1109.4995785259323</v>
      </c>
      <c r="AG208" s="90">
        <f>INDEX(AG$154:AG$171,MATCH($B208,$B$154:$B$171,0))*INDEX('Resource costs'!$C$121:$C$142, MATCH($B208, 'Resource costs'!$B$121:$B$142,0))</f>
        <v>1119.1028677690747</v>
      </c>
      <c r="AH208" s="90">
        <f>INDEX(AH$154:AH$171,MATCH($B208,$B$154:$B$171,0))*INDEX('Resource costs'!$C$121:$C$142, MATCH($B208, 'Resource costs'!$B$121:$B$142,0))</f>
        <v>1128.3833209811128</v>
      </c>
      <c r="AI208" s="90">
        <f>INDEX(AI$154:AI$171,MATCH($B208,$B$154:$B$171,0))*INDEX('Resource costs'!$C$121:$C$142, MATCH($B208, 'Resource costs'!$B$121:$B$142,0))</f>
        <v>1137.3656795605923</v>
      </c>
      <c r="AJ208" s="90">
        <f>INDEX(AJ$154:AJ$171,MATCH($B208,$B$154:$B$171,0))*INDEX('Resource costs'!$C$121:$C$142, MATCH($B208, 'Resource costs'!$B$121:$B$142,0))</f>
        <v>1146.1683382158587</v>
      </c>
      <c r="AK208" s="90">
        <f>INDEX(AK$154:AK$171,MATCH($B208,$B$154:$B$171,0))*INDEX('Resource costs'!$C$121:$C$142, MATCH($B208, 'Resource costs'!$B$121:$B$142,0))</f>
        <v>1154.6702985593406</v>
      </c>
      <c r="AL208" s="90">
        <f>INDEX(AL$154:AL$171,MATCH($B208,$B$154:$B$171,0))*INDEX('Resource costs'!$C$121:$C$142, MATCH($B208, 'Resource costs'!$B$121:$B$142,0))</f>
        <v>1162.6836098189131</v>
      </c>
      <c r="AM208" s="90">
        <f>INDEX(AM$154:AM$171,MATCH($B208,$B$154:$B$171,0))*INDEX('Resource costs'!$C$121:$C$142, MATCH($B208, 'Resource costs'!$B$121:$B$142,0))</f>
        <v>1170.1061629458754</v>
      </c>
      <c r="AN208" s="90">
        <f>INDEX(AN$154:AN$171,MATCH($B208,$B$154:$B$171,0))*INDEX('Resource costs'!$C$121:$C$142, MATCH($B208, 'Resource costs'!$B$121:$B$142,0))</f>
        <v>1176.8745964588666</v>
      </c>
      <c r="AO208" s="90">
        <f>INDEX(AO$154:AO$171,MATCH($B208,$B$154:$B$171,0))*INDEX('Resource costs'!$C$121:$C$142, MATCH($B208, 'Resource costs'!$B$121:$B$142,0))</f>
        <v>1182.9414074576628</v>
      </c>
      <c r="AP208" s="90">
        <f>INDEX(AP$154:AP$171,MATCH($B208,$B$154:$B$171,0))*INDEX('Resource costs'!$C$121:$C$142, MATCH($B208, 'Resource costs'!$B$121:$B$142,0))</f>
        <v>1188.2628630654392</v>
      </c>
      <c r="AQ208" s="90">
        <f>INDEX(AQ$154:AQ$171,MATCH($B208,$B$154:$B$171,0))*INDEX('Resource costs'!$C$121:$C$142, MATCH($B208, 'Resource costs'!$B$121:$B$142,0))</f>
        <v>1193.1642151058622</v>
      </c>
      <c r="AR208" s="90">
        <f>INDEX(AR$154:AR$171,MATCH($B208,$B$154:$B$171,0))*INDEX('Resource costs'!$C$121:$C$142, MATCH($B208, 'Resource costs'!$B$121:$B$142,0))</f>
        <v>1197.9485629682872</v>
      </c>
      <c r="AS208" s="90">
        <f>INDEX(AS$154:AS$171,MATCH($B208,$B$154:$B$171,0))*INDEX('Resource costs'!$C$121:$C$142, MATCH($B208, 'Resource costs'!$B$121:$B$142,0))</f>
        <v>1202.8343059864535</v>
      </c>
      <c r="AT208" s="90">
        <f>INDEX(AT$154:AT$171,MATCH($B208,$B$154:$B$171,0))*INDEX('Resource costs'!$C$121:$C$142, MATCH($B208, 'Resource costs'!$B$121:$B$142,0))</f>
        <v>1206.5446400844721</v>
      </c>
      <c r="AU208" s="90">
        <f>INDEX(AU$154:AU$171,MATCH($B208,$B$154:$B$171,0))*INDEX('Resource costs'!$C$121:$C$142, MATCH($B208, 'Resource costs'!$B$121:$B$142,0))</f>
        <v>1209.4625060948274</v>
      </c>
      <c r="AV208" s="90">
        <f>INDEX(AV$154:AV$171,MATCH($B208,$B$154:$B$171,0))*INDEX('Resource costs'!$C$121:$C$142, MATCH($B208, 'Resource costs'!$B$121:$B$142,0))</f>
        <v>1211.8483936780563</v>
      </c>
      <c r="AW208" s="90">
        <f>INDEX(AW$154:AW$171,MATCH($B208,$B$154:$B$171,0))*INDEX('Resource costs'!$C$121:$C$142, MATCH($B208, 'Resource costs'!$B$121:$B$142,0))</f>
        <v>1213.1262445811039</v>
      </c>
      <c r="AX208" s="90">
        <f>INDEX(AX$154:AX$171,MATCH($B208,$B$154:$B$171,0))*INDEX('Resource costs'!$C$121:$C$142, MATCH($B208, 'Resource costs'!$B$121:$B$142,0))</f>
        <v>1213.7331547768679</v>
      </c>
      <c r="AY208" s="90">
        <f>INDEX(AY$154:AY$171,MATCH($B208,$B$154:$B$171,0))*INDEX('Resource costs'!$C$121:$C$142, MATCH($B208, 'Resource costs'!$B$121:$B$142,0))</f>
        <v>1213.9454841712643</v>
      </c>
      <c r="AZ208" s="90">
        <f>INDEX(AZ$154:AZ$171,MATCH($B208,$B$154:$B$171,0))*INDEX('Resource costs'!$C$121:$C$142, MATCH($B208, 'Resource costs'!$B$121:$B$142,0))</f>
        <v>1213.936031588516</v>
      </c>
      <c r="BA208" s="90">
        <f>INDEX(BA$154:BA$171,MATCH($B208,$B$154:$B$171,0))*INDEX('Resource costs'!$C$121:$C$142, MATCH($B208, 'Resource costs'!$B$121:$B$142,0))</f>
        <v>1213.8111418289625</v>
      </c>
      <c r="BB208" s="90">
        <f>INDEX(BB$154:BB$171,MATCH($B208,$B$154:$B$171,0))*INDEX('Resource costs'!$C$121:$C$142, MATCH($B208, 'Resource costs'!$B$121:$B$142,0))</f>
        <v>1213.6347904883833</v>
      </c>
    </row>
    <row r="209" spans="1:54" s="97" customFormat="1" ht="29">
      <c r="B209" s="6" t="s">
        <v>106</v>
      </c>
      <c r="C209" s="315"/>
      <c r="D209" s="90">
        <f>INDEX(D$154:D$171,MATCH($B209,$B$154:$B$171,0))*INDEX('Resource costs'!$C$121:$C$142, MATCH($B209, 'Resource costs'!$B$121:$B$142,0))</f>
        <v>19762.080978165504</v>
      </c>
      <c r="E209" s="90">
        <f>INDEX(E$154:E$171,MATCH($B209,$B$154:$B$171,0))*INDEX('Resource costs'!$C$121:$C$142, MATCH($B209, 'Resource costs'!$B$121:$B$142,0))</f>
        <v>20521.723968134022</v>
      </c>
      <c r="F209" s="90">
        <f>INDEX(F$154:F$171,MATCH($B209,$B$154:$B$171,0))*INDEX('Resource costs'!$C$121:$C$142, MATCH($B209, 'Resource costs'!$B$121:$B$142,0))</f>
        <v>21177.761230567939</v>
      </c>
      <c r="G209" s="90">
        <f>INDEX(G$154:G$171,MATCH($B209,$B$154:$B$171,0))*INDEX('Resource costs'!$C$121:$C$142, MATCH($B209, 'Resource costs'!$B$121:$B$142,0))</f>
        <v>21760.199884214715</v>
      </c>
      <c r="H209" s="90">
        <f>INDEX(H$154:H$171,MATCH($B209,$B$154:$B$171,0))*INDEX('Resource costs'!$C$121:$C$142, MATCH($B209, 'Resource costs'!$B$121:$B$142,0))</f>
        <v>14498.037754651137</v>
      </c>
      <c r="I209" s="90">
        <f>INDEX(I$154:I$171,MATCH($B209,$B$154:$B$171,0))*INDEX('Resource costs'!$C$121:$C$142, MATCH($B209, 'Resource costs'!$B$121:$B$142,0))</f>
        <v>13283.873507159113</v>
      </c>
      <c r="J209" s="90">
        <f>INDEX(J$154:J$171,MATCH($B209,$B$154:$B$171,0))*INDEX('Resource costs'!$C$121:$C$142, MATCH($B209, 'Resource costs'!$B$121:$B$142,0))</f>
        <v>12518.216052623331</v>
      </c>
      <c r="K209" s="90">
        <f>INDEX(K$154:K$171,MATCH($B209,$B$154:$B$171,0))*INDEX('Resource costs'!$C$121:$C$142, MATCH($B209, 'Resource costs'!$B$121:$B$142,0))</f>
        <v>12059.034175029781</v>
      </c>
      <c r="L209" s="90">
        <f>INDEX(L$154:L$171,MATCH($B209,$B$154:$B$171,0))*INDEX('Resource costs'!$C$121:$C$142, MATCH($B209, 'Resource costs'!$B$121:$B$142,0))</f>
        <v>11827.669971583156</v>
      </c>
      <c r="M209" s="90">
        <f>INDEX(M$154:M$171,MATCH($B209,$B$154:$B$171,0))*INDEX('Resource costs'!$C$121:$C$142, MATCH($B209, 'Resource costs'!$B$121:$B$142,0))</f>
        <v>11739.881996428665</v>
      </c>
      <c r="N209" s="90">
        <f>INDEX(N$154:N$171,MATCH($B209,$B$154:$B$171,0))*INDEX('Resource costs'!$C$121:$C$142, MATCH($B209, 'Resource costs'!$B$121:$B$142,0))</f>
        <v>11743.782434734008</v>
      </c>
      <c r="O209" s="90">
        <f>INDEX(O$154:O$171,MATCH($B209,$B$154:$B$171,0))*INDEX('Resource costs'!$C$121:$C$142, MATCH($B209, 'Resource costs'!$B$121:$B$142,0))</f>
        <v>11813.011465154656</v>
      </c>
      <c r="P209" s="90">
        <f>INDEX(P$154:P$171,MATCH($B209,$B$154:$B$171,0))*INDEX('Resource costs'!$C$121:$C$142, MATCH($B209, 'Resource costs'!$B$121:$B$142,0))</f>
        <v>11917.191373325522</v>
      </c>
      <c r="Q209" s="90">
        <f>INDEX(Q$154:Q$171,MATCH($B209,$B$154:$B$171,0))*INDEX('Resource costs'!$C$121:$C$142, MATCH($B209, 'Resource costs'!$B$121:$B$142,0))</f>
        <v>12042.47468591677</v>
      </c>
      <c r="R209" s="90">
        <f>INDEX(R$154:R$171,MATCH($B209,$B$154:$B$171,0))*INDEX('Resource costs'!$C$121:$C$142, MATCH($B209, 'Resource costs'!$B$121:$B$142,0))</f>
        <v>12182.529408127712</v>
      </c>
      <c r="S209" s="90">
        <f>INDEX(S$154:S$171,MATCH($B209,$B$154:$B$171,0))*INDEX('Resource costs'!$C$121:$C$142, MATCH($B209, 'Resource costs'!$B$121:$B$142,0))</f>
        <v>12331.560164230863</v>
      </c>
      <c r="T209" s="90">
        <f>INDEX(T$154:T$171,MATCH($B209,$B$154:$B$171,0))*INDEX('Resource costs'!$C$121:$C$142, MATCH($B209, 'Resource costs'!$B$121:$B$142,0))</f>
        <v>12484.558157209192</v>
      </c>
      <c r="U209" s="90">
        <f>INDEX(U$154:U$171,MATCH($B209,$B$154:$B$171,0))*INDEX('Resource costs'!$C$121:$C$142, MATCH($B209, 'Resource costs'!$B$121:$B$142,0))</f>
        <v>12640.951818693962</v>
      </c>
      <c r="V209" s="90">
        <f>INDEX(V$154:V$171,MATCH($B209,$B$154:$B$171,0))*INDEX('Resource costs'!$C$121:$C$142, MATCH($B209, 'Resource costs'!$B$121:$B$142,0))</f>
        <v>12805.643102529051</v>
      </c>
      <c r="W209" s="90">
        <f>INDEX(W$154:W$171,MATCH($B209,$B$154:$B$171,0))*INDEX('Resource costs'!$C$121:$C$142, MATCH($B209, 'Resource costs'!$B$121:$B$142,0))</f>
        <v>12969.648207448641</v>
      </c>
      <c r="X209" s="90">
        <f>INDEX(X$154:X$171,MATCH($B209,$B$154:$B$171,0))*INDEX('Resource costs'!$C$121:$C$142, MATCH($B209, 'Resource costs'!$B$121:$B$142,0))</f>
        <v>13130.868699347693</v>
      </c>
      <c r="Y209" s="90">
        <f>INDEX(Y$154:Y$171,MATCH($B209,$B$154:$B$171,0))*INDEX('Resource costs'!$C$121:$C$142, MATCH($B209, 'Resource costs'!$B$121:$B$142,0))</f>
        <v>13291.873412459354</v>
      </c>
      <c r="Z209" s="90">
        <f>INDEX(Z$154:Z$171,MATCH($B209,$B$154:$B$171,0))*INDEX('Resource costs'!$C$121:$C$142, MATCH($B209, 'Resource costs'!$B$121:$B$142,0))</f>
        <v>13451.286876355627</v>
      </c>
      <c r="AA209" s="90">
        <f>INDEX(AA$154:AA$171,MATCH($B209,$B$154:$B$171,0))*INDEX('Resource costs'!$C$121:$C$142, MATCH($B209, 'Resource costs'!$B$121:$B$142,0))</f>
        <v>13607.671201516396</v>
      </c>
      <c r="AB209" s="90">
        <f>INDEX(AB$154:AB$171,MATCH($B209,$B$154:$B$171,0))*INDEX('Resource costs'!$C$121:$C$142, MATCH($B209, 'Resource costs'!$B$121:$B$142,0))</f>
        <v>13760.001628154132</v>
      </c>
      <c r="AC209" s="90">
        <f>INDEX(AC$154:AC$171,MATCH($B209,$B$154:$B$171,0))*INDEX('Resource costs'!$C$121:$C$142, MATCH($B209, 'Resource costs'!$B$121:$B$142,0))</f>
        <v>13908.934578791834</v>
      </c>
      <c r="AD209" s="90">
        <f>INDEX(AD$154:AD$171,MATCH($B209,$B$154:$B$171,0))*INDEX('Resource costs'!$C$121:$C$142, MATCH($B209, 'Resource costs'!$B$121:$B$142,0))</f>
        <v>14052.975470758338</v>
      </c>
      <c r="AE209" s="90">
        <f>INDEX(AE$154:AE$171,MATCH($B209,$B$154:$B$171,0))*INDEX('Resource costs'!$C$121:$C$142, MATCH($B209, 'Resource costs'!$B$121:$B$142,0))</f>
        <v>14190.817098532634</v>
      </c>
      <c r="AF209" s="90">
        <f>INDEX(AF$154:AF$171,MATCH($B209,$B$154:$B$171,0))*INDEX('Resource costs'!$C$121:$C$142, MATCH($B209, 'Resource costs'!$B$121:$B$142,0))</f>
        <v>14321.556654631551</v>
      </c>
      <c r="AG209" s="90">
        <f>INDEX(AG$154:AG$171,MATCH($B209,$B$154:$B$171,0))*INDEX('Resource costs'!$C$121:$C$142, MATCH($B209, 'Resource costs'!$B$121:$B$142,0))</f>
        <v>14445.517090154384</v>
      </c>
      <c r="AH209" s="90">
        <f>INDEX(AH$154:AH$171,MATCH($B209,$B$154:$B$171,0))*INDEX('Resource costs'!$C$121:$C$142, MATCH($B209, 'Resource costs'!$B$121:$B$142,0))</f>
        <v>14565.310318587557</v>
      </c>
      <c r="AI209" s="90">
        <f>INDEX(AI$154:AI$171,MATCH($B209,$B$154:$B$171,0))*INDEX('Resource costs'!$C$121:$C$142, MATCH($B209, 'Resource costs'!$B$121:$B$142,0))</f>
        <v>14681.255704938349</v>
      </c>
      <c r="AJ209" s="90">
        <f>INDEX(AJ$154:AJ$171,MATCH($B209,$B$154:$B$171,0))*INDEX('Resource costs'!$C$121:$C$142, MATCH($B209, 'Resource costs'!$B$121:$B$142,0))</f>
        <v>14794.88150262479</v>
      </c>
      <c r="AK209" s="90">
        <f>INDEX(AK$154:AK$171,MATCH($B209,$B$154:$B$171,0))*INDEX('Resource costs'!$C$121:$C$142, MATCH($B209, 'Resource costs'!$B$121:$B$142,0))</f>
        <v>14904.625849618034</v>
      </c>
      <c r="AL209" s="90">
        <f>INDEX(AL$154:AL$171,MATCH($B209,$B$154:$B$171,0))*INDEX('Resource costs'!$C$121:$C$142, MATCH($B209, 'Resource costs'!$B$121:$B$142,0))</f>
        <v>15008.062654296806</v>
      </c>
      <c r="AM209" s="90">
        <f>INDEX(AM$154:AM$171,MATCH($B209,$B$154:$B$171,0))*INDEX('Resource costs'!$C$121:$C$142, MATCH($B209, 'Resource costs'!$B$121:$B$142,0))</f>
        <v>15103.873880535426</v>
      </c>
      <c r="AN209" s="90">
        <f>INDEX(AN$154:AN$171,MATCH($B209,$B$154:$B$171,0))*INDEX('Resource costs'!$C$121:$C$142, MATCH($B209, 'Resource costs'!$B$121:$B$142,0))</f>
        <v>15191.241650560356</v>
      </c>
      <c r="AO209" s="90">
        <f>INDEX(AO$154:AO$171,MATCH($B209,$B$154:$B$171,0))*INDEX('Resource costs'!$C$121:$C$142, MATCH($B209, 'Resource costs'!$B$121:$B$142,0))</f>
        <v>15269.552791108634</v>
      </c>
      <c r="AP209" s="90">
        <f>INDEX(AP$154:AP$171,MATCH($B209,$B$154:$B$171,0))*INDEX('Resource costs'!$C$121:$C$142, MATCH($B209, 'Resource costs'!$B$121:$B$142,0))</f>
        <v>15338.242792841787</v>
      </c>
      <c r="AQ209" s="90">
        <f>INDEX(AQ$154:AQ$171,MATCH($B209,$B$154:$B$171,0))*INDEX('Resource costs'!$C$121:$C$142, MATCH($B209, 'Resource costs'!$B$121:$B$142,0))</f>
        <v>15401.510046196196</v>
      </c>
      <c r="AR209" s="90">
        <f>INDEX(AR$154:AR$171,MATCH($B209,$B$154:$B$171,0))*INDEX('Resource costs'!$C$121:$C$142, MATCH($B209, 'Resource costs'!$B$121:$B$142,0))</f>
        <v>15463.266995268876</v>
      </c>
      <c r="AS209" s="90">
        <f>INDEX(AS$154:AS$171,MATCH($B209,$B$154:$B$171,0))*INDEX('Resource costs'!$C$121:$C$142, MATCH($B209, 'Resource costs'!$B$121:$B$142,0))</f>
        <v>15526.332765449342</v>
      </c>
      <c r="AT209" s="90">
        <f>INDEX(AT$154:AT$171,MATCH($B209,$B$154:$B$171,0))*INDEX('Resource costs'!$C$121:$C$142, MATCH($B209, 'Resource costs'!$B$121:$B$142,0))</f>
        <v>15574.226213108854</v>
      </c>
      <c r="AU209" s="90">
        <f>INDEX(AU$154:AU$171,MATCH($B209,$B$154:$B$171,0))*INDEX('Resource costs'!$C$121:$C$142, MATCH($B209, 'Resource costs'!$B$121:$B$142,0))</f>
        <v>15611.89038548596</v>
      </c>
      <c r="AV209" s="90">
        <f>INDEX(AV$154:AV$171,MATCH($B209,$B$154:$B$171,0))*INDEX('Resource costs'!$C$121:$C$142, MATCH($B209, 'Resource costs'!$B$121:$B$142,0))</f>
        <v>15642.687715071423</v>
      </c>
      <c r="AW209" s="90">
        <f>INDEX(AW$154:AW$171,MATCH($B209,$B$154:$B$171,0))*INDEX('Resource costs'!$C$121:$C$142, MATCH($B209, 'Resource costs'!$B$121:$B$142,0))</f>
        <v>15659.182371273529</v>
      </c>
      <c r="AX209" s="90">
        <f>INDEX(AX$154:AX$171,MATCH($B209,$B$154:$B$171,0))*INDEX('Resource costs'!$C$121:$C$142, MATCH($B209, 'Resource costs'!$B$121:$B$142,0))</f>
        <v>15667.016442526136</v>
      </c>
      <c r="AY209" s="90">
        <f>INDEX(AY$154:AY$171,MATCH($B209,$B$154:$B$171,0))*INDEX('Resource costs'!$C$121:$C$142, MATCH($B209, 'Resource costs'!$B$121:$B$142,0))</f>
        <v>15669.757216394057</v>
      </c>
      <c r="AZ209" s="90">
        <f>INDEX(AZ$154:AZ$171,MATCH($B209,$B$154:$B$171,0))*INDEX('Resource costs'!$C$121:$C$142, MATCH($B209, 'Resource costs'!$B$121:$B$142,0))</f>
        <v>15669.635201296454</v>
      </c>
      <c r="BA209" s="90">
        <f>INDEX(BA$154:BA$171,MATCH($B209,$B$154:$B$171,0))*INDEX('Resource costs'!$C$121:$C$142, MATCH($B209, 'Resource costs'!$B$121:$B$142,0))</f>
        <v>15668.023108960731</v>
      </c>
      <c r="BB209" s="90">
        <f>INDEX(BB$154:BB$171,MATCH($B209,$B$154:$B$171,0))*INDEX('Resource costs'!$C$121:$C$142, MATCH($B209, 'Resource costs'!$B$121:$B$142,0))</f>
        <v>15665.746744224676</v>
      </c>
    </row>
    <row r="210" spans="1:54" ht="29">
      <c r="B210" s="6" t="s">
        <v>107</v>
      </c>
      <c r="C210" s="52"/>
      <c r="D210" s="90">
        <f>INDEX(D$154:D$171,MATCH($B210,$B$154:$B$171,0))*INDEX('Resource costs'!$C$121:$C$142, MATCH($B210, 'Resource costs'!$B$121:$B$142,0))</f>
        <v>44872.276183693444</v>
      </c>
      <c r="E210" s="90">
        <f>INDEX(E$154:E$171,MATCH($B210,$B$154:$B$171,0))*INDEX('Resource costs'!$C$121:$C$142, MATCH($B210, 'Resource costs'!$B$121:$B$142,0))</f>
        <v>46597.14058863822</v>
      </c>
      <c r="F210" s="90">
        <f>INDEX(F$154:F$171,MATCH($B210,$B$154:$B$171,0))*INDEX('Resource costs'!$C$121:$C$142, MATCH($B210, 'Resource costs'!$B$121:$B$142,0))</f>
        <v>48086.755232928655</v>
      </c>
      <c r="G210" s="90">
        <f>INDEX(G$154:G$171,MATCH($B210,$B$154:$B$171,0))*INDEX('Resource costs'!$C$121:$C$142, MATCH($B210, 'Resource costs'!$B$121:$B$142,0))</f>
        <v>49409.25503218425</v>
      </c>
      <c r="H210" s="90">
        <f>INDEX(H$154:H$171,MATCH($B210,$B$154:$B$171,0))*INDEX('Resource costs'!$C$121:$C$142, MATCH($B210, 'Resource costs'!$B$121:$B$142,0))</f>
        <v>32919.607756243058</v>
      </c>
      <c r="I210" s="90">
        <f>INDEX(I$154:I$171,MATCH($B210,$B$154:$B$171,0))*INDEX('Resource costs'!$C$121:$C$142, MATCH($B210, 'Resource costs'!$B$121:$B$142,0))</f>
        <v>30162.69599649345</v>
      </c>
      <c r="J210" s="90">
        <f>INDEX(J$154:J$171,MATCH($B210,$B$154:$B$171,0))*INDEX('Resource costs'!$C$121:$C$142, MATCH($B210, 'Resource costs'!$B$121:$B$142,0))</f>
        <v>28424.174997617221</v>
      </c>
      <c r="K210" s="90">
        <f>INDEX(K$154:K$171,MATCH($B210,$B$154:$B$171,0))*INDEX('Resource costs'!$C$121:$C$142, MATCH($B210, 'Resource costs'!$B$121:$B$142,0))</f>
        <v>27381.545122115247</v>
      </c>
      <c r="L210" s="90">
        <f>INDEX(L$154:L$171,MATCH($B210,$B$154:$B$171,0))*INDEX('Resource costs'!$C$121:$C$142, MATCH($B210, 'Resource costs'!$B$121:$B$142,0))</f>
        <v>26856.203765223341</v>
      </c>
      <c r="M210" s="90">
        <f>INDEX(M$154:M$171,MATCH($B210,$B$154:$B$171,0))*INDEX('Resource costs'!$C$121:$C$142, MATCH($B210, 'Resource costs'!$B$121:$B$142,0))</f>
        <v>26656.870189417645</v>
      </c>
      <c r="N210" s="90">
        <f>INDEX(N$154:N$171,MATCH($B210,$B$154:$B$171,0))*INDEX('Resource costs'!$C$121:$C$142, MATCH($B210, 'Resource costs'!$B$121:$B$142,0))</f>
        <v>26665.726622354439</v>
      </c>
      <c r="O210" s="90">
        <f>INDEX(O$154:O$171,MATCH($B210,$B$154:$B$171,0))*INDEX('Resource costs'!$C$121:$C$142, MATCH($B210, 'Resource costs'!$B$121:$B$142,0))</f>
        <v>26822.919793275909</v>
      </c>
      <c r="P210" s="90">
        <f>INDEX(P$154:P$171,MATCH($B210,$B$154:$B$171,0))*INDEX('Resource costs'!$C$121:$C$142, MATCH($B210, 'Resource costs'!$B$121:$B$142,0))</f>
        <v>27059.47330286834</v>
      </c>
      <c r="Q210" s="90">
        <f>INDEX(Q$154:Q$171,MATCH($B210,$B$154:$B$171,0))*INDEX('Resource costs'!$C$121:$C$142, MATCH($B210, 'Resource costs'!$B$121:$B$142,0))</f>
        <v>27343.944731257576</v>
      </c>
      <c r="R210" s="90">
        <f>INDEX(R$154:R$171,MATCH($B210,$B$154:$B$171,0))*INDEX('Resource costs'!$C$121:$C$142, MATCH($B210, 'Resource costs'!$B$121:$B$142,0))</f>
        <v>27661.956492408815</v>
      </c>
      <c r="S210" s="90">
        <f>INDEX(S$154:S$171,MATCH($B210,$B$154:$B$171,0))*INDEX('Resource costs'!$C$121:$C$142, MATCH($B210, 'Resource costs'!$B$121:$B$142,0))</f>
        <v>28000.349460999216</v>
      </c>
      <c r="T210" s="90">
        <f>INDEX(T$154:T$171,MATCH($B210,$B$154:$B$171,0))*INDEX('Resource costs'!$C$121:$C$142, MATCH($B210, 'Resource costs'!$B$121:$B$142,0))</f>
        <v>28347.750537032643</v>
      </c>
      <c r="U210" s="90">
        <f>INDEX(U$154:U$171,MATCH($B210,$B$154:$B$171,0))*INDEX('Resource costs'!$C$121:$C$142, MATCH($B210, 'Resource costs'!$B$121:$B$142,0))</f>
        <v>28702.8619030511</v>
      </c>
      <c r="V210" s="90">
        <f>INDEX(V$154:V$171,MATCH($B210,$B$154:$B$171,0))*INDEX('Resource costs'!$C$121:$C$142, MATCH($B210, 'Resource costs'!$B$121:$B$142,0))</f>
        <v>29076.814058264921</v>
      </c>
      <c r="W210" s="90">
        <f>INDEX(W$154:W$171,MATCH($B210,$B$154:$B$171,0))*INDEX('Resource costs'!$C$121:$C$142, MATCH($B210, 'Resource costs'!$B$121:$B$142,0))</f>
        <v>29449.208158441845</v>
      </c>
      <c r="X210" s="90">
        <f>INDEX(X$154:X$171,MATCH($B210,$B$154:$B$171,0))*INDEX('Resource costs'!$C$121:$C$142, MATCH($B210, 'Resource costs'!$B$121:$B$142,0))</f>
        <v>29815.279446529279</v>
      </c>
      <c r="Y210" s="90">
        <f>INDEX(Y$154:Y$171,MATCH($B210,$B$154:$B$171,0))*INDEX('Resource costs'!$C$121:$C$142, MATCH($B210, 'Resource costs'!$B$121:$B$142,0))</f>
        <v>30180.860781895983</v>
      </c>
      <c r="Z210" s="90">
        <f>INDEX(Z$154:Z$171,MATCH($B210,$B$154:$B$171,0))*INDEX('Resource costs'!$C$121:$C$142, MATCH($B210, 'Resource costs'!$B$121:$B$142,0))</f>
        <v>30542.828986927438</v>
      </c>
      <c r="AA210" s="90">
        <f>INDEX(AA$154:AA$171,MATCH($B210,$B$154:$B$171,0))*INDEX('Resource costs'!$C$121:$C$142, MATCH($B210, 'Resource costs'!$B$121:$B$142,0))</f>
        <v>30897.919153654708</v>
      </c>
      <c r="AB210" s="90">
        <f>INDEX(AB$154:AB$171,MATCH($B210,$B$154:$B$171,0))*INDEX('Resource costs'!$C$121:$C$142, MATCH($B210, 'Resource costs'!$B$121:$B$142,0))</f>
        <v>31243.804436830131</v>
      </c>
      <c r="AC210" s="90">
        <f>INDEX(AC$154:AC$171,MATCH($B210,$B$154:$B$171,0))*INDEX('Resource costs'!$C$121:$C$142, MATCH($B210, 'Resource costs'!$B$121:$B$142,0))</f>
        <v>31581.975325880281</v>
      </c>
      <c r="AD210" s="90">
        <f>INDEX(AD$154:AD$171,MATCH($B210,$B$154:$B$171,0))*INDEX('Resource costs'!$C$121:$C$142, MATCH($B210, 'Resource costs'!$B$121:$B$142,0))</f>
        <v>31909.03818394709</v>
      </c>
      <c r="AE210" s="90">
        <f>INDEX(AE$154:AE$171,MATCH($B210,$B$154:$B$171,0))*INDEX('Resource costs'!$C$121:$C$142, MATCH($B210, 'Resource costs'!$B$121:$B$142,0))</f>
        <v>32222.024837424116</v>
      </c>
      <c r="AF210" s="90">
        <f>INDEX(AF$154:AF$171,MATCH($B210,$B$154:$B$171,0))*INDEX('Resource costs'!$C$121:$C$142, MATCH($B210, 'Resource costs'!$B$121:$B$142,0))</f>
        <v>32518.885349021351</v>
      </c>
      <c r="AG210" s="90">
        <f>INDEX(AG$154:AG$171,MATCH($B210,$B$154:$B$171,0))*INDEX('Resource costs'!$C$121:$C$142, MATCH($B210, 'Resource costs'!$B$121:$B$142,0))</f>
        <v>32800.353019595983</v>
      </c>
      <c r="AH210" s="90">
        <f>INDEX(AH$154:AH$171,MATCH($B210,$B$154:$B$171,0))*INDEX('Resource costs'!$C$121:$C$142, MATCH($B210, 'Resource costs'!$B$121:$B$142,0))</f>
        <v>33072.358525348573</v>
      </c>
      <c r="AI210" s="90">
        <f>INDEX(AI$154:AI$171,MATCH($B210,$B$154:$B$171,0))*INDEX('Resource costs'!$C$121:$C$142, MATCH($B210, 'Resource costs'!$B$121:$B$142,0))</f>
        <v>33335.627024465946</v>
      </c>
      <c r="AJ210" s="90">
        <f>INDEX(AJ$154:AJ$171,MATCH($B210,$B$154:$B$171,0))*INDEX('Resource costs'!$C$121:$C$142, MATCH($B210, 'Resource costs'!$B$121:$B$142,0))</f>
        <v>33593.628607447608</v>
      </c>
      <c r="AK210" s="90">
        <f>INDEX(AK$154:AK$171,MATCH($B210,$B$154:$B$171,0))*INDEX('Resource costs'!$C$121:$C$142, MATCH($B210, 'Resource costs'!$B$121:$B$142,0))</f>
        <v>33842.81687124032</v>
      </c>
      <c r="AL210" s="90">
        <f>INDEX(AL$154:AL$171,MATCH($B210,$B$154:$B$171,0))*INDEX('Resource costs'!$C$121:$C$142, MATCH($B210, 'Resource costs'!$B$121:$B$142,0))</f>
        <v>34077.683071426058</v>
      </c>
      <c r="AM210" s="90">
        <f>INDEX(AM$154:AM$171,MATCH($B210,$B$154:$B$171,0))*INDEX('Resource costs'!$C$121:$C$142, MATCH($B210, 'Resource costs'!$B$121:$B$142,0))</f>
        <v>34295.234442156085</v>
      </c>
      <c r="AN210" s="90">
        <f>INDEX(AN$154:AN$171,MATCH($B210,$B$154:$B$171,0))*INDEX('Resource costs'!$C$121:$C$142, MATCH($B210, 'Resource costs'!$B$121:$B$142,0))</f>
        <v>34493.613889666885</v>
      </c>
      <c r="AO210" s="90">
        <f>INDEX(AO$154:AO$171,MATCH($B210,$B$154:$B$171,0))*INDEX('Resource costs'!$C$121:$C$142, MATCH($B210, 'Resource costs'!$B$121:$B$142,0))</f>
        <v>34671.429127385265</v>
      </c>
      <c r="AP210" s="90">
        <f>INDEX(AP$154:AP$171,MATCH($B210,$B$154:$B$171,0))*INDEX('Resource costs'!$C$121:$C$142, MATCH($B210, 'Resource costs'!$B$121:$B$142,0))</f>
        <v>34827.398366264199</v>
      </c>
      <c r="AQ210" s="90">
        <f>INDEX(AQ$154:AQ$171,MATCH($B210,$B$154:$B$171,0))*INDEX('Resource costs'!$C$121:$C$142, MATCH($B210, 'Resource costs'!$B$121:$B$142,0))</f>
        <v>34971.054576814058</v>
      </c>
      <c r="AR210" s="90">
        <f>INDEX(AR$154:AR$171,MATCH($B210,$B$154:$B$171,0))*INDEX('Resource costs'!$C$121:$C$142, MATCH($B210, 'Resource costs'!$B$121:$B$142,0))</f>
        <v>35111.281452623007</v>
      </c>
      <c r="AS210" s="90">
        <f>INDEX(AS$154:AS$171,MATCH($B210,$B$154:$B$171,0))*INDEX('Resource costs'!$C$121:$C$142, MATCH($B210, 'Resource costs'!$B$121:$B$142,0))</f>
        <v>35254.480170430201</v>
      </c>
      <c r="AT210" s="90">
        <f>INDEX(AT$154:AT$171,MATCH($B210,$B$154:$B$171,0))*INDEX('Resource costs'!$C$121:$C$142, MATCH($B210, 'Resource costs'!$B$121:$B$142,0))</f>
        <v>35363.228232597408</v>
      </c>
      <c r="AU210" s="90">
        <f>INDEX(AU$154:AU$171,MATCH($B210,$B$154:$B$171,0))*INDEX('Resource costs'!$C$121:$C$142, MATCH($B210, 'Resource costs'!$B$121:$B$142,0))</f>
        <v>35448.749446026457</v>
      </c>
      <c r="AV210" s="90">
        <f>INDEX(AV$154:AV$171,MATCH($B210,$B$154:$B$171,0))*INDEX('Resource costs'!$C$121:$C$142, MATCH($B210, 'Resource costs'!$B$121:$B$142,0))</f>
        <v>35518.67863417248</v>
      </c>
      <c r="AW210" s="90">
        <f>INDEX(AW$154:AW$171,MATCH($B210,$B$154:$B$171,0))*INDEX('Resource costs'!$C$121:$C$142, MATCH($B210, 'Resource costs'!$B$121:$B$142,0))</f>
        <v>35556.131813798333</v>
      </c>
      <c r="AX210" s="90">
        <f>INDEX(AX$154:AX$171,MATCH($B210,$B$154:$B$171,0))*INDEX('Resource costs'!$C$121:$C$142, MATCH($B210, 'Resource costs'!$B$121:$B$142,0))</f>
        <v>35573.920052257541</v>
      </c>
      <c r="AY210" s="90">
        <f>INDEX(AY$154:AY$171,MATCH($B210,$B$154:$B$171,0))*INDEX('Resource costs'!$C$121:$C$142, MATCH($B210, 'Resource costs'!$B$121:$B$142,0))</f>
        <v>35580.143322068761</v>
      </c>
      <c r="AZ210" s="90">
        <f>INDEX(AZ$154:AZ$171,MATCH($B210,$B$154:$B$171,0))*INDEX('Resource costs'!$C$121:$C$142, MATCH($B210, 'Resource costs'!$B$121:$B$142,0))</f>
        <v>35579.866271531202</v>
      </c>
      <c r="BA210" s="90">
        <f>INDEX(BA$154:BA$171,MATCH($B210,$B$154:$B$171,0))*INDEX('Resource costs'!$C$121:$C$142, MATCH($B210, 'Resource costs'!$B$121:$B$142,0))</f>
        <v>35576.205814284716</v>
      </c>
      <c r="BB210" s="90">
        <f>INDEX(BB$154:BB$171,MATCH($B210,$B$154:$B$171,0))*INDEX('Resource costs'!$C$121:$C$142, MATCH($B210, 'Resource costs'!$B$121:$B$142,0))</f>
        <v>35571.037043483506</v>
      </c>
    </row>
    <row r="211" spans="1:54" s="97" customFormat="1">
      <c r="B211" s="6" t="s">
        <v>2863</v>
      </c>
      <c r="C211" s="315"/>
      <c r="D211" s="90">
        <f>INDEX(D$154:D$171,MATCH($B211,$B$154:$B$171,0))*INDEX('Resource costs'!$C$121:$C$142, MATCH($B211, 'Resource costs'!$B$121:$B$142,0))</f>
        <v>2239.38</v>
      </c>
      <c r="E211" s="90">
        <f>INDEX(E$154:E$171,MATCH($B211,$B$154:$B$171,0))*INDEX('Resource costs'!$C$121:$C$142, MATCH($B211, 'Resource costs'!$B$121:$B$142,0))</f>
        <v>2325.460475065112</v>
      </c>
      <c r="F211" s="90">
        <f>INDEX(F$154:F$171,MATCH($B211,$B$154:$B$171,0))*INDEX('Resource costs'!$C$121:$C$142, MATCH($B211, 'Resource costs'!$B$121:$B$142,0))</f>
        <v>2399.8006584887321</v>
      </c>
      <c r="G211" s="90">
        <f>INDEX(G$154:G$171,MATCH($B211,$B$154:$B$171,0))*INDEX('Resource costs'!$C$121:$C$142, MATCH($B211, 'Resource costs'!$B$121:$B$142,0))</f>
        <v>2465.8008673556328</v>
      </c>
      <c r="H211" s="90">
        <f>INDEX(H$154:H$171,MATCH($B211,$B$154:$B$171,0))*INDEX('Resource costs'!$C$121:$C$142, MATCH($B211, 'Resource costs'!$B$121:$B$142,0))</f>
        <v>1642.8743421748954</v>
      </c>
      <c r="I211" s="90">
        <f>INDEX(I$154:I$171,MATCH($B211,$B$154:$B$171,0))*INDEX('Resource costs'!$C$121:$C$142, MATCH($B211, 'Resource costs'!$B$121:$B$142,0))</f>
        <v>1505.2888755657461</v>
      </c>
      <c r="J211" s="90">
        <f>INDEX(J$154:J$171,MATCH($B211,$B$154:$B$171,0))*INDEX('Resource costs'!$C$121:$C$142, MATCH($B211, 'Resource costs'!$B$121:$B$142,0))</f>
        <v>1418.5268593371545</v>
      </c>
      <c r="K211" s="90">
        <f>INDEX(K$154:K$171,MATCH($B211,$B$154:$B$171,0))*INDEX('Resource costs'!$C$121:$C$142, MATCH($B211, 'Resource costs'!$B$121:$B$142,0))</f>
        <v>1366.4937402450123</v>
      </c>
      <c r="L211" s="90">
        <f>INDEX(L$154:L$171,MATCH($B211,$B$154:$B$171,0))*INDEX('Resource costs'!$C$121:$C$142, MATCH($B211, 'Resource costs'!$B$121:$B$142,0))</f>
        <v>1340.2762396444052</v>
      </c>
      <c r="M211" s="90">
        <f>INDEX(M$154:M$171,MATCH($B211,$B$154:$B$171,0))*INDEX('Resource costs'!$C$121:$C$142, MATCH($B211, 'Resource costs'!$B$121:$B$142,0))</f>
        <v>1330.328368465319</v>
      </c>
      <c r="N211" s="90">
        <f>INDEX(N$154:N$171,MATCH($B211,$B$154:$B$171,0))*INDEX('Resource costs'!$C$121:$C$142, MATCH($B211, 'Resource costs'!$B$121:$B$142,0))</f>
        <v>1330.7703544860149</v>
      </c>
      <c r="O211" s="90">
        <f>INDEX(O$154:O$171,MATCH($B211,$B$154:$B$171,0))*INDEX('Resource costs'!$C$121:$C$142, MATCH($B211, 'Resource costs'!$B$121:$B$142,0))</f>
        <v>1338.6151814713251</v>
      </c>
      <c r="P211" s="90">
        <f>INDEX(P$154:P$171,MATCH($B211,$B$154:$B$171,0))*INDEX('Resource costs'!$C$121:$C$142, MATCH($B211, 'Resource costs'!$B$121:$B$142,0))</f>
        <v>1350.4205375478148</v>
      </c>
      <c r="Q211" s="90">
        <f>INDEX(Q$154:Q$171,MATCH($B211,$B$154:$B$171,0))*INDEX('Resource costs'!$C$121:$C$142, MATCH($B211, 'Resource costs'!$B$121:$B$142,0))</f>
        <v>1364.6172683911188</v>
      </c>
      <c r="R211" s="90">
        <f>INDEX(R$154:R$171,MATCH($B211,$B$154:$B$171,0))*INDEX('Resource costs'!$C$121:$C$142, MATCH($B211, 'Resource costs'!$B$121:$B$142,0))</f>
        <v>1380.4878512599605</v>
      </c>
      <c r="S211" s="90">
        <f>INDEX(S$154:S$171,MATCH($B211,$B$154:$B$171,0))*INDEX('Resource costs'!$C$121:$C$142, MATCH($B211, 'Resource costs'!$B$121:$B$142,0))</f>
        <v>1397.3755714839094</v>
      </c>
      <c r="T211" s="90">
        <f>INDEX(T$154:T$171,MATCH($B211,$B$154:$B$171,0))*INDEX('Resource costs'!$C$121:$C$142, MATCH($B211, 'Resource costs'!$B$121:$B$142,0))</f>
        <v>1414.7128471430042</v>
      </c>
      <c r="U211" s="90">
        <f>INDEX(U$154:U$171,MATCH($B211,$B$154:$B$171,0))*INDEX('Resource costs'!$C$121:$C$142, MATCH($B211, 'Resource costs'!$B$121:$B$142,0))</f>
        <v>1432.4349098166022</v>
      </c>
      <c r="V211" s="90">
        <f>INDEX(V$154:V$171,MATCH($B211,$B$154:$B$171,0))*INDEX('Resource costs'!$C$121:$C$142, MATCH($B211, 'Resource costs'!$B$121:$B$142,0))</f>
        <v>1451.0972342753521</v>
      </c>
      <c r="W211" s="90">
        <f>INDEX(W$154:W$171,MATCH($B211,$B$154:$B$171,0))*INDEX('Resource costs'!$C$121:$C$142, MATCH($B211, 'Resource costs'!$B$121:$B$142,0))</f>
        <v>1469.6818029885671</v>
      </c>
      <c r="X211" s="90">
        <f>INDEX(X$154:X$171,MATCH($B211,$B$154:$B$171,0))*INDEX('Resource costs'!$C$121:$C$142, MATCH($B211, 'Resource costs'!$B$121:$B$142,0))</f>
        <v>1487.950827670117</v>
      </c>
      <c r="Y211" s="90">
        <f>INDEX(Y$154:Y$171,MATCH($B211,$B$154:$B$171,0))*INDEX('Resource costs'!$C$121:$C$142, MATCH($B211, 'Resource costs'!$B$121:$B$142,0))</f>
        <v>1506.1954009438705</v>
      </c>
      <c r="Z211" s="90">
        <f>INDEX(Z$154:Z$171,MATCH($B211,$B$154:$B$171,0))*INDEX('Resource costs'!$C$121:$C$142, MATCH($B211, 'Resource costs'!$B$121:$B$142,0))</f>
        <v>1524.2596586085599</v>
      </c>
      <c r="AA211" s="90">
        <f>INDEX(AA$154:AA$171,MATCH($B211,$B$154:$B$171,0))*INDEX('Resource costs'!$C$121:$C$142, MATCH($B211, 'Resource costs'!$B$121:$B$142,0))</f>
        <v>1541.9806633178034</v>
      </c>
      <c r="AB211" s="90">
        <f>INDEX(AB$154:AB$171,MATCH($B211,$B$154:$B$171,0))*INDEX('Resource costs'!$C$121:$C$142, MATCH($B211, 'Resource costs'!$B$121:$B$142,0))</f>
        <v>1559.2422923527677</v>
      </c>
      <c r="AC211" s="90">
        <f>INDEX(AC$154:AC$171,MATCH($B211,$B$154:$B$171,0))*INDEX('Resource costs'!$C$121:$C$142, MATCH($B211, 'Resource costs'!$B$121:$B$142,0))</f>
        <v>1576.1189295534525</v>
      </c>
      <c r="AD211" s="90">
        <f>INDEX(AD$154:AD$171,MATCH($B211,$B$154:$B$171,0))*INDEX('Resource costs'!$C$121:$C$142, MATCH($B211, 'Resource costs'!$B$121:$B$142,0))</f>
        <v>1592.4412132749055</v>
      </c>
      <c r="AE211" s="90">
        <f>INDEX(AE$154:AE$171,MATCH($B211,$B$154:$B$171,0))*INDEX('Resource costs'!$C$121:$C$142, MATCH($B211, 'Resource costs'!$B$121:$B$142,0))</f>
        <v>1608.0610148912565</v>
      </c>
      <c r="AF211" s="90">
        <f>INDEX(AF$154:AF$171,MATCH($B211,$B$154:$B$171,0))*INDEX('Resource costs'!$C$121:$C$142, MATCH($B211, 'Resource costs'!$B$121:$B$142,0))</f>
        <v>1622.876030954609</v>
      </c>
      <c r="AG211" s="90">
        <f>INDEX(AG$154:AG$171,MATCH($B211,$B$154:$B$171,0))*INDEX('Resource costs'!$C$121:$C$142, MATCH($B211, 'Resource costs'!$B$121:$B$142,0))</f>
        <v>1636.9228573190908</v>
      </c>
      <c r="AH211" s="90">
        <f>INDEX(AH$154:AH$171,MATCH($B211,$B$154:$B$171,0))*INDEX('Resource costs'!$C$121:$C$142, MATCH($B211, 'Resource costs'!$B$121:$B$142,0))</f>
        <v>1650.4974682209017</v>
      </c>
      <c r="AI211" s="90">
        <f>INDEX(AI$154:AI$171,MATCH($B211,$B$154:$B$171,0))*INDEX('Resource costs'!$C$121:$C$142, MATCH($B211, 'Resource costs'!$B$121:$B$142,0))</f>
        <v>1663.6360531489315</v>
      </c>
      <c r="AJ211" s="90">
        <f>INDEX(AJ$154:AJ$171,MATCH($B211,$B$154:$B$171,0))*INDEX('Resource costs'!$C$121:$C$142, MATCH($B211, 'Resource costs'!$B$121:$B$142,0))</f>
        <v>1676.5117892166161</v>
      </c>
      <c r="AK211" s="90">
        <f>INDEX(AK$154:AK$171,MATCH($B211,$B$154:$B$171,0))*INDEX('Resource costs'!$C$121:$C$142, MATCH($B211, 'Resource costs'!$B$121:$B$142,0))</f>
        <v>1688.9476908831086</v>
      </c>
      <c r="AL211" s="90">
        <f>INDEX(AL$154:AL$171,MATCH($B211,$B$154:$B$171,0))*INDEX('Resource costs'!$C$121:$C$142, MATCH($B211, 'Resource costs'!$B$121:$B$142,0))</f>
        <v>1700.66884069104</v>
      </c>
      <c r="AM211" s="90">
        <f>INDEX(AM$154:AM$171,MATCH($B211,$B$154:$B$171,0))*INDEX('Resource costs'!$C$121:$C$142, MATCH($B211, 'Resource costs'!$B$121:$B$142,0))</f>
        <v>1711.5258827227624</v>
      </c>
      <c r="AN211" s="90">
        <f>INDEX(AN$154:AN$171,MATCH($B211,$B$154:$B$171,0))*INDEX('Resource costs'!$C$121:$C$142, MATCH($B211, 'Resource costs'!$B$121:$B$142,0))</f>
        <v>1721.4261375114454</v>
      </c>
      <c r="AO211" s="90">
        <f>INDEX(AO$154:AO$171,MATCH($B211,$B$154:$B$171,0))*INDEX('Resource costs'!$C$121:$C$142, MATCH($B211, 'Resource costs'!$B$121:$B$142,0))</f>
        <v>1730.3001220940794</v>
      </c>
      <c r="AP211" s="90">
        <f>INDEX(AP$154:AP$171,MATCH($B211,$B$154:$B$171,0))*INDEX('Resource costs'!$C$121:$C$142, MATCH($B211, 'Resource costs'!$B$121:$B$142,0))</f>
        <v>1738.0838679582494</v>
      </c>
      <c r="AQ211" s="90">
        <f>INDEX(AQ$154:AQ$171,MATCH($B211,$B$154:$B$171,0))*INDEX('Resource costs'!$C$121:$C$142, MATCH($B211, 'Resource costs'!$B$121:$B$142,0))</f>
        <v>1745.2531241703523</v>
      </c>
      <c r="AR211" s="90">
        <f>INDEX(AR$154:AR$171,MATCH($B211,$B$154:$B$171,0))*INDEX('Resource costs'!$C$121:$C$142, MATCH($B211, 'Resource costs'!$B$121:$B$142,0))</f>
        <v>1752.2512372115439</v>
      </c>
      <c r="AS211" s="90">
        <f>INDEX(AS$154:AS$171,MATCH($B211,$B$154:$B$171,0))*INDEX('Resource costs'!$C$121:$C$142, MATCH($B211, 'Resource costs'!$B$121:$B$142,0))</f>
        <v>1759.3976619520743</v>
      </c>
      <c r="AT211" s="90">
        <f>INDEX(AT$154:AT$171,MATCH($B211,$B$154:$B$171,0))*INDEX('Resource costs'!$C$121:$C$142, MATCH($B211, 'Resource costs'!$B$121:$B$142,0))</f>
        <v>1764.8248044143613</v>
      </c>
      <c r="AU211" s="90">
        <f>INDEX(AU$154:AU$171,MATCH($B211,$B$154:$B$171,0))*INDEX('Resource costs'!$C$121:$C$142, MATCH($B211, 'Resource costs'!$B$121:$B$142,0))</f>
        <v>1769.0927959498194</v>
      </c>
      <c r="AV211" s="90">
        <f>INDEX(AV$154:AV$171,MATCH($B211,$B$154:$B$171,0))*INDEX('Resource costs'!$C$121:$C$142, MATCH($B211, 'Resource costs'!$B$121:$B$142,0))</f>
        <v>1772.5826573669087</v>
      </c>
      <c r="AW211" s="90">
        <f>INDEX(AW$154:AW$171,MATCH($B211,$B$154:$B$171,0))*INDEX('Resource costs'!$C$121:$C$142, MATCH($B211, 'Resource costs'!$B$121:$B$142,0))</f>
        <v>1774.4517825489522</v>
      </c>
      <c r="AX211" s="90">
        <f>INDEX(AX$154:AX$171,MATCH($B211,$B$154:$B$171,0))*INDEX('Resource costs'!$C$121:$C$142, MATCH($B211, 'Resource costs'!$B$121:$B$142,0))</f>
        <v>1775.3395161080366</v>
      </c>
      <c r="AY211" s="90">
        <f>INDEX(AY$154:AY$171,MATCH($B211,$B$154:$B$171,0))*INDEX('Resource costs'!$C$121:$C$142, MATCH($B211, 'Resource costs'!$B$121:$B$142,0))</f>
        <v>1775.6500924178454</v>
      </c>
      <c r="AZ211" s="90">
        <f>INDEX(AZ$154:AZ$171,MATCH($B211,$B$154:$B$171,0))*INDEX('Resource costs'!$C$121:$C$142, MATCH($B211, 'Resource costs'!$B$121:$B$142,0))</f>
        <v>1775.6362660313648</v>
      </c>
      <c r="BA211" s="90">
        <f>INDEX(BA$154:BA$171,MATCH($B211,$B$154:$B$171,0))*INDEX('Resource costs'!$C$121:$C$142, MATCH($B211, 'Resource costs'!$B$121:$B$142,0))</f>
        <v>1775.453588542149</v>
      </c>
      <c r="BB211" s="90">
        <f>INDEX(BB$154:BB$171,MATCH($B211,$B$154:$B$171,0))*INDEX('Resource costs'!$C$121:$C$142, MATCH($B211, 'Resource costs'!$B$121:$B$142,0))</f>
        <v>1775.1956376882756</v>
      </c>
    </row>
    <row r="212" spans="1:54">
      <c r="B212" s="6" t="s">
        <v>2862</v>
      </c>
      <c r="C212" s="52"/>
      <c r="D212" s="90">
        <f>INDEX(D$154:D$171,MATCH($B212,$B$154:$B$171,0))*INDEX('Resource costs'!$C$121:$C$142, MATCH($B212, 'Resource costs'!$B$121:$B$142,0))</f>
        <v>2905.8388984119206</v>
      </c>
      <c r="E212" s="90">
        <f>INDEX(E$154:E$171,MATCH($B212,$B$154:$B$171,0))*INDEX('Resource costs'!$C$121:$C$142, MATCH($B212, 'Resource costs'!$B$121:$B$142,0))</f>
        <v>3017.5376689814439</v>
      </c>
      <c r="F212" s="90">
        <f>INDEX(F$154:F$171,MATCH($B212,$B$154:$B$171,0))*INDEX('Resource costs'!$C$121:$C$142, MATCH($B212, 'Resource costs'!$B$121:$B$142,0))</f>
        <v>3114.0021353549196</v>
      </c>
      <c r="G212" s="90">
        <f>INDEX(G$154:G$171,MATCH($B212,$B$154:$B$171,0))*INDEX('Resource costs'!$C$121:$C$142, MATCH($B212, 'Resource costs'!$B$121:$B$142,0))</f>
        <v>3199.6445784546841</v>
      </c>
      <c r="H212" s="90">
        <f>INDEX(H$154:H$171,MATCH($B212,$B$154:$B$171,0))*INDEX('Resource costs'!$C$121:$C$142, MATCH($B212, 'Resource costs'!$B$121:$B$142,0))</f>
        <v>2131.8079864492433</v>
      </c>
      <c r="I212" s="90">
        <f>INDEX(I$154:I$171,MATCH($B212,$B$154:$B$171,0))*INDEX('Resource costs'!$C$121:$C$142, MATCH($B212, 'Resource costs'!$B$121:$B$142,0))</f>
        <v>1953.2758924191903</v>
      </c>
      <c r="J212" s="90">
        <f>INDEX(J$154:J$171,MATCH($B212,$B$154:$B$171,0))*INDEX('Resource costs'!$C$121:$C$142, MATCH($B212, 'Resource costs'!$B$121:$B$142,0))</f>
        <v>1840.6927481284993</v>
      </c>
      <c r="K212" s="90">
        <f>INDEX(K$154:K$171,MATCH($B212,$B$154:$B$171,0))*INDEX('Resource costs'!$C$121:$C$142, MATCH($B212, 'Resource costs'!$B$121:$B$142,0))</f>
        <v>1773.1741217838651</v>
      </c>
      <c r="L212" s="90">
        <f>INDEX(L$154:L$171,MATCH($B212,$B$154:$B$171,0))*INDEX('Resource costs'!$C$121:$C$142, MATCH($B212, 'Resource costs'!$B$121:$B$142,0))</f>
        <v>1739.1540657574728</v>
      </c>
      <c r="M212" s="90">
        <f>INDEX(M$154:M$171,MATCH($B212,$B$154:$B$171,0))*INDEX('Resource costs'!$C$121:$C$142, MATCH($B212, 'Resource costs'!$B$121:$B$142,0))</f>
        <v>1726.245621889715</v>
      </c>
      <c r="N212" s="90">
        <f>INDEX(N$154:N$171,MATCH($B212,$B$154:$B$171,0))*INDEX('Resource costs'!$C$121:$C$142, MATCH($B212, 'Resource costs'!$B$121:$B$142,0))</f>
        <v>1726.8191467811996</v>
      </c>
      <c r="O212" s="90">
        <f>INDEX(O$154:O$171,MATCH($B212,$B$154:$B$171,0))*INDEX('Resource costs'!$C$121:$C$142, MATCH($B212, 'Resource costs'!$B$121:$B$142,0))</f>
        <v>1736.9986622744279</v>
      </c>
      <c r="P212" s="90">
        <f>INDEX(P$154:P$171,MATCH($B212,$B$154:$B$171,0))*INDEX('Resource costs'!$C$121:$C$142, MATCH($B212, 'Resource costs'!$B$121:$B$142,0))</f>
        <v>1752.3173946452928</v>
      </c>
      <c r="Q212" s="90">
        <f>INDEX(Q$154:Q$171,MATCH($B212,$B$154:$B$171,0))*INDEX('Resource costs'!$C$121:$C$142, MATCH($B212, 'Resource costs'!$B$121:$B$142,0))</f>
        <v>1770.7391956414422</v>
      </c>
      <c r="R212" s="90">
        <f>INDEX(R$154:R$171,MATCH($B212,$B$154:$B$171,0))*INDEX('Resource costs'!$C$121:$C$142, MATCH($B212, 'Resource costs'!$B$121:$B$142,0))</f>
        <v>1791.3330015344795</v>
      </c>
      <c r="S212" s="90">
        <f>INDEX(S$154:S$171,MATCH($B212,$B$154:$B$171,0))*INDEX('Resource costs'!$C$121:$C$142, MATCH($B212, 'Resource costs'!$B$121:$B$142,0))</f>
        <v>1813.2466536758081</v>
      </c>
      <c r="T212" s="90">
        <f>INDEX(T$154:T$171,MATCH($B212,$B$154:$B$171,0))*INDEX('Resource costs'!$C$121:$C$142, MATCH($B212, 'Resource costs'!$B$121:$B$142,0))</f>
        <v>1835.7436528464214</v>
      </c>
      <c r="U212" s="90">
        <f>INDEX(U$154:U$171,MATCH($B212,$B$154:$B$171,0))*INDEX('Resource costs'!$C$121:$C$142, MATCH($B212, 'Resource costs'!$B$121:$B$142,0))</f>
        <v>1858.739954982296</v>
      </c>
      <c r="V212" s="90">
        <f>INDEX(V$154:V$171,MATCH($B212,$B$154:$B$171,0))*INDEX('Resource costs'!$C$121:$C$142, MATCH($B212, 'Resource costs'!$B$121:$B$142,0))</f>
        <v>1882.9563489605487</v>
      </c>
      <c r="W212" s="90">
        <f>INDEX(W$154:W$171,MATCH($B212,$B$154:$B$171,0))*INDEX('Resource costs'!$C$121:$C$142, MATCH($B212, 'Resource costs'!$B$121:$B$142,0))</f>
        <v>1907.0718464094271</v>
      </c>
      <c r="X212" s="90">
        <f>INDEX(X$154:X$171,MATCH($B212,$B$154:$B$171,0))*INDEX('Resource costs'!$C$121:$C$142, MATCH($B212, 'Resource costs'!$B$121:$B$142,0))</f>
        <v>1930.7778911877565</v>
      </c>
      <c r="Y212" s="90">
        <f>INDEX(Y$154:Y$171,MATCH($B212,$B$154:$B$171,0))*INDEX('Resource costs'!$C$121:$C$142, MATCH($B212, 'Resource costs'!$B$121:$B$142,0))</f>
        <v>1954.4522076073902</v>
      </c>
      <c r="Z212" s="90">
        <f>INDEX(Z$154:Z$171,MATCH($B212,$B$154:$B$171,0))*INDEX('Resource costs'!$C$121:$C$142, MATCH($B212, 'Resource costs'!$B$121:$B$142,0))</f>
        <v>1977.8925449297697</v>
      </c>
      <c r="AA212" s="90">
        <f>INDEX(AA$154:AA$171,MATCH($B212,$B$154:$B$171,0))*INDEX('Resource costs'!$C$121:$C$142, MATCH($B212, 'Resource costs'!$B$121:$B$142,0))</f>
        <v>2000.8874742419277</v>
      </c>
      <c r="AB212" s="90">
        <f>INDEX(AB$154:AB$171,MATCH($B212,$B$154:$B$171,0))*INDEX('Resource costs'!$C$121:$C$142, MATCH($B212, 'Resource costs'!$B$121:$B$142,0))</f>
        <v>2023.2863136973824</v>
      </c>
      <c r="AC212" s="90">
        <f>INDEX(AC$154:AC$171,MATCH($B212,$B$154:$B$171,0))*INDEX('Resource costs'!$C$121:$C$142, MATCH($B212, 'Resource costs'!$B$121:$B$142,0))</f>
        <v>2045.1855844116585</v>
      </c>
      <c r="AD212" s="90">
        <f>INDEX(AD$154:AD$171,MATCH($B212,$B$154:$B$171,0))*INDEX('Resource costs'!$C$121:$C$142, MATCH($B212, 'Resource costs'!$B$121:$B$142,0))</f>
        <v>2066.3655212462795</v>
      </c>
      <c r="AE212" s="90">
        <f>INDEX(AE$154:AE$171,MATCH($B212,$B$154:$B$171,0))*INDEX('Resource costs'!$C$121:$C$142, MATCH($B212, 'Resource costs'!$B$121:$B$142,0))</f>
        <v>2086.6339112123728</v>
      </c>
      <c r="AF212" s="90">
        <f>INDEX(AF$154:AF$171,MATCH($B212,$B$154:$B$171,0))*INDEX('Resource costs'!$C$121:$C$142, MATCH($B212, 'Resource costs'!$B$121:$B$142,0))</f>
        <v>2105.8580044692058</v>
      </c>
      <c r="AG212" s="90">
        <f>INDEX(AG$154:AG$171,MATCH($B212,$B$154:$B$171,0))*INDEX('Resource costs'!$C$121:$C$142, MATCH($B212, 'Resource costs'!$B$121:$B$142,0))</f>
        <v>2124.0852881142996</v>
      </c>
      <c r="AH212" s="90">
        <f>INDEX(AH$154:AH$171,MATCH($B212,$B$154:$B$171,0))*INDEX('Resource costs'!$C$121:$C$142, MATCH($B212, 'Resource costs'!$B$121:$B$142,0))</f>
        <v>2141.6998208819805</v>
      </c>
      <c r="AI212" s="90">
        <f>INDEX(AI$154:AI$171,MATCH($B212,$B$154:$B$171,0))*INDEX('Resource costs'!$C$121:$C$142, MATCH($B212, 'Resource costs'!$B$121:$B$142,0))</f>
        <v>2158.7485625667132</v>
      </c>
      <c r="AJ212" s="90">
        <f>INDEX(AJ$154:AJ$171,MATCH($B212,$B$154:$B$171,0))*INDEX('Resource costs'!$C$121:$C$142, MATCH($B212, 'Resource costs'!$B$121:$B$142,0))</f>
        <v>2175.4562292919513</v>
      </c>
      <c r="AK212" s="90">
        <f>INDEX(AK$154:AK$171,MATCH($B212,$B$154:$B$171,0))*INDEX('Resource costs'!$C$121:$C$142, MATCH($B212, 'Resource costs'!$B$121:$B$142,0))</f>
        <v>2191.5931630858227</v>
      </c>
      <c r="AL212" s="90">
        <f>INDEX(AL$154:AL$171,MATCH($B212,$B$154:$B$171,0))*INDEX('Resource costs'!$C$121:$C$142, MATCH($B212, 'Resource costs'!$B$121:$B$142,0))</f>
        <v>2206.8026286727263</v>
      </c>
      <c r="AM212" s="90">
        <f>INDEX(AM$154:AM$171,MATCH($B212,$B$154:$B$171,0))*INDEX('Resource costs'!$C$121:$C$142, MATCH($B212, 'Resource costs'!$B$121:$B$142,0))</f>
        <v>2220.8908205193407</v>
      </c>
      <c r="AN212" s="90">
        <f>INDEX(AN$154:AN$171,MATCH($B212,$B$154:$B$171,0))*INDEX('Resource costs'!$C$121:$C$142, MATCH($B212, 'Resource costs'!$B$121:$B$142,0))</f>
        <v>2233.737476946184</v>
      </c>
      <c r="AO212" s="90">
        <f>INDEX(AO$154:AO$171,MATCH($B212,$B$154:$B$171,0))*INDEX('Resource costs'!$C$121:$C$142, MATCH($B212, 'Resource costs'!$B$121:$B$142,0))</f>
        <v>2245.2524362581926</v>
      </c>
      <c r="AP212" s="90">
        <f>INDEX(AP$154:AP$171,MATCH($B212,$B$154:$B$171,0))*INDEX('Resource costs'!$C$121:$C$142, MATCH($B212, 'Resource costs'!$B$121:$B$142,0))</f>
        <v>2255.352692359193</v>
      </c>
      <c r="AQ212" s="90">
        <f>INDEX(AQ$154:AQ$171,MATCH($B212,$B$154:$B$171,0))*INDEX('Resource costs'!$C$121:$C$142, MATCH($B212, 'Resource costs'!$B$121:$B$142,0))</f>
        <v>2264.6555813614214</v>
      </c>
      <c r="AR212" s="90">
        <f>INDEX(AR$154:AR$171,MATCH($B212,$B$154:$B$171,0))*INDEX('Resource costs'!$C$121:$C$142, MATCH($B212, 'Resource costs'!$B$121:$B$142,0))</f>
        <v>2273.7363935016465</v>
      </c>
      <c r="AS212" s="90">
        <f>INDEX(AS$154:AS$171,MATCH($B212,$B$154:$B$171,0))*INDEX('Resource costs'!$C$121:$C$142, MATCH($B212, 'Resource costs'!$B$121:$B$142,0))</f>
        <v>2283.0096561884648</v>
      </c>
      <c r="AT212" s="90">
        <f>INDEX(AT$154:AT$171,MATCH($B212,$B$154:$B$171,0))*INDEX('Resource costs'!$C$121:$C$142, MATCH($B212, 'Resource costs'!$B$121:$B$142,0))</f>
        <v>2290.0519632887053</v>
      </c>
      <c r="AU212" s="90">
        <f>INDEX(AU$154:AU$171,MATCH($B212,$B$154:$B$171,0))*INDEX('Resource costs'!$C$121:$C$142, MATCH($B212, 'Resource costs'!$B$121:$B$142,0))</f>
        <v>2295.590146099049</v>
      </c>
      <c r="AV212" s="90">
        <f>INDEX(AV$154:AV$171,MATCH($B212,$B$154:$B$171,0))*INDEX('Resource costs'!$C$121:$C$142, MATCH($B212, 'Resource costs'!$B$121:$B$142,0))</f>
        <v>2300.1186205231506</v>
      </c>
      <c r="AW212" s="90">
        <f>INDEX(AW$154:AW$171,MATCH($B212,$B$154:$B$171,0))*INDEX('Resource costs'!$C$121:$C$142, MATCH($B212, 'Resource costs'!$B$121:$B$142,0))</f>
        <v>2302.5440135605018</v>
      </c>
      <c r="AX212" s="90">
        <f>INDEX(AX$154:AX$171,MATCH($B212,$B$154:$B$171,0))*INDEX('Resource costs'!$C$121:$C$142, MATCH($B212, 'Resource costs'!$B$121:$B$142,0))</f>
        <v>2303.6959443214323</v>
      </c>
      <c r="AY212" s="90">
        <f>INDEX(AY$154:AY$171,MATCH($B212,$B$154:$B$171,0))*INDEX('Resource costs'!$C$121:$C$142, MATCH($B212, 'Resource costs'!$B$121:$B$142,0))</f>
        <v>2304.0989508330417</v>
      </c>
      <c r="AZ212" s="90">
        <f>INDEX(AZ$154:AZ$171,MATCH($B212,$B$154:$B$171,0))*INDEX('Resource costs'!$C$121:$C$142, MATCH($B212, 'Resource costs'!$B$121:$B$142,0))</f>
        <v>2304.0810095941006</v>
      </c>
      <c r="BA212" s="90">
        <f>INDEX(BA$154:BA$171,MATCH($B212,$B$154:$B$171,0))*INDEX('Resource costs'!$C$121:$C$142, MATCH($B212, 'Resource costs'!$B$121:$B$142,0))</f>
        <v>2303.8439657006893</v>
      </c>
      <c r="BB212" s="90">
        <f>INDEX(BB$154:BB$171,MATCH($B212,$B$154:$B$171,0))*INDEX('Resource costs'!$C$121:$C$142, MATCH($B212, 'Resource costs'!$B$121:$B$142,0))</f>
        <v>2303.5092464368468</v>
      </c>
    </row>
    <row r="213" spans="1:54">
      <c r="B213" s="6" t="s">
        <v>131</v>
      </c>
      <c r="C213" s="52"/>
      <c r="D213" s="90">
        <f>INDEX(D$154:D$171,MATCH($B213,$B$154:$B$171,0))*INDEX('Resource costs'!$C$121:$C$142, MATCH($B213, 'Resource costs'!$B$121:$B$142,0))</f>
        <v>0</v>
      </c>
      <c r="E213" s="90">
        <f>INDEX(E$154:E$171,MATCH($B213,$B$154:$B$171,0))*INDEX('Resource costs'!$C$121:$C$142, MATCH($B213, 'Resource costs'!$B$121:$B$142,0))</f>
        <v>0</v>
      </c>
      <c r="F213" s="90">
        <f>INDEX(F$154:F$171,MATCH($B213,$B$154:$B$171,0))*INDEX('Resource costs'!$C$121:$C$142, MATCH($B213, 'Resource costs'!$B$121:$B$142,0))</f>
        <v>0</v>
      </c>
      <c r="G213" s="90">
        <f>INDEX(G$154:G$171,MATCH($B213,$B$154:$B$171,0))*INDEX('Resource costs'!$C$121:$C$142, MATCH($B213, 'Resource costs'!$B$121:$B$142,0))</f>
        <v>0</v>
      </c>
      <c r="H213" s="90">
        <f>INDEX(H$154:H$171,MATCH($B213,$B$154:$B$171,0))*INDEX('Resource costs'!$C$121:$C$142, MATCH($B213, 'Resource costs'!$B$121:$B$142,0))</f>
        <v>0</v>
      </c>
      <c r="I213" s="90">
        <f>INDEX(I$154:I$171,MATCH($B213,$B$154:$B$171,0))*INDEX('Resource costs'!$C$121:$C$142, MATCH($B213, 'Resource costs'!$B$121:$B$142,0))</f>
        <v>0</v>
      </c>
      <c r="J213" s="90">
        <f>INDEX(J$154:J$171,MATCH($B213,$B$154:$B$171,0))*INDEX('Resource costs'!$C$121:$C$142, MATCH($B213, 'Resource costs'!$B$121:$B$142,0))</f>
        <v>0</v>
      </c>
      <c r="K213" s="90">
        <f>INDEX(K$154:K$171,MATCH($B213,$B$154:$B$171,0))*INDEX('Resource costs'!$C$121:$C$142, MATCH($B213, 'Resource costs'!$B$121:$B$142,0))</f>
        <v>0</v>
      </c>
      <c r="L213" s="90">
        <f>INDEX(L$154:L$171,MATCH($B213,$B$154:$B$171,0))*INDEX('Resource costs'!$C$121:$C$142, MATCH($B213, 'Resource costs'!$B$121:$B$142,0))</f>
        <v>0</v>
      </c>
      <c r="M213" s="90">
        <f>INDEX(M$154:M$171,MATCH($B213,$B$154:$B$171,0))*INDEX('Resource costs'!$C$121:$C$142, MATCH($B213, 'Resource costs'!$B$121:$B$142,0))</f>
        <v>0</v>
      </c>
      <c r="N213" s="90">
        <f>INDEX(N$154:N$171,MATCH($B213,$B$154:$B$171,0))*INDEX('Resource costs'!$C$121:$C$142, MATCH($B213, 'Resource costs'!$B$121:$B$142,0))</f>
        <v>0</v>
      </c>
      <c r="O213" s="90">
        <f>INDEX(O$154:O$171,MATCH($B213,$B$154:$B$171,0))*INDEX('Resource costs'!$C$121:$C$142, MATCH($B213, 'Resource costs'!$B$121:$B$142,0))</f>
        <v>0</v>
      </c>
      <c r="P213" s="90">
        <f>INDEX(P$154:P$171,MATCH($B213,$B$154:$B$171,0))*INDEX('Resource costs'!$C$121:$C$142, MATCH($B213, 'Resource costs'!$B$121:$B$142,0))</f>
        <v>0</v>
      </c>
      <c r="Q213" s="90">
        <f>INDEX(Q$154:Q$171,MATCH($B213,$B$154:$B$171,0))*INDEX('Resource costs'!$C$121:$C$142, MATCH($B213, 'Resource costs'!$B$121:$B$142,0))</f>
        <v>0</v>
      </c>
      <c r="R213" s="90">
        <f>INDEX(R$154:R$171,MATCH($B213,$B$154:$B$171,0))*INDEX('Resource costs'!$C$121:$C$142, MATCH($B213, 'Resource costs'!$B$121:$B$142,0))</f>
        <v>0</v>
      </c>
      <c r="S213" s="90">
        <f>INDEX(S$154:S$171,MATCH($B213,$B$154:$B$171,0))*INDEX('Resource costs'!$C$121:$C$142, MATCH($B213, 'Resource costs'!$B$121:$B$142,0))</f>
        <v>0</v>
      </c>
      <c r="T213" s="90">
        <f>INDEX(T$154:T$171,MATCH($B213,$B$154:$B$171,0))*INDEX('Resource costs'!$C$121:$C$142, MATCH($B213, 'Resource costs'!$B$121:$B$142,0))</f>
        <v>0</v>
      </c>
      <c r="U213" s="90">
        <f>INDEX(U$154:U$171,MATCH($B213,$B$154:$B$171,0))*INDEX('Resource costs'!$C$121:$C$142, MATCH($B213, 'Resource costs'!$B$121:$B$142,0))</f>
        <v>0</v>
      </c>
      <c r="V213" s="90">
        <f>INDEX(V$154:V$171,MATCH($B213,$B$154:$B$171,0))*INDEX('Resource costs'!$C$121:$C$142, MATCH($B213, 'Resource costs'!$B$121:$B$142,0))</f>
        <v>0</v>
      </c>
      <c r="W213" s="90">
        <f>INDEX(W$154:W$171,MATCH($B213,$B$154:$B$171,0))*INDEX('Resource costs'!$C$121:$C$142, MATCH($B213, 'Resource costs'!$B$121:$B$142,0))</f>
        <v>0</v>
      </c>
      <c r="X213" s="90">
        <f>INDEX(X$154:X$171,MATCH($B213,$B$154:$B$171,0))*INDEX('Resource costs'!$C$121:$C$142, MATCH($B213, 'Resource costs'!$B$121:$B$142,0))</f>
        <v>0</v>
      </c>
      <c r="Y213" s="90">
        <f>INDEX(Y$154:Y$171,MATCH($B213,$B$154:$B$171,0))*INDEX('Resource costs'!$C$121:$C$142, MATCH($B213, 'Resource costs'!$B$121:$B$142,0))</f>
        <v>0</v>
      </c>
      <c r="Z213" s="90">
        <f>INDEX(Z$154:Z$171,MATCH($B213,$B$154:$B$171,0))*INDEX('Resource costs'!$C$121:$C$142, MATCH($B213, 'Resource costs'!$B$121:$B$142,0))</f>
        <v>0</v>
      </c>
      <c r="AA213" s="90">
        <f>INDEX(AA$154:AA$171,MATCH($B213,$B$154:$B$171,0))*INDEX('Resource costs'!$C$121:$C$142, MATCH($B213, 'Resource costs'!$B$121:$B$142,0))</f>
        <v>0</v>
      </c>
      <c r="AB213" s="90">
        <f>INDEX(AB$154:AB$171,MATCH($B213,$B$154:$B$171,0))*INDEX('Resource costs'!$C$121:$C$142, MATCH($B213, 'Resource costs'!$B$121:$B$142,0))</f>
        <v>0</v>
      </c>
      <c r="AC213" s="90">
        <f>INDEX(AC$154:AC$171,MATCH($B213,$B$154:$B$171,0))*INDEX('Resource costs'!$C$121:$C$142, MATCH($B213, 'Resource costs'!$B$121:$B$142,0))</f>
        <v>0</v>
      </c>
      <c r="AD213" s="90">
        <f>INDEX(AD$154:AD$171,MATCH($B213,$B$154:$B$171,0))*INDEX('Resource costs'!$C$121:$C$142, MATCH($B213, 'Resource costs'!$B$121:$B$142,0))</f>
        <v>0</v>
      </c>
      <c r="AE213" s="90">
        <f>INDEX(AE$154:AE$171,MATCH($B213,$B$154:$B$171,0))*INDEX('Resource costs'!$C$121:$C$142, MATCH($B213, 'Resource costs'!$B$121:$B$142,0))</f>
        <v>0</v>
      </c>
      <c r="AF213" s="90">
        <f>INDEX(AF$154:AF$171,MATCH($B213,$B$154:$B$171,0))*INDEX('Resource costs'!$C$121:$C$142, MATCH($B213, 'Resource costs'!$B$121:$B$142,0))</f>
        <v>0</v>
      </c>
      <c r="AG213" s="90">
        <f>INDEX(AG$154:AG$171,MATCH($B213,$B$154:$B$171,0))*INDEX('Resource costs'!$C$121:$C$142, MATCH($B213, 'Resource costs'!$B$121:$B$142,0))</f>
        <v>0</v>
      </c>
      <c r="AH213" s="90">
        <f>INDEX(AH$154:AH$171,MATCH($B213,$B$154:$B$171,0))*INDEX('Resource costs'!$C$121:$C$142, MATCH($B213, 'Resource costs'!$B$121:$B$142,0))</f>
        <v>0</v>
      </c>
      <c r="AI213" s="90">
        <f>INDEX(AI$154:AI$171,MATCH($B213,$B$154:$B$171,0))*INDEX('Resource costs'!$C$121:$C$142, MATCH($B213, 'Resource costs'!$B$121:$B$142,0))</f>
        <v>0</v>
      </c>
      <c r="AJ213" s="90">
        <f>INDEX(AJ$154:AJ$171,MATCH($B213,$B$154:$B$171,0))*INDEX('Resource costs'!$C$121:$C$142, MATCH($B213, 'Resource costs'!$B$121:$B$142,0))</f>
        <v>0</v>
      </c>
      <c r="AK213" s="90">
        <f>INDEX(AK$154:AK$171,MATCH($B213,$B$154:$B$171,0))*INDEX('Resource costs'!$C$121:$C$142, MATCH($B213, 'Resource costs'!$B$121:$B$142,0))</f>
        <v>0</v>
      </c>
      <c r="AL213" s="90">
        <f>INDEX(AL$154:AL$171,MATCH($B213,$B$154:$B$171,0))*INDEX('Resource costs'!$C$121:$C$142, MATCH($B213, 'Resource costs'!$B$121:$B$142,0))</f>
        <v>0</v>
      </c>
      <c r="AM213" s="90">
        <f>INDEX(AM$154:AM$171,MATCH($B213,$B$154:$B$171,0))*INDEX('Resource costs'!$C$121:$C$142, MATCH($B213, 'Resource costs'!$B$121:$B$142,0))</f>
        <v>0</v>
      </c>
      <c r="AN213" s="90">
        <f>INDEX(AN$154:AN$171,MATCH($B213,$B$154:$B$171,0))*INDEX('Resource costs'!$C$121:$C$142, MATCH($B213, 'Resource costs'!$B$121:$B$142,0))</f>
        <v>0</v>
      </c>
      <c r="AO213" s="90">
        <f>INDEX(AO$154:AO$171,MATCH($B213,$B$154:$B$171,0))*INDEX('Resource costs'!$C$121:$C$142, MATCH($B213, 'Resource costs'!$B$121:$B$142,0))</f>
        <v>0</v>
      </c>
      <c r="AP213" s="90">
        <f>INDEX(AP$154:AP$171,MATCH($B213,$B$154:$B$171,0))*INDEX('Resource costs'!$C$121:$C$142, MATCH($B213, 'Resource costs'!$B$121:$B$142,0))</f>
        <v>0</v>
      </c>
      <c r="AQ213" s="90">
        <f>INDEX(AQ$154:AQ$171,MATCH($B213,$B$154:$B$171,0))*INDEX('Resource costs'!$C$121:$C$142, MATCH($B213, 'Resource costs'!$B$121:$B$142,0))</f>
        <v>0</v>
      </c>
      <c r="AR213" s="90">
        <f>INDEX(AR$154:AR$171,MATCH($B213,$B$154:$B$171,0))*INDEX('Resource costs'!$C$121:$C$142, MATCH($B213, 'Resource costs'!$B$121:$B$142,0))</f>
        <v>0</v>
      </c>
      <c r="AS213" s="90">
        <f>INDEX(AS$154:AS$171,MATCH($B213,$B$154:$B$171,0))*INDEX('Resource costs'!$C$121:$C$142, MATCH($B213, 'Resource costs'!$B$121:$B$142,0))</f>
        <v>0</v>
      </c>
      <c r="AT213" s="90">
        <f>INDEX(AT$154:AT$171,MATCH($B213,$B$154:$B$171,0))*INDEX('Resource costs'!$C$121:$C$142, MATCH($B213, 'Resource costs'!$B$121:$B$142,0))</f>
        <v>0</v>
      </c>
      <c r="AU213" s="90">
        <f>INDEX(AU$154:AU$171,MATCH($B213,$B$154:$B$171,0))*INDEX('Resource costs'!$C$121:$C$142, MATCH($B213, 'Resource costs'!$B$121:$B$142,0))</f>
        <v>0</v>
      </c>
      <c r="AV213" s="90">
        <f>INDEX(AV$154:AV$171,MATCH($B213,$B$154:$B$171,0))*INDEX('Resource costs'!$C$121:$C$142, MATCH($B213, 'Resource costs'!$B$121:$B$142,0))</f>
        <v>0</v>
      </c>
      <c r="AW213" s="90">
        <f>INDEX(AW$154:AW$171,MATCH($B213,$B$154:$B$171,0))*INDEX('Resource costs'!$C$121:$C$142, MATCH($B213, 'Resource costs'!$B$121:$B$142,0))</f>
        <v>0</v>
      </c>
      <c r="AX213" s="90">
        <f>INDEX(AX$154:AX$171,MATCH($B213,$B$154:$B$171,0))*INDEX('Resource costs'!$C$121:$C$142, MATCH($B213, 'Resource costs'!$B$121:$B$142,0))</f>
        <v>0</v>
      </c>
      <c r="AY213" s="90">
        <f>INDEX(AY$154:AY$171,MATCH($B213,$B$154:$B$171,0))*INDEX('Resource costs'!$C$121:$C$142, MATCH($B213, 'Resource costs'!$B$121:$B$142,0))</f>
        <v>0</v>
      </c>
      <c r="AZ213" s="90">
        <f>INDEX(AZ$154:AZ$171,MATCH($B213,$B$154:$B$171,0))*INDEX('Resource costs'!$C$121:$C$142, MATCH($B213, 'Resource costs'!$B$121:$B$142,0))</f>
        <v>0</v>
      </c>
      <c r="BA213" s="90">
        <f>INDEX(BA$154:BA$171,MATCH($B213,$B$154:$B$171,0))*INDEX('Resource costs'!$C$121:$C$142, MATCH($B213, 'Resource costs'!$B$121:$B$142,0))</f>
        <v>0</v>
      </c>
      <c r="BB213" s="90">
        <f>INDEX(BB$154:BB$171,MATCH($B213,$B$154:$B$171,0))*INDEX('Resource costs'!$C$121:$C$142, MATCH($B213, 'Resource costs'!$B$121:$B$142,0))</f>
        <v>0</v>
      </c>
    </row>
    <row r="214" spans="1:54" ht="29">
      <c r="B214" s="6" t="s">
        <v>2869</v>
      </c>
      <c r="C214" s="52"/>
      <c r="D214" s="90">
        <f>INDEX(D$154:D$171,MATCH($B214,$B$154:$B$171,0))*INDEX('Resource costs'!$C$121:$C$142, MATCH($B214, 'Resource costs'!$B$121:$B$142,0))</f>
        <v>19441.067241450779</v>
      </c>
      <c r="E214" s="90">
        <f>INDEX(E$154:E$171,MATCH($B214,$B$154:$B$171,0))*INDEX('Resource costs'!$C$121:$C$142, MATCH($B214, 'Resource costs'!$B$121:$B$142,0))</f>
        <v>20188.37064860672</v>
      </c>
      <c r="F214" s="90">
        <f>INDEX(F$154:F$171,MATCH($B214,$B$154:$B$171,0))*INDEX('Resource costs'!$C$121:$C$142, MATCH($B214, 'Resource costs'!$B$121:$B$142,0))</f>
        <v>20833.751291767054</v>
      </c>
      <c r="G214" s="90">
        <f>INDEX(G$154:G$171,MATCH($B214,$B$154:$B$171,0))*INDEX('Resource costs'!$C$121:$C$142, MATCH($B214, 'Resource costs'!$B$121:$B$142,0))</f>
        <v>21406.728856330104</v>
      </c>
      <c r="H214" s="90">
        <f>INDEX(H$154:H$171,MATCH($B214,$B$154:$B$171,0))*INDEX('Resource costs'!$C$121:$C$142, MATCH($B214, 'Resource costs'!$B$121:$B$142,0))</f>
        <v>2234.3091053578578</v>
      </c>
      <c r="I214" s="90">
        <f>INDEX(I$154:I$171,MATCH($B214,$B$154:$B$171,0))*INDEX('Resource costs'!$C$121:$C$142, MATCH($B214, 'Resource costs'!$B$121:$B$142,0))</f>
        <v>2047.1928707694151</v>
      </c>
      <c r="J214" s="90">
        <f>INDEX(J$154:J$171,MATCH($B214,$B$154:$B$171,0))*INDEX('Resource costs'!$C$121:$C$142, MATCH($B214, 'Resource costs'!$B$121:$B$142,0))</f>
        <v>1929.1965286985303</v>
      </c>
      <c r="K214" s="90">
        <f>INDEX(K$154:K$171,MATCH($B214,$B$154:$B$171,0))*INDEX('Resource costs'!$C$121:$C$142, MATCH($B214, 'Resource costs'!$B$121:$B$142,0))</f>
        <v>1858.4314867332171</v>
      </c>
      <c r="L214" s="90">
        <f>INDEX(L$154:L$171,MATCH($B214,$B$154:$B$171,0))*INDEX('Resource costs'!$C$121:$C$142, MATCH($B214, 'Resource costs'!$B$121:$B$142,0))</f>
        <v>1822.7756859163915</v>
      </c>
      <c r="M214" s="90">
        <f>INDEX(M$154:M$171,MATCH($B214,$B$154:$B$171,0))*INDEX('Resource costs'!$C$121:$C$142, MATCH($B214, 'Resource costs'!$B$121:$B$142,0))</f>
        <v>1809.2465811128341</v>
      </c>
      <c r="N214" s="90">
        <f>INDEX(N$154:N$171,MATCH($B214,$B$154:$B$171,0))*INDEX('Resource costs'!$C$121:$C$142, MATCH($B214, 'Resource costs'!$B$121:$B$142,0))</f>
        <v>1809.8476821009808</v>
      </c>
      <c r="O214" s="90">
        <f>INDEX(O$154:O$171,MATCH($B214,$B$154:$B$171,0))*INDEX('Resource costs'!$C$121:$C$142, MATCH($B214, 'Resource costs'!$B$121:$B$142,0))</f>
        <v>1820.5166468010023</v>
      </c>
      <c r="P214" s="90">
        <f>INDEX(P$154:P$171,MATCH($B214,$B$154:$B$171,0))*INDEX('Resource costs'!$C$121:$C$142, MATCH($B214, 'Resource costs'!$B$121:$B$142,0))</f>
        <v>1836.5719310650284</v>
      </c>
      <c r="Q214" s="90">
        <f>INDEX(Q$154:Q$171,MATCH($B214,$B$154:$B$171,0))*INDEX('Resource costs'!$C$121:$C$142, MATCH($B214, 'Resource costs'!$B$121:$B$142,0))</f>
        <v>1855.8794850119218</v>
      </c>
      <c r="R214" s="90">
        <f>INDEX(R$154:R$171,MATCH($B214,$B$154:$B$171,0))*INDEX('Resource costs'!$C$121:$C$142, MATCH($B214, 'Resource costs'!$B$121:$B$142,0))</f>
        <v>1877.4634777135466</v>
      </c>
      <c r="S214" s="90">
        <f>INDEX(S$154:S$171,MATCH($B214,$B$154:$B$171,0))*INDEX('Resource costs'!$C$121:$C$142, MATCH($B214, 'Resource costs'!$B$121:$B$142,0))</f>
        <v>1900.4307772181169</v>
      </c>
      <c r="T214" s="90">
        <f>INDEX(T$154:T$171,MATCH($B214,$B$154:$B$171,0))*INDEX('Resource costs'!$C$121:$C$142, MATCH($B214, 'Resource costs'!$B$121:$B$142,0))</f>
        <v>1924.0094721144858</v>
      </c>
      <c r="U214" s="90">
        <f>INDEX(U$154:U$171,MATCH($B214,$B$154:$B$171,0))*INDEX('Resource costs'!$C$121:$C$142, MATCH($B214, 'Resource costs'!$B$121:$B$142,0))</f>
        <v>1948.111477350579</v>
      </c>
      <c r="V214" s="90">
        <f>INDEX(V$154:V$171,MATCH($B214,$B$154:$B$171,0))*INDEX('Resource costs'!$C$121:$C$142, MATCH($B214, 'Resource costs'!$B$121:$B$142,0))</f>
        <v>1973.4922386144792</v>
      </c>
      <c r="W214" s="90">
        <f>INDEX(W$154:W$171,MATCH($B214,$B$154:$B$171,0))*INDEX('Resource costs'!$C$121:$C$142, MATCH($B214, 'Resource costs'!$B$121:$B$142,0))</f>
        <v>1998.7672520644514</v>
      </c>
      <c r="X214" s="90">
        <f>INDEX(X$154:X$171,MATCH($B214,$B$154:$B$171,0))*INDEX('Resource costs'!$C$121:$C$142, MATCH($B214, 'Resource costs'!$B$121:$B$142,0))</f>
        <v>2023.6131256313595</v>
      </c>
      <c r="Y214" s="90">
        <f>INDEX(Y$154:Y$171,MATCH($B214,$B$154:$B$171,0))*INDEX('Resource costs'!$C$121:$C$142, MATCH($B214, 'Resource costs'!$B$121:$B$142,0))</f>
        <v>2048.4257452836641</v>
      </c>
      <c r="Z214" s="90">
        <f>INDEX(Z$154:Z$171,MATCH($B214,$B$154:$B$171,0))*INDEX('Resource costs'!$C$121:$C$142, MATCH($B214, 'Resource costs'!$B$121:$B$142,0))</f>
        <v>2072.9931357076421</v>
      </c>
      <c r="AA214" s="90">
        <f>INDEX(AA$154:AA$171,MATCH($B214,$B$154:$B$171,0))*INDEX('Resource costs'!$C$121:$C$142, MATCH($B214, 'Resource costs'!$B$121:$B$142,0))</f>
        <v>2097.0937021122131</v>
      </c>
      <c r="AB214" s="90">
        <f>INDEX(AB$154:AB$171,MATCH($B214,$B$154:$B$171,0))*INDEX('Resource costs'!$C$121:$C$142, MATCH($B214, 'Resource costs'!$B$121:$B$142,0))</f>
        <v>2120.5695175997644</v>
      </c>
      <c r="AC214" s="90">
        <f>INDEX(AC$154:AC$171,MATCH($B214,$B$154:$B$171,0))*INDEX('Resource costs'!$C$121:$C$142, MATCH($B214, 'Resource costs'!$B$121:$B$142,0))</f>
        <v>2143.5217441926961</v>
      </c>
      <c r="AD214" s="90">
        <f>INDEX(AD$154:AD$171,MATCH($B214,$B$154:$B$171,0))*INDEX('Resource costs'!$C$121:$C$142, MATCH($B214, 'Resource costs'!$B$121:$B$142,0))</f>
        <v>2165.720050053872</v>
      </c>
      <c r="AE214" s="90">
        <f>INDEX(AE$154:AE$171,MATCH($B214,$B$154:$B$171,0))*INDEX('Resource costs'!$C$121:$C$142, MATCH($B214, 'Resource costs'!$B$121:$B$142,0))</f>
        <v>2186.962980252109</v>
      </c>
      <c r="AF214" s="90">
        <f>INDEX(AF$154:AF$171,MATCH($B214,$B$154:$B$171,0))*INDEX('Resource costs'!$C$121:$C$142, MATCH($B214, 'Resource costs'!$B$121:$B$142,0))</f>
        <v>2207.1114020982686</v>
      </c>
      <c r="AG214" s="90">
        <f>INDEX(AG$154:AG$171,MATCH($B214,$B$154:$B$171,0))*INDEX('Resource costs'!$C$121:$C$142, MATCH($B214, 'Resource costs'!$B$121:$B$142,0))</f>
        <v>2226.2150859539638</v>
      </c>
      <c r="AH214" s="90">
        <f>INDEX(AH$154:AH$171,MATCH($B214,$B$154:$B$171,0))*INDEX('Resource costs'!$C$121:$C$142, MATCH($B214, 'Resource costs'!$B$121:$B$142,0))</f>
        <v>2244.6765567804268</v>
      </c>
      <c r="AI214" s="90">
        <f>INDEX(AI$154:AI$171,MATCH($B214,$B$154:$B$171,0))*INDEX('Resource costs'!$C$121:$C$142, MATCH($B214, 'Resource costs'!$B$121:$B$142,0))</f>
        <v>2262.5450322825473</v>
      </c>
      <c r="AJ214" s="90">
        <f>INDEX(AJ$154:AJ$171,MATCH($B214,$B$154:$B$171,0))*INDEX('Resource costs'!$C$121:$C$142, MATCH($B214, 'Resource costs'!$B$121:$B$142,0))</f>
        <v>2280.0560333345984</v>
      </c>
      <c r="AK214" s="90">
        <f>INDEX(AK$154:AK$171,MATCH($B214,$B$154:$B$171,0))*INDEX('Resource costs'!$C$121:$C$142, MATCH($B214, 'Resource costs'!$B$121:$B$142,0))</f>
        <v>2296.9688596010278</v>
      </c>
      <c r="AL214" s="90">
        <f>INDEX(AL$154:AL$171,MATCH($B214,$B$154:$B$171,0))*INDEX('Resource costs'!$C$121:$C$142, MATCH($B214, 'Resource costs'!$B$121:$B$142,0))</f>
        <v>2312.909623339815</v>
      </c>
      <c r="AM214" s="90">
        <f>INDEX(AM$154:AM$171,MATCH($B214,$B$154:$B$171,0))*INDEX('Resource costs'!$C$121:$C$142, MATCH($B214, 'Resource costs'!$B$121:$B$142,0))</f>
        <v>2327.6752005029571</v>
      </c>
      <c r="AN214" s="90">
        <f>INDEX(AN$154:AN$171,MATCH($B214,$B$154:$B$171,0))*INDEX('Resource costs'!$C$121:$C$142, MATCH($B214, 'Resource costs'!$B$121:$B$142,0))</f>
        <v>2341.1395470155662</v>
      </c>
      <c r="AO214" s="90">
        <f>INDEX(AO$154:AO$171,MATCH($B214,$B$154:$B$171,0))*INDEX('Resource costs'!$C$121:$C$142, MATCH($B214, 'Resource costs'!$B$121:$B$142,0))</f>
        <v>2353.208166047948</v>
      </c>
      <c r="AP214" s="90">
        <f>INDEX(AP$154:AP$171,MATCH($B214,$B$154:$B$171,0))*INDEX('Resource costs'!$C$121:$C$142, MATCH($B214, 'Resource costs'!$B$121:$B$142,0))</f>
        <v>2363.7940604232194</v>
      </c>
      <c r="AQ214" s="90">
        <f>INDEX(AQ$154:AQ$171,MATCH($B214,$B$154:$B$171,0))*INDEX('Resource costs'!$C$121:$C$142, MATCH($B214, 'Resource costs'!$B$121:$B$142,0))</f>
        <v>2373.5442488716794</v>
      </c>
      <c r="AR214" s="90">
        <f>INDEX(AR$154:AR$171,MATCH($B214,$B$154:$B$171,0))*INDEX('Resource costs'!$C$121:$C$142, MATCH($B214, 'Resource costs'!$B$121:$B$142,0))</f>
        <v>2383.0616826076998</v>
      </c>
      <c r="AS214" s="90">
        <f>INDEX(AS$154:AS$171,MATCH($B214,$B$154:$B$171,0))*INDEX('Resource costs'!$C$121:$C$142, MATCH($B214, 'Resource costs'!$B$121:$B$142,0))</f>
        <v>2392.7808202548217</v>
      </c>
      <c r="AT214" s="90">
        <f>INDEX(AT$154:AT$171,MATCH($B214,$B$154:$B$171,0))*INDEX('Resource costs'!$C$121:$C$142, MATCH($B214, 'Resource costs'!$B$121:$B$142,0))</f>
        <v>2400.1617340035318</v>
      </c>
      <c r="AU214" s="90">
        <f>INDEX(AU$154:AU$171,MATCH($B214,$B$154:$B$171,0))*INDEX('Resource costs'!$C$121:$C$142, MATCH($B214, 'Resource costs'!$B$121:$B$142,0))</f>
        <v>2405.9662024917548</v>
      </c>
      <c r="AV214" s="90">
        <f>INDEX(AV$154:AV$171,MATCH($B214,$B$154:$B$171,0))*INDEX('Resource costs'!$C$121:$C$142, MATCH($B214, 'Resource costs'!$B$121:$B$142,0))</f>
        <v>2410.7124140189962</v>
      </c>
      <c r="AW214" s="90">
        <f>INDEX(AW$154:AW$171,MATCH($B214,$B$154:$B$171,0))*INDEX('Resource costs'!$C$121:$C$142, MATCH($B214, 'Resource costs'!$B$121:$B$142,0))</f>
        <v>2413.2544242665754</v>
      </c>
      <c r="AX214" s="90">
        <f>INDEX(AX$154:AX$171,MATCH($B214,$B$154:$B$171,0))*INDEX('Resource costs'!$C$121:$C$142, MATCH($B214, 'Resource costs'!$B$121:$B$142,0))</f>
        <v>2414.46174190693</v>
      </c>
      <c r="AY214" s="90">
        <f>INDEX(AY$154:AY$171,MATCH($B214,$B$154:$B$171,0))*INDEX('Resource costs'!$C$121:$C$142, MATCH($B214, 'Resource costs'!$B$121:$B$142,0))</f>
        <v>2414.8841256882702</v>
      </c>
      <c r="AZ214" s="90">
        <f>INDEX(AZ$154:AZ$171,MATCH($B214,$B$154:$B$171,0))*INDEX('Resource costs'!$C$121:$C$142, MATCH($B214, 'Resource costs'!$B$121:$B$142,0))</f>
        <v>2414.8653218026561</v>
      </c>
      <c r="BA214" s="90">
        <f>INDEX(BA$154:BA$171,MATCH($B214,$B$154:$B$171,0))*INDEX('Resource costs'!$C$121:$C$142, MATCH($B214, 'Resource costs'!$B$121:$B$142,0))</f>
        <v>2414.6168804173226</v>
      </c>
      <c r="BB214" s="90">
        <f>INDEX(BB$154:BB$171,MATCH($B214,$B$154:$B$171,0))*INDEX('Resource costs'!$C$121:$C$142, MATCH($B214, 'Resource costs'!$B$121:$B$142,0))</f>
        <v>2414.2660672560555</v>
      </c>
    </row>
    <row r="215" spans="1:54" ht="29">
      <c r="B215" s="6" t="s">
        <v>2870</v>
      </c>
      <c r="C215" s="52"/>
      <c r="D215" s="90">
        <f>INDEX(D$154:D$171,MATCH($B215,$B$154:$B$171,0))*INDEX('Resource costs'!$C$121:$C$142, MATCH($B215, 'Resource costs'!$B$121:$B$142,0))</f>
        <v>9501.9113250099381</v>
      </c>
      <c r="E215" s="90">
        <f>INDEX(E$154:E$171,MATCH($B215,$B$154:$B$171,0))*INDEX('Resource costs'!$C$121:$C$142, MATCH($B215, 'Resource costs'!$B$121:$B$142,0))</f>
        <v>9867.1593136869033</v>
      </c>
      <c r="F215" s="90">
        <f>INDEX(F$154:F$171,MATCH($B215,$B$154:$B$171,0))*INDEX('Resource costs'!$C$121:$C$142, MATCH($B215, 'Resource costs'!$B$121:$B$142,0))</f>
        <v>10182.592081138704</v>
      </c>
      <c r="G215" s="90">
        <f>INDEX(G$154:G$171,MATCH($B215,$B$154:$B$171,0))*INDEX('Resource costs'!$C$121:$C$142, MATCH($B215, 'Resource costs'!$B$121:$B$142,0))</f>
        <v>10462.637509822278</v>
      </c>
      <c r="H215" s="90">
        <f>INDEX(H$154:H$171,MATCH($B215,$B$154:$B$171,0))*INDEX('Resource costs'!$C$121:$C$142, MATCH($B215, 'Resource costs'!$B$121:$B$142,0))</f>
        <v>17347.301263531885</v>
      </c>
      <c r="I215" s="90">
        <f>INDEX(I$154:I$171,MATCH($B215,$B$154:$B$171,0))*INDEX('Resource costs'!$C$121:$C$142, MATCH($B215, 'Resource costs'!$B$121:$B$142,0))</f>
        <v>15894.520318890151</v>
      </c>
      <c r="J215" s="90">
        <f>INDEX(J$154:J$171,MATCH($B215,$B$154:$B$171,0))*INDEX('Resource costs'!$C$121:$C$142, MATCH($B215, 'Resource costs'!$B$121:$B$142,0))</f>
        <v>14978.390098147682</v>
      </c>
      <c r="K215" s="90">
        <f>INDEX(K$154:K$171,MATCH($B215,$B$154:$B$171,0))*INDEX('Resource costs'!$C$121:$C$142, MATCH($B215, 'Resource costs'!$B$121:$B$142,0))</f>
        <v>14428.966341624904</v>
      </c>
      <c r="L215" s="90">
        <f>INDEX(L$154:L$171,MATCH($B215,$B$154:$B$171,0))*INDEX('Resource costs'!$C$121:$C$142, MATCH($B215, 'Resource costs'!$B$121:$B$142,0))</f>
        <v>14152.132703396994</v>
      </c>
      <c r="M215" s="90">
        <f>INDEX(M$154:M$171,MATCH($B215,$B$154:$B$171,0))*INDEX('Resource costs'!$C$121:$C$142, MATCH($B215, 'Resource costs'!$B$121:$B$142,0))</f>
        <v>14047.091974569272</v>
      </c>
      <c r="N215" s="90">
        <f>INDEX(N$154:N$171,MATCH($B215,$B$154:$B$171,0))*INDEX('Resource costs'!$C$121:$C$142, MATCH($B215, 'Resource costs'!$B$121:$B$142,0))</f>
        <v>14051.758956369677</v>
      </c>
      <c r="O215" s="90">
        <f>INDEX(O$154:O$171,MATCH($B215,$B$154:$B$171,0))*INDEX('Resource costs'!$C$121:$C$142, MATCH($B215, 'Resource costs'!$B$121:$B$142,0))</f>
        <v>14134.59339694795</v>
      </c>
      <c r="P215" s="90">
        <f>INDEX(P$154:P$171,MATCH($B215,$B$154:$B$171,0))*INDEX('Resource costs'!$C$121:$C$142, MATCH($B215, 'Resource costs'!$B$121:$B$142,0))</f>
        <v>14259.247524853452</v>
      </c>
      <c r="Q215" s="90">
        <f>INDEX(Q$154:Q$171,MATCH($B215,$B$154:$B$171,0))*INDEX('Resource costs'!$C$121:$C$142, MATCH($B215, 'Resource costs'!$B$121:$B$142,0))</f>
        <v>14409.152457065151</v>
      </c>
      <c r="R215" s="90">
        <f>INDEX(R$154:R$171,MATCH($B215,$B$154:$B$171,0))*INDEX('Resource costs'!$C$121:$C$142, MATCH($B215, 'Resource costs'!$B$121:$B$142,0))</f>
        <v>14576.731787502062</v>
      </c>
      <c r="S215" s="90">
        <f>INDEX(S$154:S$171,MATCH($B215,$B$154:$B$171,0))*INDEX('Resource costs'!$C$121:$C$142, MATCH($B215, 'Resource costs'!$B$121:$B$142,0))</f>
        <v>14755.051189575899</v>
      </c>
      <c r="T215" s="90">
        <f>INDEX(T$154:T$171,MATCH($B215,$B$154:$B$171,0))*INDEX('Resource costs'!$C$121:$C$142, MATCH($B215, 'Resource costs'!$B$121:$B$142,0))</f>
        <v>14938.117499777729</v>
      </c>
      <c r="U215" s="90">
        <f>INDEX(U$154:U$171,MATCH($B215,$B$154:$B$171,0))*INDEX('Resource costs'!$C$121:$C$142, MATCH($B215, 'Resource costs'!$B$121:$B$142,0))</f>
        <v>15125.246820820696</v>
      </c>
      <c r="V215" s="90">
        <f>INDEX(V$154:V$171,MATCH($B215,$B$154:$B$171,0))*INDEX('Resource costs'!$C$121:$C$142, MATCH($B215, 'Resource costs'!$B$121:$B$142,0))</f>
        <v>15322.304475415955</v>
      </c>
      <c r="W215" s="90">
        <f>INDEX(W$154:W$171,MATCH($B215,$B$154:$B$171,0))*INDEX('Resource costs'!$C$121:$C$142, MATCH($B215, 'Resource costs'!$B$121:$B$142,0))</f>
        <v>15518.541098050257</v>
      </c>
      <c r="X215" s="90">
        <f>INDEX(X$154:X$171,MATCH($B215,$B$154:$B$171,0))*INDEX('Resource costs'!$C$121:$C$142, MATCH($B215, 'Resource costs'!$B$121:$B$142,0))</f>
        <v>15711.445854552936</v>
      </c>
      <c r="Y215" s="90">
        <f>INDEX(Y$154:Y$171,MATCH($B215,$B$154:$B$171,0))*INDEX('Resource costs'!$C$121:$C$142, MATCH($B215, 'Resource costs'!$B$121:$B$142,0))</f>
        <v>15904.09242579672</v>
      </c>
      <c r="Z215" s="90">
        <f>INDEX(Z$154:Z$171,MATCH($B215,$B$154:$B$171,0))*INDEX('Resource costs'!$C$121:$C$142, MATCH($B215, 'Resource costs'!$B$121:$B$142,0))</f>
        <v>16094.835023551695</v>
      </c>
      <c r="AA215" s="90">
        <f>INDEX(AA$154:AA$171,MATCH($B215,$B$154:$B$171,0))*INDEX('Resource costs'!$C$121:$C$142, MATCH($B215, 'Resource costs'!$B$121:$B$142,0))</f>
        <v>16281.953173425987</v>
      </c>
      <c r="AB215" s="90">
        <f>INDEX(AB$154:AB$171,MATCH($B215,$B$154:$B$171,0))*INDEX('Resource costs'!$C$121:$C$142, MATCH($B215, 'Resource costs'!$B$121:$B$142,0))</f>
        <v>16464.220722125083</v>
      </c>
      <c r="AC215" s="90">
        <f>INDEX(AC$154:AC$171,MATCH($B215,$B$154:$B$171,0))*INDEX('Resource costs'!$C$121:$C$142, MATCH($B215, 'Resource costs'!$B$121:$B$142,0))</f>
        <v>16642.423097267198</v>
      </c>
      <c r="AD215" s="90">
        <f>INDEX(AD$154:AD$171,MATCH($B215,$B$154:$B$171,0))*INDEX('Resource costs'!$C$121:$C$142, MATCH($B215, 'Resource costs'!$B$121:$B$142,0))</f>
        <v>16814.77198954465</v>
      </c>
      <c r="AE215" s="90">
        <f>INDEX(AE$154:AE$171,MATCH($B215,$B$154:$B$171,0))*INDEX('Resource costs'!$C$121:$C$142, MATCH($B215, 'Resource costs'!$B$121:$B$142,0))</f>
        <v>16979.703291567865</v>
      </c>
      <c r="AF215" s="90">
        <f>INDEX(AF$154:AF$171,MATCH($B215,$B$154:$B$171,0))*INDEX('Resource costs'!$C$121:$C$142, MATCH($B215, 'Resource costs'!$B$121:$B$142,0))</f>
        <v>17136.136769331486</v>
      </c>
      <c r="AG215" s="90">
        <f>INDEX(AG$154:AG$171,MATCH($B215,$B$154:$B$171,0))*INDEX('Resource costs'!$C$121:$C$142, MATCH($B215, 'Resource costs'!$B$121:$B$142,0))</f>
        <v>17284.458842715751</v>
      </c>
      <c r="AH215" s="90">
        <f>INDEX(AH$154:AH$171,MATCH($B215,$B$154:$B$171,0))*INDEX('Resource costs'!$C$121:$C$142, MATCH($B215, 'Resource costs'!$B$121:$B$142,0))</f>
        <v>17427.794738105778</v>
      </c>
      <c r="AI215" s="90">
        <f>INDEX(AI$154:AI$171,MATCH($B215,$B$154:$B$171,0))*INDEX('Resource costs'!$C$121:$C$142, MATCH($B215, 'Resource costs'!$B$121:$B$142,0))</f>
        <v>17566.526584523992</v>
      </c>
      <c r="AJ215" s="90">
        <f>INDEX(AJ$154:AJ$171,MATCH($B215,$B$154:$B$171,0))*INDEX('Resource costs'!$C$121:$C$142, MATCH($B215, 'Resource costs'!$B$121:$B$142,0))</f>
        <v>17702.482979253582</v>
      </c>
      <c r="AK215" s="90">
        <f>INDEX(AK$154:AK$171,MATCH($B215,$B$154:$B$171,0))*INDEX('Resource costs'!$C$121:$C$142, MATCH($B215, 'Resource costs'!$B$121:$B$142,0))</f>
        <v>17833.795111383366</v>
      </c>
      <c r="AL215" s="90">
        <f>INDEX(AL$154:AL$171,MATCH($B215,$B$154:$B$171,0))*INDEX('Resource costs'!$C$121:$C$142, MATCH($B215, 'Resource costs'!$B$121:$B$142,0))</f>
        <v>17957.560095505036</v>
      </c>
      <c r="AM215" s="90">
        <f>INDEX(AM$154:AM$171,MATCH($B215,$B$154:$B$171,0))*INDEX('Resource costs'!$C$121:$C$142, MATCH($B215, 'Resource costs'!$B$121:$B$142,0))</f>
        <v>18072.200865112398</v>
      </c>
      <c r="AN215" s="90">
        <f>INDEX(AN$154:AN$171,MATCH($B215,$B$154:$B$171,0))*INDEX('Resource costs'!$C$121:$C$142, MATCH($B215, 'Resource costs'!$B$121:$B$142,0))</f>
        <v>18176.73880693554</v>
      </c>
      <c r="AO215" s="90">
        <f>INDEX(AO$154:AO$171,MATCH($B215,$B$154:$B$171,0))*INDEX('Resource costs'!$C$121:$C$142, MATCH($B215, 'Resource costs'!$B$121:$B$142,0))</f>
        <v>18270.440242286397</v>
      </c>
      <c r="AP215" s="90">
        <f>INDEX(AP$154:AP$171,MATCH($B215,$B$154:$B$171,0))*INDEX('Resource costs'!$C$121:$C$142, MATCH($B215, 'Resource costs'!$B$121:$B$142,0))</f>
        <v>18352.629720202141</v>
      </c>
      <c r="AQ215" s="90">
        <f>INDEX(AQ$154:AQ$171,MATCH($B215,$B$154:$B$171,0))*INDEX('Resource costs'!$C$121:$C$142, MATCH($B215, 'Resource costs'!$B$121:$B$142,0))</f>
        <v>18428.330730409751</v>
      </c>
      <c r="AR215" s="90">
        <f>INDEX(AR$154:AR$171,MATCH($B215,$B$154:$B$171,0))*INDEX('Resource costs'!$C$121:$C$142, MATCH($B215, 'Resource costs'!$B$121:$B$142,0))</f>
        <v>18502.224619969857</v>
      </c>
      <c r="AS215" s="90">
        <f>INDEX(AS$154:AS$171,MATCH($B215,$B$154:$B$171,0))*INDEX('Resource costs'!$C$121:$C$142, MATCH($B215, 'Resource costs'!$B$121:$B$142,0))</f>
        <v>18577.684550013575</v>
      </c>
      <c r="AT215" s="90">
        <f>INDEX(AT$154:AT$171,MATCH($B215,$B$154:$B$171,0))*INDEX('Resource costs'!$C$121:$C$142, MATCH($B215, 'Resource costs'!$B$121:$B$142,0))</f>
        <v>18634.990378509727</v>
      </c>
      <c r="AU215" s="90">
        <f>INDEX(AU$154:AU$171,MATCH($B215,$B$154:$B$171,0))*INDEX('Resource costs'!$C$121:$C$142, MATCH($B215, 'Resource costs'!$B$121:$B$142,0))</f>
        <v>18680.056597547376</v>
      </c>
      <c r="AV215" s="90">
        <f>INDEX(AV$154:AV$171,MATCH($B215,$B$154:$B$171,0))*INDEX('Resource costs'!$C$121:$C$142, MATCH($B215, 'Resource costs'!$B$121:$B$142,0))</f>
        <v>18716.906450160015</v>
      </c>
      <c r="AW215" s="90">
        <f>INDEX(AW$154:AW$171,MATCH($B215,$B$154:$B$171,0))*INDEX('Resource costs'!$C$121:$C$142, MATCH($B215, 'Resource costs'!$B$121:$B$142,0))</f>
        <v>18736.642760357201</v>
      </c>
      <c r="AX215" s="90">
        <f>INDEX(AX$154:AX$171,MATCH($B215,$B$154:$B$171,0))*INDEX('Resource costs'!$C$121:$C$142, MATCH($B215, 'Resource costs'!$B$121:$B$142,0))</f>
        <v>18746.016442260832</v>
      </c>
      <c r="AY215" s="90">
        <f>INDEX(AY$154:AY$171,MATCH($B215,$B$154:$B$171,0))*INDEX('Resource costs'!$C$121:$C$142, MATCH($B215, 'Resource costs'!$B$121:$B$142,0))</f>
        <v>18749.295853639571</v>
      </c>
      <c r="AZ215" s="90">
        <f>INDEX(AZ$154:AZ$171,MATCH($B215,$B$154:$B$171,0))*INDEX('Resource costs'!$C$121:$C$142, MATCH($B215, 'Resource costs'!$B$121:$B$142,0))</f>
        <v>18749.149859216559</v>
      </c>
      <c r="BA215" s="90">
        <f>INDEX(BA$154:BA$171,MATCH($B215,$B$154:$B$171,0))*INDEX('Resource costs'!$C$121:$C$142, MATCH($B215, 'Resource costs'!$B$121:$B$142,0))</f>
        <v>18747.220946360514</v>
      </c>
      <c r="BB215" s="90">
        <f>INDEX(BB$154:BB$171,MATCH($B215,$B$154:$B$171,0))*INDEX('Resource costs'!$C$121:$C$142, MATCH($B215, 'Resource costs'!$B$121:$B$142,0))</f>
        <v>18744.497213291921</v>
      </c>
    </row>
    <row r="216" spans="1:54" s="97" customFormat="1">
      <c r="B216" s="6" t="s">
        <v>102</v>
      </c>
      <c r="C216" s="315"/>
      <c r="D216" s="90">
        <f>INDEX(D$154:D$171,MATCH($B216,$B$154:$B$171,0))*INDEX('Resource costs'!$C$121:$C$142, MATCH($B216, 'Resource costs'!$B$121:$B$142,0))</f>
        <v>0</v>
      </c>
      <c r="E216" s="90">
        <f>INDEX(E$154:E$171,MATCH($B216,$B$154:$B$171,0))*INDEX('Resource costs'!$C$121:$C$142, MATCH($B216, 'Resource costs'!$B$121:$B$142,0))</f>
        <v>0</v>
      </c>
      <c r="F216" s="90">
        <f>INDEX(F$154:F$171,MATCH($B216,$B$154:$B$171,0))*INDEX('Resource costs'!$C$121:$C$142, MATCH($B216, 'Resource costs'!$B$121:$B$142,0))</f>
        <v>0</v>
      </c>
      <c r="G216" s="90">
        <f>INDEX(G$154:G$171,MATCH($B216,$B$154:$B$171,0))*INDEX('Resource costs'!$C$121:$C$142, MATCH($B216, 'Resource costs'!$B$121:$B$142,0))</f>
        <v>0</v>
      </c>
      <c r="H216" s="90">
        <f>INDEX(H$154:H$171,MATCH($B216,$B$154:$B$171,0))*INDEX('Resource costs'!$C$121:$C$142, MATCH($B216, 'Resource costs'!$B$121:$B$142,0))</f>
        <v>0</v>
      </c>
      <c r="I216" s="90">
        <f>INDEX(I$154:I$171,MATCH($B216,$B$154:$B$171,0))*INDEX('Resource costs'!$C$121:$C$142, MATCH($B216, 'Resource costs'!$B$121:$B$142,0))</f>
        <v>0</v>
      </c>
      <c r="J216" s="90">
        <f>INDEX(J$154:J$171,MATCH($B216,$B$154:$B$171,0))*INDEX('Resource costs'!$C$121:$C$142, MATCH($B216, 'Resource costs'!$B$121:$B$142,0))</f>
        <v>0</v>
      </c>
      <c r="K216" s="90">
        <f>INDEX(K$154:K$171,MATCH($B216,$B$154:$B$171,0))*INDEX('Resource costs'!$C$121:$C$142, MATCH($B216, 'Resource costs'!$B$121:$B$142,0))</f>
        <v>0</v>
      </c>
      <c r="L216" s="90">
        <f>INDEX(L$154:L$171,MATCH($B216,$B$154:$B$171,0))*INDEX('Resource costs'!$C$121:$C$142, MATCH($B216, 'Resource costs'!$B$121:$B$142,0))</f>
        <v>0</v>
      </c>
      <c r="M216" s="90">
        <f>INDEX(M$154:M$171,MATCH($B216,$B$154:$B$171,0))*INDEX('Resource costs'!$C$121:$C$142, MATCH($B216, 'Resource costs'!$B$121:$B$142,0))</f>
        <v>0</v>
      </c>
      <c r="N216" s="90">
        <f>INDEX(N$154:N$171,MATCH($B216,$B$154:$B$171,0))*INDEX('Resource costs'!$C$121:$C$142, MATCH($B216, 'Resource costs'!$B$121:$B$142,0))</f>
        <v>0</v>
      </c>
      <c r="O216" s="90">
        <f>INDEX(O$154:O$171,MATCH($B216,$B$154:$B$171,0))*INDEX('Resource costs'!$C$121:$C$142, MATCH($B216, 'Resource costs'!$B$121:$B$142,0))</f>
        <v>0</v>
      </c>
      <c r="P216" s="90">
        <f>INDEX(P$154:P$171,MATCH($B216,$B$154:$B$171,0))*INDEX('Resource costs'!$C$121:$C$142, MATCH($B216, 'Resource costs'!$B$121:$B$142,0))</f>
        <v>0</v>
      </c>
      <c r="Q216" s="90">
        <f>INDEX(Q$154:Q$171,MATCH($B216,$B$154:$B$171,0))*INDEX('Resource costs'!$C$121:$C$142, MATCH($B216, 'Resource costs'!$B$121:$B$142,0))</f>
        <v>0</v>
      </c>
      <c r="R216" s="90">
        <f>INDEX(R$154:R$171,MATCH($B216,$B$154:$B$171,0))*INDEX('Resource costs'!$C$121:$C$142, MATCH($B216, 'Resource costs'!$B$121:$B$142,0))</f>
        <v>0</v>
      </c>
      <c r="S216" s="90">
        <f>INDEX(S$154:S$171,MATCH($B216,$B$154:$B$171,0))*INDEX('Resource costs'!$C$121:$C$142, MATCH($B216, 'Resource costs'!$B$121:$B$142,0))</f>
        <v>0</v>
      </c>
      <c r="T216" s="90">
        <f>INDEX(T$154:T$171,MATCH($B216,$B$154:$B$171,0))*INDEX('Resource costs'!$C$121:$C$142, MATCH($B216, 'Resource costs'!$B$121:$B$142,0))</f>
        <v>0</v>
      </c>
      <c r="U216" s="90">
        <f>INDEX(U$154:U$171,MATCH($B216,$B$154:$B$171,0))*INDEX('Resource costs'!$C$121:$C$142, MATCH($B216, 'Resource costs'!$B$121:$B$142,0))</f>
        <v>0</v>
      </c>
      <c r="V216" s="90">
        <f>INDEX(V$154:V$171,MATCH($B216,$B$154:$B$171,0))*INDEX('Resource costs'!$C$121:$C$142, MATCH($B216, 'Resource costs'!$B$121:$B$142,0))</f>
        <v>0</v>
      </c>
      <c r="W216" s="90">
        <f>INDEX(W$154:W$171,MATCH($B216,$B$154:$B$171,0))*INDEX('Resource costs'!$C$121:$C$142, MATCH($B216, 'Resource costs'!$B$121:$B$142,0))</f>
        <v>0</v>
      </c>
      <c r="X216" s="90">
        <f>INDEX(X$154:X$171,MATCH($B216,$B$154:$B$171,0))*INDEX('Resource costs'!$C$121:$C$142, MATCH($B216, 'Resource costs'!$B$121:$B$142,0))</f>
        <v>0</v>
      </c>
      <c r="Y216" s="90">
        <f>INDEX(Y$154:Y$171,MATCH($B216,$B$154:$B$171,0))*INDEX('Resource costs'!$C$121:$C$142, MATCH($B216, 'Resource costs'!$B$121:$B$142,0))</f>
        <v>0</v>
      </c>
      <c r="Z216" s="90">
        <f>INDEX(Z$154:Z$171,MATCH($B216,$B$154:$B$171,0))*INDEX('Resource costs'!$C$121:$C$142, MATCH($B216, 'Resource costs'!$B$121:$B$142,0))</f>
        <v>0</v>
      </c>
      <c r="AA216" s="90">
        <f>INDEX(AA$154:AA$171,MATCH($B216,$B$154:$B$171,0))*INDEX('Resource costs'!$C$121:$C$142, MATCH($B216, 'Resource costs'!$B$121:$B$142,0))</f>
        <v>0</v>
      </c>
      <c r="AB216" s="90">
        <f>INDEX(AB$154:AB$171,MATCH($B216,$B$154:$B$171,0))*INDEX('Resource costs'!$C$121:$C$142, MATCH($B216, 'Resource costs'!$B$121:$B$142,0))</f>
        <v>0</v>
      </c>
      <c r="AC216" s="90">
        <f>INDEX(AC$154:AC$171,MATCH($B216,$B$154:$B$171,0))*INDEX('Resource costs'!$C$121:$C$142, MATCH($B216, 'Resource costs'!$B$121:$B$142,0))</f>
        <v>0</v>
      </c>
      <c r="AD216" s="90">
        <f>INDEX(AD$154:AD$171,MATCH($B216,$B$154:$B$171,0))*INDEX('Resource costs'!$C$121:$C$142, MATCH($B216, 'Resource costs'!$B$121:$B$142,0))</f>
        <v>0</v>
      </c>
      <c r="AE216" s="90">
        <f>INDEX(AE$154:AE$171,MATCH($B216,$B$154:$B$171,0))*INDEX('Resource costs'!$C$121:$C$142, MATCH($B216, 'Resource costs'!$B$121:$B$142,0))</f>
        <v>0</v>
      </c>
      <c r="AF216" s="90">
        <f>INDEX(AF$154:AF$171,MATCH($B216,$B$154:$B$171,0))*INDEX('Resource costs'!$C$121:$C$142, MATCH($B216, 'Resource costs'!$B$121:$B$142,0))</f>
        <v>0</v>
      </c>
      <c r="AG216" s="90">
        <f>INDEX(AG$154:AG$171,MATCH($B216,$B$154:$B$171,0))*INDEX('Resource costs'!$C$121:$C$142, MATCH($B216, 'Resource costs'!$B$121:$B$142,0))</f>
        <v>0</v>
      </c>
      <c r="AH216" s="90">
        <f>INDEX(AH$154:AH$171,MATCH($B216,$B$154:$B$171,0))*INDEX('Resource costs'!$C$121:$C$142, MATCH($B216, 'Resource costs'!$B$121:$B$142,0))</f>
        <v>0</v>
      </c>
      <c r="AI216" s="90">
        <f>INDEX(AI$154:AI$171,MATCH($B216,$B$154:$B$171,0))*INDEX('Resource costs'!$C$121:$C$142, MATCH($B216, 'Resource costs'!$B$121:$B$142,0))</f>
        <v>0</v>
      </c>
      <c r="AJ216" s="90">
        <f>INDEX(AJ$154:AJ$171,MATCH($B216,$B$154:$B$171,0))*INDEX('Resource costs'!$C$121:$C$142, MATCH($B216, 'Resource costs'!$B$121:$B$142,0))</f>
        <v>0</v>
      </c>
      <c r="AK216" s="90">
        <f>INDEX(AK$154:AK$171,MATCH($B216,$B$154:$B$171,0))*INDEX('Resource costs'!$C$121:$C$142, MATCH($B216, 'Resource costs'!$B$121:$B$142,0))</f>
        <v>0</v>
      </c>
      <c r="AL216" s="90">
        <f>INDEX(AL$154:AL$171,MATCH($B216,$B$154:$B$171,0))*INDEX('Resource costs'!$C$121:$C$142, MATCH($B216, 'Resource costs'!$B$121:$B$142,0))</f>
        <v>0</v>
      </c>
      <c r="AM216" s="90">
        <f>INDEX(AM$154:AM$171,MATCH($B216,$B$154:$B$171,0))*INDEX('Resource costs'!$C$121:$C$142, MATCH($B216, 'Resource costs'!$B$121:$B$142,0))</f>
        <v>0</v>
      </c>
      <c r="AN216" s="90">
        <f>INDEX(AN$154:AN$171,MATCH($B216,$B$154:$B$171,0))*INDEX('Resource costs'!$C$121:$C$142, MATCH($B216, 'Resource costs'!$B$121:$B$142,0))</f>
        <v>0</v>
      </c>
      <c r="AO216" s="90">
        <f>INDEX(AO$154:AO$171,MATCH($B216,$B$154:$B$171,0))*INDEX('Resource costs'!$C$121:$C$142, MATCH($B216, 'Resource costs'!$B$121:$B$142,0))</f>
        <v>0</v>
      </c>
      <c r="AP216" s="90">
        <f>INDEX(AP$154:AP$171,MATCH($B216,$B$154:$B$171,0))*INDEX('Resource costs'!$C$121:$C$142, MATCH($B216, 'Resource costs'!$B$121:$B$142,0))</f>
        <v>0</v>
      </c>
      <c r="AQ216" s="90">
        <f>INDEX(AQ$154:AQ$171,MATCH($B216,$B$154:$B$171,0))*INDEX('Resource costs'!$C$121:$C$142, MATCH($B216, 'Resource costs'!$B$121:$B$142,0))</f>
        <v>0</v>
      </c>
      <c r="AR216" s="90">
        <f>INDEX(AR$154:AR$171,MATCH($B216,$B$154:$B$171,0))*INDEX('Resource costs'!$C$121:$C$142, MATCH($B216, 'Resource costs'!$B$121:$B$142,0))</f>
        <v>0</v>
      </c>
      <c r="AS216" s="90">
        <f>INDEX(AS$154:AS$171,MATCH($B216,$B$154:$B$171,0))*INDEX('Resource costs'!$C$121:$C$142, MATCH($B216, 'Resource costs'!$B$121:$B$142,0))</f>
        <v>0</v>
      </c>
      <c r="AT216" s="90">
        <f>INDEX(AT$154:AT$171,MATCH($B216,$B$154:$B$171,0))*INDEX('Resource costs'!$C$121:$C$142, MATCH($B216, 'Resource costs'!$B$121:$B$142,0))</f>
        <v>0</v>
      </c>
      <c r="AU216" s="90">
        <f>INDEX(AU$154:AU$171,MATCH($B216,$B$154:$B$171,0))*INDEX('Resource costs'!$C$121:$C$142, MATCH($B216, 'Resource costs'!$B$121:$B$142,0))</f>
        <v>0</v>
      </c>
      <c r="AV216" s="90">
        <f>INDEX(AV$154:AV$171,MATCH($B216,$B$154:$B$171,0))*INDEX('Resource costs'!$C$121:$C$142, MATCH($B216, 'Resource costs'!$B$121:$B$142,0))</f>
        <v>0</v>
      </c>
      <c r="AW216" s="90">
        <f>INDEX(AW$154:AW$171,MATCH($B216,$B$154:$B$171,0))*INDEX('Resource costs'!$C$121:$C$142, MATCH($B216, 'Resource costs'!$B$121:$B$142,0))</f>
        <v>0</v>
      </c>
      <c r="AX216" s="90">
        <f>INDEX(AX$154:AX$171,MATCH($B216,$B$154:$B$171,0))*INDEX('Resource costs'!$C$121:$C$142, MATCH($B216, 'Resource costs'!$B$121:$B$142,0))</f>
        <v>0</v>
      </c>
      <c r="AY216" s="90">
        <f>INDEX(AY$154:AY$171,MATCH($B216,$B$154:$B$171,0))*INDEX('Resource costs'!$C$121:$C$142, MATCH($B216, 'Resource costs'!$B$121:$B$142,0))</f>
        <v>0</v>
      </c>
      <c r="AZ216" s="90">
        <f>INDEX(AZ$154:AZ$171,MATCH($B216,$B$154:$B$171,0))*INDEX('Resource costs'!$C$121:$C$142, MATCH($B216, 'Resource costs'!$B$121:$B$142,0))</f>
        <v>0</v>
      </c>
      <c r="BA216" s="90">
        <f>INDEX(BA$154:BA$171,MATCH($B216,$B$154:$B$171,0))*INDEX('Resource costs'!$C$121:$C$142, MATCH($B216, 'Resource costs'!$B$121:$B$142,0))</f>
        <v>0</v>
      </c>
      <c r="BB216" s="90">
        <f>INDEX(BB$154:BB$171,MATCH($B216,$B$154:$B$171,0))*INDEX('Resource costs'!$C$121:$C$142, MATCH($B216, 'Resource costs'!$B$121:$B$142,0))</f>
        <v>0</v>
      </c>
    </row>
    <row r="217" spans="1:54">
      <c r="B217" s="6" t="s">
        <v>2831</v>
      </c>
      <c r="C217" s="52"/>
      <c r="D217" s="90">
        <f>INDEX(D$154:D$171,MATCH($B217,$B$154:$B$171,0))*INDEX('Resource costs'!$C$121:$C$142, MATCH($B217, 'Resource costs'!$B$121:$B$142,0))</f>
        <v>54827.134587156354</v>
      </c>
      <c r="E217" s="90">
        <f>INDEX(E$154:E$171,MATCH($B217,$B$154:$B$171,0))*INDEX('Resource costs'!$C$121:$C$142, MATCH($B217, 'Resource costs'!$B$121:$B$142,0))</f>
        <v>56934.658005120822</v>
      </c>
      <c r="F217" s="90">
        <f>INDEX(F$154:F$171,MATCH($B217,$B$154:$B$171,0))*INDEX('Resource costs'!$C$121:$C$142, MATCH($B217, 'Resource costs'!$B$121:$B$142,0))</f>
        <v>58754.741796974246</v>
      </c>
      <c r="G217" s="90">
        <f>INDEX(G$154:G$171,MATCH($B217,$B$154:$B$171,0))*INDEX('Resource costs'!$C$121:$C$142, MATCH($B217, 'Resource costs'!$B$121:$B$142,0))</f>
        <v>60370.636524231784</v>
      </c>
      <c r="H217" s="90">
        <f>INDEX(H$154:H$171,MATCH($B217,$B$154:$B$171,0))*INDEX('Resource costs'!$C$121:$C$142, MATCH($B217, 'Resource costs'!$B$121:$B$142,0))</f>
        <v>55924.815696238045</v>
      </c>
      <c r="I217" s="90">
        <f>INDEX(I$154:I$171,MATCH($B217,$B$154:$B$171,0))*INDEX('Resource costs'!$C$121:$C$142, MATCH($B217, 'Resource costs'!$B$121:$B$142,0))</f>
        <v>51241.291421087823</v>
      </c>
      <c r="J217" s="90">
        <f>INDEX(J$154:J$171,MATCH($B217,$B$154:$B$171,0))*INDEX('Resource costs'!$C$121:$C$142, MATCH($B217, 'Resource costs'!$B$121:$B$142,0))</f>
        <v>48287.839874334371</v>
      </c>
      <c r="K217" s="90">
        <f>INDEX(K$154:K$171,MATCH($B217,$B$154:$B$171,0))*INDEX('Resource costs'!$C$121:$C$142, MATCH($B217, 'Resource costs'!$B$121:$B$142,0))</f>
        <v>46516.589011973119</v>
      </c>
      <c r="L217" s="90">
        <f>INDEX(L$154:L$171,MATCH($B217,$B$154:$B$171,0))*INDEX('Resource costs'!$C$121:$C$142, MATCH($B217, 'Resource costs'!$B$121:$B$142,0))</f>
        <v>45624.123379352706</v>
      </c>
      <c r="M217" s="90">
        <f>INDEX(M$154:M$171,MATCH($B217,$B$154:$B$171,0))*INDEX('Resource costs'!$C$121:$C$142, MATCH($B217, 'Resource costs'!$B$121:$B$142,0))</f>
        <v>45285.489530141924</v>
      </c>
      <c r="N217" s="90">
        <f>INDEX(N$154:N$171,MATCH($B217,$B$154:$B$171,0))*INDEX('Resource costs'!$C$121:$C$142, MATCH($B217, 'Resource costs'!$B$121:$B$142,0))</f>
        <v>45300.535103691407</v>
      </c>
      <c r="O217" s="90">
        <f>INDEX(O$154:O$171,MATCH($B217,$B$154:$B$171,0))*INDEX('Resource costs'!$C$121:$C$142, MATCH($B217, 'Resource costs'!$B$121:$B$142,0))</f>
        <v>45567.579570854694</v>
      </c>
      <c r="P217" s="90">
        <f>INDEX(P$154:P$171,MATCH($B217,$B$154:$B$171,0))*INDEX('Resource costs'!$C$121:$C$142, MATCH($B217, 'Resource costs'!$B$121:$B$142,0))</f>
        <v>45969.443758429828</v>
      </c>
      <c r="Q217" s="90">
        <f>INDEX(Q$154:Q$171,MATCH($B217,$B$154:$B$171,0))*INDEX('Resource costs'!$C$121:$C$142, MATCH($B217, 'Resource costs'!$B$121:$B$142,0))</f>
        <v>46452.712341740837</v>
      </c>
      <c r="R217" s="90">
        <f>INDEX(R$154:R$171,MATCH($B217,$B$154:$B$171,0))*INDEX('Resource costs'!$C$121:$C$142, MATCH($B217, 'Resource costs'!$B$121:$B$142,0))</f>
        <v>46992.960246980423</v>
      </c>
      <c r="S217" s="90">
        <f>INDEX(S$154:S$171,MATCH($B217,$B$154:$B$171,0))*INDEX('Resource costs'!$C$121:$C$142, MATCH($B217, 'Resource costs'!$B$121:$B$142,0))</f>
        <v>47567.832357895299</v>
      </c>
      <c r="T217" s="90">
        <f>INDEX(T$154:T$171,MATCH($B217,$B$154:$B$171,0))*INDEX('Resource costs'!$C$121:$C$142, MATCH($B217, 'Resource costs'!$B$121:$B$142,0))</f>
        <v>48158.007711553924</v>
      </c>
      <c r="U217" s="90">
        <f>INDEX(U$154:U$171,MATCH($B217,$B$154:$B$171,0))*INDEX('Resource costs'!$C$121:$C$142, MATCH($B217, 'Resource costs'!$B$121:$B$142,0))</f>
        <v>48761.281536785187</v>
      </c>
      <c r="V217" s="90">
        <f>INDEX(V$154:V$171,MATCH($B217,$B$154:$B$171,0))*INDEX('Resource costs'!$C$121:$C$142, MATCH($B217, 'Resource costs'!$B$121:$B$142,0))</f>
        <v>49396.562659039082</v>
      </c>
      <c r="W217" s="90">
        <f>INDEX(W$154:W$171,MATCH($B217,$B$154:$B$171,0))*INDEX('Resource costs'!$C$121:$C$142, MATCH($B217, 'Resource costs'!$B$121:$B$142,0))</f>
        <v>50029.196910727922</v>
      </c>
      <c r="X217" s="90">
        <f>INDEX(X$154:X$171,MATCH($B217,$B$154:$B$171,0))*INDEX('Resource costs'!$C$121:$C$142, MATCH($B217, 'Resource costs'!$B$121:$B$142,0))</f>
        <v>50651.08977985214</v>
      </c>
      <c r="Y217" s="90">
        <f>INDEX(Y$154:Y$171,MATCH($B217,$B$154:$B$171,0))*INDEX('Resource costs'!$C$121:$C$142, MATCH($B217, 'Resource costs'!$B$121:$B$142,0))</f>
        <v>51272.150302618858</v>
      </c>
      <c r="Z217" s="90">
        <f>INDEX(Z$154:Z$171,MATCH($B217,$B$154:$B$171,0))*INDEX('Resource costs'!$C$121:$C$142, MATCH($B217, 'Resource costs'!$B$121:$B$142,0))</f>
        <v>51887.072731348089</v>
      </c>
      <c r="AA217" s="90">
        <f>INDEX(AA$154:AA$171,MATCH($B217,$B$154:$B$171,0))*INDEX('Resource costs'!$C$121:$C$142, MATCH($B217, 'Resource costs'!$B$121:$B$142,0))</f>
        <v>52490.310542588493</v>
      </c>
      <c r="AB217" s="90">
        <f>INDEX(AB$154:AB$171,MATCH($B217,$B$154:$B$171,0))*INDEX('Resource costs'!$C$121:$C$142, MATCH($B217, 'Resource costs'!$B$121:$B$142,0))</f>
        <v>53077.910821937454</v>
      </c>
      <c r="AC217" s="90">
        <f>INDEX(AC$154:AC$171,MATCH($B217,$B$154:$B$171,0))*INDEX('Resource costs'!$C$121:$C$142, MATCH($B217, 'Resource costs'!$B$121:$B$142,0))</f>
        <v>53652.405657477408</v>
      </c>
      <c r="AD217" s="90">
        <f>INDEX(AD$154:AD$171,MATCH($B217,$B$154:$B$171,0))*INDEX('Resource costs'!$C$121:$C$142, MATCH($B217, 'Resource costs'!$B$121:$B$142,0))</f>
        <v>54208.029837264374</v>
      </c>
      <c r="AE217" s="90">
        <f>INDEX(AE$154:AE$171,MATCH($B217,$B$154:$B$171,0))*INDEX('Resource costs'!$C$121:$C$142, MATCH($B217, 'Resource costs'!$B$121:$B$142,0))</f>
        <v>54739.740939070129</v>
      </c>
      <c r="AF217" s="90">
        <f>INDEX(AF$154:AF$171,MATCH($B217,$B$154:$B$171,0))*INDEX('Resource costs'!$C$121:$C$142, MATCH($B217, 'Resource costs'!$B$121:$B$142,0))</f>
        <v>55244.056468024675</v>
      </c>
      <c r="AG217" s="90">
        <f>INDEX(AG$154:AG$171,MATCH($B217,$B$154:$B$171,0))*INDEX('Resource costs'!$C$121:$C$142, MATCH($B217, 'Resource costs'!$B$121:$B$142,0))</f>
        <v>55722.222177588774</v>
      </c>
      <c r="AH217" s="90">
        <f>INDEX(AH$154:AH$171,MATCH($B217,$B$154:$B$171,0))*INDEX('Resource costs'!$C$121:$C$142, MATCH($B217, 'Resource costs'!$B$121:$B$142,0))</f>
        <v>56184.313278133275</v>
      </c>
      <c r="AI217" s="90">
        <f>INDEX(AI$154:AI$171,MATCH($B217,$B$154:$B$171,0))*INDEX('Resource costs'!$C$121:$C$142, MATCH($B217, 'Resource costs'!$B$121:$B$142,0))</f>
        <v>56631.561690106602</v>
      </c>
      <c r="AJ217" s="90">
        <f>INDEX(AJ$154:AJ$171,MATCH($B217,$B$154:$B$171,0))*INDEX('Resource costs'!$C$121:$C$142, MATCH($B217, 'Resource costs'!$B$121:$B$142,0))</f>
        <v>57069.862507188816</v>
      </c>
      <c r="AK217" s="90">
        <f>INDEX(AK$154:AK$171,MATCH($B217,$B$154:$B$171,0))*INDEX('Resource costs'!$C$121:$C$142, MATCH($B217, 'Resource costs'!$B$121:$B$142,0))</f>
        <v>57493.19099364776</v>
      </c>
      <c r="AL217" s="90">
        <f>INDEX(AL$154:AL$171,MATCH($B217,$B$154:$B$171,0))*INDEX('Resource costs'!$C$121:$C$142, MATCH($B217, 'Resource costs'!$B$121:$B$142,0))</f>
        <v>57892.188729462898</v>
      </c>
      <c r="AM217" s="90">
        <f>INDEX(AM$154:AM$171,MATCH($B217,$B$154:$B$171,0))*INDEX('Resource costs'!$C$121:$C$142, MATCH($B217, 'Resource costs'!$B$121:$B$142,0))</f>
        <v>58261.771514368142</v>
      </c>
      <c r="AN217" s="90">
        <f>INDEX(AN$154:AN$171,MATCH($B217,$B$154:$B$171,0))*INDEX('Resource costs'!$C$121:$C$142, MATCH($B217, 'Resource costs'!$B$121:$B$142,0))</f>
        <v>58598.784461852571</v>
      </c>
      <c r="AO217" s="90">
        <f>INDEX(AO$154:AO$171,MATCH($B217,$B$154:$B$171,0))*INDEX('Resource costs'!$C$121:$C$142, MATCH($B217, 'Resource costs'!$B$121:$B$142,0))</f>
        <v>58900.862313782542</v>
      </c>
      <c r="AP217" s="90">
        <f>INDEX(AP$154:AP$171,MATCH($B217,$B$154:$B$171,0))*INDEX('Resource costs'!$C$121:$C$142, MATCH($B217, 'Resource costs'!$B$121:$B$142,0))</f>
        <v>59165.827528531583</v>
      </c>
      <c r="AQ217" s="90">
        <f>INDEX(AQ$154:AQ$171,MATCH($B217,$B$154:$B$171,0))*INDEX('Resource costs'!$C$121:$C$142, MATCH($B217, 'Resource costs'!$B$121:$B$142,0))</f>
        <v>59409.875001943452</v>
      </c>
      <c r="AR217" s="90">
        <f>INDEX(AR$154:AR$171,MATCH($B217,$B$154:$B$171,0))*INDEX('Resource costs'!$C$121:$C$142, MATCH($B217, 'Resource costs'!$B$121:$B$142,0))</f>
        <v>59648.096618778713</v>
      </c>
      <c r="AS217" s="90">
        <f>INDEX(AS$154:AS$171,MATCH($B217,$B$154:$B$171,0))*INDEX('Resource costs'!$C$121:$C$142, MATCH($B217, 'Resource costs'!$B$121:$B$142,0))</f>
        <v>59891.366889816076</v>
      </c>
      <c r="AT217" s="90">
        <f>INDEX(AT$154:AT$171,MATCH($B217,$B$154:$B$171,0))*INDEX('Resource costs'!$C$121:$C$142, MATCH($B217, 'Resource costs'!$B$121:$B$142,0))</f>
        <v>60076.111355152862</v>
      </c>
      <c r="AU217" s="90">
        <f>INDEX(AU$154:AU$171,MATCH($B217,$B$154:$B$171,0))*INDEX('Resource costs'!$C$121:$C$142, MATCH($B217, 'Resource costs'!$B$121:$B$142,0))</f>
        <v>60221.39735414023</v>
      </c>
      <c r="AV217" s="90">
        <f>INDEX(AV$154:AV$171,MATCH($B217,$B$154:$B$171,0))*INDEX('Resource costs'!$C$121:$C$142, MATCH($B217, 'Resource costs'!$B$121:$B$142,0))</f>
        <v>60340.195153549379</v>
      </c>
      <c r="AW217" s="90">
        <f>INDEX(AW$154:AW$171,MATCH($B217,$B$154:$B$171,0))*INDEX('Resource costs'!$C$121:$C$142, MATCH($B217, 'Resource costs'!$B$121:$B$142,0))</f>
        <v>60403.821736931648</v>
      </c>
      <c r="AX217" s="90">
        <f>INDEX(AX$154:AX$171,MATCH($B217,$B$154:$B$171,0))*INDEX('Resource costs'!$C$121:$C$142, MATCH($B217, 'Resource costs'!$B$121:$B$142,0))</f>
        <v>60434.040929236668</v>
      </c>
      <c r="AY217" s="90">
        <f>INDEX(AY$154:AY$171,MATCH($B217,$B$154:$B$171,0))*INDEX('Resource costs'!$C$121:$C$142, MATCH($B217, 'Resource costs'!$B$121:$B$142,0))</f>
        <v>60444.613206397364</v>
      </c>
      <c r="AZ217" s="90">
        <f>INDEX(AZ$154:AZ$171,MATCH($B217,$B$154:$B$171,0))*INDEX('Resource costs'!$C$121:$C$142, MATCH($B217, 'Resource costs'!$B$121:$B$142,0))</f>
        <v>60444.142544645685</v>
      </c>
      <c r="BA217" s="90">
        <f>INDEX(BA$154:BA$171,MATCH($B217,$B$154:$B$171,0))*INDEX('Resource costs'!$C$121:$C$142, MATCH($B217, 'Resource costs'!$B$121:$B$142,0))</f>
        <v>60437.9240502338</v>
      </c>
      <c r="BB217" s="90">
        <f>INDEX(BB$154:BB$171,MATCH($B217,$B$154:$B$171,0))*INDEX('Resource costs'!$C$121:$C$142, MATCH($B217, 'Resource costs'!$B$121:$B$142,0))</f>
        <v>60429.143187576679</v>
      </c>
    </row>
    <row r="218" spans="1:54">
      <c r="B218" s="6" t="s">
        <v>2832</v>
      </c>
      <c r="C218" s="52"/>
      <c r="D218" s="90">
        <f>INDEX(D$154:D$171,MATCH($B218,$B$154:$B$171,0))*INDEX('Resource costs'!$C$121:$C$142, MATCH($B218, 'Resource costs'!$B$121:$B$142,0))</f>
        <v>21775.522265906737</v>
      </c>
      <c r="E218" s="90">
        <f>INDEX(E$154:E$171,MATCH($B218,$B$154:$B$171,0))*INDEX('Resource costs'!$C$121:$C$142, MATCH($B218, 'Resource costs'!$B$121:$B$142,0))</f>
        <v>22612.560777209052</v>
      </c>
      <c r="F218" s="90">
        <f>INDEX(F$154:F$171,MATCH($B218,$B$154:$B$171,0))*INDEX('Resource costs'!$C$121:$C$142, MATCH($B218, 'Resource costs'!$B$121:$B$142,0))</f>
        <v>23335.43778753898</v>
      </c>
      <c r="G218" s="90">
        <f>INDEX(G$154:G$171,MATCH($B218,$B$154:$B$171,0))*INDEX('Resource costs'!$C$121:$C$142, MATCH($B218, 'Resource costs'!$B$121:$B$142,0))</f>
        <v>23977.217663100826</v>
      </c>
      <c r="H218" s="90">
        <f>INDEX(H$154:H$171,MATCH($B218,$B$154:$B$171,0))*INDEX('Resource costs'!$C$121:$C$142, MATCH($B218, 'Resource costs'!$B$121:$B$142,0))</f>
        <v>4911.8748353141809</v>
      </c>
      <c r="I218" s="90">
        <f>INDEX(I$154:I$171,MATCH($B218,$B$154:$B$171,0))*INDEX('Resource costs'!$C$121:$C$142, MATCH($B218, 'Resource costs'!$B$121:$B$142,0))</f>
        <v>4500.5210428824439</v>
      </c>
      <c r="J218" s="90">
        <f>INDEX(J$154:J$171,MATCH($B218,$B$154:$B$171,0))*INDEX('Resource costs'!$C$121:$C$142, MATCH($B218, 'Resource costs'!$B$121:$B$142,0))</f>
        <v>4241.1194847509987</v>
      </c>
      <c r="K218" s="90">
        <f>INDEX(K$154:K$171,MATCH($B218,$B$154:$B$171,0))*INDEX('Resource costs'!$C$121:$C$142, MATCH($B218, 'Resource costs'!$B$121:$B$142,0))</f>
        <v>4085.5505762164285</v>
      </c>
      <c r="L218" s="90">
        <f>INDEX(L$154:L$171,MATCH($B218,$B$154:$B$171,0))*INDEX('Resource costs'!$C$121:$C$142, MATCH($B218, 'Resource costs'!$B$121:$B$142,0))</f>
        <v>4007.1653472679518</v>
      </c>
      <c r="M218" s="90">
        <f>INDEX(M$154:M$171,MATCH($B218,$B$154:$B$171,0))*INDEX('Resource costs'!$C$121:$C$142, MATCH($B218, 'Resource costs'!$B$121:$B$142,0))</f>
        <v>3977.4231467507689</v>
      </c>
      <c r="N218" s="90">
        <f>INDEX(N$154:N$171,MATCH($B218,$B$154:$B$171,0))*INDEX('Resource costs'!$C$121:$C$142, MATCH($B218, 'Resource costs'!$B$121:$B$142,0))</f>
        <v>3978.744599010924</v>
      </c>
      <c r="O218" s="90">
        <f>INDEX(O$154:O$171,MATCH($B218,$B$154:$B$171,0))*INDEX('Resource costs'!$C$121:$C$142, MATCH($B218, 'Resource costs'!$B$121:$B$142,0))</f>
        <v>4002.1991063139758</v>
      </c>
      <c r="P218" s="90">
        <f>INDEX(P$154:P$171,MATCH($B218,$B$154:$B$171,0))*INDEX('Resource costs'!$C$121:$C$142, MATCH($B218, 'Resource costs'!$B$121:$B$142,0))</f>
        <v>4037.4948254967767</v>
      </c>
      <c r="Q218" s="90">
        <f>INDEX(Q$154:Q$171,MATCH($B218,$B$154:$B$171,0))*INDEX('Resource costs'!$C$121:$C$142, MATCH($B218, 'Resource costs'!$B$121:$B$142,0))</f>
        <v>4079.9402902428133</v>
      </c>
      <c r="R218" s="90">
        <f>INDEX(R$154:R$171,MATCH($B218,$B$154:$B$171,0))*INDEX('Resource costs'!$C$121:$C$142, MATCH($B218, 'Resource costs'!$B$121:$B$142,0))</f>
        <v>4127.3902470739813</v>
      </c>
      <c r="S218" s="90">
        <f>INDEX(S$154:S$171,MATCH($B218,$B$154:$B$171,0))*INDEX('Resource costs'!$C$121:$C$142, MATCH($B218, 'Resource costs'!$B$121:$B$142,0))</f>
        <v>4177.8812468202113</v>
      </c>
      <c r="T218" s="90">
        <f>INDEX(T$154:T$171,MATCH($B218,$B$154:$B$171,0))*INDEX('Resource costs'!$C$121:$C$142, MATCH($B218, 'Resource costs'!$B$121:$B$142,0))</f>
        <v>4229.7163299039712</v>
      </c>
      <c r="U218" s="90">
        <f>INDEX(U$154:U$171,MATCH($B218,$B$154:$B$171,0))*INDEX('Resource costs'!$C$121:$C$142, MATCH($B218, 'Resource costs'!$B$121:$B$142,0))</f>
        <v>4282.7018513413977</v>
      </c>
      <c r="V218" s="90">
        <f>INDEX(V$154:V$171,MATCH($B218,$B$154:$B$171,0))*INDEX('Resource costs'!$C$121:$C$142, MATCH($B218, 'Resource costs'!$B$121:$B$142,0))</f>
        <v>4338.4985726877494</v>
      </c>
      <c r="W218" s="90">
        <f>INDEX(W$154:W$171,MATCH($B218,$B$154:$B$171,0))*INDEX('Resource costs'!$C$121:$C$142, MATCH($B218, 'Resource costs'!$B$121:$B$142,0))</f>
        <v>4394.062819474123</v>
      </c>
      <c r="X218" s="90">
        <f>INDEX(X$154:X$171,MATCH($B218,$B$154:$B$171,0))*INDEX('Resource costs'!$C$121:$C$142, MATCH($B218, 'Resource costs'!$B$121:$B$142,0))</f>
        <v>4448.6836509616032</v>
      </c>
      <c r="Y218" s="90">
        <f>INDEX(Y$154:Y$171,MATCH($B218,$B$154:$B$171,0))*INDEX('Resource costs'!$C$121:$C$142, MATCH($B218, 'Resource costs'!$B$121:$B$142,0))</f>
        <v>4503.2313774942113</v>
      </c>
      <c r="Z218" s="90">
        <f>INDEX(Z$154:Z$171,MATCH($B218,$B$154:$B$171,0))*INDEX('Resource costs'!$C$121:$C$142, MATCH($B218, 'Resource costs'!$B$121:$B$142,0))</f>
        <v>4557.2399954170869</v>
      </c>
      <c r="AA218" s="90">
        <f>INDEX(AA$154:AA$171,MATCH($B218,$B$154:$B$171,0))*INDEX('Resource costs'!$C$121:$C$142, MATCH($B218, 'Resource costs'!$B$121:$B$142,0))</f>
        <v>4610.2223537468089</v>
      </c>
      <c r="AB218" s="90">
        <f>INDEX(AB$154:AB$171,MATCH($B218,$B$154:$B$171,0))*INDEX('Resource costs'!$C$121:$C$142, MATCH($B218, 'Resource costs'!$B$121:$B$142,0))</f>
        <v>4661.8312681334846</v>
      </c>
      <c r="AC218" s="90">
        <f>INDEX(AC$154:AC$171,MATCH($B218,$B$154:$B$171,0))*INDEX('Resource costs'!$C$121:$C$142, MATCH($B218, 'Resource costs'!$B$121:$B$142,0))</f>
        <v>4712.289131795188</v>
      </c>
      <c r="AD218" s="90">
        <f>INDEX(AD$154:AD$171,MATCH($B218,$B$154:$B$171,0))*INDEX('Resource costs'!$C$121:$C$142, MATCH($B218, 'Resource costs'!$B$121:$B$142,0))</f>
        <v>4761.0895863449423</v>
      </c>
      <c r="AE218" s="90">
        <f>INDEX(AE$154:AE$171,MATCH($B218,$B$154:$B$171,0))*INDEX('Resource costs'!$C$121:$C$142, MATCH($B218, 'Resource costs'!$B$121:$B$142,0))</f>
        <v>4807.789755994183</v>
      </c>
      <c r="AF218" s="90">
        <f>INDEX(AF$154:AF$171,MATCH($B218,$B$154:$B$171,0))*INDEX('Resource costs'!$C$121:$C$142, MATCH($B218, 'Resource costs'!$B$121:$B$142,0))</f>
        <v>4852.0837733260396</v>
      </c>
      <c r="AG218" s="90">
        <f>INDEX(AG$154:AG$171,MATCH($B218,$B$154:$B$171,0))*INDEX('Resource costs'!$C$121:$C$142, MATCH($B218, 'Resource costs'!$B$121:$B$142,0))</f>
        <v>4894.0810528284919</v>
      </c>
      <c r="AH218" s="90">
        <f>INDEX(AH$154:AH$171,MATCH($B218,$B$154:$B$171,0))*INDEX('Resource costs'!$C$121:$C$142, MATCH($B218, 'Resource costs'!$B$121:$B$142,0))</f>
        <v>4934.6664999172308</v>
      </c>
      <c r="AI218" s="90">
        <f>INDEX(AI$154:AI$171,MATCH($B218,$B$154:$B$171,0))*INDEX('Resource costs'!$C$121:$C$142, MATCH($B218, 'Resource costs'!$B$121:$B$142,0))</f>
        <v>4973.948314127194</v>
      </c>
      <c r="AJ218" s="90">
        <f>INDEX(AJ$154:AJ$171,MATCH($B218,$B$154:$B$171,0))*INDEX('Resource costs'!$C$121:$C$142, MATCH($B218, 'Resource costs'!$B$121:$B$142,0))</f>
        <v>5012.4442613542233</v>
      </c>
      <c r="AK218" s="90">
        <f>INDEX(AK$154:AK$171,MATCH($B218,$B$154:$B$171,0))*INDEX('Resource costs'!$C$121:$C$142, MATCH($B218, 'Resource costs'!$B$121:$B$142,0))</f>
        <v>5049.6251892450455</v>
      </c>
      <c r="AL218" s="90">
        <f>INDEX(AL$154:AL$171,MATCH($B218,$B$154:$B$171,0))*INDEX('Resource costs'!$C$121:$C$142, MATCH($B218, 'Resource costs'!$B$121:$B$142,0))</f>
        <v>5084.6691480582977</v>
      </c>
      <c r="AM218" s="90">
        <f>INDEX(AM$154:AM$171,MATCH($B218,$B$154:$B$171,0))*INDEX('Resource costs'!$C$121:$C$142, MATCH($B218, 'Resource costs'!$B$121:$B$142,0))</f>
        <v>5117.1295926416406</v>
      </c>
      <c r="AN218" s="90">
        <f>INDEX(AN$154:AN$171,MATCH($B218,$B$154:$B$171,0))*INDEX('Resource costs'!$C$121:$C$142, MATCH($B218, 'Resource costs'!$B$121:$B$142,0))</f>
        <v>5146.7294294102621</v>
      </c>
      <c r="AO218" s="90">
        <f>INDEX(AO$154:AO$171,MATCH($B218,$B$154:$B$171,0))*INDEX('Resource costs'!$C$121:$C$142, MATCH($B218, 'Resource costs'!$B$121:$B$142,0))</f>
        <v>5173.2609178153343</v>
      </c>
      <c r="AP218" s="90">
        <f>INDEX(AP$154:AP$171,MATCH($B218,$B$154:$B$171,0))*INDEX('Resource costs'!$C$121:$C$142, MATCH($B218, 'Resource costs'!$B$121:$B$142,0))</f>
        <v>5196.5328044430626</v>
      </c>
      <c r="AQ218" s="90">
        <f>INDEX(AQ$154:AQ$171,MATCH($B218,$B$154:$B$171,0))*INDEX('Resource costs'!$C$121:$C$142, MATCH($B218, 'Resource costs'!$B$121:$B$142,0))</f>
        <v>5217.9674864952094</v>
      </c>
      <c r="AR218" s="90">
        <f>INDEX(AR$154:AR$171,MATCH($B218,$B$154:$B$171,0))*INDEX('Resource costs'!$C$121:$C$142, MATCH($B218, 'Resource costs'!$B$121:$B$142,0))</f>
        <v>5238.8904837441687</v>
      </c>
      <c r="AS218" s="90">
        <f>INDEX(AS$154:AS$171,MATCH($B218,$B$154:$B$171,0))*INDEX('Resource costs'!$C$121:$C$142, MATCH($B218, 'Resource costs'!$B$121:$B$142,0))</f>
        <v>5260.2569041357674</v>
      </c>
      <c r="AT218" s="90">
        <f>INDEX(AT$154:AT$171,MATCH($B218,$B$154:$B$171,0))*INDEX('Resource costs'!$C$121:$C$142, MATCH($B218, 'Resource costs'!$B$121:$B$142,0))</f>
        <v>5276.4830048203048</v>
      </c>
      <c r="AU218" s="90">
        <f>INDEX(AU$154:AU$171,MATCH($B218,$B$154:$B$171,0))*INDEX('Resource costs'!$C$121:$C$142, MATCH($B218, 'Resource costs'!$B$121:$B$142,0))</f>
        <v>5289.2434696240816</v>
      </c>
      <c r="AV218" s="90">
        <f>INDEX(AV$154:AV$171,MATCH($B218,$B$154:$B$171,0))*INDEX('Resource costs'!$C$121:$C$142, MATCH($B218, 'Resource costs'!$B$121:$B$142,0))</f>
        <v>5299.6774766770131</v>
      </c>
      <c r="AW218" s="90">
        <f>INDEX(AW$154:AW$171,MATCH($B218,$B$154:$B$171,0))*INDEX('Resource costs'!$C$121:$C$142, MATCH($B218, 'Resource costs'!$B$121:$B$142,0))</f>
        <v>5305.2657975303155</v>
      </c>
      <c r="AX218" s="90">
        <f>INDEX(AX$154:AX$171,MATCH($B218,$B$154:$B$171,0))*INDEX('Resource costs'!$C$121:$C$142, MATCH($B218, 'Resource costs'!$B$121:$B$142,0))</f>
        <v>5307.9199482571203</v>
      </c>
      <c r="AY218" s="90">
        <f>INDEX(AY$154:AY$171,MATCH($B218,$B$154:$B$171,0))*INDEX('Resource costs'!$C$121:$C$142, MATCH($B218, 'Resource costs'!$B$121:$B$142,0))</f>
        <v>5308.8485110336096</v>
      </c>
      <c r="AZ218" s="90">
        <f>INDEX(AZ$154:AZ$171,MATCH($B218,$B$154:$B$171,0))*INDEX('Resource costs'!$C$121:$C$142, MATCH($B218, 'Resource costs'!$B$121:$B$142,0))</f>
        <v>5308.8071728264968</v>
      </c>
      <c r="BA218" s="90">
        <f>INDEX(BA$154:BA$171,MATCH($B218,$B$154:$B$171,0))*INDEX('Resource costs'!$C$121:$C$142, MATCH($B218, 'Resource costs'!$B$121:$B$142,0))</f>
        <v>5308.2610026543643</v>
      </c>
      <c r="BB218" s="90">
        <f>INDEX(BB$154:BB$171,MATCH($B218,$B$154:$B$171,0))*INDEX('Resource costs'!$C$121:$C$142, MATCH($B218, 'Resource costs'!$B$121:$B$142,0))</f>
        <v>5307.4897797583944</v>
      </c>
    </row>
    <row r="219" spans="1:54">
      <c r="B219" s="6" t="s">
        <v>2871</v>
      </c>
      <c r="C219" s="52"/>
      <c r="D219" s="90">
        <f>INDEX(D$154:D$171,MATCH($B219,$B$154:$B$171,0))*INDEX('Resource costs'!$C$121:$C$142, MATCH($B219, 'Resource costs'!$B$121:$B$142,0))</f>
        <v>1079.8530155440415</v>
      </c>
      <c r="E219" s="90">
        <f>INDEX(E$154:E$171,MATCH($B219,$B$154:$B$171,0))*INDEX('Resource costs'!$C$121:$C$142, MATCH($B219, 'Resource costs'!$B$121:$B$142,0))</f>
        <v>1121.3619423802752</v>
      </c>
      <c r="F219" s="90">
        <f>INDEX(F$154:F$171,MATCH($B219,$B$154:$B$171,0))*INDEX('Resource costs'!$C$121:$C$142, MATCH($B219, 'Resource costs'!$B$121:$B$142,0))</f>
        <v>1157.2095748705597</v>
      </c>
      <c r="G219" s="90">
        <f>INDEX(G$154:G$171,MATCH($B219,$B$154:$B$171,0))*INDEX('Resource costs'!$C$121:$C$142, MATCH($B219, 'Resource costs'!$B$121:$B$142,0))</f>
        <v>1189.0355823241669</v>
      </c>
      <c r="H219" s="90">
        <f>INDEX(H$154:H$171,MATCH($B219,$B$154:$B$171,0))*INDEX('Resource costs'!$C$121:$C$142, MATCH($B219, 'Resource costs'!$B$121:$B$142,0))</f>
        <v>1971.4492106098744</v>
      </c>
      <c r="I219" s="90">
        <f>INDEX(I$154:I$171,MATCH($B219,$B$154:$B$171,0))*INDEX('Resource costs'!$C$121:$C$142, MATCH($B219, 'Resource costs'!$B$121:$B$142,0))</f>
        <v>1806.3466506788955</v>
      </c>
      <c r="J219" s="90">
        <f>INDEX(J$154:J$171,MATCH($B219,$B$154:$B$171,0))*INDEX('Resource costs'!$C$121:$C$142, MATCH($B219, 'Resource costs'!$B$121:$B$142,0))</f>
        <v>1702.2322312045853</v>
      </c>
      <c r="K219" s="90">
        <f>INDEX(K$154:K$171,MATCH($B219,$B$154:$B$171,0))*INDEX('Resource costs'!$C$121:$C$142, MATCH($B219, 'Resource costs'!$B$121:$B$142,0))</f>
        <v>1639.7924882940151</v>
      </c>
      <c r="L219" s="90">
        <f>INDEX(L$154:L$171,MATCH($B219,$B$154:$B$171,0))*INDEX('Resource costs'!$C$121:$C$142, MATCH($B219, 'Resource costs'!$B$121:$B$142,0))</f>
        <v>1608.3314875732865</v>
      </c>
      <c r="M219" s="90">
        <f>INDEX(M$154:M$171,MATCH($B219,$B$154:$B$171,0))*INDEX('Resource costs'!$C$121:$C$142, MATCH($B219, 'Resource costs'!$B$121:$B$142,0))</f>
        <v>1596.3940421583829</v>
      </c>
      <c r="N219" s="90">
        <f>INDEX(N$154:N$171,MATCH($B219,$B$154:$B$171,0))*INDEX('Resource costs'!$C$121:$C$142, MATCH($B219, 'Resource costs'!$B$121:$B$142,0))</f>
        <v>1596.9244253832182</v>
      </c>
      <c r="O219" s="90">
        <f>INDEX(O$154:O$171,MATCH($B219,$B$154:$B$171,0))*INDEX('Resource costs'!$C$121:$C$142, MATCH($B219, 'Resource costs'!$B$121:$B$142,0))</f>
        <v>1606.3382177655901</v>
      </c>
      <c r="P219" s="90">
        <f>INDEX(P$154:P$171,MATCH($B219,$B$154:$B$171,0))*INDEX('Resource costs'!$C$121:$C$142, MATCH($B219, 'Resource costs'!$B$121:$B$142,0))</f>
        <v>1620.5046450573782</v>
      </c>
      <c r="Q219" s="90">
        <f>INDEX(Q$154:Q$171,MATCH($B219,$B$154:$B$171,0))*INDEX('Resource costs'!$C$121:$C$142, MATCH($B219, 'Resource costs'!$B$121:$B$142,0))</f>
        <v>1637.5407220693426</v>
      </c>
      <c r="R219" s="90">
        <f>INDEX(R$154:R$171,MATCH($B219,$B$154:$B$171,0))*INDEX('Resource costs'!$C$121:$C$142, MATCH($B219, 'Resource costs'!$B$121:$B$142,0))</f>
        <v>1656.585421511953</v>
      </c>
      <c r="S219" s="90">
        <f>INDEX(S$154:S$171,MATCH($B219,$B$154:$B$171,0))*INDEX('Resource costs'!$C$121:$C$142, MATCH($B219, 'Resource costs'!$B$121:$B$142,0))</f>
        <v>1676.8506857806913</v>
      </c>
      <c r="T219" s="90">
        <f>INDEX(T$154:T$171,MATCH($B219,$B$154:$B$171,0))*INDEX('Resource costs'!$C$121:$C$142, MATCH($B219, 'Resource costs'!$B$121:$B$142,0))</f>
        <v>1697.6554165716052</v>
      </c>
      <c r="U219" s="90">
        <f>INDEX(U$154:U$171,MATCH($B219,$B$154:$B$171,0))*INDEX('Resource costs'!$C$121:$C$142, MATCH($B219, 'Resource costs'!$B$121:$B$142,0))</f>
        <v>1718.9218917799226</v>
      </c>
      <c r="V219" s="90">
        <f>INDEX(V$154:V$171,MATCH($B219,$B$154:$B$171,0))*INDEX('Resource costs'!$C$121:$C$142, MATCH($B219, 'Resource costs'!$B$121:$B$142,0))</f>
        <v>1741.3166811304227</v>
      </c>
      <c r="W219" s="90">
        <f>INDEX(W$154:W$171,MATCH($B219,$B$154:$B$171,0))*INDEX('Resource costs'!$C$121:$C$142, MATCH($B219, 'Resource costs'!$B$121:$B$142,0))</f>
        <v>1763.6181635862806</v>
      </c>
      <c r="X219" s="90">
        <f>INDEX(X$154:X$171,MATCH($B219,$B$154:$B$171,0))*INDEX('Resource costs'!$C$121:$C$142, MATCH($B219, 'Resource costs'!$B$121:$B$142,0))</f>
        <v>1785.5409932041407</v>
      </c>
      <c r="Y219" s="90">
        <f>INDEX(Y$154:Y$171,MATCH($B219,$B$154:$B$171,0))*INDEX('Resource costs'!$C$121:$C$142, MATCH($B219, 'Resource costs'!$B$121:$B$142,0))</f>
        <v>1807.4344811326446</v>
      </c>
      <c r="Z219" s="90">
        <f>INDEX(Z$154:Z$171,MATCH($B219,$B$154:$B$171,0))*INDEX('Resource costs'!$C$121:$C$142, MATCH($B219, 'Resource costs'!$B$121:$B$142,0))</f>
        <v>1829.1115903302723</v>
      </c>
      <c r="AA219" s="90">
        <f>INDEX(AA$154:AA$171,MATCH($B219,$B$154:$B$171,0))*INDEX('Resource costs'!$C$121:$C$142, MATCH($B219, 'Resource costs'!$B$121:$B$142,0))</f>
        <v>1850.3767959813642</v>
      </c>
      <c r="AB219" s="90">
        <f>INDEX(AB$154:AB$171,MATCH($B219,$B$154:$B$171,0))*INDEX('Resource costs'!$C$121:$C$142, MATCH($B219, 'Resource costs'!$B$121:$B$142,0))</f>
        <v>1871.0907508233213</v>
      </c>
      <c r="AC219" s="90">
        <f>INDEX(AC$154:AC$171,MATCH($B219,$B$154:$B$171,0))*INDEX('Resource costs'!$C$121:$C$142, MATCH($B219, 'Resource costs'!$B$121:$B$142,0))</f>
        <v>1891.3427154641431</v>
      </c>
      <c r="AD219" s="90">
        <f>INDEX(AD$154:AD$171,MATCH($B219,$B$154:$B$171,0))*INDEX('Resource costs'!$C$121:$C$142, MATCH($B219, 'Resource costs'!$B$121:$B$142,0))</f>
        <v>1910.9294559298869</v>
      </c>
      <c r="AE219" s="90">
        <f>INDEX(AE$154:AE$171,MATCH($B219,$B$154:$B$171,0))*INDEX('Resource costs'!$C$121:$C$142, MATCH($B219, 'Resource costs'!$B$121:$B$142,0))</f>
        <v>1929.6732178695079</v>
      </c>
      <c r="AF219" s="90">
        <f>INDEX(AF$154:AF$171,MATCH($B219,$B$154:$B$171,0))*INDEX('Resource costs'!$C$121:$C$142, MATCH($B219, 'Resource costs'!$B$121:$B$142,0))</f>
        <v>1947.451237145531</v>
      </c>
      <c r="AG219" s="90">
        <f>INDEX(AG$154:AG$171,MATCH($B219,$B$154:$B$171,0))*INDEX('Resource costs'!$C$121:$C$142, MATCH($B219, 'Resource costs'!$B$121:$B$142,0))</f>
        <v>1964.3074287829093</v>
      </c>
      <c r="AH219" s="90">
        <f>INDEX(AH$154:AH$171,MATCH($B219,$B$154:$B$171,0))*INDEX('Resource costs'!$C$121:$C$142, MATCH($B219, 'Resource costs'!$B$121:$B$142,0))</f>
        <v>1980.5969618650824</v>
      </c>
      <c r="AI219" s="90">
        <f>INDEX(AI$154:AI$171,MATCH($B219,$B$154:$B$171,0))*INDEX('Resource costs'!$C$121:$C$142, MATCH($B219, 'Resource costs'!$B$121:$B$142,0))</f>
        <v>1996.3632637787182</v>
      </c>
      <c r="AJ219" s="90">
        <f>INDEX(AJ$154:AJ$171,MATCH($B219,$B$154:$B$171,0))*INDEX('Resource costs'!$C$121:$C$142, MATCH($B219, 'Resource costs'!$B$121:$B$142,0))</f>
        <v>2011.8141470599396</v>
      </c>
      <c r="AK219" s="90">
        <f>INDEX(AK$154:AK$171,MATCH($B219,$B$154:$B$171,0))*INDEX('Resource costs'!$C$121:$C$142, MATCH($B219, 'Resource costs'!$B$121:$B$142,0))</f>
        <v>2026.7372290597305</v>
      </c>
      <c r="AL219" s="90">
        <f>INDEX(AL$154:AL$171,MATCH($B219,$B$154:$B$171,0))*INDEX('Resource costs'!$C$121:$C$142, MATCH($B219, 'Resource costs'!$B$121:$B$142,0))</f>
        <v>2040.8026088292481</v>
      </c>
      <c r="AM219" s="90">
        <f>INDEX(AM$154:AM$171,MATCH($B219,$B$154:$B$171,0))*INDEX('Resource costs'!$C$121:$C$142, MATCH($B219, 'Resource costs'!$B$121:$B$142,0))</f>
        <v>2053.8310592673147</v>
      </c>
      <c r="AN219" s="90">
        <f>INDEX(AN$154:AN$171,MATCH($B219,$B$154:$B$171,0))*INDEX('Resource costs'!$C$121:$C$142, MATCH($B219, 'Resource costs'!$B$121:$B$142,0))</f>
        <v>2065.7113650137348</v>
      </c>
      <c r="AO219" s="90">
        <f>INDEX(AO$154:AO$171,MATCH($B219,$B$154:$B$171,0))*INDEX('Resource costs'!$C$121:$C$142, MATCH($B219, 'Resource costs'!$B$121:$B$142,0))</f>
        <v>2076.3601465128954</v>
      </c>
      <c r="AP219" s="90">
        <f>INDEX(AP$154:AP$171,MATCH($B219,$B$154:$B$171,0))*INDEX('Resource costs'!$C$121:$C$142, MATCH($B219, 'Resource costs'!$B$121:$B$142,0))</f>
        <v>2085.7006415498995</v>
      </c>
      <c r="AQ219" s="90">
        <f>INDEX(AQ$154:AQ$171,MATCH($B219,$B$154:$B$171,0))*INDEX('Resource costs'!$C$121:$C$142, MATCH($B219, 'Resource costs'!$B$121:$B$142,0))</f>
        <v>2094.303749004423</v>
      </c>
      <c r="AR219" s="90">
        <f>INDEX(AR$154:AR$171,MATCH($B219,$B$154:$B$171,0))*INDEX('Resource costs'!$C$121:$C$142, MATCH($B219, 'Resource costs'!$B$121:$B$142,0))</f>
        <v>2102.7014846538527</v>
      </c>
      <c r="AS219" s="90">
        <f>INDEX(AS$154:AS$171,MATCH($B219,$B$154:$B$171,0))*INDEX('Resource costs'!$C$121:$C$142, MATCH($B219, 'Resource costs'!$B$121:$B$142,0))</f>
        <v>2111.2771943424896</v>
      </c>
      <c r="AT219" s="90">
        <f>INDEX(AT$154:AT$171,MATCH($B219,$B$154:$B$171,0))*INDEX('Resource costs'!$C$121:$C$142, MATCH($B219, 'Resource costs'!$B$121:$B$142,0))</f>
        <v>2117.7897652972342</v>
      </c>
      <c r="AU219" s="90">
        <f>INDEX(AU$154:AU$171,MATCH($B219,$B$154:$B$171,0))*INDEX('Resource costs'!$C$121:$C$142, MATCH($B219, 'Resource costs'!$B$121:$B$142,0))</f>
        <v>2122.9113551397836</v>
      </c>
      <c r="AV219" s="90">
        <f>INDEX(AV$154:AV$171,MATCH($B219,$B$154:$B$171,0))*INDEX('Resource costs'!$C$121:$C$142, MATCH($B219, 'Resource costs'!$B$121:$B$142,0))</f>
        <v>2127.0991888402909</v>
      </c>
      <c r="AW219" s="90">
        <f>INDEX(AW$154:AW$171,MATCH($B219,$B$154:$B$171,0))*INDEX('Resource costs'!$C$121:$C$142, MATCH($B219, 'Resource costs'!$B$121:$B$142,0))</f>
        <v>2129.3421390587428</v>
      </c>
      <c r="AX219" s="90">
        <f>INDEX(AX$154:AX$171,MATCH($B219,$B$154:$B$171,0))*INDEX('Resource costs'!$C$121:$C$142, MATCH($B219, 'Resource costs'!$B$121:$B$142,0))</f>
        <v>2130.4074193296442</v>
      </c>
      <c r="AY219" s="90">
        <f>INDEX(AY$154:AY$171,MATCH($B219,$B$154:$B$171,0))*INDEX('Resource costs'!$C$121:$C$142, MATCH($B219, 'Resource costs'!$B$121:$B$142,0))</f>
        <v>2130.7801109014149</v>
      </c>
      <c r="AZ219" s="90">
        <f>INDEX(AZ$154:AZ$171,MATCH($B219,$B$154:$B$171,0))*INDEX('Resource costs'!$C$121:$C$142, MATCH($B219, 'Resource costs'!$B$121:$B$142,0))</f>
        <v>2130.7635192376379</v>
      </c>
      <c r="BA219" s="90">
        <f>INDEX(BA$154:BA$171,MATCH($B219,$B$154:$B$171,0))*INDEX('Resource costs'!$C$121:$C$142, MATCH($B219, 'Resource costs'!$B$121:$B$142,0))</f>
        <v>2130.5443062505792</v>
      </c>
      <c r="BB219" s="90">
        <f>INDEX(BB$154:BB$171,MATCH($B219,$B$154:$B$171,0))*INDEX('Resource costs'!$C$121:$C$142, MATCH($B219, 'Resource costs'!$B$121:$B$142,0))</f>
        <v>2130.2347652259314</v>
      </c>
    </row>
    <row r="220" spans="1:54">
      <c r="B220" s="52"/>
      <c r="C220" s="52"/>
      <c r="D220" s="116"/>
      <c r="E220" s="116"/>
      <c r="F220" s="116"/>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row>
    <row r="221" spans="1:54">
      <c r="D221" s="15"/>
    </row>
    <row r="222" spans="1:54">
      <c r="D222" s="19"/>
      <c r="E222" s="19"/>
      <c r="F222" s="19"/>
    </row>
    <row r="223" spans="1:54" s="588" customFormat="1">
      <c r="A223" s="593" t="s">
        <v>10</v>
      </c>
      <c r="B223" s="646" t="s">
        <v>182</v>
      </c>
      <c r="C223" s="646"/>
    </row>
    <row r="224" spans="1:54">
      <c r="D224" s="15"/>
    </row>
    <row r="225" spans="2:54">
      <c r="B225" s="7" t="s">
        <v>9</v>
      </c>
      <c r="D225" s="34">
        <f>'Prevalence projection'!C$21</f>
        <v>2020</v>
      </c>
      <c r="E225" s="34">
        <f>'Prevalence projection'!D$21</f>
        <v>2021</v>
      </c>
      <c r="F225" s="34">
        <f>'Prevalence projection'!E$21</f>
        <v>2022</v>
      </c>
      <c r="G225" s="34">
        <f>'Prevalence projection'!F$21</f>
        <v>2023</v>
      </c>
      <c r="H225" s="34">
        <f>'Prevalence projection'!G$21</f>
        <v>2024</v>
      </c>
      <c r="I225" s="34">
        <f>'Prevalence projection'!H$21</f>
        <v>2025</v>
      </c>
      <c r="J225" s="34">
        <f>'Prevalence projection'!I$21</f>
        <v>2026</v>
      </c>
      <c r="K225" s="34">
        <f>'Prevalence projection'!J$21</f>
        <v>2027</v>
      </c>
      <c r="L225" s="34">
        <f>'Prevalence projection'!K$21</f>
        <v>2028</v>
      </c>
      <c r="M225" s="34">
        <f>'Prevalence projection'!L$21</f>
        <v>2029</v>
      </c>
      <c r="N225" s="34">
        <f>'Prevalence projection'!M$21</f>
        <v>2030</v>
      </c>
      <c r="O225" s="34">
        <f>'Prevalence projection'!N$21</f>
        <v>2031</v>
      </c>
      <c r="P225" s="34">
        <f>'Prevalence projection'!O$21</f>
        <v>2032</v>
      </c>
      <c r="Q225" s="34">
        <f>'Prevalence projection'!P$21</f>
        <v>2033</v>
      </c>
      <c r="R225" s="34">
        <f>'Prevalence projection'!Q$21</f>
        <v>2034</v>
      </c>
      <c r="S225" s="34">
        <f>'Prevalence projection'!R$21</f>
        <v>2035</v>
      </c>
      <c r="T225" s="34">
        <f>'Prevalence projection'!S$21</f>
        <v>2036</v>
      </c>
      <c r="U225" s="34">
        <f>'Prevalence projection'!T$21</f>
        <v>2037</v>
      </c>
      <c r="V225" s="34">
        <f>'Prevalence projection'!U$21</f>
        <v>2038</v>
      </c>
      <c r="W225" s="34">
        <f>'Prevalence projection'!V$21</f>
        <v>2039</v>
      </c>
      <c r="X225" s="34">
        <f>'Prevalence projection'!W$21</f>
        <v>2040</v>
      </c>
      <c r="Y225" s="34">
        <f>'Prevalence projection'!X$21</f>
        <v>2041</v>
      </c>
      <c r="Z225" s="34">
        <f>'Prevalence projection'!Y$21</f>
        <v>2042</v>
      </c>
      <c r="AA225" s="34">
        <f>'Prevalence projection'!Z$21</f>
        <v>2043</v>
      </c>
      <c r="AB225" s="34">
        <f>'Prevalence projection'!AA$21</f>
        <v>2044</v>
      </c>
      <c r="AC225" s="34">
        <f>'Prevalence projection'!AB$21</f>
        <v>2045</v>
      </c>
      <c r="AD225" s="34">
        <f>'Prevalence projection'!AC$21</f>
        <v>2046</v>
      </c>
      <c r="AE225" s="34">
        <f>'Prevalence projection'!AD$21</f>
        <v>2047</v>
      </c>
      <c r="AF225" s="34">
        <f>'Prevalence projection'!AE$21</f>
        <v>2048</v>
      </c>
      <c r="AG225" s="34">
        <f>'Prevalence projection'!AF$21</f>
        <v>2049</v>
      </c>
      <c r="AH225" s="34">
        <f>'Prevalence projection'!AG$21</f>
        <v>2050</v>
      </c>
      <c r="AI225" s="34">
        <f>'Prevalence projection'!AH$21</f>
        <v>2051</v>
      </c>
      <c r="AJ225" s="34">
        <f>'Prevalence projection'!AI$21</f>
        <v>2052</v>
      </c>
      <c r="AK225" s="34">
        <f>'Prevalence projection'!AJ$21</f>
        <v>2053</v>
      </c>
      <c r="AL225" s="34">
        <f>'Prevalence projection'!AK$21</f>
        <v>2054</v>
      </c>
      <c r="AM225" s="34">
        <f>'Prevalence projection'!AL$21</f>
        <v>2055</v>
      </c>
      <c r="AN225" s="34">
        <f>'Prevalence projection'!AM$21</f>
        <v>2056</v>
      </c>
      <c r="AO225" s="34">
        <f>'Prevalence projection'!AN$21</f>
        <v>2057</v>
      </c>
      <c r="AP225" s="34">
        <f>'Prevalence projection'!AO$21</f>
        <v>2058</v>
      </c>
      <c r="AQ225" s="34">
        <f>'Prevalence projection'!AP$21</f>
        <v>2059</v>
      </c>
      <c r="AR225" s="34">
        <f>'Prevalence projection'!AQ$21</f>
        <v>2060</v>
      </c>
      <c r="AS225" s="34">
        <f>'Prevalence projection'!AR$21</f>
        <v>2061</v>
      </c>
      <c r="AT225" s="34">
        <f>'Prevalence projection'!AS$21</f>
        <v>2062</v>
      </c>
      <c r="AU225" s="34">
        <f>'Prevalence projection'!AT$21</f>
        <v>2063</v>
      </c>
      <c r="AV225" s="34">
        <f>'Prevalence projection'!AU$21</f>
        <v>2064</v>
      </c>
      <c r="AW225" s="34">
        <f>'Prevalence projection'!AV$21</f>
        <v>2065</v>
      </c>
      <c r="AX225" s="34">
        <f>'Prevalence projection'!AW$21</f>
        <v>2066</v>
      </c>
      <c r="AY225" s="34">
        <f>'Prevalence projection'!AX$21</f>
        <v>2067</v>
      </c>
      <c r="AZ225" s="34">
        <f>'Prevalence projection'!AY$21</f>
        <v>2068</v>
      </c>
      <c r="BA225" s="34">
        <f>'Prevalence projection'!AZ$21</f>
        <v>2069</v>
      </c>
      <c r="BB225" s="34">
        <f>'Prevalence projection'!BA$21</f>
        <v>2070</v>
      </c>
    </row>
    <row r="226" spans="2:54">
      <c r="B226" s="6" t="s">
        <v>11</v>
      </c>
      <c r="C226" s="142"/>
      <c r="D226" s="90">
        <f>(D180+D202)*INDEX(Inflation!$D$126:$BD$166, MATCH($B226, Inflation!$B$126:$B$166,0), MATCH(D$225, Inflation!$D$125:$BD$125,0))</f>
        <v>61084.352723118456</v>
      </c>
      <c r="E226" s="90">
        <f>(E180+E202)*INDEX(Inflation!$D$126:$BD$166, MATCH($B226, Inflation!$B$126:$B$166,0), MATCH(E$225, Inflation!$D$125:$BD$125,0))</f>
        <v>64878.658715682905</v>
      </c>
      <c r="F226" s="90">
        <f>(F180+F202)*INDEX(Inflation!$D$126:$BD$166, MATCH($B226, Inflation!$B$126:$B$166,0), MATCH(F$225, Inflation!$D$125:$BD$125,0))</f>
        <v>68479.217319571821</v>
      </c>
      <c r="G226" s="90">
        <f>(G180+G202)*INDEX(Inflation!$D$126:$BD$166, MATCH($B226, Inflation!$B$126:$B$166,0), MATCH(G$225, Inflation!$D$125:$BD$125,0))</f>
        <v>71966.824510390681</v>
      </c>
      <c r="H226" s="90">
        <f>(H180+H202)*INDEX(Inflation!$D$126:$BD$166, MATCH($B226, Inflation!$B$126:$B$166,0), MATCH(H$225, Inflation!$D$125:$BD$125,0))</f>
        <v>63469.356199666916</v>
      </c>
      <c r="I226" s="90">
        <f>(I180+I202)*INDEX(Inflation!$D$126:$BD$166, MATCH($B226, Inflation!$B$126:$B$166,0), MATCH(I$225, Inflation!$D$125:$BD$125,0))</f>
        <v>59479.912029159881</v>
      </c>
      <c r="J226" s="90">
        <f>(J180+J202)*INDEX(Inflation!$D$126:$BD$166, MATCH($B226, Inflation!$B$126:$B$166,0), MATCH(J$225, Inflation!$D$125:$BD$125,0))</f>
        <v>57329.57842784837</v>
      </c>
      <c r="K226" s="90">
        <f>(K180+K202)*INDEX(Inflation!$D$126:$BD$166, MATCH($B226, Inflation!$B$126:$B$166,0), MATCH(K$225, Inflation!$D$125:$BD$125,0))</f>
        <v>56485.834691335767</v>
      </c>
      <c r="L226" s="90">
        <f>(L180+L202)*INDEX(Inflation!$D$126:$BD$166, MATCH($B226, Inflation!$B$126:$B$166,0), MATCH(L$225, Inflation!$D$125:$BD$125,0))</f>
        <v>56665.267331248862</v>
      </c>
      <c r="M226" s="90">
        <f>(M180+M202)*INDEX(Inflation!$D$126:$BD$166, MATCH($B226, Inflation!$B$126:$B$166,0), MATCH(M$225, Inflation!$D$125:$BD$125,0))</f>
        <v>57527.062082381759</v>
      </c>
      <c r="N226" s="90">
        <f>(N180+N202)*INDEX(Inflation!$D$126:$BD$166, MATCH($B226, Inflation!$B$126:$B$166,0), MATCH(N$225, Inflation!$D$125:$BD$125,0))</f>
        <v>58858.22755991944</v>
      </c>
      <c r="O226" s="90">
        <f>(O180+O202)*INDEX(Inflation!$D$126:$BD$166, MATCH($B226, Inflation!$B$126:$B$166,0), MATCH(O$225, Inflation!$D$125:$BD$125,0))</f>
        <v>60555.072392002534</v>
      </c>
      <c r="P226" s="90">
        <f>(P180+P202)*INDEX(Inflation!$D$126:$BD$166, MATCH($B226, Inflation!$B$126:$B$166,0), MATCH(P$225, Inflation!$D$125:$BD$125,0))</f>
        <v>62481.944261749035</v>
      </c>
      <c r="Q226" s="90">
        <f>(Q180+Q202)*INDEX(Inflation!$D$126:$BD$166, MATCH($B226, Inflation!$B$126:$B$166,0), MATCH(Q$225, Inflation!$D$125:$BD$125,0))</f>
        <v>64578.370597742214</v>
      </c>
      <c r="R226" s="90">
        <f>(R180+R202)*INDEX(Inflation!$D$126:$BD$166, MATCH($B226, Inflation!$B$126:$B$166,0), MATCH(R$225, Inflation!$D$125:$BD$125,0))</f>
        <v>66818.931824098472</v>
      </c>
      <c r="S226" s="90">
        <f>(S180+S202)*INDEX(Inflation!$D$126:$BD$166, MATCH($B226, Inflation!$B$126:$B$166,0), MATCH(S$225, Inflation!$D$125:$BD$125,0))</f>
        <v>69178.446603406861</v>
      </c>
      <c r="T226" s="90">
        <f>(T180+T202)*INDEX(Inflation!$D$126:$BD$166, MATCH($B226, Inflation!$B$126:$B$166,0), MATCH(T$225, Inflation!$D$125:$BD$125,0))</f>
        <v>71633.58321491025</v>
      </c>
      <c r="U226" s="90">
        <f>(U180+U202)*INDEX(Inflation!$D$126:$BD$166, MATCH($B226, Inflation!$B$126:$B$166,0), MATCH(U$225, Inflation!$D$125:$BD$125,0))</f>
        <v>74184.640139061026</v>
      </c>
      <c r="V226" s="90">
        <f>(V180+V202)*INDEX(Inflation!$D$126:$BD$166, MATCH($B226, Inflation!$B$126:$B$166,0), MATCH(V$225, Inflation!$D$125:$BD$125,0))</f>
        <v>76864.592905934434</v>
      </c>
      <c r="W226" s="90">
        <f>(W180+W202)*INDEX(Inflation!$D$126:$BD$166, MATCH($B226, Inflation!$B$126:$B$166,0), MATCH(W$225, Inflation!$D$125:$BD$125,0))</f>
        <v>79623.974748460692</v>
      </c>
      <c r="X226" s="90">
        <f>(X180+X202)*INDEX(Inflation!$D$126:$BD$166, MATCH($B226, Inflation!$B$126:$B$166,0), MATCH(X$225, Inflation!$D$125:$BD$125,0))</f>
        <v>82451.741888001459</v>
      </c>
      <c r="Y226" s="90">
        <f>(Y180+Y202)*INDEX(Inflation!$D$126:$BD$166, MATCH($B226, Inflation!$B$126:$B$166,0), MATCH(Y$225, Inflation!$D$125:$BD$125,0))</f>
        <v>85365.677665201816</v>
      </c>
      <c r="Z226" s="90">
        <f>(Z180+Z202)*INDEX(Inflation!$D$126:$BD$166, MATCH($B226, Inflation!$B$126:$B$166,0), MATCH(Z$225, Inflation!$D$125:$BD$125,0))</f>
        <v>88359.174559749561</v>
      </c>
      <c r="AA226" s="90">
        <f>(AA180+AA202)*INDEX(Inflation!$D$126:$BD$166, MATCH($B226, Inflation!$B$126:$B$166,0), MATCH(AA$225, Inflation!$D$125:$BD$125,0))</f>
        <v>91424.446859073199</v>
      </c>
      <c r="AB226" s="90">
        <f>(AB180+AB202)*INDEX(Inflation!$D$126:$BD$166, MATCH($B226, Inflation!$B$126:$B$166,0), MATCH(AB$225, Inflation!$D$125:$BD$125,0))</f>
        <v>94555.705442721737</v>
      </c>
      <c r="AC226" s="90">
        <f>(AC180+AC202)*INDEX(Inflation!$D$126:$BD$166, MATCH($B226, Inflation!$B$126:$B$166,0), MATCH(AC$225, Inflation!$D$125:$BD$125,0))</f>
        <v>97758.34432040072</v>
      </c>
      <c r="AD226" s="90">
        <f>(AD180+AD202)*INDEX(Inflation!$D$126:$BD$166, MATCH($B226, Inflation!$B$126:$B$166,0), MATCH(AD$225, Inflation!$D$125:$BD$125,0))</f>
        <v>101022.70212388563</v>
      </c>
      <c r="AE226" s="90">
        <f>(AE180+AE202)*INDEX(Inflation!$D$126:$BD$166, MATCH($B226, Inflation!$B$126:$B$166,0), MATCH(AE$225, Inflation!$D$125:$BD$125,0))</f>
        <v>104339.51518606496</v>
      </c>
      <c r="AF226" s="90">
        <f>(AF180+AF202)*INDEX(Inflation!$D$126:$BD$166, MATCH($B226, Inflation!$B$126:$B$166,0), MATCH(AF$225, Inflation!$D$125:$BD$125,0))</f>
        <v>107701.64994598427</v>
      </c>
      <c r="AG226" s="90">
        <f>(AG180+AG202)*INDEX(Inflation!$D$126:$BD$166, MATCH($B226, Inflation!$B$126:$B$166,0), MATCH(AG$225, Inflation!$D$125:$BD$125,0))</f>
        <v>111110.71517399527</v>
      </c>
      <c r="AH226" s="90">
        <f>(AH180+AH202)*INDEX(Inflation!$D$126:$BD$166, MATCH($B226, Inflation!$B$126:$B$166,0), MATCH(AH$225, Inflation!$D$125:$BD$125,0))</f>
        <v>114586.46239888786</v>
      </c>
      <c r="AI226" s="90">
        <f>(AI180+AI202)*INDEX(Inflation!$D$126:$BD$166, MATCH($B226, Inflation!$B$126:$B$166,0), MATCH(AI$225, Inflation!$D$125:$BD$125,0))</f>
        <v>118131.98243610949</v>
      </c>
      <c r="AJ226" s="90">
        <f>(AJ180+AJ202)*INDEX(Inflation!$D$126:$BD$166, MATCH($B226, Inflation!$B$126:$B$166,0), MATCH(AJ$225, Inflation!$D$125:$BD$125,0))</f>
        <v>121760.52155786782</v>
      </c>
      <c r="AK226" s="90">
        <f>(AK180+AK202)*INDEX(Inflation!$D$126:$BD$166, MATCH($B226, Inflation!$B$126:$B$166,0), MATCH(AK$225, Inflation!$D$125:$BD$125,0))</f>
        <v>125460.44002679974</v>
      </c>
      <c r="AL226" s="90">
        <f>(AL180+AL202)*INDEX(Inflation!$D$126:$BD$166, MATCH($B226, Inflation!$B$126:$B$166,0), MATCH(AL$225, Inflation!$D$125:$BD$125,0))</f>
        <v>129211.47418827226</v>
      </c>
      <c r="AM226" s="90">
        <f>(AM180+AM202)*INDEX(Inflation!$D$126:$BD$166, MATCH($B226, Inflation!$B$126:$B$166,0), MATCH(AM$225, Inflation!$D$125:$BD$125,0))</f>
        <v>133001.18708896503</v>
      </c>
      <c r="AN226" s="90">
        <f>(AN180+AN202)*INDEX(Inflation!$D$126:$BD$166, MATCH($B226, Inflation!$B$126:$B$166,0), MATCH(AN$225, Inflation!$D$125:$BD$125,0))</f>
        <v>136820.49529589023</v>
      </c>
      <c r="AO226" s="90">
        <f>(AO180+AO202)*INDEX(Inflation!$D$126:$BD$166, MATCH($B226, Inflation!$B$126:$B$166,0), MATCH(AO$225, Inflation!$D$125:$BD$125,0))</f>
        <v>140661.39597195099</v>
      </c>
      <c r="AP226" s="90">
        <f>(AP180+AP202)*INDEX(Inflation!$D$126:$BD$166, MATCH($B226, Inflation!$B$126:$B$166,0), MATCH(AP$225, Inflation!$D$125:$BD$125,0))</f>
        <v>144515.66737063404</v>
      </c>
      <c r="AQ226" s="90">
        <f>(AQ180+AQ202)*INDEX(Inflation!$D$126:$BD$166, MATCH($B226, Inflation!$B$126:$B$166,0), MATCH(AQ$225, Inflation!$D$125:$BD$125,0))</f>
        <v>148420.31452056425</v>
      </c>
      <c r="AR226" s="90">
        <f>(AR180+AR202)*INDEX(Inflation!$D$126:$BD$166, MATCH($B226, Inflation!$B$126:$B$166,0), MATCH(AR$225, Inflation!$D$125:$BD$125,0))</f>
        <v>152413.0023091308</v>
      </c>
      <c r="AS226" s="90">
        <f>(AS180+AS202)*INDEX(Inflation!$D$126:$BD$166, MATCH($B226, Inflation!$B$126:$B$166,0), MATCH(AS$225, Inflation!$D$125:$BD$125,0))</f>
        <v>156523.79630918385</v>
      </c>
      <c r="AT226" s="90">
        <f>(AT180+AT202)*INDEX(Inflation!$D$126:$BD$166, MATCH($B226, Inflation!$B$126:$B$166,0), MATCH(AT$225, Inflation!$D$125:$BD$125,0))</f>
        <v>160586.36981318041</v>
      </c>
      <c r="AU226" s="90" t="e">
        <f>(AU180+AU202)*INDEX(Inflation!$D$126:$BD$166, MATCH($B226, Inflation!$B$126:$B$166,0), MATCH(AU$225, Inflation!$D$125:$BD$125,0))</f>
        <v>#N/A</v>
      </c>
      <c r="AV226" s="90" t="e">
        <f>(AV180+AV202)*INDEX(Inflation!$D$126:$BD$166, MATCH($B226, Inflation!$B$126:$B$166,0), MATCH(AV$225, Inflation!$D$125:$BD$125,0))</f>
        <v>#N/A</v>
      </c>
      <c r="AW226" s="90" t="e">
        <f>(AW180+AW202)*INDEX(Inflation!$D$126:$BD$166, MATCH($B226, Inflation!$B$126:$B$166,0), MATCH(AW$225, Inflation!$D$125:$BD$125,0))</f>
        <v>#N/A</v>
      </c>
      <c r="AX226" s="90" t="e">
        <f>(AX180+AX202)*INDEX(Inflation!$D$126:$BD$166, MATCH($B226, Inflation!$B$126:$B$166,0), MATCH(AX$225, Inflation!$D$125:$BD$125,0))</f>
        <v>#N/A</v>
      </c>
      <c r="AY226" s="90" t="e">
        <f>(AY180+AY202)*INDEX(Inflation!$D$126:$BD$166, MATCH($B226, Inflation!$B$126:$B$166,0), MATCH(AY$225, Inflation!$D$125:$BD$125,0))</f>
        <v>#N/A</v>
      </c>
      <c r="AZ226" s="90" t="e">
        <f>(AZ180+AZ202)*INDEX(Inflation!$D$126:$BD$166, MATCH($B226, Inflation!$B$126:$B$166,0), MATCH(AZ$225, Inflation!$D$125:$BD$125,0))</f>
        <v>#N/A</v>
      </c>
      <c r="BA226" s="90" t="e">
        <f>(BA180+BA202)*INDEX(Inflation!$D$126:$BD$166, MATCH($B226, Inflation!$B$126:$B$166,0), MATCH(BA$225, Inflation!$D$125:$BD$125,0))</f>
        <v>#N/A</v>
      </c>
      <c r="BB226" s="90" t="e">
        <f>(BB180+BB202)*INDEX(Inflation!$D$126:$BD$166, MATCH($B226, Inflation!$B$126:$B$166,0), MATCH(BB$225, Inflation!$D$125:$BD$125,0))</f>
        <v>#N/A</v>
      </c>
    </row>
    <row r="227" spans="2:54">
      <c r="B227" s="6" t="s">
        <v>14</v>
      </c>
      <c r="C227" s="142"/>
      <c r="D227" s="90">
        <f>(D181+D203)*INDEX(Inflation!$D$126:$BD$166, MATCH($B227, Inflation!$B$126:$B$166,0), MATCH(D$225, Inflation!$D$125:$BD$125,0))</f>
        <v>0</v>
      </c>
      <c r="E227" s="90">
        <f>(E181+E203)*INDEX(Inflation!$D$126:$BD$166, MATCH($B227, Inflation!$B$126:$B$166,0), MATCH(E$225, Inflation!$D$125:$BD$125,0))</f>
        <v>0</v>
      </c>
      <c r="F227" s="90">
        <f>(F181+F203)*INDEX(Inflation!$D$126:$BD$166, MATCH($B227, Inflation!$B$126:$B$166,0), MATCH(F$225, Inflation!$D$125:$BD$125,0))</f>
        <v>0</v>
      </c>
      <c r="G227" s="90">
        <f>(G181+G203)*INDEX(Inflation!$D$126:$BD$166, MATCH($B227, Inflation!$B$126:$B$166,0), MATCH(G$225, Inflation!$D$125:$BD$125,0))</f>
        <v>0</v>
      </c>
      <c r="H227" s="90">
        <f>(H181+H203)*INDEX(Inflation!$D$126:$BD$166, MATCH($B227, Inflation!$B$126:$B$166,0), MATCH(H$225, Inflation!$D$125:$BD$125,0))</f>
        <v>0</v>
      </c>
      <c r="I227" s="90">
        <f>(I181+I203)*INDEX(Inflation!$D$126:$BD$166, MATCH($B227, Inflation!$B$126:$B$166,0), MATCH(I$225, Inflation!$D$125:$BD$125,0))</f>
        <v>0</v>
      </c>
      <c r="J227" s="90">
        <f>(J181+J203)*INDEX(Inflation!$D$126:$BD$166, MATCH($B227, Inflation!$B$126:$B$166,0), MATCH(J$225, Inflation!$D$125:$BD$125,0))</f>
        <v>0</v>
      </c>
      <c r="K227" s="90">
        <f>(K181+K203)*INDEX(Inflation!$D$126:$BD$166, MATCH($B227, Inflation!$B$126:$B$166,0), MATCH(K$225, Inflation!$D$125:$BD$125,0))</f>
        <v>0</v>
      </c>
      <c r="L227" s="90">
        <f>(L181+L203)*INDEX(Inflation!$D$126:$BD$166, MATCH($B227, Inflation!$B$126:$B$166,0), MATCH(L$225, Inflation!$D$125:$BD$125,0))</f>
        <v>0</v>
      </c>
      <c r="M227" s="90">
        <f>(M181+M203)*INDEX(Inflation!$D$126:$BD$166, MATCH($B227, Inflation!$B$126:$B$166,0), MATCH(M$225, Inflation!$D$125:$BD$125,0))</f>
        <v>0</v>
      </c>
      <c r="N227" s="90">
        <f>(N181+N203)*INDEX(Inflation!$D$126:$BD$166, MATCH($B227, Inflation!$B$126:$B$166,0), MATCH(N$225, Inflation!$D$125:$BD$125,0))</f>
        <v>0</v>
      </c>
      <c r="O227" s="90">
        <f>(O181+O203)*INDEX(Inflation!$D$126:$BD$166, MATCH($B227, Inflation!$B$126:$B$166,0), MATCH(O$225, Inflation!$D$125:$BD$125,0))</f>
        <v>0</v>
      </c>
      <c r="P227" s="90">
        <f>(P181+P203)*INDEX(Inflation!$D$126:$BD$166, MATCH($B227, Inflation!$B$126:$B$166,0), MATCH(P$225, Inflation!$D$125:$BD$125,0))</f>
        <v>0</v>
      </c>
      <c r="Q227" s="90">
        <f>(Q181+Q203)*INDEX(Inflation!$D$126:$BD$166, MATCH($B227, Inflation!$B$126:$B$166,0), MATCH(Q$225, Inflation!$D$125:$BD$125,0))</f>
        <v>0</v>
      </c>
      <c r="R227" s="90">
        <f>(R181+R203)*INDEX(Inflation!$D$126:$BD$166, MATCH($B227, Inflation!$B$126:$B$166,0), MATCH(R$225, Inflation!$D$125:$BD$125,0))</f>
        <v>0</v>
      </c>
      <c r="S227" s="90">
        <f>(S181+S203)*INDEX(Inflation!$D$126:$BD$166, MATCH($B227, Inflation!$B$126:$B$166,0), MATCH(S$225, Inflation!$D$125:$BD$125,0))</f>
        <v>0</v>
      </c>
      <c r="T227" s="90">
        <f>(T181+T203)*INDEX(Inflation!$D$126:$BD$166, MATCH($B227, Inflation!$B$126:$B$166,0), MATCH(T$225, Inflation!$D$125:$BD$125,0))</f>
        <v>0</v>
      </c>
      <c r="U227" s="90">
        <f>(U181+U203)*INDEX(Inflation!$D$126:$BD$166, MATCH($B227, Inflation!$B$126:$B$166,0), MATCH(U$225, Inflation!$D$125:$BD$125,0))</f>
        <v>0</v>
      </c>
      <c r="V227" s="90">
        <f>(V181+V203)*INDEX(Inflation!$D$126:$BD$166, MATCH($B227, Inflation!$B$126:$B$166,0), MATCH(V$225, Inflation!$D$125:$BD$125,0))</f>
        <v>0</v>
      </c>
      <c r="W227" s="90">
        <f>(W181+W203)*INDEX(Inflation!$D$126:$BD$166, MATCH($B227, Inflation!$B$126:$B$166,0), MATCH(W$225, Inflation!$D$125:$BD$125,0))</f>
        <v>0</v>
      </c>
      <c r="X227" s="90">
        <f>(X181+X203)*INDEX(Inflation!$D$126:$BD$166, MATCH($B227, Inflation!$B$126:$B$166,0), MATCH(X$225, Inflation!$D$125:$BD$125,0))</f>
        <v>0</v>
      </c>
      <c r="Y227" s="90">
        <f>(Y181+Y203)*INDEX(Inflation!$D$126:$BD$166, MATCH($B227, Inflation!$B$126:$B$166,0), MATCH(Y$225, Inflation!$D$125:$BD$125,0))</f>
        <v>0</v>
      </c>
      <c r="Z227" s="90">
        <f>(Z181+Z203)*INDEX(Inflation!$D$126:$BD$166, MATCH($B227, Inflation!$B$126:$B$166,0), MATCH(Z$225, Inflation!$D$125:$BD$125,0))</f>
        <v>0</v>
      </c>
      <c r="AA227" s="90">
        <f>(AA181+AA203)*INDEX(Inflation!$D$126:$BD$166, MATCH($B227, Inflation!$B$126:$B$166,0), MATCH(AA$225, Inflation!$D$125:$BD$125,0))</f>
        <v>0</v>
      </c>
      <c r="AB227" s="90">
        <f>(AB181+AB203)*INDEX(Inflation!$D$126:$BD$166, MATCH($B227, Inflation!$B$126:$B$166,0), MATCH(AB$225, Inflation!$D$125:$BD$125,0))</f>
        <v>0</v>
      </c>
      <c r="AC227" s="90">
        <f>(AC181+AC203)*INDEX(Inflation!$D$126:$BD$166, MATCH($B227, Inflation!$B$126:$B$166,0), MATCH(AC$225, Inflation!$D$125:$BD$125,0))</f>
        <v>0</v>
      </c>
      <c r="AD227" s="90">
        <f>(AD181+AD203)*INDEX(Inflation!$D$126:$BD$166, MATCH($B227, Inflation!$B$126:$B$166,0), MATCH(AD$225, Inflation!$D$125:$BD$125,0))</f>
        <v>0</v>
      </c>
      <c r="AE227" s="90">
        <f>(AE181+AE203)*INDEX(Inflation!$D$126:$BD$166, MATCH($B227, Inflation!$B$126:$B$166,0), MATCH(AE$225, Inflation!$D$125:$BD$125,0))</f>
        <v>0</v>
      </c>
      <c r="AF227" s="90">
        <f>(AF181+AF203)*INDEX(Inflation!$D$126:$BD$166, MATCH($B227, Inflation!$B$126:$B$166,0), MATCH(AF$225, Inflation!$D$125:$BD$125,0))</f>
        <v>0</v>
      </c>
      <c r="AG227" s="90">
        <f>(AG181+AG203)*INDEX(Inflation!$D$126:$BD$166, MATCH($B227, Inflation!$B$126:$B$166,0), MATCH(AG$225, Inflation!$D$125:$BD$125,0))</f>
        <v>0</v>
      </c>
      <c r="AH227" s="90">
        <f>(AH181+AH203)*INDEX(Inflation!$D$126:$BD$166, MATCH($B227, Inflation!$B$126:$B$166,0), MATCH(AH$225, Inflation!$D$125:$BD$125,0))</f>
        <v>0</v>
      </c>
      <c r="AI227" s="90">
        <f>(AI181+AI203)*INDEX(Inflation!$D$126:$BD$166, MATCH($B227, Inflation!$B$126:$B$166,0), MATCH(AI$225, Inflation!$D$125:$BD$125,0))</f>
        <v>0</v>
      </c>
      <c r="AJ227" s="90">
        <f>(AJ181+AJ203)*INDEX(Inflation!$D$126:$BD$166, MATCH($B227, Inflation!$B$126:$B$166,0), MATCH(AJ$225, Inflation!$D$125:$BD$125,0))</f>
        <v>0</v>
      </c>
      <c r="AK227" s="90">
        <f>(AK181+AK203)*INDEX(Inflation!$D$126:$BD$166, MATCH($B227, Inflation!$B$126:$B$166,0), MATCH(AK$225, Inflation!$D$125:$BD$125,0))</f>
        <v>0</v>
      </c>
      <c r="AL227" s="90">
        <f>(AL181+AL203)*INDEX(Inflation!$D$126:$BD$166, MATCH($B227, Inflation!$B$126:$B$166,0), MATCH(AL$225, Inflation!$D$125:$BD$125,0))</f>
        <v>0</v>
      </c>
      <c r="AM227" s="90">
        <f>(AM181+AM203)*INDEX(Inflation!$D$126:$BD$166, MATCH($B227, Inflation!$B$126:$B$166,0), MATCH(AM$225, Inflation!$D$125:$BD$125,0))</f>
        <v>0</v>
      </c>
      <c r="AN227" s="90">
        <f>(AN181+AN203)*INDEX(Inflation!$D$126:$BD$166, MATCH($B227, Inflation!$B$126:$B$166,0), MATCH(AN$225, Inflation!$D$125:$BD$125,0))</f>
        <v>0</v>
      </c>
      <c r="AO227" s="90">
        <f>(AO181+AO203)*INDEX(Inflation!$D$126:$BD$166, MATCH($B227, Inflation!$B$126:$B$166,0), MATCH(AO$225, Inflation!$D$125:$BD$125,0))</f>
        <v>0</v>
      </c>
      <c r="AP227" s="90">
        <f>(AP181+AP203)*INDEX(Inflation!$D$126:$BD$166, MATCH($B227, Inflation!$B$126:$B$166,0), MATCH(AP$225, Inflation!$D$125:$BD$125,0))</f>
        <v>0</v>
      </c>
      <c r="AQ227" s="90">
        <f>(AQ181+AQ203)*INDEX(Inflation!$D$126:$BD$166, MATCH($B227, Inflation!$B$126:$B$166,0), MATCH(AQ$225, Inflation!$D$125:$BD$125,0))</f>
        <v>0</v>
      </c>
      <c r="AR227" s="90">
        <f>(AR181+AR203)*INDEX(Inflation!$D$126:$BD$166, MATCH($B227, Inflation!$B$126:$B$166,0), MATCH(AR$225, Inflation!$D$125:$BD$125,0))</f>
        <v>0</v>
      </c>
      <c r="AS227" s="90">
        <f>(AS181+AS203)*INDEX(Inflation!$D$126:$BD$166, MATCH($B227, Inflation!$B$126:$B$166,0), MATCH(AS$225, Inflation!$D$125:$BD$125,0))</f>
        <v>0</v>
      </c>
      <c r="AT227" s="90">
        <f>(AT181+AT203)*INDEX(Inflation!$D$126:$BD$166, MATCH($B227, Inflation!$B$126:$B$166,0), MATCH(AT$225, Inflation!$D$125:$BD$125,0))</f>
        <v>0</v>
      </c>
      <c r="AU227" s="90" t="e">
        <f>(AU181+AU203)*INDEX(Inflation!$D$126:$BD$166, MATCH($B227, Inflation!$B$126:$B$166,0), MATCH(AU$225, Inflation!$D$125:$BD$125,0))</f>
        <v>#N/A</v>
      </c>
      <c r="AV227" s="90" t="e">
        <f>(AV181+AV203)*INDEX(Inflation!$D$126:$BD$166, MATCH($B227, Inflation!$B$126:$B$166,0), MATCH(AV$225, Inflation!$D$125:$BD$125,0))</f>
        <v>#N/A</v>
      </c>
      <c r="AW227" s="90" t="e">
        <f>(AW181+AW203)*INDEX(Inflation!$D$126:$BD$166, MATCH($B227, Inflation!$B$126:$B$166,0), MATCH(AW$225, Inflation!$D$125:$BD$125,0))</f>
        <v>#N/A</v>
      </c>
      <c r="AX227" s="90" t="e">
        <f>(AX181+AX203)*INDEX(Inflation!$D$126:$BD$166, MATCH($B227, Inflation!$B$126:$B$166,0), MATCH(AX$225, Inflation!$D$125:$BD$125,0))</f>
        <v>#N/A</v>
      </c>
      <c r="AY227" s="90" t="e">
        <f>(AY181+AY203)*INDEX(Inflation!$D$126:$BD$166, MATCH($B227, Inflation!$B$126:$B$166,0), MATCH(AY$225, Inflation!$D$125:$BD$125,0))</f>
        <v>#N/A</v>
      </c>
      <c r="AZ227" s="90" t="e">
        <f>(AZ181+AZ203)*INDEX(Inflation!$D$126:$BD$166, MATCH($B227, Inflation!$B$126:$B$166,0), MATCH(AZ$225, Inflation!$D$125:$BD$125,0))</f>
        <v>#N/A</v>
      </c>
      <c r="BA227" s="90" t="e">
        <f>(BA181+BA203)*INDEX(Inflation!$D$126:$BD$166, MATCH($B227, Inflation!$B$126:$B$166,0), MATCH(BA$225, Inflation!$D$125:$BD$125,0))</f>
        <v>#N/A</v>
      </c>
      <c r="BB227" s="90" t="e">
        <f>(BB181+BB203)*INDEX(Inflation!$D$126:$BD$166, MATCH($B227, Inflation!$B$126:$B$166,0), MATCH(BB$225, Inflation!$D$125:$BD$125,0))</f>
        <v>#N/A</v>
      </c>
    </row>
    <row r="228" spans="2:54">
      <c r="B228" s="6" t="s">
        <v>15</v>
      </c>
      <c r="C228" s="142"/>
      <c r="D228" s="90">
        <f>(D182+D204)*INDEX(Inflation!$D$126:$BD$166, MATCH($B228, Inflation!$B$126:$B$166,0), MATCH(D$225, Inflation!$D$125:$BD$125,0))</f>
        <v>1156.7657895127397</v>
      </c>
      <c r="E228" s="90">
        <f>(E182+E204)*INDEX(Inflation!$D$126:$BD$166, MATCH($B228, Inflation!$B$126:$B$166,0), MATCH(E$225, Inflation!$D$125:$BD$125,0))</f>
        <v>1228.6192703384536</v>
      </c>
      <c r="F228" s="90">
        <f>(F182+F204)*INDEX(Inflation!$D$126:$BD$166, MATCH($B228, Inflation!$B$126:$B$166,0), MATCH(F$225, Inflation!$D$125:$BD$125,0))</f>
        <v>1296.8037206999636</v>
      </c>
      <c r="G228" s="90">
        <f>(G182+G204)*INDEX(Inflation!$D$126:$BD$166, MATCH($B228, Inflation!$B$126:$B$166,0), MATCH(G$225, Inflation!$D$125:$BD$125,0))</f>
        <v>1362.8491890686744</v>
      </c>
      <c r="H228" s="90">
        <f>(H182+H204)*INDEX(Inflation!$D$126:$BD$166, MATCH($B228, Inflation!$B$126:$B$166,0), MATCH(H$225, Inflation!$D$125:$BD$125,0))</f>
        <v>1250.9801554792689</v>
      </c>
      <c r="I228" s="90">
        <f>(I182+I204)*INDEX(Inflation!$D$126:$BD$166, MATCH($B228, Inflation!$B$126:$B$166,0), MATCH(I$225, Inflation!$D$125:$BD$125,0))</f>
        <v>1172.3482646342356</v>
      </c>
      <c r="J228" s="90">
        <f>(J182+J204)*INDEX(Inflation!$D$126:$BD$166, MATCH($B228, Inflation!$B$126:$B$166,0), MATCH(J$225, Inflation!$D$125:$BD$125,0))</f>
        <v>1129.9652183269991</v>
      </c>
      <c r="K228" s="90">
        <f>(K182+K204)*INDEX(Inflation!$D$126:$BD$166, MATCH($B228, Inflation!$B$126:$B$166,0), MATCH(K$225, Inflation!$D$125:$BD$125,0))</f>
        <v>1113.3350406493382</v>
      </c>
      <c r="L228" s="90">
        <f>(L182+L204)*INDEX(Inflation!$D$126:$BD$166, MATCH($B228, Inflation!$B$126:$B$166,0), MATCH(L$225, Inflation!$D$125:$BD$125,0))</f>
        <v>1116.871655564265</v>
      </c>
      <c r="M228" s="90">
        <f>(M182+M204)*INDEX(Inflation!$D$126:$BD$166, MATCH($B228, Inflation!$B$126:$B$166,0), MATCH(M$225, Inflation!$D$125:$BD$125,0))</f>
        <v>1133.8576184968638</v>
      </c>
      <c r="N228" s="90">
        <f>(N182+N204)*INDEX(Inflation!$D$126:$BD$166, MATCH($B228, Inflation!$B$126:$B$166,0), MATCH(N$225, Inflation!$D$125:$BD$125,0))</f>
        <v>1160.0948721223774</v>
      </c>
      <c r="O228" s="90">
        <f>(O182+O204)*INDEX(Inflation!$D$126:$BD$166, MATCH($B228, Inflation!$B$126:$B$166,0), MATCH(O$225, Inflation!$D$125:$BD$125,0))</f>
        <v>1193.5396608986441</v>
      </c>
      <c r="P228" s="90">
        <f>(P182+P204)*INDEX(Inflation!$D$126:$BD$166, MATCH($B228, Inflation!$B$126:$B$166,0), MATCH(P$225, Inflation!$D$125:$BD$125,0))</f>
        <v>1231.5182794877635</v>
      </c>
      <c r="Q228" s="90">
        <f>(Q182+Q204)*INDEX(Inflation!$D$126:$BD$166, MATCH($B228, Inflation!$B$126:$B$166,0), MATCH(Q$225, Inflation!$D$125:$BD$125,0))</f>
        <v>1272.8388143219479</v>
      </c>
      <c r="R228" s="90">
        <f>(R182+R204)*INDEX(Inflation!$D$126:$BD$166, MATCH($B228, Inflation!$B$126:$B$166,0), MATCH(R$225, Inflation!$D$125:$BD$125,0))</f>
        <v>1317.0002459030466</v>
      </c>
      <c r="S228" s="90">
        <f>(S182+S204)*INDEX(Inflation!$D$126:$BD$166, MATCH($B228, Inflation!$B$126:$B$166,0), MATCH(S$225, Inflation!$D$125:$BD$125,0))</f>
        <v>1363.5062504099953</v>
      </c>
      <c r="T228" s="90">
        <f>(T182+T204)*INDEX(Inflation!$D$126:$BD$166, MATCH($B228, Inflation!$B$126:$B$166,0), MATCH(T$225, Inflation!$D$125:$BD$125,0))</f>
        <v>1411.8969599410532</v>
      </c>
      <c r="U228" s="90">
        <f>(U182+U204)*INDEX(Inflation!$D$126:$BD$166, MATCH($B228, Inflation!$B$126:$B$166,0), MATCH(U$225, Inflation!$D$125:$BD$125,0))</f>
        <v>1462.1782575419161</v>
      </c>
      <c r="V228" s="90">
        <f>(V182+V204)*INDEX(Inflation!$D$126:$BD$166, MATCH($B228, Inflation!$B$126:$B$166,0), MATCH(V$225, Inflation!$D$125:$BD$125,0))</f>
        <v>1515.000090466038</v>
      </c>
      <c r="W228" s="90">
        <f>(W182+W204)*INDEX(Inflation!$D$126:$BD$166, MATCH($B228, Inflation!$B$126:$B$166,0), MATCH(W$225, Inflation!$D$125:$BD$125,0))</f>
        <v>1569.3874694010126</v>
      </c>
      <c r="X228" s="90">
        <f>(X182+X204)*INDEX(Inflation!$D$126:$BD$166, MATCH($B228, Inflation!$B$126:$B$166,0), MATCH(X$225, Inflation!$D$125:$BD$125,0))</f>
        <v>1625.1227216186874</v>
      </c>
      <c r="Y228" s="90">
        <f>(Y182+Y204)*INDEX(Inflation!$D$126:$BD$166, MATCH($B228, Inflation!$B$126:$B$166,0), MATCH(Y$225, Inflation!$D$125:$BD$125,0))</f>
        <v>1682.5563565235559</v>
      </c>
      <c r="Z228" s="90">
        <f>(Z182+Z204)*INDEX(Inflation!$D$126:$BD$166, MATCH($B228, Inflation!$B$126:$B$166,0), MATCH(Z$225, Inflation!$D$125:$BD$125,0))</f>
        <v>1741.5581399792968</v>
      </c>
      <c r="AA228" s="90">
        <f>(AA182+AA204)*INDEX(Inflation!$D$126:$BD$166, MATCH($B228, Inflation!$B$126:$B$166,0), MATCH(AA$225, Inflation!$D$125:$BD$125,0))</f>
        <v>1801.9746156960348</v>
      </c>
      <c r="AB228" s="90">
        <f>(AB182+AB204)*INDEX(Inflation!$D$126:$BD$166, MATCH($B228, Inflation!$B$126:$B$166,0), MATCH(AB$225, Inflation!$D$125:$BD$125,0))</f>
        <v>1863.6916801876869</v>
      </c>
      <c r="AC228" s="90">
        <f>(AC182+AC204)*INDEX(Inflation!$D$126:$BD$166, MATCH($B228, Inflation!$B$126:$B$166,0), MATCH(AC$225, Inflation!$D$125:$BD$125,0))</f>
        <v>1926.8156493128663</v>
      </c>
      <c r="AD228" s="90">
        <f>(AD182+AD204)*INDEX(Inflation!$D$126:$BD$166, MATCH($B228, Inflation!$B$126:$B$166,0), MATCH(AD$225, Inflation!$D$125:$BD$125,0))</f>
        <v>1991.1560976340509</v>
      </c>
      <c r="AE228" s="90">
        <f>(AE182+AE204)*INDEX(Inflation!$D$126:$BD$166, MATCH($B228, Inflation!$B$126:$B$166,0), MATCH(AE$225, Inflation!$D$125:$BD$125,0))</f>
        <v>2056.5304383972953</v>
      </c>
      <c r="AF228" s="90">
        <f>(AF182+AF204)*INDEX(Inflation!$D$126:$BD$166, MATCH($B228, Inflation!$B$126:$B$166,0), MATCH(AF$225, Inflation!$D$125:$BD$125,0))</f>
        <v>2122.7980692123092</v>
      </c>
      <c r="AG228" s="90">
        <f>(AG182+AG204)*INDEX(Inflation!$D$126:$BD$166, MATCH($B228, Inflation!$B$126:$B$166,0), MATCH(AG$225, Inflation!$D$125:$BD$125,0))</f>
        <v>2189.9906989210463</v>
      </c>
      <c r="AH228" s="90">
        <f>(AH182+AH204)*INDEX(Inflation!$D$126:$BD$166, MATCH($B228, Inflation!$B$126:$B$166,0), MATCH(AH$225, Inflation!$D$125:$BD$125,0))</f>
        <v>2258.497629889815</v>
      </c>
      <c r="AI228" s="90">
        <f>(AI182+AI204)*INDEX(Inflation!$D$126:$BD$166, MATCH($B228, Inflation!$B$126:$B$166,0), MATCH(AI$225, Inflation!$D$125:$BD$125,0))</f>
        <v>2328.3797820494369</v>
      </c>
      <c r="AJ228" s="90">
        <f>(AJ182+AJ204)*INDEX(Inflation!$D$126:$BD$166, MATCH($B228, Inflation!$B$126:$B$166,0), MATCH(AJ$225, Inflation!$D$125:$BD$125,0))</f>
        <v>2399.8982392466387</v>
      </c>
      <c r="AK228" s="90">
        <f>(AK182+AK204)*INDEX(Inflation!$D$126:$BD$166, MATCH($B228, Inflation!$B$126:$B$166,0), MATCH(AK$225, Inflation!$D$125:$BD$125,0))</f>
        <v>2472.8235824148333</v>
      </c>
      <c r="AL228" s="90">
        <f>(AL182+AL204)*INDEX(Inflation!$D$126:$BD$166, MATCH($B228, Inflation!$B$126:$B$166,0), MATCH(AL$225, Inflation!$D$125:$BD$125,0))</f>
        <v>2546.7564151942456</v>
      </c>
      <c r="AM228" s="90">
        <f>(AM182+AM204)*INDEX(Inflation!$D$126:$BD$166, MATCH($B228, Inflation!$B$126:$B$166,0), MATCH(AM$225, Inflation!$D$125:$BD$125,0))</f>
        <v>2621.4516054025135</v>
      </c>
      <c r="AN228" s="90">
        <f>(AN182+AN204)*INDEX(Inflation!$D$126:$BD$166, MATCH($B228, Inflation!$B$126:$B$166,0), MATCH(AN$225, Inflation!$D$125:$BD$125,0))</f>
        <v>2696.7301186978416</v>
      </c>
      <c r="AO228" s="90">
        <f>(AO182+AO204)*INDEX(Inflation!$D$126:$BD$166, MATCH($B228, Inflation!$B$126:$B$166,0), MATCH(AO$225, Inflation!$D$125:$BD$125,0))</f>
        <v>2772.4342192688837</v>
      </c>
      <c r="AP228" s="90">
        <f>(AP182+AP204)*INDEX(Inflation!$D$126:$BD$166, MATCH($B228, Inflation!$B$126:$B$166,0), MATCH(AP$225, Inflation!$D$125:$BD$125,0))</f>
        <v>2848.4018566026493</v>
      </c>
      <c r="AQ228" s="90">
        <f>(AQ182+AQ204)*INDEX(Inflation!$D$126:$BD$166, MATCH($B228, Inflation!$B$126:$B$166,0), MATCH(AQ$225, Inflation!$D$125:$BD$125,0))</f>
        <v>2925.3623993147085</v>
      </c>
      <c r="AR228" s="90">
        <f>(AR182+AR204)*INDEX(Inflation!$D$126:$BD$166, MATCH($B228, Inflation!$B$126:$B$166,0), MATCH(AR$225, Inflation!$D$125:$BD$125,0))</f>
        <v>3004.0582218279883</v>
      </c>
      <c r="AS228" s="90">
        <f>(AS182+AS204)*INDEX(Inflation!$D$126:$BD$166, MATCH($B228, Inflation!$B$126:$B$166,0), MATCH(AS$225, Inflation!$D$125:$BD$125,0))</f>
        <v>3085.0819161782483</v>
      </c>
      <c r="AT228" s="90">
        <f>(AT182+AT204)*INDEX(Inflation!$D$126:$BD$166, MATCH($B228, Inflation!$B$126:$B$166,0), MATCH(AT$225, Inflation!$D$125:$BD$125,0))</f>
        <v>3165.1551852009816</v>
      </c>
      <c r="AU228" s="90" t="e">
        <f>(AU182+AU204)*INDEX(Inflation!$D$126:$BD$166, MATCH($B228, Inflation!$B$126:$B$166,0), MATCH(AU$225, Inflation!$D$125:$BD$125,0))</f>
        <v>#N/A</v>
      </c>
      <c r="AV228" s="90" t="e">
        <f>(AV182+AV204)*INDEX(Inflation!$D$126:$BD$166, MATCH($B228, Inflation!$B$126:$B$166,0), MATCH(AV$225, Inflation!$D$125:$BD$125,0))</f>
        <v>#N/A</v>
      </c>
      <c r="AW228" s="90" t="e">
        <f>(AW182+AW204)*INDEX(Inflation!$D$126:$BD$166, MATCH($B228, Inflation!$B$126:$B$166,0), MATCH(AW$225, Inflation!$D$125:$BD$125,0))</f>
        <v>#N/A</v>
      </c>
      <c r="AX228" s="90" t="e">
        <f>(AX182+AX204)*INDEX(Inflation!$D$126:$BD$166, MATCH($B228, Inflation!$B$126:$B$166,0), MATCH(AX$225, Inflation!$D$125:$BD$125,0))</f>
        <v>#N/A</v>
      </c>
      <c r="AY228" s="90" t="e">
        <f>(AY182+AY204)*INDEX(Inflation!$D$126:$BD$166, MATCH($B228, Inflation!$B$126:$B$166,0), MATCH(AY$225, Inflation!$D$125:$BD$125,0))</f>
        <v>#N/A</v>
      </c>
      <c r="AZ228" s="90" t="e">
        <f>(AZ182+AZ204)*INDEX(Inflation!$D$126:$BD$166, MATCH($B228, Inflation!$B$126:$B$166,0), MATCH(AZ$225, Inflation!$D$125:$BD$125,0))</f>
        <v>#N/A</v>
      </c>
      <c r="BA228" s="90" t="e">
        <f>(BA182+BA204)*INDEX(Inflation!$D$126:$BD$166, MATCH($B228, Inflation!$B$126:$B$166,0), MATCH(BA$225, Inflation!$D$125:$BD$125,0))</f>
        <v>#N/A</v>
      </c>
      <c r="BB228" s="90" t="e">
        <f>(BB182+BB204)*INDEX(Inflation!$D$126:$BD$166, MATCH($B228, Inflation!$B$126:$B$166,0), MATCH(BB$225, Inflation!$D$125:$BD$125,0))</f>
        <v>#N/A</v>
      </c>
    </row>
    <row r="229" spans="2:54" ht="29">
      <c r="B229" s="6" t="s">
        <v>16</v>
      </c>
      <c r="C229" s="142"/>
      <c r="D229" s="90">
        <f>(D183+D205)*INDEX(Inflation!$D$126:$BD$166, MATCH($B229, Inflation!$B$126:$B$166,0), MATCH(D$225, Inflation!$D$125:$BD$125,0))</f>
        <v>11444.797128213269</v>
      </c>
      <c r="E229" s="90">
        <f>(E183+E205)*INDEX(Inflation!$D$126:$BD$166, MATCH($B229, Inflation!$B$126:$B$166,0), MATCH(E$225, Inflation!$D$125:$BD$125,0))</f>
        <v>12155.700336504597</v>
      </c>
      <c r="F229" s="90">
        <f>(F183+F205)*INDEX(Inflation!$D$126:$BD$166, MATCH($B229, Inflation!$B$126:$B$166,0), MATCH(F$225, Inflation!$D$125:$BD$125,0))</f>
        <v>12830.302930012243</v>
      </c>
      <c r="G229" s="90">
        <f>(G183+G205)*INDEX(Inflation!$D$126:$BD$166, MATCH($B229, Inflation!$B$126:$B$166,0), MATCH(G$225, Inflation!$D$125:$BD$125,0))</f>
        <v>13483.742886112705</v>
      </c>
      <c r="H229" s="90">
        <f>(H183+H205)*INDEX(Inflation!$D$126:$BD$166, MATCH($B229, Inflation!$B$126:$B$166,0), MATCH(H$225, Inflation!$D$125:$BD$125,0))</f>
        <v>9983.2231406431001</v>
      </c>
      <c r="I229" s="90">
        <f>(I183+I205)*INDEX(Inflation!$D$126:$BD$166, MATCH($B229, Inflation!$B$126:$B$166,0), MATCH(I$225, Inflation!$D$125:$BD$125,0))</f>
        <v>9355.715414930286</v>
      </c>
      <c r="J229" s="90">
        <f>(J183+J205)*INDEX(Inflation!$D$126:$BD$166, MATCH($B229, Inflation!$B$126:$B$166,0), MATCH(J$225, Inflation!$D$125:$BD$125,0))</f>
        <v>9017.4851026330871</v>
      </c>
      <c r="K229" s="90">
        <f>(K183+K205)*INDEX(Inflation!$D$126:$BD$166, MATCH($B229, Inflation!$B$126:$B$166,0), MATCH(K$225, Inflation!$D$125:$BD$125,0))</f>
        <v>8884.7709473385748</v>
      </c>
      <c r="L229" s="90">
        <f>(L183+L205)*INDEX(Inflation!$D$126:$BD$166, MATCH($B229, Inflation!$B$126:$B$166,0), MATCH(L$225, Inflation!$D$125:$BD$125,0))</f>
        <v>8912.9942694301299</v>
      </c>
      <c r="M229" s="90">
        <f>(M183+M205)*INDEX(Inflation!$D$126:$BD$166, MATCH($B229, Inflation!$B$126:$B$166,0), MATCH(M$225, Inflation!$D$125:$BD$125,0))</f>
        <v>9048.5477052477127</v>
      </c>
      <c r="N229" s="90">
        <f>(N183+N205)*INDEX(Inflation!$D$126:$BD$166, MATCH($B229, Inflation!$B$126:$B$166,0), MATCH(N$225, Inflation!$D$125:$BD$125,0))</f>
        <v>9257.929409980512</v>
      </c>
      <c r="O229" s="90">
        <f>(O183+O205)*INDEX(Inflation!$D$126:$BD$166, MATCH($B229, Inflation!$B$126:$B$166,0), MATCH(O$225, Inflation!$D$125:$BD$125,0))</f>
        <v>9524.8295584622683</v>
      </c>
      <c r="P229" s="90">
        <f>(P183+P205)*INDEX(Inflation!$D$126:$BD$166, MATCH($B229, Inflation!$B$126:$B$166,0), MATCH(P$225, Inflation!$D$125:$BD$125,0))</f>
        <v>9827.9111239754275</v>
      </c>
      <c r="Q229" s="90">
        <f>(Q183+Q205)*INDEX(Inflation!$D$126:$BD$166, MATCH($B229, Inflation!$B$126:$B$166,0), MATCH(Q$225, Inflation!$D$125:$BD$125,0))</f>
        <v>10157.662253706449</v>
      </c>
      <c r="R229" s="90">
        <f>(R183+R205)*INDEX(Inflation!$D$126:$BD$166, MATCH($B229, Inflation!$B$126:$B$166,0), MATCH(R$225, Inflation!$D$125:$BD$125,0))</f>
        <v>10510.084651258749</v>
      </c>
      <c r="S229" s="90">
        <f>(S183+S205)*INDEX(Inflation!$D$126:$BD$166, MATCH($B229, Inflation!$B$126:$B$166,0), MATCH(S$225, Inflation!$D$125:$BD$125,0))</f>
        <v>10881.217493245958</v>
      </c>
      <c r="T229" s="90">
        <f>(T183+T205)*INDEX(Inflation!$D$126:$BD$166, MATCH($B229, Inflation!$B$126:$B$166,0), MATCH(T$225, Inflation!$D$125:$BD$125,0))</f>
        <v>11267.39088621838</v>
      </c>
      <c r="U229" s="90">
        <f>(U183+U205)*INDEX(Inflation!$D$126:$BD$166, MATCH($B229, Inflation!$B$126:$B$166,0), MATCH(U$225, Inflation!$D$125:$BD$125,0))</f>
        <v>11668.651778768819</v>
      </c>
      <c r="V229" s="90">
        <f>(V183+V205)*INDEX(Inflation!$D$126:$BD$166, MATCH($B229, Inflation!$B$126:$B$166,0), MATCH(V$225, Inflation!$D$125:$BD$125,0))</f>
        <v>12090.186958579283</v>
      </c>
      <c r="W229" s="90">
        <f>(W183+W205)*INDEX(Inflation!$D$126:$BD$166, MATCH($B229, Inflation!$B$126:$B$166,0), MATCH(W$225, Inflation!$D$125:$BD$125,0))</f>
        <v>12524.21569801564</v>
      </c>
      <c r="X229" s="90">
        <f>(X183+X205)*INDEX(Inflation!$D$126:$BD$166, MATCH($B229, Inflation!$B$126:$B$166,0), MATCH(X$225, Inflation!$D$125:$BD$125,0))</f>
        <v>12969.000898845539</v>
      </c>
      <c r="Y229" s="90">
        <f>(Y183+Y205)*INDEX(Inflation!$D$126:$BD$166, MATCH($B229, Inflation!$B$126:$B$166,0), MATCH(Y$225, Inflation!$D$125:$BD$125,0))</f>
        <v>13427.339738612238</v>
      </c>
      <c r="Z229" s="90">
        <f>(Z183+Z205)*INDEX(Inflation!$D$126:$BD$166, MATCH($B229, Inflation!$B$126:$B$166,0), MATCH(Z$225, Inflation!$D$125:$BD$125,0))</f>
        <v>13898.192907109467</v>
      </c>
      <c r="AA229" s="90">
        <f>(AA183+AA205)*INDEX(Inflation!$D$126:$BD$166, MATCH($B229, Inflation!$B$126:$B$166,0), MATCH(AA$225, Inflation!$D$125:$BD$125,0))</f>
        <v>14380.335773892482</v>
      </c>
      <c r="AB229" s="90">
        <f>(AB183+AB205)*INDEX(Inflation!$D$126:$BD$166, MATCH($B229, Inflation!$B$126:$B$166,0), MATCH(AB$225, Inflation!$D$125:$BD$125,0))</f>
        <v>14872.857756521033</v>
      </c>
      <c r="AC229" s="90">
        <f>(AC183+AC205)*INDEX(Inflation!$D$126:$BD$166, MATCH($B229, Inflation!$B$126:$B$166,0), MATCH(AC$225, Inflation!$D$125:$BD$125,0))</f>
        <v>15376.607289668747</v>
      </c>
      <c r="AD229" s="90">
        <f>(AD183+AD205)*INDEX(Inflation!$D$126:$BD$166, MATCH($B229, Inflation!$B$126:$B$166,0), MATCH(AD$225, Inflation!$D$125:$BD$125,0))</f>
        <v>15890.064717227469</v>
      </c>
      <c r="AE229" s="90">
        <f>(AE183+AE205)*INDEX(Inflation!$D$126:$BD$166, MATCH($B229, Inflation!$B$126:$B$166,0), MATCH(AE$225, Inflation!$D$125:$BD$125,0))</f>
        <v>16411.772938299826</v>
      </c>
      <c r="AF229" s="90">
        <f>(AF183+AF205)*INDEX(Inflation!$D$126:$BD$166, MATCH($B229, Inflation!$B$126:$B$166,0), MATCH(AF$225, Inflation!$D$125:$BD$125,0))</f>
        <v>16940.609900685198</v>
      </c>
      <c r="AG229" s="90">
        <f>(AG183+AG205)*INDEX(Inflation!$D$126:$BD$166, MATCH($B229, Inflation!$B$126:$B$166,0), MATCH(AG$225, Inflation!$D$125:$BD$125,0))</f>
        <v>17476.828651119282</v>
      </c>
      <c r="AH229" s="90">
        <f>(AH183+AH205)*INDEX(Inflation!$D$126:$BD$166, MATCH($B229, Inflation!$B$126:$B$166,0), MATCH(AH$225, Inflation!$D$125:$BD$125,0))</f>
        <v>18023.535947431134</v>
      </c>
      <c r="AI229" s="90">
        <f>(AI183+AI205)*INDEX(Inflation!$D$126:$BD$166, MATCH($B229, Inflation!$B$126:$B$166,0), MATCH(AI$225, Inflation!$D$125:$BD$125,0))</f>
        <v>18581.217950220864</v>
      </c>
      <c r="AJ229" s="90">
        <f>(AJ183+AJ205)*INDEX(Inflation!$D$126:$BD$166, MATCH($B229, Inflation!$B$126:$B$166,0), MATCH(AJ$225, Inflation!$D$125:$BD$125,0))</f>
        <v>19151.958192379745</v>
      </c>
      <c r="AK229" s="90">
        <f>(AK183+AK205)*INDEX(Inflation!$D$126:$BD$166, MATCH($B229, Inflation!$B$126:$B$166,0), MATCH(AK$225, Inflation!$D$125:$BD$125,0))</f>
        <v>19733.92583612477</v>
      </c>
      <c r="AL229" s="90">
        <f>(AL183+AL205)*INDEX(Inflation!$D$126:$BD$166, MATCH($B229, Inflation!$B$126:$B$166,0), MATCH(AL$225, Inflation!$D$125:$BD$125,0))</f>
        <v>20323.933570319372</v>
      </c>
      <c r="AM229" s="90">
        <f>(AM183+AM205)*INDEX(Inflation!$D$126:$BD$166, MATCH($B229, Inflation!$B$126:$B$166,0), MATCH(AM$225, Inflation!$D$125:$BD$125,0))</f>
        <v>20920.025161473532</v>
      </c>
      <c r="AN229" s="90">
        <f>(AN183+AN205)*INDEX(Inflation!$D$126:$BD$166, MATCH($B229, Inflation!$B$126:$B$166,0), MATCH(AN$225, Inflation!$D$125:$BD$125,0))</f>
        <v>21520.771858078973</v>
      </c>
      <c r="AO229" s="90">
        <f>(AO183+AO205)*INDEX(Inflation!$D$126:$BD$166, MATCH($B229, Inflation!$B$126:$B$166,0), MATCH(AO$225, Inflation!$D$125:$BD$125,0))</f>
        <v>22124.914877736104</v>
      </c>
      <c r="AP229" s="90">
        <f>(AP183+AP205)*INDEX(Inflation!$D$126:$BD$166, MATCH($B229, Inflation!$B$126:$B$166,0), MATCH(AP$225, Inflation!$D$125:$BD$125,0))</f>
        <v>22731.161005341444</v>
      </c>
      <c r="AQ229" s="90">
        <f>(AQ183+AQ205)*INDEX(Inflation!$D$126:$BD$166, MATCH($B229, Inflation!$B$126:$B$166,0), MATCH(AQ$225, Inflation!$D$125:$BD$125,0))</f>
        <v>23345.330836536832</v>
      </c>
      <c r="AR229" s="90">
        <f>(AR183+AR205)*INDEX(Inflation!$D$126:$BD$166, MATCH($B229, Inflation!$B$126:$B$166,0), MATCH(AR$225, Inflation!$D$125:$BD$125,0))</f>
        <v>23973.348757481013</v>
      </c>
      <c r="AS229" s="90">
        <f>(AS183+AS205)*INDEX(Inflation!$D$126:$BD$166, MATCH($B229, Inflation!$B$126:$B$166,0), MATCH(AS$225, Inflation!$D$125:$BD$125,0))</f>
        <v>24619.943842810735</v>
      </c>
      <c r="AT229" s="90">
        <f>(AT183+AT205)*INDEX(Inflation!$D$126:$BD$166, MATCH($B229, Inflation!$B$126:$B$166,0), MATCH(AT$225, Inflation!$D$125:$BD$125,0))</f>
        <v>25258.954228989431</v>
      </c>
      <c r="AU229" s="90" t="e">
        <f>(AU183+AU205)*INDEX(Inflation!$D$126:$BD$166, MATCH($B229, Inflation!$B$126:$B$166,0), MATCH(AU$225, Inflation!$D$125:$BD$125,0))</f>
        <v>#N/A</v>
      </c>
      <c r="AV229" s="90" t="e">
        <f>(AV183+AV205)*INDEX(Inflation!$D$126:$BD$166, MATCH($B229, Inflation!$B$126:$B$166,0), MATCH(AV$225, Inflation!$D$125:$BD$125,0))</f>
        <v>#N/A</v>
      </c>
      <c r="AW229" s="90" t="e">
        <f>(AW183+AW205)*INDEX(Inflation!$D$126:$BD$166, MATCH($B229, Inflation!$B$126:$B$166,0), MATCH(AW$225, Inflation!$D$125:$BD$125,0))</f>
        <v>#N/A</v>
      </c>
      <c r="AX229" s="90" t="e">
        <f>(AX183+AX205)*INDEX(Inflation!$D$126:$BD$166, MATCH($B229, Inflation!$B$126:$B$166,0), MATCH(AX$225, Inflation!$D$125:$BD$125,0))</f>
        <v>#N/A</v>
      </c>
      <c r="AY229" s="90" t="e">
        <f>(AY183+AY205)*INDEX(Inflation!$D$126:$BD$166, MATCH($B229, Inflation!$B$126:$B$166,0), MATCH(AY$225, Inflation!$D$125:$BD$125,0))</f>
        <v>#N/A</v>
      </c>
      <c r="AZ229" s="90" t="e">
        <f>(AZ183+AZ205)*INDEX(Inflation!$D$126:$BD$166, MATCH($B229, Inflation!$B$126:$B$166,0), MATCH(AZ$225, Inflation!$D$125:$BD$125,0))</f>
        <v>#N/A</v>
      </c>
      <c r="BA229" s="90" t="e">
        <f>(BA183+BA205)*INDEX(Inflation!$D$126:$BD$166, MATCH($B229, Inflation!$B$126:$B$166,0), MATCH(BA$225, Inflation!$D$125:$BD$125,0))</f>
        <v>#N/A</v>
      </c>
      <c r="BB229" s="90" t="e">
        <f>(BB183+BB205)*INDEX(Inflation!$D$126:$BD$166, MATCH($B229, Inflation!$B$126:$B$166,0), MATCH(BB$225, Inflation!$D$125:$BD$125,0))</f>
        <v>#N/A</v>
      </c>
    </row>
    <row r="230" spans="2:54">
      <c r="B230" s="6" t="s">
        <v>103</v>
      </c>
      <c r="C230" s="142"/>
      <c r="D230" s="90">
        <f>(D184+D206)*INDEX(Inflation!$D$126:$BD$166, MATCH($B230, Inflation!$B$126:$B$166,0), MATCH(D$225, Inflation!$D$125:$BD$125,0))</f>
        <v>205359.89171137332</v>
      </c>
      <c r="E230" s="90">
        <f>(E184+E206)*INDEX(Inflation!$D$126:$BD$166, MATCH($B230, Inflation!$B$126:$B$166,0), MATCH(E$225, Inflation!$D$125:$BD$125,0))</f>
        <v>217305.62979658687</v>
      </c>
      <c r="F230" s="90">
        <f>(F184+F206)*INDEX(Inflation!$D$126:$BD$166, MATCH($B230, Inflation!$B$126:$B$166,0), MATCH(F$225, Inflation!$D$125:$BD$125,0))</f>
        <v>228513.23978765222</v>
      </c>
      <c r="G230" s="90">
        <f>(G184+G206)*INDEX(Inflation!$D$126:$BD$166, MATCH($B230, Inflation!$B$126:$B$166,0), MATCH(G$225, Inflation!$D$125:$BD$125,0))</f>
        <v>239259.05578539392</v>
      </c>
      <c r="H230" s="90">
        <f>(H184+H206)*INDEX(Inflation!$D$126:$BD$166, MATCH($B230, Inflation!$B$126:$B$166,0), MATCH(H$225, Inflation!$D$125:$BD$125,0))</f>
        <v>217742.52651183118</v>
      </c>
      <c r="I230" s="90">
        <f>(I184+I206)*INDEX(Inflation!$D$126:$BD$166, MATCH($B230, Inflation!$B$126:$B$166,0), MATCH(I$225, Inflation!$D$125:$BD$125,0))</f>
        <v>203297.92545710356</v>
      </c>
      <c r="J230" s="90">
        <f>(J184+J206)*INDEX(Inflation!$D$126:$BD$166, MATCH($B230, Inflation!$B$126:$B$166,0), MATCH(J$225, Inflation!$D$125:$BD$125,0))</f>
        <v>195220.23995855218</v>
      </c>
      <c r="K230" s="90">
        <f>(K184+K206)*INDEX(Inflation!$D$126:$BD$166, MATCH($B230, Inflation!$B$126:$B$166,0), MATCH(K$225, Inflation!$D$125:$BD$125,0))</f>
        <v>191632.47531392582</v>
      </c>
      <c r="L230" s="90">
        <f>(L184+L206)*INDEX(Inflation!$D$126:$BD$166, MATCH($B230, Inflation!$B$126:$B$166,0), MATCH(L$225, Inflation!$D$125:$BD$125,0))</f>
        <v>191526.98202284763</v>
      </c>
      <c r="M230" s="90">
        <f>(M184+M206)*INDEX(Inflation!$D$126:$BD$166, MATCH($B230, Inflation!$B$126:$B$166,0), MATCH(M$225, Inflation!$D$125:$BD$125,0))</f>
        <v>193717.42302403686</v>
      </c>
      <c r="N230" s="90">
        <f>(N184+N206)*INDEX(Inflation!$D$126:$BD$166, MATCH($B230, Inflation!$B$126:$B$166,0), MATCH(N$225, Inflation!$D$125:$BD$125,0))</f>
        <v>197463.63725318958</v>
      </c>
      <c r="O230" s="90">
        <f>(O184+O206)*INDEX(Inflation!$D$126:$BD$166, MATCH($B230, Inflation!$B$126:$B$166,0), MATCH(O$225, Inflation!$D$125:$BD$125,0))</f>
        <v>202401.60170189189</v>
      </c>
      <c r="P230" s="90">
        <f>(P184+P206)*INDEX(Inflation!$D$126:$BD$166, MATCH($B230, Inflation!$B$126:$B$166,0), MATCH(P$225, Inflation!$D$125:$BD$125,0))</f>
        <v>208066.14323641537</v>
      </c>
      <c r="Q230" s="90">
        <f>(Q184+Q206)*INDEX(Inflation!$D$126:$BD$166, MATCH($B230, Inflation!$B$126:$B$166,0), MATCH(Q$225, Inflation!$D$125:$BD$125,0))</f>
        <v>214248.32218699815</v>
      </c>
      <c r="R230" s="90">
        <f>(R184+R206)*INDEX(Inflation!$D$126:$BD$166, MATCH($B230, Inflation!$B$126:$B$166,0), MATCH(R$225, Inflation!$D$125:$BD$125,0))</f>
        <v>220858.10419211743</v>
      </c>
      <c r="S230" s="90">
        <f>(S184+S206)*INDEX(Inflation!$D$126:$BD$166, MATCH($B230, Inflation!$B$126:$B$166,0), MATCH(S$225, Inflation!$D$125:$BD$125,0))</f>
        <v>227807.53336363545</v>
      </c>
      <c r="T230" s="90">
        <f>(T184+T206)*INDEX(Inflation!$D$126:$BD$166, MATCH($B230, Inflation!$B$126:$B$166,0), MATCH(T$225, Inflation!$D$125:$BD$125,0))</f>
        <v>235015.9924544376</v>
      </c>
      <c r="U230" s="90">
        <f>(U184+U206)*INDEX(Inflation!$D$126:$BD$166, MATCH($B230, Inflation!$B$126:$B$166,0), MATCH(U$225, Inflation!$D$125:$BD$125,0))</f>
        <v>242481.27086488347</v>
      </c>
      <c r="V230" s="90">
        <f>(V184+V206)*INDEX(Inflation!$D$126:$BD$166, MATCH($B230, Inflation!$B$126:$B$166,0), MATCH(V$225, Inflation!$D$125:$BD$125,0))</f>
        <v>250307.57990274564</v>
      </c>
      <c r="W230" s="90">
        <f>(W184+W206)*INDEX(Inflation!$D$126:$BD$166, MATCH($B230, Inflation!$B$126:$B$166,0), MATCH(W$225, Inflation!$D$125:$BD$125,0))</f>
        <v>258330.08560015657</v>
      </c>
      <c r="X230" s="90">
        <f>(X184+X206)*INDEX(Inflation!$D$126:$BD$166, MATCH($B230, Inflation!$B$126:$B$166,0), MATCH(X$225, Inflation!$D$125:$BD$125,0))</f>
        <v>266510.56760265835</v>
      </c>
      <c r="Y230" s="90">
        <f>(Y184+Y206)*INDEX(Inflation!$D$126:$BD$166, MATCH($B230, Inflation!$B$126:$B$166,0), MATCH(Y$225, Inflation!$D$125:$BD$125,0))</f>
        <v>274904.18799649057</v>
      </c>
      <c r="Z230" s="90">
        <f>(Z184+Z206)*INDEX(Inflation!$D$126:$BD$166, MATCH($B230, Inflation!$B$126:$B$166,0), MATCH(Z$225, Inflation!$D$125:$BD$125,0))</f>
        <v>283487.01993724407</v>
      </c>
      <c r="AA230" s="90">
        <f>(AA184+AA206)*INDEX(Inflation!$D$126:$BD$166, MATCH($B230, Inflation!$B$126:$B$166,0), MATCH(AA$225, Inflation!$D$125:$BD$125,0))</f>
        <v>292231.70677448314</v>
      </c>
      <c r="AB230" s="90">
        <f>(AB184+AB206)*INDEX(Inflation!$D$126:$BD$166, MATCH($B230, Inflation!$B$126:$B$166,0), MATCH(AB$225, Inflation!$D$125:$BD$125,0))</f>
        <v>301117.6392194003</v>
      </c>
      <c r="AC230" s="90">
        <f>(AC184+AC206)*INDEX(Inflation!$D$126:$BD$166, MATCH($B230, Inflation!$B$126:$B$166,0), MATCH(AC$225, Inflation!$D$125:$BD$125,0))</f>
        <v>310159.97999844921</v>
      </c>
      <c r="AD230" s="90">
        <f>(AD184+AD206)*INDEX(Inflation!$D$126:$BD$166, MATCH($B230, Inflation!$B$126:$B$166,0), MATCH(AD$225, Inflation!$D$125:$BD$125,0))</f>
        <v>319326.06390492892</v>
      </c>
      <c r="AE230" s="90">
        <f>(AE184+AE206)*INDEX(Inflation!$D$126:$BD$166, MATCH($B230, Inflation!$B$126:$B$166,0), MATCH(AE$225, Inflation!$D$125:$BD$125,0))</f>
        <v>328584.94877922995</v>
      </c>
      <c r="AF230" s="90">
        <f>(AF184+AF206)*INDEX(Inflation!$D$126:$BD$166, MATCH($B230, Inflation!$B$126:$B$166,0), MATCH(AF$225, Inflation!$D$125:$BD$125,0))</f>
        <v>337912.82332382456</v>
      </c>
      <c r="AG230" s="90">
        <f>(AG184+AG206)*INDEX(Inflation!$D$126:$BD$166, MATCH($B230, Inflation!$B$126:$B$166,0), MATCH(AG$225, Inflation!$D$125:$BD$125,0))</f>
        <v>347313.54754790931</v>
      </c>
      <c r="AH230" s="90">
        <f>(AH184+AH206)*INDEX(Inflation!$D$126:$BD$166, MATCH($B230, Inflation!$B$126:$B$166,0), MATCH(AH$225, Inflation!$D$125:$BD$125,0))</f>
        <v>356847.41695802676</v>
      </c>
      <c r="AI230" s="90">
        <f>(AI184+AI206)*INDEX(Inflation!$D$126:$BD$166, MATCH($B230, Inflation!$B$126:$B$166,0), MATCH(AI$225, Inflation!$D$125:$BD$125,0))</f>
        <v>366522.13063658081</v>
      </c>
      <c r="AJ230" s="90">
        <f>(AJ184+AJ206)*INDEX(Inflation!$D$126:$BD$166, MATCH($B230, Inflation!$B$126:$B$166,0), MATCH(AJ$225, Inflation!$D$125:$BD$125,0))</f>
        <v>376376.6519866141</v>
      </c>
      <c r="AK230" s="90">
        <f>(AK184+AK206)*INDEX(Inflation!$D$126:$BD$166, MATCH($B230, Inflation!$B$126:$B$166,0), MATCH(AK$225, Inflation!$D$125:$BD$125,0))</f>
        <v>386372.71178749803</v>
      </c>
      <c r="AL230" s="90">
        <f>(AL184+AL206)*INDEX(Inflation!$D$126:$BD$166, MATCH($B230, Inflation!$B$126:$B$166,0), MATCH(AL$225, Inflation!$D$125:$BD$125,0))</f>
        <v>396446.13273071125</v>
      </c>
      <c r="AM230" s="90">
        <f>(AM184+AM206)*INDEX(Inflation!$D$126:$BD$166, MATCH($B230, Inflation!$B$126:$B$166,0), MATCH(AM$225, Inflation!$D$125:$BD$125,0))</f>
        <v>406557.60207919928</v>
      </c>
      <c r="AN230" s="90">
        <f>(AN184+AN206)*INDEX(Inflation!$D$126:$BD$166, MATCH($B230, Inflation!$B$126:$B$166,0), MATCH(AN$225, Inflation!$D$125:$BD$125,0))</f>
        <v>416678.5957443036</v>
      </c>
      <c r="AO230" s="90">
        <f>(AO184+AO206)*INDEX(Inflation!$D$126:$BD$166, MATCH($B230, Inflation!$B$126:$B$166,0), MATCH(AO$225, Inflation!$D$125:$BD$125,0))</f>
        <v>426784.28691059077</v>
      </c>
      <c r="AP230" s="90">
        <f>(AP184+AP206)*INDEX(Inflation!$D$126:$BD$166, MATCH($B230, Inflation!$B$126:$B$166,0), MATCH(AP$225, Inflation!$D$125:$BD$125,0))</f>
        <v>436849.55304859777</v>
      </c>
      <c r="AQ230" s="90">
        <f>(AQ184+AQ206)*INDEX(Inflation!$D$126:$BD$166, MATCH($B230, Inflation!$B$126:$B$166,0), MATCH(AQ$225, Inflation!$D$125:$BD$125,0))</f>
        <v>446985.85003316333</v>
      </c>
      <c r="AR230" s="90">
        <f>(AR184+AR206)*INDEX(Inflation!$D$126:$BD$166, MATCH($B230, Inflation!$B$126:$B$166,0), MATCH(AR$225, Inflation!$D$125:$BD$125,0))</f>
        <v>457304.95843235491</v>
      </c>
      <c r="AS230" s="90">
        <f>(AS184+AS206)*INDEX(Inflation!$D$126:$BD$166, MATCH($B230, Inflation!$B$126:$B$166,0), MATCH(AS$225, Inflation!$D$125:$BD$125,0))</f>
        <v>467894.27307713765</v>
      </c>
      <c r="AT230" s="90">
        <f>(AT184+AT206)*INDEX(Inflation!$D$126:$BD$166, MATCH($B230, Inflation!$B$126:$B$166,0), MATCH(AT$225, Inflation!$D$125:$BD$125,0))</f>
        <v>478254.98130809097</v>
      </c>
      <c r="AU230" s="90" t="e">
        <f>(AU184+AU206)*INDEX(Inflation!$D$126:$BD$166, MATCH($B230, Inflation!$B$126:$B$166,0), MATCH(AU$225, Inflation!$D$125:$BD$125,0))</f>
        <v>#N/A</v>
      </c>
      <c r="AV230" s="90" t="e">
        <f>(AV184+AV206)*INDEX(Inflation!$D$126:$BD$166, MATCH($B230, Inflation!$B$126:$B$166,0), MATCH(AV$225, Inflation!$D$125:$BD$125,0))</f>
        <v>#N/A</v>
      </c>
      <c r="AW230" s="90" t="e">
        <f>(AW184+AW206)*INDEX(Inflation!$D$126:$BD$166, MATCH($B230, Inflation!$B$126:$B$166,0), MATCH(AW$225, Inflation!$D$125:$BD$125,0))</f>
        <v>#N/A</v>
      </c>
      <c r="AX230" s="90" t="e">
        <f>(AX184+AX206)*INDEX(Inflation!$D$126:$BD$166, MATCH($B230, Inflation!$B$126:$B$166,0), MATCH(AX$225, Inflation!$D$125:$BD$125,0))</f>
        <v>#N/A</v>
      </c>
      <c r="AY230" s="90" t="e">
        <f>(AY184+AY206)*INDEX(Inflation!$D$126:$BD$166, MATCH($B230, Inflation!$B$126:$B$166,0), MATCH(AY$225, Inflation!$D$125:$BD$125,0))</f>
        <v>#N/A</v>
      </c>
      <c r="AZ230" s="90" t="e">
        <f>(AZ184+AZ206)*INDEX(Inflation!$D$126:$BD$166, MATCH($B230, Inflation!$B$126:$B$166,0), MATCH(AZ$225, Inflation!$D$125:$BD$125,0))</f>
        <v>#N/A</v>
      </c>
      <c r="BA230" s="90" t="e">
        <f>(BA184+BA206)*INDEX(Inflation!$D$126:$BD$166, MATCH($B230, Inflation!$B$126:$B$166,0), MATCH(BA$225, Inflation!$D$125:$BD$125,0))</f>
        <v>#N/A</v>
      </c>
      <c r="BB230" s="90" t="e">
        <f>(BB184+BB206)*INDEX(Inflation!$D$126:$BD$166, MATCH($B230, Inflation!$B$126:$B$166,0), MATCH(BB$225, Inflation!$D$125:$BD$125,0))</f>
        <v>#N/A</v>
      </c>
    </row>
    <row r="231" spans="2:54">
      <c r="B231" s="6" t="s">
        <v>104</v>
      </c>
      <c r="C231" s="142"/>
      <c r="D231" s="90">
        <f>(D185+D207)*INDEX(Inflation!$D$126:$BD$166, MATCH($B231, Inflation!$B$126:$B$166,0), MATCH(D$225, Inflation!$D$125:$BD$125,0))</f>
        <v>32568.027196340096</v>
      </c>
      <c r="E231" s="90">
        <f>(E185+E207)*INDEX(Inflation!$D$126:$BD$166, MATCH($B231, Inflation!$B$126:$B$166,0), MATCH(E$225, Inflation!$D$125:$BD$125,0))</f>
        <v>34462.501913858876</v>
      </c>
      <c r="F231" s="90">
        <f>(F185+F207)*INDEX(Inflation!$D$126:$BD$166, MATCH($B231, Inflation!$B$126:$B$166,0), MATCH(F$225, Inflation!$D$125:$BD$125,0))</f>
        <v>36239.916889846507</v>
      </c>
      <c r="G231" s="90">
        <f>(G185+G207)*INDEX(Inflation!$D$126:$BD$166, MATCH($B231, Inflation!$B$126:$B$166,0), MATCH(G$225, Inflation!$D$125:$BD$125,0))</f>
        <v>37944.095952003328</v>
      </c>
      <c r="H231" s="90">
        <f>(H185+H207)*INDEX(Inflation!$D$126:$BD$166, MATCH($B231, Inflation!$B$126:$B$166,0), MATCH(H$225, Inflation!$D$125:$BD$125,0))</f>
        <v>45278.947663402389</v>
      </c>
      <c r="I231" s="90">
        <f>(I185+I207)*INDEX(Inflation!$D$126:$BD$166, MATCH($B231, Inflation!$B$126:$B$166,0), MATCH(I$225, Inflation!$D$125:$BD$125,0))</f>
        <v>42275.233388321627</v>
      </c>
      <c r="J231" s="90">
        <f>(J185+J207)*INDEX(Inflation!$D$126:$BD$166, MATCH($B231, Inflation!$B$126:$B$166,0), MATCH(J$225, Inflation!$D$125:$BD$125,0))</f>
        <v>40595.501345208497</v>
      </c>
      <c r="K231" s="90">
        <f>(K185+K207)*INDEX(Inflation!$D$126:$BD$166, MATCH($B231, Inflation!$B$126:$B$166,0), MATCH(K$225, Inflation!$D$125:$BD$125,0))</f>
        <v>39849.435750328877</v>
      </c>
      <c r="L231" s="90">
        <f>(L185+L207)*INDEX(Inflation!$D$126:$BD$166, MATCH($B231, Inflation!$B$126:$B$166,0), MATCH(L$225, Inflation!$D$125:$BD$125,0))</f>
        <v>39827.498716336988</v>
      </c>
      <c r="M231" s="90">
        <f>(M185+M207)*INDEX(Inflation!$D$126:$BD$166, MATCH($B231, Inflation!$B$126:$B$166,0), MATCH(M$225, Inflation!$D$125:$BD$125,0))</f>
        <v>40282.994778780398</v>
      </c>
      <c r="N231" s="90">
        <f>(N185+N207)*INDEX(Inflation!$D$126:$BD$166, MATCH($B231, Inflation!$B$126:$B$166,0), MATCH(N$225, Inflation!$D$125:$BD$125,0))</f>
        <v>41062.009520342515</v>
      </c>
      <c r="O231" s="90">
        <f>(O185+O207)*INDEX(Inflation!$D$126:$BD$166, MATCH($B231, Inflation!$B$126:$B$166,0), MATCH(O$225, Inflation!$D$125:$BD$125,0))</f>
        <v>42088.845377436264</v>
      </c>
      <c r="P231" s="90">
        <f>(P185+P207)*INDEX(Inflation!$D$126:$BD$166, MATCH($B231, Inflation!$B$126:$B$166,0), MATCH(P$225, Inflation!$D$125:$BD$125,0))</f>
        <v>43266.770901621465</v>
      </c>
      <c r="Q231" s="90">
        <f>(Q185+Q207)*INDEX(Inflation!$D$126:$BD$166, MATCH($B231, Inflation!$B$126:$B$166,0), MATCH(Q$225, Inflation!$D$125:$BD$125,0))</f>
        <v>44552.337674605595</v>
      </c>
      <c r="R231" s="90">
        <f>(R185+R207)*INDEX(Inflation!$D$126:$BD$166, MATCH($B231, Inflation!$B$126:$B$166,0), MATCH(R$225, Inflation!$D$125:$BD$125,0))</f>
        <v>45926.82330343857</v>
      </c>
      <c r="S231" s="90">
        <f>(S185+S207)*INDEX(Inflation!$D$126:$BD$166, MATCH($B231, Inflation!$B$126:$B$166,0), MATCH(S$225, Inflation!$D$125:$BD$125,0))</f>
        <v>47371.937607881016</v>
      </c>
      <c r="T231" s="90">
        <f>(T185+T207)*INDEX(Inflation!$D$126:$BD$166, MATCH($B231, Inflation!$B$126:$B$166,0), MATCH(T$225, Inflation!$D$125:$BD$125,0))</f>
        <v>48870.916457510895</v>
      </c>
      <c r="U231" s="90">
        <f>(U185+U207)*INDEX(Inflation!$D$126:$BD$166, MATCH($B231, Inflation!$B$126:$B$166,0), MATCH(U$225, Inflation!$D$125:$BD$125,0))</f>
        <v>50423.300164333268</v>
      </c>
      <c r="V231" s="90">
        <f>(V185+V207)*INDEX(Inflation!$D$126:$BD$166, MATCH($B231, Inflation!$B$126:$B$166,0), MATCH(V$225, Inflation!$D$125:$BD$125,0))</f>
        <v>52050.759177507338</v>
      </c>
      <c r="W231" s="90">
        <f>(W185+W207)*INDEX(Inflation!$D$126:$BD$166, MATCH($B231, Inflation!$B$126:$B$166,0), MATCH(W$225, Inflation!$D$125:$BD$125,0))</f>
        <v>53719.016735741752</v>
      </c>
      <c r="X231" s="90">
        <f>(X185+X207)*INDEX(Inflation!$D$126:$BD$166, MATCH($B231, Inflation!$B$126:$B$166,0), MATCH(X$225, Inflation!$D$125:$BD$125,0))</f>
        <v>55420.125023527486</v>
      </c>
      <c r="Y231" s="90">
        <f>(Y185+Y207)*INDEX(Inflation!$D$126:$BD$166, MATCH($B231, Inflation!$B$126:$B$166,0), MATCH(Y$225, Inflation!$D$125:$BD$125,0))</f>
        <v>57165.554841979363</v>
      </c>
      <c r="Z231" s="90">
        <f>(Z185+Z207)*INDEX(Inflation!$D$126:$BD$166, MATCH($B231, Inflation!$B$126:$B$166,0), MATCH(Z$225, Inflation!$D$125:$BD$125,0))</f>
        <v>58950.330670912532</v>
      </c>
      <c r="AA231" s="90">
        <f>(AA185+AA207)*INDEX(Inflation!$D$126:$BD$166, MATCH($B231, Inflation!$B$126:$B$166,0), MATCH(AA$225, Inflation!$D$125:$BD$125,0))</f>
        <v>60768.763771598897</v>
      </c>
      <c r="AB231" s="90">
        <f>(AB185+AB207)*INDEX(Inflation!$D$126:$BD$166, MATCH($B231, Inflation!$B$126:$B$166,0), MATCH(AB$225, Inflation!$D$125:$BD$125,0))</f>
        <v>62616.568500235895</v>
      </c>
      <c r="AC231" s="90">
        <f>(AC185+AC207)*INDEX(Inflation!$D$126:$BD$166, MATCH($B231, Inflation!$B$126:$B$166,0), MATCH(AC$225, Inflation!$D$125:$BD$125,0))</f>
        <v>64496.897903261175</v>
      </c>
      <c r="AD231" s="90">
        <f>(AD185+AD207)*INDEX(Inflation!$D$126:$BD$166, MATCH($B231, Inflation!$B$126:$B$166,0), MATCH(AD$225, Inflation!$D$125:$BD$125,0))</f>
        <v>66402.959342560673</v>
      </c>
      <c r="AE231" s="90">
        <f>(AE185+AE207)*INDEX(Inflation!$D$126:$BD$166, MATCH($B231, Inflation!$B$126:$B$166,0), MATCH(AE$225, Inflation!$D$125:$BD$125,0))</f>
        <v>68328.318482830262</v>
      </c>
      <c r="AF231" s="90">
        <f>(AF185+AF207)*INDEX(Inflation!$D$126:$BD$166, MATCH($B231, Inflation!$B$126:$B$166,0), MATCH(AF$225, Inflation!$D$125:$BD$125,0))</f>
        <v>70268.023831534971</v>
      </c>
      <c r="AG231" s="90">
        <f>(AG185+AG207)*INDEX(Inflation!$D$126:$BD$166, MATCH($B231, Inflation!$B$126:$B$166,0), MATCH(AG$225, Inflation!$D$125:$BD$125,0))</f>
        <v>72222.87806676075</v>
      </c>
      <c r="AH231" s="90">
        <f>(AH185+AH207)*INDEX(Inflation!$D$126:$BD$166, MATCH($B231, Inflation!$B$126:$B$166,0), MATCH(AH$225, Inflation!$D$125:$BD$125,0))</f>
        <v>74205.419469976128</v>
      </c>
      <c r="AI231" s="90">
        <f>(AI185+AI207)*INDEX(Inflation!$D$126:$BD$166, MATCH($B231, Inflation!$B$126:$B$166,0), MATCH(AI$225, Inflation!$D$125:$BD$125,0))</f>
        <v>76217.249043772506</v>
      </c>
      <c r="AJ231" s="90">
        <f>(AJ185+AJ207)*INDEX(Inflation!$D$126:$BD$166, MATCH($B231, Inflation!$B$126:$B$166,0), MATCH(AJ$225, Inflation!$D$125:$BD$125,0))</f>
        <v>78266.469118528083</v>
      </c>
      <c r="AK231" s="90">
        <f>(AK185+AK207)*INDEX(Inflation!$D$126:$BD$166, MATCH($B231, Inflation!$B$126:$B$166,0), MATCH(AK$225, Inflation!$D$125:$BD$125,0))</f>
        <v>80345.121717150658</v>
      </c>
      <c r="AL231" s="90">
        <f>(AL185+AL207)*INDEX(Inflation!$D$126:$BD$166, MATCH($B231, Inflation!$B$126:$B$166,0), MATCH(AL$225, Inflation!$D$125:$BD$125,0))</f>
        <v>82439.861348337901</v>
      </c>
      <c r="AM231" s="90">
        <f>(AM185+AM207)*INDEX(Inflation!$D$126:$BD$166, MATCH($B231, Inflation!$B$126:$B$166,0), MATCH(AM$225, Inflation!$D$125:$BD$125,0))</f>
        <v>84542.513038683799</v>
      </c>
      <c r="AN231" s="90">
        <f>(AN185+AN207)*INDEX(Inflation!$D$126:$BD$166, MATCH($B231, Inflation!$B$126:$B$166,0), MATCH(AN$225, Inflation!$D$125:$BD$125,0))</f>
        <v>86647.145283956226</v>
      </c>
      <c r="AO231" s="90">
        <f>(AO185+AO207)*INDEX(Inflation!$D$126:$BD$166, MATCH($B231, Inflation!$B$126:$B$166,0), MATCH(AO$225, Inflation!$D$125:$BD$125,0))</f>
        <v>88748.595417520119</v>
      </c>
      <c r="AP231" s="90">
        <f>(AP185+AP207)*INDEX(Inflation!$D$126:$BD$166, MATCH($B231, Inflation!$B$126:$B$166,0), MATCH(AP$225, Inflation!$D$125:$BD$125,0))</f>
        <v>90841.639279837327</v>
      </c>
      <c r="AQ231" s="90">
        <f>(AQ185+AQ207)*INDEX(Inflation!$D$126:$BD$166, MATCH($B231, Inflation!$B$126:$B$166,0), MATCH(AQ$225, Inflation!$D$125:$BD$125,0))</f>
        <v>92949.453807468948</v>
      </c>
      <c r="AR231" s="90">
        <f>(AR185+AR207)*INDEX(Inflation!$D$126:$BD$166, MATCH($B231, Inflation!$B$126:$B$166,0), MATCH(AR$225, Inflation!$D$125:$BD$125,0))</f>
        <v>95095.283456022138</v>
      </c>
      <c r="AS231" s="90">
        <f>(AS185+AS207)*INDEX(Inflation!$D$126:$BD$166, MATCH($B231, Inflation!$B$126:$B$166,0), MATCH(AS$225, Inflation!$D$125:$BD$125,0))</f>
        <v>97297.301735470959</v>
      </c>
      <c r="AT231" s="90">
        <f>(AT185+AT207)*INDEX(Inflation!$D$126:$BD$166, MATCH($B231, Inflation!$B$126:$B$166,0), MATCH(AT$225, Inflation!$D$125:$BD$125,0))</f>
        <v>99451.781952359714</v>
      </c>
      <c r="AU231" s="90" t="e">
        <f>(AU185+AU207)*INDEX(Inflation!$D$126:$BD$166, MATCH($B231, Inflation!$B$126:$B$166,0), MATCH(AU$225, Inflation!$D$125:$BD$125,0))</f>
        <v>#N/A</v>
      </c>
      <c r="AV231" s="90" t="e">
        <f>(AV185+AV207)*INDEX(Inflation!$D$126:$BD$166, MATCH($B231, Inflation!$B$126:$B$166,0), MATCH(AV$225, Inflation!$D$125:$BD$125,0))</f>
        <v>#N/A</v>
      </c>
      <c r="AW231" s="90" t="e">
        <f>(AW185+AW207)*INDEX(Inflation!$D$126:$BD$166, MATCH($B231, Inflation!$B$126:$B$166,0), MATCH(AW$225, Inflation!$D$125:$BD$125,0))</f>
        <v>#N/A</v>
      </c>
      <c r="AX231" s="90" t="e">
        <f>(AX185+AX207)*INDEX(Inflation!$D$126:$BD$166, MATCH($B231, Inflation!$B$126:$B$166,0), MATCH(AX$225, Inflation!$D$125:$BD$125,0))</f>
        <v>#N/A</v>
      </c>
      <c r="AY231" s="90" t="e">
        <f>(AY185+AY207)*INDEX(Inflation!$D$126:$BD$166, MATCH($B231, Inflation!$B$126:$B$166,0), MATCH(AY$225, Inflation!$D$125:$BD$125,0))</f>
        <v>#N/A</v>
      </c>
      <c r="AZ231" s="90" t="e">
        <f>(AZ185+AZ207)*INDEX(Inflation!$D$126:$BD$166, MATCH($B231, Inflation!$B$126:$B$166,0), MATCH(AZ$225, Inflation!$D$125:$BD$125,0))</f>
        <v>#N/A</v>
      </c>
      <c r="BA231" s="90" t="e">
        <f>(BA185+BA207)*INDEX(Inflation!$D$126:$BD$166, MATCH($B231, Inflation!$B$126:$B$166,0), MATCH(BA$225, Inflation!$D$125:$BD$125,0))</f>
        <v>#N/A</v>
      </c>
      <c r="BB231" s="90" t="e">
        <f>(BB185+BB207)*INDEX(Inflation!$D$126:$BD$166, MATCH($B231, Inflation!$B$126:$B$166,0), MATCH(BB$225, Inflation!$D$125:$BD$125,0))</f>
        <v>#N/A</v>
      </c>
    </row>
    <row r="232" spans="2:54">
      <c r="B232" s="6" t="s">
        <v>17</v>
      </c>
      <c r="C232" s="142"/>
      <c r="D232" s="90">
        <f>(D186+D208)*INDEX(Inflation!$D$126:$BD$166, MATCH($B232, Inflation!$B$126:$B$166,0), MATCH(D$225, Inflation!$D$125:$BD$125,0))</f>
        <v>2242.7362758016084</v>
      </c>
      <c r="E232" s="90">
        <f>(E186+E208)*INDEX(Inflation!$D$126:$BD$166, MATCH($B232, Inflation!$B$126:$B$166,0), MATCH(E$225, Inflation!$D$125:$BD$125,0))</f>
        <v>2373.195733691211</v>
      </c>
      <c r="F232" s="90">
        <f>(F186+F208)*INDEX(Inflation!$D$126:$BD$166, MATCH($B232, Inflation!$B$126:$B$166,0), MATCH(F$225, Inflation!$D$125:$BD$125,0))</f>
        <v>2495.5940914354114</v>
      </c>
      <c r="G232" s="90">
        <f>(G186+G208)*INDEX(Inflation!$D$126:$BD$166, MATCH($B232, Inflation!$B$126:$B$166,0), MATCH(G$225, Inflation!$D$125:$BD$125,0))</f>
        <v>2612.9491949582375</v>
      </c>
      <c r="H232" s="90">
        <f>(H186+H208)*INDEX(Inflation!$D$126:$BD$166, MATCH($B232, Inflation!$B$126:$B$166,0), MATCH(H$225, Inflation!$D$125:$BD$125,0))</f>
        <v>2433.9866524228705</v>
      </c>
      <c r="I232" s="90">
        <f>(I186+I208)*INDEX(Inflation!$D$126:$BD$166, MATCH($B232, Inflation!$B$126:$B$166,0), MATCH(I$225, Inflation!$D$125:$BD$125,0))</f>
        <v>2272.5208757094274</v>
      </c>
      <c r="J232" s="90">
        <f>(J186+J208)*INDEX(Inflation!$D$126:$BD$166, MATCH($B232, Inflation!$B$126:$B$166,0), MATCH(J$225, Inflation!$D$125:$BD$125,0))</f>
        <v>2182.2262557244994</v>
      </c>
      <c r="K232" s="90">
        <f>(K186+K208)*INDEX(Inflation!$D$126:$BD$166, MATCH($B232, Inflation!$B$126:$B$166,0), MATCH(K$225, Inflation!$D$125:$BD$125,0))</f>
        <v>2142.1212225141835</v>
      </c>
      <c r="L232" s="90">
        <f>(L186+L208)*INDEX(Inflation!$D$126:$BD$166, MATCH($B232, Inflation!$B$126:$B$166,0), MATCH(L$225, Inflation!$D$125:$BD$125,0))</f>
        <v>2140.9419891025118</v>
      </c>
      <c r="M232" s="90">
        <f>(M186+M208)*INDEX(Inflation!$D$126:$BD$166, MATCH($B232, Inflation!$B$126:$B$166,0), MATCH(M$225, Inflation!$D$125:$BD$125,0))</f>
        <v>2165.4273491523995</v>
      </c>
      <c r="N232" s="90">
        <f>(N186+N208)*INDEX(Inflation!$D$126:$BD$166, MATCH($B232, Inflation!$B$126:$B$166,0), MATCH(N$225, Inflation!$D$125:$BD$125,0))</f>
        <v>2207.3035759829854</v>
      </c>
      <c r="O232" s="90">
        <f>(O186+O208)*INDEX(Inflation!$D$126:$BD$166, MATCH($B232, Inflation!$B$126:$B$166,0), MATCH(O$225, Inflation!$D$125:$BD$125,0))</f>
        <v>2262.5015189425894</v>
      </c>
      <c r="P232" s="90">
        <f>(P186+P208)*INDEX(Inflation!$D$126:$BD$166, MATCH($B232, Inflation!$B$126:$B$166,0), MATCH(P$225, Inflation!$D$125:$BD$125,0))</f>
        <v>2325.8213430853293</v>
      </c>
      <c r="Q232" s="90">
        <f>(Q186+Q208)*INDEX(Inflation!$D$126:$BD$166, MATCH($B232, Inflation!$B$126:$B$166,0), MATCH(Q$225, Inflation!$D$125:$BD$125,0))</f>
        <v>2394.9274625451426</v>
      </c>
      <c r="R232" s="90">
        <f>(R186+R208)*INDEX(Inflation!$D$126:$BD$166, MATCH($B232, Inflation!$B$126:$B$166,0), MATCH(R$225, Inflation!$D$125:$BD$125,0))</f>
        <v>2468.8134481337738</v>
      </c>
      <c r="S232" s="90">
        <f>(S186+S208)*INDEX(Inflation!$D$126:$BD$166, MATCH($B232, Inflation!$B$126:$B$166,0), MATCH(S$225, Inflation!$D$125:$BD$125,0))</f>
        <v>2546.4961044177949</v>
      </c>
      <c r="T232" s="90">
        <f>(T186+T208)*INDEX(Inflation!$D$126:$BD$166, MATCH($B232, Inflation!$B$126:$B$166,0), MATCH(T$225, Inflation!$D$125:$BD$125,0))</f>
        <v>2627.074269338626</v>
      </c>
      <c r="U232" s="90">
        <f>(U186+U208)*INDEX(Inflation!$D$126:$BD$166, MATCH($B232, Inflation!$B$126:$B$166,0), MATCH(U$225, Inflation!$D$125:$BD$125,0))</f>
        <v>2710.5232321973285</v>
      </c>
      <c r="V232" s="90">
        <f>(V186+V208)*INDEX(Inflation!$D$126:$BD$166, MATCH($B232, Inflation!$B$126:$B$166,0), MATCH(V$225, Inflation!$D$125:$BD$125,0))</f>
        <v>2798.0078960388587</v>
      </c>
      <c r="W232" s="90">
        <f>(W186+W208)*INDEX(Inflation!$D$126:$BD$166, MATCH($B232, Inflation!$B$126:$B$166,0), MATCH(W$225, Inflation!$D$125:$BD$125,0))</f>
        <v>2887.6857008264492</v>
      </c>
      <c r="X232" s="90">
        <f>(X186+X208)*INDEX(Inflation!$D$126:$BD$166, MATCH($B232, Inflation!$B$126:$B$166,0), MATCH(X$225, Inflation!$D$125:$BD$125,0))</f>
        <v>2979.1294087848614</v>
      </c>
      <c r="Y232" s="90">
        <f>(Y186+Y208)*INDEX(Inflation!$D$126:$BD$166, MATCH($B232, Inflation!$B$126:$B$166,0), MATCH(Y$225, Inflation!$D$125:$BD$125,0))</f>
        <v>3072.9556370893351</v>
      </c>
      <c r="Z232" s="90">
        <f>(Z186+Z208)*INDEX(Inflation!$D$126:$BD$166, MATCH($B232, Inflation!$B$126:$B$166,0), MATCH(Z$225, Inflation!$D$125:$BD$125,0))</f>
        <v>3168.8969248039684</v>
      </c>
      <c r="AA232" s="90">
        <f>(AA186+AA208)*INDEX(Inflation!$D$126:$BD$166, MATCH($B232, Inflation!$B$126:$B$166,0), MATCH(AA$225, Inflation!$D$125:$BD$125,0))</f>
        <v>3266.6474716651087</v>
      </c>
      <c r="AB232" s="90">
        <f>(AB186+AB208)*INDEX(Inflation!$D$126:$BD$166, MATCH($B232, Inflation!$B$126:$B$166,0), MATCH(AB$225, Inflation!$D$125:$BD$125,0))</f>
        <v>3365.9769012980673</v>
      </c>
      <c r="AC232" s="90">
        <f>(AC186+AC208)*INDEX(Inflation!$D$126:$BD$166, MATCH($B232, Inflation!$B$126:$B$166,0), MATCH(AC$225, Inflation!$D$125:$BD$125,0))</f>
        <v>3467.0547068854312</v>
      </c>
      <c r="AD232" s="90">
        <f>(AD186+AD208)*INDEX(Inflation!$D$126:$BD$166, MATCH($B232, Inflation!$B$126:$B$166,0), MATCH(AD$225, Inflation!$D$125:$BD$125,0))</f>
        <v>3569.5157476419658</v>
      </c>
      <c r="AE232" s="90">
        <f>(AE186+AE208)*INDEX(Inflation!$D$126:$BD$166, MATCH($B232, Inflation!$B$126:$B$166,0), MATCH(AE$225, Inflation!$D$125:$BD$125,0))</f>
        <v>3673.0141434830939</v>
      </c>
      <c r="AF232" s="90">
        <f>(AF186+AF208)*INDEX(Inflation!$D$126:$BD$166, MATCH($B232, Inflation!$B$126:$B$166,0), MATCH(AF$225, Inflation!$D$125:$BD$125,0))</f>
        <v>3777.2837250881576</v>
      </c>
      <c r="AG232" s="90">
        <f>(AG186+AG208)*INDEX(Inflation!$D$126:$BD$166, MATCH($B232, Inflation!$B$126:$B$166,0), MATCH(AG$225, Inflation!$D$125:$BD$125,0))</f>
        <v>3882.3676407158537</v>
      </c>
      <c r="AH232" s="90">
        <f>(AH186+AH208)*INDEX(Inflation!$D$126:$BD$166, MATCH($B232, Inflation!$B$126:$B$166,0), MATCH(AH$225, Inflation!$D$125:$BD$125,0))</f>
        <v>3988.939890344398</v>
      </c>
      <c r="AI232" s="90">
        <f>(AI186+AI208)*INDEX(Inflation!$D$126:$BD$166, MATCH($B232, Inflation!$B$126:$B$166,0), MATCH(AI$225, Inflation!$D$125:$BD$125,0))</f>
        <v>4097.0865364628535</v>
      </c>
      <c r="AJ232" s="90">
        <f>(AJ186+AJ208)*INDEX(Inflation!$D$126:$BD$166, MATCH($B232, Inflation!$B$126:$B$166,0), MATCH(AJ$225, Inflation!$D$125:$BD$125,0))</f>
        <v>4207.2431228506493</v>
      </c>
      <c r="AK232" s="90">
        <f>(AK186+AK208)*INDEX(Inflation!$D$126:$BD$166, MATCH($B232, Inflation!$B$126:$B$166,0), MATCH(AK$225, Inflation!$D$125:$BD$125,0))</f>
        <v>4318.9818654928686</v>
      </c>
      <c r="AL232" s="90">
        <f>(AL186+AL208)*INDEX(Inflation!$D$126:$BD$166, MATCH($B232, Inflation!$B$126:$B$166,0), MATCH(AL$225, Inflation!$D$125:$BD$125,0))</f>
        <v>4431.5853725468096</v>
      </c>
      <c r="AM232" s="90">
        <f>(AM186+AM208)*INDEX(Inflation!$D$126:$BD$166, MATCH($B232, Inflation!$B$126:$B$166,0), MATCH(AM$225, Inflation!$D$125:$BD$125,0))</f>
        <v>4544.6141952800917</v>
      </c>
      <c r="AN232" s="90">
        <f>(AN186+AN208)*INDEX(Inflation!$D$126:$BD$166, MATCH($B232, Inflation!$B$126:$B$166,0), MATCH(AN$225, Inflation!$D$125:$BD$125,0))</f>
        <v>4657.7494834792114</v>
      </c>
      <c r="AO232" s="90">
        <f>(AO186+AO208)*INDEX(Inflation!$D$126:$BD$166, MATCH($B232, Inflation!$B$126:$B$166,0), MATCH(AO$225, Inflation!$D$125:$BD$125,0))</f>
        <v>4770.7137160813081</v>
      </c>
      <c r="AP232" s="90">
        <f>(AP186+AP208)*INDEX(Inflation!$D$126:$BD$166, MATCH($B232, Inflation!$B$126:$B$166,0), MATCH(AP$225, Inflation!$D$125:$BD$125,0))</f>
        <v>4883.2260664496762</v>
      </c>
      <c r="AQ232" s="90">
        <f>(AQ186+AQ208)*INDEX(Inflation!$D$126:$BD$166, MATCH($B232, Inflation!$B$126:$B$166,0), MATCH(AQ$225, Inflation!$D$125:$BD$125,0))</f>
        <v>4996.5324194192062</v>
      </c>
      <c r="AR232" s="90">
        <f>(AR186+AR208)*INDEX(Inflation!$D$126:$BD$166, MATCH($B232, Inflation!$B$126:$B$166,0), MATCH(AR$225, Inflation!$D$125:$BD$125,0))</f>
        <v>5111.8822893361985</v>
      </c>
      <c r="AS232" s="90">
        <f>(AS186+AS208)*INDEX(Inflation!$D$126:$BD$166, MATCH($B232, Inflation!$B$126:$B$166,0), MATCH(AS$225, Inflation!$D$125:$BD$125,0))</f>
        <v>5230.2525999806221</v>
      </c>
      <c r="AT232" s="90">
        <f>(AT186+AT208)*INDEX(Inflation!$D$126:$BD$166, MATCH($B232, Inflation!$B$126:$B$166,0), MATCH(AT$225, Inflation!$D$125:$BD$125,0))</f>
        <v>5346.0674844121131</v>
      </c>
      <c r="AU232" s="90" t="e">
        <f>(AU186+AU208)*INDEX(Inflation!$D$126:$BD$166, MATCH($B232, Inflation!$B$126:$B$166,0), MATCH(AU$225, Inflation!$D$125:$BD$125,0))</f>
        <v>#N/A</v>
      </c>
      <c r="AV232" s="90" t="e">
        <f>(AV186+AV208)*INDEX(Inflation!$D$126:$BD$166, MATCH($B232, Inflation!$B$126:$B$166,0), MATCH(AV$225, Inflation!$D$125:$BD$125,0))</f>
        <v>#N/A</v>
      </c>
      <c r="AW232" s="90" t="e">
        <f>(AW186+AW208)*INDEX(Inflation!$D$126:$BD$166, MATCH($B232, Inflation!$B$126:$B$166,0), MATCH(AW$225, Inflation!$D$125:$BD$125,0))</f>
        <v>#N/A</v>
      </c>
      <c r="AX232" s="90" t="e">
        <f>(AX186+AX208)*INDEX(Inflation!$D$126:$BD$166, MATCH($B232, Inflation!$B$126:$B$166,0), MATCH(AX$225, Inflation!$D$125:$BD$125,0))</f>
        <v>#N/A</v>
      </c>
      <c r="AY232" s="90" t="e">
        <f>(AY186+AY208)*INDEX(Inflation!$D$126:$BD$166, MATCH($B232, Inflation!$B$126:$B$166,0), MATCH(AY$225, Inflation!$D$125:$BD$125,0))</f>
        <v>#N/A</v>
      </c>
      <c r="AZ232" s="90" t="e">
        <f>(AZ186+AZ208)*INDEX(Inflation!$D$126:$BD$166, MATCH($B232, Inflation!$B$126:$B$166,0), MATCH(AZ$225, Inflation!$D$125:$BD$125,0))</f>
        <v>#N/A</v>
      </c>
      <c r="BA232" s="90" t="e">
        <f>(BA186+BA208)*INDEX(Inflation!$D$126:$BD$166, MATCH($B232, Inflation!$B$126:$B$166,0), MATCH(BA$225, Inflation!$D$125:$BD$125,0))</f>
        <v>#N/A</v>
      </c>
      <c r="BB232" s="90" t="e">
        <f>(BB186+BB208)*INDEX(Inflation!$D$126:$BD$166, MATCH($B232, Inflation!$B$126:$B$166,0), MATCH(BB$225, Inflation!$D$125:$BD$125,0))</f>
        <v>#N/A</v>
      </c>
    </row>
    <row r="233" spans="2:54" ht="29">
      <c r="B233" s="6" t="s">
        <v>106</v>
      </c>
      <c r="C233" s="142"/>
      <c r="D233" s="90">
        <f>(D187+D209)*INDEX(Inflation!$D$126:$BD$166, MATCH($B233, Inflation!$B$126:$B$166,0), MATCH(D$225, Inflation!$D$125:$BD$125,0))</f>
        <v>25768.345221762524</v>
      </c>
      <c r="E233" s="90">
        <f>(E187+E209)*INDEX(Inflation!$D$126:$BD$166, MATCH($B233, Inflation!$B$126:$B$166,0), MATCH(E$225, Inflation!$D$125:$BD$125,0))</f>
        <v>27877.386123329325</v>
      </c>
      <c r="F233" s="90">
        <f>(F187+F209)*INDEX(Inflation!$D$126:$BD$166, MATCH($B233, Inflation!$B$126:$B$166,0), MATCH(F$225, Inflation!$D$125:$BD$125,0))</f>
        <v>29971.094934229572</v>
      </c>
      <c r="G233" s="90">
        <f>(G187+G209)*INDEX(Inflation!$D$126:$BD$166, MATCH($B233, Inflation!$B$126:$B$166,0), MATCH(G$225, Inflation!$D$125:$BD$125,0))</f>
        <v>32082.617629447399</v>
      </c>
      <c r="H233" s="90">
        <f>(H187+H209)*INDEX(Inflation!$D$126:$BD$166, MATCH($B233, Inflation!$B$126:$B$166,0), MATCH(H$225, Inflation!$D$125:$BD$125,0))</f>
        <v>27086.623581980693</v>
      </c>
      <c r="I233" s="90">
        <f>(I187+I209)*INDEX(Inflation!$D$126:$BD$166, MATCH($B233, Inflation!$B$126:$B$166,0), MATCH(I$225, Inflation!$D$125:$BD$125,0))</f>
        <v>25855.606565880786</v>
      </c>
      <c r="J233" s="90">
        <f>(J187+J209)*INDEX(Inflation!$D$126:$BD$166, MATCH($B233, Inflation!$B$126:$B$166,0), MATCH(J$225, Inflation!$D$125:$BD$125,0))</f>
        <v>25383.809223463581</v>
      </c>
      <c r="K233" s="90">
        <f>(K187+K209)*INDEX(Inflation!$D$126:$BD$166, MATCH($B233, Inflation!$B$126:$B$166,0), MATCH(K$225, Inflation!$D$125:$BD$125,0))</f>
        <v>25474.826292787518</v>
      </c>
      <c r="L233" s="90">
        <f>(L187+L209)*INDEX(Inflation!$D$126:$BD$166, MATCH($B233, Inflation!$B$126:$B$166,0), MATCH(L$225, Inflation!$D$125:$BD$125,0))</f>
        <v>26030.484783915861</v>
      </c>
      <c r="M233" s="90">
        <f>(M187+M209)*INDEX(Inflation!$D$126:$BD$166, MATCH($B233, Inflation!$B$126:$B$166,0), MATCH(M$225, Inflation!$D$125:$BD$125,0))</f>
        <v>26917.278204434162</v>
      </c>
      <c r="N233" s="90">
        <f>(N187+N209)*INDEX(Inflation!$D$126:$BD$166, MATCH($B233, Inflation!$B$126:$B$166,0), MATCH(N$225, Inflation!$D$125:$BD$125,0))</f>
        <v>28051.737199158426</v>
      </c>
      <c r="O233" s="90">
        <f>(O187+O209)*INDEX(Inflation!$D$126:$BD$166, MATCH($B233, Inflation!$B$126:$B$166,0), MATCH(O$225, Inflation!$D$125:$BD$125,0))</f>
        <v>29396.575650432827</v>
      </c>
      <c r="P233" s="90">
        <f>(P187+P209)*INDEX(Inflation!$D$126:$BD$166, MATCH($B233, Inflation!$B$126:$B$166,0), MATCH(P$225, Inflation!$D$125:$BD$125,0))</f>
        <v>30895.439985394194</v>
      </c>
      <c r="Q233" s="90">
        <f>(Q187+Q209)*INDEX(Inflation!$D$126:$BD$166, MATCH($B233, Inflation!$B$126:$B$166,0), MATCH(Q$225, Inflation!$D$125:$BD$125,0))</f>
        <v>32525.24420782744</v>
      </c>
      <c r="R233" s="90">
        <f>(R187+R209)*INDEX(Inflation!$D$126:$BD$166, MATCH($B233, Inflation!$B$126:$B$166,0), MATCH(R$225, Inflation!$D$125:$BD$125,0))</f>
        <v>34278.881719652651</v>
      </c>
      <c r="S233" s="90">
        <f>(S187+S209)*INDEX(Inflation!$D$126:$BD$166, MATCH($B233, Inflation!$B$126:$B$166,0), MATCH(S$225, Inflation!$D$125:$BD$125,0))</f>
        <v>36148.606171416417</v>
      </c>
      <c r="T233" s="90">
        <f>(T187+T209)*INDEX(Inflation!$D$126:$BD$166, MATCH($B233, Inflation!$B$126:$B$166,0), MATCH(T$225, Inflation!$D$125:$BD$125,0))</f>
        <v>38126.86178442504</v>
      </c>
      <c r="U233" s="90">
        <f>(U187+U209)*INDEX(Inflation!$D$126:$BD$166, MATCH($B233, Inflation!$B$126:$B$166,0), MATCH(U$225, Inflation!$D$125:$BD$125,0))</f>
        <v>40218.142851827266</v>
      </c>
      <c r="V233" s="90">
        <f>(V187+V209)*INDEX(Inflation!$D$126:$BD$166, MATCH($B233, Inflation!$B$126:$B$166,0), MATCH(V$225, Inflation!$D$125:$BD$125,0))</f>
        <v>42445.141250228953</v>
      </c>
      <c r="W233" s="90">
        <f>(W187+W209)*INDEX(Inflation!$D$126:$BD$166, MATCH($B233, Inflation!$B$126:$B$166,0), MATCH(W$225, Inflation!$D$125:$BD$125,0))</f>
        <v>44785.676512657468</v>
      </c>
      <c r="X233" s="90">
        <f>(X187+X209)*INDEX(Inflation!$D$126:$BD$166, MATCH($B233, Inflation!$B$126:$B$166,0), MATCH(X$225, Inflation!$D$125:$BD$125,0))</f>
        <v>47237.701156111041</v>
      </c>
      <c r="Y233" s="90">
        <f>(Y187+Y209)*INDEX(Inflation!$D$126:$BD$166, MATCH($B233, Inflation!$B$126:$B$166,0), MATCH(Y$225, Inflation!$D$125:$BD$125,0))</f>
        <v>49815.655032551294</v>
      </c>
      <c r="Z233" s="90">
        <f>(Z187+Z209)*INDEX(Inflation!$D$126:$BD$166, MATCH($B233, Inflation!$B$126:$B$166,0), MATCH(Z$225, Inflation!$D$125:$BD$125,0))</f>
        <v>52520.377239923204</v>
      </c>
      <c r="AA233" s="90">
        <f>(AA187+AA209)*INDEX(Inflation!$D$126:$BD$166, MATCH($B233, Inflation!$B$126:$B$166,0), MATCH(AA$225, Inflation!$D$125:$BD$125,0))</f>
        <v>55351.852707000704</v>
      </c>
      <c r="AB233" s="90">
        <f>(AB187+AB209)*INDEX(Inflation!$D$126:$BD$166, MATCH($B233, Inflation!$B$126:$B$166,0), MATCH(AB$225, Inflation!$D$125:$BD$125,0))</f>
        <v>58311.094514549062</v>
      </c>
      <c r="AC233" s="90">
        <f>(AC187+AC209)*INDEX(Inflation!$D$126:$BD$166, MATCH($B233, Inflation!$B$126:$B$166,0), MATCH(AC$225, Inflation!$D$125:$BD$125,0))</f>
        <v>61406.016580875883</v>
      </c>
      <c r="AD233" s="90">
        <f>(AD187+AD209)*INDEX(Inflation!$D$126:$BD$166, MATCH($B233, Inflation!$B$126:$B$166,0), MATCH(AD$225, Inflation!$D$125:$BD$125,0))</f>
        <v>64635.290108426292</v>
      </c>
      <c r="AE233" s="90">
        <f>(AE187+AE209)*INDEX(Inflation!$D$126:$BD$166, MATCH($B233, Inflation!$B$126:$B$166,0), MATCH(AE$225, Inflation!$D$125:$BD$125,0))</f>
        <v>67997.535103741946</v>
      </c>
      <c r="AF233" s="90">
        <f>(AF187+AF209)*INDEX(Inflation!$D$126:$BD$166, MATCH($B233, Inflation!$B$126:$B$166,0), MATCH(AF$225, Inflation!$D$125:$BD$125,0))</f>
        <v>71492.477238357169</v>
      </c>
      <c r="AG233" s="90">
        <f>(AG187+AG209)*INDEX(Inflation!$D$126:$BD$166, MATCH($B233, Inflation!$B$126:$B$166,0), MATCH(AG$225, Inflation!$D$125:$BD$125,0))</f>
        <v>75125.53294476938</v>
      </c>
      <c r="AH233" s="90">
        <f>(AH187+AH209)*INDEX(Inflation!$D$126:$BD$166, MATCH($B233, Inflation!$B$126:$B$166,0), MATCH(AH$225, Inflation!$D$125:$BD$125,0))</f>
        <v>78914.819673346225</v>
      </c>
      <c r="AI233" s="90">
        <f>(AI187+AI209)*INDEX(Inflation!$D$126:$BD$166, MATCH($B233, Inflation!$B$126:$B$166,0), MATCH(AI$225, Inflation!$D$125:$BD$125,0))</f>
        <v>82867.9094065221</v>
      </c>
      <c r="AJ233" s="90">
        <f>(AJ187+AJ209)*INDEX(Inflation!$D$126:$BD$166, MATCH($B233, Inflation!$B$126:$B$166,0), MATCH(AJ$225, Inflation!$D$125:$BD$125,0))</f>
        <v>86999.954181832407</v>
      </c>
      <c r="AK233" s="90">
        <f>(AK187+AK209)*INDEX(Inflation!$D$126:$BD$166, MATCH($B233, Inflation!$B$126:$B$166,0), MATCH(AK$225, Inflation!$D$125:$BD$125,0))</f>
        <v>91308.869191946389</v>
      </c>
      <c r="AL233" s="90">
        <f>(AL187+AL209)*INDEX(Inflation!$D$126:$BD$166, MATCH($B233, Inflation!$B$126:$B$166,0), MATCH(AL$225, Inflation!$D$125:$BD$125,0))</f>
        <v>95785.743160056911</v>
      </c>
      <c r="AM233" s="90">
        <f>(AM187+AM209)*INDEX(Inflation!$D$126:$BD$166, MATCH($B233, Inflation!$B$126:$B$166,0), MATCH(AM$225, Inflation!$D$125:$BD$125,0))</f>
        <v>100426.64231500233</v>
      </c>
      <c r="AN233" s="90">
        <f>(AN187+AN209)*INDEX(Inflation!$D$126:$BD$166, MATCH($B233, Inflation!$B$126:$B$166,0), MATCH(AN$225, Inflation!$D$125:$BD$125,0))</f>
        <v>105229.67216888088</v>
      </c>
      <c r="AO233" s="90">
        <f>(AO187+AO209)*INDEX(Inflation!$D$126:$BD$166, MATCH($B233, Inflation!$B$126:$B$166,0), MATCH(AO$225, Inflation!$D$125:$BD$125,0))</f>
        <v>110193.40830174062</v>
      </c>
      <c r="AP233" s="90">
        <f>(AP187+AP209)*INDEX(Inflation!$D$126:$BD$166, MATCH($B233, Inflation!$B$126:$B$166,0), MATCH(AP$225, Inflation!$D$125:$BD$125,0))</f>
        <v>115315.91767425831</v>
      </c>
      <c r="AQ233" s="90">
        <f>(AQ187+AQ209)*INDEX(Inflation!$D$126:$BD$166, MATCH($B233, Inflation!$B$126:$B$166,0), MATCH(AQ$225, Inflation!$D$125:$BD$125,0))</f>
        <v>120631.66105754765</v>
      </c>
      <c r="AR233" s="90">
        <f>(AR187+AR209)*INDEX(Inflation!$D$126:$BD$166, MATCH($B233, Inflation!$B$126:$B$166,0), MATCH(AR$225, Inflation!$D$125:$BD$125,0))</f>
        <v>126177.9921421178</v>
      </c>
      <c r="AS233" s="90">
        <f>(AS187+AS209)*INDEX(Inflation!$D$126:$BD$166, MATCH($B233, Inflation!$B$126:$B$166,0), MATCH(AS$225, Inflation!$D$125:$BD$125,0))</f>
        <v>131988.35024544504</v>
      </c>
      <c r="AT233" s="90">
        <f>(AT187+AT209)*INDEX(Inflation!$D$126:$BD$166, MATCH($B233, Inflation!$B$126:$B$166,0), MATCH(AT$225, Inflation!$D$125:$BD$125,0))</f>
        <v>137929.62079979747</v>
      </c>
      <c r="AU233" s="90" t="e">
        <f>(AU187+AU209)*INDEX(Inflation!$D$126:$BD$166, MATCH($B233, Inflation!$B$126:$B$166,0), MATCH(AU$225, Inflation!$D$125:$BD$125,0))</f>
        <v>#N/A</v>
      </c>
      <c r="AV233" s="90" t="e">
        <f>(AV187+AV209)*INDEX(Inflation!$D$126:$BD$166, MATCH($B233, Inflation!$B$126:$B$166,0), MATCH(AV$225, Inflation!$D$125:$BD$125,0))</f>
        <v>#N/A</v>
      </c>
      <c r="AW233" s="90" t="e">
        <f>(AW187+AW209)*INDEX(Inflation!$D$126:$BD$166, MATCH($B233, Inflation!$B$126:$B$166,0), MATCH(AW$225, Inflation!$D$125:$BD$125,0))</f>
        <v>#N/A</v>
      </c>
      <c r="AX233" s="90" t="e">
        <f>(AX187+AX209)*INDEX(Inflation!$D$126:$BD$166, MATCH($B233, Inflation!$B$126:$B$166,0), MATCH(AX$225, Inflation!$D$125:$BD$125,0))</f>
        <v>#N/A</v>
      </c>
      <c r="AY233" s="90" t="e">
        <f>(AY187+AY209)*INDEX(Inflation!$D$126:$BD$166, MATCH($B233, Inflation!$B$126:$B$166,0), MATCH(AY$225, Inflation!$D$125:$BD$125,0))</f>
        <v>#N/A</v>
      </c>
      <c r="AZ233" s="90" t="e">
        <f>(AZ187+AZ209)*INDEX(Inflation!$D$126:$BD$166, MATCH($B233, Inflation!$B$126:$B$166,0), MATCH(AZ$225, Inflation!$D$125:$BD$125,0))</f>
        <v>#N/A</v>
      </c>
      <c r="BA233" s="90" t="e">
        <f>(BA187+BA209)*INDEX(Inflation!$D$126:$BD$166, MATCH($B233, Inflation!$B$126:$B$166,0), MATCH(BA$225, Inflation!$D$125:$BD$125,0))</f>
        <v>#N/A</v>
      </c>
      <c r="BB233" s="90" t="e">
        <f>(BB187+BB209)*INDEX(Inflation!$D$126:$BD$166, MATCH($B233, Inflation!$B$126:$B$166,0), MATCH(BB$225, Inflation!$D$125:$BD$125,0))</f>
        <v>#N/A</v>
      </c>
    </row>
    <row r="234" spans="2:54" ht="29">
      <c r="B234" s="6" t="s">
        <v>107</v>
      </c>
      <c r="C234" s="142"/>
      <c r="D234" s="90">
        <f>(D188+D210)*INDEX(Inflation!$D$126:$BD$166, MATCH($B234, Inflation!$B$126:$B$166,0), MATCH(D$225, Inflation!$D$125:$BD$125,0))</f>
        <v>58319.362205297948</v>
      </c>
      <c r="E234" s="90">
        <f>(E188+E210)*INDEX(Inflation!$D$126:$BD$166, MATCH($B234, Inflation!$B$126:$B$166,0), MATCH(E$225, Inflation!$D$125:$BD$125,0))</f>
        <v>63092.579856091659</v>
      </c>
      <c r="F234" s="90">
        <f>(F188+F210)*INDEX(Inflation!$D$126:$BD$166, MATCH($B234, Inflation!$B$126:$B$166,0), MATCH(F$225, Inflation!$D$125:$BD$125,0))</f>
        <v>67831.097655526944</v>
      </c>
      <c r="G234" s="90">
        <f>(G188+G210)*INDEX(Inflation!$D$126:$BD$166, MATCH($B234, Inflation!$B$126:$B$166,0), MATCH(G$225, Inflation!$D$125:$BD$125,0))</f>
        <v>72609.932144406586</v>
      </c>
      <c r="H234" s="90">
        <f>(H188+H210)*INDEX(Inflation!$D$126:$BD$166, MATCH($B234, Inflation!$B$126:$B$166,0), MATCH(H$225, Inflation!$D$125:$BD$125,0))</f>
        <v>61127.315867295845</v>
      </c>
      <c r="I234" s="90">
        <f>(I188+I210)*INDEX(Inflation!$D$126:$BD$166, MATCH($B234, Inflation!$B$126:$B$166,0), MATCH(I$225, Inflation!$D$125:$BD$125,0))</f>
        <v>58349.237390537521</v>
      </c>
      <c r="J234" s="90">
        <f>(J188+J210)*INDEX(Inflation!$D$126:$BD$166, MATCH($B234, Inflation!$B$126:$B$166,0), MATCH(J$225, Inflation!$D$125:$BD$125,0))</f>
        <v>57284.516086754469</v>
      </c>
      <c r="K234" s="90">
        <f>(K188+K210)*INDEX(Inflation!$D$126:$BD$166, MATCH($B234, Inflation!$B$126:$B$166,0), MATCH(K$225, Inflation!$D$125:$BD$125,0))</f>
        <v>57489.917440269091</v>
      </c>
      <c r="L234" s="90">
        <f>(L188+L210)*INDEX(Inflation!$D$126:$BD$166, MATCH($B234, Inflation!$B$126:$B$166,0), MATCH(L$225, Inflation!$D$125:$BD$125,0))</f>
        <v>58743.891085184478</v>
      </c>
      <c r="M234" s="90">
        <f>(M188+M210)*INDEX(Inflation!$D$126:$BD$166, MATCH($B234, Inflation!$B$126:$B$166,0), MATCH(M$225, Inflation!$D$125:$BD$125,0))</f>
        <v>60745.148324241891</v>
      </c>
      <c r="N234" s="90">
        <f>(N188+N210)*INDEX(Inflation!$D$126:$BD$166, MATCH($B234, Inflation!$B$126:$B$166,0), MATCH(N$225, Inflation!$D$125:$BD$125,0))</f>
        <v>63305.320990248787</v>
      </c>
      <c r="O234" s="90">
        <f>(O188+O210)*INDEX(Inflation!$D$126:$BD$166, MATCH($B234, Inflation!$B$126:$B$166,0), MATCH(O$225, Inflation!$D$125:$BD$125,0))</f>
        <v>66340.2642179541</v>
      </c>
      <c r="P234" s="90">
        <f>(P188+P210)*INDEX(Inflation!$D$126:$BD$166, MATCH($B234, Inflation!$B$126:$B$166,0), MATCH(P$225, Inflation!$D$125:$BD$125,0))</f>
        <v>69722.802959562279</v>
      </c>
      <c r="Q234" s="90">
        <f>(Q188+Q210)*INDEX(Inflation!$D$126:$BD$166, MATCH($B234, Inflation!$B$126:$B$166,0), MATCH(Q$225, Inflation!$D$125:$BD$125,0))</f>
        <v>73400.838252702524</v>
      </c>
      <c r="R234" s="90">
        <f>(R188+R210)*INDEX(Inflation!$D$126:$BD$166, MATCH($B234, Inflation!$B$126:$B$166,0), MATCH(R$225, Inflation!$D$125:$BD$125,0))</f>
        <v>77358.332392850352</v>
      </c>
      <c r="S234" s="90">
        <f>(S188+S210)*INDEX(Inflation!$D$126:$BD$166, MATCH($B234, Inflation!$B$126:$B$166,0), MATCH(S$225, Inflation!$D$125:$BD$125,0))</f>
        <v>81577.803926533961</v>
      </c>
      <c r="T234" s="90">
        <f>(T188+T210)*INDEX(Inflation!$D$126:$BD$166, MATCH($B234, Inflation!$B$126:$B$166,0), MATCH(T$225, Inflation!$D$125:$BD$125,0))</f>
        <v>86042.201467875129</v>
      </c>
      <c r="U234" s="90">
        <f>(U188+U210)*INDEX(Inflation!$D$126:$BD$166, MATCH($B234, Inflation!$B$126:$B$166,0), MATCH(U$225, Inflation!$D$125:$BD$125,0))</f>
        <v>90761.667442934238</v>
      </c>
      <c r="V234" s="90">
        <f>(V188+V210)*INDEX(Inflation!$D$126:$BD$166, MATCH($B234, Inflation!$B$126:$B$166,0), MATCH(V$225, Inflation!$D$125:$BD$125,0))</f>
        <v>95787.411390792782</v>
      </c>
      <c r="W234" s="90">
        <f>(W188+W210)*INDEX(Inflation!$D$126:$BD$166, MATCH($B234, Inflation!$B$126:$B$166,0), MATCH(W$225, Inflation!$D$125:$BD$125,0))</f>
        <v>101069.3778880933</v>
      </c>
      <c r="X234" s="90">
        <f>(X188+X210)*INDEX(Inflation!$D$126:$BD$166, MATCH($B234, Inflation!$B$126:$B$166,0), MATCH(X$225, Inflation!$D$125:$BD$125,0))</f>
        <v>106602.94630946315</v>
      </c>
      <c r="Y234" s="90">
        <f>(Y188+Y210)*INDEX(Inflation!$D$126:$BD$166, MATCH($B234, Inflation!$B$126:$B$166,0), MATCH(Y$225, Inflation!$D$125:$BD$125,0))</f>
        <v>112420.70356590151</v>
      </c>
      <c r="Z234" s="90">
        <f>(Z188+Z210)*INDEX(Inflation!$D$126:$BD$166, MATCH($B234, Inflation!$B$126:$B$166,0), MATCH(Z$225, Inflation!$D$125:$BD$125,0))</f>
        <v>118524.54327862596</v>
      </c>
      <c r="AA234" s="90">
        <f>(AA188+AA210)*INDEX(Inflation!$D$126:$BD$166, MATCH($B234, Inflation!$B$126:$B$166,0), MATCH(AA$225, Inflation!$D$125:$BD$125,0))</f>
        <v>124914.43143588182</v>
      </c>
      <c r="AB234" s="90">
        <f>(AB188+AB210)*INDEX(Inflation!$D$126:$BD$166, MATCH($B234, Inflation!$B$126:$B$166,0), MATCH(AB$225, Inflation!$D$125:$BD$125,0))</f>
        <v>131592.65429190636</v>
      </c>
      <c r="AC234" s="90">
        <f>(AC188+AC210)*INDEX(Inflation!$D$126:$BD$166, MATCH($B234, Inflation!$B$126:$B$166,0), MATCH(AC$225, Inflation!$D$125:$BD$125,0))</f>
        <v>138577.07145857299</v>
      </c>
      <c r="AD234" s="90">
        <f>(AD188+AD210)*INDEX(Inflation!$D$126:$BD$166, MATCH($B234, Inflation!$B$126:$B$166,0), MATCH(AD$225, Inflation!$D$125:$BD$125,0))</f>
        <v>145864.68419269717</v>
      </c>
      <c r="AE234" s="90">
        <f>(AE188+AE210)*INDEX(Inflation!$D$126:$BD$166, MATCH($B234, Inflation!$B$126:$B$166,0), MATCH(AE$225, Inflation!$D$125:$BD$125,0))</f>
        <v>153452.37821553653</v>
      </c>
      <c r="AF234" s="90">
        <f>(AF188+AF210)*INDEX(Inflation!$D$126:$BD$166, MATCH($B234, Inflation!$B$126:$B$166,0), MATCH(AF$225, Inflation!$D$125:$BD$125,0))</f>
        <v>161339.53444059909</v>
      </c>
      <c r="AG234" s="90">
        <f>(AG188+AG210)*INDEX(Inflation!$D$126:$BD$166, MATCH($B234, Inflation!$B$126:$B$166,0), MATCH(AG$225, Inflation!$D$125:$BD$125,0))</f>
        <v>169538.37631755709</v>
      </c>
      <c r="AH234" s="90">
        <f>(AH188+AH210)*INDEX(Inflation!$D$126:$BD$166, MATCH($B234, Inflation!$B$126:$B$166,0), MATCH(AH$225, Inflation!$D$125:$BD$125,0))</f>
        <v>178089.79012033014</v>
      </c>
      <c r="AI234" s="90">
        <f>(AI188+AI210)*INDEX(Inflation!$D$126:$BD$166, MATCH($B234, Inflation!$B$126:$B$166,0), MATCH(AI$225, Inflation!$D$125:$BD$125,0))</f>
        <v>187010.86380233595</v>
      </c>
      <c r="AJ234" s="90">
        <f>(AJ188+AJ210)*INDEX(Inflation!$D$126:$BD$166, MATCH($B234, Inflation!$B$126:$B$166,0), MATCH(AJ$225, Inflation!$D$125:$BD$125,0))</f>
        <v>196335.79148827432</v>
      </c>
      <c r="AK234" s="90">
        <f>(AK188+AK210)*INDEX(Inflation!$D$126:$BD$166, MATCH($B234, Inflation!$B$126:$B$166,0), MATCH(AK$225, Inflation!$D$125:$BD$125,0))</f>
        <v>206059.86832167453</v>
      </c>
      <c r="AL234" s="90">
        <f>(AL188+AL210)*INDEX(Inflation!$D$126:$BD$166, MATCH($B234, Inflation!$B$126:$B$166,0), MATCH(AL$225, Inflation!$D$125:$BD$125,0))</f>
        <v>216162.98391740414</v>
      </c>
      <c r="AM234" s="90">
        <f>(AM188+AM210)*INDEX(Inflation!$D$126:$BD$166, MATCH($B234, Inflation!$B$126:$B$166,0), MATCH(AM$225, Inflation!$D$125:$BD$125,0))</f>
        <v>226636.26079866654</v>
      </c>
      <c r="AN234" s="90">
        <f>(AN188+AN210)*INDEX(Inflation!$D$126:$BD$166, MATCH($B234, Inflation!$B$126:$B$166,0), MATCH(AN$225, Inflation!$D$125:$BD$125,0))</f>
        <v>237475.42360939793</v>
      </c>
      <c r="AO234" s="90">
        <f>(AO188+AO210)*INDEX(Inflation!$D$126:$BD$166, MATCH($B234, Inflation!$B$126:$B$166,0), MATCH(AO$225, Inflation!$D$125:$BD$125,0))</f>
        <v>248677.25781205864</v>
      </c>
      <c r="AP234" s="90">
        <f>(AP188+AP210)*INDEX(Inflation!$D$126:$BD$166, MATCH($B234, Inflation!$B$126:$B$166,0), MATCH(AP$225, Inflation!$D$125:$BD$125,0))</f>
        <v>260237.40105026486</v>
      </c>
      <c r="AQ234" s="90">
        <f>(AQ188+AQ210)*INDEX(Inflation!$D$126:$BD$166, MATCH($B234, Inflation!$B$126:$B$166,0), MATCH(AQ$225, Inflation!$D$125:$BD$125,0))</f>
        <v>272233.62213246641</v>
      </c>
      <c r="AR234" s="90">
        <f>(AR188+AR210)*INDEX(Inflation!$D$126:$BD$166, MATCH($B234, Inflation!$B$126:$B$166,0), MATCH(AR$225, Inflation!$D$125:$BD$125,0))</f>
        <v>284750.21841789869</v>
      </c>
      <c r="AS234" s="90">
        <f>(AS188+AS210)*INDEX(Inflation!$D$126:$BD$166, MATCH($B234, Inflation!$B$126:$B$166,0), MATCH(AS$225, Inflation!$D$125:$BD$125,0))</f>
        <v>297862.65356542531</v>
      </c>
      <c r="AT234" s="90">
        <f>(AT188+AT210)*INDEX(Inflation!$D$126:$BD$166, MATCH($B234, Inflation!$B$126:$B$166,0), MATCH(AT$225, Inflation!$D$125:$BD$125,0))</f>
        <v>311270.5233477102</v>
      </c>
      <c r="AU234" s="90" t="e">
        <f>(AU188+AU210)*INDEX(Inflation!$D$126:$BD$166, MATCH($B234, Inflation!$B$126:$B$166,0), MATCH(AU$225, Inflation!$D$125:$BD$125,0))</f>
        <v>#N/A</v>
      </c>
      <c r="AV234" s="90" t="e">
        <f>(AV188+AV210)*INDEX(Inflation!$D$126:$BD$166, MATCH($B234, Inflation!$B$126:$B$166,0), MATCH(AV$225, Inflation!$D$125:$BD$125,0))</f>
        <v>#N/A</v>
      </c>
      <c r="AW234" s="90" t="e">
        <f>(AW188+AW210)*INDEX(Inflation!$D$126:$BD$166, MATCH($B234, Inflation!$B$126:$B$166,0), MATCH(AW$225, Inflation!$D$125:$BD$125,0))</f>
        <v>#N/A</v>
      </c>
      <c r="AX234" s="90" t="e">
        <f>(AX188+AX210)*INDEX(Inflation!$D$126:$BD$166, MATCH($B234, Inflation!$B$126:$B$166,0), MATCH(AX$225, Inflation!$D$125:$BD$125,0))</f>
        <v>#N/A</v>
      </c>
      <c r="AY234" s="90" t="e">
        <f>(AY188+AY210)*INDEX(Inflation!$D$126:$BD$166, MATCH($B234, Inflation!$B$126:$B$166,0), MATCH(AY$225, Inflation!$D$125:$BD$125,0))</f>
        <v>#N/A</v>
      </c>
      <c r="AZ234" s="90" t="e">
        <f>(AZ188+AZ210)*INDEX(Inflation!$D$126:$BD$166, MATCH($B234, Inflation!$B$126:$B$166,0), MATCH(AZ$225, Inflation!$D$125:$BD$125,0))</f>
        <v>#N/A</v>
      </c>
      <c r="BA234" s="90" t="e">
        <f>(BA188+BA210)*INDEX(Inflation!$D$126:$BD$166, MATCH($B234, Inflation!$B$126:$B$166,0), MATCH(BA$225, Inflation!$D$125:$BD$125,0))</f>
        <v>#N/A</v>
      </c>
      <c r="BB234" s="90" t="e">
        <f>(BB188+BB210)*INDEX(Inflation!$D$126:$BD$166, MATCH($B234, Inflation!$B$126:$B$166,0), MATCH(BB$225, Inflation!$D$125:$BD$125,0))</f>
        <v>#N/A</v>
      </c>
    </row>
    <row r="235" spans="2:54">
      <c r="B235" s="6" t="s">
        <v>2863</v>
      </c>
      <c r="C235" s="142"/>
      <c r="D235" s="90">
        <f>(D189+D211)*INDEX(Inflation!$D$126:$BD$166, MATCH($B235, Inflation!$B$126:$B$166,0), MATCH(D$225, Inflation!$D$125:$BD$125,0))</f>
        <v>2773.2212661234103</v>
      </c>
      <c r="E235" s="90">
        <f>(E189+E211)*INDEX(Inflation!$D$126:$BD$166, MATCH($B235, Inflation!$B$126:$B$166,0), MATCH(E$225, Inflation!$D$125:$BD$125,0))</f>
        <v>2936.2112390236489</v>
      </c>
      <c r="F235" s="90">
        <f>(F189+F211)*INDEX(Inflation!$D$126:$BD$166, MATCH($B235, Inflation!$B$126:$B$166,0), MATCH(F$225, Inflation!$D$125:$BD$125,0))</f>
        <v>3089.3624346031029</v>
      </c>
      <c r="G235" s="90">
        <f>(G189+G211)*INDEX(Inflation!$D$126:$BD$166, MATCH($B235, Inflation!$B$126:$B$166,0), MATCH(G$225, Inflation!$D$125:$BD$125,0))</f>
        <v>3236.4029652627964</v>
      </c>
      <c r="H235" s="90">
        <f>(H189+H211)*INDEX(Inflation!$D$126:$BD$166, MATCH($B235, Inflation!$B$126:$B$166,0), MATCH(H$225, Inflation!$D$125:$BD$125,0))</f>
        <v>2668.3037364703191</v>
      </c>
      <c r="I235" s="90">
        <f>(I189+I211)*INDEX(Inflation!$D$126:$BD$166, MATCH($B235, Inflation!$B$126:$B$166,0), MATCH(I$225, Inflation!$D$125:$BD$125,0))</f>
        <v>2555.747437541585</v>
      </c>
      <c r="J235" s="90">
        <f>(J189+J211)*INDEX(Inflation!$D$126:$BD$166, MATCH($B235, Inflation!$B$126:$B$166,0), MATCH(J$225, Inflation!$D$125:$BD$125,0))</f>
        <v>2517.9776610164445</v>
      </c>
      <c r="K235" s="90">
        <f>(K189+K211)*INDEX(Inflation!$D$126:$BD$166, MATCH($B235, Inflation!$B$126:$B$166,0), MATCH(K$225, Inflation!$D$125:$BD$125,0))</f>
        <v>2533.8659177470549</v>
      </c>
      <c r="L235" s="90">
        <f>(L189+L211)*INDEX(Inflation!$D$126:$BD$166, MATCH($B235, Inflation!$B$126:$B$166,0), MATCH(L$225, Inflation!$D$125:$BD$125,0))</f>
        <v>2592.3915118737659</v>
      </c>
      <c r="M235" s="90">
        <f>(M189+M211)*INDEX(Inflation!$D$126:$BD$166, MATCH($B235, Inflation!$B$126:$B$166,0), MATCH(M$225, Inflation!$D$125:$BD$125,0))</f>
        <v>2680.0793902928758</v>
      </c>
      <c r="N235" s="90">
        <f>(N189+N211)*INDEX(Inflation!$D$126:$BD$166, MATCH($B235, Inflation!$B$126:$B$166,0), MATCH(N$225, Inflation!$D$125:$BD$125,0))</f>
        <v>2788.5785701520595</v>
      </c>
      <c r="O235" s="90">
        <f>(O189+O211)*INDEX(Inflation!$D$126:$BD$166, MATCH($B235, Inflation!$B$126:$B$166,0), MATCH(O$225, Inflation!$D$125:$BD$125,0))</f>
        <v>2911.9121384892956</v>
      </c>
      <c r="P235" s="90">
        <f>(P189+P211)*INDEX(Inflation!$D$126:$BD$166, MATCH($B235, Inflation!$B$126:$B$166,0), MATCH(P$225, Inflation!$D$125:$BD$125,0))</f>
        <v>3046.651264809087</v>
      </c>
      <c r="Q235" s="90">
        <f>(Q189+Q211)*INDEX(Inflation!$D$126:$BD$166, MATCH($B235, Inflation!$B$126:$B$166,0), MATCH(Q$225, Inflation!$D$125:$BD$125,0))</f>
        <v>3190.510882533255</v>
      </c>
      <c r="R235" s="90">
        <f>(R189+R211)*INDEX(Inflation!$D$126:$BD$166, MATCH($B235, Inflation!$B$126:$B$166,0), MATCH(R$225, Inflation!$D$125:$BD$125,0))</f>
        <v>3342.6001110140755</v>
      </c>
      <c r="S235" s="90">
        <f>(S189+S211)*INDEX(Inflation!$D$126:$BD$166, MATCH($B235, Inflation!$B$126:$B$166,0), MATCH(S$225, Inflation!$D$125:$BD$125,0))</f>
        <v>3427.4499322277074</v>
      </c>
      <c r="T235" s="90">
        <f>(T189+T211)*INDEX(Inflation!$D$126:$BD$166, MATCH($B235, Inflation!$B$126:$B$166,0), MATCH(T$225, Inflation!$D$125:$BD$125,0))</f>
        <v>3522.6108301935442</v>
      </c>
      <c r="U235" s="90">
        <f>(U189+U211)*INDEX(Inflation!$D$126:$BD$166, MATCH($B235, Inflation!$B$126:$B$166,0), MATCH(U$225, Inflation!$D$125:$BD$125,0))</f>
        <v>3626.0149566816249</v>
      </c>
      <c r="V235" s="90">
        <f>(V189+V211)*INDEX(Inflation!$D$126:$BD$166, MATCH($B235, Inflation!$B$126:$B$166,0), MATCH(V$225, Inflation!$D$125:$BD$125,0))</f>
        <v>3737.5195872932063</v>
      </c>
      <c r="W235" s="90">
        <f>(W189+W211)*INDEX(Inflation!$D$126:$BD$166, MATCH($B235, Inflation!$B$126:$B$166,0), MATCH(W$225, Inflation!$D$125:$BD$125,0))</f>
        <v>3854.054343505843</v>
      </c>
      <c r="X235" s="90">
        <f>(X189+X211)*INDEX(Inflation!$D$126:$BD$166, MATCH($B235, Inflation!$B$126:$B$166,0), MATCH(X$225, Inflation!$D$125:$BD$125,0))</f>
        <v>3974.4474197760824</v>
      </c>
      <c r="Y235" s="90">
        <f>(Y189+Y211)*INDEX(Inflation!$D$126:$BD$166, MATCH($B235, Inflation!$B$126:$B$166,0), MATCH(Y$225, Inflation!$D$125:$BD$125,0))</f>
        <v>4098.9054264731676</v>
      </c>
      <c r="Z235" s="90">
        <f>(Z189+Z211)*INDEX(Inflation!$D$126:$BD$166, MATCH($B235, Inflation!$B$126:$B$166,0), MATCH(Z$225, Inflation!$D$125:$BD$125,0))</f>
        <v>4226.804564442059</v>
      </c>
      <c r="AA235" s="90">
        <f>(AA189+AA211)*INDEX(Inflation!$D$126:$BD$166, MATCH($B235, Inflation!$B$126:$B$166,0), MATCH(AA$225, Inflation!$D$125:$BD$125,0))</f>
        <v>4357.6303836517027</v>
      </c>
      <c r="AB235" s="90">
        <f>(AB189+AB211)*INDEX(Inflation!$D$126:$BD$166, MATCH($B235, Inflation!$B$126:$B$166,0), MATCH(AB$225, Inflation!$D$125:$BD$125,0))</f>
        <v>4491.0133671035055</v>
      </c>
      <c r="AC235" s="90">
        <f>(AC189+AC211)*INDEX(Inflation!$D$126:$BD$166, MATCH($B235, Inflation!$B$126:$B$166,0), MATCH(AC$225, Inflation!$D$125:$BD$125,0))</f>
        <v>4627.0447149582842</v>
      </c>
      <c r="AD235" s="90">
        <f>(AD189+AD211)*INDEX(Inflation!$D$126:$BD$166, MATCH($B235, Inflation!$B$126:$B$166,0), MATCH(AD$225, Inflation!$D$125:$BD$125,0))</f>
        <v>4765.2649353552824</v>
      </c>
      <c r="AE235" s="90">
        <f>(AE189+AE211)*INDEX(Inflation!$D$126:$BD$166, MATCH($B235, Inflation!$B$126:$B$166,0), MATCH(AE$225, Inflation!$D$125:$BD$125,0))</f>
        <v>4905.2533937626804</v>
      </c>
      <c r="AF235" s="90">
        <f>(AF189+AF211)*INDEX(Inflation!$D$126:$BD$166, MATCH($B235, Inflation!$B$126:$B$166,0), MATCH(AF$225, Inflation!$D$125:$BD$125,0))</f>
        <v>5046.6675015475539</v>
      </c>
      <c r="AG235" s="90">
        <f>(AG189+AG211)*INDEX(Inflation!$D$126:$BD$166, MATCH($B235, Inflation!$B$126:$B$166,0), MATCH(AG$225, Inflation!$D$125:$BD$125,0))</f>
        <v>5189.4579905133432</v>
      </c>
      <c r="AH235" s="90">
        <f>(AH189+AH211)*INDEX(Inflation!$D$126:$BD$166, MATCH($B235, Inflation!$B$126:$B$166,0), MATCH(AH$225, Inflation!$D$125:$BD$125,0))</f>
        <v>5334.3228590444978</v>
      </c>
      <c r="AI235" s="90">
        <f>(AI189+AI211)*INDEX(Inflation!$D$126:$BD$166, MATCH($B235, Inflation!$B$126:$B$166,0), MATCH(AI$225, Inflation!$D$125:$BD$125,0))</f>
        <v>5481.3478239598244</v>
      </c>
      <c r="AJ235" s="90">
        <f>(AJ189+AJ211)*INDEX(Inflation!$D$126:$BD$166, MATCH($B235, Inflation!$B$126:$B$166,0), MATCH(AJ$225, Inflation!$D$125:$BD$125,0))</f>
        <v>5630.9832396002812</v>
      </c>
      <c r="AK235" s="90">
        <f>(AK189+AK211)*INDEX(Inflation!$D$126:$BD$166, MATCH($B235, Inflation!$B$126:$B$166,0), MATCH(AK$225, Inflation!$D$125:$BD$125,0))</f>
        <v>5782.7550587346568</v>
      </c>
      <c r="AL235" s="90">
        <f>(AL189+AL211)*INDEX(Inflation!$D$126:$BD$166, MATCH($B235, Inflation!$B$126:$B$166,0), MATCH(AL$225, Inflation!$D$125:$BD$125,0))</f>
        <v>5935.8709734294298</v>
      </c>
      <c r="AM235" s="90">
        <f>(AM189+AM211)*INDEX(Inflation!$D$126:$BD$166, MATCH($B235, Inflation!$B$126:$B$166,0), MATCH(AM$225, Inflation!$D$125:$BD$125,0))</f>
        <v>6089.8308539332011</v>
      </c>
      <c r="AN235" s="90">
        <f>(AN189+AN211)*INDEX(Inflation!$D$126:$BD$166, MATCH($B235, Inflation!$B$126:$B$166,0), MATCH(AN$225, Inflation!$D$125:$BD$125,0))</f>
        <v>6244.2491485469836</v>
      </c>
      <c r="AO235" s="90">
        <f>(AO189+AO211)*INDEX(Inflation!$D$126:$BD$166, MATCH($B235, Inflation!$B$126:$B$166,0), MATCH(AO$225, Inflation!$D$125:$BD$125,0))</f>
        <v>6398.7879806441006</v>
      </c>
      <c r="AP235" s="90">
        <f>(AP189+AP211)*INDEX(Inflation!$D$126:$BD$166, MATCH($B235, Inflation!$B$126:$B$166,0), MATCH(AP$225, Inflation!$D$125:$BD$125,0))</f>
        <v>6553.108875078331</v>
      </c>
      <c r="AQ235" s="90">
        <f>(AQ189+AQ211)*INDEX(Inflation!$D$126:$BD$166, MATCH($B235, Inflation!$B$126:$B$166,0), MATCH(AQ$225, Inflation!$D$125:$BD$125,0))</f>
        <v>6708.54283193629</v>
      </c>
      <c r="AR235" s="90">
        <f>(AR189+AR211)*INDEX(Inflation!$D$126:$BD$166, MATCH($B235, Inflation!$B$126:$B$166,0), MATCH(AR$225, Inflation!$D$125:$BD$125,0))</f>
        <v>6866.455530669683</v>
      </c>
      <c r="AS235" s="90">
        <f>(AS189+AS211)*INDEX(Inflation!$D$126:$BD$166, MATCH($B235, Inflation!$B$126:$B$166,0), MATCH(AS$225, Inflation!$D$125:$BD$125,0))</f>
        <v>7027.9260769034945</v>
      </c>
      <c r="AT235" s="90">
        <f>(AT189+AT211)*INDEX(Inflation!$D$126:$BD$166, MATCH($B235, Inflation!$B$126:$B$166,0), MATCH(AT$225, Inflation!$D$125:$BD$125,0))</f>
        <v>7186.8931190027042</v>
      </c>
      <c r="AU235" s="90" t="e">
        <f>(AU189+AU211)*INDEX(Inflation!$D$126:$BD$166, MATCH($B235, Inflation!$B$126:$B$166,0), MATCH(AU$225, Inflation!$D$125:$BD$125,0))</f>
        <v>#N/A</v>
      </c>
      <c r="AV235" s="90" t="e">
        <f>(AV189+AV211)*INDEX(Inflation!$D$126:$BD$166, MATCH($B235, Inflation!$B$126:$B$166,0), MATCH(AV$225, Inflation!$D$125:$BD$125,0))</f>
        <v>#N/A</v>
      </c>
      <c r="AW235" s="90" t="e">
        <f>(AW189+AW211)*INDEX(Inflation!$D$126:$BD$166, MATCH($B235, Inflation!$B$126:$B$166,0), MATCH(AW$225, Inflation!$D$125:$BD$125,0))</f>
        <v>#N/A</v>
      </c>
      <c r="AX235" s="90" t="e">
        <f>(AX189+AX211)*INDEX(Inflation!$D$126:$BD$166, MATCH($B235, Inflation!$B$126:$B$166,0), MATCH(AX$225, Inflation!$D$125:$BD$125,0))</f>
        <v>#N/A</v>
      </c>
      <c r="AY235" s="90" t="e">
        <f>(AY189+AY211)*INDEX(Inflation!$D$126:$BD$166, MATCH($B235, Inflation!$B$126:$B$166,0), MATCH(AY$225, Inflation!$D$125:$BD$125,0))</f>
        <v>#N/A</v>
      </c>
      <c r="AZ235" s="90" t="e">
        <f>(AZ189+AZ211)*INDEX(Inflation!$D$126:$BD$166, MATCH($B235, Inflation!$B$126:$B$166,0), MATCH(AZ$225, Inflation!$D$125:$BD$125,0))</f>
        <v>#N/A</v>
      </c>
      <c r="BA235" s="90" t="e">
        <f>(BA189+BA211)*INDEX(Inflation!$D$126:$BD$166, MATCH($B235, Inflation!$B$126:$B$166,0), MATCH(BA$225, Inflation!$D$125:$BD$125,0))</f>
        <v>#N/A</v>
      </c>
      <c r="BB235" s="90" t="e">
        <f>(BB189+BB211)*INDEX(Inflation!$D$126:$BD$166, MATCH($B235, Inflation!$B$126:$B$166,0), MATCH(BB$225, Inflation!$D$125:$BD$125,0))</f>
        <v>#N/A</v>
      </c>
    </row>
    <row r="236" spans="2:54">
      <c r="B236" s="6" t="s">
        <v>2862</v>
      </c>
      <c r="C236" s="142"/>
      <c r="D236" s="90">
        <f>(D190+D212)*INDEX(Inflation!$D$126:$BD$166, MATCH($B236, Inflation!$B$126:$B$166,0), MATCH(D$225, Inflation!$D$125:$BD$125,0))</f>
        <v>3598.5559525424728</v>
      </c>
      <c r="E236" s="90">
        <f>(E190+E212)*INDEX(Inflation!$D$126:$BD$166, MATCH($B236, Inflation!$B$126:$B$166,0), MATCH(E$225, Inflation!$D$125:$BD$125,0))</f>
        <v>3810.053154136046</v>
      </c>
      <c r="F236" s="90">
        <f>(F190+F212)*INDEX(Inflation!$D$126:$BD$166, MATCH($B236, Inflation!$B$126:$B$166,0), MATCH(F$225, Inflation!$D$125:$BD$125,0))</f>
        <v>4008.783472997995</v>
      </c>
      <c r="G236" s="90">
        <f>(G190+G212)*INDEX(Inflation!$D$126:$BD$166, MATCH($B236, Inflation!$B$126:$B$166,0), MATCH(G$225, Inflation!$D$125:$BD$125,0))</f>
        <v>4199.5845400942753</v>
      </c>
      <c r="H236" s="90">
        <f>(H190+H212)*INDEX(Inflation!$D$126:$BD$166, MATCH($B236, Inflation!$B$126:$B$166,0), MATCH(H$225, Inflation!$D$125:$BD$125,0))</f>
        <v>3462.4140566644887</v>
      </c>
      <c r="I236" s="90">
        <f>(I190+I212)*INDEX(Inflation!$D$126:$BD$166, MATCH($B236, Inflation!$B$126:$B$166,0), MATCH(I$225, Inflation!$D$125:$BD$125,0))</f>
        <v>3316.3600275634003</v>
      </c>
      <c r="J236" s="90">
        <f>(J190+J212)*INDEX(Inflation!$D$126:$BD$166, MATCH($B236, Inflation!$B$126:$B$166,0), MATCH(J$225, Inflation!$D$125:$BD$125,0))</f>
        <v>3267.3496381649611</v>
      </c>
      <c r="K236" s="90">
        <f>(K190+K212)*INDEX(Inflation!$D$126:$BD$166, MATCH($B236, Inflation!$B$126:$B$166,0), MATCH(K$225, Inflation!$D$125:$BD$125,0))</f>
        <v>3287.9663778142217</v>
      </c>
      <c r="L236" s="90">
        <f>(L190+L212)*INDEX(Inflation!$D$126:$BD$166, MATCH($B236, Inflation!$B$126:$B$166,0), MATCH(L$225, Inflation!$D$125:$BD$125,0))</f>
        <v>3363.9096960389379</v>
      </c>
      <c r="M236" s="90">
        <f>(M190+M212)*INDEX(Inflation!$D$126:$BD$166, MATCH($B236, Inflation!$B$126:$B$166,0), MATCH(M$225, Inflation!$D$125:$BD$125,0))</f>
        <v>3477.6942471331977</v>
      </c>
      <c r="N236" s="90">
        <f>(N190+N212)*INDEX(Inflation!$D$126:$BD$166, MATCH($B236, Inflation!$B$126:$B$166,0), MATCH(N$225, Inflation!$D$125:$BD$125,0))</f>
        <v>3618.4837233634976</v>
      </c>
      <c r="O236" s="90">
        <f>(O190+O212)*INDEX(Inflation!$D$126:$BD$166, MATCH($B236, Inflation!$B$126:$B$166,0), MATCH(O$225, Inflation!$D$125:$BD$125,0))</f>
        <v>3778.5224306638602</v>
      </c>
      <c r="P236" s="90">
        <f>(P190+P212)*INDEX(Inflation!$D$126:$BD$166, MATCH($B236, Inflation!$B$126:$B$166,0), MATCH(P$225, Inflation!$D$125:$BD$125,0))</f>
        <v>3953.3610888630433</v>
      </c>
      <c r="Q236" s="90">
        <f>(Q190+Q212)*INDEX(Inflation!$D$126:$BD$166, MATCH($B236, Inflation!$B$126:$B$166,0), MATCH(Q$225, Inflation!$D$125:$BD$125,0))</f>
        <v>4140.0345757627902</v>
      </c>
      <c r="R236" s="90">
        <f>(R190+R212)*INDEX(Inflation!$D$126:$BD$166, MATCH($B236, Inflation!$B$126:$B$166,0), MATCH(R$225, Inflation!$D$125:$BD$125,0))</f>
        <v>4337.3868769126739</v>
      </c>
      <c r="S236" s="90">
        <f>(S190+S212)*INDEX(Inflation!$D$126:$BD$166, MATCH($B236, Inflation!$B$126:$B$166,0), MATCH(S$225, Inflation!$D$125:$BD$125,0))</f>
        <v>4447.4887403775028</v>
      </c>
      <c r="T236" s="90">
        <f>(T190+T212)*INDEX(Inflation!$D$126:$BD$166, MATCH($B236, Inflation!$B$126:$B$166,0), MATCH(T$225, Inflation!$D$125:$BD$125,0))</f>
        <v>4570.9703464099484</v>
      </c>
      <c r="U236" s="90">
        <f>(U190+U212)*INDEX(Inflation!$D$126:$BD$166, MATCH($B236, Inflation!$B$126:$B$166,0), MATCH(U$225, Inflation!$D$125:$BD$125,0))</f>
        <v>4705.1484372231962</v>
      </c>
      <c r="V236" s="90">
        <f>(V190+V212)*INDEX(Inflation!$D$126:$BD$166, MATCH($B236, Inflation!$B$126:$B$166,0), MATCH(V$225, Inflation!$D$125:$BD$125,0))</f>
        <v>4849.8378124003357</v>
      </c>
      <c r="W236" s="90">
        <f>(W190+W212)*INDEX(Inflation!$D$126:$BD$166, MATCH($B236, Inflation!$B$126:$B$166,0), MATCH(W$225, Inflation!$D$125:$BD$125,0))</f>
        <v>5001.0543221573353</v>
      </c>
      <c r="X236" s="90">
        <f>(X190+X212)*INDEX(Inflation!$D$126:$BD$166, MATCH($B236, Inflation!$B$126:$B$166,0), MATCH(X$225, Inflation!$D$125:$BD$125,0))</f>
        <v>5157.2774214640795</v>
      </c>
      <c r="Y236" s="90">
        <f>(Y190+Y212)*INDEX(Inflation!$D$126:$BD$166, MATCH($B236, Inflation!$B$126:$B$166,0), MATCH(Y$225, Inflation!$D$125:$BD$125,0))</f>
        <v>5318.7752097265457</v>
      </c>
      <c r="Z236" s="90">
        <f>(Z190+Z212)*INDEX(Inflation!$D$126:$BD$166, MATCH($B236, Inflation!$B$126:$B$166,0), MATCH(Z$225, Inflation!$D$125:$BD$125,0))</f>
        <v>5484.7382397542133</v>
      </c>
      <c r="AA236" s="90">
        <f>(AA190+AA212)*INDEX(Inflation!$D$126:$BD$166, MATCH($B236, Inflation!$B$126:$B$166,0), MATCH(AA$225, Inflation!$D$125:$BD$125,0))</f>
        <v>5654.4989567276552</v>
      </c>
      <c r="AB236" s="90">
        <f>(AB190+AB212)*INDEX(Inflation!$D$126:$BD$166, MATCH($B236, Inflation!$B$126:$B$166,0), MATCH(AB$225, Inflation!$D$125:$BD$125,0))</f>
        <v>5827.5778721866145</v>
      </c>
      <c r="AC236" s="90">
        <f>(AC190+AC212)*INDEX(Inflation!$D$126:$BD$166, MATCH($B236, Inflation!$B$126:$B$166,0), MATCH(AC$225, Inflation!$D$125:$BD$125,0))</f>
        <v>6004.0933282502656</v>
      </c>
      <c r="AD236" s="90">
        <f>(AD190+AD212)*INDEX(Inflation!$D$126:$BD$166, MATCH($B236, Inflation!$B$126:$B$166,0), MATCH(AD$225, Inflation!$D$125:$BD$125,0))</f>
        <v>6183.4490842973255</v>
      </c>
      <c r="AE236" s="90">
        <f>(AE190+AE212)*INDEX(Inflation!$D$126:$BD$166, MATCH($B236, Inflation!$B$126:$B$166,0), MATCH(AE$225, Inflation!$D$125:$BD$125,0))</f>
        <v>6365.0993213133452</v>
      </c>
      <c r="AF236" s="90">
        <f>(AF190+AF212)*INDEX(Inflation!$D$126:$BD$166, MATCH($B236, Inflation!$B$126:$B$166,0), MATCH(AF$225, Inflation!$D$125:$BD$125,0))</f>
        <v>6548.5994933187676</v>
      </c>
      <c r="AG236" s="90">
        <f>(AG190+AG212)*INDEX(Inflation!$D$126:$BD$166, MATCH($B236, Inflation!$B$126:$B$166,0), MATCH(AG$225, Inflation!$D$125:$BD$125,0))</f>
        <v>6733.885669474691</v>
      </c>
      <c r="AH236" s="90">
        <f>(AH190+AH212)*INDEX(Inflation!$D$126:$BD$166, MATCH($B236, Inflation!$B$126:$B$166,0), MATCH(AH$225, Inflation!$D$125:$BD$125,0))</f>
        <v>6921.8635785348579</v>
      </c>
      <c r="AI236" s="90">
        <f>(AI190+AI212)*INDEX(Inflation!$D$126:$BD$166, MATCH($B236, Inflation!$B$126:$B$166,0), MATCH(AI$225, Inflation!$D$125:$BD$125,0))</f>
        <v>7112.6444473863276</v>
      </c>
      <c r="AJ236" s="90">
        <f>(AJ190+AJ212)*INDEX(Inflation!$D$126:$BD$166, MATCH($B236, Inflation!$B$126:$B$166,0), MATCH(AJ$225, Inflation!$D$125:$BD$125,0))</f>
        <v>7306.8126597254895</v>
      </c>
      <c r="AK236" s="90">
        <f>(AK190+AK212)*INDEX(Inflation!$D$126:$BD$166, MATCH($B236, Inflation!$B$126:$B$166,0), MATCH(AK$225, Inflation!$D$125:$BD$125,0))</f>
        <v>7503.7530877561985</v>
      </c>
      <c r="AL236" s="90">
        <f>(AL190+AL212)*INDEX(Inflation!$D$126:$BD$166, MATCH($B236, Inflation!$B$126:$B$166,0), MATCH(AL$225, Inflation!$D$125:$BD$125,0))</f>
        <v>7702.4376258363773</v>
      </c>
      <c r="AM236" s="90">
        <f>(AM190+AM212)*INDEX(Inflation!$D$126:$BD$166, MATCH($B236, Inflation!$B$126:$B$166,0), MATCH(AM$225, Inflation!$D$125:$BD$125,0))</f>
        <v>7902.2173012656076</v>
      </c>
      <c r="AN236" s="90">
        <f>(AN190+AN212)*INDEX(Inflation!$D$126:$BD$166, MATCH($B236, Inflation!$B$126:$B$166,0), MATCH(AN$225, Inflation!$D$125:$BD$125,0))</f>
        <v>8102.5918188174137</v>
      </c>
      <c r="AO236" s="90">
        <f>(AO190+AO212)*INDEX(Inflation!$D$126:$BD$166, MATCH($B236, Inflation!$B$126:$B$166,0), MATCH(AO$225, Inflation!$D$125:$BD$125,0))</f>
        <v>8303.122746852383</v>
      </c>
      <c r="AP236" s="90">
        <f>(AP190+AP212)*INDEX(Inflation!$D$126:$BD$166, MATCH($B236, Inflation!$B$126:$B$166,0), MATCH(AP$225, Inflation!$D$125:$BD$125,0))</f>
        <v>8503.3708770869616</v>
      </c>
      <c r="AQ236" s="90">
        <f>(AQ190+AQ212)*INDEX(Inflation!$D$126:$BD$166, MATCH($B236, Inflation!$B$126:$B$166,0), MATCH(AQ$225, Inflation!$D$125:$BD$125,0))</f>
        <v>8705.063326770327</v>
      </c>
      <c r="AR236" s="90">
        <f>(AR190+AR212)*INDEX(Inflation!$D$126:$BD$166, MATCH($B236, Inflation!$B$126:$B$166,0), MATCH(AR$225, Inflation!$D$125:$BD$125,0))</f>
        <v>8909.9722133964005</v>
      </c>
      <c r="AS236" s="90">
        <f>(AS190+AS212)*INDEX(Inflation!$D$126:$BD$166, MATCH($B236, Inflation!$B$126:$B$166,0), MATCH(AS$225, Inflation!$D$125:$BD$125,0))</f>
        <v>9119.4977937775911</v>
      </c>
      <c r="AT236" s="90">
        <f>(AT190+AT212)*INDEX(Inflation!$D$126:$BD$166, MATCH($B236, Inflation!$B$126:$B$166,0), MATCH(AT$225, Inflation!$D$125:$BD$125,0))</f>
        <v>9325.7748054939457</v>
      </c>
      <c r="AU236" s="90" t="e">
        <f>(AU190+AU212)*INDEX(Inflation!$D$126:$BD$166, MATCH($B236, Inflation!$B$126:$B$166,0), MATCH(AU$225, Inflation!$D$125:$BD$125,0))</f>
        <v>#N/A</v>
      </c>
      <c r="AV236" s="90" t="e">
        <f>(AV190+AV212)*INDEX(Inflation!$D$126:$BD$166, MATCH($B236, Inflation!$B$126:$B$166,0), MATCH(AV$225, Inflation!$D$125:$BD$125,0))</f>
        <v>#N/A</v>
      </c>
      <c r="AW236" s="90" t="e">
        <f>(AW190+AW212)*INDEX(Inflation!$D$126:$BD$166, MATCH($B236, Inflation!$B$126:$B$166,0), MATCH(AW$225, Inflation!$D$125:$BD$125,0))</f>
        <v>#N/A</v>
      </c>
      <c r="AX236" s="90" t="e">
        <f>(AX190+AX212)*INDEX(Inflation!$D$126:$BD$166, MATCH($B236, Inflation!$B$126:$B$166,0), MATCH(AX$225, Inflation!$D$125:$BD$125,0))</f>
        <v>#N/A</v>
      </c>
      <c r="AY236" s="90" t="e">
        <f>(AY190+AY212)*INDEX(Inflation!$D$126:$BD$166, MATCH($B236, Inflation!$B$126:$B$166,0), MATCH(AY$225, Inflation!$D$125:$BD$125,0))</f>
        <v>#N/A</v>
      </c>
      <c r="AZ236" s="90" t="e">
        <f>(AZ190+AZ212)*INDEX(Inflation!$D$126:$BD$166, MATCH($B236, Inflation!$B$126:$B$166,0), MATCH(AZ$225, Inflation!$D$125:$BD$125,0))</f>
        <v>#N/A</v>
      </c>
      <c r="BA236" s="90" t="e">
        <f>(BA190+BA212)*INDEX(Inflation!$D$126:$BD$166, MATCH($B236, Inflation!$B$126:$B$166,0), MATCH(BA$225, Inflation!$D$125:$BD$125,0))</f>
        <v>#N/A</v>
      </c>
      <c r="BB236" s="90" t="e">
        <f>(BB190+BB212)*INDEX(Inflation!$D$126:$BD$166, MATCH($B236, Inflation!$B$126:$B$166,0), MATCH(BB$225, Inflation!$D$125:$BD$125,0))</f>
        <v>#N/A</v>
      </c>
    </row>
    <row r="237" spans="2:54">
      <c r="B237" s="6" t="s">
        <v>131</v>
      </c>
      <c r="C237" s="142"/>
      <c r="D237" s="90">
        <f>(D191+D213)*INDEX(Inflation!$D$126:$BD$166, MATCH($B237, Inflation!$B$126:$B$166,0), MATCH(D$225, Inflation!$D$125:$BD$125,0))</f>
        <v>0</v>
      </c>
      <c r="E237" s="90">
        <f>(E191+E213)*INDEX(Inflation!$D$126:$BD$166, MATCH($B237, Inflation!$B$126:$B$166,0), MATCH(E$225, Inflation!$D$125:$BD$125,0))</f>
        <v>0</v>
      </c>
      <c r="F237" s="90">
        <f>(F191+F213)*INDEX(Inflation!$D$126:$BD$166, MATCH($B237, Inflation!$B$126:$B$166,0), MATCH(F$225, Inflation!$D$125:$BD$125,0))</f>
        <v>0</v>
      </c>
      <c r="G237" s="90">
        <f>(G191+G213)*INDEX(Inflation!$D$126:$BD$166, MATCH($B237, Inflation!$B$126:$B$166,0), MATCH(G$225, Inflation!$D$125:$BD$125,0))</f>
        <v>0</v>
      </c>
      <c r="H237" s="90">
        <f>(H191+H213)*INDEX(Inflation!$D$126:$BD$166, MATCH($B237, Inflation!$B$126:$B$166,0), MATCH(H$225, Inflation!$D$125:$BD$125,0))</f>
        <v>0</v>
      </c>
      <c r="I237" s="90">
        <f>(I191+I213)*INDEX(Inflation!$D$126:$BD$166, MATCH($B237, Inflation!$B$126:$B$166,0), MATCH(I$225, Inflation!$D$125:$BD$125,0))</f>
        <v>0</v>
      </c>
      <c r="J237" s="90">
        <f>(J191+J213)*INDEX(Inflation!$D$126:$BD$166, MATCH($B237, Inflation!$B$126:$B$166,0), MATCH(J$225, Inflation!$D$125:$BD$125,0))</f>
        <v>0</v>
      </c>
      <c r="K237" s="90">
        <f>(K191+K213)*INDEX(Inflation!$D$126:$BD$166, MATCH($B237, Inflation!$B$126:$B$166,0), MATCH(K$225, Inflation!$D$125:$BD$125,0))</f>
        <v>0</v>
      </c>
      <c r="L237" s="90">
        <f>(L191+L213)*INDEX(Inflation!$D$126:$BD$166, MATCH($B237, Inflation!$B$126:$B$166,0), MATCH(L$225, Inflation!$D$125:$BD$125,0))</f>
        <v>0</v>
      </c>
      <c r="M237" s="90">
        <f>(M191+M213)*INDEX(Inflation!$D$126:$BD$166, MATCH($B237, Inflation!$B$126:$B$166,0), MATCH(M$225, Inflation!$D$125:$BD$125,0))</f>
        <v>0</v>
      </c>
      <c r="N237" s="90">
        <f>(N191+N213)*INDEX(Inflation!$D$126:$BD$166, MATCH($B237, Inflation!$B$126:$B$166,0), MATCH(N$225, Inflation!$D$125:$BD$125,0))</f>
        <v>0</v>
      </c>
      <c r="O237" s="90">
        <f>(O191+O213)*INDEX(Inflation!$D$126:$BD$166, MATCH($B237, Inflation!$B$126:$B$166,0), MATCH(O$225, Inflation!$D$125:$BD$125,0))</f>
        <v>0</v>
      </c>
      <c r="P237" s="90">
        <f>(P191+P213)*INDEX(Inflation!$D$126:$BD$166, MATCH($B237, Inflation!$B$126:$B$166,0), MATCH(P$225, Inflation!$D$125:$BD$125,0))</f>
        <v>0</v>
      </c>
      <c r="Q237" s="90">
        <f>(Q191+Q213)*INDEX(Inflation!$D$126:$BD$166, MATCH($B237, Inflation!$B$126:$B$166,0), MATCH(Q$225, Inflation!$D$125:$BD$125,0))</f>
        <v>0</v>
      </c>
      <c r="R237" s="90">
        <f>(R191+R213)*INDEX(Inflation!$D$126:$BD$166, MATCH($B237, Inflation!$B$126:$B$166,0), MATCH(R$225, Inflation!$D$125:$BD$125,0))</f>
        <v>0</v>
      </c>
      <c r="S237" s="90">
        <f>(S191+S213)*INDEX(Inflation!$D$126:$BD$166, MATCH($B237, Inflation!$B$126:$B$166,0), MATCH(S$225, Inflation!$D$125:$BD$125,0))</f>
        <v>0</v>
      </c>
      <c r="T237" s="90">
        <f>(T191+T213)*INDEX(Inflation!$D$126:$BD$166, MATCH($B237, Inflation!$B$126:$B$166,0), MATCH(T$225, Inflation!$D$125:$BD$125,0))</f>
        <v>0</v>
      </c>
      <c r="U237" s="90">
        <f>(U191+U213)*INDEX(Inflation!$D$126:$BD$166, MATCH($B237, Inflation!$B$126:$B$166,0), MATCH(U$225, Inflation!$D$125:$BD$125,0))</f>
        <v>0</v>
      </c>
      <c r="V237" s="90">
        <f>(V191+V213)*INDEX(Inflation!$D$126:$BD$166, MATCH($B237, Inflation!$B$126:$B$166,0), MATCH(V$225, Inflation!$D$125:$BD$125,0))</f>
        <v>0</v>
      </c>
      <c r="W237" s="90">
        <f>(W191+W213)*INDEX(Inflation!$D$126:$BD$166, MATCH($B237, Inflation!$B$126:$B$166,0), MATCH(W$225, Inflation!$D$125:$BD$125,0))</f>
        <v>0</v>
      </c>
      <c r="X237" s="90">
        <f>(X191+X213)*INDEX(Inflation!$D$126:$BD$166, MATCH($B237, Inflation!$B$126:$B$166,0), MATCH(X$225, Inflation!$D$125:$BD$125,0))</f>
        <v>0</v>
      </c>
      <c r="Y237" s="90">
        <f>(Y191+Y213)*INDEX(Inflation!$D$126:$BD$166, MATCH($B237, Inflation!$B$126:$B$166,0), MATCH(Y$225, Inflation!$D$125:$BD$125,0))</f>
        <v>0</v>
      </c>
      <c r="Z237" s="90">
        <f>(Z191+Z213)*INDEX(Inflation!$D$126:$BD$166, MATCH($B237, Inflation!$B$126:$B$166,0), MATCH(Z$225, Inflation!$D$125:$BD$125,0))</f>
        <v>0</v>
      </c>
      <c r="AA237" s="90">
        <f>(AA191+AA213)*INDEX(Inflation!$D$126:$BD$166, MATCH($B237, Inflation!$B$126:$B$166,0), MATCH(AA$225, Inflation!$D$125:$BD$125,0))</f>
        <v>0</v>
      </c>
      <c r="AB237" s="90">
        <f>(AB191+AB213)*INDEX(Inflation!$D$126:$BD$166, MATCH($B237, Inflation!$B$126:$B$166,0), MATCH(AB$225, Inflation!$D$125:$BD$125,0))</f>
        <v>0</v>
      </c>
      <c r="AC237" s="90">
        <f>(AC191+AC213)*INDEX(Inflation!$D$126:$BD$166, MATCH($B237, Inflation!$B$126:$B$166,0), MATCH(AC$225, Inflation!$D$125:$BD$125,0))</f>
        <v>0</v>
      </c>
      <c r="AD237" s="90">
        <f>(AD191+AD213)*INDEX(Inflation!$D$126:$BD$166, MATCH($B237, Inflation!$B$126:$B$166,0), MATCH(AD$225, Inflation!$D$125:$BD$125,0))</f>
        <v>0</v>
      </c>
      <c r="AE237" s="90">
        <f>(AE191+AE213)*INDEX(Inflation!$D$126:$BD$166, MATCH($B237, Inflation!$B$126:$B$166,0), MATCH(AE$225, Inflation!$D$125:$BD$125,0))</f>
        <v>0</v>
      </c>
      <c r="AF237" s="90">
        <f>(AF191+AF213)*INDEX(Inflation!$D$126:$BD$166, MATCH($B237, Inflation!$B$126:$B$166,0), MATCH(AF$225, Inflation!$D$125:$BD$125,0))</f>
        <v>0</v>
      </c>
      <c r="AG237" s="90">
        <f>(AG191+AG213)*INDEX(Inflation!$D$126:$BD$166, MATCH($B237, Inflation!$B$126:$B$166,0), MATCH(AG$225, Inflation!$D$125:$BD$125,0))</f>
        <v>0</v>
      </c>
      <c r="AH237" s="90">
        <f>(AH191+AH213)*INDEX(Inflation!$D$126:$BD$166, MATCH($B237, Inflation!$B$126:$B$166,0), MATCH(AH$225, Inflation!$D$125:$BD$125,0))</f>
        <v>0</v>
      </c>
      <c r="AI237" s="90">
        <f>(AI191+AI213)*INDEX(Inflation!$D$126:$BD$166, MATCH($B237, Inflation!$B$126:$B$166,0), MATCH(AI$225, Inflation!$D$125:$BD$125,0))</f>
        <v>0</v>
      </c>
      <c r="AJ237" s="90">
        <f>(AJ191+AJ213)*INDEX(Inflation!$D$126:$BD$166, MATCH($B237, Inflation!$B$126:$B$166,0), MATCH(AJ$225, Inflation!$D$125:$BD$125,0))</f>
        <v>0</v>
      </c>
      <c r="AK237" s="90">
        <f>(AK191+AK213)*INDEX(Inflation!$D$126:$BD$166, MATCH($B237, Inflation!$B$126:$B$166,0), MATCH(AK$225, Inflation!$D$125:$BD$125,0))</f>
        <v>0</v>
      </c>
      <c r="AL237" s="90">
        <f>(AL191+AL213)*INDEX(Inflation!$D$126:$BD$166, MATCH($B237, Inflation!$B$126:$B$166,0), MATCH(AL$225, Inflation!$D$125:$BD$125,0))</f>
        <v>0</v>
      </c>
      <c r="AM237" s="90">
        <f>(AM191+AM213)*INDEX(Inflation!$D$126:$BD$166, MATCH($B237, Inflation!$B$126:$B$166,0), MATCH(AM$225, Inflation!$D$125:$BD$125,0))</f>
        <v>0</v>
      </c>
      <c r="AN237" s="90">
        <f>(AN191+AN213)*INDEX(Inflation!$D$126:$BD$166, MATCH($B237, Inflation!$B$126:$B$166,0), MATCH(AN$225, Inflation!$D$125:$BD$125,0))</f>
        <v>0</v>
      </c>
      <c r="AO237" s="90">
        <f>(AO191+AO213)*INDEX(Inflation!$D$126:$BD$166, MATCH($B237, Inflation!$B$126:$B$166,0), MATCH(AO$225, Inflation!$D$125:$BD$125,0))</f>
        <v>0</v>
      </c>
      <c r="AP237" s="90">
        <f>(AP191+AP213)*INDEX(Inflation!$D$126:$BD$166, MATCH($B237, Inflation!$B$126:$B$166,0), MATCH(AP$225, Inflation!$D$125:$BD$125,0))</f>
        <v>0</v>
      </c>
      <c r="AQ237" s="90">
        <f>(AQ191+AQ213)*INDEX(Inflation!$D$126:$BD$166, MATCH($B237, Inflation!$B$126:$B$166,0), MATCH(AQ$225, Inflation!$D$125:$BD$125,0))</f>
        <v>0</v>
      </c>
      <c r="AR237" s="90">
        <f>(AR191+AR213)*INDEX(Inflation!$D$126:$BD$166, MATCH($B237, Inflation!$B$126:$B$166,0), MATCH(AR$225, Inflation!$D$125:$BD$125,0))</f>
        <v>0</v>
      </c>
      <c r="AS237" s="90">
        <f>(AS191+AS213)*INDEX(Inflation!$D$126:$BD$166, MATCH($B237, Inflation!$B$126:$B$166,0), MATCH(AS$225, Inflation!$D$125:$BD$125,0))</f>
        <v>0</v>
      </c>
      <c r="AT237" s="90">
        <f>(AT191+AT213)*INDEX(Inflation!$D$126:$BD$166, MATCH($B237, Inflation!$B$126:$B$166,0), MATCH(AT$225, Inflation!$D$125:$BD$125,0))</f>
        <v>0</v>
      </c>
      <c r="AU237" s="90" t="e">
        <f>(AU191+AU213)*INDEX(Inflation!$D$126:$BD$166, MATCH($B237, Inflation!$B$126:$B$166,0), MATCH(AU$225, Inflation!$D$125:$BD$125,0))</f>
        <v>#N/A</v>
      </c>
      <c r="AV237" s="90" t="e">
        <f>(AV191+AV213)*INDEX(Inflation!$D$126:$BD$166, MATCH($B237, Inflation!$B$126:$B$166,0), MATCH(AV$225, Inflation!$D$125:$BD$125,0))</f>
        <v>#N/A</v>
      </c>
      <c r="AW237" s="90" t="e">
        <f>(AW191+AW213)*INDEX(Inflation!$D$126:$BD$166, MATCH($B237, Inflation!$B$126:$B$166,0), MATCH(AW$225, Inflation!$D$125:$BD$125,0))</f>
        <v>#N/A</v>
      </c>
      <c r="AX237" s="90" t="e">
        <f>(AX191+AX213)*INDEX(Inflation!$D$126:$BD$166, MATCH($B237, Inflation!$B$126:$B$166,0), MATCH(AX$225, Inflation!$D$125:$BD$125,0))</f>
        <v>#N/A</v>
      </c>
      <c r="AY237" s="90" t="e">
        <f>(AY191+AY213)*INDEX(Inflation!$D$126:$BD$166, MATCH($B237, Inflation!$B$126:$B$166,0), MATCH(AY$225, Inflation!$D$125:$BD$125,0))</f>
        <v>#N/A</v>
      </c>
      <c r="AZ237" s="90" t="e">
        <f>(AZ191+AZ213)*INDEX(Inflation!$D$126:$BD$166, MATCH($B237, Inflation!$B$126:$B$166,0), MATCH(AZ$225, Inflation!$D$125:$BD$125,0))</f>
        <v>#N/A</v>
      </c>
      <c r="BA237" s="90" t="e">
        <f>(BA191+BA213)*INDEX(Inflation!$D$126:$BD$166, MATCH($B237, Inflation!$B$126:$B$166,0), MATCH(BA$225, Inflation!$D$125:$BD$125,0))</f>
        <v>#N/A</v>
      </c>
      <c r="BB237" s="90" t="e">
        <f>(BB191+BB213)*INDEX(Inflation!$D$126:$BD$166, MATCH($B237, Inflation!$B$126:$B$166,0), MATCH(BB$225, Inflation!$D$125:$BD$125,0))</f>
        <v>#N/A</v>
      </c>
    </row>
    <row r="238" spans="2:54" ht="29">
      <c r="B238" s="6" t="s">
        <v>2869</v>
      </c>
      <c r="C238" s="142"/>
      <c r="D238" s="90">
        <f>(D192+D214)*INDEX(Inflation!$D$126:$BD$166, MATCH($B238, Inflation!$B$126:$B$166,0), MATCH(D$225, Inflation!$D$125:$BD$125,0))</f>
        <v>24071.820426484315</v>
      </c>
      <c r="E238" s="90">
        <f>(E192+E214)*INDEX(Inflation!$D$126:$BD$166, MATCH($B238, Inflation!$B$126:$B$166,0), MATCH(E$225, Inflation!$D$125:$BD$125,0))</f>
        <v>25472.072733070185</v>
      </c>
      <c r="F238" s="90">
        <f>(F192+F214)*INDEX(Inflation!$D$126:$BD$166, MATCH($B238, Inflation!$B$126:$B$166,0), MATCH(F$225, Inflation!$D$125:$BD$125,0))</f>
        <v>26785.803339697966</v>
      </c>
      <c r="G238" s="90">
        <f>(G192+G214)*INDEX(Inflation!$D$126:$BD$166, MATCH($B238, Inflation!$B$126:$B$166,0), MATCH(G$225, Inflation!$D$125:$BD$125,0))</f>
        <v>28045.403502505</v>
      </c>
      <c r="H238" s="90">
        <f>(H192+H214)*INDEX(Inflation!$D$126:$BD$166, MATCH($B238, Inflation!$B$126:$B$166,0), MATCH(H$225, Inflation!$D$125:$BD$125,0))</f>
        <v>3596.2602271181549</v>
      </c>
      <c r="I238" s="90">
        <f>(I192+I214)*INDEX(Inflation!$D$126:$BD$166, MATCH($B238, Inflation!$B$126:$B$166,0), MATCH(I$225, Inflation!$D$125:$BD$125,0))</f>
        <v>3357.6915602533327</v>
      </c>
      <c r="J238" s="90">
        <f>(J192+J214)*INDEX(Inflation!$D$126:$BD$166, MATCH($B238, Inflation!$B$126:$B$166,0), MATCH(J$225, Inflation!$D$125:$BD$125,0))</f>
        <v>3224.2795917648018</v>
      </c>
      <c r="K238" s="90">
        <f>(K192+K214)*INDEX(Inflation!$D$126:$BD$166, MATCH($B238, Inflation!$B$126:$B$166,0), MATCH(K$225, Inflation!$D$125:$BD$125,0))</f>
        <v>3165.0236645813293</v>
      </c>
      <c r="L238" s="90">
        <f>(L192+L214)*INDEX(Inflation!$D$126:$BD$166, MATCH($B238, Inflation!$B$126:$B$166,0), MATCH(L$225, Inflation!$D$125:$BD$125,0))</f>
        <v>3163.2813254388116</v>
      </c>
      <c r="M238" s="90">
        <f>(M192+M214)*INDEX(Inflation!$D$126:$BD$166, MATCH($B238, Inflation!$B$126:$B$166,0), MATCH(M$225, Inflation!$D$125:$BD$125,0))</f>
        <v>3199.4588970809664</v>
      </c>
      <c r="N238" s="90">
        <f>(N192+N214)*INDEX(Inflation!$D$126:$BD$166, MATCH($B238, Inflation!$B$126:$B$166,0), MATCH(N$225, Inflation!$D$125:$BD$125,0))</f>
        <v>3261.3317955468256</v>
      </c>
      <c r="O238" s="90">
        <f>(O192+O214)*INDEX(Inflation!$D$126:$BD$166, MATCH($B238, Inflation!$B$126:$B$166,0), MATCH(O$225, Inflation!$D$125:$BD$125,0))</f>
        <v>3342.8877756039715</v>
      </c>
      <c r="P238" s="90">
        <f>(P192+P214)*INDEX(Inflation!$D$126:$BD$166, MATCH($B238, Inflation!$B$126:$B$166,0), MATCH(P$225, Inflation!$D$125:$BD$125,0))</f>
        <v>3436.4439850950871</v>
      </c>
      <c r="Q238" s="90">
        <f>(Q192+Q214)*INDEX(Inflation!$D$126:$BD$166, MATCH($B238, Inflation!$B$126:$B$166,0), MATCH(Q$225, Inflation!$D$125:$BD$125,0))</f>
        <v>3538.5495527720559</v>
      </c>
      <c r="R238" s="90">
        <f>(R192+R214)*INDEX(Inflation!$D$126:$BD$166, MATCH($B238, Inflation!$B$126:$B$166,0), MATCH(R$225, Inflation!$D$125:$BD$125,0))</f>
        <v>3647.7174609236135</v>
      </c>
      <c r="S238" s="90">
        <f>(S192+S214)*INDEX(Inflation!$D$126:$BD$166, MATCH($B238, Inflation!$B$126:$B$166,0), MATCH(S$225, Inflation!$D$125:$BD$125,0))</f>
        <v>3762.4950201403099</v>
      </c>
      <c r="T238" s="90">
        <f>(T192+T214)*INDEX(Inflation!$D$126:$BD$166, MATCH($B238, Inflation!$B$126:$B$166,0), MATCH(T$225, Inflation!$D$125:$BD$125,0))</f>
        <v>3881.5507468389333</v>
      </c>
      <c r="U238" s="90">
        <f>(U192+U214)*INDEX(Inflation!$D$126:$BD$166, MATCH($B238, Inflation!$B$126:$B$166,0), MATCH(U$225, Inflation!$D$125:$BD$125,0))</f>
        <v>4004.8481305054693</v>
      </c>
      <c r="V238" s="90">
        <f>(V192+V214)*INDEX(Inflation!$D$126:$BD$166, MATCH($B238, Inflation!$B$126:$B$166,0), MATCH(V$225, Inflation!$D$125:$BD$125,0))</f>
        <v>4134.1083369009793</v>
      </c>
      <c r="W238" s="90">
        <f>(W192+W214)*INDEX(Inflation!$D$126:$BD$166, MATCH($B238, Inflation!$B$126:$B$166,0), MATCH(W$225, Inflation!$D$125:$BD$125,0))</f>
        <v>4266.6089495447859</v>
      </c>
      <c r="X238" s="90">
        <f>(X192+X214)*INDEX(Inflation!$D$126:$BD$166, MATCH($B238, Inflation!$B$126:$B$166,0), MATCH(X$225, Inflation!$D$125:$BD$125,0))</f>
        <v>4401.7187167342208</v>
      </c>
      <c r="Y238" s="90">
        <f>(Y192+Y214)*INDEX(Inflation!$D$126:$BD$166, MATCH($B238, Inflation!$B$126:$B$166,0), MATCH(Y$225, Inflation!$D$125:$BD$125,0))</f>
        <v>4540.3487017327025</v>
      </c>
      <c r="Z238" s="90">
        <f>(Z192+Z214)*INDEX(Inflation!$D$126:$BD$166, MATCH($B238, Inflation!$B$126:$B$166,0), MATCH(Z$225, Inflation!$D$125:$BD$125,0))</f>
        <v>4682.1037260682642</v>
      </c>
      <c r="AA238" s="90">
        <f>(AA192+AA214)*INDEX(Inflation!$D$126:$BD$166, MATCH($B238, Inflation!$B$126:$B$166,0), MATCH(AA$225, Inflation!$D$125:$BD$125,0))</f>
        <v>4826.5319642041795</v>
      </c>
      <c r="AB238" s="90">
        <f>(AB192+AB214)*INDEX(Inflation!$D$126:$BD$166, MATCH($B238, Inflation!$B$126:$B$166,0), MATCH(AB$225, Inflation!$D$125:$BD$125,0))</f>
        <v>4973.2930307925089</v>
      </c>
      <c r="AC238" s="90">
        <f>(AC192+AC214)*INDEX(Inflation!$D$126:$BD$166, MATCH($B238, Inflation!$B$126:$B$166,0), MATCH(AC$225, Inflation!$D$125:$BD$125,0))</f>
        <v>5122.6373551405395</v>
      </c>
      <c r="AD238" s="90">
        <f>(AD192+AD214)*INDEX(Inflation!$D$126:$BD$166, MATCH($B238, Inflation!$B$126:$B$166,0), MATCH(AD$225, Inflation!$D$125:$BD$125,0))</f>
        <v>5274.025434995071</v>
      </c>
      <c r="AE238" s="90">
        <f>(AE192+AE214)*INDEX(Inflation!$D$126:$BD$166, MATCH($B238, Inflation!$B$126:$B$166,0), MATCH(AE$225, Inflation!$D$125:$BD$125,0))</f>
        <v>5426.9462261438111</v>
      </c>
      <c r="AF238" s="90">
        <f>(AF192+AF214)*INDEX(Inflation!$D$126:$BD$166, MATCH($B238, Inflation!$B$126:$B$166,0), MATCH(AF$225, Inflation!$D$125:$BD$125,0))</f>
        <v>5581.0064585001701</v>
      </c>
      <c r="AG238" s="90">
        <f>(AG192+AG214)*INDEX(Inflation!$D$126:$BD$166, MATCH($B238, Inflation!$B$126:$B$166,0), MATCH(AG$225, Inflation!$D$125:$BD$125,0))</f>
        <v>5736.2698844131837</v>
      </c>
      <c r="AH238" s="90">
        <f>(AH192+AH214)*INDEX(Inflation!$D$126:$BD$166, MATCH($B238, Inflation!$B$126:$B$166,0), MATCH(AH$225, Inflation!$D$125:$BD$125,0))</f>
        <v>5893.7323512973508</v>
      </c>
      <c r="AI238" s="90">
        <f>(AI192+AI214)*INDEX(Inflation!$D$126:$BD$166, MATCH($B238, Inflation!$B$126:$B$166,0), MATCH(AI$225, Inflation!$D$125:$BD$125,0))</f>
        <v>6053.5210180695676</v>
      </c>
      <c r="AJ238" s="90">
        <f>(AJ192+AJ214)*INDEX(Inflation!$D$126:$BD$166, MATCH($B238, Inflation!$B$126:$B$166,0), MATCH(AJ$225, Inflation!$D$125:$BD$125,0))</f>
        <v>6216.2794087070806</v>
      </c>
      <c r="AK238" s="90">
        <f>(AK192+AK214)*INDEX(Inflation!$D$126:$BD$166, MATCH($B238, Inflation!$B$126:$B$166,0), MATCH(AK$225, Inflation!$D$125:$BD$125,0))</f>
        <v>6381.3754644280107</v>
      </c>
      <c r="AL238" s="90">
        <f>(AL192+AL214)*INDEX(Inflation!$D$126:$BD$166, MATCH($B238, Inflation!$B$126:$B$166,0), MATCH(AL$225, Inflation!$D$125:$BD$125,0))</f>
        <v>6547.7492255367688</v>
      </c>
      <c r="AM238" s="90">
        <f>(AM192+AM214)*INDEX(Inflation!$D$126:$BD$166, MATCH($B238, Inflation!$B$126:$B$166,0), MATCH(AM$225, Inflation!$D$125:$BD$125,0))</f>
        <v>6714.7513984160114</v>
      </c>
      <c r="AN238" s="90">
        <f>(AN192+AN214)*INDEX(Inflation!$D$126:$BD$166, MATCH($B238, Inflation!$B$126:$B$166,0), MATCH(AN$225, Inflation!$D$125:$BD$125,0))</f>
        <v>6881.9108759871133</v>
      </c>
      <c r="AO238" s="90">
        <f>(AO192+AO214)*INDEX(Inflation!$D$126:$BD$166, MATCH($B238, Inflation!$B$126:$B$166,0), MATCH(AO$225, Inflation!$D$125:$BD$125,0))</f>
        <v>7048.8176157547496</v>
      </c>
      <c r="AP238" s="90">
        <f>(AP192+AP214)*INDEX(Inflation!$D$126:$BD$166, MATCH($B238, Inflation!$B$126:$B$166,0), MATCH(AP$225, Inflation!$D$125:$BD$125,0))</f>
        <v>7215.0566911771921</v>
      </c>
      <c r="AQ238" s="90">
        <f>(AQ192+AQ214)*INDEX(Inflation!$D$126:$BD$166, MATCH($B238, Inflation!$B$126:$B$166,0), MATCH(AQ$225, Inflation!$D$125:$BD$125,0))</f>
        <v>7382.4689201056108</v>
      </c>
      <c r="AR238" s="90">
        <f>(AR192+AR214)*INDEX(Inflation!$D$126:$BD$166, MATCH($B238, Inflation!$B$126:$B$166,0), MATCH(AR$225, Inflation!$D$125:$BD$125,0))</f>
        <v>7552.9004830613067</v>
      </c>
      <c r="AS238" s="90">
        <f>(AS192+AS214)*INDEX(Inflation!$D$126:$BD$166, MATCH($B238, Inflation!$B$126:$B$166,0), MATCH(AS$225, Inflation!$D$125:$BD$125,0))</f>
        <v>7727.7948029699292</v>
      </c>
      <c r="AT238" s="90">
        <f>(AT192+AT214)*INDEX(Inflation!$D$126:$BD$166, MATCH($B238, Inflation!$B$126:$B$166,0), MATCH(AT$225, Inflation!$D$125:$BD$125,0))</f>
        <v>7898.9134334581668</v>
      </c>
      <c r="AU238" s="90" t="e">
        <f>(AU192+AU214)*INDEX(Inflation!$D$126:$BD$166, MATCH($B238, Inflation!$B$126:$B$166,0), MATCH(AU$225, Inflation!$D$125:$BD$125,0))</f>
        <v>#N/A</v>
      </c>
      <c r="AV238" s="90" t="e">
        <f>(AV192+AV214)*INDEX(Inflation!$D$126:$BD$166, MATCH($B238, Inflation!$B$126:$B$166,0), MATCH(AV$225, Inflation!$D$125:$BD$125,0))</f>
        <v>#N/A</v>
      </c>
      <c r="AW238" s="90" t="e">
        <f>(AW192+AW214)*INDEX(Inflation!$D$126:$BD$166, MATCH($B238, Inflation!$B$126:$B$166,0), MATCH(AW$225, Inflation!$D$125:$BD$125,0))</f>
        <v>#N/A</v>
      </c>
      <c r="AX238" s="90" t="e">
        <f>(AX192+AX214)*INDEX(Inflation!$D$126:$BD$166, MATCH($B238, Inflation!$B$126:$B$166,0), MATCH(AX$225, Inflation!$D$125:$BD$125,0))</f>
        <v>#N/A</v>
      </c>
      <c r="AY238" s="90" t="e">
        <f>(AY192+AY214)*INDEX(Inflation!$D$126:$BD$166, MATCH($B238, Inflation!$B$126:$B$166,0), MATCH(AY$225, Inflation!$D$125:$BD$125,0))</f>
        <v>#N/A</v>
      </c>
      <c r="AZ238" s="90" t="e">
        <f>(AZ192+AZ214)*INDEX(Inflation!$D$126:$BD$166, MATCH($B238, Inflation!$B$126:$B$166,0), MATCH(AZ$225, Inflation!$D$125:$BD$125,0))</f>
        <v>#N/A</v>
      </c>
      <c r="BA238" s="90" t="e">
        <f>(BA192+BA214)*INDEX(Inflation!$D$126:$BD$166, MATCH($B238, Inflation!$B$126:$B$166,0), MATCH(BA$225, Inflation!$D$125:$BD$125,0))</f>
        <v>#N/A</v>
      </c>
      <c r="BB238" s="90" t="e">
        <f>(BB192+BB214)*INDEX(Inflation!$D$126:$BD$166, MATCH($B238, Inflation!$B$126:$B$166,0), MATCH(BB$225, Inflation!$D$125:$BD$125,0))</f>
        <v>#N/A</v>
      </c>
    </row>
    <row r="239" spans="2:54" ht="29">
      <c r="B239" s="6" t="s">
        <v>2870</v>
      </c>
      <c r="C239" s="142"/>
      <c r="D239" s="90">
        <f>(D193+D215)*INDEX(Inflation!$D$126:$BD$166, MATCH($B239, Inflation!$B$126:$B$166,0), MATCH(D$225, Inflation!$D$125:$BD$125,0))</f>
        <v>11765.21331279281</v>
      </c>
      <c r="E239" s="90">
        <f>(E193+E215)*INDEX(Inflation!$D$126:$BD$166, MATCH($B239, Inflation!$B$126:$B$166,0), MATCH(E$225, Inflation!$D$125:$BD$125,0))</f>
        <v>12449.593089097036</v>
      </c>
      <c r="F239" s="90">
        <f>(F193+F215)*INDEX(Inflation!$D$126:$BD$166, MATCH($B239, Inflation!$B$126:$B$166,0), MATCH(F$225, Inflation!$D$125:$BD$125,0))</f>
        <v>13091.684985292608</v>
      </c>
      <c r="G239" s="90">
        <f>(G193+G215)*INDEX(Inflation!$D$126:$BD$166, MATCH($B239, Inflation!$B$126:$B$166,0), MATCH(G$225, Inflation!$D$125:$BD$125,0))</f>
        <v>13707.320377286002</v>
      </c>
      <c r="H239" s="90">
        <f>(H193+H215)*INDEX(Inflation!$D$126:$BD$166, MATCH($B239, Inflation!$B$126:$B$166,0), MATCH(H$225, Inflation!$D$125:$BD$125,0))</f>
        <v>27921.566193449446</v>
      </c>
      <c r="I239" s="90">
        <f>(I193+I215)*INDEX(Inflation!$D$126:$BD$166, MATCH($B239, Inflation!$B$126:$B$166,0), MATCH(I$225, Inflation!$D$125:$BD$125,0))</f>
        <v>26069.305677561515</v>
      </c>
      <c r="J239" s="90">
        <f>(J193+J215)*INDEX(Inflation!$D$126:$BD$166, MATCH($B239, Inflation!$B$126:$B$166,0), MATCH(J$225, Inflation!$D$125:$BD$125,0))</f>
        <v>25033.487668324738</v>
      </c>
      <c r="K239" s="90">
        <f>(K193+K215)*INDEX(Inflation!$D$126:$BD$166, MATCH($B239, Inflation!$B$126:$B$166,0), MATCH(K$225, Inflation!$D$125:$BD$125,0))</f>
        <v>24573.421324757226</v>
      </c>
      <c r="L239" s="90">
        <f>(L193+L215)*INDEX(Inflation!$D$126:$BD$166, MATCH($B239, Inflation!$B$126:$B$166,0), MATCH(L$225, Inflation!$D$125:$BD$125,0))</f>
        <v>24559.893705890154</v>
      </c>
      <c r="M239" s="90">
        <f>(M193+M215)*INDEX(Inflation!$D$126:$BD$166, MATCH($B239, Inflation!$B$126:$B$166,0), MATCH(M$225, Inflation!$D$125:$BD$125,0))</f>
        <v>24840.778402083055</v>
      </c>
      <c r="N239" s="90">
        <f>(N193+N215)*INDEX(Inflation!$D$126:$BD$166, MATCH($B239, Inflation!$B$126:$B$166,0), MATCH(N$225, Inflation!$D$125:$BD$125,0))</f>
        <v>25321.163057528149</v>
      </c>
      <c r="O239" s="90">
        <f>(O193+O215)*INDEX(Inflation!$D$126:$BD$166, MATCH($B239, Inflation!$B$126:$B$166,0), MATCH(O$225, Inflation!$D$125:$BD$125,0))</f>
        <v>25954.368262887288</v>
      </c>
      <c r="P239" s="90">
        <f>(P193+P215)*INDEX(Inflation!$D$126:$BD$166, MATCH($B239, Inflation!$B$126:$B$166,0), MATCH(P$225, Inflation!$D$125:$BD$125,0))</f>
        <v>26680.743922917794</v>
      </c>
      <c r="Q239" s="90">
        <f>(Q193+Q215)*INDEX(Inflation!$D$126:$BD$166, MATCH($B239, Inflation!$B$126:$B$166,0), MATCH(Q$225, Inflation!$D$125:$BD$125,0))</f>
        <v>27473.497279617124</v>
      </c>
      <c r="R239" s="90">
        <f>(R193+R215)*INDEX(Inflation!$D$126:$BD$166, MATCH($B239, Inflation!$B$126:$B$166,0), MATCH(R$225, Inflation!$D$125:$BD$125,0))</f>
        <v>28321.083044036834</v>
      </c>
      <c r="S239" s="90">
        <f>(S193+S215)*INDEX(Inflation!$D$126:$BD$166, MATCH($B239, Inflation!$B$126:$B$166,0), MATCH(S$225, Inflation!$D$125:$BD$125,0))</f>
        <v>29212.222454089944</v>
      </c>
      <c r="T239" s="90">
        <f>(T193+T215)*INDEX(Inflation!$D$126:$BD$166, MATCH($B239, Inflation!$B$126:$B$166,0), MATCH(T$225, Inflation!$D$125:$BD$125,0))</f>
        <v>30136.577796525406</v>
      </c>
      <c r="U239" s="90">
        <f>(U193+U215)*INDEX(Inflation!$D$126:$BD$166, MATCH($B239, Inflation!$B$126:$B$166,0), MATCH(U$225, Inflation!$D$125:$BD$125,0))</f>
        <v>31093.865601663769</v>
      </c>
      <c r="V239" s="90">
        <f>(V193+V215)*INDEX(Inflation!$D$126:$BD$166, MATCH($B239, Inflation!$B$126:$B$166,0), MATCH(V$225, Inflation!$D$125:$BD$125,0))</f>
        <v>32097.449097050401</v>
      </c>
      <c r="W239" s="90">
        <f>(W193+W215)*INDEX(Inflation!$D$126:$BD$166, MATCH($B239, Inflation!$B$126:$B$166,0), MATCH(W$225, Inflation!$D$125:$BD$125,0))</f>
        <v>33126.191288371563</v>
      </c>
      <c r="X239" s="90">
        <f>(X193+X215)*INDEX(Inflation!$D$126:$BD$166, MATCH($B239, Inflation!$B$126:$B$166,0), MATCH(X$225, Inflation!$D$125:$BD$125,0))</f>
        <v>34175.191101987497</v>
      </c>
      <c r="Y239" s="90">
        <f>(Y193+Y215)*INDEX(Inflation!$D$126:$BD$166, MATCH($B239, Inflation!$B$126:$B$166,0), MATCH(Y$225, Inflation!$D$125:$BD$125,0))</f>
        <v>35251.522084196149</v>
      </c>
      <c r="Z239" s="90">
        <f>(Z193+Z215)*INDEX(Inflation!$D$126:$BD$166, MATCH($B239, Inflation!$B$126:$B$166,0), MATCH(Z$225, Inflation!$D$125:$BD$125,0))</f>
        <v>36352.116047167277</v>
      </c>
      <c r="AA239" s="90">
        <f>(AA193+AA215)*INDEX(Inflation!$D$126:$BD$166, MATCH($B239, Inflation!$B$126:$B$166,0), MATCH(AA$225, Inflation!$D$125:$BD$125,0))</f>
        <v>37473.464992081303</v>
      </c>
      <c r="AB239" s="90">
        <f>(AB193+AB215)*INDEX(Inflation!$D$126:$BD$166, MATCH($B239, Inflation!$B$126:$B$166,0), MATCH(AB$225, Inflation!$D$125:$BD$125,0))</f>
        <v>38612.926147997459</v>
      </c>
      <c r="AC239" s="90">
        <f>(AC193+AC215)*INDEX(Inflation!$D$126:$BD$166, MATCH($B239, Inflation!$B$126:$B$166,0), MATCH(AC$225, Inflation!$D$125:$BD$125,0))</f>
        <v>39772.443862109314</v>
      </c>
      <c r="AD239" s="90">
        <f>(AD193+AD215)*INDEX(Inflation!$D$126:$BD$166, MATCH($B239, Inflation!$B$126:$B$166,0), MATCH(AD$225, Inflation!$D$125:$BD$125,0))</f>
        <v>40947.829408651043</v>
      </c>
      <c r="AE239" s="90">
        <f>(AE193+AE215)*INDEX(Inflation!$D$126:$BD$166, MATCH($B239, Inflation!$B$126:$B$166,0), MATCH(AE$225, Inflation!$D$125:$BD$125,0))</f>
        <v>42135.11501168312</v>
      </c>
      <c r="AF239" s="90">
        <f>(AF193+AF215)*INDEX(Inflation!$D$126:$BD$166, MATCH($B239, Inflation!$B$126:$B$166,0), MATCH(AF$225, Inflation!$D$125:$BD$125,0))</f>
        <v>43331.247300186427</v>
      </c>
      <c r="AG239" s="90">
        <f>(AG193+AG215)*INDEX(Inflation!$D$126:$BD$166, MATCH($B239, Inflation!$B$126:$B$166,0), MATCH(AG$225, Inflation!$D$125:$BD$125,0))</f>
        <v>44536.721250976108</v>
      </c>
      <c r="AH239" s="90">
        <f>(AH193+AH215)*INDEX(Inflation!$D$126:$BD$166, MATCH($B239, Inflation!$B$126:$B$166,0), MATCH(AH$225, Inflation!$D$125:$BD$125,0))</f>
        <v>45759.268679256435</v>
      </c>
      <c r="AI239" s="90">
        <f>(AI193+AI215)*INDEX(Inflation!$D$126:$BD$166, MATCH($B239, Inflation!$B$126:$B$166,0), MATCH(AI$225, Inflation!$D$125:$BD$125,0))</f>
        <v>46999.876853993199</v>
      </c>
      <c r="AJ239" s="90">
        <f>(AJ193+AJ215)*INDEX(Inflation!$D$126:$BD$166, MATCH($B239, Inflation!$B$126:$B$166,0), MATCH(AJ$225, Inflation!$D$125:$BD$125,0))</f>
        <v>48263.542131454597</v>
      </c>
      <c r="AK239" s="90">
        <f>(AK193+AK215)*INDEX(Inflation!$D$126:$BD$166, MATCH($B239, Inflation!$B$126:$B$166,0), MATCH(AK$225, Inflation!$D$125:$BD$125,0))</f>
        <v>49545.357171792581</v>
      </c>
      <c r="AL239" s="90">
        <f>(AL193+AL215)*INDEX(Inflation!$D$126:$BD$166, MATCH($B239, Inflation!$B$126:$B$166,0), MATCH(AL$225, Inflation!$D$125:$BD$125,0))</f>
        <v>50837.092388455116</v>
      </c>
      <c r="AM239" s="90">
        <f>(AM193+AM215)*INDEX(Inflation!$D$126:$BD$166, MATCH($B239, Inflation!$B$126:$B$166,0), MATCH(AM$225, Inflation!$D$125:$BD$125,0))</f>
        <v>52133.706629364569</v>
      </c>
      <c r="AN239" s="90">
        <f>(AN193+AN215)*INDEX(Inflation!$D$126:$BD$166, MATCH($B239, Inflation!$B$126:$B$166,0), MATCH(AN$225, Inflation!$D$125:$BD$125,0))</f>
        <v>53431.542192728157</v>
      </c>
      <c r="AO239" s="90">
        <f>(AO193+AO215)*INDEX(Inflation!$D$126:$BD$166, MATCH($B239, Inflation!$B$126:$B$166,0), MATCH(AO$225, Inflation!$D$125:$BD$125,0))</f>
        <v>54727.415485604237</v>
      </c>
      <c r="AP239" s="90">
        <f>(AP193+AP215)*INDEX(Inflation!$D$126:$BD$166, MATCH($B239, Inflation!$B$126:$B$166,0), MATCH(AP$225, Inflation!$D$125:$BD$125,0))</f>
        <v>56018.104995040863</v>
      </c>
      <c r="AQ239" s="90">
        <f>(AQ193+AQ215)*INDEX(Inflation!$D$126:$BD$166, MATCH($B239, Inflation!$B$126:$B$166,0), MATCH(AQ$225, Inflation!$D$125:$BD$125,0))</f>
        <v>57317.90293412481</v>
      </c>
      <c r="AR239" s="90">
        <f>(AR193+AR215)*INDEX(Inflation!$D$126:$BD$166, MATCH($B239, Inflation!$B$126:$B$166,0), MATCH(AR$225, Inflation!$D$125:$BD$125,0))</f>
        <v>58641.143152014694</v>
      </c>
      <c r="AS239" s="90">
        <f>(AS193+AS215)*INDEX(Inflation!$D$126:$BD$166, MATCH($B239, Inflation!$B$126:$B$166,0), MATCH(AS$225, Inflation!$D$125:$BD$125,0))</f>
        <v>59999.032465297263</v>
      </c>
      <c r="AT239" s="90">
        <f>(AT193+AT215)*INDEX(Inflation!$D$126:$BD$166, MATCH($B239, Inflation!$B$126:$B$166,0), MATCH(AT$225, Inflation!$D$125:$BD$125,0))</f>
        <v>61327.607114061902</v>
      </c>
      <c r="AU239" s="90" t="e">
        <f>(AU193+AU215)*INDEX(Inflation!$D$126:$BD$166, MATCH($B239, Inflation!$B$126:$B$166,0), MATCH(AU$225, Inflation!$D$125:$BD$125,0))</f>
        <v>#N/A</v>
      </c>
      <c r="AV239" s="90" t="e">
        <f>(AV193+AV215)*INDEX(Inflation!$D$126:$BD$166, MATCH($B239, Inflation!$B$126:$B$166,0), MATCH(AV$225, Inflation!$D$125:$BD$125,0))</f>
        <v>#N/A</v>
      </c>
      <c r="AW239" s="90" t="e">
        <f>(AW193+AW215)*INDEX(Inflation!$D$126:$BD$166, MATCH($B239, Inflation!$B$126:$B$166,0), MATCH(AW$225, Inflation!$D$125:$BD$125,0))</f>
        <v>#N/A</v>
      </c>
      <c r="AX239" s="90" t="e">
        <f>(AX193+AX215)*INDEX(Inflation!$D$126:$BD$166, MATCH($B239, Inflation!$B$126:$B$166,0), MATCH(AX$225, Inflation!$D$125:$BD$125,0))</f>
        <v>#N/A</v>
      </c>
      <c r="AY239" s="90" t="e">
        <f>(AY193+AY215)*INDEX(Inflation!$D$126:$BD$166, MATCH($B239, Inflation!$B$126:$B$166,0), MATCH(AY$225, Inflation!$D$125:$BD$125,0))</f>
        <v>#N/A</v>
      </c>
      <c r="AZ239" s="90" t="e">
        <f>(AZ193+AZ215)*INDEX(Inflation!$D$126:$BD$166, MATCH($B239, Inflation!$B$126:$B$166,0), MATCH(AZ$225, Inflation!$D$125:$BD$125,0))</f>
        <v>#N/A</v>
      </c>
      <c r="BA239" s="90" t="e">
        <f>(BA193+BA215)*INDEX(Inflation!$D$126:$BD$166, MATCH($B239, Inflation!$B$126:$B$166,0), MATCH(BA$225, Inflation!$D$125:$BD$125,0))</f>
        <v>#N/A</v>
      </c>
      <c r="BB239" s="90" t="e">
        <f>(BB193+BB215)*INDEX(Inflation!$D$126:$BD$166, MATCH($B239, Inflation!$B$126:$B$166,0), MATCH(BB$225, Inflation!$D$125:$BD$125,0))</f>
        <v>#N/A</v>
      </c>
    </row>
    <row r="240" spans="2:54">
      <c r="B240" s="6" t="s">
        <v>102</v>
      </c>
      <c r="C240" s="142"/>
      <c r="D240" s="90">
        <f>(D194+D216)*INDEX(Inflation!$D$126:$BD$166, MATCH($B240, Inflation!$B$126:$B$166,0), MATCH(D$225, Inflation!$D$125:$BD$125,0))</f>
        <v>33.37775553664288</v>
      </c>
      <c r="E240" s="90">
        <f>(E194+E216)*INDEX(Inflation!$D$126:$BD$166, MATCH($B240, Inflation!$B$126:$B$166,0), MATCH(E$225, Inflation!$D$125:$BD$125,0))</f>
        <v>164.0787922005151</v>
      </c>
      <c r="F240" s="90">
        <f>(F194+F216)*INDEX(Inflation!$D$126:$BD$166, MATCH($B240, Inflation!$B$126:$B$166,0), MATCH(F$225, Inflation!$D$125:$BD$125,0))</f>
        <v>304.5961968973923</v>
      </c>
      <c r="G240" s="90">
        <f>(G194+G216)*INDEX(Inflation!$D$126:$BD$166, MATCH($B240, Inflation!$B$126:$B$166,0), MATCH(G$225, Inflation!$D$125:$BD$125,0))</f>
        <v>454.70087142723952</v>
      </c>
      <c r="H240" s="90">
        <f>(H194+H216)*INDEX(Inflation!$D$126:$BD$166, MATCH($B240, Inflation!$B$126:$B$166,0), MATCH(H$225, Inflation!$D$125:$BD$125,0))</f>
        <v>1847.4592420617041</v>
      </c>
      <c r="I240" s="90">
        <f>(I194+I216)*INDEX(Inflation!$D$126:$BD$166, MATCH($B240, Inflation!$B$126:$B$166,0), MATCH(I$225, Inflation!$D$125:$BD$125,0))</f>
        <v>6687.4639971565439</v>
      </c>
      <c r="J240" s="90">
        <f>(J194+J216)*INDEX(Inflation!$D$126:$BD$166, MATCH($B240, Inflation!$B$126:$B$166,0), MATCH(J$225, Inflation!$D$125:$BD$125,0))</f>
        <v>11332.320529199267</v>
      </c>
      <c r="K240" s="90">
        <f>(K194+K216)*INDEX(Inflation!$D$126:$BD$166, MATCH($B240, Inflation!$B$126:$B$166,0), MATCH(K$225, Inflation!$D$125:$BD$125,0))</f>
        <v>15910.309977515677</v>
      </c>
      <c r="L240" s="90">
        <f>(L194+L216)*INDEX(Inflation!$D$126:$BD$166, MATCH($B240, Inflation!$B$126:$B$166,0), MATCH(L$225, Inflation!$D$125:$BD$125,0))</f>
        <v>20515.088401647648</v>
      </c>
      <c r="M240" s="90">
        <f>(M194+M216)*INDEX(Inflation!$D$126:$BD$166, MATCH($B240, Inflation!$B$126:$B$166,0), MATCH(M$225, Inflation!$D$125:$BD$125,0))</f>
        <v>25218.419325652801</v>
      </c>
      <c r="N240" s="90">
        <f>(N194+N216)*INDEX(Inflation!$D$126:$BD$166, MATCH($B240, Inflation!$B$126:$B$166,0), MATCH(N$225, Inflation!$D$125:$BD$125,0))</f>
        <v>30069.400630528369</v>
      </c>
      <c r="O240" s="90">
        <f>(O194+O216)*INDEX(Inflation!$D$126:$BD$166, MATCH($B240, Inflation!$B$126:$B$166,0), MATCH(O$225, Inflation!$D$125:$BD$125,0))</f>
        <v>34948.218029559474</v>
      </c>
      <c r="P240" s="90">
        <f>(P194+P216)*INDEX(Inflation!$D$126:$BD$166, MATCH($B240, Inflation!$B$126:$B$166,0), MATCH(P$225, Inflation!$D$125:$BD$125,0))</f>
        <v>40025.823983751885</v>
      </c>
      <c r="Q240" s="90">
        <f>(Q194+Q216)*INDEX(Inflation!$D$126:$BD$166, MATCH($B240, Inflation!$B$126:$B$166,0), MATCH(Q$225, Inflation!$D$125:$BD$125,0))</f>
        <v>45321.647144668532</v>
      </c>
      <c r="R240" s="90">
        <f>(R194+R216)*INDEX(Inflation!$D$126:$BD$166, MATCH($B240, Inflation!$B$126:$B$166,0), MATCH(R$225, Inflation!$D$125:$BD$125,0))</f>
        <v>50851.279996896599</v>
      </c>
      <c r="S240" s="90">
        <f>(S194+S216)*INDEX(Inflation!$D$126:$BD$166, MATCH($B240, Inflation!$B$126:$B$166,0), MATCH(S$225, Inflation!$D$125:$BD$125,0))</f>
        <v>50886.278312251226</v>
      </c>
      <c r="T240" s="90">
        <f>(T194+T216)*INDEX(Inflation!$D$126:$BD$166, MATCH($B240, Inflation!$B$126:$B$166,0), MATCH(T$225, Inflation!$D$125:$BD$125,0))</f>
        <v>51472.969089968952</v>
      </c>
      <c r="U240" s="90">
        <f>(U194+U216)*INDEX(Inflation!$D$126:$BD$166, MATCH($B240, Inflation!$B$126:$B$166,0), MATCH(U$225, Inflation!$D$125:$BD$125,0))</f>
        <v>52454.206740579793</v>
      </c>
      <c r="V240" s="90">
        <f>(V194+V216)*INDEX(Inflation!$D$126:$BD$166, MATCH($B240, Inflation!$B$126:$B$166,0), MATCH(V$225, Inflation!$D$125:$BD$125,0))</f>
        <v>53721.561123307853</v>
      </c>
      <c r="W240" s="90">
        <f>(W194+W216)*INDEX(Inflation!$D$126:$BD$166, MATCH($B240, Inflation!$B$126:$B$166,0), MATCH(W$225, Inflation!$D$125:$BD$125,0))</f>
        <v>55192.755972816762</v>
      </c>
      <c r="X240" s="90">
        <f>(X194+X216)*INDEX(Inflation!$D$126:$BD$166, MATCH($B240, Inflation!$B$126:$B$166,0), MATCH(X$225, Inflation!$D$125:$BD$125,0))</f>
        <v>56813.306265027117</v>
      </c>
      <c r="Y240" s="90">
        <f>(Y194+Y216)*INDEX(Inflation!$D$126:$BD$166, MATCH($B240, Inflation!$B$126:$B$166,0), MATCH(Y$225, Inflation!$D$125:$BD$125,0))</f>
        <v>58547.541369728278</v>
      </c>
      <c r="Z240" s="90">
        <f>(Z194+Z216)*INDEX(Inflation!$D$126:$BD$166, MATCH($B240, Inflation!$B$126:$B$166,0), MATCH(Z$225, Inflation!$D$125:$BD$125,0))</f>
        <v>60369.804718646752</v>
      </c>
      <c r="AA240" s="90">
        <f>(AA194+AA216)*INDEX(Inflation!$D$126:$BD$166, MATCH($B240, Inflation!$B$126:$B$166,0), MATCH(AA$225, Inflation!$D$125:$BD$125,0))</f>
        <v>62266.065992482909</v>
      </c>
      <c r="AB240" s="90">
        <f>(AB194+AB216)*INDEX(Inflation!$D$126:$BD$166, MATCH($B240, Inflation!$B$126:$B$166,0), MATCH(AB$225, Inflation!$D$125:$BD$125,0))</f>
        <v>64227.144876615508</v>
      </c>
      <c r="AC240" s="90">
        <f>(AC194+AC216)*INDEX(Inflation!$D$126:$BD$166, MATCH($B240, Inflation!$B$126:$B$166,0), MATCH(AC$225, Inflation!$D$125:$BD$125,0))</f>
        <v>66245.885592821491</v>
      </c>
      <c r="AD240" s="90">
        <f>(AD194+AD216)*INDEX(Inflation!$D$126:$BD$166, MATCH($B240, Inflation!$B$126:$B$166,0), MATCH(AD$225, Inflation!$D$125:$BD$125,0))</f>
        <v>68317.452972432264</v>
      </c>
      <c r="AE240" s="90">
        <f>(AE194+AE216)*INDEX(Inflation!$D$126:$BD$166, MATCH($B240, Inflation!$B$126:$B$166,0), MATCH(AE$225, Inflation!$D$125:$BD$125,0))</f>
        <v>70438.39253200675</v>
      </c>
      <c r="AF240" s="90">
        <f>(AF194+AF216)*INDEX(Inflation!$D$126:$BD$166, MATCH($B240, Inflation!$B$126:$B$166,0), MATCH(AF$225, Inflation!$D$125:$BD$125,0))</f>
        <v>72604.591276983076</v>
      </c>
      <c r="AG240" s="90">
        <f>(AG194+AG216)*INDEX(Inflation!$D$126:$BD$166, MATCH($B240, Inflation!$B$126:$B$166,0), MATCH(AG$225, Inflation!$D$125:$BD$125,0))</f>
        <v>74808.646593953017</v>
      </c>
      <c r="AH240" s="90">
        <f>(AH194+AH216)*INDEX(Inflation!$D$126:$BD$166, MATCH($B240, Inflation!$B$126:$B$166,0), MATCH(AH$225, Inflation!$D$125:$BD$125,0))</f>
        <v>77047.922015441931</v>
      </c>
      <c r="AI240" s="90">
        <f>(AI194+AI216)*INDEX(Inflation!$D$126:$BD$166, MATCH($B240, Inflation!$B$126:$B$166,0), MATCH(AI$225, Inflation!$D$125:$BD$125,0))</f>
        <v>79321.818341994323</v>
      </c>
      <c r="AJ240" s="90">
        <f>(AJ194+AJ216)*INDEX(Inflation!$D$126:$BD$166, MATCH($B240, Inflation!$B$126:$B$166,0), MATCH(AJ$225, Inflation!$D$125:$BD$125,0))</f>
        <v>81628.578174002294</v>
      </c>
      <c r="AK240" s="90">
        <f>(AK194+AK216)*INDEX(Inflation!$D$126:$BD$166, MATCH($B240, Inflation!$B$126:$B$166,0), MATCH(AK$225, Inflation!$D$125:$BD$125,0))</f>
        <v>83967.4856084723</v>
      </c>
      <c r="AL240" s="90">
        <f>(AL194+AL216)*INDEX(Inflation!$D$126:$BD$166, MATCH($B240, Inflation!$B$126:$B$166,0), MATCH(AL$225, Inflation!$D$125:$BD$125,0))</f>
        <v>86337.545431832157</v>
      </c>
      <c r="AM240" s="90">
        <f>(AM194+AM216)*INDEX(Inflation!$D$126:$BD$166, MATCH($B240, Inflation!$B$126:$B$166,0), MATCH(AM$225, Inflation!$D$125:$BD$125,0))</f>
        <v>88737.009258980252</v>
      </c>
      <c r="AN240" s="90">
        <f>(AN194+AN216)*INDEX(Inflation!$D$126:$BD$166, MATCH($B240, Inflation!$B$126:$B$166,0), MATCH(AN$225, Inflation!$D$125:$BD$125,0))</f>
        <v>91162.862805613244</v>
      </c>
      <c r="AO240" s="90">
        <f>(AO194+AO216)*INDEX(Inflation!$D$126:$BD$166, MATCH($B240, Inflation!$B$126:$B$166,0), MATCH(AO$225, Inflation!$D$125:$BD$125,0))</f>
        <v>93612.30541922168</v>
      </c>
      <c r="AP240" s="90">
        <f>(AP194+AP216)*INDEX(Inflation!$D$126:$BD$166, MATCH($B240, Inflation!$B$126:$B$166,0), MATCH(AP$225, Inflation!$D$125:$BD$125,0))</f>
        <v>96082.766867520404</v>
      </c>
      <c r="AQ240" s="90">
        <f>(AQ194+AQ216)*INDEX(Inflation!$D$126:$BD$166, MATCH($B240, Inflation!$B$126:$B$166,0), MATCH(AQ$225, Inflation!$D$125:$BD$125,0))</f>
        <v>98572.511509733595</v>
      </c>
      <c r="AR240" s="90">
        <f>(AR194+AR216)*INDEX(Inflation!$D$126:$BD$166, MATCH($B240, Inflation!$B$126:$B$166,0), MATCH(AR$225, Inflation!$D$125:$BD$125,0))</f>
        <v>101082.17021997239</v>
      </c>
      <c r="AS240" s="90">
        <f>(AS194+AS216)*INDEX(Inflation!$D$126:$BD$166, MATCH($B240, Inflation!$B$126:$B$166,0), MATCH(AS$225, Inflation!$D$125:$BD$125,0))</f>
        <v>103613.11082076329</v>
      </c>
      <c r="AT240" s="90">
        <f>(AT194+AT216)*INDEX(Inflation!$D$126:$BD$166, MATCH($B240, Inflation!$B$126:$B$166,0), MATCH(AT$225, Inflation!$D$125:$BD$125,0))</f>
        <v>106165.0507061205</v>
      </c>
      <c r="AU240" s="90" t="e">
        <f>(AU194+AU216)*INDEX(Inflation!$D$126:$BD$166, MATCH($B240, Inflation!$B$126:$B$166,0), MATCH(AU$225, Inflation!$D$125:$BD$125,0))</f>
        <v>#N/A</v>
      </c>
      <c r="AV240" s="90" t="e">
        <f>(AV194+AV216)*INDEX(Inflation!$D$126:$BD$166, MATCH($B240, Inflation!$B$126:$B$166,0), MATCH(AV$225, Inflation!$D$125:$BD$125,0))</f>
        <v>#N/A</v>
      </c>
      <c r="AW240" s="90" t="e">
        <f>(AW194+AW216)*INDEX(Inflation!$D$126:$BD$166, MATCH($B240, Inflation!$B$126:$B$166,0), MATCH(AW$225, Inflation!$D$125:$BD$125,0))</f>
        <v>#N/A</v>
      </c>
      <c r="AX240" s="90" t="e">
        <f>(AX194+AX216)*INDEX(Inflation!$D$126:$BD$166, MATCH($B240, Inflation!$B$126:$B$166,0), MATCH(AX$225, Inflation!$D$125:$BD$125,0))</f>
        <v>#N/A</v>
      </c>
      <c r="AY240" s="90" t="e">
        <f>(AY194+AY216)*INDEX(Inflation!$D$126:$BD$166, MATCH($B240, Inflation!$B$126:$B$166,0), MATCH(AY$225, Inflation!$D$125:$BD$125,0))</f>
        <v>#N/A</v>
      </c>
      <c r="AZ240" s="90" t="e">
        <f>(AZ194+AZ216)*INDEX(Inflation!$D$126:$BD$166, MATCH($B240, Inflation!$B$126:$B$166,0), MATCH(AZ$225, Inflation!$D$125:$BD$125,0))</f>
        <v>#N/A</v>
      </c>
      <c r="BA240" s="90" t="e">
        <f>(BA194+BA216)*INDEX(Inflation!$D$126:$BD$166, MATCH($B240, Inflation!$B$126:$B$166,0), MATCH(BA$225, Inflation!$D$125:$BD$125,0))</f>
        <v>#N/A</v>
      </c>
      <c r="BB240" s="90" t="e">
        <f>(BB194+BB216)*INDEX(Inflation!$D$126:$BD$166, MATCH($B240, Inflation!$B$126:$B$166,0), MATCH(BB$225, Inflation!$D$125:$BD$125,0))</f>
        <v>#N/A</v>
      </c>
    </row>
    <row r="241" spans="1:54">
      <c r="B241" s="6" t="s">
        <v>2831</v>
      </c>
      <c r="C241" s="142"/>
      <c r="D241" s="90">
        <f>(D195+D217)*INDEX(Inflation!$D$126:$BD$166, MATCH($B241, Inflation!$B$126:$B$166,0), MATCH(D$225, Inflation!$D$125:$BD$125,0))</f>
        <v>68300.427415187005</v>
      </c>
      <c r="E241" s="90">
        <f>(E195+E217)*INDEX(Inflation!$D$126:$BD$166, MATCH($B241, Inflation!$B$126:$B$166,0), MATCH(E$225, Inflation!$D$125:$BD$125,0))</f>
        <v>72606.4790644358</v>
      </c>
      <c r="F241" s="90">
        <f>(F195+F217)*INDEX(Inflation!$D$126:$BD$166, MATCH($B241, Inflation!$B$126:$B$166,0), MATCH(F$225, Inflation!$D$125:$BD$125,0))</f>
        <v>76701.288643287422</v>
      </c>
      <c r="G241" s="90">
        <f>(G195+G217)*INDEX(Inflation!$D$126:$BD$166, MATCH($B241, Inflation!$B$126:$B$166,0), MATCH(G$225, Inflation!$D$125:$BD$125,0))</f>
        <v>80675.118309794227</v>
      </c>
      <c r="H241" s="90">
        <f>(H195+H217)*INDEX(Inflation!$D$126:$BD$166, MATCH($B241, Inflation!$B$126:$B$166,0), MATCH(H$225, Inflation!$D$125:$BD$125,0))</f>
        <v>93281.82113152997</v>
      </c>
      <c r="I241" s="90">
        <f>(I195+I217)*INDEX(Inflation!$D$126:$BD$166, MATCH($B241, Inflation!$B$126:$B$166,0), MATCH(I$225, Inflation!$D$125:$BD$125,0))</f>
        <v>91145.375715518472</v>
      </c>
      <c r="J241" s="90">
        <f>(J195+J217)*INDEX(Inflation!$D$126:$BD$166, MATCH($B241, Inflation!$B$126:$B$166,0), MATCH(J$225, Inflation!$D$125:$BD$125,0))</f>
        <v>91551.869278958518</v>
      </c>
      <c r="K241" s="90">
        <f>(K195+K217)*INDEX(Inflation!$D$126:$BD$166, MATCH($B241, Inflation!$B$126:$B$166,0), MATCH(K$225, Inflation!$D$125:$BD$125,0))</f>
        <v>93825.81160767925</v>
      </c>
      <c r="L241" s="90">
        <f>(L195+L217)*INDEX(Inflation!$D$126:$BD$166, MATCH($B241, Inflation!$B$126:$B$166,0), MATCH(L$225, Inflation!$D$125:$BD$125,0))</f>
        <v>97627.544390267256</v>
      </c>
      <c r="M241" s="90">
        <f>(M195+M217)*INDEX(Inflation!$D$126:$BD$166, MATCH($B241, Inflation!$B$126:$B$166,0), MATCH(M$225, Inflation!$D$125:$BD$125,0))</f>
        <v>102518.6661767027</v>
      </c>
      <c r="N241" s="90">
        <f>(N195+N217)*INDEX(Inflation!$D$126:$BD$166, MATCH($B241, Inflation!$B$126:$B$166,0), MATCH(N$225, Inflation!$D$125:$BD$125,0))</f>
        <v>108229.3314676263</v>
      </c>
      <c r="O241" s="90">
        <f>(O195+O217)*INDEX(Inflation!$D$126:$BD$166, MATCH($B241, Inflation!$B$126:$B$166,0), MATCH(O$225, Inflation!$D$125:$BD$125,0))</f>
        <v>114518.80302257447</v>
      </c>
      <c r="P241" s="90">
        <f>(P195+P217)*INDEX(Inflation!$D$126:$BD$166, MATCH($B241, Inflation!$B$126:$B$166,0), MATCH(P$225, Inflation!$D$125:$BD$125,0))</f>
        <v>121322.83494021192</v>
      </c>
      <c r="Q241" s="90">
        <f>(Q195+Q217)*INDEX(Inflation!$D$126:$BD$166, MATCH($B241, Inflation!$B$126:$B$166,0), MATCH(Q$225, Inflation!$D$125:$BD$125,0))</f>
        <v>128570.77061094409</v>
      </c>
      <c r="R241" s="90">
        <f>(R195+R217)*INDEX(Inflation!$D$126:$BD$166, MATCH($B241, Inflation!$B$126:$B$166,0), MATCH(R$225, Inflation!$D$125:$BD$125,0))</f>
        <v>136239.96657273429</v>
      </c>
      <c r="S241" s="90">
        <f>(S195+S217)*INDEX(Inflation!$D$126:$BD$166, MATCH($B241, Inflation!$B$126:$B$166,0), MATCH(S$225, Inflation!$D$125:$BD$125,0))</f>
        <v>139830.93793128073</v>
      </c>
      <c r="T241" s="90">
        <f>(T195+T217)*INDEX(Inflation!$D$126:$BD$166, MATCH($B241, Inflation!$B$126:$B$166,0), MATCH(T$225, Inflation!$D$125:$BD$125,0))</f>
        <v>143992.7550121712</v>
      </c>
      <c r="U241" s="90">
        <f>(U195+U217)*INDEX(Inflation!$D$126:$BD$166, MATCH($B241, Inflation!$B$126:$B$166,0), MATCH(U$225, Inflation!$D$125:$BD$125,0))</f>
        <v>148607.27443133297</v>
      </c>
      <c r="V241" s="90">
        <f>(V195+V217)*INDEX(Inflation!$D$126:$BD$166, MATCH($B241, Inflation!$B$126:$B$166,0), MATCH(V$225, Inflation!$D$125:$BD$125,0))</f>
        <v>153640.26156450744</v>
      </c>
      <c r="W241" s="90">
        <f>(W195+W217)*INDEX(Inflation!$D$126:$BD$166, MATCH($B241, Inflation!$B$126:$B$166,0), MATCH(W$225, Inflation!$D$125:$BD$125,0))</f>
        <v>158957.55403886508</v>
      </c>
      <c r="X241" s="90">
        <f>(X195+X217)*INDEX(Inflation!$D$126:$BD$166, MATCH($B241, Inflation!$B$126:$B$166,0), MATCH(X$225, Inflation!$D$125:$BD$125,0))</f>
        <v>164501.74123489705</v>
      </c>
      <c r="Y241" s="90">
        <f>(Y195+Y217)*INDEX(Inflation!$D$126:$BD$166, MATCH($B241, Inflation!$B$126:$B$166,0), MATCH(Y$225, Inflation!$D$125:$BD$125,0))</f>
        <v>170271.51732437924</v>
      </c>
      <c r="Z241" s="90">
        <f>(Z195+Z217)*INDEX(Inflation!$D$126:$BD$166, MATCH($B241, Inflation!$B$126:$B$166,0), MATCH(Z$225, Inflation!$D$125:$BD$125,0))</f>
        <v>176237.85796879898</v>
      </c>
      <c r="AA241" s="90">
        <f>(AA195+AA217)*INDEX(Inflation!$D$126:$BD$166, MATCH($B241, Inflation!$B$126:$B$166,0), MATCH(AA$225, Inflation!$D$125:$BD$125,0))</f>
        <v>182379.07091677305</v>
      </c>
      <c r="AB241" s="90">
        <f>(AB195+AB217)*INDEX(Inflation!$D$126:$BD$166, MATCH($B241, Inflation!$B$126:$B$166,0), MATCH(AB$225, Inflation!$D$125:$BD$125,0))</f>
        <v>188680.10225089928</v>
      </c>
      <c r="AC241" s="90">
        <f>(AC195+AC217)*INDEX(Inflation!$D$126:$BD$166, MATCH($B241, Inflation!$B$126:$B$166,0), MATCH(AC$225, Inflation!$D$125:$BD$125,0))</f>
        <v>195143.6233352386</v>
      </c>
      <c r="AD241" s="90">
        <f>(AD195+AD217)*INDEX(Inflation!$D$126:$BD$166, MATCH($B241, Inflation!$B$126:$B$166,0), MATCH(AD$225, Inflation!$D$125:$BD$125,0))</f>
        <v>201752.30912351521</v>
      </c>
      <c r="AE241" s="90">
        <f>(AE195+AE217)*INDEX(Inflation!$D$126:$BD$166, MATCH($B241, Inflation!$B$126:$B$166,0), MATCH(AE$225, Inflation!$D$125:$BD$125,0))</f>
        <v>208490.48145797741</v>
      </c>
      <c r="AF241" s="90">
        <f>(AF195+AF217)*INDEX(Inflation!$D$126:$BD$166, MATCH($B241, Inflation!$B$126:$B$166,0), MATCH(AF$225, Inflation!$D$125:$BD$125,0))</f>
        <v>215344.9696172399</v>
      </c>
      <c r="AG241" s="90">
        <f>(AG195+AG217)*INDEX(Inflation!$D$126:$BD$166, MATCH($B241, Inflation!$B$126:$B$166,0), MATCH(AG$225, Inflation!$D$125:$BD$125,0))</f>
        <v>222312.51336485957</v>
      </c>
      <c r="AH241" s="90">
        <f>(AH195+AH217)*INDEX(Inflation!$D$126:$BD$166, MATCH($B241, Inflation!$B$126:$B$166,0), MATCH(AH$225, Inflation!$D$125:$BD$125,0))</f>
        <v>229419.96324938041</v>
      </c>
      <c r="AI241" s="90">
        <f>(AI195+AI217)*INDEX(Inflation!$D$126:$BD$166, MATCH($B241, Inflation!$B$126:$B$166,0), MATCH(AI$225, Inflation!$D$125:$BD$125,0))</f>
        <v>236671.70220469515</v>
      </c>
      <c r="AJ241" s="90">
        <f>(AJ195+AJ217)*INDEX(Inflation!$D$126:$BD$166, MATCH($B241, Inflation!$B$126:$B$166,0), MATCH(AJ$225, Inflation!$D$125:$BD$125,0))</f>
        <v>244085.8512538826</v>
      </c>
      <c r="AK241" s="90">
        <f>(AK195+AK217)*INDEX(Inflation!$D$126:$BD$166, MATCH($B241, Inflation!$B$126:$B$166,0), MATCH(AK$225, Inflation!$D$125:$BD$125,0))</f>
        <v>251645.34718690556</v>
      </c>
      <c r="AL241" s="90">
        <f>(AL195+AL217)*INDEX(Inflation!$D$126:$BD$166, MATCH($B241, Inflation!$B$126:$B$166,0), MATCH(AL$225, Inflation!$D$125:$BD$125,0))</f>
        <v>259320.40002428429</v>
      </c>
      <c r="AM241" s="90">
        <f>(AM195+AM217)*INDEX(Inflation!$D$126:$BD$166, MATCH($B241, Inflation!$B$126:$B$166,0), MATCH(AM$225, Inflation!$D$125:$BD$125,0))</f>
        <v>267091.91011301562</v>
      </c>
      <c r="AN241" s="90">
        <f>(AN195+AN217)*INDEX(Inflation!$D$126:$BD$166, MATCH($B241, Inflation!$B$126:$B$166,0), MATCH(AN$225, Inflation!$D$125:$BD$125,0))</f>
        <v>274944.54720039113</v>
      </c>
      <c r="AO241" s="90">
        <f>(AO195+AO217)*INDEX(Inflation!$D$126:$BD$166, MATCH($B241, Inflation!$B$126:$B$166,0), MATCH(AO$225, Inflation!$D$125:$BD$125,0))</f>
        <v>282864.69098721608</v>
      </c>
      <c r="AP241" s="90">
        <f>(AP195+AP217)*INDEX(Inflation!$D$126:$BD$166, MATCH($B241, Inflation!$B$126:$B$166,0), MATCH(AP$225, Inflation!$D$125:$BD$125,0))</f>
        <v>290838.56681539235</v>
      </c>
      <c r="AQ241" s="90">
        <f>(AQ195+AQ217)*INDEX(Inflation!$D$126:$BD$166, MATCH($B241, Inflation!$B$126:$B$166,0), MATCH(AQ$225, Inflation!$D$125:$BD$125,0))</f>
        <v>298918.56636504276</v>
      </c>
      <c r="AR241" s="90">
        <f>(AR195+AR217)*INDEX(Inflation!$D$126:$BD$166, MATCH($B241, Inflation!$B$126:$B$166,0), MATCH(AR$225, Inflation!$D$125:$BD$125,0))</f>
        <v>307160.04117155122</v>
      </c>
      <c r="AS241" s="90">
        <f>(AS195+AS217)*INDEX(Inflation!$D$126:$BD$166, MATCH($B241, Inflation!$B$126:$B$166,0), MATCH(AS$225, Inflation!$D$125:$BD$125,0))</f>
        <v>315607.98213704111</v>
      </c>
      <c r="AT241" s="90">
        <f>(AT195+AT217)*INDEX(Inflation!$D$126:$BD$166, MATCH($B241, Inflation!$B$126:$B$166,0), MATCH(AT$225, Inflation!$D$125:$BD$125,0))</f>
        <v>324021.61372981832</v>
      </c>
      <c r="AU241" s="90" t="e">
        <f>(AU195+AU217)*INDEX(Inflation!$D$126:$BD$166, MATCH($B241, Inflation!$B$126:$B$166,0), MATCH(AU$225, Inflation!$D$125:$BD$125,0))</f>
        <v>#N/A</v>
      </c>
      <c r="AV241" s="90" t="e">
        <f>(AV195+AV217)*INDEX(Inflation!$D$126:$BD$166, MATCH($B241, Inflation!$B$126:$B$166,0), MATCH(AV$225, Inflation!$D$125:$BD$125,0))</f>
        <v>#N/A</v>
      </c>
      <c r="AW241" s="90" t="e">
        <f>(AW195+AW217)*INDEX(Inflation!$D$126:$BD$166, MATCH($B241, Inflation!$B$126:$B$166,0), MATCH(AW$225, Inflation!$D$125:$BD$125,0))</f>
        <v>#N/A</v>
      </c>
      <c r="AX241" s="90" t="e">
        <f>(AX195+AX217)*INDEX(Inflation!$D$126:$BD$166, MATCH($B241, Inflation!$B$126:$B$166,0), MATCH(AX$225, Inflation!$D$125:$BD$125,0))</f>
        <v>#N/A</v>
      </c>
      <c r="AY241" s="90" t="e">
        <f>(AY195+AY217)*INDEX(Inflation!$D$126:$BD$166, MATCH($B241, Inflation!$B$126:$B$166,0), MATCH(AY$225, Inflation!$D$125:$BD$125,0))</f>
        <v>#N/A</v>
      </c>
      <c r="AZ241" s="90" t="e">
        <f>(AZ195+AZ217)*INDEX(Inflation!$D$126:$BD$166, MATCH($B241, Inflation!$B$126:$B$166,0), MATCH(AZ$225, Inflation!$D$125:$BD$125,0))</f>
        <v>#N/A</v>
      </c>
      <c r="BA241" s="90" t="e">
        <f>(BA195+BA217)*INDEX(Inflation!$D$126:$BD$166, MATCH($B241, Inflation!$B$126:$B$166,0), MATCH(BA$225, Inflation!$D$125:$BD$125,0))</f>
        <v>#N/A</v>
      </c>
      <c r="BB241" s="90" t="e">
        <f>(BB195+BB217)*INDEX(Inflation!$D$126:$BD$166, MATCH($B241, Inflation!$B$126:$B$166,0), MATCH(BB$225, Inflation!$D$125:$BD$125,0))</f>
        <v>#N/A</v>
      </c>
    </row>
    <row r="242" spans="1:54">
      <c r="B242" s="6" t="s">
        <v>2832</v>
      </c>
      <c r="C242" s="142"/>
      <c r="D242" s="90">
        <f>(D196+D218)*INDEX(Inflation!$D$126:$BD$166, MATCH($B242, Inflation!$B$126:$B$166,0), MATCH(D$225, Inflation!$D$125:$BD$125,0))</f>
        <v>27130.909082557548</v>
      </c>
      <c r="E242" s="90">
        <f>(E196+E218)*INDEX(Inflation!$D$126:$BD$166, MATCH($B242, Inflation!$B$126:$B$166,0), MATCH(E$225, Inflation!$D$125:$BD$125,0))</f>
        <v>28857.815190648867</v>
      </c>
      <c r="F242" s="90">
        <f>(F196+F218)*INDEX(Inflation!$D$126:$BD$166, MATCH($B242, Inflation!$B$126:$B$166,0), MATCH(F$225, Inflation!$D$125:$BD$125,0))</f>
        <v>30502.203941496624</v>
      </c>
      <c r="G242" s="90">
        <f>(G196+G218)*INDEX(Inflation!$D$126:$BD$166, MATCH($B242, Inflation!$B$126:$B$166,0), MATCH(G$225, Inflation!$D$125:$BD$125,0))</f>
        <v>32099.909792478189</v>
      </c>
      <c r="H242" s="90">
        <f>(H196+H218)*INDEX(Inflation!$D$126:$BD$166, MATCH($B242, Inflation!$B$126:$B$166,0), MATCH(H$225, Inflation!$D$125:$BD$125,0))</f>
        <v>8222.5990399031234</v>
      </c>
      <c r="I242" s="90">
        <f>(I196+I218)*INDEX(Inflation!$D$126:$BD$166, MATCH($B242, Inflation!$B$126:$B$166,0), MATCH(I$225, Inflation!$D$125:$BD$125,0))</f>
        <v>8113.0581167344017</v>
      </c>
      <c r="J242" s="90">
        <f>(J196+J218)*INDEX(Inflation!$D$126:$BD$166, MATCH($B242, Inflation!$B$126:$B$166,0), MATCH(J$225, Inflation!$D$125:$BD$125,0))</f>
        <v>8224.2891799447352</v>
      </c>
      <c r="K242" s="90">
        <f>(K196+K218)*INDEX(Inflation!$D$126:$BD$166, MATCH($B242, Inflation!$B$126:$B$166,0), MATCH(K$225, Inflation!$D$125:$BD$125,0))</f>
        <v>8499.0144720143817</v>
      </c>
      <c r="L242" s="90">
        <f>(L196+L218)*INDEX(Inflation!$D$126:$BD$166, MATCH($B242, Inflation!$B$126:$B$166,0), MATCH(L$225, Inflation!$D$125:$BD$125,0))</f>
        <v>8908.9189409405026</v>
      </c>
      <c r="M242" s="90">
        <f>(M196+M218)*INDEX(Inflation!$D$126:$BD$166, MATCH($B242, Inflation!$B$126:$B$166,0), MATCH(M$225, Inflation!$D$125:$BD$125,0))</f>
        <v>9416.6795469456265</v>
      </c>
      <c r="N242" s="90">
        <f>(N196+N218)*INDEX(Inflation!$D$126:$BD$166, MATCH($B242, Inflation!$B$126:$B$166,0), MATCH(N$225, Inflation!$D$125:$BD$125,0))</f>
        <v>9999.4229765116088</v>
      </c>
      <c r="O242" s="90">
        <f>(O196+O218)*INDEX(Inflation!$D$126:$BD$166, MATCH($B242, Inflation!$B$126:$B$166,0), MATCH(O$225, Inflation!$D$125:$BD$125,0))</f>
        <v>10634.0613242483</v>
      </c>
      <c r="P242" s="90">
        <f>(P196+P218)*INDEX(Inflation!$D$126:$BD$166, MATCH($B242, Inflation!$B$126:$B$166,0), MATCH(P$225, Inflation!$D$125:$BD$125,0))</f>
        <v>11317.787817588425</v>
      </c>
      <c r="Q242" s="90">
        <f>(Q196+Q218)*INDEX(Inflation!$D$126:$BD$166, MATCH($B242, Inflation!$B$126:$B$166,0), MATCH(Q$225, Inflation!$D$125:$BD$125,0))</f>
        <v>12044.759389471194</v>
      </c>
      <c r="R242" s="90">
        <f>(R196+R218)*INDEX(Inflation!$D$126:$BD$166, MATCH($B242, Inflation!$B$126:$B$166,0), MATCH(R$225, Inflation!$D$125:$BD$125,0))</f>
        <v>12813.291146015574</v>
      </c>
      <c r="S242" s="90">
        <f>(S196+S218)*INDEX(Inflation!$D$126:$BD$166, MATCH($B242, Inflation!$B$126:$B$166,0), MATCH(S$225, Inflation!$D$125:$BD$125,0))</f>
        <v>13132.431255481799</v>
      </c>
      <c r="T242" s="90">
        <f>(T196+T218)*INDEX(Inflation!$D$126:$BD$166, MATCH($B242, Inflation!$B$126:$B$166,0), MATCH(T$225, Inflation!$D$125:$BD$125,0))</f>
        <v>13510.986464749491</v>
      </c>
      <c r="U242" s="90">
        <f>(U196+U218)*INDEX(Inflation!$D$126:$BD$166, MATCH($B242, Inflation!$B$126:$B$166,0), MATCH(U$225, Inflation!$D$125:$BD$125,0))</f>
        <v>13936.035991864826</v>
      </c>
      <c r="V242" s="90">
        <f>(V196+V218)*INDEX(Inflation!$D$126:$BD$166, MATCH($B242, Inflation!$B$126:$B$166,0), MATCH(V$225, Inflation!$D$125:$BD$125,0))</f>
        <v>14402.813959576759</v>
      </c>
      <c r="W242" s="90">
        <f>(W196+W218)*INDEX(Inflation!$D$126:$BD$166, MATCH($B242, Inflation!$B$126:$B$166,0), MATCH(W$225, Inflation!$D$125:$BD$125,0))</f>
        <v>14898.195032138299</v>
      </c>
      <c r="X242" s="90">
        <f>(X196+X218)*INDEX(Inflation!$D$126:$BD$166, MATCH($B242, Inflation!$B$126:$B$166,0), MATCH(X$225, Inflation!$D$125:$BD$125,0))</f>
        <v>15416.248097212567</v>
      </c>
      <c r="Y242" s="90">
        <f>(Y196+Y218)*INDEX(Inflation!$D$126:$BD$166, MATCH($B242, Inflation!$B$126:$B$166,0), MATCH(Y$225, Inflation!$D$125:$BD$125,0))</f>
        <v>15956.277951144248</v>
      </c>
      <c r="Z242" s="90">
        <f>(Z196+Z218)*INDEX(Inflation!$D$126:$BD$166, MATCH($B242, Inflation!$B$126:$B$166,0), MATCH(Z$225, Inflation!$D$125:$BD$125,0))</f>
        <v>16515.31790059229</v>
      </c>
      <c r="AA242" s="90">
        <f>(AA196+AA218)*INDEX(Inflation!$D$126:$BD$166, MATCH($B242, Inflation!$B$126:$B$166,0), MATCH(AA$225, Inflation!$D$125:$BD$125,0))</f>
        <v>17091.23915647803</v>
      </c>
      <c r="AB242" s="90">
        <f>(AB196+AB218)*INDEX(Inflation!$D$126:$BD$166, MATCH($B242, Inflation!$B$126:$B$166,0), MATCH(AB$225, Inflation!$D$125:$BD$125,0))</f>
        <v>17682.576381551025</v>
      </c>
      <c r="AC242" s="90">
        <f>(AC196+AC218)*INDEX(Inflation!$D$126:$BD$166, MATCH($B242, Inflation!$B$126:$B$166,0), MATCH(AC$225, Inflation!$D$125:$BD$125,0))</f>
        <v>18289.45393913754</v>
      </c>
      <c r="AD242" s="90">
        <f>(AD196+AD218)*INDEX(Inflation!$D$126:$BD$166, MATCH($B242, Inflation!$B$126:$B$166,0), MATCH(AD$225, Inflation!$D$125:$BD$125,0))</f>
        <v>18910.278590879221</v>
      </c>
      <c r="AE242" s="90">
        <f>(AE196+AE218)*INDEX(Inflation!$D$126:$BD$166, MATCH($B242, Inflation!$B$126:$B$166,0), MATCH(AE$225, Inflation!$D$125:$BD$125,0))</f>
        <v>19543.624725741382</v>
      </c>
      <c r="AF242" s="90">
        <f>(AF196+AF218)*INDEX(Inflation!$D$126:$BD$166, MATCH($B242, Inflation!$B$126:$B$166,0), MATCH(AF$225, Inflation!$D$125:$BD$125,0))</f>
        <v>20188.274584041224</v>
      </c>
      <c r="AG242" s="90">
        <f>(AG196+AG218)*INDEX(Inflation!$D$126:$BD$166, MATCH($B242, Inflation!$B$126:$B$166,0), MATCH(AG$225, Inflation!$D$125:$BD$125,0))</f>
        <v>20843.821883696088</v>
      </c>
      <c r="AH242" s="90">
        <f>(AH196+AH218)*INDEX(Inflation!$D$126:$BD$166, MATCH($B242, Inflation!$B$126:$B$166,0), MATCH(AH$225, Inflation!$D$125:$BD$125,0))</f>
        <v>21512.587392710539</v>
      </c>
      <c r="AI242" s="90">
        <f>(AI196+AI218)*INDEX(Inflation!$D$126:$BD$166, MATCH($B242, Inflation!$B$126:$B$166,0), MATCH(AI$225, Inflation!$D$125:$BD$125,0))</f>
        <v>22194.954082127115</v>
      </c>
      <c r="AJ242" s="90">
        <f>(AJ196+AJ218)*INDEX(Inflation!$D$126:$BD$166, MATCH($B242, Inflation!$B$126:$B$166,0), MATCH(AJ$225, Inflation!$D$125:$BD$125,0))</f>
        <v>22892.490804022549</v>
      </c>
      <c r="AK242" s="90">
        <f>(AK196+AK218)*INDEX(Inflation!$D$126:$BD$166, MATCH($B242, Inflation!$B$126:$B$166,0), MATCH(AK$225, Inflation!$D$125:$BD$125,0))</f>
        <v>23603.694399367661</v>
      </c>
      <c r="AL242" s="90">
        <f>(AL196+AL218)*INDEX(Inflation!$D$126:$BD$166, MATCH($B242, Inflation!$B$126:$B$166,0), MATCH(AL$225, Inflation!$D$125:$BD$125,0))</f>
        <v>24325.938770004523</v>
      </c>
      <c r="AM242" s="90">
        <f>(AM196+AM218)*INDEX(Inflation!$D$126:$BD$166, MATCH($B242, Inflation!$B$126:$B$166,0), MATCH(AM$225, Inflation!$D$125:$BD$125,0))</f>
        <v>25057.522968585388</v>
      </c>
      <c r="AN242" s="90">
        <f>(AN196+AN218)*INDEX(Inflation!$D$126:$BD$166, MATCH($B242, Inflation!$B$126:$B$166,0), MATCH(AN$225, Inflation!$D$125:$BD$125,0))</f>
        <v>25797.053805969015</v>
      </c>
      <c r="AO242" s="90">
        <f>(AO196+AO218)*INDEX(Inflation!$D$126:$BD$166, MATCH($B242, Inflation!$B$126:$B$166,0), MATCH(AO$225, Inflation!$D$125:$BD$125,0))</f>
        <v>26543.291396290329</v>
      </c>
      <c r="AP242" s="90">
        <f>(AP196+AP218)*INDEX(Inflation!$D$126:$BD$166, MATCH($B242, Inflation!$B$126:$B$166,0), MATCH(AP$225, Inflation!$D$125:$BD$125,0))</f>
        <v>27294.98578538945</v>
      </c>
      <c r="AQ242" s="90">
        <f>(AQ196+AQ218)*INDEX(Inflation!$D$126:$BD$166, MATCH($B242, Inflation!$B$126:$B$166,0), MATCH(AQ$225, Inflation!$D$125:$BD$125,0))</f>
        <v>28056.713016241189</v>
      </c>
      <c r="AR242" s="90">
        <f>(AR196+AR218)*INDEX(Inflation!$D$126:$BD$166, MATCH($B242, Inflation!$B$126:$B$166,0), MATCH(AR$225, Inflation!$D$125:$BD$125,0))</f>
        <v>28833.35210430689</v>
      </c>
      <c r="AS242" s="90">
        <f>(AS196+AS218)*INDEX(Inflation!$D$126:$BD$166, MATCH($B242, Inflation!$B$126:$B$166,0), MATCH(AS$225, Inflation!$D$125:$BD$125,0))</f>
        <v>29628.885880878039</v>
      </c>
      <c r="AT242" s="90">
        <f>(AT196+AT218)*INDEX(Inflation!$D$126:$BD$166, MATCH($B242, Inflation!$B$126:$B$166,0), MATCH(AT$225, Inflation!$D$125:$BD$125,0))</f>
        <v>30422.168214254067</v>
      </c>
      <c r="AU242" s="90" t="e">
        <f>(AU196+AU218)*INDEX(Inflation!$D$126:$BD$166, MATCH($B242, Inflation!$B$126:$B$166,0), MATCH(AU$225, Inflation!$D$125:$BD$125,0))</f>
        <v>#N/A</v>
      </c>
      <c r="AV242" s="90" t="e">
        <f>(AV196+AV218)*INDEX(Inflation!$D$126:$BD$166, MATCH($B242, Inflation!$B$126:$B$166,0), MATCH(AV$225, Inflation!$D$125:$BD$125,0))</f>
        <v>#N/A</v>
      </c>
      <c r="AW242" s="90" t="e">
        <f>(AW196+AW218)*INDEX(Inflation!$D$126:$BD$166, MATCH($B242, Inflation!$B$126:$B$166,0), MATCH(AW$225, Inflation!$D$125:$BD$125,0))</f>
        <v>#N/A</v>
      </c>
      <c r="AX242" s="90" t="e">
        <f>(AX196+AX218)*INDEX(Inflation!$D$126:$BD$166, MATCH($B242, Inflation!$B$126:$B$166,0), MATCH(AX$225, Inflation!$D$125:$BD$125,0))</f>
        <v>#N/A</v>
      </c>
      <c r="AY242" s="90" t="e">
        <f>(AY196+AY218)*INDEX(Inflation!$D$126:$BD$166, MATCH($B242, Inflation!$B$126:$B$166,0), MATCH(AY$225, Inflation!$D$125:$BD$125,0))</f>
        <v>#N/A</v>
      </c>
      <c r="AZ242" s="90" t="e">
        <f>(AZ196+AZ218)*INDEX(Inflation!$D$126:$BD$166, MATCH($B242, Inflation!$B$126:$B$166,0), MATCH(AZ$225, Inflation!$D$125:$BD$125,0))</f>
        <v>#N/A</v>
      </c>
      <c r="BA242" s="90" t="e">
        <f>(BA196+BA218)*INDEX(Inflation!$D$126:$BD$166, MATCH($B242, Inflation!$B$126:$B$166,0), MATCH(BA$225, Inflation!$D$125:$BD$125,0))</f>
        <v>#N/A</v>
      </c>
      <c r="BB242" s="90" t="e">
        <f>(BB196+BB218)*INDEX(Inflation!$D$126:$BD$166, MATCH($B242, Inflation!$B$126:$B$166,0), MATCH(BB$225, Inflation!$D$125:$BD$125,0))</f>
        <v>#N/A</v>
      </c>
    </row>
    <row r="243" spans="1:54">
      <c r="B243" s="6" t="s">
        <v>2871</v>
      </c>
      <c r="C243" s="142"/>
      <c r="D243" s="90">
        <f>(D197+D219)*INDEX(Inflation!$D$126:$BD$166, MATCH($B243, Inflation!$B$126:$B$166,0), MATCH(D$225, Inflation!$D$125:$BD$125,0))</f>
        <v>1337.0679476768248</v>
      </c>
      <c r="E243" s="90">
        <f>(E197+E219)*INDEX(Inflation!$D$126:$BD$166, MATCH($B243, Inflation!$B$126:$B$166,0), MATCH(E$225, Inflation!$D$125:$BD$125,0))</f>
        <v>1414.8448853834821</v>
      </c>
      <c r="F243" s="90">
        <f>(F197+F219)*INDEX(Inflation!$D$126:$BD$166, MATCH($B243, Inflation!$B$126:$B$166,0), MATCH(F$225, Inflation!$D$125:$BD$125,0))</f>
        <v>1487.8159800029587</v>
      </c>
      <c r="G243" s="90">
        <f>(G197+G219)*INDEX(Inflation!$D$126:$BD$166, MATCH($B243, Inflation!$B$126:$B$166,0), MATCH(G$225, Inflation!$D$125:$BD$125,0))</f>
        <v>1557.7804020840085</v>
      </c>
      <c r="H243" s="90">
        <f>(H197+H219)*INDEX(Inflation!$D$126:$BD$166, MATCH($B243, Inflation!$B$126:$B$166,0), MATCH(H$225, Inflation!$D$125:$BD$125,0))</f>
        <v>3173.1707886336662</v>
      </c>
      <c r="I243" s="90">
        <f>(I197+I219)*INDEX(Inflation!$D$126:$BD$166, MATCH($B243, Inflation!$B$126:$B$166,0), MATCH(I$225, Inflation!$D$125:$BD$125,0))</f>
        <v>2962.6690237529401</v>
      </c>
      <c r="J243" s="90">
        <f>(J197+J219)*INDEX(Inflation!$D$126:$BD$166, MATCH($B243, Inflation!$B$126:$B$166,0), MATCH(J$225, Inflation!$D$125:$BD$125,0))</f>
        <v>2844.9525809689421</v>
      </c>
      <c r="K243" s="90">
        <f>(K197+K219)*INDEX(Inflation!$D$126:$BD$166, MATCH($B243, Inflation!$B$126:$B$166,0), MATCH(K$225, Inflation!$D$125:$BD$125,0))</f>
        <v>2792.6679393364675</v>
      </c>
      <c r="L243" s="90">
        <f>(L197+L219)*INDEX(Inflation!$D$126:$BD$166, MATCH($B243, Inflation!$B$126:$B$166,0), MATCH(L$225, Inflation!$D$125:$BD$125,0))</f>
        <v>2791.1305812695391</v>
      </c>
      <c r="M243" s="90">
        <f>(M197+M219)*INDEX(Inflation!$D$126:$BD$166, MATCH($B243, Inflation!$B$126:$B$166,0), MATCH(M$225, Inflation!$D$125:$BD$125,0))</f>
        <v>2823.0519680126176</v>
      </c>
      <c r="N243" s="90">
        <f>(N197+N219)*INDEX(Inflation!$D$126:$BD$166, MATCH($B243, Inflation!$B$126:$B$166,0), MATCH(N$225, Inflation!$D$125:$BD$125,0))</f>
        <v>2877.6457019530808</v>
      </c>
      <c r="O243" s="90">
        <f>(O197+O219)*INDEX(Inflation!$D$126:$BD$166, MATCH($B243, Inflation!$B$126:$B$166,0), MATCH(O$225, Inflation!$D$125:$BD$125,0))</f>
        <v>2949.6068608270334</v>
      </c>
      <c r="P243" s="90">
        <f>(P197+P219)*INDEX(Inflation!$D$126:$BD$166, MATCH($B243, Inflation!$B$126:$B$166,0), MATCH(P$225, Inflation!$D$125:$BD$125,0))</f>
        <v>3032.1564574368417</v>
      </c>
      <c r="Q243" s="90">
        <f>(Q197+Q219)*INDEX(Inflation!$D$126:$BD$166, MATCH($B243, Inflation!$B$126:$B$166,0), MATCH(Q$225, Inflation!$D$125:$BD$125,0))</f>
        <v>3122.2496053871082</v>
      </c>
      <c r="R243" s="90">
        <f>(R197+R219)*INDEX(Inflation!$D$126:$BD$166, MATCH($B243, Inflation!$B$126:$B$166,0), MATCH(R$225, Inflation!$D$125:$BD$125,0))</f>
        <v>3218.5742302267186</v>
      </c>
      <c r="S243" s="90">
        <f>(S197+S219)*INDEX(Inflation!$D$126:$BD$166, MATCH($B243, Inflation!$B$126:$B$166,0), MATCH(S$225, Inflation!$D$125:$BD$125,0))</f>
        <v>3319.8485471826261</v>
      </c>
      <c r="T243" s="90">
        <f>(T197+T219)*INDEX(Inflation!$D$126:$BD$166, MATCH($B243, Inflation!$B$126:$B$166,0), MATCH(T$225, Inflation!$D$125:$BD$125,0))</f>
        <v>3424.8977177990587</v>
      </c>
      <c r="U243" s="90">
        <f>(U197+U219)*INDEX(Inflation!$D$126:$BD$166, MATCH($B243, Inflation!$B$126:$B$166,0), MATCH(U$225, Inflation!$D$125:$BD$125,0))</f>
        <v>3533.6895269165907</v>
      </c>
      <c r="V243" s="90">
        <f>(V197+V219)*INDEX(Inflation!$D$126:$BD$166, MATCH($B243, Inflation!$B$126:$B$166,0), MATCH(V$225, Inflation!$D$125:$BD$125,0))</f>
        <v>3647.7426502067469</v>
      </c>
      <c r="W243" s="90">
        <f>(W197+W219)*INDEX(Inflation!$D$126:$BD$166, MATCH($B243, Inflation!$B$126:$B$166,0), MATCH(W$225, Inflation!$D$125:$BD$125,0))</f>
        <v>3764.6549554806938</v>
      </c>
      <c r="X243" s="90">
        <f>(X197+X219)*INDEX(Inflation!$D$126:$BD$166, MATCH($B243, Inflation!$B$126:$B$166,0), MATCH(X$225, Inflation!$D$125:$BD$125,0))</f>
        <v>3883.8694559419596</v>
      </c>
      <c r="Y243" s="90">
        <f>(Y197+Y219)*INDEX(Inflation!$D$126:$BD$166, MATCH($B243, Inflation!$B$126:$B$166,0), MATCH(Y$225, Inflation!$D$125:$BD$125,0))</f>
        <v>4006.1900309406196</v>
      </c>
      <c r="Z243" s="90">
        <f>(Z197+Z219)*INDEX(Inflation!$D$126:$BD$166, MATCH($B243, Inflation!$B$126:$B$166,0), MATCH(Z$225, Inflation!$D$125:$BD$125,0))</f>
        <v>4131.267993589644</v>
      </c>
      <c r="AA243" s="90">
        <f>(AA197+AA219)*INDEX(Inflation!$D$126:$BD$166, MATCH($B243, Inflation!$B$126:$B$166,0), MATCH(AA$225, Inflation!$D$125:$BD$125,0))</f>
        <v>4258.7046742978046</v>
      </c>
      <c r="AB243" s="90">
        <f>(AB197+AB219)*INDEX(Inflation!$D$126:$BD$166, MATCH($B243, Inflation!$B$126:$B$166,0), MATCH(AB$225, Inflation!$D$125:$BD$125,0))</f>
        <v>4388.1997330522136</v>
      </c>
      <c r="AC243" s="90">
        <f>(AC197+AC219)*INDEX(Inflation!$D$126:$BD$166, MATCH($B243, Inflation!$B$126:$B$166,0), MATCH(AC$225, Inflation!$D$125:$BD$125,0))</f>
        <v>4519.9741368887107</v>
      </c>
      <c r="AD243" s="90">
        <f>(AD197+AD219)*INDEX(Inflation!$D$126:$BD$166, MATCH($B243, Inflation!$B$126:$B$166,0), MATCH(AD$225, Inflation!$D$125:$BD$125,0))</f>
        <v>4653.5518544074157</v>
      </c>
      <c r="AE243" s="90">
        <f>(AE197+AE219)*INDEX(Inflation!$D$126:$BD$166, MATCH($B243, Inflation!$B$126:$B$166,0), MATCH(AE$225, Inflation!$D$125:$BD$125,0))</f>
        <v>4788.48196424454</v>
      </c>
      <c r="AF243" s="90">
        <f>(AF197+AF219)*INDEX(Inflation!$D$126:$BD$166, MATCH($B243, Inflation!$B$126:$B$166,0), MATCH(AF$225, Inflation!$D$125:$BD$125,0))</f>
        <v>4924.4174633825032</v>
      </c>
      <c r="AG243" s="90">
        <f>(AG197+AG219)*INDEX(Inflation!$D$126:$BD$166, MATCH($B243, Inflation!$B$126:$B$166,0), MATCH(AG$225, Inflation!$D$125:$BD$125,0))</f>
        <v>5061.4146038939853</v>
      </c>
      <c r="AH243" s="90">
        <f>(AH197+AH219)*INDEX(Inflation!$D$126:$BD$166, MATCH($B243, Inflation!$B$126:$B$166,0), MATCH(AH$225, Inflation!$D$125:$BD$125,0))</f>
        <v>5200.3520746741333</v>
      </c>
      <c r="AI243" s="90">
        <f>(AI197+AI219)*INDEX(Inflation!$D$126:$BD$166, MATCH($B243, Inflation!$B$126:$B$166,0), MATCH(AI$225, Inflation!$D$125:$BD$125,0))</f>
        <v>5341.3420747672662</v>
      </c>
      <c r="AJ243" s="90">
        <f>(AJ197+AJ219)*INDEX(Inflation!$D$126:$BD$166, MATCH($B243, Inflation!$B$126:$B$166,0), MATCH(AJ$225, Inflation!$D$125:$BD$125,0))</f>
        <v>5484.9524194474243</v>
      </c>
      <c r="AK243" s="90">
        <f>(AK197+AK219)*INDEX(Inflation!$D$126:$BD$166, MATCH($B243, Inflation!$B$126:$B$166,0), MATCH(AK$225, Inflation!$D$125:$BD$125,0))</f>
        <v>5630.6254097894207</v>
      </c>
      <c r="AL243" s="90">
        <f>(AL197+AL219)*INDEX(Inflation!$D$126:$BD$166, MATCH($B243, Inflation!$B$126:$B$166,0), MATCH(AL$225, Inflation!$D$125:$BD$125,0))</f>
        <v>5777.425787238325</v>
      </c>
      <c r="AM243" s="90">
        <f>(AM197+AM219)*INDEX(Inflation!$D$126:$BD$166, MATCH($B243, Inflation!$B$126:$B$166,0), MATCH(AM$225, Inflation!$D$125:$BD$125,0))</f>
        <v>5924.7806456611852</v>
      </c>
      <c r="AN243" s="90">
        <f>(AN197+AN219)*INDEX(Inflation!$D$126:$BD$166, MATCH($B243, Inflation!$B$126:$B$166,0), MATCH(AN$225, Inflation!$D$125:$BD$125,0))</f>
        <v>6072.2743023415696</v>
      </c>
      <c r="AO243" s="90">
        <f>(AO197+AO219)*INDEX(Inflation!$D$126:$BD$166, MATCH($B243, Inflation!$B$126:$B$166,0), MATCH(AO$225, Inflation!$D$125:$BD$125,0))</f>
        <v>6219.5449550777203</v>
      </c>
      <c r="AP243" s="90">
        <f>(AP197+AP219)*INDEX(Inflation!$D$126:$BD$166, MATCH($B243, Inflation!$B$126:$B$166,0), MATCH(AP$225, Inflation!$D$125:$BD$125,0))</f>
        <v>6366.2264922151699</v>
      </c>
      <c r="AQ243" s="90">
        <f>(AQ197+AQ219)*INDEX(Inflation!$D$126:$BD$166, MATCH($B243, Inflation!$B$126:$B$166,0), MATCH(AQ$225, Inflation!$D$125:$BD$125,0))</f>
        <v>6513.9431647990677</v>
      </c>
      <c r="AR243" s="90">
        <f>(AR197+AR219)*INDEX(Inflation!$D$126:$BD$166, MATCH($B243, Inflation!$B$126:$B$166,0), MATCH(AR$225, Inflation!$D$125:$BD$125,0))</f>
        <v>6664.3239556423296</v>
      </c>
      <c r="AS243" s="90">
        <f>(AS197+AS219)*INDEX(Inflation!$D$126:$BD$166, MATCH($B243, Inflation!$B$126:$B$166,0), MATCH(AS$225, Inflation!$D$125:$BD$125,0))</f>
        <v>6818.6424732087607</v>
      </c>
      <c r="AT243" s="90">
        <f>(AT197+AT219)*INDEX(Inflation!$D$126:$BD$166, MATCH($B243, Inflation!$B$126:$B$166,0), MATCH(AT$225, Inflation!$D$125:$BD$125,0))</f>
        <v>6969.6295001101471</v>
      </c>
      <c r="AU243" s="90" t="e">
        <f>(AU197+AU219)*INDEX(Inflation!$D$126:$BD$166, MATCH($B243, Inflation!$B$126:$B$166,0), MATCH(AU$225, Inflation!$D$125:$BD$125,0))</f>
        <v>#N/A</v>
      </c>
      <c r="AV243" s="90" t="e">
        <f>(AV197+AV219)*INDEX(Inflation!$D$126:$BD$166, MATCH($B243, Inflation!$B$126:$B$166,0), MATCH(AV$225, Inflation!$D$125:$BD$125,0))</f>
        <v>#N/A</v>
      </c>
      <c r="AW243" s="90" t="e">
        <f>(AW197+AW219)*INDEX(Inflation!$D$126:$BD$166, MATCH($B243, Inflation!$B$126:$B$166,0), MATCH(AW$225, Inflation!$D$125:$BD$125,0))</f>
        <v>#N/A</v>
      </c>
      <c r="AX243" s="90" t="e">
        <f>(AX197+AX219)*INDEX(Inflation!$D$126:$BD$166, MATCH($B243, Inflation!$B$126:$B$166,0), MATCH(AX$225, Inflation!$D$125:$BD$125,0))</f>
        <v>#N/A</v>
      </c>
      <c r="AY243" s="90" t="e">
        <f>(AY197+AY219)*INDEX(Inflation!$D$126:$BD$166, MATCH($B243, Inflation!$B$126:$B$166,0), MATCH(AY$225, Inflation!$D$125:$BD$125,0))</f>
        <v>#N/A</v>
      </c>
      <c r="AZ243" s="90" t="e">
        <f>(AZ197+AZ219)*INDEX(Inflation!$D$126:$BD$166, MATCH($B243, Inflation!$B$126:$B$166,0), MATCH(AZ$225, Inflation!$D$125:$BD$125,0))</f>
        <v>#N/A</v>
      </c>
      <c r="BA243" s="90" t="e">
        <f>(BA197+BA219)*INDEX(Inflation!$D$126:$BD$166, MATCH($B243, Inflation!$B$126:$B$166,0), MATCH(BA$225, Inflation!$D$125:$BD$125,0))</f>
        <v>#N/A</v>
      </c>
      <c r="BB243" s="90" t="e">
        <f>(BB197+BB219)*INDEX(Inflation!$D$126:$BD$166, MATCH($B243, Inflation!$B$126:$B$166,0), MATCH(BB$225, Inflation!$D$125:$BD$125,0))</f>
        <v>#N/A</v>
      </c>
    </row>
    <row r="244" spans="1:54">
      <c r="C244" s="47"/>
    </row>
    <row r="245" spans="1:54" s="9" customFormat="1" ht="15" customHeight="1">
      <c r="B245" s="91" t="s">
        <v>2986</v>
      </c>
      <c r="C245" s="47"/>
      <c r="D245" s="92">
        <f>SUM(D226:D243)</f>
        <v>536954.8714103211</v>
      </c>
      <c r="E245" s="92">
        <f t="shared" ref="E245:AF245" si="157">SUM(E226:E243)</f>
        <v>571085.41989407956</v>
      </c>
      <c r="F245" s="92">
        <f t="shared" si="157"/>
        <v>603628.80632325076</v>
      </c>
      <c r="G245" s="92">
        <f t="shared" si="157"/>
        <v>635298.28805271327</v>
      </c>
      <c r="H245" s="92">
        <f t="shared" si="157"/>
        <v>572546.55418855313</v>
      </c>
      <c r="I245" s="92">
        <f t="shared" si="157"/>
        <v>546266.17094235949</v>
      </c>
      <c r="J245" s="92">
        <f t="shared" si="157"/>
        <v>536139.84774685407</v>
      </c>
      <c r="K245" s="92">
        <f t="shared" si="157"/>
        <v>537660.79798059491</v>
      </c>
      <c r="L245" s="92">
        <f t="shared" si="157"/>
        <v>548487.09040699725</v>
      </c>
      <c r="M245" s="92">
        <f t="shared" si="157"/>
        <v>565712.56704067579</v>
      </c>
      <c r="N245" s="92">
        <f t="shared" si="157"/>
        <v>587531.61830415449</v>
      </c>
      <c r="O245" s="92">
        <f t="shared" si="157"/>
        <v>612801.60992287484</v>
      </c>
      <c r="P245" s="92">
        <f t="shared" si="157"/>
        <v>640634.155551965</v>
      </c>
      <c r="Q245" s="92">
        <f t="shared" si="157"/>
        <v>670532.56049160566</v>
      </c>
      <c r="R245" s="92">
        <f t="shared" si="157"/>
        <v>702308.87121621333</v>
      </c>
      <c r="S245" s="92">
        <f t="shared" si="157"/>
        <v>724894.69971397927</v>
      </c>
      <c r="T245" s="92">
        <f t="shared" si="157"/>
        <v>749509.23549931345</v>
      </c>
      <c r="U245" s="92">
        <f t="shared" si="157"/>
        <v>775871.45854831557</v>
      </c>
      <c r="V245" s="92">
        <f t="shared" si="157"/>
        <v>804089.9737035369</v>
      </c>
      <c r="W245" s="92">
        <f t="shared" si="157"/>
        <v>833570.48925623333</v>
      </c>
      <c r="X245" s="92">
        <f t="shared" si="157"/>
        <v>864120.13472205109</v>
      </c>
      <c r="Y245" s="92">
        <f t="shared" si="157"/>
        <v>895845.70893267042</v>
      </c>
      <c r="Z245" s="92">
        <f t="shared" si="157"/>
        <v>928650.10481740755</v>
      </c>
      <c r="AA245" s="92">
        <f t="shared" si="157"/>
        <v>962447.36644598807</v>
      </c>
      <c r="AB245" s="92">
        <f t="shared" si="157"/>
        <v>997179.02196701826</v>
      </c>
      <c r="AC245" s="92">
        <f t="shared" si="157"/>
        <v>1032893.9441719716</v>
      </c>
      <c r="AD245" s="92">
        <f t="shared" si="157"/>
        <v>1069506.5976395349</v>
      </c>
      <c r="AE245" s="92">
        <f t="shared" si="157"/>
        <v>1106937.4079204567</v>
      </c>
      <c r="AF245" s="92">
        <f t="shared" si="157"/>
        <v>1145124.9741704855</v>
      </c>
      <c r="AG245" s="92">
        <f t="shared" ref="AG245:AP245" si="158">SUM(AG226:AG243)</f>
        <v>1184082.968283528</v>
      </c>
      <c r="AH245" s="92">
        <f t="shared" si="158"/>
        <v>1224004.8942885727</v>
      </c>
      <c r="AI245" s="92">
        <f t="shared" si="158"/>
        <v>1264934.0264410467</v>
      </c>
      <c r="AJ245" s="92">
        <f t="shared" si="158"/>
        <v>1307007.9779784363</v>
      </c>
      <c r="AK245" s="92">
        <f t="shared" si="158"/>
        <v>1350133.135716348</v>
      </c>
      <c r="AL245" s="92">
        <f t="shared" si="158"/>
        <v>1394132.9309294599</v>
      </c>
      <c r="AM245" s="92">
        <f t="shared" si="158"/>
        <v>1438902.0254518951</v>
      </c>
      <c r="AN245" s="92">
        <f t="shared" si="158"/>
        <v>1484363.6157130795</v>
      </c>
      <c r="AO245" s="92">
        <f t="shared" si="158"/>
        <v>1530450.983813609</v>
      </c>
      <c r="AP245" s="92">
        <f t="shared" si="158"/>
        <v>1577095.1547508871</v>
      </c>
      <c r="AQ245" s="92">
        <f t="shared" ref="AQ245:BB245" si="159">SUM(AQ226:AQ243)</f>
        <v>1624663.8392752351</v>
      </c>
      <c r="AR245" s="92">
        <f t="shared" si="159"/>
        <v>1673541.1028567844</v>
      </c>
      <c r="AS245" s="92">
        <f t="shared" si="159"/>
        <v>1724044.5257424719</v>
      </c>
      <c r="AT245" s="92">
        <f t="shared" si="159"/>
        <v>1774581.1047420609</v>
      </c>
      <c r="AU245" s="92" t="e">
        <f t="shared" si="159"/>
        <v>#N/A</v>
      </c>
      <c r="AV245" s="92" t="e">
        <f t="shared" si="159"/>
        <v>#N/A</v>
      </c>
      <c r="AW245" s="92" t="e">
        <f t="shared" si="159"/>
        <v>#N/A</v>
      </c>
      <c r="AX245" s="92" t="e">
        <f t="shared" si="159"/>
        <v>#N/A</v>
      </c>
      <c r="AY245" s="92" t="e">
        <f t="shared" si="159"/>
        <v>#N/A</v>
      </c>
      <c r="AZ245" s="92" t="e">
        <f t="shared" si="159"/>
        <v>#N/A</v>
      </c>
      <c r="BA245" s="92" t="e">
        <f t="shared" si="159"/>
        <v>#N/A</v>
      </c>
      <c r="BB245" s="92" t="e">
        <f t="shared" si="159"/>
        <v>#N/A</v>
      </c>
    </row>
    <row r="246" spans="1:54" s="9" customFormat="1" ht="15" customHeight="1">
      <c r="C246"/>
    </row>
    <row r="247" spans="1:54" s="4" customFormat="1" ht="15" customHeight="1">
      <c r="B247" s="86" t="s">
        <v>180</v>
      </c>
      <c r="C247"/>
      <c r="D247" s="90" t="s">
        <v>181</v>
      </c>
      <c r="E247" s="137">
        <f>E245/D245-1</f>
        <v>6.3563160148103259E-2</v>
      </c>
      <c r="F247" s="137">
        <f t="shared" ref="F247:AF247" si="160">F245/E245-1</f>
        <v>5.698514669698107E-2</v>
      </c>
      <c r="G247" s="137">
        <f t="shared" si="160"/>
        <v>5.2465159710259224E-2</v>
      </c>
      <c r="H247" s="137">
        <f t="shared" si="160"/>
        <v>-9.8775228966071715E-2</v>
      </c>
      <c r="I247" s="137">
        <f t="shared" si="160"/>
        <v>-4.5900867019346148E-2</v>
      </c>
      <c r="J247" s="137">
        <f t="shared" si="160"/>
        <v>-1.853734266216156E-2</v>
      </c>
      <c r="K247" s="137">
        <f t="shared" si="160"/>
        <v>2.8368535562739439E-3</v>
      </c>
      <c r="L247" s="137">
        <f t="shared" si="160"/>
        <v>2.0135915556917849E-2</v>
      </c>
      <c r="M247" s="137">
        <f t="shared" si="160"/>
        <v>3.1405436764057049E-2</v>
      </c>
      <c r="N247" s="137">
        <f t="shared" si="160"/>
        <v>3.8569147186560349E-2</v>
      </c>
      <c r="O247" s="137">
        <f t="shared" si="160"/>
        <v>4.3010436938967445E-2</v>
      </c>
      <c r="P247" s="137">
        <f t="shared" si="160"/>
        <v>4.5418525634410623E-2</v>
      </c>
      <c r="Q247" s="137">
        <f t="shared" si="160"/>
        <v>4.6670013892532003E-2</v>
      </c>
      <c r="R247" s="137">
        <f t="shared" si="160"/>
        <v>4.7389660990229343E-2</v>
      </c>
      <c r="S247" s="137">
        <f t="shared" si="160"/>
        <v>3.2159395137147051E-2</v>
      </c>
      <c r="T247" s="137">
        <f t="shared" si="160"/>
        <v>3.3956015673788587E-2</v>
      </c>
      <c r="U247" s="137">
        <f t="shared" si="160"/>
        <v>3.5172646046769396E-2</v>
      </c>
      <c r="V247" s="137">
        <f t="shared" si="160"/>
        <v>3.6370090488982765E-2</v>
      </c>
      <c r="W247" s="137">
        <f t="shared" si="160"/>
        <v>3.6663205010395661E-2</v>
      </c>
      <c r="X247" s="137">
        <f t="shared" si="160"/>
        <v>3.6649144684903767E-2</v>
      </c>
      <c r="Y247" s="137">
        <f t="shared" si="160"/>
        <v>3.671430966114908E-2</v>
      </c>
      <c r="Z247" s="137">
        <f t="shared" si="160"/>
        <v>3.6618354653750629E-2</v>
      </c>
      <c r="AA247" s="137">
        <f t="shared" si="160"/>
        <v>3.6393967386915582E-2</v>
      </c>
      <c r="AB247" s="137">
        <f t="shared" si="160"/>
        <v>3.6086810283749049E-2</v>
      </c>
      <c r="AC247" s="137">
        <f t="shared" si="160"/>
        <v>3.5815958236368406E-2</v>
      </c>
      <c r="AD247" s="137">
        <f t="shared" si="160"/>
        <v>3.5446672598041129E-2</v>
      </c>
      <c r="AE247" s="137">
        <f t="shared" si="160"/>
        <v>3.4998204184559345E-2</v>
      </c>
      <c r="AF247" s="137">
        <f t="shared" si="160"/>
        <v>3.4498397088024824E-2</v>
      </c>
      <c r="AG247" s="137">
        <f t="shared" ref="AG247" si="161">AG245/AF245-1</f>
        <v>3.4020735720363682E-2</v>
      </c>
      <c r="AH247" s="137">
        <f t="shared" ref="AH247" si="162">AH245/AG245-1</f>
        <v>3.3715480312090262E-2</v>
      </c>
      <c r="AI247" s="137">
        <f t="shared" ref="AI247" si="163">AI245/AH245-1</f>
        <v>3.3438699749859468E-2</v>
      </c>
      <c r="AJ247" s="137">
        <f t="shared" ref="AJ247" si="164">AJ245/AI245-1</f>
        <v>3.3261775442760877E-2</v>
      </c>
      <c r="AK247" s="137">
        <f t="shared" ref="AK247" si="165">AK245/AJ245-1</f>
        <v>3.2995328616596487E-2</v>
      </c>
      <c r="AL247" s="137">
        <f t="shared" ref="AL247" si="166">AL245/AK245-1</f>
        <v>3.2589226980024311E-2</v>
      </c>
      <c r="AM247" s="137">
        <f t="shared" ref="AM247" si="167">AM245/AL245-1</f>
        <v>3.211250055802628E-2</v>
      </c>
      <c r="AN247" s="137">
        <f t="shared" ref="AN247" si="168">AN245/AM245-1</f>
        <v>3.1594639146405257E-2</v>
      </c>
      <c r="AO247" s="137">
        <f t="shared" ref="AO247" si="169">AO245/AN245-1</f>
        <v>3.1048570318391588E-2</v>
      </c>
      <c r="AP247" s="137">
        <f t="shared" ref="AP247" si="170">AP245/AO245-1</f>
        <v>3.0477402694105926E-2</v>
      </c>
      <c r="AQ247" s="137">
        <f t="shared" ref="AQ247" si="171">AQ245/AP245-1</f>
        <v>3.0162215882187482E-2</v>
      </c>
      <c r="AR247" s="137">
        <f t="shared" ref="AR247" si="172">AR245/AQ245-1</f>
        <v>3.008453958287971E-2</v>
      </c>
      <c r="AS247" s="137">
        <f t="shared" ref="AS247" si="173">AS245/AR245-1</f>
        <v>3.0177581416719779E-2</v>
      </c>
      <c r="AT247" s="137">
        <f t="shared" ref="AT247" si="174">AT245/AS245-1</f>
        <v>2.9312803842943103E-2</v>
      </c>
      <c r="AU247" s="137" t="e">
        <f t="shared" ref="AU247" si="175">AU245/AT245-1</f>
        <v>#N/A</v>
      </c>
      <c r="AV247" s="137" t="e">
        <f t="shared" ref="AV247" si="176">AV245/AU245-1</f>
        <v>#N/A</v>
      </c>
      <c r="AW247" s="137" t="e">
        <f t="shared" ref="AW247" si="177">AW245/AV245-1</f>
        <v>#N/A</v>
      </c>
      <c r="AX247" s="137" t="e">
        <f t="shared" ref="AX247" si="178">AX245/AW245-1</f>
        <v>#N/A</v>
      </c>
      <c r="AY247" s="137" t="e">
        <f t="shared" ref="AY247" si="179">AY245/AX245-1</f>
        <v>#N/A</v>
      </c>
      <c r="AZ247" s="137" t="e">
        <f t="shared" ref="AZ247" si="180">AZ245/AY245-1</f>
        <v>#N/A</v>
      </c>
      <c r="BA247" s="137" t="e">
        <f t="shared" ref="BA247" si="181">BA245/AZ245-1</f>
        <v>#N/A</v>
      </c>
      <c r="BB247" s="137" t="e">
        <f t="shared" ref="BB247" si="182">BB245/BA245-1</f>
        <v>#N/A</v>
      </c>
    </row>
    <row r="248" spans="1:54">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row>
    <row r="249" spans="1:54">
      <c r="A249" s="81"/>
      <c r="B249" s="81"/>
      <c r="C249" s="81"/>
      <c r="D249" s="81"/>
      <c r="E249" s="81"/>
    </row>
    <row r="250" spans="1:54">
      <c r="B250" s="81"/>
      <c r="C250" s="81"/>
      <c r="D250" s="81"/>
      <c r="AF250" s="96"/>
    </row>
    <row r="251" spans="1:54">
      <c r="B251" s="81"/>
      <c r="C251" s="81"/>
      <c r="D251" s="81"/>
    </row>
    <row r="252" spans="1:54">
      <c r="B252" s="81"/>
      <c r="C252" s="81"/>
      <c r="D252" s="81"/>
    </row>
    <row r="253" spans="1:54">
      <c r="B253" s="81"/>
      <c r="C253" s="81"/>
      <c r="D253" s="81"/>
    </row>
    <row r="254" spans="1:54">
      <c r="B254" s="81"/>
      <c r="C254" s="81"/>
      <c r="D254" s="81"/>
    </row>
    <row r="255" spans="1:54">
      <c r="B255" s="81"/>
      <c r="C255" s="81"/>
      <c r="D255" s="81"/>
    </row>
    <row r="256" spans="1:54">
      <c r="B256" s="81"/>
      <c r="C256" s="81"/>
      <c r="D256" s="81"/>
    </row>
  </sheetData>
  <pageMargins left="0.7" right="0.7" top="0.75" bottom="0.75" header="0.3" footer="0.3"/>
  <pageSetup paperSize="9" orientation="portrait"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39997558519241921"/>
    <pageSetUpPr autoPageBreaks="0"/>
  </sheetPr>
  <dimension ref="A1:BB258"/>
  <sheetViews>
    <sheetView showGridLines="0" workbookViewId="0"/>
  </sheetViews>
  <sheetFormatPr defaultRowHeight="14.5"/>
  <cols>
    <col min="1" max="1" width="3.08984375" customWidth="1"/>
    <col min="2" max="2" width="21.36328125" customWidth="1"/>
    <col min="3" max="3" width="15" customWidth="1"/>
    <col min="4" max="4" width="17.08984375" customWidth="1"/>
    <col min="5" max="5" width="14.54296875" customWidth="1"/>
    <col min="6" max="6" width="16.08984375" customWidth="1"/>
    <col min="7" max="7" width="14.36328125" customWidth="1"/>
    <col min="8" max="8" width="15" customWidth="1"/>
    <col min="9" max="9" width="14.6328125" customWidth="1"/>
    <col min="10" max="10" width="17.54296875" customWidth="1"/>
    <col min="11" max="11" width="16.54296875" customWidth="1"/>
    <col min="12" max="13" width="14.6328125" customWidth="1"/>
    <col min="14" max="14" width="18.453125" customWidth="1"/>
    <col min="15" max="15" width="18.36328125" customWidth="1"/>
    <col min="16" max="31" width="14.6328125" bestFit="1" customWidth="1"/>
    <col min="32" max="42" width="15.6328125" customWidth="1"/>
    <col min="43" max="54" width="16.36328125" customWidth="1"/>
  </cols>
  <sheetData>
    <row r="1" spans="1:53" s="782" customFormat="1" ht="18.5">
      <c r="A1" s="780" t="s">
        <v>3538</v>
      </c>
    </row>
    <row r="2" spans="1:53" s="782" customFormat="1">
      <c r="A2" s="782" t="s">
        <v>3539</v>
      </c>
    </row>
    <row r="3" spans="1:53" s="782" customFormat="1"/>
    <row r="4" spans="1:53" s="783" customFormat="1"/>
    <row r="5" spans="1:53">
      <c r="B5" s="63"/>
      <c r="C5" s="38"/>
      <c r="D5" s="38"/>
      <c r="E5" s="38"/>
      <c r="F5" s="38"/>
      <c r="G5" s="38"/>
      <c r="H5" s="38"/>
      <c r="I5" s="38"/>
      <c r="J5" s="38"/>
      <c r="K5" s="38"/>
      <c r="L5" s="38"/>
      <c r="M5" s="38"/>
      <c r="N5" s="38"/>
      <c r="O5" s="38"/>
      <c r="P5" s="38"/>
      <c r="Q5" s="38"/>
      <c r="R5" s="38"/>
      <c r="S5" s="38"/>
      <c r="T5" s="38"/>
      <c r="U5" s="38"/>
      <c r="V5" s="38"/>
      <c r="W5" s="38"/>
      <c r="X5" s="38"/>
      <c r="Y5" s="38"/>
      <c r="Z5" s="38"/>
      <c r="AA5" s="38"/>
      <c r="AB5" s="38"/>
      <c r="AC5" s="38"/>
      <c r="AD5" s="38"/>
      <c r="AE5" s="38"/>
    </row>
    <row r="6" spans="1:53" s="588" customFormat="1">
      <c r="A6" s="593" t="s">
        <v>10</v>
      </c>
      <c r="B6" s="639" t="s">
        <v>163</v>
      </c>
      <c r="C6" s="640"/>
      <c r="D6" s="640"/>
      <c r="E6" s="640"/>
      <c r="F6" s="640"/>
      <c r="G6" s="640"/>
      <c r="H6" s="640"/>
      <c r="I6" s="640"/>
      <c r="J6" s="640"/>
      <c r="K6" s="640"/>
      <c r="L6" s="640"/>
      <c r="M6" s="640"/>
      <c r="N6" s="640"/>
      <c r="O6" s="640"/>
      <c r="P6" s="640"/>
      <c r="Q6" s="640"/>
      <c r="R6" s="640"/>
      <c r="S6" s="640"/>
      <c r="T6" s="640"/>
      <c r="U6" s="640"/>
      <c r="V6" s="640"/>
      <c r="W6" s="640"/>
      <c r="X6" s="640"/>
      <c r="Y6" s="640"/>
      <c r="Z6" s="640"/>
      <c r="AA6" s="640"/>
      <c r="AB6" s="640"/>
      <c r="AC6" s="640"/>
      <c r="AD6" s="640"/>
      <c r="AE6" s="640"/>
    </row>
    <row r="7" spans="1:53">
      <c r="B7" s="445" t="s">
        <v>3198</v>
      </c>
      <c r="C7" s="521">
        <f>'Control Assumptions'!C13</f>
        <v>2024</v>
      </c>
      <c r="D7" s="38"/>
      <c r="E7" s="75"/>
      <c r="F7" s="38"/>
      <c r="G7" s="38"/>
      <c r="H7" s="38"/>
      <c r="I7" s="38"/>
      <c r="J7" s="38"/>
      <c r="K7" s="38"/>
      <c r="L7" s="38"/>
      <c r="M7" s="38"/>
      <c r="N7" s="38"/>
      <c r="O7" s="38"/>
      <c r="P7" s="38"/>
      <c r="Q7" s="38"/>
      <c r="R7" s="38"/>
      <c r="S7" s="38"/>
      <c r="T7" s="38"/>
      <c r="U7" s="38"/>
      <c r="V7" s="38"/>
      <c r="W7" s="38"/>
      <c r="X7" s="38"/>
      <c r="Y7" s="38"/>
      <c r="Z7" s="38"/>
      <c r="AA7" s="38"/>
      <c r="AB7" s="38"/>
      <c r="AC7" s="38"/>
      <c r="AD7" s="38"/>
      <c r="AE7" s="38"/>
    </row>
    <row r="8" spans="1:53">
      <c r="C8" s="72"/>
      <c r="D8" s="69"/>
      <c r="E8" s="75"/>
      <c r="F8" s="38"/>
      <c r="G8" s="38"/>
      <c r="H8" s="38"/>
      <c r="I8" s="38"/>
      <c r="J8" s="38"/>
      <c r="K8" s="38"/>
      <c r="L8" s="38"/>
      <c r="M8" s="38"/>
      <c r="N8" s="38"/>
      <c r="O8" s="38"/>
      <c r="P8" s="38"/>
      <c r="Q8" s="38"/>
      <c r="R8" s="38"/>
      <c r="S8" s="38"/>
      <c r="T8" s="38"/>
      <c r="U8" s="38"/>
      <c r="V8" s="38"/>
      <c r="W8" s="38"/>
      <c r="X8" s="38"/>
      <c r="Y8" s="38"/>
      <c r="Z8" s="38"/>
      <c r="AA8" s="38"/>
      <c r="AB8" s="38"/>
      <c r="AC8" s="38"/>
      <c r="AD8" s="38"/>
      <c r="AE8" s="38"/>
    </row>
    <row r="9" spans="1:53" s="4" customFormat="1">
      <c r="B9" s="67"/>
      <c r="C9" s="38"/>
      <c r="D9" s="38"/>
      <c r="E9" s="38"/>
      <c r="F9" s="38"/>
      <c r="G9" s="38"/>
      <c r="H9" s="38"/>
      <c r="I9" s="38"/>
      <c r="J9" s="38"/>
      <c r="K9" s="38"/>
      <c r="L9" s="38"/>
      <c r="M9" s="38"/>
      <c r="N9" s="38"/>
      <c r="O9" s="38"/>
      <c r="P9" s="38"/>
      <c r="Q9" s="38"/>
      <c r="R9" s="38"/>
      <c r="S9" s="38"/>
      <c r="T9" s="38"/>
      <c r="U9" s="38"/>
      <c r="V9" s="38"/>
      <c r="W9" s="38"/>
      <c r="X9" s="38"/>
      <c r="Y9" s="38"/>
      <c r="Z9" s="38"/>
      <c r="AA9" s="38"/>
      <c r="AB9" s="38"/>
      <c r="AC9" s="38"/>
      <c r="AD9" s="38"/>
      <c r="AE9" s="38"/>
    </row>
    <row r="10" spans="1:53" s="4" customFormat="1">
      <c r="C10" s="34">
        <f>'Prevalence projection'!C$21</f>
        <v>2020</v>
      </c>
      <c r="D10" s="34">
        <f>'Prevalence projection'!D$21</f>
        <v>2021</v>
      </c>
      <c r="E10" s="34">
        <f>'Prevalence projection'!E$21</f>
        <v>2022</v>
      </c>
      <c r="F10" s="34">
        <f>'Prevalence projection'!F$21</f>
        <v>2023</v>
      </c>
      <c r="G10" s="34">
        <f>'Prevalence projection'!G$21</f>
        <v>2024</v>
      </c>
      <c r="H10" s="34">
        <f>'Prevalence projection'!H$21</f>
        <v>2025</v>
      </c>
      <c r="I10" s="34">
        <f>'Prevalence projection'!I$21</f>
        <v>2026</v>
      </c>
      <c r="J10" s="34">
        <f>'Prevalence projection'!J$21</f>
        <v>2027</v>
      </c>
      <c r="K10" s="34">
        <f>'Prevalence projection'!K$21</f>
        <v>2028</v>
      </c>
      <c r="L10" s="34">
        <f>'Prevalence projection'!L$21</f>
        <v>2029</v>
      </c>
      <c r="M10" s="34">
        <f>'Prevalence projection'!M$21</f>
        <v>2030</v>
      </c>
      <c r="N10" s="34">
        <f>'Prevalence projection'!N$21</f>
        <v>2031</v>
      </c>
      <c r="O10" s="34">
        <f>'Prevalence projection'!O$21</f>
        <v>2032</v>
      </c>
      <c r="P10" s="34">
        <f>'Prevalence projection'!P$21</f>
        <v>2033</v>
      </c>
      <c r="Q10" s="34">
        <f>'Prevalence projection'!Q$21</f>
        <v>2034</v>
      </c>
      <c r="R10" s="34">
        <f>'Prevalence projection'!R$21</f>
        <v>2035</v>
      </c>
      <c r="S10" s="34">
        <f>'Prevalence projection'!S$21</f>
        <v>2036</v>
      </c>
      <c r="T10" s="34">
        <f>'Prevalence projection'!T$21</f>
        <v>2037</v>
      </c>
      <c r="U10" s="34">
        <f>'Prevalence projection'!U$21</f>
        <v>2038</v>
      </c>
      <c r="V10" s="34">
        <f>'Prevalence projection'!V$21</f>
        <v>2039</v>
      </c>
      <c r="W10" s="34">
        <f>'Prevalence projection'!W$21</f>
        <v>2040</v>
      </c>
      <c r="X10" s="34">
        <f>'Prevalence projection'!X$21</f>
        <v>2041</v>
      </c>
      <c r="Y10" s="34">
        <f>'Prevalence projection'!Y$21</f>
        <v>2042</v>
      </c>
      <c r="Z10" s="34">
        <f>'Prevalence projection'!Z$21</f>
        <v>2043</v>
      </c>
      <c r="AA10" s="34">
        <f>'Prevalence projection'!AA$21</f>
        <v>2044</v>
      </c>
      <c r="AB10" s="34">
        <f>'Prevalence projection'!AB$21</f>
        <v>2045</v>
      </c>
      <c r="AC10" s="34">
        <f>'Prevalence projection'!AC$21</f>
        <v>2046</v>
      </c>
      <c r="AD10" s="34">
        <f>'Prevalence projection'!AD$21</f>
        <v>2047</v>
      </c>
      <c r="AE10" s="34">
        <f>'Prevalence projection'!AE$21</f>
        <v>2048</v>
      </c>
      <c r="AF10" s="34">
        <f>'Prevalence projection'!AF$21</f>
        <v>2049</v>
      </c>
      <c r="AG10" s="34">
        <f>'Prevalence projection'!AG$21</f>
        <v>2050</v>
      </c>
      <c r="AH10" s="34">
        <f>'Prevalence projection'!AH$21</f>
        <v>2051</v>
      </c>
      <c r="AI10" s="34">
        <f>'Prevalence projection'!AI$21</f>
        <v>2052</v>
      </c>
      <c r="AJ10" s="34">
        <f>'Prevalence projection'!AJ$21</f>
        <v>2053</v>
      </c>
      <c r="AK10" s="34">
        <f>'Prevalence projection'!AK$21</f>
        <v>2054</v>
      </c>
      <c r="AL10" s="34">
        <f>'Prevalence projection'!AL$21</f>
        <v>2055</v>
      </c>
      <c r="AM10" s="34">
        <f>'Prevalence projection'!AM$21</f>
        <v>2056</v>
      </c>
      <c r="AN10" s="34">
        <f>'Prevalence projection'!AN$21</f>
        <v>2057</v>
      </c>
      <c r="AO10" s="34">
        <f>'Prevalence projection'!AO$21</f>
        <v>2058</v>
      </c>
      <c r="AP10" s="34">
        <f>'Prevalence projection'!AP$21</f>
        <v>2059</v>
      </c>
      <c r="AQ10" s="34">
        <f>'Prevalence projection'!AQ$21</f>
        <v>2060</v>
      </c>
      <c r="AR10" s="34">
        <f>'Prevalence projection'!AR$21</f>
        <v>2061</v>
      </c>
      <c r="AS10" s="34">
        <f>'Prevalence projection'!AS$21</f>
        <v>2062</v>
      </c>
      <c r="AT10" s="34">
        <f>'Prevalence projection'!AT$21</f>
        <v>2063</v>
      </c>
      <c r="AU10" s="34">
        <f>'Prevalence projection'!AU$21</f>
        <v>2064</v>
      </c>
      <c r="AV10" s="34">
        <f>'Prevalence projection'!AV$21</f>
        <v>2065</v>
      </c>
      <c r="AW10" s="34">
        <f>'Prevalence projection'!AW$21</f>
        <v>2066</v>
      </c>
      <c r="AX10" s="34">
        <f>'Prevalence projection'!AX$21</f>
        <v>2067</v>
      </c>
      <c r="AY10" s="34">
        <f>'Prevalence projection'!AY$21</f>
        <v>2068</v>
      </c>
      <c r="AZ10" s="34">
        <f>'Prevalence projection'!AZ$21</f>
        <v>2069</v>
      </c>
      <c r="BA10" s="34">
        <f>'Prevalence projection'!BA$21</f>
        <v>2070</v>
      </c>
    </row>
    <row r="11" spans="1:53" s="4" customFormat="1">
      <c r="B11" s="12" t="s">
        <v>2519</v>
      </c>
      <c r="C11" s="39">
        <f>'Prevalence projection INT'!C37</f>
        <v>283.5</v>
      </c>
      <c r="D11" s="39">
        <f>'Prevalence projection INT'!D37</f>
        <v>293.19015912843923</v>
      </c>
      <c r="E11" s="39">
        <f>'Prevalence projection INT'!E37</f>
        <v>301.48374143342193</v>
      </c>
      <c r="F11" s="39">
        <f>'Prevalence projection INT'!F37</f>
        <v>308.83682243526221</v>
      </c>
      <c r="G11" s="39">
        <f>'Prevalence projection INT'!G37</f>
        <v>315.66336153104555</v>
      </c>
      <c r="H11" s="39">
        <f>'Prevalence projection INT'!H37</f>
        <v>280.33856384346745</v>
      </c>
      <c r="I11" s="39">
        <f>'Prevalence projection INT'!I37</f>
        <v>259.63630449965746</v>
      </c>
      <c r="J11" s="39">
        <f>'Prevalence projection INT'!J37</f>
        <v>248.14148252763499</v>
      </c>
      <c r="K11" s="39">
        <f>'Prevalence projection INT'!K37</f>
        <v>242.85939581547882</v>
      </c>
      <c r="L11" s="39">
        <f>'Prevalence projection INT'!L37</f>
        <v>241.2153991664303</v>
      </c>
      <c r="M11" s="39">
        <f>'Prevalence projection INT'!M37</f>
        <v>241.71855154653568</v>
      </c>
      <c r="N11" s="39">
        <f>'Prevalence projection INT'!N37</f>
        <v>243.66081825644366</v>
      </c>
      <c r="O11" s="39">
        <f>'Prevalence projection INT'!O37</f>
        <v>246.25395226781214</v>
      </c>
      <c r="P11" s="39">
        <f>'Prevalence projection INT'!P37</f>
        <v>249.17780539158161</v>
      </c>
      <c r="Q11" s="39">
        <f>'Prevalence projection INT'!Q37</f>
        <v>252.31434755734173</v>
      </c>
      <c r="R11" s="39">
        <f>'Prevalence projection INT'!R37</f>
        <v>255.56074741837355</v>
      </c>
      <c r="S11" s="39">
        <f>'Prevalence projection INT'!S37</f>
        <v>258.83478091381068</v>
      </c>
      <c r="T11" s="39">
        <f>'Prevalence projection INT'!T37</f>
        <v>262.14679438231275</v>
      </c>
      <c r="U11" s="39">
        <f>'Prevalence projection INT'!U37</f>
        <v>265.61958437207431</v>
      </c>
      <c r="V11" s="39">
        <f>'Prevalence projection INT'!V37</f>
        <v>269.04620892921093</v>
      </c>
      <c r="W11" s="39">
        <f>'Prevalence projection INT'!W37</f>
        <v>272.39089844636584</v>
      </c>
      <c r="X11" s="39">
        <f>'Prevalence projection INT'!X37</f>
        <v>275.73080174212112</v>
      </c>
      <c r="Y11" s="39">
        <f>'Prevalence projection INT'!Y37</f>
        <v>279.02256167212551</v>
      </c>
      <c r="Z11" s="39">
        <f>'Prevalence projection INT'!Z37</f>
        <v>282.23751089696094</v>
      </c>
      <c r="AA11" s="39">
        <f>'Prevalence projection INT'!AA37</f>
        <v>285.3583802282584</v>
      </c>
      <c r="AB11" s="39">
        <f>'Prevalence projection INT'!AB37</f>
        <v>288.40870310516499</v>
      </c>
      <c r="AC11" s="39">
        <f>'Prevalence projection INT'!AC37</f>
        <v>291.3522635596687</v>
      </c>
      <c r="AD11" s="39">
        <f>'Prevalence projection INT'!AD37</f>
        <v>294.15882468483863</v>
      </c>
      <c r="AE11" s="39">
        <f>'Prevalence projection INT'!AE37</f>
        <v>296.80959997325209</v>
      </c>
      <c r="AF11" s="39">
        <f>'Prevalence projection INT'!AF37</f>
        <v>299.31443210254628</v>
      </c>
      <c r="AG11" s="39">
        <f>'Prevalence projection INT'!AG37</f>
        <v>301.73564106612992</v>
      </c>
      <c r="AH11" s="39">
        <f>'Prevalence projection INT'!AH37</f>
        <v>304.08051005093057</v>
      </c>
      <c r="AI11" s="39">
        <f>'Prevalence projection INT'!AI37</f>
        <v>306.38535542126493</v>
      </c>
      <c r="AJ11" s="39">
        <f>'Prevalence projection INT'!AJ37</f>
        <v>308.61577956841728</v>
      </c>
      <c r="AK11" s="39">
        <f>'Prevalence projection INT'!AK37</f>
        <v>310.71278508482129</v>
      </c>
      <c r="AL11" s="39">
        <f>'Prevalence projection INT'!AL37</f>
        <v>312.64669120122744</v>
      </c>
      <c r="AM11" s="39">
        <f>'Prevalence projection INT'!AM37</f>
        <v>314.39476692357863</v>
      </c>
      <c r="AN11" s="39">
        <f>'Prevalence projection INT'!AN37</f>
        <v>315.94436957924216</v>
      </c>
      <c r="AO11" s="39">
        <f>'Prevalence projection INT'!AO37</f>
        <v>317.28599657027979</v>
      </c>
      <c r="AP11" s="39">
        <f>'Prevalence projection INT'!AP37</f>
        <v>318.52261413525241</v>
      </c>
      <c r="AQ11" s="39">
        <f>'Prevalence projection INT'!AQ37</f>
        <v>319.7437107876795</v>
      </c>
      <c r="AR11" s="39">
        <f>'Prevalence projection INT'!AR37</f>
        <v>321.01013321626891</v>
      </c>
      <c r="AS11" s="39">
        <f>'Prevalence projection INT'!AS37</f>
        <v>321.9414313650617</v>
      </c>
      <c r="AT11" s="39">
        <f>'Prevalence projection INT'!AT37</f>
        <v>322.65934585772288</v>
      </c>
      <c r="AU11" s="39">
        <f>'Prevalence projection INT'!AU37</f>
        <v>323.24155767201529</v>
      </c>
      <c r="AV11" s="39">
        <f>'Prevalence projection INT'!AV37</f>
        <v>323.48740182815959</v>
      </c>
      <c r="AW11" s="39">
        <f>'Prevalence projection INT'!AW37</f>
        <v>323.55379416343874</v>
      </c>
      <c r="AX11" s="39">
        <f>'Prevalence projection INT'!AX37</f>
        <v>323.53041979742477</v>
      </c>
      <c r="AY11" s="39">
        <f>'Prevalence projection INT'!AY37</f>
        <v>323.4674070314328</v>
      </c>
      <c r="AZ11" s="39">
        <f>'Prevalence projection INT'!AZ37</f>
        <v>323.39181592901178</v>
      </c>
      <c r="BA11" s="39">
        <f>'Prevalence projection INT'!BA37</f>
        <v>323.31743950666225</v>
      </c>
    </row>
    <row r="12" spans="1:53" s="4" customFormat="1">
      <c r="B12" s="12" t="s">
        <v>97</v>
      </c>
      <c r="C12" s="39">
        <f>'Prevalence projection INT'!C38</f>
        <v>133.245</v>
      </c>
      <c r="D12" s="39">
        <f>'Prevalence projection INT'!D38</f>
        <v>137.79937479036644</v>
      </c>
      <c r="E12" s="39">
        <f>'Prevalence projection INT'!E38</f>
        <v>141.69735847370831</v>
      </c>
      <c r="F12" s="39">
        <f>'Prevalence projection INT'!F38</f>
        <v>145.15330654457324</v>
      </c>
      <c r="G12" s="39">
        <f>'Prevalence projection INT'!G38</f>
        <v>190.2995171814749</v>
      </c>
      <c r="H12" s="39">
        <f>'Prevalence projection INT'!H38</f>
        <v>169.00375478486791</v>
      </c>
      <c r="I12" s="39">
        <f>'Prevalence projection INT'!I38</f>
        <v>156.52327577525293</v>
      </c>
      <c r="J12" s="39">
        <f>'Prevalence projection INT'!J38</f>
        <v>149.59355462943111</v>
      </c>
      <c r="K12" s="39">
        <f>'Prevalence projection INT'!K38</f>
        <v>146.4092175364006</v>
      </c>
      <c r="L12" s="39">
        <f>'Prevalence projection INT'!L38</f>
        <v>145.41812447116655</v>
      </c>
      <c r="M12" s="39">
        <f>'Prevalence projection INT'!M38</f>
        <v>145.72145284775848</v>
      </c>
      <c r="N12" s="39">
        <f>'Prevalence projection INT'!N38</f>
        <v>146.89235977639419</v>
      </c>
      <c r="O12" s="39">
        <f>'Prevalence projection INT'!O38</f>
        <v>148.45564589220066</v>
      </c>
      <c r="P12" s="39">
        <f>'Prevalence projection INT'!P38</f>
        <v>150.2183079732992</v>
      </c>
      <c r="Q12" s="39">
        <f>'Prevalence projection INT'!Q38</f>
        <v>152.10919089638682</v>
      </c>
      <c r="R12" s="39">
        <f>'Prevalence projection INT'!R38</f>
        <v>154.06630217827885</v>
      </c>
      <c r="S12" s="39">
        <f>'Prevalence projection INT'!S38</f>
        <v>156.04007255947141</v>
      </c>
      <c r="T12" s="39">
        <f>'Prevalence projection INT'!T38</f>
        <v>158.0367393911794</v>
      </c>
      <c r="U12" s="39">
        <f>'Prevalence projection INT'!U38</f>
        <v>160.13033129591901</v>
      </c>
      <c r="V12" s="39">
        <f>'Prevalence projection INT'!V38</f>
        <v>162.19609209762405</v>
      </c>
      <c r="W12" s="39">
        <f>'Prevalence projection INT'!W38</f>
        <v>164.21245787776834</v>
      </c>
      <c r="X12" s="39">
        <f>'Prevalence projection INT'!X38</f>
        <v>166.22593825614459</v>
      </c>
      <c r="Y12" s="39">
        <f>'Prevalence projection INT'!Y38</f>
        <v>168.21039512284861</v>
      </c>
      <c r="Z12" s="39">
        <f>'Prevalence projection INT'!Z38</f>
        <v>170.148546203423</v>
      </c>
      <c r="AA12" s="39">
        <f>'Prevalence projection INT'!AA38</f>
        <v>172.0299806659207</v>
      </c>
      <c r="AB12" s="39">
        <f>'Prevalence projection INT'!AB38</f>
        <v>173.86888578277521</v>
      </c>
      <c r="AC12" s="39">
        <f>'Prevalence projection INT'!AC38</f>
        <v>175.64342854430961</v>
      </c>
      <c r="AD12" s="39">
        <f>'Prevalence projection INT'!AD38</f>
        <v>177.33538045304454</v>
      </c>
      <c r="AE12" s="39">
        <f>'Prevalence projection INT'!AE38</f>
        <v>178.93341595230237</v>
      </c>
      <c r="AF12" s="39">
        <f>'Prevalence projection INT'!AF38</f>
        <v>180.4434687582833</v>
      </c>
      <c r="AG12" s="39">
        <f>'Prevalence projection INT'!AG38</f>
        <v>181.90310884616252</v>
      </c>
      <c r="AH12" s="39">
        <f>'Prevalence projection INT'!AH38</f>
        <v>183.31672692808709</v>
      </c>
      <c r="AI12" s="39">
        <f>'Prevalence projection INT'!AI38</f>
        <v>184.70621653823764</v>
      </c>
      <c r="AJ12" s="39">
        <f>'Prevalence projection INT'!AJ38</f>
        <v>186.05084087555167</v>
      </c>
      <c r="AK12" s="39">
        <f>'Prevalence projection INT'!AK38</f>
        <v>187.31503300530355</v>
      </c>
      <c r="AL12" s="39">
        <f>'Prevalence projection INT'!AL38</f>
        <v>188.48089970089151</v>
      </c>
      <c r="AM12" s="39">
        <f>'Prevalence projection INT'!AM38</f>
        <v>189.53473744863209</v>
      </c>
      <c r="AN12" s="39">
        <f>'Prevalence projection INT'!AN38</f>
        <v>190.46892453884621</v>
      </c>
      <c r="AO12" s="39">
        <f>'Prevalence projection INT'!AO38</f>
        <v>191.27773227438377</v>
      </c>
      <c r="AP12" s="39">
        <f>'Prevalence projection INT'!AP38</f>
        <v>192.02323445877101</v>
      </c>
      <c r="AQ12" s="39">
        <f>'Prevalence projection INT'!AQ38</f>
        <v>192.75937976959113</v>
      </c>
      <c r="AR12" s="39">
        <f>'Prevalence projection INT'!AR38</f>
        <v>193.52284999160057</v>
      </c>
      <c r="AS12" s="39">
        <f>'Prevalence projection INT'!AS38</f>
        <v>194.08428856720113</v>
      </c>
      <c r="AT12" s="39">
        <f>'Prevalence projection INT'!AT38</f>
        <v>194.51708754858549</v>
      </c>
      <c r="AU12" s="39">
        <f>'Prevalence projection INT'!AU38</f>
        <v>194.86807737084365</v>
      </c>
      <c r="AV12" s="39">
        <f>'Prevalence projection INT'!AV38</f>
        <v>195.01628596872857</v>
      </c>
      <c r="AW12" s="39">
        <f>'Prevalence projection INT'!AW38</f>
        <v>195.05631097919189</v>
      </c>
      <c r="AX12" s="39">
        <f>'Prevalence projection INT'!AX38</f>
        <v>195.04221960493388</v>
      </c>
      <c r="AY12" s="39">
        <f>'Prevalence projection INT'!AY38</f>
        <v>195.00423198772552</v>
      </c>
      <c r="AZ12" s="39">
        <f>'Prevalence projection INT'!AZ38</f>
        <v>194.95866144629758</v>
      </c>
      <c r="BA12" s="39">
        <f>'Prevalence projection INT'!BA38</f>
        <v>194.91382318190682</v>
      </c>
    </row>
    <row r="13" spans="1:53" s="4" customFormat="1">
      <c r="B13" s="12" t="s">
        <v>98</v>
      </c>
      <c r="C13" s="39">
        <f>'Prevalence projection INT'!C39</f>
        <v>150.255</v>
      </c>
      <c r="D13" s="39">
        <f>'Prevalence projection INT'!D39</f>
        <v>155.39078433807279</v>
      </c>
      <c r="E13" s="39">
        <f>'Prevalence projection INT'!E39</f>
        <v>159.78638295971362</v>
      </c>
      <c r="F13" s="39">
        <f>'Prevalence projection INT'!F39</f>
        <v>163.68351589068897</v>
      </c>
      <c r="G13" s="39">
        <f>'Prevalence projection INT'!G39</f>
        <v>125.36384434957066</v>
      </c>
      <c r="H13" s="39">
        <f>'Prevalence projection INT'!H39</f>
        <v>111.33480905859955</v>
      </c>
      <c r="I13" s="39">
        <f>'Prevalence projection INT'!I39</f>
        <v>103.11302872440453</v>
      </c>
      <c r="J13" s="39">
        <f>'Prevalence projection INT'!J39</f>
        <v>98.547927898203881</v>
      </c>
      <c r="K13" s="39">
        <f>'Prevalence projection INT'!K39</f>
        <v>96.450178279078216</v>
      </c>
      <c r="L13" s="39">
        <f>'Prevalence projection INT'!L39</f>
        <v>95.797274695263752</v>
      </c>
      <c r="M13" s="39">
        <f>'Prevalence projection INT'!M39</f>
        <v>95.997098698777194</v>
      </c>
      <c r="N13" s="39">
        <f>'Prevalence projection INT'!N39</f>
        <v>96.768458480049475</v>
      </c>
      <c r="O13" s="39">
        <f>'Prevalence projection INT'!O39</f>
        <v>97.798306375611475</v>
      </c>
      <c r="P13" s="39">
        <f>'Prevalence projection INT'!P39</f>
        <v>98.95949741828241</v>
      </c>
      <c r="Q13" s="39">
        <f>'Prevalence projection INT'!Q39</f>
        <v>100.20515666095491</v>
      </c>
      <c r="R13" s="39">
        <f>'Prevalence projection INT'!R39</f>
        <v>101.49444524009471</v>
      </c>
      <c r="S13" s="39">
        <f>'Prevalence projection INT'!S39</f>
        <v>102.79470835433926</v>
      </c>
      <c r="T13" s="39">
        <f>'Prevalence projection INT'!T39</f>
        <v>104.11005499113335</v>
      </c>
      <c r="U13" s="39">
        <f>'Prevalence projection INT'!U39</f>
        <v>105.48925307615531</v>
      </c>
      <c r="V13" s="39">
        <f>'Prevalence projection INT'!V39</f>
        <v>106.85011683158689</v>
      </c>
      <c r="W13" s="39">
        <f>'Prevalence projection INT'!W39</f>
        <v>108.17844056859749</v>
      </c>
      <c r="X13" s="39">
        <f>'Prevalence projection INT'!X39</f>
        <v>109.50486348597653</v>
      </c>
      <c r="Y13" s="39">
        <f>'Prevalence projection INT'!Y39</f>
        <v>110.8121665492769</v>
      </c>
      <c r="Z13" s="39">
        <f>'Prevalence projection INT'!Z39</f>
        <v>112.08896469353795</v>
      </c>
      <c r="AA13" s="39">
        <f>'Prevalence projection INT'!AA39</f>
        <v>113.32839956233769</v>
      </c>
      <c r="AB13" s="39">
        <f>'Prevalence projection INT'!AB39</f>
        <v>114.53981732238978</v>
      </c>
      <c r="AC13" s="39">
        <f>'Prevalence projection INT'!AC39</f>
        <v>115.70883501535909</v>
      </c>
      <c r="AD13" s="39">
        <f>'Prevalence projection INT'!AD39</f>
        <v>116.8234442317941</v>
      </c>
      <c r="AE13" s="39">
        <f>'Prevalence projection INT'!AE39</f>
        <v>117.87618402094972</v>
      </c>
      <c r="AF13" s="39">
        <f>'Prevalence projection INT'!AF39</f>
        <v>118.87096334426298</v>
      </c>
      <c r="AG13" s="39">
        <f>'Prevalence projection INT'!AG39</f>
        <v>119.83253221996739</v>
      </c>
      <c r="AH13" s="39">
        <f>'Prevalence projection INT'!AH39</f>
        <v>120.76378312284348</v>
      </c>
      <c r="AI13" s="39">
        <f>'Prevalence projection INT'!AI39</f>
        <v>121.67913888302729</v>
      </c>
      <c r="AJ13" s="39">
        <f>'Prevalence projection INT'!AJ39</f>
        <v>122.56493869286561</v>
      </c>
      <c r="AK13" s="39">
        <f>'Prevalence projection INT'!AK39</f>
        <v>123.39775207951774</v>
      </c>
      <c r="AL13" s="39">
        <f>'Prevalence projection INT'!AL39</f>
        <v>124.16579150033593</v>
      </c>
      <c r="AM13" s="39">
        <f>'Prevalence projection INT'!AM39</f>
        <v>124.86002947494654</v>
      </c>
      <c r="AN13" s="39">
        <f>'Prevalence projection INT'!AN39</f>
        <v>125.47544504039595</v>
      </c>
      <c r="AO13" s="39">
        <f>'Prevalence projection INT'!AO39</f>
        <v>126.00826429589603</v>
      </c>
      <c r="AP13" s="39">
        <f>'Prevalence projection INT'!AP39</f>
        <v>126.4993796764814</v>
      </c>
      <c r="AQ13" s="39">
        <f>'Prevalence projection INT'!AQ39</f>
        <v>126.98433101808837</v>
      </c>
      <c r="AR13" s="39">
        <f>'Prevalence projection INT'!AR39</f>
        <v>127.48728322466835</v>
      </c>
      <c r="AS13" s="39">
        <f>'Prevalence projection INT'!AS39</f>
        <v>127.85714279786058</v>
      </c>
      <c r="AT13" s="39">
        <f>'Prevalence projection INT'!AT39</f>
        <v>128.14225830913739</v>
      </c>
      <c r="AU13" s="39">
        <f>'Prevalence projection INT'!AU39</f>
        <v>128.37348030117164</v>
      </c>
      <c r="AV13" s="39">
        <f>'Prevalence projection INT'!AV39</f>
        <v>128.47111585943102</v>
      </c>
      <c r="AW13" s="39">
        <f>'Prevalence projection INT'!AW39</f>
        <v>128.49748318424685</v>
      </c>
      <c r="AX13" s="39">
        <f>'Prevalence projection INT'!AX39</f>
        <v>128.48820019249089</v>
      </c>
      <c r="AY13" s="39">
        <f>'Prevalence projection INT'!AY39</f>
        <v>128.46317504370728</v>
      </c>
      <c r="AZ13" s="39">
        <f>'Prevalence projection INT'!AZ39</f>
        <v>128.4331544827142</v>
      </c>
      <c r="BA13" s="39">
        <f>'Prevalence projection INT'!BA39</f>
        <v>128.40361632475543</v>
      </c>
    </row>
    <row r="14" spans="1:53" s="4" customFormat="1">
      <c r="C14" s="75">
        <f>C12/C11</f>
        <v>0.47000000000000003</v>
      </c>
      <c r="D14" s="75">
        <f t="shared" ref="D14:AE14" si="0">D12/D11</f>
        <v>0.47000000000000003</v>
      </c>
      <c r="E14" s="75">
        <f t="shared" si="0"/>
        <v>0.47000000000000003</v>
      </c>
      <c r="F14" s="75">
        <f t="shared" si="0"/>
        <v>0.47000000000000003</v>
      </c>
      <c r="G14" s="75">
        <f t="shared" si="0"/>
        <v>0.6028558913472728</v>
      </c>
      <c r="H14" s="75">
        <f t="shared" si="0"/>
        <v>0.6028558913472728</v>
      </c>
      <c r="I14" s="75">
        <f t="shared" si="0"/>
        <v>0.6028558913472728</v>
      </c>
      <c r="J14" s="75">
        <f t="shared" si="0"/>
        <v>0.6028558913472728</v>
      </c>
      <c r="K14" s="75">
        <f t="shared" si="0"/>
        <v>0.60285589134727269</v>
      </c>
      <c r="L14" s="75">
        <f t="shared" si="0"/>
        <v>0.6028558913472728</v>
      </c>
      <c r="M14" s="75">
        <f t="shared" si="0"/>
        <v>0.6028558913472728</v>
      </c>
      <c r="N14" s="75">
        <f t="shared" si="0"/>
        <v>0.6028558913472728</v>
      </c>
      <c r="O14" s="75">
        <f t="shared" si="0"/>
        <v>0.6028558913472728</v>
      </c>
      <c r="P14" s="75">
        <f t="shared" si="0"/>
        <v>0.6028558913472728</v>
      </c>
      <c r="Q14" s="75">
        <f t="shared" si="0"/>
        <v>0.6028558913472728</v>
      </c>
      <c r="R14" s="75">
        <f t="shared" si="0"/>
        <v>0.6028558913472728</v>
      </c>
      <c r="S14" s="75">
        <f t="shared" si="0"/>
        <v>0.6028558913472728</v>
      </c>
      <c r="T14" s="75">
        <f t="shared" si="0"/>
        <v>0.6028558913472728</v>
      </c>
      <c r="U14" s="75">
        <f t="shared" si="0"/>
        <v>0.6028558913472728</v>
      </c>
      <c r="V14" s="75">
        <f t="shared" si="0"/>
        <v>0.6028558913472728</v>
      </c>
      <c r="W14" s="75">
        <f t="shared" si="0"/>
        <v>0.6028558913472728</v>
      </c>
      <c r="X14" s="75">
        <f t="shared" si="0"/>
        <v>0.6028558913472728</v>
      </c>
      <c r="Y14" s="75">
        <f t="shared" si="0"/>
        <v>0.6028558913472728</v>
      </c>
      <c r="Z14" s="75">
        <f t="shared" si="0"/>
        <v>0.6028558913472728</v>
      </c>
      <c r="AA14" s="75">
        <f t="shared" si="0"/>
        <v>0.6028558913472728</v>
      </c>
      <c r="AB14" s="75">
        <f t="shared" si="0"/>
        <v>0.6028558913472728</v>
      </c>
      <c r="AC14" s="75">
        <f t="shared" si="0"/>
        <v>0.6028558913472728</v>
      </c>
      <c r="AD14" s="75">
        <f t="shared" si="0"/>
        <v>0.6028558913472728</v>
      </c>
      <c r="AE14" s="75">
        <f t="shared" si="0"/>
        <v>0.6028558913472728</v>
      </c>
      <c r="AF14" s="75">
        <f t="shared" ref="AF14:AO14" si="1">AF12/AF11</f>
        <v>0.6028558913472728</v>
      </c>
      <c r="AG14" s="75">
        <f t="shared" si="1"/>
        <v>0.6028558913472728</v>
      </c>
      <c r="AH14" s="75">
        <f t="shared" si="1"/>
        <v>0.6028558913472728</v>
      </c>
      <c r="AI14" s="75">
        <f t="shared" si="1"/>
        <v>0.6028558913472728</v>
      </c>
      <c r="AJ14" s="75">
        <f t="shared" si="1"/>
        <v>0.6028558913472728</v>
      </c>
      <c r="AK14" s="75">
        <f t="shared" si="1"/>
        <v>0.6028558913472728</v>
      </c>
      <c r="AL14" s="75">
        <f t="shared" si="1"/>
        <v>0.6028558913472728</v>
      </c>
      <c r="AM14" s="75">
        <f t="shared" si="1"/>
        <v>0.6028558913472728</v>
      </c>
      <c r="AN14" s="75">
        <f t="shared" si="1"/>
        <v>0.6028558913472728</v>
      </c>
      <c r="AO14" s="75">
        <f t="shared" si="1"/>
        <v>0.6028558913472728</v>
      </c>
      <c r="AP14" s="75">
        <f t="shared" ref="AP14:AZ14" si="2">AP12/AP11</f>
        <v>0.6028558913472728</v>
      </c>
      <c r="AQ14" s="75">
        <f t="shared" si="2"/>
        <v>0.6028558913472728</v>
      </c>
      <c r="AR14" s="75">
        <f t="shared" si="2"/>
        <v>0.6028558913472728</v>
      </c>
      <c r="AS14" s="75">
        <f t="shared" si="2"/>
        <v>0.6028558913472728</v>
      </c>
      <c r="AT14" s="75">
        <f t="shared" si="2"/>
        <v>0.6028558913472728</v>
      </c>
      <c r="AU14" s="75">
        <f t="shared" si="2"/>
        <v>0.6028558913472728</v>
      </c>
      <c r="AV14" s="75">
        <f t="shared" si="2"/>
        <v>0.6028558913472728</v>
      </c>
      <c r="AW14" s="75">
        <f t="shared" si="2"/>
        <v>0.6028558913472728</v>
      </c>
      <c r="AX14" s="75">
        <f t="shared" si="2"/>
        <v>0.6028558913472728</v>
      </c>
      <c r="AY14" s="75">
        <f t="shared" si="2"/>
        <v>0.6028558913472728</v>
      </c>
      <c r="AZ14" s="75">
        <f t="shared" si="2"/>
        <v>0.6028558913472728</v>
      </c>
      <c r="BA14" s="75">
        <f t="shared" ref="BA14" si="3">BA12/BA11</f>
        <v>0.6028558913472728</v>
      </c>
    </row>
    <row r="15" spans="1:53" s="4" customFormat="1">
      <c r="C15" s="75"/>
      <c r="D15" s="75"/>
      <c r="E15" s="75"/>
      <c r="F15" s="75"/>
      <c r="G15" s="75"/>
      <c r="H15" s="75"/>
      <c r="I15" s="75"/>
      <c r="J15" s="75"/>
      <c r="K15" s="75"/>
      <c r="L15" s="75"/>
      <c r="M15" s="75"/>
      <c r="N15" s="75"/>
      <c r="O15" s="75"/>
      <c r="P15" s="75"/>
      <c r="Q15" s="75"/>
      <c r="R15" s="75"/>
      <c r="S15" s="75"/>
      <c r="T15" s="75"/>
      <c r="U15" s="75"/>
      <c r="V15" s="75"/>
      <c r="W15" s="75"/>
      <c r="X15" s="75"/>
      <c r="Y15" s="75"/>
      <c r="Z15" s="75"/>
      <c r="AA15" s="75"/>
      <c r="AB15" s="75"/>
      <c r="AC15" s="75"/>
      <c r="AD15" s="75"/>
      <c r="AE15" s="75"/>
    </row>
    <row r="16" spans="1:53" ht="21.65" customHeight="1">
      <c r="B16" s="65"/>
      <c r="C16" s="59" t="s">
        <v>152</v>
      </c>
      <c r="D16" s="98" t="s">
        <v>153</v>
      </c>
      <c r="E16" s="75"/>
      <c r="G16" s="38"/>
      <c r="H16" s="38"/>
      <c r="I16" s="73"/>
      <c r="J16" s="74"/>
      <c r="K16" s="38"/>
      <c r="L16" s="38"/>
      <c r="M16" s="38"/>
      <c r="N16" s="38"/>
      <c r="O16" s="38"/>
      <c r="P16" s="38"/>
      <c r="Q16" s="38"/>
      <c r="R16" s="38"/>
      <c r="S16" s="38"/>
      <c r="T16" s="38"/>
      <c r="U16" s="38"/>
      <c r="V16" s="38"/>
      <c r="W16" s="38"/>
      <c r="X16" s="38"/>
      <c r="Y16" s="38"/>
      <c r="Z16" s="38"/>
      <c r="AA16" s="38"/>
      <c r="AB16" s="38"/>
      <c r="AC16" s="38"/>
      <c r="AD16" s="38"/>
      <c r="AE16" s="38"/>
    </row>
    <row r="17" spans="1:31">
      <c r="B17" s="12" t="s">
        <v>2518</v>
      </c>
      <c r="C17" s="24">
        <f>Epidemiology!C104</f>
        <v>0.47</v>
      </c>
      <c r="D17" s="24">
        <f>1-C17</f>
        <v>0.53</v>
      </c>
      <c r="E17" s="75"/>
      <c r="G17" s="38"/>
      <c r="H17" s="71"/>
      <c r="I17" s="71"/>
      <c r="J17" s="70"/>
      <c r="K17" s="38"/>
      <c r="L17" s="38"/>
      <c r="M17" s="38"/>
      <c r="N17" s="38"/>
      <c r="O17" s="38"/>
      <c r="P17" s="38"/>
      <c r="Q17" s="38"/>
      <c r="R17" s="563">
        <f>R11/'VLU costs'!R12-1</f>
        <v>-0.33258489870407293</v>
      </c>
      <c r="S17" s="38"/>
      <c r="T17" s="38"/>
      <c r="U17" s="38"/>
      <c r="V17" s="38"/>
      <c r="W17" s="38"/>
      <c r="X17" s="38"/>
      <c r="Y17" s="38"/>
      <c r="Z17" s="38"/>
      <c r="AA17" s="38"/>
      <c r="AB17" s="38"/>
      <c r="AC17" s="38"/>
      <c r="AD17" s="38"/>
      <c r="AE17" s="38"/>
    </row>
    <row r="18" spans="1:31">
      <c r="E18" s="75"/>
      <c r="G18" s="38"/>
      <c r="H18" s="71"/>
      <c r="I18" s="71"/>
      <c r="J18" s="38"/>
      <c r="K18" s="38"/>
      <c r="L18" s="38"/>
      <c r="M18" s="38"/>
      <c r="N18" s="38"/>
      <c r="O18" s="38"/>
      <c r="P18" s="38"/>
      <c r="Q18" s="38"/>
      <c r="R18" s="38"/>
      <c r="S18" s="38"/>
      <c r="T18" s="38"/>
      <c r="U18" s="38"/>
      <c r="V18" s="38"/>
      <c r="W18" s="38"/>
      <c r="X18" s="38"/>
      <c r="Y18" s="38"/>
      <c r="Z18" s="38"/>
      <c r="AA18" s="38"/>
      <c r="AB18" s="38"/>
      <c r="AC18" s="38"/>
      <c r="AD18" s="38"/>
      <c r="AE18" s="38"/>
    </row>
    <row r="19" spans="1:31" s="4" customFormat="1">
      <c r="C19" s="75"/>
      <c r="D19" s="75"/>
      <c r="E19" s="75"/>
      <c r="F19" s="75"/>
      <c r="G19" s="75"/>
      <c r="H19" s="75"/>
      <c r="I19" s="75"/>
      <c r="J19" s="75"/>
      <c r="K19" s="75"/>
      <c r="L19" s="75"/>
      <c r="M19" s="75"/>
      <c r="N19" s="75"/>
      <c r="O19" s="75"/>
      <c r="P19" s="75"/>
      <c r="Q19" s="75"/>
      <c r="R19" s="75"/>
      <c r="S19" s="75"/>
      <c r="T19" s="75"/>
      <c r="U19" s="75"/>
      <c r="V19" s="75"/>
      <c r="W19" s="75"/>
      <c r="X19" s="75"/>
      <c r="Y19" s="75"/>
      <c r="Z19" s="75"/>
      <c r="AA19" s="75"/>
      <c r="AB19" s="75"/>
      <c r="AC19" s="75"/>
      <c r="AD19" s="75"/>
      <c r="AE19" s="75"/>
    </row>
    <row r="20" spans="1:31" s="4" customFormat="1">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38"/>
    </row>
    <row r="21" spans="1:31" s="588" customFormat="1">
      <c r="A21" s="593" t="s">
        <v>10</v>
      </c>
      <c r="B21" s="639" t="s">
        <v>2928</v>
      </c>
      <c r="J21" s="641"/>
    </row>
    <row r="22" spans="1:31">
      <c r="B22" s="66"/>
      <c r="E22" s="151"/>
      <c r="J22" s="60"/>
    </row>
    <row r="23" spans="1:31">
      <c r="B23" s="108"/>
      <c r="E23" s="151" t="s">
        <v>3419</v>
      </c>
    </row>
    <row r="24" spans="1:31">
      <c r="A24" s="9"/>
      <c r="B24" s="372" t="s">
        <v>2880</v>
      </c>
      <c r="E24" s="151" t="s">
        <v>3420</v>
      </c>
    </row>
    <row r="25" spans="1:31">
      <c r="B25" s="7" t="s">
        <v>9</v>
      </c>
      <c r="C25" s="34" t="s">
        <v>2519</v>
      </c>
      <c r="E25" s="34" t="s">
        <v>97</v>
      </c>
      <c r="F25" s="34" t="s">
        <v>98</v>
      </c>
      <c r="H25" s="34" t="s">
        <v>155</v>
      </c>
      <c r="J25" s="79" t="s">
        <v>124</v>
      </c>
      <c r="L25" s="78"/>
    </row>
    <row r="26" spans="1:31" ht="16.25" customHeight="1">
      <c r="B26" s="100" t="s">
        <v>11</v>
      </c>
      <c r="C26" s="101">
        <f>INDEX('Resource costs'!$D$32:$N$32, MATCH(B26, 'Resource costs'!$D$27:$N$27,0))</f>
        <v>3.2763394287648202</v>
      </c>
      <c r="E26" s="101">
        <f t="shared" ref="E26:E32" si="4">C26/((H26*$D$17)+$C$17)</f>
        <v>1.8645834147442064</v>
      </c>
      <c r="F26" s="101">
        <f t="shared" ref="F26:F32" si="5">E26*H26</f>
        <v>4.5282740072359307</v>
      </c>
      <c r="H26" s="82">
        <f>INDEX('Resource costs'!$F$81:$F$94, MATCH(B26,'Resource costs'!$B$81:$B$94,0))</f>
        <v>2.4285714285714288</v>
      </c>
      <c r="J26" s="78" t="b">
        <f t="shared" ref="J26:J32" si="6">E26*$C$17+F26*$D$17=C26</f>
        <v>1</v>
      </c>
      <c r="L26" s="80"/>
      <c r="M26" s="81"/>
    </row>
    <row r="27" spans="1:31" ht="16.25" customHeight="1">
      <c r="B27" s="104" t="s">
        <v>14</v>
      </c>
      <c r="C27" s="105">
        <f>INDEX('Resource costs'!$D$32:$N$32, MATCH(B27, 'Resource costs'!$D$27:$N$27,0))</f>
        <v>1.5999985598508005E-2</v>
      </c>
      <c r="D27" s="106"/>
      <c r="E27" s="105">
        <f t="shared" si="4"/>
        <v>1.6739304898177512E-2</v>
      </c>
      <c r="F27" s="105">
        <f t="shared" si="5"/>
        <v>1.5344362823329384E-2</v>
      </c>
      <c r="G27" s="106"/>
      <c r="H27" s="107">
        <f>'Resource costs'!E65</f>
        <v>0.91666666666666663</v>
      </c>
      <c r="I27" s="108" t="s">
        <v>162</v>
      </c>
      <c r="J27" s="78" t="b">
        <f t="shared" si="6"/>
        <v>1</v>
      </c>
      <c r="L27" s="80"/>
      <c r="M27" s="81"/>
    </row>
    <row r="28" spans="1:31" ht="16.25" customHeight="1">
      <c r="B28" s="104" t="s">
        <v>15</v>
      </c>
      <c r="C28" s="105">
        <f>INDEX('Resource costs'!$D$32:$N$32, MATCH(B28, 'Resource costs'!$D$27:$N$27,0))</f>
        <v>0.15846886937486723</v>
      </c>
      <c r="D28" s="106"/>
      <c r="E28" s="105">
        <f t="shared" si="4"/>
        <v>0.10544763531171852</v>
      </c>
      <c r="F28" s="105">
        <f t="shared" si="5"/>
        <v>0.20548769958181046</v>
      </c>
      <c r="G28" s="106"/>
      <c r="H28" s="107">
        <f>'Resource costs'!E66</f>
        <v>1.9487179487179487</v>
      </c>
      <c r="I28" s="108" t="s">
        <v>162</v>
      </c>
      <c r="J28" s="78" t="b">
        <f t="shared" si="6"/>
        <v>1</v>
      </c>
      <c r="L28" s="80"/>
      <c r="M28" s="81"/>
    </row>
    <row r="29" spans="1:31" ht="16.25" customHeight="1">
      <c r="B29" s="100" t="s">
        <v>16</v>
      </c>
      <c r="C29" s="101">
        <f>INDEX('Resource costs'!$D$32:$N$32, MATCH(B29, 'Resource costs'!$D$27:$N$27,0))</f>
        <v>1.6428292451097934</v>
      </c>
      <c r="E29" s="101">
        <f t="shared" si="4"/>
        <v>0.28471910660481686</v>
      </c>
      <c r="F29" s="101">
        <f t="shared" si="5"/>
        <v>2.8471910660481687</v>
      </c>
      <c r="H29" s="82">
        <f>INDEX('Resource costs'!$F$81:$F$94, MATCH(B29,'Resource costs'!$B$81:$B$94,0))</f>
        <v>10</v>
      </c>
      <c r="J29" s="78" t="b">
        <f t="shared" si="6"/>
        <v>1</v>
      </c>
      <c r="L29" s="80"/>
      <c r="M29" s="81"/>
    </row>
    <row r="30" spans="1:31" ht="16.25" customHeight="1">
      <c r="B30" s="100" t="s">
        <v>103</v>
      </c>
      <c r="C30" s="101">
        <f>INDEX('Resource costs'!$D$32:$N$32, MATCH(B30, 'Resource costs'!$D$27:$N$27,0))</f>
        <v>0.38399994239403207</v>
      </c>
      <c r="E30" s="101">
        <f t="shared" si="4"/>
        <v>0.25098035450590328</v>
      </c>
      <c r="F30" s="101">
        <f t="shared" si="5"/>
        <v>0.50196070901180656</v>
      </c>
      <c r="H30" s="82">
        <f>INDEX('Resource costs'!$F$81:$F$94, MATCH(B30,'Resource costs'!$B$81:$B$94,0))</f>
        <v>2</v>
      </c>
      <c r="J30" s="78" t="b">
        <f t="shared" si="6"/>
        <v>1</v>
      </c>
      <c r="L30" s="80"/>
      <c r="M30" s="81"/>
    </row>
    <row r="31" spans="1:31" ht="16.25" customHeight="1">
      <c r="B31" s="100" t="s">
        <v>104</v>
      </c>
      <c r="C31" s="101">
        <f>INDEX('Resource costs'!$D$32:$N$32, MATCH(B31, 'Resource costs'!$D$27:$N$27,0))</f>
        <v>19.189988082765375</v>
      </c>
      <c r="E31" s="101">
        <f t="shared" si="4"/>
        <v>26.108827323490306</v>
      </c>
      <c r="F31" s="101">
        <f t="shared" si="5"/>
        <v>13.054413661745153</v>
      </c>
      <c r="H31" s="82">
        <f>INDEX('Resource costs'!$F$81:$F$94, MATCH(B31,'Resource costs'!$B$81:$B$94,0))</f>
        <v>0.5</v>
      </c>
      <c r="J31" s="78" t="b">
        <f t="shared" si="6"/>
        <v>1</v>
      </c>
      <c r="L31" s="80"/>
      <c r="M31" s="81"/>
    </row>
    <row r="32" spans="1:31" s="106" customFormat="1" ht="16.25" customHeight="1">
      <c r="B32" s="104" t="s">
        <v>17</v>
      </c>
      <c r="C32" s="105">
        <f>INDEX('Resource costs'!$D$32:$N$32, MATCH(B32, 'Resource costs'!$D$27:$N$27,0))</f>
        <v>130.47751747080997</v>
      </c>
      <c r="E32" s="105">
        <f t="shared" si="4"/>
        <v>92.70472860948172</v>
      </c>
      <c r="F32" s="105">
        <f t="shared" si="5"/>
        <v>163.97414155538411</v>
      </c>
      <c r="H32" s="107">
        <f>'Resource costs'!E67</f>
        <v>1.7687786158797194</v>
      </c>
      <c r="I32" s="108" t="s">
        <v>162</v>
      </c>
      <c r="J32" s="78" t="b">
        <f t="shared" si="6"/>
        <v>1</v>
      </c>
      <c r="L32" s="109"/>
      <c r="M32" s="109"/>
    </row>
    <row r="33" spans="2:13" ht="16.25" customHeight="1">
      <c r="B33" s="100" t="s">
        <v>19</v>
      </c>
      <c r="C33" s="101">
        <f>INDEX('Resource costs'!$D$32:$N$32, MATCH(B33, 'Resource costs'!$D$27:$N$27,0))</f>
        <v>55.373736719124103</v>
      </c>
      <c r="E33" s="143" t="s">
        <v>6</v>
      </c>
      <c r="F33" s="143" t="s">
        <v>6</v>
      </c>
      <c r="H33" s="143" t="s">
        <v>6</v>
      </c>
      <c r="I33" s="110" t="s">
        <v>157</v>
      </c>
      <c r="J33" s="78"/>
      <c r="L33" s="80"/>
      <c r="M33" s="81"/>
    </row>
    <row r="34" spans="2:13">
      <c r="J34" s="78"/>
    </row>
    <row r="35" spans="2:13">
      <c r="B35" s="371" t="s">
        <v>156</v>
      </c>
      <c r="J35" s="78"/>
    </row>
    <row r="36" spans="2:13" ht="29">
      <c r="B36" s="6" t="s">
        <v>106</v>
      </c>
      <c r="C36" s="102">
        <f>C$33*('Resource costs'!C91/SUM('Resource costs'!C$91:C$92))</f>
        <v>33.656391564070802</v>
      </c>
      <c r="E36" s="102">
        <f>C36/((H36*$D$17)+$C$17)</f>
        <v>14.271037317512276</v>
      </c>
      <c r="F36" s="102">
        <f>E36*H36</f>
        <v>50.847177405358543</v>
      </c>
      <c r="H36" s="82">
        <f>INDEX('Resource costs'!$F$81:$F$94, MATCH(B36,'Resource costs'!$B$81:$B$94,0))</f>
        <v>3.5629629629629624</v>
      </c>
      <c r="I36" s="146"/>
      <c r="J36" s="78" t="b">
        <f>E36*$C$17+F36*$D$17=C36</f>
        <v>1</v>
      </c>
    </row>
    <row r="37" spans="2:13" ht="29">
      <c r="B37" s="6" t="s">
        <v>107</v>
      </c>
      <c r="C37" s="102">
        <f>C$33*('Resource costs'!C92/SUM('Resource costs'!C$91:C$92))</f>
        <v>21.717345155053302</v>
      </c>
      <c r="E37" s="102">
        <f>C37/((H37*$D$17)+$C$17)</f>
        <v>9.0656572340471975</v>
      </c>
      <c r="F37" s="102">
        <f>E37*H37</f>
        <v>32.936766518964376</v>
      </c>
      <c r="H37" s="82">
        <f>INDEX('Resource costs'!$F$81:$F$94, MATCH(B37,'Resource costs'!$B$81:$B$94,0))</f>
        <v>3.6331360946745561</v>
      </c>
      <c r="J37" s="78" t="b">
        <f>E37*$C$17+F37*$D$17=C37</f>
        <v>1</v>
      </c>
    </row>
    <row r="38" spans="2:13">
      <c r="C38" s="78" t="b">
        <f>SUM(C36:C37)=C33</f>
        <v>1</v>
      </c>
      <c r="E38" s="78"/>
      <c r="F38" s="78"/>
      <c r="G38" s="78"/>
      <c r="H38" s="78"/>
      <c r="J38" s="78"/>
    </row>
    <row r="39" spans="2:13">
      <c r="B39" s="52"/>
      <c r="C39" s="78"/>
      <c r="E39" s="111"/>
      <c r="F39" s="111"/>
      <c r="H39" s="112"/>
      <c r="J39" s="78"/>
    </row>
    <row r="40" spans="2:13">
      <c r="B40" s="52"/>
      <c r="C40" s="78"/>
      <c r="E40" s="111"/>
      <c r="F40" s="111"/>
      <c r="H40" s="112"/>
      <c r="J40" s="78"/>
    </row>
    <row r="41" spans="2:13">
      <c r="B41" s="370" t="s">
        <v>2881</v>
      </c>
      <c r="C41" s="78"/>
      <c r="H41" s="112"/>
      <c r="J41" s="78"/>
    </row>
    <row r="42" spans="2:13">
      <c r="B42" s="370"/>
      <c r="C42" s="78"/>
      <c r="E42" s="9" t="s">
        <v>20</v>
      </c>
      <c r="H42" s="9" t="s">
        <v>3197</v>
      </c>
      <c r="J42" s="78"/>
    </row>
    <row r="43" spans="2:13">
      <c r="B43" s="370"/>
      <c r="C43" s="78"/>
      <c r="H43" s="112"/>
      <c r="J43" s="78"/>
    </row>
    <row r="44" spans="2:13">
      <c r="B44" s="7" t="s">
        <v>125</v>
      </c>
      <c r="E44" s="344" t="s">
        <v>97</v>
      </c>
      <c r="F44" s="344" t="s">
        <v>2797</v>
      </c>
      <c r="H44" s="543" t="s">
        <v>97</v>
      </c>
      <c r="I44" s="543" t="s">
        <v>2797</v>
      </c>
      <c r="J44" s="78"/>
    </row>
    <row r="45" spans="2:13">
      <c r="B45" s="6" t="s">
        <v>2863</v>
      </c>
      <c r="E45" s="368">
        <f>'VLU Care Pathways'!I179</f>
        <v>15.852504801717325</v>
      </c>
      <c r="F45" s="368">
        <f>'VLU Care Pathways'!J179</f>
        <v>59.940119760479043</v>
      </c>
      <c r="H45" s="368">
        <f>'VLU Care Pathways INT'!I191</f>
        <v>14.676947443960181</v>
      </c>
      <c r="I45" s="368">
        <f>'VLU Care Pathways INT'!J191</f>
        <v>54.6</v>
      </c>
      <c r="J45" s="78"/>
    </row>
    <row r="46" spans="2:13">
      <c r="B46" s="6" t="s">
        <v>2862</v>
      </c>
      <c r="E46" s="368">
        <f>'VLU Care Pathways'!I180</f>
        <v>31.70500960343465</v>
      </c>
      <c r="F46" s="368">
        <f>'VLU Care Pathways'!J180</f>
        <v>119.88023952095809</v>
      </c>
      <c r="H46" s="368">
        <f>'VLU Care Pathways INT'!I192</f>
        <v>29.353894887920362</v>
      </c>
      <c r="I46" s="368">
        <f>'VLU Care Pathways INT'!J192</f>
        <v>109.2</v>
      </c>
      <c r="J46" s="78"/>
    </row>
    <row r="47" spans="2:13">
      <c r="B47" s="6" t="s">
        <v>131</v>
      </c>
      <c r="E47" s="368">
        <f>'VLU Care Pathways'!I181</f>
        <v>0.90400537771703959</v>
      </c>
      <c r="F47" s="368">
        <f>'VLU Care Pathways'!J181</f>
        <v>3.4223060727859345</v>
      </c>
      <c r="H47" s="368">
        <f>'VLU Care Pathways INT'!I193</f>
        <v>7.5248564397046787</v>
      </c>
      <c r="I47" s="368">
        <f>'VLU Care Pathways INT'!J193</f>
        <v>28.486956521739135</v>
      </c>
      <c r="J47" s="78"/>
    </row>
    <row r="48" spans="2:13" ht="29">
      <c r="B48" s="6" t="s">
        <v>2869</v>
      </c>
      <c r="E48" s="368">
        <f>'VLU Care Pathways'!I182</f>
        <v>6.2921703762286771</v>
      </c>
      <c r="F48" s="368">
        <f>'VLU Care Pathways'!J182</f>
        <v>23.820359281437128</v>
      </c>
      <c r="H48" s="368">
        <f>'VLU Care Pathways INT'!I194</f>
        <v>2.0603773584905669</v>
      </c>
      <c r="I48" s="368">
        <f>'VLU Care Pathways INT'!J194</f>
        <v>7.8000000000000007</v>
      </c>
      <c r="J48" s="78"/>
    </row>
    <row r="49" spans="1:10" ht="29">
      <c r="B49" s="6" t="s">
        <v>2870</v>
      </c>
      <c r="E49" s="368">
        <f>'VLU Care Pathways'!I183</f>
        <v>8.63706342806762</v>
      </c>
      <c r="F49" s="368">
        <f>'VLU Care Pathways'!J183</f>
        <v>32.697454406255979</v>
      </c>
      <c r="H49" s="368">
        <f>'VLU Care Pathways INT'!I195</f>
        <v>4.837407711238721</v>
      </c>
      <c r="I49" s="368">
        <f>'VLU Care Pathways INT'!J195</f>
        <v>18.313043478260866</v>
      </c>
      <c r="J49" s="78"/>
    </row>
    <row r="50" spans="1:10">
      <c r="B50" s="6" t="s">
        <v>102</v>
      </c>
      <c r="E50" s="368">
        <f>'VLU Care Pathways'!I184</f>
        <v>0.1891988023608164</v>
      </c>
      <c r="F50" s="368">
        <f>'VLU Care Pathways'!J184</f>
        <v>0.57038434546432237</v>
      </c>
      <c r="H50" s="368">
        <f>'VLU Care Pathways INT'!I196</f>
        <v>1.7627546090032096</v>
      </c>
      <c r="I50" s="368">
        <f>'VLU Care Pathways INT'!J196</f>
        <v>4.7478260869565219</v>
      </c>
      <c r="J50" s="78"/>
    </row>
    <row r="51" spans="1:10">
      <c r="B51" s="6" t="s">
        <v>2831</v>
      </c>
      <c r="E51" s="368">
        <f>'VLU Care Pathways'!I185</f>
        <v>396.22276105323613</v>
      </c>
      <c r="F51" s="368">
        <f>'VLU Care Pathways'!J185</f>
        <v>1497.3605381018783</v>
      </c>
      <c r="H51" s="368">
        <f>'VLU Care Pathways INT'!I197</f>
        <v>453.98499626425172</v>
      </c>
      <c r="I51" s="368">
        <f>'VLU Care Pathways INT'!J197</f>
        <v>1666.6700869565216</v>
      </c>
      <c r="J51" s="78"/>
    </row>
    <row r="52" spans="1:10">
      <c r="B52" s="6" t="s">
        <v>2832</v>
      </c>
      <c r="E52" s="368">
        <f>'VLU Care Pathways'!I186</f>
        <v>163.97467619426442</v>
      </c>
      <c r="F52" s="368">
        <f>'VLU Care Pathways'!J186</f>
        <v>619.01085500232409</v>
      </c>
      <c r="H52" s="368">
        <f>'VLU Care Pathways INT'!I198</f>
        <v>39.320322891816858</v>
      </c>
      <c r="I52" s="368">
        <f>'VLU Care Pathways INT'!J198</f>
        <v>143.0791304347826</v>
      </c>
      <c r="J52" s="78"/>
    </row>
    <row r="53" spans="1:10">
      <c r="B53" s="6" t="s">
        <v>2871</v>
      </c>
      <c r="E53" s="368">
        <f>'VLU Care Pathways'!I187</f>
        <v>8.63706342806762</v>
      </c>
      <c r="F53" s="368">
        <f>'VLU Care Pathways'!J187</f>
        <v>32.697454406255979</v>
      </c>
      <c r="H53" s="368">
        <f>'VLU Care Pathways INT'!I199</f>
        <v>4.837407711238721</v>
      </c>
      <c r="I53" s="368">
        <f>'VLU Care Pathways INT'!J199</f>
        <v>18.313043478260866</v>
      </c>
      <c r="J53" s="78"/>
    </row>
    <row r="54" spans="1:10">
      <c r="B54" s="52"/>
      <c r="C54" s="78"/>
      <c r="E54" s="111"/>
      <c r="F54" s="111"/>
      <c r="G54" s="111"/>
      <c r="H54" s="111"/>
      <c r="I54" s="111"/>
      <c r="J54" s="78"/>
    </row>
    <row r="55" spans="1:10">
      <c r="B55" s="52"/>
      <c r="C55" s="111"/>
      <c r="E55" s="111"/>
      <c r="F55" s="111"/>
      <c r="H55" s="112"/>
      <c r="J55" s="78"/>
    </row>
    <row r="56" spans="1:10" s="588" customFormat="1">
      <c r="A56" s="593"/>
      <c r="B56" s="608" t="s">
        <v>2925</v>
      </c>
      <c r="C56" s="643"/>
      <c r="E56" s="643"/>
      <c r="F56" s="643"/>
      <c r="H56" s="644"/>
      <c r="J56" s="642"/>
    </row>
    <row r="57" spans="1:10">
      <c r="B57" s="369"/>
      <c r="C57" s="111"/>
      <c r="E57" s="111"/>
      <c r="F57" s="111"/>
      <c r="H57" s="112"/>
      <c r="J57" s="78"/>
    </row>
    <row r="58" spans="1:10">
      <c r="B58" s="369"/>
      <c r="C58" s="546" t="s">
        <v>20</v>
      </c>
      <c r="E58" s="111"/>
      <c r="F58" s="546" t="s">
        <v>3200</v>
      </c>
      <c r="H58" s="112"/>
      <c r="J58" s="78"/>
    </row>
    <row r="59" spans="1:10">
      <c r="B59" s="7" t="s">
        <v>9</v>
      </c>
      <c r="C59" s="7" t="s">
        <v>97</v>
      </c>
      <c r="D59" s="7" t="s">
        <v>2797</v>
      </c>
      <c r="E59" s="111"/>
      <c r="F59" s="520" t="s">
        <v>97</v>
      </c>
      <c r="G59" s="520" t="s">
        <v>2797</v>
      </c>
      <c r="H59" s="112"/>
      <c r="J59" s="78"/>
    </row>
    <row r="60" spans="1:10">
      <c r="B60" s="6" t="s">
        <v>11</v>
      </c>
      <c r="C60" s="68">
        <f t="shared" ref="C60:C77" si="7">INDEX(E$26:E$53, MATCH($B60, $B$26:$B$53,0))</f>
        <v>1.8645834147442064</v>
      </c>
      <c r="D60" s="68">
        <f t="shared" ref="D60:D77" si="8">INDEX(F$26:F$53, MATCH($B60, $B$26:$B$53,0))</f>
        <v>4.5282740072359307</v>
      </c>
      <c r="E60" s="78"/>
      <c r="F60" s="68">
        <f>INDEX(E$26:E$37, MATCH($B60, $B$26:$B$37,0))</f>
        <v>1.8645834147442064</v>
      </c>
      <c r="G60" s="68">
        <f>INDEX(F$26:F$37, MATCH($B60, $B$26:$B$37,0))</f>
        <v>4.5282740072359307</v>
      </c>
      <c r="H60" s="112"/>
      <c r="J60" s="78"/>
    </row>
    <row r="61" spans="1:10">
      <c r="B61" s="6" t="s">
        <v>14</v>
      </c>
      <c r="C61" s="68">
        <f t="shared" si="7"/>
        <v>1.6739304898177512E-2</v>
      </c>
      <c r="D61" s="68">
        <f t="shared" si="8"/>
        <v>1.5344362823329384E-2</v>
      </c>
      <c r="E61" s="78"/>
      <c r="F61" s="68">
        <f t="shared" ref="F61:G61" si="9">INDEX(E$26:E$37, MATCH($B61, $B$26:$B$37,0))</f>
        <v>1.6739304898177512E-2</v>
      </c>
      <c r="G61" s="68">
        <f t="shared" si="9"/>
        <v>1.5344362823329384E-2</v>
      </c>
      <c r="H61" s="112"/>
      <c r="J61" s="78"/>
    </row>
    <row r="62" spans="1:10">
      <c r="B62" s="6" t="s">
        <v>15</v>
      </c>
      <c r="C62" s="68">
        <f t="shared" si="7"/>
        <v>0.10544763531171852</v>
      </c>
      <c r="D62" s="68">
        <f t="shared" si="8"/>
        <v>0.20548769958181046</v>
      </c>
      <c r="E62" s="78"/>
      <c r="F62" s="68">
        <f t="shared" ref="F62:G62" si="10">INDEX(E$26:E$37, MATCH($B62, $B$26:$B$37,0))</f>
        <v>0.10544763531171852</v>
      </c>
      <c r="G62" s="68">
        <f t="shared" si="10"/>
        <v>0.20548769958181046</v>
      </c>
      <c r="H62" s="112"/>
      <c r="J62" s="78"/>
    </row>
    <row r="63" spans="1:10" ht="29">
      <c r="B63" s="6" t="s">
        <v>16</v>
      </c>
      <c r="C63" s="68">
        <f t="shared" si="7"/>
        <v>0.28471910660481686</v>
      </c>
      <c r="D63" s="68">
        <f t="shared" si="8"/>
        <v>2.8471910660481687</v>
      </c>
      <c r="E63" s="78"/>
      <c r="F63" s="68">
        <f t="shared" ref="F63:G63" si="11">INDEX(E$26:E$37, MATCH($B63, $B$26:$B$37,0))</f>
        <v>0.28471910660481686</v>
      </c>
      <c r="G63" s="68">
        <f t="shared" si="11"/>
        <v>2.8471910660481687</v>
      </c>
      <c r="H63" s="112"/>
      <c r="J63" s="78"/>
    </row>
    <row r="64" spans="1:10">
      <c r="B64" s="6" t="s">
        <v>103</v>
      </c>
      <c r="C64" s="68">
        <f t="shared" si="7"/>
        <v>0.25098035450590328</v>
      </c>
      <c r="D64" s="68">
        <f t="shared" si="8"/>
        <v>0.50196070901180656</v>
      </c>
      <c r="E64" s="78"/>
      <c r="F64" s="68">
        <f t="shared" ref="F64:G64" si="12">INDEX(E$26:E$37, MATCH($B64, $B$26:$B$37,0))</f>
        <v>0.25098035450590328</v>
      </c>
      <c r="G64" s="68">
        <f t="shared" si="12"/>
        <v>0.50196070901180656</v>
      </c>
      <c r="H64" s="112"/>
      <c r="J64" s="78"/>
    </row>
    <row r="65" spans="2:10">
      <c r="B65" s="6" t="s">
        <v>104</v>
      </c>
      <c r="C65" s="68">
        <f t="shared" si="7"/>
        <v>26.108827323490306</v>
      </c>
      <c r="D65" s="68">
        <f t="shared" si="8"/>
        <v>13.054413661745153</v>
      </c>
      <c r="E65" s="78"/>
      <c r="F65" s="68">
        <f t="shared" ref="F65:G65" si="13">INDEX(E$26:E$37, MATCH($B65, $B$26:$B$37,0))</f>
        <v>26.108827323490306</v>
      </c>
      <c r="G65" s="68">
        <f t="shared" si="13"/>
        <v>13.054413661745153</v>
      </c>
      <c r="H65" s="112"/>
      <c r="J65" s="78"/>
    </row>
    <row r="66" spans="2:10">
      <c r="B66" s="6" t="s">
        <v>17</v>
      </c>
      <c r="C66" s="68">
        <f t="shared" si="7"/>
        <v>92.70472860948172</v>
      </c>
      <c r="D66" s="68">
        <f t="shared" si="8"/>
        <v>163.97414155538411</v>
      </c>
      <c r="E66" s="78"/>
      <c r="F66" s="68">
        <f t="shared" ref="F66:G66" si="14">INDEX(E$26:E$37, MATCH($B66, $B$26:$B$37,0))</f>
        <v>92.70472860948172</v>
      </c>
      <c r="G66" s="68">
        <f t="shared" si="14"/>
        <v>163.97414155538411</v>
      </c>
      <c r="H66" s="112"/>
      <c r="J66" s="78"/>
    </row>
    <row r="67" spans="2:10" ht="29">
      <c r="B67" s="6" t="s">
        <v>106</v>
      </c>
      <c r="C67" s="68">
        <f t="shared" si="7"/>
        <v>14.271037317512276</v>
      </c>
      <c r="D67" s="68">
        <f t="shared" si="8"/>
        <v>50.847177405358543</v>
      </c>
      <c r="E67" s="78"/>
      <c r="F67" s="68">
        <f t="shared" ref="F67:G67" si="15">INDEX(E$26:E$37, MATCH($B67, $B$26:$B$37,0))</f>
        <v>14.271037317512276</v>
      </c>
      <c r="G67" s="68">
        <f t="shared" si="15"/>
        <v>50.847177405358543</v>
      </c>
      <c r="H67" s="112"/>
      <c r="J67" s="78"/>
    </row>
    <row r="68" spans="2:10" ht="29">
      <c r="B68" s="6" t="s">
        <v>107</v>
      </c>
      <c r="C68" s="68">
        <f t="shared" si="7"/>
        <v>9.0656572340471975</v>
      </c>
      <c r="D68" s="68">
        <f t="shared" si="8"/>
        <v>32.936766518964376</v>
      </c>
      <c r="E68" s="78"/>
      <c r="F68" s="548">
        <f t="shared" ref="F68:G68" si="16">INDEX(E$26:E$37, MATCH($B68, $B$26:$B$37,0))</f>
        <v>9.0656572340471975</v>
      </c>
      <c r="G68" s="548">
        <f t="shared" si="16"/>
        <v>32.936766518964376</v>
      </c>
      <c r="H68" s="112"/>
      <c r="J68" s="78"/>
    </row>
    <row r="69" spans="2:10">
      <c r="B69" s="6" t="s">
        <v>2863</v>
      </c>
      <c r="C69" s="68">
        <f t="shared" si="7"/>
        <v>15.852504801717325</v>
      </c>
      <c r="D69" s="68">
        <f t="shared" si="8"/>
        <v>59.940119760479043</v>
      </c>
      <c r="F69" s="547">
        <f>INDEX(H$45:H$53, MATCH($B69, $B$45:$B$53,0))</f>
        <v>14.676947443960181</v>
      </c>
      <c r="G69" s="547">
        <f>INDEX(I$45:I$53, MATCH($B69, $B$45:$B$53,0))</f>
        <v>54.6</v>
      </c>
      <c r="H69" s="112"/>
      <c r="J69" s="78"/>
    </row>
    <row r="70" spans="2:10">
      <c r="B70" s="6" t="s">
        <v>2862</v>
      </c>
      <c r="C70" s="68">
        <f t="shared" si="7"/>
        <v>31.70500960343465</v>
      </c>
      <c r="D70" s="68">
        <f t="shared" si="8"/>
        <v>119.88023952095809</v>
      </c>
      <c r="F70" s="68">
        <f t="shared" ref="F70:F77" si="17">INDEX(H$45:H$53, MATCH($B70, $B$45:$B$53,0))</f>
        <v>29.353894887920362</v>
      </c>
      <c r="G70" s="68">
        <f t="shared" ref="G70:G77" si="18">INDEX(I$45:I$53, MATCH($B70, $B$45:$B$53,0))</f>
        <v>109.2</v>
      </c>
      <c r="H70" s="112"/>
      <c r="J70" s="78"/>
    </row>
    <row r="71" spans="2:10">
      <c r="B71" s="6" t="s">
        <v>131</v>
      </c>
      <c r="C71" s="68">
        <f t="shared" si="7"/>
        <v>0.90400537771703959</v>
      </c>
      <c r="D71" s="68">
        <f t="shared" si="8"/>
        <v>3.4223060727859345</v>
      </c>
      <c r="F71" s="68">
        <f t="shared" si="17"/>
        <v>7.5248564397046787</v>
      </c>
      <c r="G71" s="68">
        <f t="shared" si="18"/>
        <v>28.486956521739135</v>
      </c>
      <c r="H71" s="112"/>
      <c r="J71" s="78"/>
    </row>
    <row r="72" spans="2:10" ht="29">
      <c r="B72" s="6" t="s">
        <v>2869</v>
      </c>
      <c r="C72" s="68">
        <f t="shared" si="7"/>
        <v>6.2921703762286771</v>
      </c>
      <c r="D72" s="68">
        <f t="shared" si="8"/>
        <v>23.820359281437128</v>
      </c>
      <c r="F72" s="68">
        <f t="shared" si="17"/>
        <v>2.0603773584905669</v>
      </c>
      <c r="G72" s="68">
        <f t="shared" si="18"/>
        <v>7.8000000000000007</v>
      </c>
      <c r="H72" s="112"/>
      <c r="J72" s="78"/>
    </row>
    <row r="73" spans="2:10" ht="29">
      <c r="B73" s="6" t="s">
        <v>2870</v>
      </c>
      <c r="C73" s="68">
        <f t="shared" si="7"/>
        <v>8.63706342806762</v>
      </c>
      <c r="D73" s="68">
        <f t="shared" si="8"/>
        <v>32.697454406255979</v>
      </c>
      <c r="F73" s="68">
        <f t="shared" si="17"/>
        <v>4.837407711238721</v>
      </c>
      <c r="G73" s="68">
        <f t="shared" si="18"/>
        <v>18.313043478260866</v>
      </c>
      <c r="H73" s="112"/>
      <c r="J73" s="78"/>
    </row>
    <row r="74" spans="2:10">
      <c r="B74" s="6" t="s">
        <v>102</v>
      </c>
      <c r="C74" s="68">
        <f t="shared" si="7"/>
        <v>0.1891988023608164</v>
      </c>
      <c r="D74" s="68">
        <f t="shared" si="8"/>
        <v>0.57038434546432237</v>
      </c>
      <c r="F74" s="68">
        <f t="shared" si="17"/>
        <v>1.7627546090032096</v>
      </c>
      <c r="G74" s="68">
        <f t="shared" si="18"/>
        <v>4.7478260869565219</v>
      </c>
      <c r="H74" s="112"/>
      <c r="J74" s="78"/>
    </row>
    <row r="75" spans="2:10">
      <c r="B75" s="6" t="s">
        <v>2831</v>
      </c>
      <c r="C75" s="68">
        <f t="shared" si="7"/>
        <v>396.22276105323613</v>
      </c>
      <c r="D75" s="68">
        <f t="shared" si="8"/>
        <v>1497.3605381018783</v>
      </c>
      <c r="F75" s="68">
        <f t="shared" si="17"/>
        <v>453.98499626425172</v>
      </c>
      <c r="G75" s="68">
        <f t="shared" si="18"/>
        <v>1666.6700869565216</v>
      </c>
      <c r="H75" s="112"/>
      <c r="J75" s="78"/>
    </row>
    <row r="76" spans="2:10">
      <c r="B76" s="6" t="s">
        <v>2832</v>
      </c>
      <c r="C76" s="68">
        <f t="shared" si="7"/>
        <v>163.97467619426442</v>
      </c>
      <c r="D76" s="68">
        <f t="shared" si="8"/>
        <v>619.01085500232409</v>
      </c>
      <c r="F76" s="68">
        <f t="shared" si="17"/>
        <v>39.320322891816858</v>
      </c>
      <c r="G76" s="68">
        <f t="shared" si="18"/>
        <v>143.0791304347826</v>
      </c>
      <c r="H76" s="112"/>
      <c r="J76" s="78"/>
    </row>
    <row r="77" spans="2:10">
      <c r="B77" s="6" t="s">
        <v>2871</v>
      </c>
      <c r="C77" s="68">
        <f t="shared" si="7"/>
        <v>8.63706342806762</v>
      </c>
      <c r="D77" s="68">
        <f t="shared" si="8"/>
        <v>32.697454406255979</v>
      </c>
      <c r="E77" s="111"/>
      <c r="F77" s="68">
        <f t="shared" si="17"/>
        <v>4.837407711238721</v>
      </c>
      <c r="G77" s="68">
        <f t="shared" si="18"/>
        <v>18.313043478260866</v>
      </c>
      <c r="H77" s="112"/>
      <c r="J77" s="78"/>
    </row>
    <row r="78" spans="2:10">
      <c r="C78" s="373" t="b">
        <f>SUM(C60:C77)=SUM(E26:E32,E36:E37,E45:E53)</f>
        <v>1</v>
      </c>
      <c r="D78" s="373" t="b">
        <f>SUM(D60:D77)=SUM(F26:F32,F36:F37,F45:F53)</f>
        <v>1</v>
      </c>
      <c r="F78" s="373" t="b">
        <f>SUM(F60:F77)=SUM(E26:E32,E36:E37,H45:H53)</f>
        <v>1</v>
      </c>
      <c r="G78" s="373" t="b">
        <f>SUM(G60:G77)=SUM(F26:F32,F36:F37,I45:I53)</f>
        <v>1</v>
      </c>
      <c r="H78" s="112"/>
      <c r="J78" s="78"/>
    </row>
    <row r="79" spans="2:10">
      <c r="C79" s="373"/>
      <c r="D79" s="373"/>
      <c r="H79" s="112"/>
      <c r="J79" s="78"/>
    </row>
    <row r="81" spans="1:53" s="588" customFormat="1">
      <c r="A81" s="593" t="s">
        <v>10</v>
      </c>
      <c r="B81" s="608" t="s">
        <v>2929</v>
      </c>
      <c r="C81" s="642"/>
      <c r="E81" s="643"/>
      <c r="F81" s="643"/>
      <c r="H81" s="644"/>
      <c r="J81" s="642"/>
    </row>
    <row r="82" spans="1:53">
      <c r="B82" s="410" t="s">
        <v>2930</v>
      </c>
      <c r="C82" s="78"/>
      <c r="E82" s="111"/>
      <c r="F82" s="111"/>
      <c r="H82" s="112"/>
      <c r="J82" s="78"/>
    </row>
    <row r="83" spans="1:53">
      <c r="B83" s="410"/>
      <c r="C83" s="78"/>
      <c r="E83" s="111"/>
      <c r="F83" s="111"/>
      <c r="H83" s="112"/>
      <c r="J83" s="78"/>
    </row>
    <row r="84" spans="1:53">
      <c r="B84" s="392"/>
      <c r="C84" s="78"/>
      <c r="E84" s="111"/>
      <c r="F84" s="111"/>
      <c r="H84" s="112"/>
      <c r="J84" s="78"/>
    </row>
    <row r="85" spans="1:53">
      <c r="B85" s="52"/>
      <c r="C85" s="34">
        <f>'Prevalence projection'!C$21</f>
        <v>2020</v>
      </c>
      <c r="D85" s="34">
        <f>'Prevalence projection'!D$21</f>
        <v>2021</v>
      </c>
      <c r="E85" s="34">
        <f>'Prevalence projection'!E$21</f>
        <v>2022</v>
      </c>
      <c r="F85" s="34">
        <f>'Prevalence projection'!F$21</f>
        <v>2023</v>
      </c>
      <c r="G85" s="34">
        <f>'Prevalence projection'!G$21</f>
        <v>2024</v>
      </c>
      <c r="H85" s="34">
        <f>'Prevalence projection'!H$21</f>
        <v>2025</v>
      </c>
      <c r="I85" s="34">
        <f>'Prevalence projection'!I$21</f>
        <v>2026</v>
      </c>
      <c r="J85" s="34">
        <f>'Prevalence projection'!J$21</f>
        <v>2027</v>
      </c>
      <c r="K85" s="34">
        <f>'Prevalence projection'!K$21</f>
        <v>2028</v>
      </c>
      <c r="L85" s="34">
        <f>'Prevalence projection'!L$21</f>
        <v>2029</v>
      </c>
      <c r="M85" s="34">
        <f>'Prevalence projection'!M$21</f>
        <v>2030</v>
      </c>
      <c r="N85" s="34">
        <f>'Prevalence projection'!N$21</f>
        <v>2031</v>
      </c>
      <c r="O85" s="34">
        <f>'Prevalence projection'!O$21</f>
        <v>2032</v>
      </c>
      <c r="P85" s="34">
        <f>'Prevalence projection'!P$21</f>
        <v>2033</v>
      </c>
      <c r="Q85" s="34">
        <f>'Prevalence projection'!Q$21</f>
        <v>2034</v>
      </c>
      <c r="R85" s="34">
        <f>'Prevalence projection'!R$21</f>
        <v>2035</v>
      </c>
      <c r="S85" s="34">
        <f>'Prevalence projection'!S$21</f>
        <v>2036</v>
      </c>
      <c r="T85" s="34">
        <f>'Prevalence projection'!T$21</f>
        <v>2037</v>
      </c>
      <c r="U85" s="34">
        <f>'Prevalence projection'!U$21</f>
        <v>2038</v>
      </c>
      <c r="V85" s="34">
        <f>'Prevalence projection'!V$21</f>
        <v>2039</v>
      </c>
      <c r="W85" s="34">
        <f>'Prevalence projection'!W$21</f>
        <v>2040</v>
      </c>
      <c r="X85" s="34">
        <f>'Prevalence projection'!X$21</f>
        <v>2041</v>
      </c>
      <c r="Y85" s="34">
        <f>'Prevalence projection'!Y$21</f>
        <v>2042</v>
      </c>
      <c r="Z85" s="34">
        <f>'Prevalence projection'!Z$21</f>
        <v>2043</v>
      </c>
      <c r="AA85" s="34">
        <f>'Prevalence projection'!AA$21</f>
        <v>2044</v>
      </c>
      <c r="AB85" s="34">
        <f>'Prevalence projection'!AB$21</f>
        <v>2045</v>
      </c>
      <c r="AC85" s="34">
        <f>'Prevalence projection'!AC$21</f>
        <v>2046</v>
      </c>
      <c r="AD85" s="34">
        <f>'Prevalence projection'!AD$21</f>
        <v>2047</v>
      </c>
      <c r="AE85" s="34">
        <f>'Prevalence projection'!AE$21</f>
        <v>2048</v>
      </c>
      <c r="AF85" s="34">
        <f>'Prevalence projection'!AF$21</f>
        <v>2049</v>
      </c>
      <c r="AG85" s="34">
        <f>'Prevalence projection'!AG$21</f>
        <v>2050</v>
      </c>
      <c r="AH85" s="34">
        <f>'Prevalence projection'!AH$21</f>
        <v>2051</v>
      </c>
      <c r="AI85" s="34">
        <f>'Prevalence projection'!AI$21</f>
        <v>2052</v>
      </c>
      <c r="AJ85" s="34">
        <f>'Prevalence projection'!AJ$21</f>
        <v>2053</v>
      </c>
      <c r="AK85" s="34">
        <f>'Prevalence projection'!AK$21</f>
        <v>2054</v>
      </c>
      <c r="AL85" s="34">
        <f>'Prevalence projection'!AL$21</f>
        <v>2055</v>
      </c>
      <c r="AM85" s="34">
        <f>'Prevalence projection'!AM$21</f>
        <v>2056</v>
      </c>
      <c r="AN85" s="34">
        <f>'Prevalence projection'!AN$21</f>
        <v>2057</v>
      </c>
      <c r="AO85" s="34">
        <f>'Prevalence projection'!AO$21</f>
        <v>2058</v>
      </c>
      <c r="AP85" s="34">
        <f>'Prevalence projection'!AP$21</f>
        <v>2059</v>
      </c>
      <c r="AQ85" s="34">
        <f>'Prevalence projection'!AQ$21</f>
        <v>2060</v>
      </c>
      <c r="AR85" s="34">
        <f>'Prevalence projection'!AR$21</f>
        <v>2061</v>
      </c>
      <c r="AS85" s="34">
        <f>'Prevalence projection'!AS$21</f>
        <v>2062</v>
      </c>
      <c r="AT85" s="34">
        <f>'Prevalence projection'!AT$21</f>
        <v>2063</v>
      </c>
      <c r="AU85" s="34">
        <f>'Prevalence projection'!AU$21</f>
        <v>2064</v>
      </c>
      <c r="AV85" s="34">
        <f>'Prevalence projection'!AV$21</f>
        <v>2065</v>
      </c>
      <c r="AW85" s="34">
        <f>'Prevalence projection'!AW$21</f>
        <v>2066</v>
      </c>
      <c r="AX85" s="34">
        <f>'Prevalence projection'!AX$21</f>
        <v>2067</v>
      </c>
      <c r="AY85" s="34">
        <f>'Prevalence projection'!AY$21</f>
        <v>2068</v>
      </c>
      <c r="AZ85" s="34">
        <f>'Prevalence projection'!AZ$21</f>
        <v>2069</v>
      </c>
      <c r="BA85" s="34">
        <f>'Prevalence projection'!BA$21</f>
        <v>2070</v>
      </c>
    </row>
    <row r="86" spans="1:53" ht="29">
      <c r="B86" s="411" t="s">
        <v>2908</v>
      </c>
      <c r="C86" s="397">
        <f>'Wound maintenance vols INT'!C104</f>
        <v>0</v>
      </c>
      <c r="D86" s="397">
        <f>'Wound maintenance vols INT'!D104</f>
        <v>4.8590541916167656</v>
      </c>
      <c r="E86" s="397">
        <f>'Wound maintenance vols INT'!E104</f>
        <v>9.884193068702583</v>
      </c>
      <c r="F86" s="397">
        <f>'Wound maintenance vols INT'!F104</f>
        <v>15.051479973522245</v>
      </c>
      <c r="G86" s="397">
        <f>'Wound maintenance vols INT'!G104</f>
        <v>20.344795164279436</v>
      </c>
      <c r="H86" s="397">
        <f>'Wound maintenance vols INT'!H104</f>
        <v>111.94828507521837</v>
      </c>
      <c r="I86" s="397">
        <f>'Wound maintenance vols INT'!I104</f>
        <v>193.30074448047799</v>
      </c>
      <c r="J86" s="397">
        <f>'Wound maintenance vols INT'!J104</f>
        <v>268.64554054547432</v>
      </c>
      <c r="K86" s="397">
        <f>'Wound maintenance vols INT'!K104</f>
        <v>340.65461274491003</v>
      </c>
      <c r="L86" s="397">
        <f>'Wound maintenance vols INT'!L104</f>
        <v>411.1308571416547</v>
      </c>
      <c r="M86" s="397">
        <f>'Wound maintenance vols INT'!M104</f>
        <v>481.13002421867401</v>
      </c>
      <c r="N86" s="397">
        <f>'Wound maintenance vols INT'!N104</f>
        <v>546.41614870881631</v>
      </c>
      <c r="O86" s="397">
        <f>'Wound maintenance vols INT'!O104</f>
        <v>612.09982189844231</v>
      </c>
      <c r="P86" s="397">
        <f>'Wound maintenance vols INT'!P104</f>
        <v>678.39385797606462</v>
      </c>
      <c r="Q86" s="397">
        <f>'Wound maintenance vols INT'!Q104</f>
        <v>745.41034925606164</v>
      </c>
      <c r="R86" s="397">
        <f>'Wound maintenance vols INT'!R104</f>
        <v>727.02687030474419</v>
      </c>
      <c r="S86" s="397">
        <f>'Wound maintenance vols INT'!S104</f>
        <v>719.83650634897049</v>
      </c>
      <c r="T86" s="397">
        <f>'Wound maintenance vols INT'!T104</f>
        <v>719.60390932740495</v>
      </c>
      <c r="U86" s="397">
        <f>'Wound maintenance vols INT'!U104</f>
        <v>723.66816131077405</v>
      </c>
      <c r="V86" s="397">
        <f>'Wound maintenance vols INT'!V104</f>
        <v>730.27302255505288</v>
      </c>
      <c r="W86" s="397">
        <f>'Wound maintenance vols INT'!W104</f>
        <v>738.34934566380048</v>
      </c>
      <c r="X86" s="397">
        <f>'Wound maintenance vols INT'!X104</f>
        <v>747.25026468764827</v>
      </c>
      <c r="Y86" s="397">
        <f>'Wound maintenance vols INT'!Y104</f>
        <v>756.55676891552434</v>
      </c>
      <c r="Z86" s="397">
        <f>'Wound maintenance vols INT'!Z104</f>
        <v>766.06600991962569</v>
      </c>
      <c r="AA86" s="397">
        <f>'Wound maintenance vols INT'!AA104</f>
        <v>775.65972515167618</v>
      </c>
      <c r="AB86" s="397">
        <f>'Wound maintenance vols INT'!AB104</f>
        <v>785.24889222734055</v>
      </c>
      <c r="AC86" s="397">
        <f>'Wound maintenance vols INT'!AC104</f>
        <v>794.7811590154646</v>
      </c>
      <c r="AD86" s="397">
        <f>'Wound maintenance vols INT'!AD104</f>
        <v>804.21752463937321</v>
      </c>
      <c r="AE86" s="397">
        <f>'Wound maintenance vols INT'!AE104</f>
        <v>813.50721122391428</v>
      </c>
      <c r="AF86" s="397">
        <f>'Wound maintenance vols INT'!AF104</f>
        <v>822.55835439614305</v>
      </c>
      <c r="AG86" s="397">
        <f>'Wound maintenance vols INT'!AG104</f>
        <v>831.34199929757381</v>
      </c>
      <c r="AH86" s="397">
        <f>'Wound maintenance vols INT'!AH104</f>
        <v>839.85765604491007</v>
      </c>
      <c r="AI86" s="397">
        <f>'Wound maintenance vols INT'!AI104</f>
        <v>848.08456019510447</v>
      </c>
      <c r="AJ86" s="397">
        <f>'Wound maintenance vols INT'!AJ104</f>
        <v>856.02506804808149</v>
      </c>
      <c r="AK86" s="397">
        <f>'Wound maintenance vols INT'!AK104</f>
        <v>863.679873016241</v>
      </c>
      <c r="AL86" s="397">
        <f>'Wound maintenance vols INT'!AL104</f>
        <v>871.03755924948348</v>
      </c>
      <c r="AM86" s="397">
        <f>'Wound maintenance vols INT'!AM104</f>
        <v>878.07126847455845</v>
      </c>
      <c r="AN86" s="397">
        <f>'Wound maintenance vols INT'!AN104</f>
        <v>884.75805567146642</v>
      </c>
      <c r="AO86" s="397">
        <f>'Wound maintenance vols INT'!AO104</f>
        <v>891.0800815545449</v>
      </c>
      <c r="AP86" s="397">
        <f>'Wound maintenance vols INT'!AP104</f>
        <v>897.02220096932444</v>
      </c>
      <c r="AQ86" s="397">
        <f>'Wound maintenance vols INT'!AQ104</f>
        <v>902.59629262350404</v>
      </c>
      <c r="AR86" s="397">
        <f>'Wound maintenance vols INT'!AR104</f>
        <v>907.82211935566738</v>
      </c>
      <c r="AS86" s="397">
        <f>'Wound maintenance vols INT'!AS104</f>
        <v>912.73498779025613</v>
      </c>
      <c r="AT86" s="397">
        <f>'Wound maintenance vols INT'!AT104</f>
        <v>917.24926160036773</v>
      </c>
      <c r="AU86" s="397">
        <f>'Wound maintenance vols INT'!AU104</f>
        <v>921.32461477615743</v>
      </c>
      <c r="AV86" s="397">
        <f>'Wound maintenance vols INT'!AV104</f>
        <v>924.96038450160461</v>
      </c>
      <c r="AW86" s="397">
        <f>'Wound maintenance vols INT'!AW104</f>
        <v>928.10628943566189</v>
      </c>
      <c r="AX86" s="397">
        <f>'Wound maintenance vols INT'!AX104</f>
        <v>930.76418059949901</v>
      </c>
      <c r="AY86" s="397">
        <f>'Wound maintenance vols INT'!AY104</f>
        <v>932.96560388554246</v>
      </c>
      <c r="AZ86" s="397">
        <f>'Wound maintenance vols INT'!AZ104</f>
        <v>934.75940969204203</v>
      </c>
      <c r="BA86" s="397">
        <f>'Wound maintenance vols INT'!BA104</f>
        <v>936.17242093042466</v>
      </c>
    </row>
    <row r="87" spans="1:53">
      <c r="B87" s="408"/>
      <c r="C87" s="409"/>
      <c r="D87" s="409"/>
      <c r="E87" s="409"/>
      <c r="F87" s="409"/>
      <c r="G87" s="409"/>
      <c r="H87" s="409"/>
      <c r="I87" s="409"/>
      <c r="J87" s="409"/>
      <c r="K87" s="409"/>
      <c r="L87" s="409"/>
      <c r="M87" s="409"/>
      <c r="N87" s="409"/>
      <c r="O87" s="409"/>
      <c r="P87" s="409"/>
      <c r="Q87" s="409"/>
      <c r="R87" s="409"/>
      <c r="S87" s="409"/>
      <c r="T87" s="409"/>
      <c r="U87" s="409"/>
      <c r="V87" s="409"/>
      <c r="W87" s="409"/>
      <c r="X87" s="409"/>
      <c r="Y87" s="409"/>
      <c r="Z87" s="409"/>
      <c r="AA87" s="409"/>
      <c r="AB87" s="409"/>
      <c r="AC87" s="409"/>
      <c r="AD87" s="409"/>
      <c r="AE87" s="409"/>
    </row>
    <row r="88" spans="1:53">
      <c r="B88" s="52"/>
      <c r="C88" s="78"/>
      <c r="E88" s="111"/>
      <c r="F88" s="111"/>
      <c r="H88" s="112"/>
      <c r="J88" s="78"/>
    </row>
    <row r="89" spans="1:53">
      <c r="B89" s="114" t="s">
        <v>2926</v>
      </c>
      <c r="C89" s="78"/>
      <c r="E89" s="111"/>
      <c r="F89" s="111"/>
      <c r="H89" s="112"/>
      <c r="J89" s="78"/>
    </row>
    <row r="90" spans="1:53">
      <c r="B90" s="114"/>
      <c r="C90" s="78"/>
      <c r="E90" s="111"/>
      <c r="F90" s="111"/>
      <c r="H90" s="112"/>
      <c r="J90" s="78"/>
    </row>
    <row r="91" spans="1:53">
      <c r="B91" s="7" t="s">
        <v>125</v>
      </c>
      <c r="C91" s="344" t="s">
        <v>20</v>
      </c>
      <c r="E91" s="543" t="s">
        <v>2602</v>
      </c>
      <c r="F91" s="111"/>
      <c r="H91" s="112"/>
      <c r="J91" s="78"/>
    </row>
    <row r="92" spans="1:53">
      <c r="B92" s="6" t="s">
        <v>2863</v>
      </c>
      <c r="C92" s="368">
        <f>SUMIFS('VLU Care Pathways'!$J$105:$J$111, 'VLU Care Pathways'!$K$105:$K$111, B92)</f>
        <v>2</v>
      </c>
      <c r="E92" s="368">
        <f>SUMIFS('VLU Care Pathways INT'!$J$112:$J$118, 'VLU Care Pathways INT'!$K$112:$K$118, B92)</f>
        <v>2</v>
      </c>
      <c r="F92" s="111"/>
      <c r="H92" s="112"/>
      <c r="J92" s="78"/>
    </row>
    <row r="93" spans="1:53">
      <c r="B93" s="6" t="s">
        <v>2862</v>
      </c>
      <c r="C93" s="368">
        <f>SUMIFS('VLU Care Pathways'!$J$105:$J$111, 'VLU Care Pathways'!$K$105:$K$111, B93)</f>
        <v>4</v>
      </c>
      <c r="E93" s="368">
        <f>SUMIFS('VLU Care Pathways INT'!$J$112:$J$118, 'VLU Care Pathways INT'!$K$112:$K$118, B93)</f>
        <v>4</v>
      </c>
      <c r="F93" s="111"/>
      <c r="H93" s="112"/>
      <c r="J93" s="78"/>
    </row>
    <row r="94" spans="1:53">
      <c r="B94" s="6" t="s">
        <v>131</v>
      </c>
      <c r="C94" s="368">
        <f>SUMIFS('VLU Care Pathways'!$J$105:$J$111, 'VLU Care Pathways'!$K$105:$K$111, B94)</f>
        <v>0</v>
      </c>
      <c r="E94" s="368">
        <f>SUMIFS('VLU Care Pathways INT'!$J$112:$J$118, 'VLU Care Pathways INT'!$K$112:$K$118, B94)</f>
        <v>0</v>
      </c>
      <c r="F94" s="111"/>
      <c r="H94" s="112"/>
      <c r="J94" s="78"/>
    </row>
    <row r="95" spans="1:53" ht="29">
      <c r="B95" s="6" t="s">
        <v>2869</v>
      </c>
      <c r="C95" s="368">
        <f>SUMIFS('VLU Care Pathways'!$J$105:$J$111, 'VLU Care Pathways'!$K$105:$K$111, B95)</f>
        <v>0</v>
      </c>
      <c r="E95" s="368">
        <f>SUMIFS('VLU Care Pathways INT'!$J$112:$J$118, 'VLU Care Pathways INT'!$K$112:$K$118, B95)</f>
        <v>0</v>
      </c>
      <c r="F95" s="111"/>
      <c r="H95" s="112"/>
      <c r="J95" s="78"/>
    </row>
    <row r="96" spans="1:53" ht="29">
      <c r="B96" s="6" t="s">
        <v>2870</v>
      </c>
      <c r="C96" s="368">
        <f>SUMIFS('VLU Care Pathways'!$J$105:$J$111, 'VLU Care Pathways'!$K$105:$K$111, B96)</f>
        <v>0</v>
      </c>
      <c r="E96" s="368">
        <f>SUMIFS('VLU Care Pathways INT'!$J$112:$J$118, 'VLU Care Pathways INT'!$K$112:$K$118, B96)</f>
        <v>0</v>
      </c>
      <c r="F96" s="111"/>
      <c r="H96" s="112"/>
      <c r="J96" s="78"/>
    </row>
    <row r="97" spans="2:54">
      <c r="B97" s="6" t="s">
        <v>102</v>
      </c>
      <c r="C97" s="368">
        <f>SUMIFS('VLU Care Pathways'!$J$105:$J$111, 'VLU Care Pathways'!$K$105:$K$111, B97)</f>
        <v>4</v>
      </c>
      <c r="E97" s="368">
        <f>SUMIFS('VLU Care Pathways INT'!$J$112:$J$118, 'VLU Care Pathways INT'!$K$112:$K$118, B97)</f>
        <v>4</v>
      </c>
      <c r="F97" s="111"/>
      <c r="H97" s="112"/>
      <c r="J97" s="78"/>
    </row>
    <row r="98" spans="2:54">
      <c r="B98" s="6" t="s">
        <v>2831</v>
      </c>
      <c r="C98" s="368">
        <f>SUMIFS('VLU Care Pathways'!$J$105:$J$111, 'VLU Care Pathways'!$K$105:$K$111, B98)</f>
        <v>72</v>
      </c>
      <c r="E98" s="368">
        <f>SUMIFS('VLU Care Pathways INT'!$J$112:$J$118, 'VLU Care Pathways INT'!$K$112:$K$118, B98)</f>
        <v>108.00000000000001</v>
      </c>
      <c r="F98" s="111"/>
      <c r="H98" s="112"/>
      <c r="J98" s="78"/>
    </row>
    <row r="99" spans="2:54">
      <c r="B99" s="6" t="s">
        <v>2832</v>
      </c>
      <c r="C99" s="368">
        <f>SUMIFS('VLU Care Pathways'!$J$105:$J$111, 'VLU Care Pathways'!$K$105:$K$111, B99)</f>
        <v>48</v>
      </c>
      <c r="E99" s="368">
        <f>SUMIFS('VLU Care Pathways INT'!$J$112:$J$118, 'VLU Care Pathways INT'!$K$112:$K$118, B99)</f>
        <v>12</v>
      </c>
      <c r="F99" s="111"/>
      <c r="H99" s="112"/>
      <c r="J99" s="78"/>
    </row>
    <row r="100" spans="2:54">
      <c r="B100" s="6" t="s">
        <v>2871</v>
      </c>
      <c r="C100" s="368">
        <f>SUMIFS('VLU Care Pathways'!$J$105:$J$111, 'VLU Care Pathways'!$K$105:$K$111, B100)</f>
        <v>0</v>
      </c>
      <c r="E100" s="368">
        <f>SUMIFS('VLU Care Pathways INT'!$J$112:$J$118, 'VLU Care Pathways INT'!$K$112:$K$118, B100)</f>
        <v>0</v>
      </c>
      <c r="F100" s="111"/>
      <c r="H100" s="112"/>
      <c r="J100" s="78"/>
    </row>
    <row r="101" spans="2:54">
      <c r="B101" s="52"/>
      <c r="C101" s="52"/>
      <c r="D101" s="111"/>
      <c r="F101" s="111"/>
      <c r="H101" s="112"/>
      <c r="J101" s="78"/>
    </row>
    <row r="102" spans="2:54">
      <c r="B102" s="52"/>
      <c r="C102" s="52"/>
      <c r="F102" s="111"/>
      <c r="H102" s="112"/>
      <c r="J102" s="78"/>
    </row>
    <row r="103" spans="2:54">
      <c r="B103" s="442" t="s">
        <v>2927</v>
      </c>
      <c r="C103" s="52"/>
      <c r="D103" s="52"/>
      <c r="F103" s="111"/>
      <c r="H103" s="112"/>
      <c r="J103" s="78"/>
    </row>
    <row r="104" spans="2:54">
      <c r="B104" s="7" t="s">
        <v>9</v>
      </c>
      <c r="D104" s="34">
        <f>'Prevalence projection'!C$21</f>
        <v>2020</v>
      </c>
      <c r="E104" s="34">
        <f>'Prevalence projection'!D$21</f>
        <v>2021</v>
      </c>
      <c r="F104" s="34">
        <f>'Prevalence projection'!E$21</f>
        <v>2022</v>
      </c>
      <c r="G104" s="34">
        <f>'Prevalence projection'!F$21</f>
        <v>2023</v>
      </c>
      <c r="H104" s="34">
        <f>'Prevalence projection'!G$21</f>
        <v>2024</v>
      </c>
      <c r="I104" s="34">
        <f>'Prevalence projection'!H$21</f>
        <v>2025</v>
      </c>
      <c r="J104" s="34">
        <f>'Prevalence projection'!I$21</f>
        <v>2026</v>
      </c>
      <c r="K104" s="34">
        <f>'Prevalence projection'!J$21</f>
        <v>2027</v>
      </c>
      <c r="L104" s="34">
        <f>'Prevalence projection'!K$21</f>
        <v>2028</v>
      </c>
      <c r="M104" s="34">
        <f>'Prevalence projection'!L$21</f>
        <v>2029</v>
      </c>
      <c r="N104" s="34">
        <f>'Prevalence projection'!M$21</f>
        <v>2030</v>
      </c>
      <c r="O104" s="34">
        <f>'Prevalence projection'!N$21</f>
        <v>2031</v>
      </c>
      <c r="P104" s="34">
        <f>'Prevalence projection'!O$21</f>
        <v>2032</v>
      </c>
      <c r="Q104" s="34">
        <f>'Prevalence projection'!P$21</f>
        <v>2033</v>
      </c>
      <c r="R104" s="34">
        <f>'Prevalence projection'!Q$21</f>
        <v>2034</v>
      </c>
      <c r="S104" s="34">
        <f>'Prevalence projection'!R$21</f>
        <v>2035</v>
      </c>
      <c r="T104" s="34">
        <f>'Prevalence projection'!S$21</f>
        <v>2036</v>
      </c>
      <c r="U104" s="34">
        <f>'Prevalence projection'!T$21</f>
        <v>2037</v>
      </c>
      <c r="V104" s="34">
        <f>'Prevalence projection'!U$21</f>
        <v>2038</v>
      </c>
      <c r="W104" s="34">
        <f>'Prevalence projection'!V$21</f>
        <v>2039</v>
      </c>
      <c r="X104" s="34">
        <f>'Prevalence projection'!W$21</f>
        <v>2040</v>
      </c>
      <c r="Y104" s="34">
        <f>'Prevalence projection'!X$21</f>
        <v>2041</v>
      </c>
      <c r="Z104" s="34">
        <f>'Prevalence projection'!Y$21</f>
        <v>2042</v>
      </c>
      <c r="AA104" s="34">
        <f>'Prevalence projection'!Z$21</f>
        <v>2043</v>
      </c>
      <c r="AB104" s="34">
        <f>'Prevalence projection'!AA$21</f>
        <v>2044</v>
      </c>
      <c r="AC104" s="34">
        <f>'Prevalence projection'!AB$21</f>
        <v>2045</v>
      </c>
      <c r="AD104" s="34">
        <f>'Prevalence projection'!AC$21</f>
        <v>2046</v>
      </c>
      <c r="AE104" s="34">
        <f>'Prevalence projection'!AD$21</f>
        <v>2047</v>
      </c>
      <c r="AF104" s="34">
        <f>'Prevalence projection'!AE$21</f>
        <v>2048</v>
      </c>
      <c r="AG104" s="34">
        <f>'Prevalence projection'!AF$21</f>
        <v>2049</v>
      </c>
      <c r="AH104" s="34">
        <f>'Prevalence projection'!AG$21</f>
        <v>2050</v>
      </c>
      <c r="AI104" s="34">
        <f>'Prevalence projection'!AH$21</f>
        <v>2051</v>
      </c>
      <c r="AJ104" s="34">
        <f>'Prevalence projection'!AI$21</f>
        <v>2052</v>
      </c>
      <c r="AK104" s="34">
        <f>'Prevalence projection'!AJ$21</f>
        <v>2053</v>
      </c>
      <c r="AL104" s="34">
        <f>'Prevalence projection'!AK$21</f>
        <v>2054</v>
      </c>
      <c r="AM104" s="34">
        <f>'Prevalence projection'!AL$21</f>
        <v>2055</v>
      </c>
      <c r="AN104" s="34">
        <f>'Prevalence projection'!AM$21</f>
        <v>2056</v>
      </c>
      <c r="AO104" s="34">
        <f>'Prevalence projection'!AN$21</f>
        <v>2057</v>
      </c>
      <c r="AP104" s="34">
        <f>'Prevalence projection'!AO$21</f>
        <v>2058</v>
      </c>
      <c r="AQ104" s="34">
        <f>'Prevalence projection'!AP$21</f>
        <v>2059</v>
      </c>
      <c r="AR104" s="34">
        <f>'Prevalence projection'!AQ$21</f>
        <v>2060</v>
      </c>
      <c r="AS104" s="34">
        <f>'Prevalence projection'!AR$21</f>
        <v>2061</v>
      </c>
      <c r="AT104" s="34">
        <f>'Prevalence projection'!AS$21</f>
        <v>2062</v>
      </c>
      <c r="AU104" s="34">
        <f>'Prevalence projection'!AT$21</f>
        <v>2063</v>
      </c>
      <c r="AV104" s="34">
        <f>'Prevalence projection'!AU$21</f>
        <v>2064</v>
      </c>
      <c r="AW104" s="34">
        <f>'Prevalence projection'!AV$21</f>
        <v>2065</v>
      </c>
      <c r="AX104" s="34">
        <f>'Prevalence projection'!AW$21</f>
        <v>2066</v>
      </c>
      <c r="AY104" s="34">
        <f>'Prevalence projection'!AX$21</f>
        <v>2067</v>
      </c>
      <c r="AZ104" s="34">
        <f>'Prevalence projection'!AY$21</f>
        <v>2068</v>
      </c>
      <c r="BA104" s="34">
        <f>'Prevalence projection'!AZ$21</f>
        <v>2069</v>
      </c>
      <c r="BB104" s="34">
        <f>'Prevalence projection'!BA$21</f>
        <v>2070</v>
      </c>
    </row>
    <row r="105" spans="2:54">
      <c r="B105" s="6" t="s">
        <v>11</v>
      </c>
      <c r="D105" s="89">
        <f>IF(D$104&lt;$C$7,    SUMIFS($C$92:$C$100,$B$92:$B$100,$B105),  SUMIFS($E$92:$E$100,$B$92:$B$100,$B105))   *C$86</f>
        <v>0</v>
      </c>
      <c r="E105" s="89">
        <f t="shared" ref="E105:BB105" si="19">IF(E$104&lt;$C$7,    SUMIFS($C$92:$C$100,$B$92:$B$100,$B105),  SUMIFS($E$92:$E$100,$B$92:$B$100,$B105))   *D$86</f>
        <v>0</v>
      </c>
      <c r="F105" s="89">
        <f t="shared" si="19"/>
        <v>0</v>
      </c>
      <c r="G105" s="89">
        <f t="shared" si="19"/>
        <v>0</v>
      </c>
      <c r="H105" s="89">
        <f t="shared" si="19"/>
        <v>0</v>
      </c>
      <c r="I105" s="89">
        <f t="shared" si="19"/>
        <v>0</v>
      </c>
      <c r="J105" s="89">
        <f t="shared" si="19"/>
        <v>0</v>
      </c>
      <c r="K105" s="89">
        <f t="shared" si="19"/>
        <v>0</v>
      </c>
      <c r="L105" s="89">
        <f t="shared" si="19"/>
        <v>0</v>
      </c>
      <c r="M105" s="89">
        <f t="shared" si="19"/>
        <v>0</v>
      </c>
      <c r="N105" s="89">
        <f t="shared" si="19"/>
        <v>0</v>
      </c>
      <c r="O105" s="89">
        <f t="shared" si="19"/>
        <v>0</v>
      </c>
      <c r="P105" s="89">
        <f t="shared" si="19"/>
        <v>0</v>
      </c>
      <c r="Q105" s="89">
        <f t="shared" si="19"/>
        <v>0</v>
      </c>
      <c r="R105" s="89">
        <f t="shared" si="19"/>
        <v>0</v>
      </c>
      <c r="S105" s="89">
        <f t="shared" si="19"/>
        <v>0</v>
      </c>
      <c r="T105" s="89">
        <f t="shared" si="19"/>
        <v>0</v>
      </c>
      <c r="U105" s="89">
        <f t="shared" si="19"/>
        <v>0</v>
      </c>
      <c r="V105" s="89">
        <f t="shared" si="19"/>
        <v>0</v>
      </c>
      <c r="W105" s="89">
        <f t="shared" si="19"/>
        <v>0</v>
      </c>
      <c r="X105" s="89">
        <f t="shared" si="19"/>
        <v>0</v>
      </c>
      <c r="Y105" s="89">
        <f t="shared" si="19"/>
        <v>0</v>
      </c>
      <c r="Z105" s="89">
        <f t="shared" si="19"/>
        <v>0</v>
      </c>
      <c r="AA105" s="89">
        <f t="shared" si="19"/>
        <v>0</v>
      </c>
      <c r="AB105" s="89">
        <f t="shared" si="19"/>
        <v>0</v>
      </c>
      <c r="AC105" s="89">
        <f t="shared" si="19"/>
        <v>0</v>
      </c>
      <c r="AD105" s="89">
        <f t="shared" si="19"/>
        <v>0</v>
      </c>
      <c r="AE105" s="89">
        <f t="shared" si="19"/>
        <v>0</v>
      </c>
      <c r="AF105" s="89">
        <f t="shared" si="19"/>
        <v>0</v>
      </c>
      <c r="AG105" s="89">
        <f t="shared" si="19"/>
        <v>0</v>
      </c>
      <c r="AH105" s="89">
        <f t="shared" si="19"/>
        <v>0</v>
      </c>
      <c r="AI105" s="89">
        <f t="shared" si="19"/>
        <v>0</v>
      </c>
      <c r="AJ105" s="89">
        <f t="shared" si="19"/>
        <v>0</v>
      </c>
      <c r="AK105" s="89">
        <f t="shared" si="19"/>
        <v>0</v>
      </c>
      <c r="AL105" s="89">
        <f t="shared" si="19"/>
        <v>0</v>
      </c>
      <c r="AM105" s="89">
        <f t="shared" si="19"/>
        <v>0</v>
      </c>
      <c r="AN105" s="89">
        <f t="shared" si="19"/>
        <v>0</v>
      </c>
      <c r="AO105" s="89">
        <f t="shared" si="19"/>
        <v>0</v>
      </c>
      <c r="AP105" s="89">
        <f t="shared" si="19"/>
        <v>0</v>
      </c>
      <c r="AQ105" s="89">
        <f t="shared" si="19"/>
        <v>0</v>
      </c>
      <c r="AR105" s="89">
        <f t="shared" si="19"/>
        <v>0</v>
      </c>
      <c r="AS105" s="89">
        <f t="shared" si="19"/>
        <v>0</v>
      </c>
      <c r="AT105" s="89">
        <f t="shared" si="19"/>
        <v>0</v>
      </c>
      <c r="AU105" s="89">
        <f t="shared" si="19"/>
        <v>0</v>
      </c>
      <c r="AV105" s="89">
        <f t="shared" si="19"/>
        <v>0</v>
      </c>
      <c r="AW105" s="89">
        <f t="shared" si="19"/>
        <v>0</v>
      </c>
      <c r="AX105" s="89">
        <f t="shared" si="19"/>
        <v>0</v>
      </c>
      <c r="AY105" s="89">
        <f t="shared" si="19"/>
        <v>0</v>
      </c>
      <c r="AZ105" s="89">
        <f t="shared" si="19"/>
        <v>0</v>
      </c>
      <c r="BA105" s="89">
        <f t="shared" si="19"/>
        <v>0</v>
      </c>
      <c r="BB105" s="89">
        <f t="shared" si="19"/>
        <v>0</v>
      </c>
    </row>
    <row r="106" spans="2:54">
      <c r="B106" s="6" t="s">
        <v>14</v>
      </c>
      <c r="C106" s="52"/>
      <c r="D106" s="89">
        <f t="shared" ref="D106:BB106" si="20">IF(D$104&lt;$C$7,    SUMIFS($C$92:$C$100,$B$92:$B$100,$B106),  SUMIFS($E$92:$E$100,$B$92:$B$100,$B106))   *C$86</f>
        <v>0</v>
      </c>
      <c r="E106" s="89">
        <f t="shared" si="20"/>
        <v>0</v>
      </c>
      <c r="F106" s="89">
        <f t="shared" si="20"/>
        <v>0</v>
      </c>
      <c r="G106" s="89">
        <f t="shared" si="20"/>
        <v>0</v>
      </c>
      <c r="H106" s="89">
        <f t="shared" si="20"/>
        <v>0</v>
      </c>
      <c r="I106" s="89">
        <f t="shared" si="20"/>
        <v>0</v>
      </c>
      <c r="J106" s="89">
        <f t="shared" si="20"/>
        <v>0</v>
      </c>
      <c r="K106" s="89">
        <f t="shared" si="20"/>
        <v>0</v>
      </c>
      <c r="L106" s="89">
        <f t="shared" si="20"/>
        <v>0</v>
      </c>
      <c r="M106" s="89">
        <f t="shared" si="20"/>
        <v>0</v>
      </c>
      <c r="N106" s="89">
        <f t="shared" si="20"/>
        <v>0</v>
      </c>
      <c r="O106" s="89">
        <f t="shared" si="20"/>
        <v>0</v>
      </c>
      <c r="P106" s="89">
        <f t="shared" si="20"/>
        <v>0</v>
      </c>
      <c r="Q106" s="89">
        <f t="shared" si="20"/>
        <v>0</v>
      </c>
      <c r="R106" s="89">
        <f t="shared" si="20"/>
        <v>0</v>
      </c>
      <c r="S106" s="89">
        <f t="shared" si="20"/>
        <v>0</v>
      </c>
      <c r="T106" s="89">
        <f t="shared" si="20"/>
        <v>0</v>
      </c>
      <c r="U106" s="89">
        <f t="shared" si="20"/>
        <v>0</v>
      </c>
      <c r="V106" s="89">
        <f t="shared" si="20"/>
        <v>0</v>
      </c>
      <c r="W106" s="89">
        <f t="shared" si="20"/>
        <v>0</v>
      </c>
      <c r="X106" s="89">
        <f t="shared" si="20"/>
        <v>0</v>
      </c>
      <c r="Y106" s="89">
        <f t="shared" si="20"/>
        <v>0</v>
      </c>
      <c r="Z106" s="89">
        <f t="shared" si="20"/>
        <v>0</v>
      </c>
      <c r="AA106" s="89">
        <f t="shared" si="20"/>
        <v>0</v>
      </c>
      <c r="AB106" s="89">
        <f t="shared" si="20"/>
        <v>0</v>
      </c>
      <c r="AC106" s="89">
        <f t="shared" si="20"/>
        <v>0</v>
      </c>
      <c r="AD106" s="89">
        <f t="shared" si="20"/>
        <v>0</v>
      </c>
      <c r="AE106" s="89">
        <f t="shared" si="20"/>
        <v>0</v>
      </c>
      <c r="AF106" s="89">
        <f t="shared" si="20"/>
        <v>0</v>
      </c>
      <c r="AG106" s="89">
        <f t="shared" si="20"/>
        <v>0</v>
      </c>
      <c r="AH106" s="89">
        <f t="shared" si="20"/>
        <v>0</v>
      </c>
      <c r="AI106" s="89">
        <f t="shared" si="20"/>
        <v>0</v>
      </c>
      <c r="AJ106" s="89">
        <f t="shared" si="20"/>
        <v>0</v>
      </c>
      <c r="AK106" s="89">
        <f t="shared" si="20"/>
        <v>0</v>
      </c>
      <c r="AL106" s="89">
        <f t="shared" si="20"/>
        <v>0</v>
      </c>
      <c r="AM106" s="89">
        <f t="shared" si="20"/>
        <v>0</v>
      </c>
      <c r="AN106" s="89">
        <f t="shared" si="20"/>
        <v>0</v>
      </c>
      <c r="AO106" s="89">
        <f t="shared" si="20"/>
        <v>0</v>
      </c>
      <c r="AP106" s="89">
        <f t="shared" si="20"/>
        <v>0</v>
      </c>
      <c r="AQ106" s="89">
        <f t="shared" si="20"/>
        <v>0</v>
      </c>
      <c r="AR106" s="89">
        <f t="shared" si="20"/>
        <v>0</v>
      </c>
      <c r="AS106" s="89">
        <f t="shared" si="20"/>
        <v>0</v>
      </c>
      <c r="AT106" s="89">
        <f t="shared" si="20"/>
        <v>0</v>
      </c>
      <c r="AU106" s="89">
        <f t="shared" si="20"/>
        <v>0</v>
      </c>
      <c r="AV106" s="89">
        <f t="shared" si="20"/>
        <v>0</v>
      </c>
      <c r="AW106" s="89">
        <f t="shared" si="20"/>
        <v>0</v>
      </c>
      <c r="AX106" s="89">
        <f t="shared" si="20"/>
        <v>0</v>
      </c>
      <c r="AY106" s="89">
        <f t="shared" si="20"/>
        <v>0</v>
      </c>
      <c r="AZ106" s="89">
        <f t="shared" si="20"/>
        <v>0</v>
      </c>
      <c r="BA106" s="89">
        <f t="shared" si="20"/>
        <v>0</v>
      </c>
      <c r="BB106" s="89">
        <f t="shared" si="20"/>
        <v>0</v>
      </c>
    </row>
    <row r="107" spans="2:54">
      <c r="B107" s="6" t="s">
        <v>15</v>
      </c>
      <c r="C107" s="52"/>
      <c r="D107" s="89">
        <f t="shared" ref="D107:BB107" si="21">IF(D$104&lt;$C$7,    SUMIFS($C$92:$C$100,$B$92:$B$100,$B107),  SUMIFS($E$92:$E$100,$B$92:$B$100,$B107))   *C$86</f>
        <v>0</v>
      </c>
      <c r="E107" s="89">
        <f t="shared" si="21"/>
        <v>0</v>
      </c>
      <c r="F107" s="89">
        <f t="shared" si="21"/>
        <v>0</v>
      </c>
      <c r="G107" s="89">
        <f t="shared" si="21"/>
        <v>0</v>
      </c>
      <c r="H107" s="89">
        <f t="shared" si="21"/>
        <v>0</v>
      </c>
      <c r="I107" s="89">
        <f t="shared" si="21"/>
        <v>0</v>
      </c>
      <c r="J107" s="89">
        <f t="shared" si="21"/>
        <v>0</v>
      </c>
      <c r="K107" s="89">
        <f t="shared" si="21"/>
        <v>0</v>
      </c>
      <c r="L107" s="89">
        <f t="shared" si="21"/>
        <v>0</v>
      </c>
      <c r="M107" s="89">
        <f t="shared" si="21"/>
        <v>0</v>
      </c>
      <c r="N107" s="89">
        <f t="shared" si="21"/>
        <v>0</v>
      </c>
      <c r="O107" s="89">
        <f t="shared" si="21"/>
        <v>0</v>
      </c>
      <c r="P107" s="89">
        <f t="shared" si="21"/>
        <v>0</v>
      </c>
      <c r="Q107" s="89">
        <f t="shared" si="21"/>
        <v>0</v>
      </c>
      <c r="R107" s="89">
        <f t="shared" si="21"/>
        <v>0</v>
      </c>
      <c r="S107" s="89">
        <f t="shared" si="21"/>
        <v>0</v>
      </c>
      <c r="T107" s="89">
        <f t="shared" si="21"/>
        <v>0</v>
      </c>
      <c r="U107" s="89">
        <f t="shared" si="21"/>
        <v>0</v>
      </c>
      <c r="V107" s="89">
        <f t="shared" si="21"/>
        <v>0</v>
      </c>
      <c r="W107" s="89">
        <f t="shared" si="21"/>
        <v>0</v>
      </c>
      <c r="X107" s="89">
        <f t="shared" si="21"/>
        <v>0</v>
      </c>
      <c r="Y107" s="89">
        <f t="shared" si="21"/>
        <v>0</v>
      </c>
      <c r="Z107" s="89">
        <f t="shared" si="21"/>
        <v>0</v>
      </c>
      <c r="AA107" s="89">
        <f t="shared" si="21"/>
        <v>0</v>
      </c>
      <c r="AB107" s="89">
        <f t="shared" si="21"/>
        <v>0</v>
      </c>
      <c r="AC107" s="89">
        <f t="shared" si="21"/>
        <v>0</v>
      </c>
      <c r="AD107" s="89">
        <f t="shared" si="21"/>
        <v>0</v>
      </c>
      <c r="AE107" s="89">
        <f t="shared" si="21"/>
        <v>0</v>
      </c>
      <c r="AF107" s="89">
        <f t="shared" si="21"/>
        <v>0</v>
      </c>
      <c r="AG107" s="89">
        <f t="shared" si="21"/>
        <v>0</v>
      </c>
      <c r="AH107" s="89">
        <f t="shared" si="21"/>
        <v>0</v>
      </c>
      <c r="AI107" s="89">
        <f t="shared" si="21"/>
        <v>0</v>
      </c>
      <c r="AJ107" s="89">
        <f t="shared" si="21"/>
        <v>0</v>
      </c>
      <c r="AK107" s="89">
        <f t="shared" si="21"/>
        <v>0</v>
      </c>
      <c r="AL107" s="89">
        <f t="shared" si="21"/>
        <v>0</v>
      </c>
      <c r="AM107" s="89">
        <f t="shared" si="21"/>
        <v>0</v>
      </c>
      <c r="AN107" s="89">
        <f t="shared" si="21"/>
        <v>0</v>
      </c>
      <c r="AO107" s="89">
        <f t="shared" si="21"/>
        <v>0</v>
      </c>
      <c r="AP107" s="89">
        <f t="shared" si="21"/>
        <v>0</v>
      </c>
      <c r="AQ107" s="89">
        <f t="shared" si="21"/>
        <v>0</v>
      </c>
      <c r="AR107" s="89">
        <f t="shared" si="21"/>
        <v>0</v>
      </c>
      <c r="AS107" s="89">
        <f t="shared" si="21"/>
        <v>0</v>
      </c>
      <c r="AT107" s="89">
        <f t="shared" si="21"/>
        <v>0</v>
      </c>
      <c r="AU107" s="89">
        <f t="shared" si="21"/>
        <v>0</v>
      </c>
      <c r="AV107" s="89">
        <f t="shared" si="21"/>
        <v>0</v>
      </c>
      <c r="AW107" s="89">
        <f t="shared" si="21"/>
        <v>0</v>
      </c>
      <c r="AX107" s="89">
        <f t="shared" si="21"/>
        <v>0</v>
      </c>
      <c r="AY107" s="89">
        <f t="shared" si="21"/>
        <v>0</v>
      </c>
      <c r="AZ107" s="89">
        <f t="shared" si="21"/>
        <v>0</v>
      </c>
      <c r="BA107" s="89">
        <f t="shared" si="21"/>
        <v>0</v>
      </c>
      <c r="BB107" s="89">
        <f t="shared" si="21"/>
        <v>0</v>
      </c>
    </row>
    <row r="108" spans="2:54" ht="29">
      <c r="B108" s="6" t="s">
        <v>16</v>
      </c>
      <c r="C108" s="52"/>
      <c r="D108" s="89">
        <f t="shared" ref="D108:BB108" si="22">IF(D$104&lt;$C$7,    SUMIFS($C$92:$C$100,$B$92:$B$100,$B108),  SUMIFS($E$92:$E$100,$B$92:$B$100,$B108))   *C$86</f>
        <v>0</v>
      </c>
      <c r="E108" s="89">
        <f t="shared" si="22"/>
        <v>0</v>
      </c>
      <c r="F108" s="89">
        <f t="shared" si="22"/>
        <v>0</v>
      </c>
      <c r="G108" s="89">
        <f t="shared" si="22"/>
        <v>0</v>
      </c>
      <c r="H108" s="89">
        <f t="shared" si="22"/>
        <v>0</v>
      </c>
      <c r="I108" s="89">
        <f t="shared" si="22"/>
        <v>0</v>
      </c>
      <c r="J108" s="89">
        <f t="shared" si="22"/>
        <v>0</v>
      </c>
      <c r="K108" s="89">
        <f t="shared" si="22"/>
        <v>0</v>
      </c>
      <c r="L108" s="89">
        <f t="shared" si="22"/>
        <v>0</v>
      </c>
      <c r="M108" s="89">
        <f t="shared" si="22"/>
        <v>0</v>
      </c>
      <c r="N108" s="89">
        <f t="shared" si="22"/>
        <v>0</v>
      </c>
      <c r="O108" s="89">
        <f t="shared" si="22"/>
        <v>0</v>
      </c>
      <c r="P108" s="89">
        <f t="shared" si="22"/>
        <v>0</v>
      </c>
      <c r="Q108" s="89">
        <f t="shared" si="22"/>
        <v>0</v>
      </c>
      <c r="R108" s="89">
        <f t="shared" si="22"/>
        <v>0</v>
      </c>
      <c r="S108" s="89">
        <f t="shared" si="22"/>
        <v>0</v>
      </c>
      <c r="T108" s="89">
        <f t="shared" si="22"/>
        <v>0</v>
      </c>
      <c r="U108" s="89">
        <f t="shared" si="22"/>
        <v>0</v>
      </c>
      <c r="V108" s="89">
        <f t="shared" si="22"/>
        <v>0</v>
      </c>
      <c r="W108" s="89">
        <f t="shared" si="22"/>
        <v>0</v>
      </c>
      <c r="X108" s="89">
        <f t="shared" si="22"/>
        <v>0</v>
      </c>
      <c r="Y108" s="89">
        <f t="shared" si="22"/>
        <v>0</v>
      </c>
      <c r="Z108" s="89">
        <f t="shared" si="22"/>
        <v>0</v>
      </c>
      <c r="AA108" s="89">
        <f t="shared" si="22"/>
        <v>0</v>
      </c>
      <c r="AB108" s="89">
        <f t="shared" si="22"/>
        <v>0</v>
      </c>
      <c r="AC108" s="89">
        <f t="shared" si="22"/>
        <v>0</v>
      </c>
      <c r="AD108" s="89">
        <f t="shared" si="22"/>
        <v>0</v>
      </c>
      <c r="AE108" s="89">
        <f t="shared" si="22"/>
        <v>0</v>
      </c>
      <c r="AF108" s="89">
        <f t="shared" si="22"/>
        <v>0</v>
      </c>
      <c r="AG108" s="89">
        <f t="shared" si="22"/>
        <v>0</v>
      </c>
      <c r="AH108" s="89">
        <f t="shared" si="22"/>
        <v>0</v>
      </c>
      <c r="AI108" s="89">
        <f t="shared" si="22"/>
        <v>0</v>
      </c>
      <c r="AJ108" s="89">
        <f t="shared" si="22"/>
        <v>0</v>
      </c>
      <c r="AK108" s="89">
        <f t="shared" si="22"/>
        <v>0</v>
      </c>
      <c r="AL108" s="89">
        <f t="shared" si="22"/>
        <v>0</v>
      </c>
      <c r="AM108" s="89">
        <f t="shared" si="22"/>
        <v>0</v>
      </c>
      <c r="AN108" s="89">
        <f t="shared" si="22"/>
        <v>0</v>
      </c>
      <c r="AO108" s="89">
        <f t="shared" si="22"/>
        <v>0</v>
      </c>
      <c r="AP108" s="89">
        <f t="shared" si="22"/>
        <v>0</v>
      </c>
      <c r="AQ108" s="89">
        <f t="shared" si="22"/>
        <v>0</v>
      </c>
      <c r="AR108" s="89">
        <f t="shared" si="22"/>
        <v>0</v>
      </c>
      <c r="AS108" s="89">
        <f t="shared" si="22"/>
        <v>0</v>
      </c>
      <c r="AT108" s="89">
        <f t="shared" si="22"/>
        <v>0</v>
      </c>
      <c r="AU108" s="89">
        <f t="shared" si="22"/>
        <v>0</v>
      </c>
      <c r="AV108" s="89">
        <f t="shared" si="22"/>
        <v>0</v>
      </c>
      <c r="AW108" s="89">
        <f t="shared" si="22"/>
        <v>0</v>
      </c>
      <c r="AX108" s="89">
        <f t="shared" si="22"/>
        <v>0</v>
      </c>
      <c r="AY108" s="89">
        <f t="shared" si="22"/>
        <v>0</v>
      </c>
      <c r="AZ108" s="89">
        <f t="shared" si="22"/>
        <v>0</v>
      </c>
      <c r="BA108" s="89">
        <f t="shared" si="22"/>
        <v>0</v>
      </c>
      <c r="BB108" s="89">
        <f t="shared" si="22"/>
        <v>0</v>
      </c>
    </row>
    <row r="109" spans="2:54">
      <c r="B109" s="6" t="s">
        <v>103</v>
      </c>
      <c r="C109" s="52"/>
      <c r="D109" s="89">
        <f t="shared" ref="D109:BB109" si="23">IF(D$104&lt;$C$7,    SUMIFS($C$92:$C$100,$B$92:$B$100,$B109),  SUMIFS($E$92:$E$100,$B$92:$B$100,$B109))   *C$86</f>
        <v>0</v>
      </c>
      <c r="E109" s="89">
        <f t="shared" si="23"/>
        <v>0</v>
      </c>
      <c r="F109" s="89">
        <f t="shared" si="23"/>
        <v>0</v>
      </c>
      <c r="G109" s="89">
        <f t="shared" si="23"/>
        <v>0</v>
      </c>
      <c r="H109" s="89">
        <f t="shared" si="23"/>
        <v>0</v>
      </c>
      <c r="I109" s="89">
        <f t="shared" si="23"/>
        <v>0</v>
      </c>
      <c r="J109" s="89">
        <f t="shared" si="23"/>
        <v>0</v>
      </c>
      <c r="K109" s="89">
        <f t="shared" si="23"/>
        <v>0</v>
      </c>
      <c r="L109" s="89">
        <f t="shared" si="23"/>
        <v>0</v>
      </c>
      <c r="M109" s="89">
        <f t="shared" si="23"/>
        <v>0</v>
      </c>
      <c r="N109" s="89">
        <f t="shared" si="23"/>
        <v>0</v>
      </c>
      <c r="O109" s="89">
        <f t="shared" si="23"/>
        <v>0</v>
      </c>
      <c r="P109" s="89">
        <f t="shared" si="23"/>
        <v>0</v>
      </c>
      <c r="Q109" s="89">
        <f t="shared" si="23"/>
        <v>0</v>
      </c>
      <c r="R109" s="89">
        <f t="shared" si="23"/>
        <v>0</v>
      </c>
      <c r="S109" s="89">
        <f t="shared" si="23"/>
        <v>0</v>
      </c>
      <c r="T109" s="89">
        <f t="shared" si="23"/>
        <v>0</v>
      </c>
      <c r="U109" s="89">
        <f t="shared" si="23"/>
        <v>0</v>
      </c>
      <c r="V109" s="89">
        <f t="shared" si="23"/>
        <v>0</v>
      </c>
      <c r="W109" s="89">
        <f t="shared" si="23"/>
        <v>0</v>
      </c>
      <c r="X109" s="89">
        <f t="shared" si="23"/>
        <v>0</v>
      </c>
      <c r="Y109" s="89">
        <f t="shared" si="23"/>
        <v>0</v>
      </c>
      <c r="Z109" s="89">
        <f t="shared" si="23"/>
        <v>0</v>
      </c>
      <c r="AA109" s="89">
        <f t="shared" si="23"/>
        <v>0</v>
      </c>
      <c r="AB109" s="89">
        <f t="shared" si="23"/>
        <v>0</v>
      </c>
      <c r="AC109" s="89">
        <f t="shared" si="23"/>
        <v>0</v>
      </c>
      <c r="AD109" s="89">
        <f t="shared" si="23"/>
        <v>0</v>
      </c>
      <c r="AE109" s="89">
        <f t="shared" si="23"/>
        <v>0</v>
      </c>
      <c r="AF109" s="89">
        <f t="shared" si="23"/>
        <v>0</v>
      </c>
      <c r="AG109" s="89">
        <f t="shared" si="23"/>
        <v>0</v>
      </c>
      <c r="AH109" s="89">
        <f t="shared" si="23"/>
        <v>0</v>
      </c>
      <c r="AI109" s="89">
        <f t="shared" si="23"/>
        <v>0</v>
      </c>
      <c r="AJ109" s="89">
        <f t="shared" si="23"/>
        <v>0</v>
      </c>
      <c r="AK109" s="89">
        <f t="shared" si="23"/>
        <v>0</v>
      </c>
      <c r="AL109" s="89">
        <f t="shared" si="23"/>
        <v>0</v>
      </c>
      <c r="AM109" s="89">
        <f t="shared" si="23"/>
        <v>0</v>
      </c>
      <c r="AN109" s="89">
        <f t="shared" si="23"/>
        <v>0</v>
      </c>
      <c r="AO109" s="89">
        <f t="shared" si="23"/>
        <v>0</v>
      </c>
      <c r="AP109" s="89">
        <f t="shared" si="23"/>
        <v>0</v>
      </c>
      <c r="AQ109" s="89">
        <f t="shared" si="23"/>
        <v>0</v>
      </c>
      <c r="AR109" s="89">
        <f t="shared" si="23"/>
        <v>0</v>
      </c>
      <c r="AS109" s="89">
        <f t="shared" si="23"/>
        <v>0</v>
      </c>
      <c r="AT109" s="89">
        <f t="shared" si="23"/>
        <v>0</v>
      </c>
      <c r="AU109" s="89">
        <f t="shared" si="23"/>
        <v>0</v>
      </c>
      <c r="AV109" s="89">
        <f t="shared" si="23"/>
        <v>0</v>
      </c>
      <c r="AW109" s="89">
        <f t="shared" si="23"/>
        <v>0</v>
      </c>
      <c r="AX109" s="89">
        <f t="shared" si="23"/>
        <v>0</v>
      </c>
      <c r="AY109" s="89">
        <f t="shared" si="23"/>
        <v>0</v>
      </c>
      <c r="AZ109" s="89">
        <f t="shared" si="23"/>
        <v>0</v>
      </c>
      <c r="BA109" s="89">
        <f t="shared" si="23"/>
        <v>0</v>
      </c>
      <c r="BB109" s="89">
        <f t="shared" si="23"/>
        <v>0</v>
      </c>
    </row>
    <row r="110" spans="2:54">
      <c r="B110" s="6" t="s">
        <v>104</v>
      </c>
      <c r="C110" s="52"/>
      <c r="D110" s="89">
        <f t="shared" ref="D110:BB110" si="24">IF(D$104&lt;$C$7,    SUMIFS($C$92:$C$100,$B$92:$B$100,$B110),  SUMIFS($E$92:$E$100,$B$92:$B$100,$B110))   *C$86</f>
        <v>0</v>
      </c>
      <c r="E110" s="89">
        <f t="shared" si="24"/>
        <v>0</v>
      </c>
      <c r="F110" s="89">
        <f t="shared" si="24"/>
        <v>0</v>
      </c>
      <c r="G110" s="89">
        <f t="shared" si="24"/>
        <v>0</v>
      </c>
      <c r="H110" s="89">
        <f t="shared" si="24"/>
        <v>0</v>
      </c>
      <c r="I110" s="89">
        <f t="shared" si="24"/>
        <v>0</v>
      </c>
      <c r="J110" s="89">
        <f t="shared" si="24"/>
        <v>0</v>
      </c>
      <c r="K110" s="89">
        <f t="shared" si="24"/>
        <v>0</v>
      </c>
      <c r="L110" s="89">
        <f t="shared" si="24"/>
        <v>0</v>
      </c>
      <c r="M110" s="89">
        <f t="shared" si="24"/>
        <v>0</v>
      </c>
      <c r="N110" s="89">
        <f t="shared" si="24"/>
        <v>0</v>
      </c>
      <c r="O110" s="89">
        <f t="shared" si="24"/>
        <v>0</v>
      </c>
      <c r="P110" s="89">
        <f t="shared" si="24"/>
        <v>0</v>
      </c>
      <c r="Q110" s="89">
        <f t="shared" si="24"/>
        <v>0</v>
      </c>
      <c r="R110" s="89">
        <f t="shared" si="24"/>
        <v>0</v>
      </c>
      <c r="S110" s="89">
        <f t="shared" si="24"/>
        <v>0</v>
      </c>
      <c r="T110" s="89">
        <f t="shared" si="24"/>
        <v>0</v>
      </c>
      <c r="U110" s="89">
        <f t="shared" si="24"/>
        <v>0</v>
      </c>
      <c r="V110" s="89">
        <f t="shared" si="24"/>
        <v>0</v>
      </c>
      <c r="W110" s="89">
        <f t="shared" si="24"/>
        <v>0</v>
      </c>
      <c r="X110" s="89">
        <f t="shared" si="24"/>
        <v>0</v>
      </c>
      <c r="Y110" s="89">
        <f t="shared" si="24"/>
        <v>0</v>
      </c>
      <c r="Z110" s="89">
        <f t="shared" si="24"/>
        <v>0</v>
      </c>
      <c r="AA110" s="89">
        <f t="shared" si="24"/>
        <v>0</v>
      </c>
      <c r="AB110" s="89">
        <f t="shared" si="24"/>
        <v>0</v>
      </c>
      <c r="AC110" s="89">
        <f t="shared" si="24"/>
        <v>0</v>
      </c>
      <c r="AD110" s="89">
        <f t="shared" si="24"/>
        <v>0</v>
      </c>
      <c r="AE110" s="89">
        <f t="shared" si="24"/>
        <v>0</v>
      </c>
      <c r="AF110" s="89">
        <f t="shared" si="24"/>
        <v>0</v>
      </c>
      <c r="AG110" s="89">
        <f t="shared" si="24"/>
        <v>0</v>
      </c>
      <c r="AH110" s="89">
        <f t="shared" si="24"/>
        <v>0</v>
      </c>
      <c r="AI110" s="89">
        <f t="shared" si="24"/>
        <v>0</v>
      </c>
      <c r="AJ110" s="89">
        <f t="shared" si="24"/>
        <v>0</v>
      </c>
      <c r="AK110" s="89">
        <f t="shared" si="24"/>
        <v>0</v>
      </c>
      <c r="AL110" s="89">
        <f t="shared" si="24"/>
        <v>0</v>
      </c>
      <c r="AM110" s="89">
        <f t="shared" si="24"/>
        <v>0</v>
      </c>
      <c r="AN110" s="89">
        <f t="shared" si="24"/>
        <v>0</v>
      </c>
      <c r="AO110" s="89">
        <f t="shared" si="24"/>
        <v>0</v>
      </c>
      <c r="AP110" s="89">
        <f t="shared" si="24"/>
        <v>0</v>
      </c>
      <c r="AQ110" s="89">
        <f t="shared" si="24"/>
        <v>0</v>
      </c>
      <c r="AR110" s="89">
        <f t="shared" si="24"/>
        <v>0</v>
      </c>
      <c r="AS110" s="89">
        <f t="shared" si="24"/>
        <v>0</v>
      </c>
      <c r="AT110" s="89">
        <f t="shared" si="24"/>
        <v>0</v>
      </c>
      <c r="AU110" s="89">
        <f t="shared" si="24"/>
        <v>0</v>
      </c>
      <c r="AV110" s="89">
        <f t="shared" si="24"/>
        <v>0</v>
      </c>
      <c r="AW110" s="89">
        <f t="shared" si="24"/>
        <v>0</v>
      </c>
      <c r="AX110" s="89">
        <f t="shared" si="24"/>
        <v>0</v>
      </c>
      <c r="AY110" s="89">
        <f t="shared" si="24"/>
        <v>0</v>
      </c>
      <c r="AZ110" s="89">
        <f t="shared" si="24"/>
        <v>0</v>
      </c>
      <c r="BA110" s="89">
        <f t="shared" si="24"/>
        <v>0</v>
      </c>
      <c r="BB110" s="89">
        <f t="shared" si="24"/>
        <v>0</v>
      </c>
    </row>
    <row r="111" spans="2:54">
      <c r="B111" s="6" t="s">
        <v>17</v>
      </c>
      <c r="C111" s="52"/>
      <c r="D111" s="89">
        <f t="shared" ref="D111:BB111" si="25">IF(D$104&lt;$C$7,    SUMIFS($C$92:$C$100,$B$92:$B$100,$B111),  SUMIFS($E$92:$E$100,$B$92:$B$100,$B111))   *C$86</f>
        <v>0</v>
      </c>
      <c r="E111" s="89">
        <f t="shared" si="25"/>
        <v>0</v>
      </c>
      <c r="F111" s="89">
        <f t="shared" si="25"/>
        <v>0</v>
      </c>
      <c r="G111" s="89">
        <f t="shared" si="25"/>
        <v>0</v>
      </c>
      <c r="H111" s="89">
        <f t="shared" si="25"/>
        <v>0</v>
      </c>
      <c r="I111" s="89">
        <f t="shared" si="25"/>
        <v>0</v>
      </c>
      <c r="J111" s="89">
        <f t="shared" si="25"/>
        <v>0</v>
      </c>
      <c r="K111" s="89">
        <f t="shared" si="25"/>
        <v>0</v>
      </c>
      <c r="L111" s="89">
        <f t="shared" si="25"/>
        <v>0</v>
      </c>
      <c r="M111" s="89">
        <f t="shared" si="25"/>
        <v>0</v>
      </c>
      <c r="N111" s="89">
        <f t="shared" si="25"/>
        <v>0</v>
      </c>
      <c r="O111" s="89">
        <f t="shared" si="25"/>
        <v>0</v>
      </c>
      <c r="P111" s="89">
        <f t="shared" si="25"/>
        <v>0</v>
      </c>
      <c r="Q111" s="89">
        <f t="shared" si="25"/>
        <v>0</v>
      </c>
      <c r="R111" s="89">
        <f t="shared" si="25"/>
        <v>0</v>
      </c>
      <c r="S111" s="89">
        <f t="shared" si="25"/>
        <v>0</v>
      </c>
      <c r="T111" s="89">
        <f t="shared" si="25"/>
        <v>0</v>
      </c>
      <c r="U111" s="89">
        <f t="shared" si="25"/>
        <v>0</v>
      </c>
      <c r="V111" s="89">
        <f t="shared" si="25"/>
        <v>0</v>
      </c>
      <c r="W111" s="89">
        <f t="shared" si="25"/>
        <v>0</v>
      </c>
      <c r="X111" s="89">
        <f t="shared" si="25"/>
        <v>0</v>
      </c>
      <c r="Y111" s="89">
        <f t="shared" si="25"/>
        <v>0</v>
      </c>
      <c r="Z111" s="89">
        <f t="shared" si="25"/>
        <v>0</v>
      </c>
      <c r="AA111" s="89">
        <f t="shared" si="25"/>
        <v>0</v>
      </c>
      <c r="AB111" s="89">
        <f t="shared" si="25"/>
        <v>0</v>
      </c>
      <c r="AC111" s="89">
        <f t="shared" si="25"/>
        <v>0</v>
      </c>
      <c r="AD111" s="89">
        <f t="shared" si="25"/>
        <v>0</v>
      </c>
      <c r="AE111" s="89">
        <f t="shared" si="25"/>
        <v>0</v>
      </c>
      <c r="AF111" s="89">
        <f t="shared" si="25"/>
        <v>0</v>
      </c>
      <c r="AG111" s="89">
        <f t="shared" si="25"/>
        <v>0</v>
      </c>
      <c r="AH111" s="89">
        <f t="shared" si="25"/>
        <v>0</v>
      </c>
      <c r="AI111" s="89">
        <f t="shared" si="25"/>
        <v>0</v>
      </c>
      <c r="AJ111" s="89">
        <f t="shared" si="25"/>
        <v>0</v>
      </c>
      <c r="AK111" s="89">
        <f t="shared" si="25"/>
        <v>0</v>
      </c>
      <c r="AL111" s="89">
        <f t="shared" si="25"/>
        <v>0</v>
      </c>
      <c r="AM111" s="89">
        <f t="shared" si="25"/>
        <v>0</v>
      </c>
      <c r="AN111" s="89">
        <f t="shared" si="25"/>
        <v>0</v>
      </c>
      <c r="AO111" s="89">
        <f t="shared" si="25"/>
        <v>0</v>
      </c>
      <c r="AP111" s="89">
        <f t="shared" si="25"/>
        <v>0</v>
      </c>
      <c r="AQ111" s="89">
        <f t="shared" si="25"/>
        <v>0</v>
      </c>
      <c r="AR111" s="89">
        <f t="shared" si="25"/>
        <v>0</v>
      </c>
      <c r="AS111" s="89">
        <f t="shared" si="25"/>
        <v>0</v>
      </c>
      <c r="AT111" s="89">
        <f t="shared" si="25"/>
        <v>0</v>
      </c>
      <c r="AU111" s="89">
        <f t="shared" si="25"/>
        <v>0</v>
      </c>
      <c r="AV111" s="89">
        <f t="shared" si="25"/>
        <v>0</v>
      </c>
      <c r="AW111" s="89">
        <f t="shared" si="25"/>
        <v>0</v>
      </c>
      <c r="AX111" s="89">
        <f t="shared" si="25"/>
        <v>0</v>
      </c>
      <c r="AY111" s="89">
        <f t="shared" si="25"/>
        <v>0</v>
      </c>
      <c r="AZ111" s="89">
        <f t="shared" si="25"/>
        <v>0</v>
      </c>
      <c r="BA111" s="89">
        <f t="shared" si="25"/>
        <v>0</v>
      </c>
      <c r="BB111" s="89">
        <f t="shared" si="25"/>
        <v>0</v>
      </c>
    </row>
    <row r="112" spans="2:54" ht="29">
      <c r="B112" s="6" t="s">
        <v>106</v>
      </c>
      <c r="C112" s="52"/>
      <c r="D112" s="89">
        <f t="shared" ref="D112:BB112" si="26">IF(D$104&lt;$C$7,    SUMIFS($C$92:$C$100,$B$92:$B$100,$B112),  SUMIFS($E$92:$E$100,$B$92:$B$100,$B112))   *C$86</f>
        <v>0</v>
      </c>
      <c r="E112" s="89">
        <f t="shared" si="26"/>
        <v>0</v>
      </c>
      <c r="F112" s="89">
        <f t="shared" si="26"/>
        <v>0</v>
      </c>
      <c r="G112" s="89">
        <f t="shared" si="26"/>
        <v>0</v>
      </c>
      <c r="H112" s="89">
        <f t="shared" si="26"/>
        <v>0</v>
      </c>
      <c r="I112" s="89">
        <f t="shared" si="26"/>
        <v>0</v>
      </c>
      <c r="J112" s="89">
        <f t="shared" si="26"/>
        <v>0</v>
      </c>
      <c r="K112" s="89">
        <f t="shared" si="26"/>
        <v>0</v>
      </c>
      <c r="L112" s="89">
        <f t="shared" si="26"/>
        <v>0</v>
      </c>
      <c r="M112" s="89">
        <f t="shared" si="26"/>
        <v>0</v>
      </c>
      <c r="N112" s="89">
        <f t="shared" si="26"/>
        <v>0</v>
      </c>
      <c r="O112" s="89">
        <f t="shared" si="26"/>
        <v>0</v>
      </c>
      <c r="P112" s="89">
        <f t="shared" si="26"/>
        <v>0</v>
      </c>
      <c r="Q112" s="89">
        <f t="shared" si="26"/>
        <v>0</v>
      </c>
      <c r="R112" s="89">
        <f t="shared" si="26"/>
        <v>0</v>
      </c>
      <c r="S112" s="89">
        <f t="shared" si="26"/>
        <v>0</v>
      </c>
      <c r="T112" s="89">
        <f t="shared" si="26"/>
        <v>0</v>
      </c>
      <c r="U112" s="89">
        <f t="shared" si="26"/>
        <v>0</v>
      </c>
      <c r="V112" s="89">
        <f t="shared" si="26"/>
        <v>0</v>
      </c>
      <c r="W112" s="89">
        <f t="shared" si="26"/>
        <v>0</v>
      </c>
      <c r="X112" s="89">
        <f t="shared" si="26"/>
        <v>0</v>
      </c>
      <c r="Y112" s="89">
        <f t="shared" si="26"/>
        <v>0</v>
      </c>
      <c r="Z112" s="89">
        <f t="shared" si="26"/>
        <v>0</v>
      </c>
      <c r="AA112" s="89">
        <f t="shared" si="26"/>
        <v>0</v>
      </c>
      <c r="AB112" s="89">
        <f t="shared" si="26"/>
        <v>0</v>
      </c>
      <c r="AC112" s="89">
        <f t="shared" si="26"/>
        <v>0</v>
      </c>
      <c r="AD112" s="89">
        <f t="shared" si="26"/>
        <v>0</v>
      </c>
      <c r="AE112" s="89">
        <f t="shared" si="26"/>
        <v>0</v>
      </c>
      <c r="AF112" s="89">
        <f t="shared" si="26"/>
        <v>0</v>
      </c>
      <c r="AG112" s="89">
        <f t="shared" si="26"/>
        <v>0</v>
      </c>
      <c r="AH112" s="89">
        <f t="shared" si="26"/>
        <v>0</v>
      </c>
      <c r="AI112" s="89">
        <f t="shared" si="26"/>
        <v>0</v>
      </c>
      <c r="AJ112" s="89">
        <f t="shared" si="26"/>
        <v>0</v>
      </c>
      <c r="AK112" s="89">
        <f t="shared" si="26"/>
        <v>0</v>
      </c>
      <c r="AL112" s="89">
        <f t="shared" si="26"/>
        <v>0</v>
      </c>
      <c r="AM112" s="89">
        <f t="shared" si="26"/>
        <v>0</v>
      </c>
      <c r="AN112" s="89">
        <f t="shared" si="26"/>
        <v>0</v>
      </c>
      <c r="AO112" s="89">
        <f t="shared" si="26"/>
        <v>0</v>
      </c>
      <c r="AP112" s="89">
        <f t="shared" si="26"/>
        <v>0</v>
      </c>
      <c r="AQ112" s="89">
        <f t="shared" si="26"/>
        <v>0</v>
      </c>
      <c r="AR112" s="89">
        <f t="shared" si="26"/>
        <v>0</v>
      </c>
      <c r="AS112" s="89">
        <f t="shared" si="26"/>
        <v>0</v>
      </c>
      <c r="AT112" s="89">
        <f t="shared" si="26"/>
        <v>0</v>
      </c>
      <c r="AU112" s="89">
        <f t="shared" si="26"/>
        <v>0</v>
      </c>
      <c r="AV112" s="89">
        <f t="shared" si="26"/>
        <v>0</v>
      </c>
      <c r="AW112" s="89">
        <f t="shared" si="26"/>
        <v>0</v>
      </c>
      <c r="AX112" s="89">
        <f t="shared" si="26"/>
        <v>0</v>
      </c>
      <c r="AY112" s="89">
        <f t="shared" si="26"/>
        <v>0</v>
      </c>
      <c r="AZ112" s="89">
        <f t="shared" si="26"/>
        <v>0</v>
      </c>
      <c r="BA112" s="89">
        <f t="shared" si="26"/>
        <v>0</v>
      </c>
      <c r="BB112" s="89">
        <f t="shared" si="26"/>
        <v>0</v>
      </c>
    </row>
    <row r="113" spans="1:54" ht="29">
      <c r="B113" s="6" t="s">
        <v>107</v>
      </c>
      <c r="C113" s="52"/>
      <c r="D113" s="89">
        <f t="shared" ref="D113:BB113" si="27">IF(D$104&lt;$C$7,    SUMIFS($C$92:$C$100,$B$92:$B$100,$B113),  SUMIFS($E$92:$E$100,$B$92:$B$100,$B113))   *C$86</f>
        <v>0</v>
      </c>
      <c r="E113" s="89">
        <f t="shared" si="27"/>
        <v>0</v>
      </c>
      <c r="F113" s="89">
        <f t="shared" si="27"/>
        <v>0</v>
      </c>
      <c r="G113" s="89">
        <f t="shared" si="27"/>
        <v>0</v>
      </c>
      <c r="H113" s="89">
        <f t="shared" si="27"/>
        <v>0</v>
      </c>
      <c r="I113" s="89">
        <f t="shared" si="27"/>
        <v>0</v>
      </c>
      <c r="J113" s="89">
        <f t="shared" si="27"/>
        <v>0</v>
      </c>
      <c r="K113" s="89">
        <f t="shared" si="27"/>
        <v>0</v>
      </c>
      <c r="L113" s="89">
        <f t="shared" si="27"/>
        <v>0</v>
      </c>
      <c r="M113" s="89">
        <f t="shared" si="27"/>
        <v>0</v>
      </c>
      <c r="N113" s="89">
        <f t="shared" si="27"/>
        <v>0</v>
      </c>
      <c r="O113" s="89">
        <f t="shared" si="27"/>
        <v>0</v>
      </c>
      <c r="P113" s="89">
        <f t="shared" si="27"/>
        <v>0</v>
      </c>
      <c r="Q113" s="89">
        <f t="shared" si="27"/>
        <v>0</v>
      </c>
      <c r="R113" s="89">
        <f t="shared" si="27"/>
        <v>0</v>
      </c>
      <c r="S113" s="89">
        <f t="shared" si="27"/>
        <v>0</v>
      </c>
      <c r="T113" s="89">
        <f t="shared" si="27"/>
        <v>0</v>
      </c>
      <c r="U113" s="89">
        <f t="shared" si="27"/>
        <v>0</v>
      </c>
      <c r="V113" s="89">
        <f t="shared" si="27"/>
        <v>0</v>
      </c>
      <c r="W113" s="89">
        <f t="shared" si="27"/>
        <v>0</v>
      </c>
      <c r="X113" s="89">
        <f t="shared" si="27"/>
        <v>0</v>
      </c>
      <c r="Y113" s="89">
        <f t="shared" si="27"/>
        <v>0</v>
      </c>
      <c r="Z113" s="89">
        <f t="shared" si="27"/>
        <v>0</v>
      </c>
      <c r="AA113" s="89">
        <f t="shared" si="27"/>
        <v>0</v>
      </c>
      <c r="AB113" s="89">
        <f t="shared" si="27"/>
        <v>0</v>
      </c>
      <c r="AC113" s="89">
        <f t="shared" si="27"/>
        <v>0</v>
      </c>
      <c r="AD113" s="89">
        <f t="shared" si="27"/>
        <v>0</v>
      </c>
      <c r="AE113" s="89">
        <f t="shared" si="27"/>
        <v>0</v>
      </c>
      <c r="AF113" s="89">
        <f t="shared" si="27"/>
        <v>0</v>
      </c>
      <c r="AG113" s="89">
        <f t="shared" si="27"/>
        <v>0</v>
      </c>
      <c r="AH113" s="89">
        <f t="shared" si="27"/>
        <v>0</v>
      </c>
      <c r="AI113" s="89">
        <f t="shared" si="27"/>
        <v>0</v>
      </c>
      <c r="AJ113" s="89">
        <f t="shared" si="27"/>
        <v>0</v>
      </c>
      <c r="AK113" s="89">
        <f t="shared" si="27"/>
        <v>0</v>
      </c>
      <c r="AL113" s="89">
        <f t="shared" si="27"/>
        <v>0</v>
      </c>
      <c r="AM113" s="89">
        <f t="shared" si="27"/>
        <v>0</v>
      </c>
      <c r="AN113" s="89">
        <f t="shared" si="27"/>
        <v>0</v>
      </c>
      <c r="AO113" s="89">
        <f t="shared" si="27"/>
        <v>0</v>
      </c>
      <c r="AP113" s="89">
        <f t="shared" si="27"/>
        <v>0</v>
      </c>
      <c r="AQ113" s="89">
        <f t="shared" si="27"/>
        <v>0</v>
      </c>
      <c r="AR113" s="89">
        <f t="shared" si="27"/>
        <v>0</v>
      </c>
      <c r="AS113" s="89">
        <f t="shared" si="27"/>
        <v>0</v>
      </c>
      <c r="AT113" s="89">
        <f t="shared" si="27"/>
        <v>0</v>
      </c>
      <c r="AU113" s="89">
        <f t="shared" si="27"/>
        <v>0</v>
      </c>
      <c r="AV113" s="89">
        <f t="shared" si="27"/>
        <v>0</v>
      </c>
      <c r="AW113" s="89">
        <f t="shared" si="27"/>
        <v>0</v>
      </c>
      <c r="AX113" s="89">
        <f t="shared" si="27"/>
        <v>0</v>
      </c>
      <c r="AY113" s="89">
        <f t="shared" si="27"/>
        <v>0</v>
      </c>
      <c r="AZ113" s="89">
        <f t="shared" si="27"/>
        <v>0</v>
      </c>
      <c r="BA113" s="89">
        <f t="shared" si="27"/>
        <v>0</v>
      </c>
      <c r="BB113" s="89">
        <f t="shared" si="27"/>
        <v>0</v>
      </c>
    </row>
    <row r="114" spans="1:54">
      <c r="B114" s="6" t="s">
        <v>2863</v>
      </c>
      <c r="D114" s="89">
        <f t="shared" ref="D114:BB114" si="28">IF(D$104&lt;$C$7,    SUMIFS($C$92:$C$100,$B$92:$B$100,$B114),  SUMIFS($E$92:$E$100,$B$92:$B$100,$B114))   *C$86</f>
        <v>0</v>
      </c>
      <c r="E114" s="89">
        <f t="shared" si="28"/>
        <v>9.7181083832335311</v>
      </c>
      <c r="F114" s="89">
        <f t="shared" si="28"/>
        <v>19.768386137405166</v>
      </c>
      <c r="G114" s="89">
        <f t="shared" si="28"/>
        <v>30.102959947044489</v>
      </c>
      <c r="H114" s="89">
        <f t="shared" si="28"/>
        <v>40.689590328558872</v>
      </c>
      <c r="I114" s="89">
        <f t="shared" si="28"/>
        <v>223.89657015043673</v>
      </c>
      <c r="J114" s="89">
        <f t="shared" si="28"/>
        <v>386.60148896095598</v>
      </c>
      <c r="K114" s="89">
        <f t="shared" si="28"/>
        <v>537.29108109094864</v>
      </c>
      <c r="L114" s="89">
        <f t="shared" si="28"/>
        <v>681.30922548982005</v>
      </c>
      <c r="M114" s="89">
        <f t="shared" si="28"/>
        <v>822.2617142833094</v>
      </c>
      <c r="N114" s="89">
        <f t="shared" si="28"/>
        <v>962.26004843734802</v>
      </c>
      <c r="O114" s="89">
        <f t="shared" si="28"/>
        <v>1092.8322974176326</v>
      </c>
      <c r="P114" s="89">
        <f t="shared" si="28"/>
        <v>1224.1996437968846</v>
      </c>
      <c r="Q114" s="89">
        <f t="shared" si="28"/>
        <v>1356.7877159521292</v>
      </c>
      <c r="R114" s="89">
        <f t="shared" si="28"/>
        <v>1490.8206985121233</v>
      </c>
      <c r="S114" s="89">
        <f t="shared" si="28"/>
        <v>1454.0537406094884</v>
      </c>
      <c r="T114" s="89">
        <f t="shared" si="28"/>
        <v>1439.673012697941</v>
      </c>
      <c r="U114" s="89">
        <f t="shared" si="28"/>
        <v>1439.2078186548099</v>
      </c>
      <c r="V114" s="89">
        <f t="shared" si="28"/>
        <v>1447.3363226215481</v>
      </c>
      <c r="W114" s="89">
        <f t="shared" si="28"/>
        <v>1460.5460451101058</v>
      </c>
      <c r="X114" s="89">
        <f t="shared" si="28"/>
        <v>1476.698691327601</v>
      </c>
      <c r="Y114" s="89">
        <f t="shared" si="28"/>
        <v>1494.5005293752965</v>
      </c>
      <c r="Z114" s="89">
        <f t="shared" si="28"/>
        <v>1513.1135378310487</v>
      </c>
      <c r="AA114" s="89">
        <f t="shared" si="28"/>
        <v>1532.1320198392514</v>
      </c>
      <c r="AB114" s="89">
        <f t="shared" si="28"/>
        <v>1551.3194503033524</v>
      </c>
      <c r="AC114" s="89">
        <f t="shared" si="28"/>
        <v>1570.4977844546811</v>
      </c>
      <c r="AD114" s="89">
        <f t="shared" si="28"/>
        <v>1589.5623180309292</v>
      </c>
      <c r="AE114" s="89">
        <f t="shared" si="28"/>
        <v>1608.4350492787464</v>
      </c>
      <c r="AF114" s="89">
        <f t="shared" si="28"/>
        <v>1627.0144224478286</v>
      </c>
      <c r="AG114" s="89">
        <f t="shared" si="28"/>
        <v>1645.1167087922861</v>
      </c>
      <c r="AH114" s="89">
        <f t="shared" si="28"/>
        <v>1662.6839985951476</v>
      </c>
      <c r="AI114" s="89">
        <f t="shared" si="28"/>
        <v>1679.7153120898201</v>
      </c>
      <c r="AJ114" s="89">
        <f t="shared" si="28"/>
        <v>1696.1691203902089</v>
      </c>
      <c r="AK114" s="89">
        <f t="shared" si="28"/>
        <v>1712.050136096163</v>
      </c>
      <c r="AL114" s="89">
        <f t="shared" si="28"/>
        <v>1727.359746032482</v>
      </c>
      <c r="AM114" s="89">
        <f t="shared" si="28"/>
        <v>1742.075118498967</v>
      </c>
      <c r="AN114" s="89">
        <f t="shared" si="28"/>
        <v>1756.1425369491169</v>
      </c>
      <c r="AO114" s="89">
        <f t="shared" si="28"/>
        <v>1769.5161113429328</v>
      </c>
      <c r="AP114" s="89">
        <f t="shared" si="28"/>
        <v>1782.1601631090898</v>
      </c>
      <c r="AQ114" s="89">
        <f t="shared" si="28"/>
        <v>1794.0444019386489</v>
      </c>
      <c r="AR114" s="89">
        <f t="shared" si="28"/>
        <v>1805.1925852470081</v>
      </c>
      <c r="AS114" s="89">
        <f t="shared" si="28"/>
        <v>1815.6442387113348</v>
      </c>
      <c r="AT114" s="89">
        <f t="shared" si="28"/>
        <v>1825.4699755805123</v>
      </c>
      <c r="AU114" s="89">
        <f t="shared" si="28"/>
        <v>1834.4985232007355</v>
      </c>
      <c r="AV114" s="89">
        <f t="shared" si="28"/>
        <v>1842.6492295523149</v>
      </c>
      <c r="AW114" s="89">
        <f t="shared" si="28"/>
        <v>1849.9207690032092</v>
      </c>
      <c r="AX114" s="89">
        <f t="shared" si="28"/>
        <v>1856.2125788713238</v>
      </c>
      <c r="AY114" s="89">
        <f t="shared" si="28"/>
        <v>1861.528361198998</v>
      </c>
      <c r="AZ114" s="89">
        <f t="shared" si="28"/>
        <v>1865.9312077710849</v>
      </c>
      <c r="BA114" s="89">
        <f t="shared" si="28"/>
        <v>1869.5188193840841</v>
      </c>
      <c r="BB114" s="89">
        <f t="shared" si="28"/>
        <v>1872.3448418608493</v>
      </c>
    </row>
    <row r="115" spans="1:54">
      <c r="B115" s="6" t="s">
        <v>2862</v>
      </c>
      <c r="C115" s="52"/>
      <c r="D115" s="89">
        <f t="shared" ref="D115:BB115" si="29">IF(D$104&lt;$C$7,    SUMIFS($C$92:$C$100,$B$92:$B$100,$B115),  SUMIFS($E$92:$E$100,$B$92:$B$100,$B115))   *C$86</f>
        <v>0</v>
      </c>
      <c r="E115" s="89">
        <f t="shared" si="29"/>
        <v>19.436216766467062</v>
      </c>
      <c r="F115" s="89">
        <f t="shared" si="29"/>
        <v>39.536772274810332</v>
      </c>
      <c r="G115" s="89">
        <f t="shared" si="29"/>
        <v>60.205919894088979</v>
      </c>
      <c r="H115" s="89">
        <f t="shared" si="29"/>
        <v>81.379180657117743</v>
      </c>
      <c r="I115" s="89">
        <f t="shared" si="29"/>
        <v>447.79314030087346</v>
      </c>
      <c r="J115" s="89">
        <f t="shared" si="29"/>
        <v>773.20297792191195</v>
      </c>
      <c r="K115" s="89">
        <f t="shared" si="29"/>
        <v>1074.5821621818973</v>
      </c>
      <c r="L115" s="89">
        <f t="shared" si="29"/>
        <v>1362.6184509796401</v>
      </c>
      <c r="M115" s="89">
        <f t="shared" si="29"/>
        <v>1644.5234285666188</v>
      </c>
      <c r="N115" s="89">
        <f t="shared" si="29"/>
        <v>1924.520096874696</v>
      </c>
      <c r="O115" s="89">
        <f t="shared" si="29"/>
        <v>2185.6645948352652</v>
      </c>
      <c r="P115" s="89">
        <f t="shared" si="29"/>
        <v>2448.3992875937693</v>
      </c>
      <c r="Q115" s="89">
        <f t="shared" si="29"/>
        <v>2713.5754319042585</v>
      </c>
      <c r="R115" s="89">
        <f t="shared" si="29"/>
        <v>2981.6413970242465</v>
      </c>
      <c r="S115" s="89">
        <f t="shared" si="29"/>
        <v>2908.1074812189768</v>
      </c>
      <c r="T115" s="89">
        <f t="shared" si="29"/>
        <v>2879.346025395882</v>
      </c>
      <c r="U115" s="89">
        <f t="shared" si="29"/>
        <v>2878.4156373096198</v>
      </c>
      <c r="V115" s="89">
        <f t="shared" si="29"/>
        <v>2894.6726452430962</v>
      </c>
      <c r="W115" s="89">
        <f t="shared" si="29"/>
        <v>2921.0920902202115</v>
      </c>
      <c r="X115" s="89">
        <f t="shared" si="29"/>
        <v>2953.3973826552019</v>
      </c>
      <c r="Y115" s="89">
        <f t="shared" si="29"/>
        <v>2989.0010587505931</v>
      </c>
      <c r="Z115" s="89">
        <f t="shared" si="29"/>
        <v>3026.2270756620974</v>
      </c>
      <c r="AA115" s="89">
        <f t="shared" si="29"/>
        <v>3064.2640396785027</v>
      </c>
      <c r="AB115" s="89">
        <f t="shared" si="29"/>
        <v>3102.6389006067047</v>
      </c>
      <c r="AC115" s="89">
        <f t="shared" si="29"/>
        <v>3140.9955689093622</v>
      </c>
      <c r="AD115" s="89">
        <f t="shared" si="29"/>
        <v>3179.1246360618584</v>
      </c>
      <c r="AE115" s="89">
        <f t="shared" si="29"/>
        <v>3216.8700985574928</v>
      </c>
      <c r="AF115" s="89">
        <f t="shared" si="29"/>
        <v>3254.0288448956571</v>
      </c>
      <c r="AG115" s="89">
        <f t="shared" si="29"/>
        <v>3290.2334175845722</v>
      </c>
      <c r="AH115" s="89">
        <f t="shared" si="29"/>
        <v>3325.3679971902952</v>
      </c>
      <c r="AI115" s="89">
        <f t="shared" si="29"/>
        <v>3359.4306241796403</v>
      </c>
      <c r="AJ115" s="89">
        <f t="shared" si="29"/>
        <v>3392.3382407804179</v>
      </c>
      <c r="AK115" s="89">
        <f t="shared" si="29"/>
        <v>3424.100272192326</v>
      </c>
      <c r="AL115" s="89">
        <f t="shared" si="29"/>
        <v>3454.719492064964</v>
      </c>
      <c r="AM115" s="89">
        <f t="shared" si="29"/>
        <v>3484.1502369979339</v>
      </c>
      <c r="AN115" s="89">
        <f t="shared" si="29"/>
        <v>3512.2850738982338</v>
      </c>
      <c r="AO115" s="89">
        <f t="shared" si="29"/>
        <v>3539.0322226858657</v>
      </c>
      <c r="AP115" s="89">
        <f t="shared" si="29"/>
        <v>3564.3203262181796</v>
      </c>
      <c r="AQ115" s="89">
        <f t="shared" si="29"/>
        <v>3588.0888038772978</v>
      </c>
      <c r="AR115" s="89">
        <f t="shared" si="29"/>
        <v>3610.3851704940162</v>
      </c>
      <c r="AS115" s="89">
        <f t="shared" si="29"/>
        <v>3631.2884774226695</v>
      </c>
      <c r="AT115" s="89">
        <f t="shared" si="29"/>
        <v>3650.9399511610245</v>
      </c>
      <c r="AU115" s="89">
        <f t="shared" si="29"/>
        <v>3668.9970464014709</v>
      </c>
      <c r="AV115" s="89">
        <f t="shared" si="29"/>
        <v>3685.2984591046297</v>
      </c>
      <c r="AW115" s="89">
        <f t="shared" si="29"/>
        <v>3699.8415380064184</v>
      </c>
      <c r="AX115" s="89">
        <f t="shared" si="29"/>
        <v>3712.4251577426476</v>
      </c>
      <c r="AY115" s="89">
        <f t="shared" si="29"/>
        <v>3723.0567223979961</v>
      </c>
      <c r="AZ115" s="89">
        <f t="shared" si="29"/>
        <v>3731.8624155421699</v>
      </c>
      <c r="BA115" s="89">
        <f t="shared" si="29"/>
        <v>3739.0376387681681</v>
      </c>
      <c r="BB115" s="89">
        <f t="shared" si="29"/>
        <v>3744.6896837216987</v>
      </c>
    </row>
    <row r="116" spans="1:54">
      <c r="B116" s="6" t="s">
        <v>131</v>
      </c>
      <c r="C116" s="52"/>
      <c r="D116" s="89">
        <f t="shared" ref="D116:BB116" si="30">IF(D$104&lt;$C$7,    SUMIFS($C$92:$C$100,$B$92:$B$100,$B116),  SUMIFS($E$92:$E$100,$B$92:$B$100,$B116))   *C$86</f>
        <v>0</v>
      </c>
      <c r="E116" s="89">
        <f t="shared" si="30"/>
        <v>0</v>
      </c>
      <c r="F116" s="89">
        <f t="shared" si="30"/>
        <v>0</v>
      </c>
      <c r="G116" s="89">
        <f t="shared" si="30"/>
        <v>0</v>
      </c>
      <c r="H116" s="89">
        <f t="shared" si="30"/>
        <v>0</v>
      </c>
      <c r="I116" s="89">
        <f t="shared" si="30"/>
        <v>0</v>
      </c>
      <c r="J116" s="89">
        <f t="shared" si="30"/>
        <v>0</v>
      </c>
      <c r="K116" s="89">
        <f t="shared" si="30"/>
        <v>0</v>
      </c>
      <c r="L116" s="89">
        <f t="shared" si="30"/>
        <v>0</v>
      </c>
      <c r="M116" s="89">
        <f t="shared" si="30"/>
        <v>0</v>
      </c>
      <c r="N116" s="89">
        <f t="shared" si="30"/>
        <v>0</v>
      </c>
      <c r="O116" s="89">
        <f t="shared" si="30"/>
        <v>0</v>
      </c>
      <c r="P116" s="89">
        <f t="shared" si="30"/>
        <v>0</v>
      </c>
      <c r="Q116" s="89">
        <f t="shared" si="30"/>
        <v>0</v>
      </c>
      <c r="R116" s="89">
        <f t="shared" si="30"/>
        <v>0</v>
      </c>
      <c r="S116" s="89">
        <f t="shared" si="30"/>
        <v>0</v>
      </c>
      <c r="T116" s="89">
        <f t="shared" si="30"/>
        <v>0</v>
      </c>
      <c r="U116" s="89">
        <f t="shared" si="30"/>
        <v>0</v>
      </c>
      <c r="V116" s="89">
        <f t="shared" si="30"/>
        <v>0</v>
      </c>
      <c r="W116" s="89">
        <f t="shared" si="30"/>
        <v>0</v>
      </c>
      <c r="X116" s="89">
        <f t="shared" si="30"/>
        <v>0</v>
      </c>
      <c r="Y116" s="89">
        <f t="shared" si="30"/>
        <v>0</v>
      </c>
      <c r="Z116" s="89">
        <f t="shared" si="30"/>
        <v>0</v>
      </c>
      <c r="AA116" s="89">
        <f t="shared" si="30"/>
        <v>0</v>
      </c>
      <c r="AB116" s="89">
        <f t="shared" si="30"/>
        <v>0</v>
      </c>
      <c r="AC116" s="89">
        <f t="shared" si="30"/>
        <v>0</v>
      </c>
      <c r="AD116" s="89">
        <f t="shared" si="30"/>
        <v>0</v>
      </c>
      <c r="AE116" s="89">
        <f t="shared" si="30"/>
        <v>0</v>
      </c>
      <c r="AF116" s="89">
        <f t="shared" si="30"/>
        <v>0</v>
      </c>
      <c r="AG116" s="89">
        <f t="shared" si="30"/>
        <v>0</v>
      </c>
      <c r="AH116" s="89">
        <f t="shared" si="30"/>
        <v>0</v>
      </c>
      <c r="AI116" s="89">
        <f t="shared" si="30"/>
        <v>0</v>
      </c>
      <c r="AJ116" s="89">
        <f t="shared" si="30"/>
        <v>0</v>
      </c>
      <c r="AK116" s="89">
        <f t="shared" si="30"/>
        <v>0</v>
      </c>
      <c r="AL116" s="89">
        <f t="shared" si="30"/>
        <v>0</v>
      </c>
      <c r="AM116" s="89">
        <f t="shared" si="30"/>
        <v>0</v>
      </c>
      <c r="AN116" s="89">
        <f t="shared" si="30"/>
        <v>0</v>
      </c>
      <c r="AO116" s="89">
        <f t="shared" si="30"/>
        <v>0</v>
      </c>
      <c r="AP116" s="89">
        <f t="shared" si="30"/>
        <v>0</v>
      </c>
      <c r="AQ116" s="89">
        <f t="shared" si="30"/>
        <v>0</v>
      </c>
      <c r="AR116" s="89">
        <f t="shared" si="30"/>
        <v>0</v>
      </c>
      <c r="AS116" s="89">
        <f t="shared" si="30"/>
        <v>0</v>
      </c>
      <c r="AT116" s="89">
        <f t="shared" si="30"/>
        <v>0</v>
      </c>
      <c r="AU116" s="89">
        <f t="shared" si="30"/>
        <v>0</v>
      </c>
      <c r="AV116" s="89">
        <f t="shared" si="30"/>
        <v>0</v>
      </c>
      <c r="AW116" s="89">
        <f t="shared" si="30"/>
        <v>0</v>
      </c>
      <c r="AX116" s="89">
        <f t="shared" si="30"/>
        <v>0</v>
      </c>
      <c r="AY116" s="89">
        <f t="shared" si="30"/>
        <v>0</v>
      </c>
      <c r="AZ116" s="89">
        <f t="shared" si="30"/>
        <v>0</v>
      </c>
      <c r="BA116" s="89">
        <f t="shared" si="30"/>
        <v>0</v>
      </c>
      <c r="BB116" s="89">
        <f t="shared" si="30"/>
        <v>0</v>
      </c>
    </row>
    <row r="117" spans="1:54" ht="29">
      <c r="B117" s="6" t="s">
        <v>2869</v>
      </c>
      <c r="C117" s="52"/>
      <c r="D117" s="89">
        <f t="shared" ref="D117:BB117" si="31">IF(D$104&lt;$C$7,    SUMIFS($C$92:$C$100,$B$92:$B$100,$B117),  SUMIFS($E$92:$E$100,$B$92:$B$100,$B117))   *C$86</f>
        <v>0</v>
      </c>
      <c r="E117" s="89">
        <f t="shared" si="31"/>
        <v>0</v>
      </c>
      <c r="F117" s="89">
        <f t="shared" si="31"/>
        <v>0</v>
      </c>
      <c r="G117" s="89">
        <f t="shared" si="31"/>
        <v>0</v>
      </c>
      <c r="H117" s="89">
        <f t="shared" si="31"/>
        <v>0</v>
      </c>
      <c r="I117" s="89">
        <f t="shared" si="31"/>
        <v>0</v>
      </c>
      <c r="J117" s="89">
        <f t="shared" si="31"/>
        <v>0</v>
      </c>
      <c r="K117" s="89">
        <f t="shared" si="31"/>
        <v>0</v>
      </c>
      <c r="L117" s="89">
        <f t="shared" si="31"/>
        <v>0</v>
      </c>
      <c r="M117" s="89">
        <f t="shared" si="31"/>
        <v>0</v>
      </c>
      <c r="N117" s="89">
        <f t="shared" si="31"/>
        <v>0</v>
      </c>
      <c r="O117" s="89">
        <f t="shared" si="31"/>
        <v>0</v>
      </c>
      <c r="P117" s="89">
        <f t="shared" si="31"/>
        <v>0</v>
      </c>
      <c r="Q117" s="89">
        <f t="shared" si="31"/>
        <v>0</v>
      </c>
      <c r="R117" s="89">
        <f t="shared" si="31"/>
        <v>0</v>
      </c>
      <c r="S117" s="89">
        <f t="shared" si="31"/>
        <v>0</v>
      </c>
      <c r="T117" s="89">
        <f t="shared" si="31"/>
        <v>0</v>
      </c>
      <c r="U117" s="89">
        <f t="shared" si="31"/>
        <v>0</v>
      </c>
      <c r="V117" s="89">
        <f t="shared" si="31"/>
        <v>0</v>
      </c>
      <c r="W117" s="89">
        <f t="shared" si="31"/>
        <v>0</v>
      </c>
      <c r="X117" s="89">
        <f t="shared" si="31"/>
        <v>0</v>
      </c>
      <c r="Y117" s="89">
        <f t="shared" si="31"/>
        <v>0</v>
      </c>
      <c r="Z117" s="89">
        <f t="shared" si="31"/>
        <v>0</v>
      </c>
      <c r="AA117" s="89">
        <f t="shared" si="31"/>
        <v>0</v>
      </c>
      <c r="AB117" s="89">
        <f t="shared" si="31"/>
        <v>0</v>
      </c>
      <c r="AC117" s="89">
        <f t="shared" si="31"/>
        <v>0</v>
      </c>
      <c r="AD117" s="89">
        <f t="shared" si="31"/>
        <v>0</v>
      </c>
      <c r="AE117" s="89">
        <f t="shared" si="31"/>
        <v>0</v>
      </c>
      <c r="AF117" s="89">
        <f t="shared" si="31"/>
        <v>0</v>
      </c>
      <c r="AG117" s="89">
        <f t="shared" si="31"/>
        <v>0</v>
      </c>
      <c r="AH117" s="89">
        <f t="shared" si="31"/>
        <v>0</v>
      </c>
      <c r="AI117" s="89">
        <f t="shared" si="31"/>
        <v>0</v>
      </c>
      <c r="AJ117" s="89">
        <f t="shared" si="31"/>
        <v>0</v>
      </c>
      <c r="AK117" s="89">
        <f t="shared" si="31"/>
        <v>0</v>
      </c>
      <c r="AL117" s="89">
        <f t="shared" si="31"/>
        <v>0</v>
      </c>
      <c r="AM117" s="89">
        <f t="shared" si="31"/>
        <v>0</v>
      </c>
      <c r="AN117" s="89">
        <f t="shared" si="31"/>
        <v>0</v>
      </c>
      <c r="AO117" s="89">
        <f t="shared" si="31"/>
        <v>0</v>
      </c>
      <c r="AP117" s="89">
        <f t="shared" si="31"/>
        <v>0</v>
      </c>
      <c r="AQ117" s="89">
        <f t="shared" si="31"/>
        <v>0</v>
      </c>
      <c r="AR117" s="89">
        <f t="shared" si="31"/>
        <v>0</v>
      </c>
      <c r="AS117" s="89">
        <f t="shared" si="31"/>
        <v>0</v>
      </c>
      <c r="AT117" s="89">
        <f t="shared" si="31"/>
        <v>0</v>
      </c>
      <c r="AU117" s="89">
        <f t="shared" si="31"/>
        <v>0</v>
      </c>
      <c r="AV117" s="89">
        <f t="shared" si="31"/>
        <v>0</v>
      </c>
      <c r="AW117" s="89">
        <f t="shared" si="31"/>
        <v>0</v>
      </c>
      <c r="AX117" s="89">
        <f t="shared" si="31"/>
        <v>0</v>
      </c>
      <c r="AY117" s="89">
        <f t="shared" si="31"/>
        <v>0</v>
      </c>
      <c r="AZ117" s="89">
        <f t="shared" si="31"/>
        <v>0</v>
      </c>
      <c r="BA117" s="89">
        <f t="shared" si="31"/>
        <v>0</v>
      </c>
      <c r="BB117" s="89">
        <f t="shared" si="31"/>
        <v>0</v>
      </c>
    </row>
    <row r="118" spans="1:54" ht="29">
      <c r="B118" s="6" t="s">
        <v>2870</v>
      </c>
      <c r="C118" s="52"/>
      <c r="D118" s="89">
        <f t="shared" ref="D118:BB118" si="32">IF(D$104&lt;$C$7,    SUMIFS($C$92:$C$100,$B$92:$B$100,$B118),  SUMIFS($E$92:$E$100,$B$92:$B$100,$B118))   *C$86</f>
        <v>0</v>
      </c>
      <c r="E118" s="89">
        <f t="shared" si="32"/>
        <v>0</v>
      </c>
      <c r="F118" s="89">
        <f t="shared" si="32"/>
        <v>0</v>
      </c>
      <c r="G118" s="89">
        <f t="shared" si="32"/>
        <v>0</v>
      </c>
      <c r="H118" s="89">
        <f t="shared" si="32"/>
        <v>0</v>
      </c>
      <c r="I118" s="89">
        <f t="shared" si="32"/>
        <v>0</v>
      </c>
      <c r="J118" s="89">
        <f t="shared" si="32"/>
        <v>0</v>
      </c>
      <c r="K118" s="89">
        <f t="shared" si="32"/>
        <v>0</v>
      </c>
      <c r="L118" s="89">
        <f t="shared" si="32"/>
        <v>0</v>
      </c>
      <c r="M118" s="89">
        <f t="shared" si="32"/>
        <v>0</v>
      </c>
      <c r="N118" s="89">
        <f t="shared" si="32"/>
        <v>0</v>
      </c>
      <c r="O118" s="89">
        <f t="shared" si="32"/>
        <v>0</v>
      </c>
      <c r="P118" s="89">
        <f t="shared" si="32"/>
        <v>0</v>
      </c>
      <c r="Q118" s="89">
        <f t="shared" si="32"/>
        <v>0</v>
      </c>
      <c r="R118" s="89">
        <f t="shared" si="32"/>
        <v>0</v>
      </c>
      <c r="S118" s="89">
        <f t="shared" si="32"/>
        <v>0</v>
      </c>
      <c r="T118" s="89">
        <f t="shared" si="32"/>
        <v>0</v>
      </c>
      <c r="U118" s="89">
        <f t="shared" si="32"/>
        <v>0</v>
      </c>
      <c r="V118" s="89">
        <f t="shared" si="32"/>
        <v>0</v>
      </c>
      <c r="W118" s="89">
        <f t="shared" si="32"/>
        <v>0</v>
      </c>
      <c r="X118" s="89">
        <f t="shared" si="32"/>
        <v>0</v>
      </c>
      <c r="Y118" s="89">
        <f t="shared" si="32"/>
        <v>0</v>
      </c>
      <c r="Z118" s="89">
        <f t="shared" si="32"/>
        <v>0</v>
      </c>
      <c r="AA118" s="89">
        <f t="shared" si="32"/>
        <v>0</v>
      </c>
      <c r="AB118" s="89">
        <f t="shared" si="32"/>
        <v>0</v>
      </c>
      <c r="AC118" s="89">
        <f t="shared" si="32"/>
        <v>0</v>
      </c>
      <c r="AD118" s="89">
        <f t="shared" si="32"/>
        <v>0</v>
      </c>
      <c r="AE118" s="89">
        <f t="shared" si="32"/>
        <v>0</v>
      </c>
      <c r="AF118" s="89">
        <f t="shared" si="32"/>
        <v>0</v>
      </c>
      <c r="AG118" s="89">
        <f t="shared" si="32"/>
        <v>0</v>
      </c>
      <c r="AH118" s="89">
        <f t="shared" si="32"/>
        <v>0</v>
      </c>
      <c r="AI118" s="89">
        <f t="shared" si="32"/>
        <v>0</v>
      </c>
      <c r="AJ118" s="89">
        <f t="shared" si="32"/>
        <v>0</v>
      </c>
      <c r="AK118" s="89">
        <f t="shared" si="32"/>
        <v>0</v>
      </c>
      <c r="AL118" s="89">
        <f t="shared" si="32"/>
        <v>0</v>
      </c>
      <c r="AM118" s="89">
        <f t="shared" si="32"/>
        <v>0</v>
      </c>
      <c r="AN118" s="89">
        <f t="shared" si="32"/>
        <v>0</v>
      </c>
      <c r="AO118" s="89">
        <f t="shared" si="32"/>
        <v>0</v>
      </c>
      <c r="AP118" s="89">
        <f t="shared" si="32"/>
        <v>0</v>
      </c>
      <c r="AQ118" s="89">
        <f t="shared" si="32"/>
        <v>0</v>
      </c>
      <c r="AR118" s="89">
        <f t="shared" si="32"/>
        <v>0</v>
      </c>
      <c r="AS118" s="89">
        <f t="shared" si="32"/>
        <v>0</v>
      </c>
      <c r="AT118" s="89">
        <f t="shared" si="32"/>
        <v>0</v>
      </c>
      <c r="AU118" s="89">
        <f t="shared" si="32"/>
        <v>0</v>
      </c>
      <c r="AV118" s="89">
        <f t="shared" si="32"/>
        <v>0</v>
      </c>
      <c r="AW118" s="89">
        <f t="shared" si="32"/>
        <v>0</v>
      </c>
      <c r="AX118" s="89">
        <f t="shared" si="32"/>
        <v>0</v>
      </c>
      <c r="AY118" s="89">
        <f t="shared" si="32"/>
        <v>0</v>
      </c>
      <c r="AZ118" s="89">
        <f t="shared" si="32"/>
        <v>0</v>
      </c>
      <c r="BA118" s="89">
        <f t="shared" si="32"/>
        <v>0</v>
      </c>
      <c r="BB118" s="89">
        <f t="shared" si="32"/>
        <v>0</v>
      </c>
    </row>
    <row r="119" spans="1:54">
      <c r="B119" s="6" t="s">
        <v>102</v>
      </c>
      <c r="C119" s="52"/>
      <c r="D119" s="89">
        <f t="shared" ref="D119:BB119" si="33">IF(D$104&lt;$C$7,    SUMIFS($C$92:$C$100,$B$92:$B$100,$B119),  SUMIFS($E$92:$E$100,$B$92:$B$100,$B119))   *C$86</f>
        <v>0</v>
      </c>
      <c r="E119" s="89">
        <f t="shared" si="33"/>
        <v>19.436216766467062</v>
      </c>
      <c r="F119" s="89">
        <f t="shared" si="33"/>
        <v>39.536772274810332</v>
      </c>
      <c r="G119" s="89">
        <f t="shared" si="33"/>
        <v>60.205919894088979</v>
      </c>
      <c r="H119" s="89">
        <f t="shared" si="33"/>
        <v>81.379180657117743</v>
      </c>
      <c r="I119" s="89">
        <f t="shared" si="33"/>
        <v>447.79314030087346</v>
      </c>
      <c r="J119" s="89">
        <f t="shared" si="33"/>
        <v>773.20297792191195</v>
      </c>
      <c r="K119" s="89">
        <f t="shared" si="33"/>
        <v>1074.5821621818973</v>
      </c>
      <c r="L119" s="89">
        <f t="shared" si="33"/>
        <v>1362.6184509796401</v>
      </c>
      <c r="M119" s="89">
        <f t="shared" si="33"/>
        <v>1644.5234285666188</v>
      </c>
      <c r="N119" s="89">
        <f t="shared" si="33"/>
        <v>1924.520096874696</v>
      </c>
      <c r="O119" s="89">
        <f t="shared" si="33"/>
        <v>2185.6645948352652</v>
      </c>
      <c r="P119" s="89">
        <f t="shared" si="33"/>
        <v>2448.3992875937693</v>
      </c>
      <c r="Q119" s="89">
        <f t="shared" si="33"/>
        <v>2713.5754319042585</v>
      </c>
      <c r="R119" s="89">
        <f t="shared" si="33"/>
        <v>2981.6413970242465</v>
      </c>
      <c r="S119" s="89">
        <f t="shared" si="33"/>
        <v>2908.1074812189768</v>
      </c>
      <c r="T119" s="89">
        <f t="shared" si="33"/>
        <v>2879.346025395882</v>
      </c>
      <c r="U119" s="89">
        <f t="shared" si="33"/>
        <v>2878.4156373096198</v>
      </c>
      <c r="V119" s="89">
        <f t="shared" si="33"/>
        <v>2894.6726452430962</v>
      </c>
      <c r="W119" s="89">
        <f t="shared" si="33"/>
        <v>2921.0920902202115</v>
      </c>
      <c r="X119" s="89">
        <f t="shared" si="33"/>
        <v>2953.3973826552019</v>
      </c>
      <c r="Y119" s="89">
        <f t="shared" si="33"/>
        <v>2989.0010587505931</v>
      </c>
      <c r="Z119" s="89">
        <f t="shared" si="33"/>
        <v>3026.2270756620974</v>
      </c>
      <c r="AA119" s="89">
        <f t="shared" si="33"/>
        <v>3064.2640396785027</v>
      </c>
      <c r="AB119" s="89">
        <f t="shared" si="33"/>
        <v>3102.6389006067047</v>
      </c>
      <c r="AC119" s="89">
        <f t="shared" si="33"/>
        <v>3140.9955689093622</v>
      </c>
      <c r="AD119" s="89">
        <f t="shared" si="33"/>
        <v>3179.1246360618584</v>
      </c>
      <c r="AE119" s="89">
        <f t="shared" si="33"/>
        <v>3216.8700985574928</v>
      </c>
      <c r="AF119" s="89">
        <f t="shared" si="33"/>
        <v>3254.0288448956571</v>
      </c>
      <c r="AG119" s="89">
        <f t="shared" si="33"/>
        <v>3290.2334175845722</v>
      </c>
      <c r="AH119" s="89">
        <f t="shared" si="33"/>
        <v>3325.3679971902952</v>
      </c>
      <c r="AI119" s="89">
        <f t="shared" si="33"/>
        <v>3359.4306241796403</v>
      </c>
      <c r="AJ119" s="89">
        <f t="shared" si="33"/>
        <v>3392.3382407804179</v>
      </c>
      <c r="AK119" s="89">
        <f t="shared" si="33"/>
        <v>3424.100272192326</v>
      </c>
      <c r="AL119" s="89">
        <f t="shared" si="33"/>
        <v>3454.719492064964</v>
      </c>
      <c r="AM119" s="89">
        <f t="shared" si="33"/>
        <v>3484.1502369979339</v>
      </c>
      <c r="AN119" s="89">
        <f t="shared" si="33"/>
        <v>3512.2850738982338</v>
      </c>
      <c r="AO119" s="89">
        <f t="shared" si="33"/>
        <v>3539.0322226858657</v>
      </c>
      <c r="AP119" s="89">
        <f t="shared" si="33"/>
        <v>3564.3203262181796</v>
      </c>
      <c r="AQ119" s="89">
        <f t="shared" si="33"/>
        <v>3588.0888038772978</v>
      </c>
      <c r="AR119" s="89">
        <f t="shared" si="33"/>
        <v>3610.3851704940162</v>
      </c>
      <c r="AS119" s="89">
        <f t="shared" si="33"/>
        <v>3631.2884774226695</v>
      </c>
      <c r="AT119" s="89">
        <f t="shared" si="33"/>
        <v>3650.9399511610245</v>
      </c>
      <c r="AU119" s="89">
        <f t="shared" si="33"/>
        <v>3668.9970464014709</v>
      </c>
      <c r="AV119" s="89">
        <f t="shared" si="33"/>
        <v>3685.2984591046297</v>
      </c>
      <c r="AW119" s="89">
        <f t="shared" si="33"/>
        <v>3699.8415380064184</v>
      </c>
      <c r="AX119" s="89">
        <f t="shared" si="33"/>
        <v>3712.4251577426476</v>
      </c>
      <c r="AY119" s="89">
        <f t="shared" si="33"/>
        <v>3723.0567223979961</v>
      </c>
      <c r="AZ119" s="89">
        <f t="shared" si="33"/>
        <v>3731.8624155421699</v>
      </c>
      <c r="BA119" s="89">
        <f t="shared" si="33"/>
        <v>3739.0376387681681</v>
      </c>
      <c r="BB119" s="89">
        <f t="shared" si="33"/>
        <v>3744.6896837216987</v>
      </c>
    </row>
    <row r="120" spans="1:54">
      <c r="B120" s="6" t="s">
        <v>2831</v>
      </c>
      <c r="C120" s="52"/>
      <c r="D120" s="89">
        <f t="shared" ref="D120:BB120" si="34">IF(D$104&lt;$C$7,    SUMIFS($C$92:$C$100,$B$92:$B$100,$B120),  SUMIFS($E$92:$E$100,$B$92:$B$100,$B120))   *C$86</f>
        <v>0</v>
      </c>
      <c r="E120" s="89">
        <f t="shared" si="34"/>
        <v>349.85190179640711</v>
      </c>
      <c r="F120" s="89">
        <f t="shared" si="34"/>
        <v>711.661900946586</v>
      </c>
      <c r="G120" s="89">
        <f t="shared" si="34"/>
        <v>1083.7065580936016</v>
      </c>
      <c r="H120" s="89">
        <f t="shared" si="34"/>
        <v>2197.2378777421795</v>
      </c>
      <c r="I120" s="89">
        <f t="shared" si="34"/>
        <v>12090.414788123586</v>
      </c>
      <c r="J120" s="89">
        <f t="shared" si="34"/>
        <v>20876.480403891626</v>
      </c>
      <c r="K120" s="89">
        <f t="shared" si="34"/>
        <v>29013.718378911231</v>
      </c>
      <c r="L120" s="89">
        <f t="shared" si="34"/>
        <v>36790.698176450285</v>
      </c>
      <c r="M120" s="89">
        <f t="shared" si="34"/>
        <v>44402.132571298716</v>
      </c>
      <c r="N120" s="89">
        <f t="shared" si="34"/>
        <v>51962.042615616803</v>
      </c>
      <c r="O120" s="89">
        <f t="shared" si="34"/>
        <v>59012.944060552167</v>
      </c>
      <c r="P120" s="89">
        <f t="shared" si="34"/>
        <v>66106.780765031785</v>
      </c>
      <c r="Q120" s="89">
        <f t="shared" si="34"/>
        <v>73266.536661414983</v>
      </c>
      <c r="R120" s="89">
        <f t="shared" si="34"/>
        <v>80504.31771965466</v>
      </c>
      <c r="S120" s="89">
        <f t="shared" si="34"/>
        <v>78518.90199291239</v>
      </c>
      <c r="T120" s="89">
        <f t="shared" si="34"/>
        <v>77742.342685688825</v>
      </c>
      <c r="U120" s="89">
        <f t="shared" si="34"/>
        <v>77717.222207359751</v>
      </c>
      <c r="V120" s="89">
        <f t="shared" si="34"/>
        <v>78156.161421563607</v>
      </c>
      <c r="W120" s="89">
        <f t="shared" si="34"/>
        <v>78869.486435945728</v>
      </c>
      <c r="X120" s="89">
        <f t="shared" si="34"/>
        <v>79741.729331690469</v>
      </c>
      <c r="Y120" s="89">
        <f t="shared" si="34"/>
        <v>80703.028586266024</v>
      </c>
      <c r="Z120" s="89">
        <f t="shared" si="34"/>
        <v>81708.131042876645</v>
      </c>
      <c r="AA120" s="89">
        <f t="shared" si="34"/>
        <v>82735.129071319578</v>
      </c>
      <c r="AB120" s="89">
        <f t="shared" si="34"/>
        <v>83771.250316381032</v>
      </c>
      <c r="AC120" s="89">
        <f t="shared" si="34"/>
        <v>84806.880360552794</v>
      </c>
      <c r="AD120" s="89">
        <f t="shared" si="34"/>
        <v>85836.365173670187</v>
      </c>
      <c r="AE120" s="89">
        <f t="shared" si="34"/>
        <v>86855.492661052325</v>
      </c>
      <c r="AF120" s="89">
        <f t="shared" si="34"/>
        <v>87858.778812182747</v>
      </c>
      <c r="AG120" s="89">
        <f t="shared" si="34"/>
        <v>88836.302274783462</v>
      </c>
      <c r="AH120" s="89">
        <f t="shared" si="34"/>
        <v>89784.935924137986</v>
      </c>
      <c r="AI120" s="89">
        <f t="shared" si="34"/>
        <v>90704.626852850299</v>
      </c>
      <c r="AJ120" s="89">
        <f t="shared" si="34"/>
        <v>91593.13250107129</v>
      </c>
      <c r="AK120" s="89">
        <f t="shared" si="34"/>
        <v>92450.707349192817</v>
      </c>
      <c r="AL120" s="89">
        <f t="shared" si="34"/>
        <v>93277.426285754045</v>
      </c>
      <c r="AM120" s="89">
        <f t="shared" si="34"/>
        <v>94072.056398944231</v>
      </c>
      <c r="AN120" s="89">
        <f t="shared" si="34"/>
        <v>94831.696995252321</v>
      </c>
      <c r="AO120" s="89">
        <f t="shared" si="34"/>
        <v>95553.870012518382</v>
      </c>
      <c r="AP120" s="89">
        <f t="shared" si="34"/>
        <v>96236.648807890859</v>
      </c>
      <c r="AQ120" s="89">
        <f t="shared" si="34"/>
        <v>96878.397704687057</v>
      </c>
      <c r="AR120" s="89">
        <f t="shared" si="34"/>
        <v>97480.399603338446</v>
      </c>
      <c r="AS120" s="89">
        <f t="shared" si="34"/>
        <v>98044.788890412092</v>
      </c>
      <c r="AT120" s="89">
        <f t="shared" si="34"/>
        <v>98575.378681347676</v>
      </c>
      <c r="AU120" s="89">
        <f t="shared" si="34"/>
        <v>99062.920252839729</v>
      </c>
      <c r="AV120" s="89">
        <f t="shared" si="34"/>
        <v>99503.058395825021</v>
      </c>
      <c r="AW120" s="89">
        <f t="shared" si="34"/>
        <v>99895.721526173307</v>
      </c>
      <c r="AX120" s="89">
        <f t="shared" si="34"/>
        <v>100235.4792590515</v>
      </c>
      <c r="AY120" s="89">
        <f t="shared" si="34"/>
        <v>100522.5315047459</v>
      </c>
      <c r="AZ120" s="89">
        <f t="shared" si="34"/>
        <v>100760.28521963859</v>
      </c>
      <c r="BA120" s="89">
        <f t="shared" si="34"/>
        <v>100954.01624674055</v>
      </c>
      <c r="BB120" s="89">
        <f t="shared" si="34"/>
        <v>101106.62146048588</v>
      </c>
    </row>
    <row r="121" spans="1:54">
      <c r="B121" s="6" t="s">
        <v>2832</v>
      </c>
      <c r="C121" s="52"/>
      <c r="D121" s="89">
        <f t="shared" ref="D121:BB121" si="35">IF(D$104&lt;$C$7,    SUMIFS($C$92:$C$100,$B$92:$B$100,$B121),  SUMIFS($E$92:$E$100,$B$92:$B$100,$B121))   *C$86</f>
        <v>0</v>
      </c>
      <c r="E121" s="89">
        <f t="shared" si="35"/>
        <v>233.23460119760475</v>
      </c>
      <c r="F121" s="89">
        <f t="shared" si="35"/>
        <v>474.44126729772398</v>
      </c>
      <c r="G121" s="89">
        <f t="shared" si="35"/>
        <v>722.47103872906769</v>
      </c>
      <c r="H121" s="89">
        <f t="shared" si="35"/>
        <v>244.13754197135324</v>
      </c>
      <c r="I121" s="89">
        <f t="shared" si="35"/>
        <v>1343.3794209026205</v>
      </c>
      <c r="J121" s="89">
        <f t="shared" si="35"/>
        <v>2319.6089337657359</v>
      </c>
      <c r="K121" s="89">
        <f t="shared" si="35"/>
        <v>3223.7464865456918</v>
      </c>
      <c r="L121" s="89">
        <f t="shared" si="35"/>
        <v>4087.8553529389201</v>
      </c>
      <c r="M121" s="89">
        <f t="shared" si="35"/>
        <v>4933.570285699856</v>
      </c>
      <c r="N121" s="89">
        <f t="shared" si="35"/>
        <v>5773.5602906240883</v>
      </c>
      <c r="O121" s="89">
        <f t="shared" si="35"/>
        <v>6556.9937845057957</v>
      </c>
      <c r="P121" s="89">
        <f t="shared" si="35"/>
        <v>7345.1978627813078</v>
      </c>
      <c r="Q121" s="89">
        <f t="shared" si="35"/>
        <v>8140.726295712775</v>
      </c>
      <c r="R121" s="89">
        <f t="shared" si="35"/>
        <v>8944.9241910727396</v>
      </c>
      <c r="S121" s="89">
        <f t="shared" si="35"/>
        <v>8724.3224436569308</v>
      </c>
      <c r="T121" s="89">
        <f t="shared" si="35"/>
        <v>8638.0380761876459</v>
      </c>
      <c r="U121" s="89">
        <f t="shared" si="35"/>
        <v>8635.2469119288598</v>
      </c>
      <c r="V121" s="89">
        <f t="shared" si="35"/>
        <v>8684.0179357292891</v>
      </c>
      <c r="W121" s="89">
        <f t="shared" si="35"/>
        <v>8763.2762706606336</v>
      </c>
      <c r="X121" s="89">
        <f t="shared" si="35"/>
        <v>8860.1921479656048</v>
      </c>
      <c r="Y121" s="89">
        <f t="shared" si="35"/>
        <v>8967.0031762517792</v>
      </c>
      <c r="Z121" s="89">
        <f t="shared" si="35"/>
        <v>9078.681226986293</v>
      </c>
      <c r="AA121" s="89">
        <f t="shared" si="35"/>
        <v>9192.7921190355082</v>
      </c>
      <c r="AB121" s="89">
        <f t="shared" si="35"/>
        <v>9307.9167018201151</v>
      </c>
      <c r="AC121" s="89">
        <f t="shared" si="35"/>
        <v>9422.9867067280866</v>
      </c>
      <c r="AD121" s="89">
        <f t="shared" si="35"/>
        <v>9537.3739081855747</v>
      </c>
      <c r="AE121" s="89">
        <f t="shared" si="35"/>
        <v>9650.610295672479</v>
      </c>
      <c r="AF121" s="89">
        <f t="shared" si="35"/>
        <v>9762.0865346869723</v>
      </c>
      <c r="AG121" s="89">
        <f t="shared" si="35"/>
        <v>9870.700252753717</v>
      </c>
      <c r="AH121" s="89">
        <f t="shared" si="35"/>
        <v>9976.1039915708861</v>
      </c>
      <c r="AI121" s="89">
        <f t="shared" si="35"/>
        <v>10078.291872538921</v>
      </c>
      <c r="AJ121" s="89">
        <f t="shared" si="35"/>
        <v>10177.014722341253</v>
      </c>
      <c r="AK121" s="89">
        <f t="shared" si="35"/>
        <v>10272.300816576979</v>
      </c>
      <c r="AL121" s="89">
        <f t="shared" si="35"/>
        <v>10364.158476194893</v>
      </c>
      <c r="AM121" s="89">
        <f t="shared" si="35"/>
        <v>10452.450710993802</v>
      </c>
      <c r="AN121" s="89">
        <f t="shared" si="35"/>
        <v>10536.855221694701</v>
      </c>
      <c r="AO121" s="89">
        <f t="shared" si="35"/>
        <v>10617.096668057597</v>
      </c>
      <c r="AP121" s="89">
        <f t="shared" si="35"/>
        <v>10692.960978654539</v>
      </c>
      <c r="AQ121" s="89">
        <f t="shared" si="35"/>
        <v>10764.266411631894</v>
      </c>
      <c r="AR121" s="89">
        <f t="shared" si="35"/>
        <v>10831.155511482048</v>
      </c>
      <c r="AS121" s="89">
        <f t="shared" si="35"/>
        <v>10893.865432268009</v>
      </c>
      <c r="AT121" s="89">
        <f t="shared" si="35"/>
        <v>10952.819853483074</v>
      </c>
      <c r="AU121" s="89">
        <f t="shared" si="35"/>
        <v>11006.991139204412</v>
      </c>
      <c r="AV121" s="89">
        <f t="shared" si="35"/>
        <v>11055.895377313889</v>
      </c>
      <c r="AW121" s="89">
        <f t="shared" si="35"/>
        <v>11099.524614019256</v>
      </c>
      <c r="AX121" s="89">
        <f t="shared" si="35"/>
        <v>11137.275473227943</v>
      </c>
      <c r="AY121" s="89">
        <f t="shared" si="35"/>
        <v>11169.170167193988</v>
      </c>
      <c r="AZ121" s="89">
        <f t="shared" si="35"/>
        <v>11195.58724662651</v>
      </c>
      <c r="BA121" s="89">
        <f t="shared" si="35"/>
        <v>11217.112916304504</v>
      </c>
      <c r="BB121" s="89">
        <f t="shared" si="35"/>
        <v>11234.069051165096</v>
      </c>
    </row>
    <row r="122" spans="1:54">
      <c r="B122" s="6" t="s">
        <v>2871</v>
      </c>
      <c r="C122" s="52"/>
      <c r="D122" s="89">
        <f t="shared" ref="D122:BB122" si="36">IF(D$104&lt;$C$7,    SUMIFS($C$92:$C$100,$B$92:$B$100,$B122),  SUMIFS($E$92:$E$100,$B$92:$B$100,$B122))   *C$86</f>
        <v>0</v>
      </c>
      <c r="E122" s="89">
        <f t="shared" si="36"/>
        <v>0</v>
      </c>
      <c r="F122" s="89">
        <f t="shared" si="36"/>
        <v>0</v>
      </c>
      <c r="G122" s="89">
        <f t="shared" si="36"/>
        <v>0</v>
      </c>
      <c r="H122" s="89">
        <f t="shared" si="36"/>
        <v>0</v>
      </c>
      <c r="I122" s="89">
        <f t="shared" si="36"/>
        <v>0</v>
      </c>
      <c r="J122" s="89">
        <f t="shared" si="36"/>
        <v>0</v>
      </c>
      <c r="K122" s="89">
        <f t="shared" si="36"/>
        <v>0</v>
      </c>
      <c r="L122" s="89">
        <f t="shared" si="36"/>
        <v>0</v>
      </c>
      <c r="M122" s="89">
        <f t="shared" si="36"/>
        <v>0</v>
      </c>
      <c r="N122" s="89">
        <f t="shared" si="36"/>
        <v>0</v>
      </c>
      <c r="O122" s="89">
        <f t="shared" si="36"/>
        <v>0</v>
      </c>
      <c r="P122" s="89">
        <f t="shared" si="36"/>
        <v>0</v>
      </c>
      <c r="Q122" s="89">
        <f t="shared" si="36"/>
        <v>0</v>
      </c>
      <c r="R122" s="89">
        <f t="shared" si="36"/>
        <v>0</v>
      </c>
      <c r="S122" s="89">
        <f t="shared" si="36"/>
        <v>0</v>
      </c>
      <c r="T122" s="89">
        <f t="shared" si="36"/>
        <v>0</v>
      </c>
      <c r="U122" s="89">
        <f t="shared" si="36"/>
        <v>0</v>
      </c>
      <c r="V122" s="89">
        <f t="shared" si="36"/>
        <v>0</v>
      </c>
      <c r="W122" s="89">
        <f t="shared" si="36"/>
        <v>0</v>
      </c>
      <c r="X122" s="89">
        <f t="shared" si="36"/>
        <v>0</v>
      </c>
      <c r="Y122" s="89">
        <f t="shared" si="36"/>
        <v>0</v>
      </c>
      <c r="Z122" s="89">
        <f t="shared" si="36"/>
        <v>0</v>
      </c>
      <c r="AA122" s="89">
        <f t="shared" si="36"/>
        <v>0</v>
      </c>
      <c r="AB122" s="89">
        <f t="shared" si="36"/>
        <v>0</v>
      </c>
      <c r="AC122" s="89">
        <f t="shared" si="36"/>
        <v>0</v>
      </c>
      <c r="AD122" s="89">
        <f t="shared" si="36"/>
        <v>0</v>
      </c>
      <c r="AE122" s="89">
        <f t="shared" si="36"/>
        <v>0</v>
      </c>
      <c r="AF122" s="89">
        <f t="shared" si="36"/>
        <v>0</v>
      </c>
      <c r="AG122" s="89">
        <f t="shared" si="36"/>
        <v>0</v>
      </c>
      <c r="AH122" s="89">
        <f t="shared" si="36"/>
        <v>0</v>
      </c>
      <c r="AI122" s="89">
        <f t="shared" si="36"/>
        <v>0</v>
      </c>
      <c r="AJ122" s="89">
        <f t="shared" si="36"/>
        <v>0</v>
      </c>
      <c r="AK122" s="89">
        <f t="shared" si="36"/>
        <v>0</v>
      </c>
      <c r="AL122" s="89">
        <f t="shared" si="36"/>
        <v>0</v>
      </c>
      <c r="AM122" s="89">
        <f t="shared" si="36"/>
        <v>0</v>
      </c>
      <c r="AN122" s="89">
        <f t="shared" si="36"/>
        <v>0</v>
      </c>
      <c r="AO122" s="89">
        <f t="shared" si="36"/>
        <v>0</v>
      </c>
      <c r="AP122" s="89">
        <f t="shared" si="36"/>
        <v>0</v>
      </c>
      <c r="AQ122" s="89">
        <f t="shared" si="36"/>
        <v>0</v>
      </c>
      <c r="AR122" s="89">
        <f t="shared" si="36"/>
        <v>0</v>
      </c>
      <c r="AS122" s="89">
        <f t="shared" si="36"/>
        <v>0</v>
      </c>
      <c r="AT122" s="89">
        <f t="shared" si="36"/>
        <v>0</v>
      </c>
      <c r="AU122" s="89">
        <f t="shared" si="36"/>
        <v>0</v>
      </c>
      <c r="AV122" s="89">
        <f t="shared" si="36"/>
        <v>0</v>
      </c>
      <c r="AW122" s="89">
        <f t="shared" si="36"/>
        <v>0</v>
      </c>
      <c r="AX122" s="89">
        <f t="shared" si="36"/>
        <v>0</v>
      </c>
      <c r="AY122" s="89">
        <f t="shared" si="36"/>
        <v>0</v>
      </c>
      <c r="AZ122" s="89">
        <f t="shared" si="36"/>
        <v>0</v>
      </c>
      <c r="BA122" s="89">
        <f t="shared" si="36"/>
        <v>0</v>
      </c>
      <c r="BB122" s="89">
        <f t="shared" si="36"/>
        <v>0</v>
      </c>
    </row>
    <row r="123" spans="1:54">
      <c r="B123" s="52"/>
      <c r="C123" s="52"/>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row>
    <row r="124" spans="1:54">
      <c r="B124" s="52"/>
      <c r="C124" s="52"/>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row>
    <row r="125" spans="1:54">
      <c r="A125" s="9"/>
      <c r="B125" s="9"/>
    </row>
    <row r="126" spans="1:54" s="588" customFormat="1">
      <c r="A126" s="593" t="s">
        <v>10</v>
      </c>
      <c r="B126" s="593" t="s">
        <v>2916</v>
      </c>
    </row>
    <row r="128" spans="1:54">
      <c r="B128" s="9" t="s">
        <v>97</v>
      </c>
    </row>
    <row r="130" spans="2:54">
      <c r="B130" s="7" t="s">
        <v>9</v>
      </c>
      <c r="D130" s="34">
        <f>'Prevalence projection'!C$21</f>
        <v>2020</v>
      </c>
      <c r="E130" s="34">
        <f>'Prevalence projection'!D$21</f>
        <v>2021</v>
      </c>
      <c r="F130" s="34">
        <f>'Prevalence projection'!E$21</f>
        <v>2022</v>
      </c>
      <c r="G130" s="34">
        <f>'Prevalence projection'!F$21</f>
        <v>2023</v>
      </c>
      <c r="H130" s="34">
        <f>'Prevalence projection'!G$21</f>
        <v>2024</v>
      </c>
      <c r="I130" s="34">
        <f>'Prevalence projection'!H$21</f>
        <v>2025</v>
      </c>
      <c r="J130" s="34">
        <f>'Prevalence projection'!I$21</f>
        <v>2026</v>
      </c>
      <c r="K130" s="34">
        <f>'Prevalence projection'!J$21</f>
        <v>2027</v>
      </c>
      <c r="L130" s="34">
        <f>'Prevalence projection'!K$21</f>
        <v>2028</v>
      </c>
      <c r="M130" s="34">
        <f>'Prevalence projection'!L$21</f>
        <v>2029</v>
      </c>
      <c r="N130" s="34">
        <f>'Prevalence projection'!M$21</f>
        <v>2030</v>
      </c>
      <c r="O130" s="34">
        <f>'Prevalence projection'!N$21</f>
        <v>2031</v>
      </c>
      <c r="P130" s="34">
        <f>'Prevalence projection'!O$21</f>
        <v>2032</v>
      </c>
      <c r="Q130" s="34">
        <f>'Prevalence projection'!P$21</f>
        <v>2033</v>
      </c>
      <c r="R130" s="34">
        <f>'Prevalence projection'!Q$21</f>
        <v>2034</v>
      </c>
      <c r="S130" s="34">
        <f>'Prevalence projection'!R$21</f>
        <v>2035</v>
      </c>
      <c r="T130" s="34">
        <f>'Prevalence projection'!S$21</f>
        <v>2036</v>
      </c>
      <c r="U130" s="34">
        <f>'Prevalence projection'!T$21</f>
        <v>2037</v>
      </c>
      <c r="V130" s="34">
        <f>'Prevalence projection'!U$21</f>
        <v>2038</v>
      </c>
      <c r="W130" s="34">
        <f>'Prevalence projection'!V$21</f>
        <v>2039</v>
      </c>
      <c r="X130" s="34">
        <f>'Prevalence projection'!W$21</f>
        <v>2040</v>
      </c>
      <c r="Y130" s="34">
        <f>'Prevalence projection'!X$21</f>
        <v>2041</v>
      </c>
      <c r="Z130" s="34">
        <f>'Prevalence projection'!Y$21</f>
        <v>2042</v>
      </c>
      <c r="AA130" s="34">
        <f>'Prevalence projection'!Z$21</f>
        <v>2043</v>
      </c>
      <c r="AB130" s="34">
        <f>'Prevalence projection'!AA$21</f>
        <v>2044</v>
      </c>
      <c r="AC130" s="34">
        <f>'Prevalence projection'!AB$21</f>
        <v>2045</v>
      </c>
      <c r="AD130" s="34">
        <f>'Prevalence projection'!AC$21</f>
        <v>2046</v>
      </c>
      <c r="AE130" s="34">
        <f>'Prevalence projection'!AD$21</f>
        <v>2047</v>
      </c>
      <c r="AF130" s="34">
        <f>'Prevalence projection'!AE$21</f>
        <v>2048</v>
      </c>
      <c r="AG130" s="34">
        <f>'Prevalence projection'!AF$21</f>
        <v>2049</v>
      </c>
      <c r="AH130" s="34">
        <f>'Prevalence projection'!AG$21</f>
        <v>2050</v>
      </c>
      <c r="AI130" s="34">
        <f>'Prevalence projection'!AH$21</f>
        <v>2051</v>
      </c>
      <c r="AJ130" s="34">
        <f>'Prevalence projection'!AI$21</f>
        <v>2052</v>
      </c>
      <c r="AK130" s="34">
        <f>'Prevalence projection'!AJ$21</f>
        <v>2053</v>
      </c>
      <c r="AL130" s="34">
        <f>'Prevalence projection'!AK$21</f>
        <v>2054</v>
      </c>
      <c r="AM130" s="34">
        <f>'Prevalence projection'!AL$21</f>
        <v>2055</v>
      </c>
      <c r="AN130" s="34">
        <f>'Prevalence projection'!AM$21</f>
        <v>2056</v>
      </c>
      <c r="AO130" s="34">
        <f>'Prevalence projection'!AN$21</f>
        <v>2057</v>
      </c>
      <c r="AP130" s="34">
        <f>'Prevalence projection'!AO$21</f>
        <v>2058</v>
      </c>
      <c r="AQ130" s="34">
        <f>'Prevalence projection'!AP$21</f>
        <v>2059</v>
      </c>
      <c r="AR130" s="34">
        <f>'Prevalence projection'!AQ$21</f>
        <v>2060</v>
      </c>
      <c r="AS130" s="34">
        <f>'Prevalence projection'!AR$21</f>
        <v>2061</v>
      </c>
      <c r="AT130" s="34">
        <f>'Prevalence projection'!AS$21</f>
        <v>2062</v>
      </c>
      <c r="AU130" s="34">
        <f>'Prevalence projection'!AT$21</f>
        <v>2063</v>
      </c>
      <c r="AV130" s="34">
        <f>'Prevalence projection'!AU$21</f>
        <v>2064</v>
      </c>
      <c r="AW130" s="34">
        <f>'Prevalence projection'!AV$21</f>
        <v>2065</v>
      </c>
      <c r="AX130" s="34">
        <f>'Prevalence projection'!AW$21</f>
        <v>2066</v>
      </c>
      <c r="AY130" s="34">
        <f>'Prevalence projection'!AX$21</f>
        <v>2067</v>
      </c>
      <c r="AZ130" s="34">
        <f>'Prevalence projection'!AY$21</f>
        <v>2068</v>
      </c>
      <c r="BA130" s="34">
        <f>'Prevalence projection'!AZ$21</f>
        <v>2069</v>
      </c>
      <c r="BB130" s="34">
        <f>'Prevalence projection'!BA$21</f>
        <v>2070</v>
      </c>
    </row>
    <row r="131" spans="2:54">
      <c r="B131" s="6" t="s">
        <v>11</v>
      </c>
      <c r="D131" s="89">
        <f>(     IF(D$130&lt;$C$7,   INDEX($C$60:$C$77,MATCH($B131,$B$60:$B$77,0)), INDEX($F$60:$F$77,MATCH($B131,$B$60:$B$77,0))  )         *C$12)          +D105</f>
        <v>248.44641709759179</v>
      </c>
      <c r="E131" s="89">
        <f t="shared" ref="E131:BB131" si="37">(     IF(E$130&lt;$C$7,   INDEX($C$60:$C$77,MATCH($B131,$B$60:$B$77,0)), INDEX($F$60:$F$77,MATCH($B131,$B$60:$B$77,0))  )         *D$12)          +E105</f>
        <v>256.93842879623816</v>
      </c>
      <c r="F131" s="89">
        <f t="shared" si="37"/>
        <v>264.20654452314096</v>
      </c>
      <c r="G131" s="89">
        <f t="shared" si="37"/>
        <v>270.65044797829296</v>
      </c>
      <c r="H131" s="89">
        <f t="shared" si="37"/>
        <v>354.82932357040823</v>
      </c>
      <c r="I131" s="89">
        <f t="shared" si="37"/>
        <v>315.12159820136151</v>
      </c>
      <c r="J131" s="89">
        <f t="shared" si="37"/>
        <v>291.85070403197022</v>
      </c>
      <c r="K131" s="89">
        <f t="shared" si="37"/>
        <v>278.92966091466866</v>
      </c>
      <c r="L131" s="89">
        <f t="shared" si="37"/>
        <v>272.99219878404921</v>
      </c>
      <c r="M131" s="89">
        <f t="shared" si="37"/>
        <v>271.14422309214575</v>
      </c>
      <c r="N131" s="89">
        <f t="shared" si="37"/>
        <v>271.70980415236039</v>
      </c>
      <c r="O131" s="89">
        <f t="shared" si="37"/>
        <v>273.8930577917036</v>
      </c>
      <c r="P131" s="89">
        <f t="shared" si="37"/>
        <v>276.80793515573623</v>
      </c>
      <c r="Q131" s="89">
        <f t="shared" si="37"/>
        <v>280.09456563795106</v>
      </c>
      <c r="R131" s="89">
        <f t="shared" si="37"/>
        <v>283.62027457556331</v>
      </c>
      <c r="S131" s="89">
        <f t="shared" si="37"/>
        <v>287.26947181258794</v>
      </c>
      <c r="T131" s="89">
        <f t="shared" si="37"/>
        <v>290.94973132987292</v>
      </c>
      <c r="U131" s="89">
        <f t="shared" si="37"/>
        <v>294.67268318904553</v>
      </c>
      <c r="V131" s="89">
        <f t="shared" si="37"/>
        <v>298.57635993186574</v>
      </c>
      <c r="W131" s="89">
        <f t="shared" si="37"/>
        <v>302.42814326155366</v>
      </c>
      <c r="X131" s="89">
        <f t="shared" si="37"/>
        <v>306.18782545326843</v>
      </c>
      <c r="Y131" s="89">
        <f t="shared" si="37"/>
        <v>309.94212757270168</v>
      </c>
      <c r="Z131" s="89">
        <f t="shared" si="37"/>
        <v>313.64231293363326</v>
      </c>
      <c r="AA131" s="89">
        <f t="shared" si="37"/>
        <v>317.25615729374084</v>
      </c>
      <c r="AB131" s="89">
        <f t="shared" si="37"/>
        <v>320.76424878844222</v>
      </c>
      <c r="AC131" s="89">
        <f t="shared" si="37"/>
        <v>324.19304077061742</v>
      </c>
      <c r="AD131" s="89">
        <f t="shared" si="37"/>
        <v>327.50182377252884</v>
      </c>
      <c r="AE131" s="89">
        <f t="shared" si="37"/>
        <v>330.65660924010075</v>
      </c>
      <c r="AF131" s="89">
        <f t="shared" si="37"/>
        <v>333.63627972818938</v>
      </c>
      <c r="AG131" s="89">
        <f t="shared" si="37"/>
        <v>336.45189914560939</v>
      </c>
      <c r="AH131" s="89">
        <f t="shared" si="37"/>
        <v>339.1735198449648</v>
      </c>
      <c r="AI131" s="89">
        <f t="shared" si="37"/>
        <v>341.80932867530385</v>
      </c>
      <c r="AJ131" s="89">
        <f t="shared" si="37"/>
        <v>344.40014795734993</v>
      </c>
      <c r="AK131" s="89">
        <f t="shared" si="37"/>
        <v>346.90731219576713</v>
      </c>
      <c r="AL131" s="89">
        <f t="shared" si="37"/>
        <v>349.26450387395261</v>
      </c>
      <c r="AM131" s="89">
        <f t="shared" si="37"/>
        <v>351.43835957834858</v>
      </c>
      <c r="AN131" s="89">
        <f t="shared" si="37"/>
        <v>353.40332796461701</v>
      </c>
      <c r="AO131" s="89">
        <f t="shared" si="37"/>
        <v>355.14519771929844</v>
      </c>
      <c r="AP131" s="89">
        <f t="shared" si="37"/>
        <v>356.6532872086986</v>
      </c>
      <c r="AQ131" s="89">
        <f t="shared" si="37"/>
        <v>358.04333821736265</v>
      </c>
      <c r="AR131" s="89">
        <f t="shared" si="37"/>
        <v>359.41594255475951</v>
      </c>
      <c r="AS131" s="89">
        <f t="shared" si="37"/>
        <v>360.83949646836942</v>
      </c>
      <c r="AT131" s="89">
        <f t="shared" si="37"/>
        <v>361.88634552483182</v>
      </c>
      <c r="AU131" s="89">
        <f t="shared" si="37"/>
        <v>362.69333532743929</v>
      </c>
      <c r="AV131" s="89">
        <f t="shared" si="37"/>
        <v>363.34778512876585</v>
      </c>
      <c r="AW131" s="89">
        <f t="shared" si="37"/>
        <v>363.62413242230457</v>
      </c>
      <c r="AX131" s="89">
        <f t="shared" si="37"/>
        <v>363.69876239298947</v>
      </c>
      <c r="AY131" s="89">
        <f t="shared" si="37"/>
        <v>363.67248785025703</v>
      </c>
      <c r="AZ131" s="89">
        <f t="shared" si="37"/>
        <v>363.60165676924464</v>
      </c>
      <c r="BA131" s="89">
        <f t="shared" si="37"/>
        <v>363.51668669349721</v>
      </c>
      <c r="BB131" s="89">
        <f t="shared" si="37"/>
        <v>363.43308200936826</v>
      </c>
    </row>
    <row r="132" spans="2:54">
      <c r="B132" s="6" t="s">
        <v>14</v>
      </c>
      <c r="C132" s="52"/>
      <c r="D132" s="89">
        <f t="shared" ref="D132:BB132" si="38">(     IF(D$130&lt;$C$7,   INDEX($C$60:$C$77,MATCH($B132,$B$60:$B$77,0)), INDEX($F$60:$F$77,MATCH($B132,$B$60:$B$77,0))  )         *C$12)          +D106</f>
        <v>2.2304286811576626</v>
      </c>
      <c r="E132" s="89">
        <f t="shared" si="38"/>
        <v>2.3066657493941798</v>
      </c>
      <c r="F132" s="89">
        <f t="shared" si="38"/>
        <v>2.3719152867577602</v>
      </c>
      <c r="G132" s="89">
        <f t="shared" si="38"/>
        <v>2.4297654552282366</v>
      </c>
      <c r="H132" s="89">
        <f t="shared" si="38"/>
        <v>3.1854816400766781</v>
      </c>
      <c r="I132" s="89">
        <f t="shared" si="38"/>
        <v>2.8290053802807305</v>
      </c>
      <c r="J132" s="89">
        <f t="shared" si="38"/>
        <v>2.6200908368634805</v>
      </c>
      <c r="K132" s="89">
        <f t="shared" si="38"/>
        <v>2.5040921217442214</v>
      </c>
      <c r="L132" s="89">
        <f t="shared" si="38"/>
        <v>2.4507885322454075</v>
      </c>
      <c r="M132" s="89">
        <f t="shared" si="38"/>
        <v>2.4341983232439852</v>
      </c>
      <c r="N132" s="89">
        <f t="shared" si="38"/>
        <v>2.4392758294240271</v>
      </c>
      <c r="O132" s="89">
        <f t="shared" si="38"/>
        <v>2.4588759975098484</v>
      </c>
      <c r="P132" s="89">
        <f t="shared" si="38"/>
        <v>2.4850443204454207</v>
      </c>
      <c r="Q132" s="89">
        <f t="shared" si="38"/>
        <v>2.5145500584533851</v>
      </c>
      <c r="R132" s="89">
        <f t="shared" si="38"/>
        <v>2.5462021242297062</v>
      </c>
      <c r="S132" s="89">
        <f t="shared" si="38"/>
        <v>2.5789628066969597</v>
      </c>
      <c r="T132" s="89">
        <f t="shared" si="38"/>
        <v>2.6120023509067343</v>
      </c>
      <c r="U132" s="89">
        <f t="shared" si="38"/>
        <v>2.6454251657827723</v>
      </c>
      <c r="V132" s="89">
        <f t="shared" si="38"/>
        <v>2.6804704390085647</v>
      </c>
      <c r="W132" s="89">
        <f t="shared" si="38"/>
        <v>2.7150498389150091</v>
      </c>
      <c r="X132" s="89">
        <f t="shared" si="38"/>
        <v>2.7488024004950957</v>
      </c>
      <c r="Y132" s="89">
        <f t="shared" si="38"/>
        <v>2.7825066624552335</v>
      </c>
      <c r="Z132" s="89">
        <f t="shared" si="38"/>
        <v>2.8157250910042744</v>
      </c>
      <c r="AA132" s="89">
        <f t="shared" si="38"/>
        <v>2.8481683928807411</v>
      </c>
      <c r="AB132" s="89">
        <f t="shared" si="38"/>
        <v>2.8796622979944289</v>
      </c>
      <c r="AC132" s="89">
        <f t="shared" si="38"/>
        <v>2.9104442914242754</v>
      </c>
      <c r="AD132" s="89">
        <f t="shared" si="38"/>
        <v>2.9401489037644537</v>
      </c>
      <c r="AE132" s="89">
        <f t="shared" si="38"/>
        <v>2.9684710026378207</v>
      </c>
      <c r="AF132" s="89">
        <f t="shared" si="38"/>
        <v>2.9952210060980091</v>
      </c>
      <c r="AG132" s="89">
        <f t="shared" si="38"/>
        <v>3.0204982404296725</v>
      </c>
      <c r="AH132" s="89">
        <f t="shared" si="38"/>
        <v>3.0449316009022853</v>
      </c>
      <c r="AI132" s="89">
        <f t="shared" si="38"/>
        <v>3.0685945849851977</v>
      </c>
      <c r="AJ132" s="89">
        <f t="shared" si="38"/>
        <v>3.0918536752223575</v>
      </c>
      <c r="AK132" s="89">
        <f t="shared" si="38"/>
        <v>3.114361751978167</v>
      </c>
      <c r="AL132" s="89">
        <f t="shared" si="38"/>
        <v>3.1355234494879598</v>
      </c>
      <c r="AM132" s="89">
        <f t="shared" si="38"/>
        <v>3.1550392475760374</v>
      </c>
      <c r="AN132" s="89">
        <f t="shared" si="38"/>
        <v>3.1726797589486755</v>
      </c>
      <c r="AO132" s="89">
        <f t="shared" si="38"/>
        <v>3.1883174014837112</v>
      </c>
      <c r="AP132" s="89">
        <f t="shared" si="38"/>
        <v>3.201856280772879</v>
      </c>
      <c r="AQ132" s="89">
        <f t="shared" si="38"/>
        <v>3.2143354691395944</v>
      </c>
      <c r="AR132" s="89">
        <f t="shared" si="38"/>
        <v>3.2266580299467762</v>
      </c>
      <c r="AS132" s="89">
        <f t="shared" si="38"/>
        <v>3.2394379907736712</v>
      </c>
      <c r="AT132" s="89">
        <f t="shared" si="38"/>
        <v>3.2488360822722475</v>
      </c>
      <c r="AU132" s="89">
        <f t="shared" si="38"/>
        <v>3.256080836381261</v>
      </c>
      <c r="AV132" s="89">
        <f t="shared" si="38"/>
        <v>3.2619561620321975</v>
      </c>
      <c r="AW132" s="89">
        <f t="shared" si="38"/>
        <v>3.2644370709407244</v>
      </c>
      <c r="AX132" s="89">
        <f t="shared" si="38"/>
        <v>3.2651070617944229</v>
      </c>
      <c r="AY132" s="89">
        <f t="shared" si="38"/>
        <v>3.2648711819842835</v>
      </c>
      <c r="AZ132" s="89">
        <f t="shared" si="38"/>
        <v>3.2642352956774774</v>
      </c>
      <c r="BA132" s="89">
        <f t="shared" si="38"/>
        <v>3.2634724764901404</v>
      </c>
      <c r="BB132" s="89">
        <f t="shared" si="38"/>
        <v>3.2627219151113982</v>
      </c>
    </row>
    <row r="133" spans="2:54">
      <c r="B133" s="6" t="s">
        <v>15</v>
      </c>
      <c r="C133" s="52"/>
      <c r="D133" s="89">
        <f t="shared" ref="D133:BB133" si="39">(     IF(D$130&lt;$C$7,   INDEX($C$60:$C$77,MATCH($B133,$B$60:$B$77,0)), INDEX($F$60:$F$77,MATCH($B133,$B$60:$B$77,0))  )         *C$12)          +D107</f>
        <v>14.050370167109936</v>
      </c>
      <c r="E133" s="89">
        <f t="shared" si="39"/>
        <v>14.530618219077381</v>
      </c>
      <c r="F133" s="89">
        <f t="shared" si="39"/>
        <v>14.941651380969441</v>
      </c>
      <c r="G133" s="89">
        <f t="shared" si="39"/>
        <v>15.306072932802245</v>
      </c>
      <c r="H133" s="89">
        <f t="shared" si="39"/>
        <v>20.066634087748277</v>
      </c>
      <c r="I133" s="89">
        <f t="shared" si="39"/>
        <v>17.821046300865856</v>
      </c>
      <c r="J133" s="89">
        <f t="shared" si="39"/>
        <v>16.505009301744415</v>
      </c>
      <c r="K133" s="89">
        <f t="shared" si="39"/>
        <v>15.774286593547894</v>
      </c>
      <c r="L133" s="89">
        <f t="shared" si="39"/>
        <v>15.438505777052436</v>
      </c>
      <c r="M133" s="89">
        <f t="shared" si="39"/>
        <v>15.333997356949661</v>
      </c>
      <c r="N133" s="89">
        <f t="shared" si="39"/>
        <v>15.365982616984223</v>
      </c>
      <c r="O133" s="89">
        <f t="shared" si="39"/>
        <v>15.489451983778965</v>
      </c>
      <c r="P133" s="89">
        <f t="shared" si="39"/>
        <v>15.6542968080064</v>
      </c>
      <c r="Q133" s="89">
        <f t="shared" si="39"/>
        <v>15.840165356311873</v>
      </c>
      <c r="R133" s="89">
        <f t="shared" si="39"/>
        <v>16.039554489202771</v>
      </c>
      <c r="S133" s="89">
        <f t="shared" si="39"/>
        <v>16.245927245920171</v>
      </c>
      <c r="T133" s="89">
        <f t="shared" si="39"/>
        <v>16.454056665265238</v>
      </c>
      <c r="U133" s="89">
        <f t="shared" si="39"/>
        <v>16.664600461174185</v>
      </c>
      <c r="V133" s="89">
        <f t="shared" si="39"/>
        <v>16.885364776836735</v>
      </c>
      <c r="W133" s="89">
        <f t="shared" si="39"/>
        <v>17.103194368496172</v>
      </c>
      <c r="X133" s="89">
        <f t="shared" si="39"/>
        <v>17.315815371935855</v>
      </c>
      <c r="Y133" s="89">
        <f t="shared" si="39"/>
        <v>17.528132116582174</v>
      </c>
      <c r="Z133" s="89">
        <f t="shared" si="39"/>
        <v>17.737388400554217</v>
      </c>
      <c r="AA133" s="89">
        <f t="shared" si="39"/>
        <v>17.941761848877636</v>
      </c>
      <c r="AB133" s="89">
        <f t="shared" si="39"/>
        <v>18.140154663941995</v>
      </c>
      <c r="AC133" s="89">
        <f t="shared" si="39"/>
        <v>18.334062860076923</v>
      </c>
      <c r="AD133" s="89">
        <f t="shared" si="39"/>
        <v>18.521184198040253</v>
      </c>
      <c r="AE133" s="89">
        <f t="shared" si="39"/>
        <v>18.699596525877499</v>
      </c>
      <c r="AF133" s="89">
        <f t="shared" si="39"/>
        <v>18.868105590418416</v>
      </c>
      <c r="AG133" s="89">
        <f t="shared" si="39"/>
        <v>19.027337088004934</v>
      </c>
      <c r="AH133" s="89">
        <f t="shared" si="39"/>
        <v>19.181252683677986</v>
      </c>
      <c r="AI133" s="89">
        <f t="shared" si="39"/>
        <v>19.330315367650819</v>
      </c>
      <c r="AJ133" s="89">
        <f t="shared" si="39"/>
        <v>19.476833761331395</v>
      </c>
      <c r="AK133" s="89">
        <f t="shared" si="39"/>
        <v>19.618621218083746</v>
      </c>
      <c r="AL133" s="89">
        <f t="shared" si="39"/>
        <v>19.751927288745769</v>
      </c>
      <c r="AM133" s="89">
        <f t="shared" si="39"/>
        <v>19.874865174884206</v>
      </c>
      <c r="AN133" s="89">
        <f t="shared" si="39"/>
        <v>19.985989873385677</v>
      </c>
      <c r="AO133" s="89">
        <f t="shared" si="39"/>
        <v>20.08449769298749</v>
      </c>
      <c r="AP133" s="89">
        <f t="shared" si="39"/>
        <v>20.169784556121751</v>
      </c>
      <c r="AQ133" s="89">
        <f t="shared" si="39"/>
        <v>20.248395998585107</v>
      </c>
      <c r="AR133" s="89">
        <f t="shared" si="39"/>
        <v>20.326020780856901</v>
      </c>
      <c r="AS133" s="89">
        <f t="shared" si="39"/>
        <v>20.406526910398707</v>
      </c>
      <c r="AT133" s="89">
        <f t="shared" si="39"/>
        <v>20.465729280568567</v>
      </c>
      <c r="AU133" s="89">
        <f t="shared" si="39"/>
        <v>20.511366909720866</v>
      </c>
      <c r="AV133" s="89">
        <f t="shared" si="39"/>
        <v>20.54837795649647</v>
      </c>
      <c r="AW133" s="89">
        <f t="shared" si="39"/>
        <v>20.5640062026763</v>
      </c>
      <c r="AX133" s="89">
        <f t="shared" si="39"/>
        <v>20.568226745382983</v>
      </c>
      <c r="AY133" s="89">
        <f t="shared" si="39"/>
        <v>20.566740843289185</v>
      </c>
      <c r="AZ133" s="89">
        <f t="shared" si="39"/>
        <v>20.562735138883436</v>
      </c>
      <c r="BA133" s="89">
        <f t="shared" si="39"/>
        <v>20.557929833049986</v>
      </c>
      <c r="BB133" s="89">
        <f t="shared" si="39"/>
        <v>20.553201744098498</v>
      </c>
    </row>
    <row r="134" spans="2:54" ht="29">
      <c r="B134" s="6" t="s">
        <v>16</v>
      </c>
      <c r="C134" s="52"/>
      <c r="D134" s="89">
        <f t="shared" ref="D134:BB134" si="40">(     IF(D$130&lt;$C$7,   INDEX($C$60:$C$77,MATCH($B134,$B$60:$B$77,0)), INDEX($F$60:$F$77,MATCH($B134,$B$60:$B$77,0))  )         *C$12)          +D108</f>
        <v>37.937397359558823</v>
      </c>
      <c r="E134" s="89">
        <f t="shared" si="40"/>
        <v>39.234114881015458</v>
      </c>
      <c r="F134" s="89">
        <f t="shared" si="40"/>
        <v>40.343945312896707</v>
      </c>
      <c r="G134" s="89">
        <f t="shared" si="40"/>
        <v>41.327919760106006</v>
      </c>
      <c r="H134" s="89">
        <f t="shared" si="40"/>
        <v>54.181908519237531</v>
      </c>
      <c r="I134" s="89">
        <f t="shared" si="40"/>
        <v>48.118598075207132</v>
      </c>
      <c r="J134" s="89">
        <f t="shared" si="40"/>
        <v>44.565167241589386</v>
      </c>
      <c r="K134" s="89">
        <f t="shared" si="40"/>
        <v>42.592143227930492</v>
      </c>
      <c r="L134" s="89">
        <f t="shared" si="40"/>
        <v>41.685501615674269</v>
      </c>
      <c r="M134" s="89">
        <f t="shared" si="40"/>
        <v>41.403318483578595</v>
      </c>
      <c r="N134" s="89">
        <f t="shared" si="40"/>
        <v>41.489681867969743</v>
      </c>
      <c r="O134" s="89">
        <f t="shared" si="40"/>
        <v>41.823061442608292</v>
      </c>
      <c r="P134" s="89">
        <f t="shared" si="40"/>
        <v>42.268158868868426</v>
      </c>
      <c r="Q134" s="89">
        <f t="shared" si="40"/>
        <v>42.770022441844986</v>
      </c>
      <c r="R134" s="89">
        <f t="shared" si="40"/>
        <v>43.3083929384008</v>
      </c>
      <c r="S134" s="89">
        <f t="shared" si="40"/>
        <v>43.865619914107306</v>
      </c>
      <c r="T134" s="89">
        <f t="shared" si="40"/>
        <v>44.427590053683502</v>
      </c>
      <c r="U134" s="89">
        <f t="shared" si="40"/>
        <v>44.996079250194867</v>
      </c>
      <c r="V134" s="89">
        <f t="shared" si="40"/>
        <v>45.592164866907403</v>
      </c>
      <c r="W134" s="89">
        <f t="shared" si="40"/>
        <v>46.180326436828118</v>
      </c>
      <c r="X134" s="89">
        <f t="shared" si="40"/>
        <v>46.754424300339323</v>
      </c>
      <c r="Y134" s="89">
        <f t="shared" si="40"/>
        <v>47.327700634836937</v>
      </c>
      <c r="Z134" s="89">
        <f t="shared" si="40"/>
        <v>47.892713421020702</v>
      </c>
      <c r="AA134" s="89">
        <f t="shared" si="40"/>
        <v>48.444542065146997</v>
      </c>
      <c r="AB134" s="89">
        <f t="shared" si="40"/>
        <v>48.980222404444859</v>
      </c>
      <c r="AC134" s="89">
        <f t="shared" si="40"/>
        <v>49.503793826446703</v>
      </c>
      <c r="AD134" s="89">
        <f t="shared" si="40"/>
        <v>50.009040056142823</v>
      </c>
      <c r="AE134" s="89">
        <f t="shared" si="40"/>
        <v>50.490771092016146</v>
      </c>
      <c r="AF134" s="89">
        <f t="shared" si="40"/>
        <v>50.945762331687618</v>
      </c>
      <c r="AG134" s="89">
        <f t="shared" si="40"/>
        <v>51.375703217532603</v>
      </c>
      <c r="AH134" s="89">
        <f t="shared" si="40"/>
        <v>51.791290639318156</v>
      </c>
      <c r="AI134" s="89">
        <f t="shared" si="40"/>
        <v>52.193774716684132</v>
      </c>
      <c r="AJ134" s="89">
        <f t="shared" si="40"/>
        <v>52.589388957122871</v>
      </c>
      <c r="AK134" s="89">
        <f t="shared" si="40"/>
        <v>52.972229197162015</v>
      </c>
      <c r="AL134" s="89">
        <f t="shared" si="40"/>
        <v>53.332168850921811</v>
      </c>
      <c r="AM134" s="89">
        <f t="shared" si="40"/>
        <v>53.664113374909924</v>
      </c>
      <c r="AN134" s="89">
        <f t="shared" si="40"/>
        <v>53.964161116953051</v>
      </c>
      <c r="AO134" s="89">
        <f t="shared" si="40"/>
        <v>54.230142030680575</v>
      </c>
      <c r="AP134" s="89">
        <f t="shared" si="40"/>
        <v>54.460425046557887</v>
      </c>
      <c r="AQ134" s="89">
        <f t="shared" si="40"/>
        <v>54.672683762468566</v>
      </c>
      <c r="AR134" s="89">
        <f t="shared" si="40"/>
        <v>54.882278397696595</v>
      </c>
      <c r="AS134" s="89">
        <f t="shared" si="40"/>
        <v>55.099652957226503</v>
      </c>
      <c r="AT134" s="89">
        <f t="shared" si="40"/>
        <v>55.259505246884977</v>
      </c>
      <c r="AU134" s="89">
        <f t="shared" si="40"/>
        <v>55.382731386204206</v>
      </c>
      <c r="AV134" s="89">
        <f t="shared" si="40"/>
        <v>55.482664894824936</v>
      </c>
      <c r="AW134" s="89">
        <f t="shared" si="40"/>
        <v>55.524862714405877</v>
      </c>
      <c r="AX134" s="89">
        <f t="shared" si="40"/>
        <v>55.536258599626848</v>
      </c>
      <c r="AY134" s="89">
        <f t="shared" si="40"/>
        <v>55.53224651613727</v>
      </c>
      <c r="AZ134" s="89">
        <f t="shared" si="40"/>
        <v>55.521430715703659</v>
      </c>
      <c r="BA134" s="89">
        <f t="shared" si="40"/>
        <v>55.5084559118608</v>
      </c>
      <c r="BB134" s="89">
        <f t="shared" si="40"/>
        <v>55.495689601281754</v>
      </c>
    </row>
    <row r="135" spans="2:54">
      <c r="B135" s="6" t="s">
        <v>103</v>
      </c>
      <c r="C135" s="52"/>
      <c r="D135" s="89">
        <f t="shared" ref="D135:BB135" si="41">(     IF(D$130&lt;$C$7,   INDEX($C$60:$C$77,MATCH($B135,$B$60:$B$77,0)), INDEX($F$60:$F$77,MATCH($B135,$B$60:$B$77,0))  )         *C$12)          +D109</f>
        <v>33.441877336139086</v>
      </c>
      <c r="E135" s="89">
        <f t="shared" si="41"/>
        <v>34.584935935578002</v>
      </c>
      <c r="F135" s="89">
        <f t="shared" si="41"/>
        <v>35.563253262281371</v>
      </c>
      <c r="G135" s="89">
        <f t="shared" si="41"/>
        <v>36.430628334261044</v>
      </c>
      <c r="H135" s="89">
        <f t="shared" si="41"/>
        <v>47.761440284508801</v>
      </c>
      <c r="I135" s="89">
        <f t="shared" si="41"/>
        <v>42.416622288734892</v>
      </c>
      <c r="J135" s="89">
        <f t="shared" si="41"/>
        <v>39.284267242498245</v>
      </c>
      <c r="K135" s="89">
        <f t="shared" si="41"/>
        <v>37.545043372692831</v>
      </c>
      <c r="L135" s="89">
        <f t="shared" si="41"/>
        <v>36.745837320217738</v>
      </c>
      <c r="M135" s="89">
        <f t="shared" si="41"/>
        <v>36.497092431356947</v>
      </c>
      <c r="N135" s="89">
        <f t="shared" si="41"/>
        <v>36.573221894845695</v>
      </c>
      <c r="O135" s="89">
        <f t="shared" si="41"/>
        <v>36.867096530888098</v>
      </c>
      <c r="P135" s="89">
        <f t="shared" si="41"/>
        <v>37.259450634427367</v>
      </c>
      <c r="Q135" s="89">
        <f t="shared" si="41"/>
        <v>37.701844188415592</v>
      </c>
      <c r="R135" s="89">
        <f t="shared" si="41"/>
        <v>38.17641865478128</v>
      </c>
      <c r="S135" s="89">
        <f t="shared" si="41"/>
        <v>38.667615138118045</v>
      </c>
      <c r="T135" s="89">
        <f t="shared" si="41"/>
        <v>39.162992728103006</v>
      </c>
      <c r="U135" s="89">
        <f t="shared" si="41"/>
        <v>39.664116877355255</v>
      </c>
      <c r="V135" s="89">
        <f t="shared" si="41"/>
        <v>40.18956731579749</v>
      </c>
      <c r="W135" s="89">
        <f t="shared" si="41"/>
        <v>40.70803269413382</v>
      </c>
      <c r="X135" s="89">
        <f t="shared" si="41"/>
        <v>41.214100892448009</v>
      </c>
      <c r="Y135" s="89">
        <f t="shared" si="41"/>
        <v>41.71944491160356</v>
      </c>
      <c r="Z135" s="89">
        <f t="shared" si="41"/>
        <v>42.217504599510612</v>
      </c>
      <c r="AA135" s="89">
        <f t="shared" si="41"/>
        <v>42.703942444799168</v>
      </c>
      <c r="AB135" s="89">
        <f t="shared" si="41"/>
        <v>43.176145533176467</v>
      </c>
      <c r="AC135" s="89">
        <f t="shared" si="41"/>
        <v>43.637674591307331</v>
      </c>
      <c r="AD135" s="89">
        <f t="shared" si="41"/>
        <v>44.08304996268312</v>
      </c>
      <c r="AE135" s="89">
        <f t="shared" si="41"/>
        <v>44.507696652544347</v>
      </c>
      <c r="AF135" s="89">
        <f t="shared" si="41"/>
        <v>44.908772168661095</v>
      </c>
      <c r="AG135" s="89">
        <f t="shared" si="41"/>
        <v>45.287765757228826</v>
      </c>
      <c r="AH135" s="89">
        <f t="shared" si="41"/>
        <v>45.654106743935785</v>
      </c>
      <c r="AI135" s="89">
        <f t="shared" si="41"/>
        <v>46.008897111273164</v>
      </c>
      <c r="AJ135" s="89">
        <f t="shared" si="41"/>
        <v>46.357631706211016</v>
      </c>
      <c r="AK135" s="89">
        <f t="shared" si="41"/>
        <v>46.695105999067358</v>
      </c>
      <c r="AL135" s="89">
        <f t="shared" si="41"/>
        <v>47.01239338795606</v>
      </c>
      <c r="AM135" s="89">
        <f t="shared" si="41"/>
        <v>47.305003024521355</v>
      </c>
      <c r="AN135" s="89">
        <f t="shared" si="41"/>
        <v>47.56949559604098</v>
      </c>
      <c r="AO135" s="89">
        <f t="shared" si="41"/>
        <v>47.803958203117759</v>
      </c>
      <c r="AP135" s="89">
        <f t="shared" si="41"/>
        <v>48.006953055310092</v>
      </c>
      <c r="AQ135" s="89">
        <f t="shared" si="41"/>
        <v>48.19405945783253</v>
      </c>
      <c r="AR135" s="89">
        <f t="shared" si="41"/>
        <v>48.378817468910022</v>
      </c>
      <c r="AS135" s="89">
        <f t="shared" si="41"/>
        <v>48.57043349588465</v>
      </c>
      <c r="AT135" s="89">
        <f t="shared" si="41"/>
        <v>48.711343548622168</v>
      </c>
      <c r="AU135" s="89">
        <f t="shared" si="41"/>
        <v>48.819967590399813</v>
      </c>
      <c r="AV135" s="89">
        <f t="shared" si="41"/>
        <v>48.908059140418125</v>
      </c>
      <c r="AW135" s="89">
        <f t="shared" si="41"/>
        <v>48.945256586856111</v>
      </c>
      <c r="AX135" s="89">
        <f t="shared" si="41"/>
        <v>48.955302078171293</v>
      </c>
      <c r="AY135" s="89">
        <f t="shared" si="41"/>
        <v>48.951765420064547</v>
      </c>
      <c r="AZ135" s="89">
        <f t="shared" si="41"/>
        <v>48.942231274430753</v>
      </c>
      <c r="BA135" s="89">
        <f t="shared" si="41"/>
        <v>48.930793963788147</v>
      </c>
      <c r="BB135" s="89">
        <f t="shared" si="41"/>
        <v>48.919540440295926</v>
      </c>
    </row>
    <row r="136" spans="2:54">
      <c r="B136" s="6" t="s">
        <v>104</v>
      </c>
      <c r="C136" s="52"/>
      <c r="D136" s="89">
        <f t="shared" ref="D136:BB136" si="42">(     IF(D$130&lt;$C$7,   INDEX($C$60:$C$77,MATCH($B136,$B$60:$B$77,0)), INDEX($F$60:$F$77,MATCH($B136,$B$60:$B$77,0))  )         *C$12)          +D110</f>
        <v>3478.8706967184662</v>
      </c>
      <c r="E136" s="89">
        <f t="shared" si="42"/>
        <v>3597.7800816866006</v>
      </c>
      <c r="F136" s="89">
        <f t="shared" si="42"/>
        <v>3699.551864584756</v>
      </c>
      <c r="G136" s="89">
        <f t="shared" si="42"/>
        <v>3789.782616005918</v>
      </c>
      <c r="H136" s="89">
        <f t="shared" si="42"/>
        <v>4968.4972338347052</v>
      </c>
      <c r="I136" s="89">
        <f t="shared" si="42"/>
        <v>4412.4898506996151</v>
      </c>
      <c r="J136" s="89">
        <f t="shared" si="42"/>
        <v>4086.6391793231319</v>
      </c>
      <c r="K136" s="89">
        <f t="shared" si="42"/>
        <v>3905.7122865269307</v>
      </c>
      <c r="L136" s="89">
        <f t="shared" si="42"/>
        <v>3822.5729792252123</v>
      </c>
      <c r="M136" s="89">
        <f t="shared" si="42"/>
        <v>3796.6967015235077</v>
      </c>
      <c r="N136" s="89">
        <f t="shared" si="42"/>
        <v>3804.6162497302612</v>
      </c>
      <c r="O136" s="89">
        <f t="shared" si="42"/>
        <v>3835.1872565418889</v>
      </c>
      <c r="P136" s="89">
        <f t="shared" si="42"/>
        <v>3876.0028237966903</v>
      </c>
      <c r="Q136" s="89">
        <f t="shared" si="42"/>
        <v>3922.023863701756</v>
      </c>
      <c r="R136" s="89">
        <f t="shared" si="42"/>
        <v>3971.3925994295873</v>
      </c>
      <c r="S136" s="89">
        <f t="shared" si="42"/>
        <v>4022.4904799413607</v>
      </c>
      <c r="T136" s="89">
        <f t="shared" si="42"/>
        <v>4074.0233100001374</v>
      </c>
      <c r="U136" s="89">
        <f t="shared" si="42"/>
        <v>4126.1539395317413</v>
      </c>
      <c r="V136" s="89">
        <f t="shared" si="42"/>
        <v>4180.8151690584455</v>
      </c>
      <c r="W136" s="89">
        <f t="shared" si="42"/>
        <v>4234.7497611217968</v>
      </c>
      <c r="X136" s="89">
        <f t="shared" si="42"/>
        <v>4287.3947070965787</v>
      </c>
      <c r="Y136" s="89">
        <f t="shared" si="42"/>
        <v>4339.9643186148405</v>
      </c>
      <c r="Z136" s="89">
        <f t="shared" si="42"/>
        <v>4391.7761602785304</v>
      </c>
      <c r="AA136" s="89">
        <f t="shared" si="42"/>
        <v>4442.3790121680831</v>
      </c>
      <c r="AB136" s="89">
        <f t="shared" si="42"/>
        <v>4491.5010596698994</v>
      </c>
      <c r="AC136" s="89">
        <f t="shared" si="42"/>
        <v>4539.5127158301366</v>
      </c>
      <c r="AD136" s="89">
        <f t="shared" si="42"/>
        <v>4585.8439463691884</v>
      </c>
      <c r="AE136" s="89">
        <f t="shared" si="42"/>
        <v>4630.0188265939978</v>
      </c>
      <c r="AF136" s="89">
        <f t="shared" si="42"/>
        <v>4671.7416595009281</v>
      </c>
      <c r="AG136" s="89">
        <f t="shared" si="42"/>
        <v>4711.1673674616368</v>
      </c>
      <c r="AH136" s="89">
        <f t="shared" si="42"/>
        <v>4749.2768584705191</v>
      </c>
      <c r="AI136" s="89">
        <f t="shared" si="42"/>
        <v>4786.1847688728512</v>
      </c>
      <c r="AJ136" s="89">
        <f t="shared" si="42"/>
        <v>4822.4627131720563</v>
      </c>
      <c r="AK136" s="89">
        <f t="shared" si="42"/>
        <v>4857.569277809951</v>
      </c>
      <c r="AL136" s="89">
        <f t="shared" si="42"/>
        <v>4890.5758518293578</v>
      </c>
      <c r="AM136" s="89">
        <f t="shared" si="42"/>
        <v>4921.015264066672</v>
      </c>
      <c r="AN136" s="89">
        <f t="shared" si="42"/>
        <v>4948.5297318494067</v>
      </c>
      <c r="AO136" s="89">
        <f t="shared" si="42"/>
        <v>4972.9202612756408</v>
      </c>
      <c r="AP136" s="89">
        <f t="shared" si="42"/>
        <v>4994.0372827806941</v>
      </c>
      <c r="AQ136" s="89">
        <f t="shared" si="42"/>
        <v>5013.5014705821459</v>
      </c>
      <c r="AR136" s="89">
        <f t="shared" si="42"/>
        <v>5032.7213613873455</v>
      </c>
      <c r="AS136" s="89">
        <f t="shared" si="42"/>
        <v>5052.6546735804168</v>
      </c>
      <c r="AT136" s="89">
        <f t="shared" si="42"/>
        <v>5067.3131764035179</v>
      </c>
      <c r="AU136" s="89">
        <f t="shared" si="42"/>
        <v>5078.6130502742653</v>
      </c>
      <c r="AV136" s="89">
        <f t="shared" si="42"/>
        <v>5087.7769829359058</v>
      </c>
      <c r="AW136" s="89">
        <f t="shared" si="42"/>
        <v>5091.6465356259396</v>
      </c>
      <c r="AX136" s="89">
        <f t="shared" si="42"/>
        <v>5092.6915417127475</v>
      </c>
      <c r="AY136" s="89">
        <f t="shared" si="42"/>
        <v>5092.3236324554946</v>
      </c>
      <c r="AZ136" s="89">
        <f t="shared" si="42"/>
        <v>5091.3318203173703</v>
      </c>
      <c r="BA136" s="89">
        <f t="shared" si="42"/>
        <v>5090.1420269201908</v>
      </c>
      <c r="BB136" s="89">
        <f t="shared" si="42"/>
        <v>5088.9713524177268</v>
      </c>
    </row>
    <row r="137" spans="2:54">
      <c r="B137" s="6" t="s">
        <v>17</v>
      </c>
      <c r="C137" s="52"/>
      <c r="D137" s="89">
        <f t="shared" ref="D137:BB137" si="43">(     IF(D$130&lt;$C$7,   INDEX($C$60:$C$77,MATCH($B137,$B$60:$B$77,0)), INDEX($F$60:$F$77,MATCH($B137,$B$60:$B$77,0))  )         *C$12)          +D111</f>
        <v>12352.441563570392</v>
      </c>
      <c r="E137" s="89">
        <f t="shared" si="43"/>
        <v>12774.653642497178</v>
      </c>
      <c r="F137" s="89">
        <f t="shared" si="43"/>
        <v>13136.015161985573</v>
      </c>
      <c r="G137" s="89">
        <f t="shared" si="43"/>
        <v>13456.397889983569</v>
      </c>
      <c r="H137" s="89">
        <f t="shared" si="43"/>
        <v>17641.665094824035</v>
      </c>
      <c r="I137" s="89">
        <f t="shared" si="43"/>
        <v>15667.447221314576</v>
      </c>
      <c r="J137" s="89">
        <f t="shared" si="43"/>
        <v>14510.447801811886</v>
      </c>
      <c r="K137" s="89">
        <f t="shared" si="43"/>
        <v>13868.029883649089</v>
      </c>
      <c r="L137" s="89">
        <f t="shared" si="43"/>
        <v>13572.826777638589</v>
      </c>
      <c r="M137" s="89">
        <f t="shared" si="43"/>
        <v>13480.947763999327</v>
      </c>
      <c r="N137" s="89">
        <f t="shared" si="43"/>
        <v>13509.067738830838</v>
      </c>
      <c r="O137" s="89">
        <f t="shared" si="43"/>
        <v>13617.616347876972</v>
      </c>
      <c r="P137" s="89">
        <f t="shared" si="43"/>
        <v>13762.540362981783</v>
      </c>
      <c r="Q137" s="89">
        <f t="shared" si="43"/>
        <v>13925.947472840247</v>
      </c>
      <c r="R137" s="89">
        <f t="shared" si="43"/>
        <v>14101.241261057388</v>
      </c>
      <c r="S137" s="89">
        <f t="shared" si="43"/>
        <v>14282.674731303743</v>
      </c>
      <c r="T137" s="89">
        <f t="shared" si="43"/>
        <v>14465.652578829633</v>
      </c>
      <c r="U137" s="89">
        <f t="shared" si="43"/>
        <v>14650.753035586675</v>
      </c>
      <c r="V137" s="89">
        <f t="shared" si="43"/>
        <v>14844.838904934568</v>
      </c>
      <c r="W137" s="89">
        <f t="shared" si="43"/>
        <v>15036.344699428741</v>
      </c>
      <c r="X137" s="89">
        <f t="shared" si="43"/>
        <v>15223.271341854463</v>
      </c>
      <c r="Y137" s="89">
        <f t="shared" si="43"/>
        <v>15409.930493892349</v>
      </c>
      <c r="Z137" s="89">
        <f t="shared" si="43"/>
        <v>15593.899029157368</v>
      </c>
      <c r="AA137" s="89">
        <f t="shared" si="43"/>
        <v>15773.574799086189</v>
      </c>
      <c r="AB137" s="89">
        <f t="shared" si="43"/>
        <v>15947.992670328566</v>
      </c>
      <c r="AC137" s="89">
        <f t="shared" si="43"/>
        <v>16118.467870125151</v>
      </c>
      <c r="AD137" s="89">
        <f t="shared" si="43"/>
        <v>16282.976375239117</v>
      </c>
      <c r="AE137" s="89">
        <f t="shared" si="43"/>
        <v>16439.828317758682</v>
      </c>
      <c r="AF137" s="89">
        <f t="shared" si="43"/>
        <v>16587.973765025698</v>
      </c>
      <c r="AG137" s="89">
        <f t="shared" si="43"/>
        <v>16727.962800590147</v>
      </c>
      <c r="AH137" s="89">
        <f t="shared" si="43"/>
        <v>16863.27833880451</v>
      </c>
      <c r="AI137" s="89">
        <f t="shared" si="43"/>
        <v>16994.327419446785</v>
      </c>
      <c r="AJ137" s="89">
        <f t="shared" si="43"/>
        <v>17123.139676661485</v>
      </c>
      <c r="AK137" s="89">
        <f t="shared" si="43"/>
        <v>17247.792710933885</v>
      </c>
      <c r="AL137" s="89">
        <f t="shared" si="43"/>
        <v>17364.989299232777</v>
      </c>
      <c r="AM137" s="89">
        <f t="shared" si="43"/>
        <v>17473.070654842093</v>
      </c>
      <c r="AN137" s="89">
        <f t="shared" si="43"/>
        <v>17570.76639724481</v>
      </c>
      <c r="AO137" s="89">
        <f t="shared" si="43"/>
        <v>17657.36995791359</v>
      </c>
      <c r="AP137" s="89">
        <f t="shared" si="43"/>
        <v>17732.35025953385</v>
      </c>
      <c r="AQ137" s="89">
        <f t="shared" si="43"/>
        <v>17801.461837215244</v>
      </c>
      <c r="AR137" s="89">
        <f t="shared" si="43"/>
        <v>17869.705988471967</v>
      </c>
      <c r="AS137" s="89">
        <f t="shared" si="43"/>
        <v>17940.48328820477</v>
      </c>
      <c r="AT137" s="89">
        <f t="shared" si="43"/>
        <v>17992.531298986716</v>
      </c>
      <c r="AU137" s="89">
        <f t="shared" si="43"/>
        <v>18032.653811098415</v>
      </c>
      <c r="AV137" s="89">
        <f t="shared" si="43"/>
        <v>18065.192227315547</v>
      </c>
      <c r="AW137" s="89">
        <f t="shared" si="43"/>
        <v>18078.931865160059</v>
      </c>
      <c r="AX137" s="89">
        <f t="shared" si="43"/>
        <v>18082.642372892653</v>
      </c>
      <c r="AY137" s="89">
        <f t="shared" si="43"/>
        <v>18081.33603586633</v>
      </c>
      <c r="AZ137" s="89">
        <f t="shared" si="43"/>
        <v>18077.81440412251</v>
      </c>
      <c r="BA137" s="89">
        <f t="shared" si="43"/>
        <v>18073.589799446843</v>
      </c>
      <c r="BB137" s="89">
        <f t="shared" si="43"/>
        <v>18069.433080315179</v>
      </c>
    </row>
    <row r="138" spans="2:54" ht="29">
      <c r="B138" s="6" t="s">
        <v>106</v>
      </c>
      <c r="C138" s="52"/>
      <c r="D138" s="89">
        <f t="shared" ref="D138:BB138" si="44">(     IF(D$130&lt;$C$7,   INDEX($C$60:$C$77,MATCH($B138,$B$60:$B$77,0)), INDEX($F$60:$F$77,MATCH($B138,$B$60:$B$77,0))  )         *C$12)          +D112</f>
        <v>1901.5443673719233</v>
      </c>
      <c r="E138" s="89">
        <f t="shared" si="44"/>
        <v>1966.5400199631799</v>
      </c>
      <c r="F138" s="89">
        <f t="shared" si="44"/>
        <v>2022.1682905712055</v>
      </c>
      <c r="G138" s="89">
        <f t="shared" si="44"/>
        <v>2071.4882544579036</v>
      </c>
      <c r="H138" s="89">
        <f t="shared" si="44"/>
        <v>2715.7715112013966</v>
      </c>
      <c r="I138" s="89">
        <f t="shared" si="44"/>
        <v>2411.8588913345438</v>
      </c>
      <c r="J138" s="89">
        <f t="shared" si="44"/>
        <v>2233.7495096478997</v>
      </c>
      <c r="K138" s="89">
        <f t="shared" si="44"/>
        <v>2134.8552005759225</v>
      </c>
      <c r="L138" s="89">
        <f t="shared" si="44"/>
        <v>2089.4114070897458</v>
      </c>
      <c r="M138" s="89">
        <f t="shared" si="44"/>
        <v>2075.2674809706627</v>
      </c>
      <c r="N138" s="89">
        <f t="shared" si="44"/>
        <v>2079.5962915524669</v>
      </c>
      <c r="O138" s="89">
        <f t="shared" si="44"/>
        <v>2096.3063480263604</v>
      </c>
      <c r="P138" s="89">
        <f t="shared" si="44"/>
        <v>2118.6160625229836</v>
      </c>
      <c r="Q138" s="89">
        <f t="shared" si="44"/>
        <v>2143.771078860505</v>
      </c>
      <c r="R138" s="89">
        <f t="shared" si="44"/>
        <v>2170.7559396189349</v>
      </c>
      <c r="S138" s="89">
        <f t="shared" si="44"/>
        <v>2198.6859477573403</v>
      </c>
      <c r="T138" s="89">
        <f t="shared" si="44"/>
        <v>2226.8536985235396</v>
      </c>
      <c r="U138" s="89">
        <f t="shared" si="44"/>
        <v>2255.3482053894836</v>
      </c>
      <c r="V138" s="89">
        <f t="shared" si="44"/>
        <v>2285.2259335896638</v>
      </c>
      <c r="W138" s="89">
        <f t="shared" si="44"/>
        <v>2314.7064830798508</v>
      </c>
      <c r="X138" s="89">
        <f t="shared" si="44"/>
        <v>2343.4821143740446</v>
      </c>
      <c r="Y138" s="89">
        <f t="shared" si="44"/>
        <v>2372.2165679919308</v>
      </c>
      <c r="Z138" s="89">
        <f t="shared" si="44"/>
        <v>2400.5368259916572</v>
      </c>
      <c r="AA138" s="89">
        <f t="shared" si="44"/>
        <v>2428.1962523895113</v>
      </c>
      <c r="AB138" s="89">
        <f t="shared" si="44"/>
        <v>2455.0462738142696</v>
      </c>
      <c r="AC138" s="89">
        <f t="shared" si="44"/>
        <v>2481.2893573602646</v>
      </c>
      <c r="AD138" s="89">
        <f t="shared" si="44"/>
        <v>2506.6139233316435</v>
      </c>
      <c r="AE138" s="89">
        <f t="shared" si="44"/>
        <v>2530.7598321606356</v>
      </c>
      <c r="AF138" s="89">
        <f t="shared" si="44"/>
        <v>2553.5654564052534</v>
      </c>
      <c r="AG138" s="89">
        <f t="shared" si="44"/>
        <v>2575.1154763508216</v>
      </c>
      <c r="AH138" s="89">
        <f t="shared" si="44"/>
        <v>2595.9460545150828</v>
      </c>
      <c r="AI138" s="89">
        <f t="shared" si="44"/>
        <v>2616.1198509149385</v>
      </c>
      <c r="AJ138" s="89">
        <f t="shared" si="44"/>
        <v>2635.9493089936923</v>
      </c>
      <c r="AK138" s="89">
        <f t="shared" si="44"/>
        <v>2655.138493089536</v>
      </c>
      <c r="AL138" s="89">
        <f t="shared" si="44"/>
        <v>2673.1798261497306</v>
      </c>
      <c r="AM138" s="89">
        <f t="shared" si="44"/>
        <v>2689.8179532697113</v>
      </c>
      <c r="AN138" s="89">
        <f t="shared" si="44"/>
        <v>2704.8573110943198</v>
      </c>
      <c r="AO138" s="89">
        <f t="shared" si="44"/>
        <v>2718.1891299203039</v>
      </c>
      <c r="AP138" s="89">
        <f t="shared" si="44"/>
        <v>2729.7316552968528</v>
      </c>
      <c r="AQ138" s="89">
        <f t="shared" si="44"/>
        <v>2740.3707447905304</v>
      </c>
      <c r="AR138" s="89">
        <f t="shared" si="44"/>
        <v>2750.8763019923558</v>
      </c>
      <c r="AS138" s="89">
        <f t="shared" si="44"/>
        <v>2761.771814021462</v>
      </c>
      <c r="AT138" s="89">
        <f t="shared" si="44"/>
        <v>2769.7841248853483</v>
      </c>
      <c r="AU138" s="89">
        <f t="shared" si="44"/>
        <v>2775.9606152996662</v>
      </c>
      <c r="AV138" s="89">
        <f t="shared" si="44"/>
        <v>2780.9696041511793</v>
      </c>
      <c r="AW138" s="89">
        <f t="shared" si="44"/>
        <v>2783.084694582371</v>
      </c>
      <c r="AX138" s="89">
        <f t="shared" si="44"/>
        <v>2783.6558930003271</v>
      </c>
      <c r="AY138" s="89">
        <f t="shared" si="44"/>
        <v>2783.4547944724359</v>
      </c>
      <c r="AZ138" s="89">
        <f t="shared" si="44"/>
        <v>2782.9126717696518</v>
      </c>
      <c r="BA138" s="89">
        <f t="shared" si="44"/>
        <v>2782.2623328723548</v>
      </c>
      <c r="BB138" s="89">
        <f t="shared" si="44"/>
        <v>2781.6224443279816</v>
      </c>
    </row>
    <row r="139" spans="2:54" ht="29">
      <c r="B139" s="6" t="s">
        <v>107</v>
      </c>
      <c r="C139" s="52"/>
      <c r="D139" s="89">
        <f t="shared" ref="D139:BB139" si="45">(     IF(D$130&lt;$C$7,   INDEX($C$60:$C$77,MATCH($B139,$B$60:$B$77,0)), INDEX($F$60:$F$77,MATCH($B139,$B$60:$B$77,0))  )         *C$12)          +D113</f>
        <v>1207.9534981506188</v>
      </c>
      <c r="E139" s="89">
        <f t="shared" si="45"/>
        <v>1249.2418989154667</v>
      </c>
      <c r="F139" s="89">
        <f t="shared" si="45"/>
        <v>1284.5796828925527</v>
      </c>
      <c r="G139" s="89">
        <f t="shared" si="45"/>
        <v>1315.9101235216808</v>
      </c>
      <c r="H139" s="89">
        <f t="shared" si="45"/>
        <v>1725.1901945719269</v>
      </c>
      <c r="I139" s="89">
        <f t="shared" si="45"/>
        <v>1532.1301121465765</v>
      </c>
      <c r="J139" s="89">
        <f t="shared" si="45"/>
        <v>1418.9863673286861</v>
      </c>
      <c r="K139" s="89">
        <f t="shared" si="45"/>
        <v>1356.1638906931369</v>
      </c>
      <c r="L139" s="89">
        <f t="shared" si="45"/>
        <v>1327.2957820900599</v>
      </c>
      <c r="M139" s="89">
        <f t="shared" si="45"/>
        <v>1318.3108720736068</v>
      </c>
      <c r="N139" s="89">
        <f t="shared" si="45"/>
        <v>1321.0607431651492</v>
      </c>
      <c r="O139" s="89">
        <f t="shared" si="45"/>
        <v>1331.6757840331315</v>
      </c>
      <c r="P139" s="89">
        <f t="shared" si="45"/>
        <v>1345.8480001177782</v>
      </c>
      <c r="Q139" s="89">
        <f t="shared" si="45"/>
        <v>1361.8276903644698</v>
      </c>
      <c r="R139" s="89">
        <f t="shared" si="45"/>
        <v>1378.9697868148953</v>
      </c>
      <c r="S139" s="89">
        <f t="shared" si="45"/>
        <v>1396.7122868654151</v>
      </c>
      <c r="T139" s="89">
        <f t="shared" si="45"/>
        <v>1414.6058126000216</v>
      </c>
      <c r="U139" s="89">
        <f t="shared" si="45"/>
        <v>1432.7069097068772</v>
      </c>
      <c r="V139" s="89">
        <f t="shared" si="45"/>
        <v>1451.6866963032226</v>
      </c>
      <c r="W139" s="89">
        <f t="shared" si="45"/>
        <v>1470.4141756590109</v>
      </c>
      <c r="X139" s="89">
        <f t="shared" si="45"/>
        <v>1488.6938566802612</v>
      </c>
      <c r="Y139" s="89">
        <f t="shared" si="45"/>
        <v>1506.9473796381001</v>
      </c>
      <c r="Z139" s="89">
        <f t="shared" si="45"/>
        <v>1524.93778538739</v>
      </c>
      <c r="AA139" s="89">
        <f t="shared" si="45"/>
        <v>1542.5083987516755</v>
      </c>
      <c r="AB139" s="89">
        <f t="shared" si="45"/>
        <v>1559.5648386970036</v>
      </c>
      <c r="AC139" s="89">
        <f t="shared" si="45"/>
        <v>1576.2357221723421</v>
      </c>
      <c r="AD139" s="89">
        <f t="shared" si="45"/>
        <v>1592.3231185955724</v>
      </c>
      <c r="AE139" s="89">
        <f t="shared" si="45"/>
        <v>1607.6617746566551</v>
      </c>
      <c r="AF139" s="89">
        <f t="shared" si="45"/>
        <v>1622.1490167407662</v>
      </c>
      <c r="AG139" s="89">
        <f t="shared" si="45"/>
        <v>1635.8386378851005</v>
      </c>
      <c r="AH139" s="89">
        <f t="shared" si="45"/>
        <v>1649.0712346068881</v>
      </c>
      <c r="AI139" s="89">
        <f t="shared" si="45"/>
        <v>1661.8866115974674</v>
      </c>
      <c r="AJ139" s="89">
        <f t="shared" si="45"/>
        <v>1674.4832481333622</v>
      </c>
      <c r="AK139" s="89">
        <f t="shared" si="45"/>
        <v>1686.6731514840089</v>
      </c>
      <c r="AL139" s="89">
        <f t="shared" si="45"/>
        <v>1698.1338840103197</v>
      </c>
      <c r="AM139" s="89">
        <f t="shared" si="45"/>
        <v>1708.7032318531114</v>
      </c>
      <c r="AN139" s="89">
        <f t="shared" si="45"/>
        <v>1718.2569636544276</v>
      </c>
      <c r="AO139" s="89">
        <f t="shared" si="45"/>
        <v>1726.7259836067808</v>
      </c>
      <c r="AP139" s="89">
        <f t="shared" si="45"/>
        <v>1734.0583573054103</v>
      </c>
      <c r="AQ139" s="89">
        <f t="shared" si="45"/>
        <v>1740.8168245762986</v>
      </c>
      <c r="AR139" s="89">
        <f t="shared" si="45"/>
        <v>1747.490465638645</v>
      </c>
      <c r="AS139" s="89">
        <f t="shared" si="45"/>
        <v>1754.4118249797843</v>
      </c>
      <c r="AT139" s="89">
        <f t="shared" si="45"/>
        <v>1759.5016346641507</v>
      </c>
      <c r="AU139" s="89">
        <f t="shared" si="45"/>
        <v>1763.4252418806261</v>
      </c>
      <c r="AV139" s="89">
        <f t="shared" si="45"/>
        <v>1766.6071953018577</v>
      </c>
      <c r="AW139" s="89">
        <f t="shared" si="45"/>
        <v>1767.950803649421</v>
      </c>
      <c r="AX139" s="89">
        <f t="shared" si="45"/>
        <v>1768.3136566750707</v>
      </c>
      <c r="AY139" s="89">
        <f t="shared" si="45"/>
        <v>1768.185909106091</v>
      </c>
      <c r="AZ139" s="89">
        <f t="shared" si="45"/>
        <v>1767.8415263893417</v>
      </c>
      <c r="BA139" s="89">
        <f t="shared" si="45"/>
        <v>1767.4283994807861</v>
      </c>
      <c r="BB139" s="89">
        <f t="shared" si="45"/>
        <v>1767.0219111448498</v>
      </c>
    </row>
    <row r="140" spans="2:54">
      <c r="B140" s="6" t="s">
        <v>2863</v>
      </c>
      <c r="D140" s="89">
        <f t="shared" ref="D140:BB140" si="46">(     IF(D$130&lt;$C$7,   INDEX($C$60:$C$77,MATCH($B140,$B$60:$B$77,0)), INDEX($F$60:$F$77,MATCH($B140,$B$60:$B$77,0))  )         *C$12)          +D114</f>
        <v>2112.2670023048249</v>
      </c>
      <c r="E140" s="89">
        <f t="shared" si="46"/>
        <v>2194.1833589211628</v>
      </c>
      <c r="F140" s="89">
        <f t="shared" si="46"/>
        <v>2266.0264417325275</v>
      </c>
      <c r="G140" s="89">
        <f t="shared" si="46"/>
        <v>2331.1464489300383</v>
      </c>
      <c r="H140" s="89">
        <f t="shared" si="46"/>
        <v>2833.7056026120636</v>
      </c>
      <c r="I140" s="89">
        <f t="shared" si="46"/>
        <v>2704.3557969598769</v>
      </c>
      <c r="J140" s="89">
        <f t="shared" si="46"/>
        <v>2683.8853812708289</v>
      </c>
      <c r="K140" s="89">
        <f t="shared" si="46"/>
        <v>2732.8678203422951</v>
      </c>
      <c r="L140" s="89">
        <f t="shared" si="46"/>
        <v>2830.1496165829053</v>
      </c>
      <c r="M140" s="89">
        <f t="shared" si="46"/>
        <v>2956.5558845458809</v>
      </c>
      <c r="N140" s="89">
        <f t="shared" si="46"/>
        <v>3101.0061533414209</v>
      </c>
      <c r="O140" s="89">
        <f t="shared" si="46"/>
        <v>3248.7637417750607</v>
      </c>
      <c r="P140" s="89">
        <f t="shared" si="46"/>
        <v>3403.0753563158769</v>
      </c>
      <c r="Q140" s="89">
        <f t="shared" si="46"/>
        <v>3561.533927196866</v>
      </c>
      <c r="R140" s="89">
        <f t="shared" si="46"/>
        <v>3723.3192990416992</v>
      </c>
      <c r="S140" s="89">
        <f t="shared" si="46"/>
        <v>3715.2767605653753</v>
      </c>
      <c r="T140" s="89">
        <f t="shared" si="46"/>
        <v>3729.8649568050359</v>
      </c>
      <c r="U140" s="89">
        <f t="shared" si="46"/>
        <v>3758.7047369139818</v>
      </c>
      <c r="V140" s="89">
        <f t="shared" si="46"/>
        <v>3797.5607792356832</v>
      </c>
      <c r="W140" s="89">
        <f t="shared" si="46"/>
        <v>3841.0895644426591</v>
      </c>
      <c r="X140" s="89">
        <f t="shared" si="46"/>
        <v>3886.8363052431318</v>
      </c>
      <c r="Y140" s="89">
        <f t="shared" si="46"/>
        <v>3934.1898889837007</v>
      </c>
      <c r="Z140" s="89">
        <f t="shared" si="46"/>
        <v>3981.9286665768736</v>
      </c>
      <c r="AA140" s="89">
        <f t="shared" si="46"/>
        <v>4029.3932901331214</v>
      </c>
      <c r="AB140" s="89">
        <f t="shared" si="46"/>
        <v>4076.1944353225567</v>
      </c>
      <c r="AC140" s="89">
        <f t="shared" si="46"/>
        <v>4122.3622832283882</v>
      </c>
      <c r="AD140" s="89">
        <f t="shared" si="46"/>
        <v>4167.4716876527373</v>
      </c>
      <c r="AE140" s="89">
        <f t="shared" si="46"/>
        <v>4211.1771081427651</v>
      </c>
      <c r="AF140" s="89">
        <f t="shared" si="46"/>
        <v>4253.2107643480367</v>
      </c>
      <c r="AG140" s="89">
        <f t="shared" si="46"/>
        <v>4293.476016363481</v>
      </c>
      <c r="AH140" s="89">
        <f t="shared" si="46"/>
        <v>4332.466367023243</v>
      </c>
      <c r="AI140" s="89">
        <f t="shared" si="46"/>
        <v>4370.2452788121545</v>
      </c>
      <c r="AJ140" s="89">
        <f t="shared" si="46"/>
        <v>4407.0925530946515</v>
      </c>
      <c r="AK140" s="89">
        <f t="shared" si="46"/>
        <v>4442.7085495312331</v>
      </c>
      <c r="AL140" s="89">
        <f t="shared" si="46"/>
        <v>4476.5726409149884</v>
      </c>
      <c r="AM140" s="89">
        <f t="shared" si="46"/>
        <v>4508.3993775992822</v>
      </c>
      <c r="AN140" s="89">
        <f t="shared" si="46"/>
        <v>4537.9339172874816</v>
      </c>
      <c r="AO140" s="89">
        <f t="shared" si="46"/>
        <v>4565.0185065071964</v>
      </c>
      <c r="AP140" s="89">
        <f t="shared" si="46"/>
        <v>4589.5333869001061</v>
      </c>
      <c r="AQ140" s="89">
        <f t="shared" si="46"/>
        <v>4612.3593221092742</v>
      </c>
      <c r="AR140" s="89">
        <f t="shared" si="46"/>
        <v>4634.3118714556585</v>
      </c>
      <c r="AS140" s="89">
        <f t="shared" si="46"/>
        <v>4655.9689372434459</v>
      </c>
      <c r="AT140" s="89">
        <f t="shared" si="46"/>
        <v>4674.034878579725</v>
      </c>
      <c r="AU140" s="89">
        <f t="shared" si="46"/>
        <v>4689.415594103526</v>
      </c>
      <c r="AV140" s="89">
        <f t="shared" si="46"/>
        <v>4702.7177596297533</v>
      </c>
      <c r="AW140" s="89">
        <f t="shared" si="46"/>
        <v>4712.1645488825479</v>
      </c>
      <c r="AX140" s="89">
        <f t="shared" si="46"/>
        <v>4719.0438037256763</v>
      </c>
      <c r="AY140" s="89">
        <f t="shared" si="46"/>
        <v>4724.1527676939531</v>
      </c>
      <c r="AZ140" s="89">
        <f t="shared" si="46"/>
        <v>4727.9980720047515</v>
      </c>
      <c r="BA140" s="89">
        <f t="shared" si="46"/>
        <v>4730.9168471762196</v>
      </c>
      <c r="BB140" s="89">
        <f t="shared" si="46"/>
        <v>4733.084780803043</v>
      </c>
    </row>
    <row r="141" spans="2:54">
      <c r="B141" s="6" t="s">
        <v>2862</v>
      </c>
      <c r="C141" s="52"/>
      <c r="D141" s="89">
        <f t="shared" ref="D141:BB141" si="47">(     IF(D$130&lt;$C$7,   INDEX($C$60:$C$77,MATCH($B141,$B$60:$B$77,0)), INDEX($F$60:$F$77,MATCH($B141,$B$60:$B$77,0))  )         *C$12)          +D115</f>
        <v>4224.5340046096499</v>
      </c>
      <c r="E141" s="89">
        <f t="shared" si="47"/>
        <v>4388.3667178423257</v>
      </c>
      <c r="F141" s="89">
        <f t="shared" si="47"/>
        <v>4532.0528834650549</v>
      </c>
      <c r="G141" s="89">
        <f t="shared" si="47"/>
        <v>4662.2928978600767</v>
      </c>
      <c r="H141" s="89">
        <f t="shared" si="47"/>
        <v>5667.4112052241271</v>
      </c>
      <c r="I141" s="89">
        <f t="shared" si="47"/>
        <v>5408.7115939197538</v>
      </c>
      <c r="J141" s="89">
        <f t="shared" si="47"/>
        <v>5367.7707625416579</v>
      </c>
      <c r="K141" s="89">
        <f t="shared" si="47"/>
        <v>5465.7356406845902</v>
      </c>
      <c r="L141" s="89">
        <f t="shared" si="47"/>
        <v>5660.2992331658106</v>
      </c>
      <c r="M141" s="89">
        <f t="shared" si="47"/>
        <v>5913.1117690917617</v>
      </c>
      <c r="N141" s="89">
        <f t="shared" si="47"/>
        <v>6202.0123066828419</v>
      </c>
      <c r="O141" s="89">
        <f t="shared" si="47"/>
        <v>6497.5274835501214</v>
      </c>
      <c r="P141" s="89">
        <f t="shared" si="47"/>
        <v>6806.1507126317538</v>
      </c>
      <c r="Q141" s="89">
        <f t="shared" si="47"/>
        <v>7123.067854393732</v>
      </c>
      <c r="R141" s="89">
        <f t="shared" si="47"/>
        <v>7446.6385980833984</v>
      </c>
      <c r="S141" s="89">
        <f t="shared" si="47"/>
        <v>7430.5535211307506</v>
      </c>
      <c r="T141" s="89">
        <f t="shared" si="47"/>
        <v>7459.7299136100719</v>
      </c>
      <c r="U141" s="89">
        <f t="shared" si="47"/>
        <v>7517.4094738279637</v>
      </c>
      <c r="V141" s="89">
        <f t="shared" si="47"/>
        <v>7595.1215584713664</v>
      </c>
      <c r="W141" s="89">
        <f t="shared" si="47"/>
        <v>7682.1791288853183</v>
      </c>
      <c r="X141" s="89">
        <f t="shared" si="47"/>
        <v>7773.6726104862637</v>
      </c>
      <c r="Y141" s="89">
        <f t="shared" si="47"/>
        <v>7868.3797779674014</v>
      </c>
      <c r="Z141" s="89">
        <f t="shared" si="47"/>
        <v>7963.8573331537473</v>
      </c>
      <c r="AA141" s="89">
        <f t="shared" si="47"/>
        <v>8058.7865802662427</v>
      </c>
      <c r="AB141" s="89">
        <f t="shared" si="47"/>
        <v>8152.3888706451135</v>
      </c>
      <c r="AC141" s="89">
        <f t="shared" si="47"/>
        <v>8244.7245664567763</v>
      </c>
      <c r="AD141" s="89">
        <f t="shared" si="47"/>
        <v>8334.9433753054745</v>
      </c>
      <c r="AE141" s="89">
        <f t="shared" si="47"/>
        <v>8422.3542162855301</v>
      </c>
      <c r="AF141" s="89">
        <f t="shared" si="47"/>
        <v>8506.4215286960734</v>
      </c>
      <c r="AG141" s="89">
        <f t="shared" si="47"/>
        <v>8586.952032726962</v>
      </c>
      <c r="AH141" s="89">
        <f t="shared" si="47"/>
        <v>8664.9327340464861</v>
      </c>
      <c r="AI141" s="89">
        <f t="shared" si="47"/>
        <v>8740.4905576243091</v>
      </c>
      <c r="AJ141" s="89">
        <f t="shared" si="47"/>
        <v>8814.185106189303</v>
      </c>
      <c r="AK141" s="89">
        <f t="shared" si="47"/>
        <v>8885.4170990624661</v>
      </c>
      <c r="AL141" s="89">
        <f t="shared" si="47"/>
        <v>8953.1452818299767</v>
      </c>
      <c r="AM141" s="89">
        <f t="shared" si="47"/>
        <v>9016.7987551985643</v>
      </c>
      <c r="AN141" s="89">
        <f t="shared" si="47"/>
        <v>9075.8678345749631</v>
      </c>
      <c r="AO141" s="89">
        <f t="shared" si="47"/>
        <v>9130.0370130143929</v>
      </c>
      <c r="AP141" s="89">
        <f t="shared" si="47"/>
        <v>9179.0667738002121</v>
      </c>
      <c r="AQ141" s="89">
        <f t="shared" si="47"/>
        <v>9224.7186442185484</v>
      </c>
      <c r="AR141" s="89">
        <f t="shared" si="47"/>
        <v>9268.6237429113171</v>
      </c>
      <c r="AS141" s="89">
        <f t="shared" si="47"/>
        <v>9311.9378744868918</v>
      </c>
      <c r="AT141" s="89">
        <f t="shared" si="47"/>
        <v>9348.0697571594501</v>
      </c>
      <c r="AU141" s="89">
        <f t="shared" si="47"/>
        <v>9378.831188207052</v>
      </c>
      <c r="AV141" s="89">
        <f t="shared" si="47"/>
        <v>9405.4355192595067</v>
      </c>
      <c r="AW141" s="89">
        <f t="shared" si="47"/>
        <v>9424.3290977650959</v>
      </c>
      <c r="AX141" s="89">
        <f t="shared" si="47"/>
        <v>9438.0876074513526</v>
      </c>
      <c r="AY141" s="89">
        <f t="shared" si="47"/>
        <v>9448.3055353879063</v>
      </c>
      <c r="AZ141" s="89">
        <f t="shared" si="47"/>
        <v>9455.996144009503</v>
      </c>
      <c r="BA141" s="89">
        <f t="shared" si="47"/>
        <v>9461.8336943524391</v>
      </c>
      <c r="BB141" s="89">
        <f t="shared" si="47"/>
        <v>9466.1695616060861</v>
      </c>
    </row>
    <row r="142" spans="2:54">
      <c r="B142" s="6" t="s">
        <v>131</v>
      </c>
      <c r="C142" s="52"/>
      <c r="D142" s="89">
        <f t="shared" ref="D142:BB142" si="48">(     IF(D$130&lt;$C$7,   INDEX($C$60:$C$77,MATCH($B142,$B$60:$B$77,0)), INDEX($F$60:$F$77,MATCH($B142,$B$60:$B$77,0))  )         *C$12)          +D116</f>
        <v>120.45419655390694</v>
      </c>
      <c r="E142" s="89">
        <f t="shared" si="48"/>
        <v>124.57137585653712</v>
      </c>
      <c r="F142" s="89">
        <f t="shared" si="48"/>
        <v>128.09517406853143</v>
      </c>
      <c r="G142" s="89">
        <f t="shared" si="48"/>
        <v>131.21936970970415</v>
      </c>
      <c r="H142" s="89">
        <f t="shared" si="48"/>
        <v>1431.9765473357124</v>
      </c>
      <c r="I142" s="89">
        <f t="shared" si="48"/>
        <v>1271.7289925271837</v>
      </c>
      <c r="J142" s="89">
        <f t="shared" si="48"/>
        <v>1177.8151796810832</v>
      </c>
      <c r="K142" s="89">
        <f t="shared" si="48"/>
        <v>1125.6700228915884</v>
      </c>
      <c r="L142" s="89">
        <f t="shared" si="48"/>
        <v>1101.7083434109072</v>
      </c>
      <c r="M142" s="89">
        <f t="shared" si="48"/>
        <v>1094.2505103766341</v>
      </c>
      <c r="N142" s="89">
        <f t="shared" si="48"/>
        <v>1096.5330128645771</v>
      </c>
      <c r="O142" s="89">
        <f t="shared" si="48"/>
        <v>1105.3439194068162</v>
      </c>
      <c r="P142" s="89">
        <f t="shared" si="48"/>
        <v>1117.1074230024435</v>
      </c>
      <c r="Q142" s="89">
        <f t="shared" si="48"/>
        <v>1130.3712021144213</v>
      </c>
      <c r="R142" s="89">
        <f t="shared" si="48"/>
        <v>1144.5998246549445</v>
      </c>
      <c r="S142" s="89">
        <f t="shared" si="48"/>
        <v>1159.3268060877085</v>
      </c>
      <c r="T142" s="89">
        <f t="shared" si="48"/>
        <v>1174.1791448511237</v>
      </c>
      <c r="U142" s="89">
        <f t="shared" si="48"/>
        <v>1189.2037761176464</v>
      </c>
      <c r="V142" s="89">
        <f t="shared" si="48"/>
        <v>1204.9577546441399</v>
      </c>
      <c r="W142" s="89">
        <f t="shared" si="48"/>
        <v>1220.5023081157394</v>
      </c>
      <c r="X142" s="89">
        <f t="shared" si="48"/>
        <v>1235.6751711412585</v>
      </c>
      <c r="Y142" s="89">
        <f t="shared" si="48"/>
        <v>1250.8263219327018</v>
      </c>
      <c r="Z142" s="89">
        <f t="shared" si="48"/>
        <v>1265.7590749654357</v>
      </c>
      <c r="AA142" s="89">
        <f t="shared" si="48"/>
        <v>1280.3433836052166</v>
      </c>
      <c r="AB142" s="89">
        <f t="shared" si="48"/>
        <v>1294.5009078362248</v>
      </c>
      <c r="AC142" s="89">
        <f t="shared" si="48"/>
        <v>1308.3384048467933</v>
      </c>
      <c r="AD142" s="89">
        <f t="shared" si="48"/>
        <v>1321.6915843734569</v>
      </c>
      <c r="AE142" s="89">
        <f t="shared" si="48"/>
        <v>1334.4232795895714</v>
      </c>
      <c r="AF142" s="89">
        <f t="shared" si="48"/>
        <v>1346.4482673070383</v>
      </c>
      <c r="AG142" s="89">
        <f t="shared" si="48"/>
        <v>1357.8111978884181</v>
      </c>
      <c r="AH142" s="89">
        <f t="shared" si="48"/>
        <v>1368.7947800033471</v>
      </c>
      <c r="AI142" s="89">
        <f t="shared" si="48"/>
        <v>1379.4320531304002</v>
      </c>
      <c r="AJ142" s="89">
        <f t="shared" si="48"/>
        <v>1389.8877629712442</v>
      </c>
      <c r="AK142" s="89">
        <f t="shared" si="48"/>
        <v>1400.0058680748655</v>
      </c>
      <c r="AL142" s="89">
        <f t="shared" si="48"/>
        <v>1409.5187323634527</v>
      </c>
      <c r="AM142" s="89">
        <f t="shared" si="48"/>
        <v>1418.2917118755852</v>
      </c>
      <c r="AN142" s="89">
        <f t="shared" si="48"/>
        <v>1426.2216896380746</v>
      </c>
      <c r="AO142" s="89">
        <f t="shared" si="48"/>
        <v>1433.2513133797613</v>
      </c>
      <c r="AP142" s="89">
        <f t="shared" si="48"/>
        <v>1439.3374754770041</v>
      </c>
      <c r="AQ142" s="89">
        <f t="shared" si="48"/>
        <v>1444.9472723900044</v>
      </c>
      <c r="AR142" s="89">
        <f t="shared" si="48"/>
        <v>1450.4866601726876</v>
      </c>
      <c r="AS142" s="89">
        <f t="shared" si="48"/>
        <v>1456.2316639892981</v>
      </c>
      <c r="AT142" s="89">
        <f t="shared" si="48"/>
        <v>1460.4564086704045</v>
      </c>
      <c r="AU142" s="89">
        <f t="shared" si="48"/>
        <v>1463.7131588725724</v>
      </c>
      <c r="AV142" s="89">
        <f t="shared" si="48"/>
        <v>1466.3543068968625</v>
      </c>
      <c r="AW142" s="89">
        <f t="shared" si="48"/>
        <v>1467.4695553190763</v>
      </c>
      <c r="AX142" s="89">
        <f t="shared" si="48"/>
        <v>1467.7707377768106</v>
      </c>
      <c r="AY142" s="89">
        <f t="shared" si="48"/>
        <v>1467.6647022084808</v>
      </c>
      <c r="AZ142" s="89">
        <f t="shared" si="48"/>
        <v>1467.3788508425014</v>
      </c>
      <c r="BA142" s="89">
        <f t="shared" si="48"/>
        <v>1467.0359390603767</v>
      </c>
      <c r="BB142" s="89">
        <f t="shared" si="48"/>
        <v>1466.6985375578306</v>
      </c>
    </row>
    <row r="143" spans="2:54" ht="29">
      <c r="B143" s="6" t="s">
        <v>2869</v>
      </c>
      <c r="C143" s="52"/>
      <c r="D143" s="89">
        <f t="shared" ref="D143:BB143" si="49">(     IF(D$130&lt;$C$7,   INDEX($C$60:$C$77,MATCH($B143,$B$60:$B$77,0)), INDEX($F$60:$F$77,MATCH($B143,$B$60:$B$77,0))  )         *C$12)          +D117</f>
        <v>838.40024178059014</v>
      </c>
      <c r="E143" s="89">
        <f t="shared" si="49"/>
        <v>867.05714391877655</v>
      </c>
      <c r="F143" s="89">
        <f t="shared" si="49"/>
        <v>891.58392137812291</v>
      </c>
      <c r="G143" s="89">
        <f t="shared" si="49"/>
        <v>913.32933545140395</v>
      </c>
      <c r="H143" s="89">
        <f t="shared" si="49"/>
        <v>392.08881653239752</v>
      </c>
      <c r="I143" s="89">
        <f t="shared" si="49"/>
        <v>348.21150985863363</v>
      </c>
      <c r="J143" s="89">
        <f t="shared" si="49"/>
        <v>322.49701348410616</v>
      </c>
      <c r="K143" s="89">
        <f t="shared" si="49"/>
        <v>308.2191729346016</v>
      </c>
      <c r="L143" s="89">
        <f t="shared" si="49"/>
        <v>301.65823688631986</v>
      </c>
      <c r="M143" s="89">
        <f t="shared" si="49"/>
        <v>299.61621117455462</v>
      </c>
      <c r="N143" s="89">
        <f t="shared" si="49"/>
        <v>300.24118209387234</v>
      </c>
      <c r="O143" s="89">
        <f t="shared" si="49"/>
        <v>302.65369221853308</v>
      </c>
      <c r="P143" s="89">
        <f t="shared" si="49"/>
        <v>305.8746515363834</v>
      </c>
      <c r="Q143" s="89">
        <f t="shared" si="49"/>
        <v>309.50640057894867</v>
      </c>
      <c r="R143" s="89">
        <f t="shared" si="49"/>
        <v>313.40233294123487</v>
      </c>
      <c r="S143" s="89">
        <f t="shared" si="49"/>
        <v>317.43472071449162</v>
      </c>
      <c r="T143" s="89">
        <f t="shared" si="49"/>
        <v>321.50143251876011</v>
      </c>
      <c r="U143" s="89">
        <f t="shared" si="49"/>
        <v>325.61531965126034</v>
      </c>
      <c r="V143" s="89">
        <f t="shared" si="49"/>
        <v>329.92890900970497</v>
      </c>
      <c r="W143" s="89">
        <f t="shared" si="49"/>
        <v>334.18515579359536</v>
      </c>
      <c r="X143" s="89">
        <f t="shared" si="49"/>
        <v>338.3396301934398</v>
      </c>
      <c r="Y143" s="89">
        <f t="shared" si="49"/>
        <v>342.48815957681126</v>
      </c>
      <c r="Z143" s="89">
        <f t="shared" si="49"/>
        <v>346.57688957386938</v>
      </c>
      <c r="AA143" s="89">
        <f t="shared" si="49"/>
        <v>350.57021217761883</v>
      </c>
      <c r="AB143" s="89">
        <f t="shared" si="49"/>
        <v>354.44667714563298</v>
      </c>
      <c r="AC143" s="89">
        <f t="shared" si="49"/>
        <v>358.23551561281249</v>
      </c>
      <c r="AD143" s="89">
        <f t="shared" si="49"/>
        <v>361.8917433403513</v>
      </c>
      <c r="AE143" s="89">
        <f t="shared" si="49"/>
        <v>365.37780274476364</v>
      </c>
      <c r="AF143" s="89">
        <f t="shared" si="49"/>
        <v>368.67035890549863</v>
      </c>
      <c r="AG143" s="89">
        <f t="shared" si="49"/>
        <v>371.78163751706688</v>
      </c>
      <c r="AH143" s="89">
        <f t="shared" si="49"/>
        <v>374.78904690567839</v>
      </c>
      <c r="AI143" s="89">
        <f t="shared" si="49"/>
        <v>377.70163359522866</v>
      </c>
      <c r="AJ143" s="89">
        <f t="shared" si="49"/>
        <v>380.56450652784071</v>
      </c>
      <c r="AK143" s="89">
        <f t="shared" si="49"/>
        <v>383.33494006811793</v>
      </c>
      <c r="AL143" s="89">
        <f t="shared" si="49"/>
        <v>385.93965290904066</v>
      </c>
      <c r="AM143" s="89">
        <f t="shared" si="49"/>
        <v>388.34177825164835</v>
      </c>
      <c r="AN143" s="89">
        <f t="shared" si="49"/>
        <v>390.51308168661569</v>
      </c>
      <c r="AO143" s="89">
        <f t="shared" si="49"/>
        <v>392.43785961588708</v>
      </c>
      <c r="AP143" s="89">
        <f t="shared" si="49"/>
        <v>394.10430876156067</v>
      </c>
      <c r="AQ143" s="89">
        <f t="shared" si="49"/>
        <v>395.64032458297743</v>
      </c>
      <c r="AR143" s="89">
        <f t="shared" si="49"/>
        <v>397.15706171395021</v>
      </c>
      <c r="AS143" s="89">
        <f t="shared" si="49"/>
        <v>398.73009847326023</v>
      </c>
      <c r="AT143" s="89">
        <f t="shared" si="49"/>
        <v>399.88687380261081</v>
      </c>
      <c r="AU143" s="89">
        <f t="shared" si="49"/>
        <v>400.7786030246329</v>
      </c>
      <c r="AV143" s="89">
        <f t="shared" si="49"/>
        <v>401.50177450747424</v>
      </c>
      <c r="AW143" s="89">
        <f t="shared" si="49"/>
        <v>401.80714014688999</v>
      </c>
      <c r="AX143" s="89">
        <f t="shared" si="49"/>
        <v>401.88960677222195</v>
      </c>
      <c r="AY143" s="89">
        <f t="shared" si="49"/>
        <v>401.86057322375075</v>
      </c>
      <c r="AZ143" s="89">
        <f t="shared" si="49"/>
        <v>401.7823043973516</v>
      </c>
      <c r="BA143" s="89">
        <f t="shared" si="49"/>
        <v>401.68841188557934</v>
      </c>
      <c r="BB143" s="89">
        <f t="shared" si="49"/>
        <v>401.59602814083462</v>
      </c>
    </row>
    <row r="144" spans="2:54" ht="29">
      <c r="B144" s="6" t="s">
        <v>2870</v>
      </c>
      <c r="C144" s="52"/>
      <c r="D144" s="89">
        <f t="shared" ref="D144:BB144" si="50">(     IF(D$130&lt;$C$7,   INDEX($C$60:$C$77,MATCH($B144,$B$60:$B$77,0)), INDEX($F$60:$F$77,MATCH($B144,$B$60:$B$77,0))  )         *C$12)          +D118</f>
        <v>1150.84551647287</v>
      </c>
      <c r="E144" s="89">
        <f t="shared" si="50"/>
        <v>1190.1819404124572</v>
      </c>
      <c r="F144" s="89">
        <f t="shared" si="50"/>
        <v>1223.8490727270535</v>
      </c>
      <c r="G144" s="89">
        <f t="shared" si="50"/>
        <v>1253.6983154192219</v>
      </c>
      <c r="H144" s="89">
        <f t="shared" si="50"/>
        <v>920.5563518586722</v>
      </c>
      <c r="I144" s="89">
        <f t="shared" si="50"/>
        <v>817.54006662461791</v>
      </c>
      <c r="J144" s="89">
        <f t="shared" si="50"/>
        <v>757.1669012235534</v>
      </c>
      <c r="K144" s="89">
        <f t="shared" si="50"/>
        <v>723.64501471602091</v>
      </c>
      <c r="L144" s="89">
        <f t="shared" si="50"/>
        <v>708.24107790701169</v>
      </c>
      <c r="M144" s="89">
        <f t="shared" si="50"/>
        <v>703.44675667069328</v>
      </c>
      <c r="N144" s="89">
        <f t="shared" si="50"/>
        <v>704.91407969865656</v>
      </c>
      <c r="O144" s="89">
        <f t="shared" si="50"/>
        <v>710.57823390438182</v>
      </c>
      <c r="P144" s="89">
        <f t="shared" si="50"/>
        <v>718.14048621585641</v>
      </c>
      <c r="Q144" s="89">
        <f t="shared" si="50"/>
        <v>726.66720135927062</v>
      </c>
      <c r="R144" s="89">
        <f t="shared" si="50"/>
        <v>735.81417299246425</v>
      </c>
      <c r="S144" s="89">
        <f t="shared" si="50"/>
        <v>745.28151819924108</v>
      </c>
      <c r="T144" s="89">
        <f t="shared" si="50"/>
        <v>754.82945026143659</v>
      </c>
      <c r="U144" s="89">
        <f t="shared" si="50"/>
        <v>764.4881417899154</v>
      </c>
      <c r="V144" s="89">
        <f t="shared" si="50"/>
        <v>774.6156994140897</v>
      </c>
      <c r="W144" s="89">
        <f t="shared" si="50"/>
        <v>784.60862664583237</v>
      </c>
      <c r="X144" s="89">
        <f t="shared" si="50"/>
        <v>794.36261001938021</v>
      </c>
      <c r="Y144" s="89">
        <f t="shared" si="50"/>
        <v>804.10263552816537</v>
      </c>
      <c r="Z144" s="89">
        <f t="shared" si="50"/>
        <v>813.70226247777998</v>
      </c>
      <c r="AA144" s="89">
        <f t="shared" si="50"/>
        <v>823.07788946049618</v>
      </c>
      <c r="AB144" s="89">
        <f t="shared" si="50"/>
        <v>832.17915503757285</v>
      </c>
      <c r="AC144" s="89">
        <f t="shared" si="50"/>
        <v>841.07468883008119</v>
      </c>
      <c r="AD144" s="89">
        <f t="shared" si="50"/>
        <v>849.65887566865058</v>
      </c>
      <c r="AE144" s="89">
        <f t="shared" si="50"/>
        <v>857.84353687901</v>
      </c>
      <c r="AF144" s="89">
        <f t="shared" si="50"/>
        <v>865.57388612595309</v>
      </c>
      <c r="AG144" s="89">
        <f t="shared" si="50"/>
        <v>872.8786272139829</v>
      </c>
      <c r="AH144" s="89">
        <f t="shared" si="50"/>
        <v>879.939501430723</v>
      </c>
      <c r="AI144" s="89">
        <f t="shared" si="50"/>
        <v>886.77774844097144</v>
      </c>
      <c r="AJ144" s="89">
        <f t="shared" si="50"/>
        <v>893.49927619579978</v>
      </c>
      <c r="AK144" s="89">
        <f t="shared" si="50"/>
        <v>900.00377233384188</v>
      </c>
      <c r="AL144" s="89">
        <f t="shared" si="50"/>
        <v>906.11918509079089</v>
      </c>
      <c r="AM144" s="89">
        <f t="shared" si="50"/>
        <v>911.75895763430458</v>
      </c>
      <c r="AN144" s="89">
        <f t="shared" si="50"/>
        <v>916.8568004816193</v>
      </c>
      <c r="AO144" s="89">
        <f t="shared" si="50"/>
        <v>921.3758443155607</v>
      </c>
      <c r="AP144" s="89">
        <f t="shared" si="50"/>
        <v>925.28837709235961</v>
      </c>
      <c r="AQ144" s="89">
        <f t="shared" si="50"/>
        <v>928.89467510785983</v>
      </c>
      <c r="AR144" s="89">
        <f t="shared" si="50"/>
        <v>932.45571011101333</v>
      </c>
      <c r="AS144" s="89">
        <f t="shared" si="50"/>
        <v>936.1489268502628</v>
      </c>
      <c r="AT144" s="89">
        <f t="shared" si="50"/>
        <v>938.86483414525992</v>
      </c>
      <c r="AU144" s="89">
        <f t="shared" si="50"/>
        <v>940.95845927522487</v>
      </c>
      <c r="AV144" s="89">
        <f t="shared" si="50"/>
        <v>942.65634014798275</v>
      </c>
      <c r="AW144" s="89">
        <f t="shared" si="50"/>
        <v>943.37328556226316</v>
      </c>
      <c r="AX144" s="89">
        <f t="shared" si="50"/>
        <v>943.56690285652087</v>
      </c>
      <c r="AY144" s="89">
        <f t="shared" si="50"/>
        <v>943.49873713402314</v>
      </c>
      <c r="AZ144" s="89">
        <f t="shared" si="50"/>
        <v>943.31497554160785</v>
      </c>
      <c r="BA144" s="89">
        <f t="shared" si="50"/>
        <v>943.09453225309903</v>
      </c>
      <c r="BB144" s="89">
        <f t="shared" si="50"/>
        <v>942.87763128717665</v>
      </c>
    </row>
    <row r="145" spans="2:54">
      <c r="B145" s="6" t="s">
        <v>102</v>
      </c>
      <c r="C145" s="52"/>
      <c r="D145" s="89">
        <f t="shared" ref="D145:BB145" si="51">(     IF(D$130&lt;$C$7,   INDEX($C$60:$C$77,MATCH($B145,$B$60:$B$77,0)), INDEX($F$60:$F$77,MATCH($B145,$B$60:$B$77,0))  )         *C$12)          +D119</f>
        <v>25.209794420566983</v>
      </c>
      <c r="E145" s="89">
        <f t="shared" si="51"/>
        <v>45.507693442873673</v>
      </c>
      <c r="F145" s="89">
        <f t="shared" si="51"/>
        <v>66.345742795727219</v>
      </c>
      <c r="G145" s="89">
        <f t="shared" si="51"/>
        <v>87.668751651034682</v>
      </c>
      <c r="H145" s="89">
        <f t="shared" si="51"/>
        <v>416.83053165984808</v>
      </c>
      <c r="I145" s="89">
        <f t="shared" si="51"/>
        <v>745.70528798674763</v>
      </c>
      <c r="J145" s="89">
        <f t="shared" si="51"/>
        <v>1049.1151037110194</v>
      </c>
      <c r="K145" s="89">
        <f t="shared" si="51"/>
        <v>1338.2788900821004</v>
      </c>
      <c r="L145" s="89">
        <f t="shared" si="51"/>
        <v>1620.7019739924838</v>
      </c>
      <c r="M145" s="89">
        <f t="shared" si="51"/>
        <v>1900.8598977107699</v>
      </c>
      <c r="N145" s="89">
        <f t="shared" si="51"/>
        <v>2181.3912595127263</v>
      </c>
      <c r="O145" s="89">
        <f t="shared" si="51"/>
        <v>2444.5997790584615</v>
      </c>
      <c r="P145" s="89">
        <f t="shared" si="51"/>
        <v>2710.0901616227943</v>
      </c>
      <c r="Q145" s="89">
        <f t="shared" si="51"/>
        <v>2978.373446640855</v>
      </c>
      <c r="R145" s="89">
        <f t="shared" si="51"/>
        <v>3249.7725743486017</v>
      </c>
      <c r="S145" s="89">
        <f t="shared" si="51"/>
        <v>3179.6885654758189</v>
      </c>
      <c r="T145" s="89">
        <f t="shared" si="51"/>
        <v>3154.4063824892855</v>
      </c>
      <c r="U145" s="89">
        <f t="shared" si="51"/>
        <v>3156.9956280632605</v>
      </c>
      <c r="V145" s="89">
        <f t="shared" si="51"/>
        <v>3176.9431247761881</v>
      </c>
      <c r="W145" s="89">
        <f t="shared" si="51"/>
        <v>3207.0039991276071</v>
      </c>
      <c r="X145" s="89">
        <f t="shared" si="51"/>
        <v>3242.8636496349836</v>
      </c>
      <c r="Y145" s="89">
        <f t="shared" si="51"/>
        <v>3282.0165975474947</v>
      </c>
      <c r="Z145" s="89">
        <f t="shared" si="51"/>
        <v>3322.7407249471498</v>
      </c>
      <c r="AA145" s="89">
        <f t="shared" si="51"/>
        <v>3364.1941737137822</v>
      </c>
      <c r="AB145" s="89">
        <f t="shared" si="51"/>
        <v>3405.8855419122897</v>
      </c>
      <c r="AC145" s="89">
        <f t="shared" si="51"/>
        <v>3447.483748685202</v>
      </c>
      <c r="AD145" s="89">
        <f t="shared" si="51"/>
        <v>3488.7408992694659</v>
      </c>
      <c r="AE145" s="89">
        <f t="shared" si="51"/>
        <v>3529.4688577904349</v>
      </c>
      <c r="AF145" s="89">
        <f t="shared" si="51"/>
        <v>3569.4445485702663</v>
      </c>
      <c r="AG145" s="89">
        <f t="shared" si="51"/>
        <v>3608.3109738027629</v>
      </c>
      <c r="AH145" s="89">
        <f t="shared" si="51"/>
        <v>3646.0185407008807</v>
      </c>
      <c r="AI145" s="89">
        <f t="shared" si="51"/>
        <v>3682.5730294795085</v>
      </c>
      <c r="AJ145" s="89">
        <f t="shared" si="51"/>
        <v>3717.9299752947413</v>
      </c>
      <c r="AK145" s="89">
        <f t="shared" si="51"/>
        <v>3752.0622494546274</v>
      </c>
      <c r="AL145" s="89">
        <f t="shared" si="51"/>
        <v>3784.909929830651</v>
      </c>
      <c r="AM145" s="89">
        <f t="shared" si="51"/>
        <v>3816.3958116547519</v>
      </c>
      <c r="AN145" s="89">
        <f t="shared" si="51"/>
        <v>3846.3883059020231</v>
      </c>
      <c r="AO145" s="89">
        <f t="shared" si="51"/>
        <v>3874.7821972886013</v>
      </c>
      <c r="AP145" s="89">
        <f t="shared" si="51"/>
        <v>3901.4960303845314</v>
      </c>
      <c r="AQ145" s="89">
        <f t="shared" si="51"/>
        <v>3926.5786454552003</v>
      </c>
      <c r="AR145" s="89">
        <f t="shared" si="51"/>
        <v>3950.1726556114631</v>
      </c>
      <c r="AS145" s="89">
        <f t="shared" si="51"/>
        <v>3972.4217731928002</v>
      </c>
      <c r="AT145" s="89">
        <f t="shared" si="51"/>
        <v>3993.0629253679672</v>
      </c>
      <c r="AU145" s="89">
        <f t="shared" si="51"/>
        <v>4011.8829390076207</v>
      </c>
      <c r="AV145" s="89">
        <f t="shared" si="51"/>
        <v>4028.8030606376783</v>
      </c>
      <c r="AW145" s="89">
        <f t="shared" si="51"/>
        <v>4043.6073949284828</v>
      </c>
      <c r="AX145" s="89">
        <f t="shared" si="51"/>
        <v>4056.2615689363815</v>
      </c>
      <c r="AY145" s="89">
        <f t="shared" si="51"/>
        <v>4066.8682939568093</v>
      </c>
      <c r="AZ145" s="89">
        <f t="shared" si="51"/>
        <v>4075.6070242536643</v>
      </c>
      <c r="BA145" s="89">
        <f t="shared" si="51"/>
        <v>4082.7019177977254</v>
      </c>
      <c r="BB145" s="89">
        <f t="shared" si="51"/>
        <v>4088.2749238940414</v>
      </c>
    </row>
    <row r="146" spans="2:54">
      <c r="B146" s="6" t="s">
        <v>2831</v>
      </c>
      <c r="C146" s="52"/>
      <c r="D146" s="89">
        <f t="shared" ref="D146:BB146" si="52">(     IF(D$130&lt;$C$7,   INDEX($C$60:$C$77,MATCH($B146,$B$60:$B$77,0)), INDEX($F$60:$F$77,MATCH($B146,$B$60:$B$77,0))  )         *C$12)          +D120</f>
        <v>52794.701796538451</v>
      </c>
      <c r="E146" s="89">
        <f t="shared" si="52"/>
        <v>54949.100652645102</v>
      </c>
      <c r="F146" s="89">
        <f t="shared" si="52"/>
        <v>56855.380509349459</v>
      </c>
      <c r="G146" s="89">
        <f t="shared" si="52"/>
        <v>58596.750453191184</v>
      </c>
      <c r="H146" s="89">
        <f t="shared" si="52"/>
        <v>88590.363474462967</v>
      </c>
      <c r="I146" s="89">
        <f t="shared" si="52"/>
        <v>88815.583772776357</v>
      </c>
      <c r="J146" s="89">
        <f t="shared" si="52"/>
        <v>91935.699171988264</v>
      </c>
      <c r="K146" s="89">
        <f t="shared" si="52"/>
        <v>96926.947718509648</v>
      </c>
      <c r="L146" s="89">
        <f t="shared" si="52"/>
        <v>103258.28625276513</v>
      </c>
      <c r="M146" s="89">
        <f t="shared" si="52"/>
        <v>110419.77926609575</v>
      </c>
      <c r="N146" s="89">
        <f t="shared" si="52"/>
        <v>118117.39584232777</v>
      </c>
      <c r="O146" s="89">
        <f t="shared" si="52"/>
        <v>125699.8714648856</v>
      </c>
      <c r="P146" s="89">
        <f t="shared" si="52"/>
        <v>133503.41661080957</v>
      </c>
      <c r="Q146" s="89">
        <f t="shared" si="52"/>
        <v>141463.39464549546</v>
      </c>
      <c r="R146" s="89">
        <f t="shared" si="52"/>
        <v>149559.60818050918</v>
      </c>
      <c r="S146" s="89">
        <f t="shared" si="52"/>
        <v>148462.69161176539</v>
      </c>
      <c r="T146" s="89">
        <f t="shared" si="52"/>
        <v>148582.194443674</v>
      </c>
      <c r="U146" s="89">
        <f t="shared" si="52"/>
        <v>149463.53074947884</v>
      </c>
      <c r="V146" s="89">
        <f t="shared" si="52"/>
        <v>150852.92927673479</v>
      </c>
      <c r="W146" s="89">
        <f t="shared" si="52"/>
        <v>152504.07870096181</v>
      </c>
      <c r="X146" s="89">
        <f t="shared" si="52"/>
        <v>154291.72140787274</v>
      </c>
      <c r="Y146" s="89">
        <f t="shared" si="52"/>
        <v>156167.11054450355</v>
      </c>
      <c r="Z146" s="89">
        <f t="shared" si="52"/>
        <v>158073.12664433138</v>
      </c>
      <c r="AA146" s="89">
        <f t="shared" si="52"/>
        <v>159980.01618384843</v>
      </c>
      <c r="AB146" s="89">
        <f t="shared" si="52"/>
        <v>161870.28044633835</v>
      </c>
      <c r="AC146" s="89">
        <f t="shared" si="52"/>
        <v>163740.74582311561</v>
      </c>
      <c r="AD146" s="89">
        <f t="shared" si="52"/>
        <v>165575.84642519895</v>
      </c>
      <c r="AE146" s="89">
        <f t="shared" si="52"/>
        <v>167363.09469354741</v>
      </c>
      <c r="AF146" s="89">
        <f t="shared" si="52"/>
        <v>169091.86498483852</v>
      </c>
      <c r="AG146" s="89">
        <f t="shared" si="52"/>
        <v>170754.92976492131</v>
      </c>
      <c r="AH146" s="89">
        <f t="shared" si="52"/>
        <v>172366.21811411885</v>
      </c>
      <c r="AI146" s="89">
        <f t="shared" si="52"/>
        <v>173927.67044247276</v>
      </c>
      <c r="AJ146" s="89">
        <f t="shared" si="52"/>
        <v>175446.98352616717</v>
      </c>
      <c r="AK146" s="89">
        <f t="shared" si="52"/>
        <v>176914.99764904103</v>
      </c>
      <c r="AL146" s="89">
        <f t="shared" si="52"/>
        <v>178315.64084490496</v>
      </c>
      <c r="AM146" s="89">
        <f t="shared" si="52"/>
        <v>179639.55694553629</v>
      </c>
      <c r="AN146" s="89">
        <f t="shared" si="52"/>
        <v>180877.62406781549</v>
      </c>
      <c r="AO146" s="89">
        <f t="shared" si="52"/>
        <v>182023.90400774253</v>
      </c>
      <c r="AP146" s="89">
        <f t="shared" si="52"/>
        <v>183073.86937991151</v>
      </c>
      <c r="AQ146" s="89">
        <f t="shared" si="52"/>
        <v>184054.06508310174</v>
      </c>
      <c r="AR146" s="89">
        <f t="shared" si="52"/>
        <v>184990.26590793574</v>
      </c>
      <c r="AS146" s="89">
        <f t="shared" si="52"/>
        <v>185901.25922089623</v>
      </c>
      <c r="AT146" s="89">
        <f t="shared" si="52"/>
        <v>186686.73370147843</v>
      </c>
      <c r="AU146" s="89">
        <f t="shared" si="52"/>
        <v>187370.75951691746</v>
      </c>
      <c r="AV146" s="89">
        <f t="shared" si="52"/>
        <v>187970.24177304941</v>
      </c>
      <c r="AW146" s="89">
        <f t="shared" si="52"/>
        <v>188430.18938315479</v>
      </c>
      <c r="AX146" s="89">
        <f t="shared" si="52"/>
        <v>188788.11787025863</v>
      </c>
      <c r="AY146" s="89">
        <f t="shared" si="52"/>
        <v>189068.77284346317</v>
      </c>
      <c r="AZ146" s="89">
        <f t="shared" si="52"/>
        <v>189289.28075009945</v>
      </c>
      <c r="BA146" s="89">
        <f t="shared" si="52"/>
        <v>189462.32343512145</v>
      </c>
      <c r="BB146" s="89">
        <f t="shared" si="52"/>
        <v>189594.57274957487</v>
      </c>
    </row>
    <row r="147" spans="2:54">
      <c r="B147" s="6" t="s">
        <v>2832</v>
      </c>
      <c r="C147" s="52"/>
      <c r="D147" s="89">
        <f t="shared" ref="D147:BB147" si="53">(     IF(D$130&lt;$C$7,   INDEX($C$60:$C$77,MATCH($B147,$B$60:$B$77,0)), INDEX($F$60:$F$77,MATCH($B147,$B$60:$B$77,0))  )         *C$12)          +D121</f>
        <v>21848.805729504762</v>
      </c>
      <c r="E147" s="89">
        <f t="shared" si="53"/>
        <v>22828.842462220025</v>
      </c>
      <c r="F147" s="89">
        <f t="shared" si="53"/>
        <v>23709.219740606652</v>
      </c>
      <c r="G147" s="89">
        <f t="shared" si="53"/>
        <v>24523.937477902269</v>
      </c>
      <c r="H147" s="89">
        <f t="shared" si="53"/>
        <v>7726.7760037037961</v>
      </c>
      <c r="I147" s="89">
        <f t="shared" si="53"/>
        <v>7988.6616289730646</v>
      </c>
      <c r="J147" s="89">
        <f t="shared" si="53"/>
        <v>8474.1546773335758</v>
      </c>
      <c r="K147" s="89">
        <f t="shared" si="53"/>
        <v>9105.8133571095677</v>
      </c>
      <c r="L147" s="89">
        <f t="shared" si="53"/>
        <v>9844.7130608084481</v>
      </c>
      <c r="M147" s="89">
        <f t="shared" si="53"/>
        <v>10651.457894228539</v>
      </c>
      <c r="N147" s="89">
        <f t="shared" si="53"/>
        <v>11503.374868862618</v>
      </c>
      <c r="O147" s="89">
        <f t="shared" si="53"/>
        <v>12332.848801254546</v>
      </c>
      <c r="P147" s="89">
        <f t="shared" si="53"/>
        <v>13182.521794375862</v>
      </c>
      <c r="Q147" s="89">
        <f t="shared" si="53"/>
        <v>14047.358669485286</v>
      </c>
      <c r="R147" s="89">
        <f t="shared" si="53"/>
        <v>14925.906691931679</v>
      </c>
      <c r="S147" s="89">
        <f t="shared" si="53"/>
        <v>14782.259192055082</v>
      </c>
      <c r="T147" s="89">
        <f t="shared" si="53"/>
        <v>14773.584113288594</v>
      </c>
      <c r="U147" s="89">
        <f t="shared" si="53"/>
        <v>14849.302533559945</v>
      </c>
      <c r="V147" s="89">
        <f t="shared" si="53"/>
        <v>14980.394267058429</v>
      </c>
      <c r="W147" s="89">
        <f t="shared" si="53"/>
        <v>15140.878983730076</v>
      </c>
      <c r="X147" s="89">
        <f t="shared" si="53"/>
        <v>15317.079014578332</v>
      </c>
      <c r="Y147" s="89">
        <f t="shared" si="53"/>
        <v>15503.060741478595</v>
      </c>
      <c r="Z147" s="89">
        <f t="shared" si="53"/>
        <v>15692.768276976796</v>
      </c>
      <c r="AA147" s="89">
        <f t="shared" si="53"/>
        <v>15883.08789532732</v>
      </c>
      <c r="AB147" s="89">
        <f t="shared" si="53"/>
        <v>16072.191088677129</v>
      </c>
      <c r="AC147" s="89">
        <f t="shared" si="53"/>
        <v>16259.567436547233</v>
      </c>
      <c r="AD147" s="89">
        <f t="shared" si="53"/>
        <v>16443.730232373589</v>
      </c>
      <c r="AE147" s="89">
        <f t="shared" si="53"/>
        <v>16623.494715229379</v>
      </c>
      <c r="AF147" s="89">
        <f t="shared" si="53"/>
        <v>16797.806226067274</v>
      </c>
      <c r="AG147" s="89">
        <f t="shared" si="53"/>
        <v>16965.795708048885</v>
      </c>
      <c r="AH147" s="89">
        <f t="shared" si="53"/>
        <v>17128.592966427306</v>
      </c>
      <c r="AI147" s="89">
        <f t="shared" si="53"/>
        <v>17286.364766822324</v>
      </c>
      <c r="AJ147" s="89">
        <f t="shared" si="53"/>
        <v>17439.722796750601</v>
      </c>
      <c r="AK147" s="89">
        <f t="shared" si="53"/>
        <v>17587.879954097709</v>
      </c>
      <c r="AL147" s="89">
        <f t="shared" si="53"/>
        <v>17729.446056454759</v>
      </c>
      <c r="AM147" s="89">
        <f t="shared" si="53"/>
        <v>17863.580546173005</v>
      </c>
      <c r="AN147" s="89">
        <f t="shared" si="53"/>
        <v>17989.422297390647</v>
      </c>
      <c r="AO147" s="89">
        <f t="shared" si="53"/>
        <v>18106.39628178213</v>
      </c>
      <c r="AP147" s="89">
        <f t="shared" si="53"/>
        <v>18214.063173697807</v>
      </c>
      <c r="AQ147" s="89">
        <f t="shared" si="53"/>
        <v>18314.681993281825</v>
      </c>
      <c r="AR147" s="89">
        <f t="shared" si="53"/>
        <v>18410.516564448721</v>
      </c>
      <c r="AS147" s="89">
        <f t="shared" si="53"/>
        <v>18503.246380882381</v>
      </c>
      <c r="AT147" s="89">
        <f t="shared" si="53"/>
        <v>18584.276748173979</v>
      </c>
      <c r="AU147" s="89">
        <f t="shared" si="53"/>
        <v>18655.465829590601</v>
      </c>
      <c r="AV147" s="89">
        <f t="shared" si="53"/>
        <v>18718.17110084301</v>
      </c>
      <c r="AW147" s="89">
        <f t="shared" si="53"/>
        <v>18767.627947472556</v>
      </c>
      <c r="AX147" s="89">
        <f t="shared" si="53"/>
        <v>18806.952603016409</v>
      </c>
      <c r="AY147" s="89">
        <f t="shared" si="53"/>
        <v>18838.293219596642</v>
      </c>
      <c r="AZ147" s="89">
        <f t="shared" si="53"/>
        <v>18863.216613654637</v>
      </c>
      <c r="BA147" s="89">
        <f t="shared" si="53"/>
        <v>18882.950434929331</v>
      </c>
      <c r="BB147" s="89">
        <f t="shared" si="53"/>
        <v>18898.143514756171</v>
      </c>
    </row>
    <row r="148" spans="2:54">
      <c r="B148" s="6" t="s">
        <v>2871</v>
      </c>
      <c r="C148" s="52"/>
      <c r="D148" s="89">
        <f t="shared" ref="D148:BB148" si="54">(     IF(D$130&lt;$C$7,   INDEX($C$60:$C$77,MATCH($B148,$B$60:$B$77,0)), INDEX($F$60:$F$77,MATCH($B148,$B$60:$B$77,0))  )         *C$12)          +D122</f>
        <v>1150.84551647287</v>
      </c>
      <c r="E148" s="89">
        <f t="shared" si="54"/>
        <v>1190.1819404124572</v>
      </c>
      <c r="F148" s="89">
        <f t="shared" si="54"/>
        <v>1223.8490727270535</v>
      </c>
      <c r="G148" s="89">
        <f t="shared" si="54"/>
        <v>1253.6983154192219</v>
      </c>
      <c r="H148" s="89">
        <f t="shared" si="54"/>
        <v>920.5563518586722</v>
      </c>
      <c r="I148" s="89">
        <f t="shared" si="54"/>
        <v>817.54006662461791</v>
      </c>
      <c r="J148" s="89">
        <f t="shared" si="54"/>
        <v>757.1669012235534</v>
      </c>
      <c r="K148" s="89">
        <f t="shared" si="54"/>
        <v>723.64501471602091</v>
      </c>
      <c r="L148" s="89">
        <f t="shared" si="54"/>
        <v>708.24107790701169</v>
      </c>
      <c r="M148" s="89">
        <f t="shared" si="54"/>
        <v>703.44675667069328</v>
      </c>
      <c r="N148" s="89">
        <f t="shared" si="54"/>
        <v>704.91407969865656</v>
      </c>
      <c r="O148" s="89">
        <f t="shared" si="54"/>
        <v>710.57823390438182</v>
      </c>
      <c r="P148" s="89">
        <f t="shared" si="54"/>
        <v>718.14048621585641</v>
      </c>
      <c r="Q148" s="89">
        <f t="shared" si="54"/>
        <v>726.66720135927062</v>
      </c>
      <c r="R148" s="89">
        <f t="shared" si="54"/>
        <v>735.81417299246425</v>
      </c>
      <c r="S148" s="89">
        <f t="shared" si="54"/>
        <v>745.28151819924108</v>
      </c>
      <c r="T148" s="89">
        <f t="shared" si="54"/>
        <v>754.82945026143659</v>
      </c>
      <c r="U148" s="89">
        <f t="shared" si="54"/>
        <v>764.4881417899154</v>
      </c>
      <c r="V148" s="89">
        <f t="shared" si="54"/>
        <v>774.6156994140897</v>
      </c>
      <c r="W148" s="89">
        <f t="shared" si="54"/>
        <v>784.60862664583237</v>
      </c>
      <c r="X148" s="89">
        <f t="shared" si="54"/>
        <v>794.36261001938021</v>
      </c>
      <c r="Y148" s="89">
        <f t="shared" si="54"/>
        <v>804.10263552816537</v>
      </c>
      <c r="Z148" s="89">
        <f t="shared" si="54"/>
        <v>813.70226247777998</v>
      </c>
      <c r="AA148" s="89">
        <f t="shared" si="54"/>
        <v>823.07788946049618</v>
      </c>
      <c r="AB148" s="89">
        <f t="shared" si="54"/>
        <v>832.17915503757285</v>
      </c>
      <c r="AC148" s="89">
        <f t="shared" si="54"/>
        <v>841.07468883008119</v>
      </c>
      <c r="AD148" s="89">
        <f t="shared" si="54"/>
        <v>849.65887566865058</v>
      </c>
      <c r="AE148" s="89">
        <f t="shared" si="54"/>
        <v>857.84353687901</v>
      </c>
      <c r="AF148" s="89">
        <f t="shared" si="54"/>
        <v>865.57388612595309</v>
      </c>
      <c r="AG148" s="89">
        <f t="shared" si="54"/>
        <v>872.8786272139829</v>
      </c>
      <c r="AH148" s="89">
        <f t="shared" si="54"/>
        <v>879.939501430723</v>
      </c>
      <c r="AI148" s="89">
        <f t="shared" si="54"/>
        <v>886.77774844097144</v>
      </c>
      <c r="AJ148" s="89">
        <f t="shared" si="54"/>
        <v>893.49927619579978</v>
      </c>
      <c r="AK148" s="89">
        <f t="shared" si="54"/>
        <v>900.00377233384188</v>
      </c>
      <c r="AL148" s="89">
        <f t="shared" si="54"/>
        <v>906.11918509079089</v>
      </c>
      <c r="AM148" s="89">
        <f t="shared" si="54"/>
        <v>911.75895763430458</v>
      </c>
      <c r="AN148" s="89">
        <f t="shared" si="54"/>
        <v>916.8568004816193</v>
      </c>
      <c r="AO148" s="89">
        <f t="shared" si="54"/>
        <v>921.3758443155607</v>
      </c>
      <c r="AP148" s="89">
        <f t="shared" si="54"/>
        <v>925.28837709235961</v>
      </c>
      <c r="AQ148" s="89">
        <f t="shared" si="54"/>
        <v>928.89467510785983</v>
      </c>
      <c r="AR148" s="89">
        <f t="shared" si="54"/>
        <v>932.45571011101333</v>
      </c>
      <c r="AS148" s="89">
        <f t="shared" si="54"/>
        <v>936.1489268502628</v>
      </c>
      <c r="AT148" s="89">
        <f t="shared" si="54"/>
        <v>938.86483414525992</v>
      </c>
      <c r="AU148" s="89">
        <f t="shared" si="54"/>
        <v>940.95845927522487</v>
      </c>
      <c r="AV148" s="89">
        <f t="shared" si="54"/>
        <v>942.65634014798275</v>
      </c>
      <c r="AW148" s="89">
        <f t="shared" si="54"/>
        <v>943.37328556226316</v>
      </c>
      <c r="AX148" s="89">
        <f t="shared" si="54"/>
        <v>943.56690285652087</v>
      </c>
      <c r="AY148" s="89">
        <f t="shared" si="54"/>
        <v>943.49873713402314</v>
      </c>
      <c r="AZ148" s="89">
        <f t="shared" si="54"/>
        <v>943.31497554160785</v>
      </c>
      <c r="BA148" s="89">
        <f t="shared" si="54"/>
        <v>943.09453225309903</v>
      </c>
      <c r="BB148" s="89">
        <f t="shared" si="54"/>
        <v>942.87763128717665</v>
      </c>
    </row>
    <row r="149" spans="2:54">
      <c r="B149" s="52"/>
      <c r="C149" s="52"/>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row>
    <row r="150" spans="2:54">
      <c r="B150" s="113" t="s">
        <v>98</v>
      </c>
      <c r="C150" s="113"/>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row>
    <row r="151" spans="2:54" ht="15" customHeight="1">
      <c r="B151" s="52"/>
      <c r="C151" s="52"/>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row>
    <row r="152" spans="2:54">
      <c r="B152" s="7" t="s">
        <v>9</v>
      </c>
      <c r="C152" s="52"/>
      <c r="D152" s="34">
        <f>'Prevalence projection'!C$21</f>
        <v>2020</v>
      </c>
      <c r="E152" s="34">
        <f>'Prevalence projection'!D$21</f>
        <v>2021</v>
      </c>
      <c r="F152" s="34">
        <f>'Prevalence projection'!E$21</f>
        <v>2022</v>
      </c>
      <c r="G152" s="34">
        <f>'Prevalence projection'!F$21</f>
        <v>2023</v>
      </c>
      <c r="H152" s="34">
        <f>'Prevalence projection'!G$21</f>
        <v>2024</v>
      </c>
      <c r="I152" s="34">
        <f>'Prevalence projection'!H$21</f>
        <v>2025</v>
      </c>
      <c r="J152" s="34">
        <f>'Prevalence projection'!I$21</f>
        <v>2026</v>
      </c>
      <c r="K152" s="34">
        <f>'Prevalence projection'!J$21</f>
        <v>2027</v>
      </c>
      <c r="L152" s="34">
        <f>'Prevalence projection'!K$21</f>
        <v>2028</v>
      </c>
      <c r="M152" s="34">
        <f>'Prevalence projection'!L$21</f>
        <v>2029</v>
      </c>
      <c r="N152" s="34">
        <f>'Prevalence projection'!M$21</f>
        <v>2030</v>
      </c>
      <c r="O152" s="34">
        <f>'Prevalence projection'!N$21</f>
        <v>2031</v>
      </c>
      <c r="P152" s="34">
        <f>'Prevalence projection'!O$21</f>
        <v>2032</v>
      </c>
      <c r="Q152" s="34">
        <f>'Prevalence projection'!P$21</f>
        <v>2033</v>
      </c>
      <c r="R152" s="34">
        <f>'Prevalence projection'!Q$21</f>
        <v>2034</v>
      </c>
      <c r="S152" s="34">
        <f>'Prevalence projection'!R$21</f>
        <v>2035</v>
      </c>
      <c r="T152" s="34">
        <f>'Prevalence projection'!S$21</f>
        <v>2036</v>
      </c>
      <c r="U152" s="34">
        <f>'Prevalence projection'!T$21</f>
        <v>2037</v>
      </c>
      <c r="V152" s="34">
        <f>'Prevalence projection'!U$21</f>
        <v>2038</v>
      </c>
      <c r="W152" s="34">
        <f>'Prevalence projection'!V$21</f>
        <v>2039</v>
      </c>
      <c r="X152" s="34">
        <f>'Prevalence projection'!W$21</f>
        <v>2040</v>
      </c>
      <c r="Y152" s="34">
        <f>'Prevalence projection'!X$21</f>
        <v>2041</v>
      </c>
      <c r="Z152" s="34">
        <f>'Prevalence projection'!Y$21</f>
        <v>2042</v>
      </c>
      <c r="AA152" s="34">
        <f>'Prevalence projection'!Z$21</f>
        <v>2043</v>
      </c>
      <c r="AB152" s="34">
        <f>'Prevalence projection'!AA$21</f>
        <v>2044</v>
      </c>
      <c r="AC152" s="34">
        <f>'Prevalence projection'!AB$21</f>
        <v>2045</v>
      </c>
      <c r="AD152" s="34">
        <f>'Prevalence projection'!AC$21</f>
        <v>2046</v>
      </c>
      <c r="AE152" s="34">
        <f>'Prevalence projection'!AD$21</f>
        <v>2047</v>
      </c>
      <c r="AF152" s="34">
        <f>'Prevalence projection'!AE$21</f>
        <v>2048</v>
      </c>
      <c r="AG152" s="34">
        <f>'Prevalence projection'!AF$21</f>
        <v>2049</v>
      </c>
      <c r="AH152" s="34">
        <f>'Prevalence projection'!AG$21</f>
        <v>2050</v>
      </c>
      <c r="AI152" s="34">
        <f>'Prevalence projection'!AH$21</f>
        <v>2051</v>
      </c>
      <c r="AJ152" s="34">
        <f>'Prevalence projection'!AI$21</f>
        <v>2052</v>
      </c>
      <c r="AK152" s="34">
        <f>'Prevalence projection'!AJ$21</f>
        <v>2053</v>
      </c>
      <c r="AL152" s="34">
        <f>'Prevalence projection'!AK$21</f>
        <v>2054</v>
      </c>
      <c r="AM152" s="34">
        <f>'Prevalence projection'!AL$21</f>
        <v>2055</v>
      </c>
      <c r="AN152" s="34">
        <f>'Prevalence projection'!AM$21</f>
        <v>2056</v>
      </c>
      <c r="AO152" s="34">
        <f>'Prevalence projection'!AN$21</f>
        <v>2057</v>
      </c>
      <c r="AP152" s="34">
        <f>'Prevalence projection'!AO$21</f>
        <v>2058</v>
      </c>
      <c r="AQ152" s="34">
        <f>'Prevalence projection'!AP$21</f>
        <v>2059</v>
      </c>
      <c r="AR152" s="34">
        <f>'Prevalence projection'!AQ$21</f>
        <v>2060</v>
      </c>
      <c r="AS152" s="34">
        <f>'Prevalence projection'!AR$21</f>
        <v>2061</v>
      </c>
      <c r="AT152" s="34">
        <f>'Prevalence projection'!AS$21</f>
        <v>2062</v>
      </c>
      <c r="AU152" s="34">
        <f>'Prevalence projection'!AT$21</f>
        <v>2063</v>
      </c>
      <c r="AV152" s="34">
        <f>'Prevalence projection'!AU$21</f>
        <v>2064</v>
      </c>
      <c r="AW152" s="34">
        <f>'Prevalence projection'!AV$21</f>
        <v>2065</v>
      </c>
      <c r="AX152" s="34">
        <f>'Prevalence projection'!AW$21</f>
        <v>2066</v>
      </c>
      <c r="AY152" s="34">
        <f>'Prevalence projection'!AX$21</f>
        <v>2067</v>
      </c>
      <c r="AZ152" s="34">
        <f>'Prevalence projection'!AY$21</f>
        <v>2068</v>
      </c>
      <c r="BA152" s="34">
        <f>'Prevalence projection'!AZ$21</f>
        <v>2069</v>
      </c>
      <c r="BB152" s="34">
        <f>'Prevalence projection'!BA$21</f>
        <v>2070</v>
      </c>
    </row>
    <row r="153" spans="2:54">
      <c r="B153" s="6" t="s">
        <v>11</v>
      </c>
      <c r="C153" s="52"/>
      <c r="D153" s="89">
        <f xml:space="preserve"> IF(D$152&lt;$C$7,   INDEX($D$60:$D$77,MATCH($B153,$B$60:$B$77,0)),  INDEX($G$60:$G$77,MATCH($B153,$B$60:$B$77,0))   )    *C$13</f>
        <v>680.39581095723474</v>
      </c>
      <c r="E153" s="89">
        <f t="shared" ref="E153:BB153" si="55" xml:space="preserve"> IF(E$152&lt;$C$7,   INDEX($D$60:$D$77,MATCH($B153,$B$60:$B$77,0)),  INDEX($G$60:$G$77,MATCH($B153,$B$60:$B$77,0))   )    *D$13</f>
        <v>703.65204968209912</v>
      </c>
      <c r="F153" s="89">
        <f t="shared" si="55"/>
        <v>723.55652466671745</v>
      </c>
      <c r="G153" s="89">
        <f t="shared" si="55"/>
        <v>741.20381042079623</v>
      </c>
      <c r="H153" s="89">
        <f t="shared" si="55"/>
        <v>567.68183781533185</v>
      </c>
      <c r="I153" s="89">
        <f t="shared" si="55"/>
        <v>504.15452196063177</v>
      </c>
      <c r="J153" s="89">
        <f t="shared" si="55"/>
        <v>466.92404778009291</v>
      </c>
      <c r="K153" s="89">
        <f t="shared" si="55"/>
        <v>446.25202036839727</v>
      </c>
      <c r="L153" s="89">
        <f t="shared" si="55"/>
        <v>436.7528352944214</v>
      </c>
      <c r="M153" s="89">
        <f t="shared" si="55"/>
        <v>433.79630896660319</v>
      </c>
      <c r="N153" s="89">
        <f t="shared" si="55"/>
        <v>434.70116680773492</v>
      </c>
      <c r="O153" s="89">
        <f t="shared" si="55"/>
        <v>438.19409525549742</v>
      </c>
      <c r="P153" s="89">
        <f t="shared" si="55"/>
        <v>442.85752871237742</v>
      </c>
      <c r="Q153" s="89">
        <f t="shared" si="55"/>
        <v>448.11571992833944</v>
      </c>
      <c r="R153" s="89">
        <f t="shared" si="55"/>
        <v>453.7564062988065</v>
      </c>
      <c r="S153" s="89">
        <f t="shared" si="55"/>
        <v>459.59465825955141</v>
      </c>
      <c r="T153" s="89">
        <f t="shared" si="55"/>
        <v>465.48260592235266</v>
      </c>
      <c r="U153" s="89">
        <f t="shared" si="55"/>
        <v>471.43885590825255</v>
      </c>
      <c r="V153" s="89">
        <f t="shared" si="55"/>
        <v>477.68424274748702</v>
      </c>
      <c r="W153" s="89">
        <f t="shared" si="55"/>
        <v>483.84660671859734</v>
      </c>
      <c r="X153" s="89">
        <f t="shared" si="55"/>
        <v>489.86162057009693</v>
      </c>
      <c r="Y153" s="89">
        <f t="shared" si="55"/>
        <v>495.8680269894665</v>
      </c>
      <c r="Z153" s="89">
        <f t="shared" si="55"/>
        <v>501.78785347058943</v>
      </c>
      <c r="AA153" s="89">
        <f t="shared" si="55"/>
        <v>507.56954531973383</v>
      </c>
      <c r="AB153" s="89">
        <f t="shared" si="55"/>
        <v>513.18204601978164</v>
      </c>
      <c r="AC153" s="89">
        <f t="shared" si="55"/>
        <v>518.66767757452942</v>
      </c>
      <c r="AD153" s="89">
        <f t="shared" si="55"/>
        <v>523.96131000760124</v>
      </c>
      <c r="AE153" s="89">
        <f t="shared" si="55"/>
        <v>529.00856595060952</v>
      </c>
      <c r="AF153" s="89">
        <f t="shared" si="55"/>
        <v>533.775660174226</v>
      </c>
      <c r="AG153" s="89">
        <f t="shared" si="55"/>
        <v>538.28029352692113</v>
      </c>
      <c r="AH153" s="89">
        <f t="shared" si="55"/>
        <v>542.63454087294053</v>
      </c>
      <c r="AI153" s="89">
        <f t="shared" si="55"/>
        <v>546.85150013064924</v>
      </c>
      <c r="AJ153" s="89">
        <f t="shared" si="55"/>
        <v>550.99648182686337</v>
      </c>
      <c r="AK153" s="89">
        <f t="shared" si="55"/>
        <v>555.0076260813687</v>
      </c>
      <c r="AL153" s="89">
        <f t="shared" si="55"/>
        <v>558.77883329302369</v>
      </c>
      <c r="AM153" s="89">
        <f t="shared" si="55"/>
        <v>562.25672623884725</v>
      </c>
      <c r="AN153" s="89">
        <f t="shared" si="55"/>
        <v>565.40042601411255</v>
      </c>
      <c r="AO153" s="89">
        <f t="shared" si="55"/>
        <v>568.18719632278555</v>
      </c>
      <c r="AP153" s="89">
        <f t="shared" si="55"/>
        <v>570.59994790802136</v>
      </c>
      <c r="AQ153" s="89">
        <f t="shared" si="55"/>
        <v>572.82385292047991</v>
      </c>
      <c r="AR153" s="89">
        <f t="shared" si="55"/>
        <v>575.01984547545294</v>
      </c>
      <c r="AS153" s="89">
        <f t="shared" si="55"/>
        <v>577.29735087939093</v>
      </c>
      <c r="AT153" s="89">
        <f t="shared" si="55"/>
        <v>578.97217637100471</v>
      </c>
      <c r="AU153" s="89">
        <f t="shared" si="55"/>
        <v>580.26325752977925</v>
      </c>
      <c r="AV153" s="89">
        <f t="shared" si="55"/>
        <v>581.31029406620928</v>
      </c>
      <c r="AW153" s="89">
        <f t="shared" si="55"/>
        <v>581.75241462685722</v>
      </c>
      <c r="AX153" s="89">
        <f t="shared" si="55"/>
        <v>581.87181309846108</v>
      </c>
      <c r="AY153" s="89">
        <f t="shared" si="55"/>
        <v>581.82977716818323</v>
      </c>
      <c r="AZ153" s="89">
        <f t="shared" si="55"/>
        <v>581.7164564374192</v>
      </c>
      <c r="BA153" s="89">
        <f t="shared" si="55"/>
        <v>581.58051511139161</v>
      </c>
      <c r="BB153" s="89">
        <f t="shared" si="55"/>
        <v>581.44675823848524</v>
      </c>
    </row>
    <row r="154" spans="2:54">
      <c r="B154" s="6" t="s">
        <v>14</v>
      </c>
      <c r="C154" s="52"/>
      <c r="D154" s="89">
        <f t="shared" ref="D154:BB154" si="56" xml:space="preserve"> IF(D$152&lt;$C$7,   INDEX($D$60:$D$77,MATCH($B154,$B$60:$B$77,0)),  INDEX($G$60:$G$77,MATCH($B154,$B$60:$B$77,0))   )    *C$13</f>
        <v>2.3055672360193564</v>
      </c>
      <c r="E154" s="89">
        <f t="shared" si="56"/>
        <v>2.3843725742851181</v>
      </c>
      <c r="F154" s="89">
        <f t="shared" si="56"/>
        <v>2.4518202343613016</v>
      </c>
      <c r="G154" s="89">
        <f t="shared" si="56"/>
        <v>2.5116192560249324</v>
      </c>
      <c r="H154" s="89">
        <f t="shared" si="56"/>
        <v>1.9236283126272034</v>
      </c>
      <c r="I154" s="89">
        <f t="shared" si="56"/>
        <v>1.7083617050612505</v>
      </c>
      <c r="J154" s="89">
        <f t="shared" si="56"/>
        <v>1.5822037245596479</v>
      </c>
      <c r="K154" s="89">
        <f t="shared" si="56"/>
        <v>1.5121551611573443</v>
      </c>
      <c r="L154" s="89">
        <f t="shared" si="56"/>
        <v>1.479966529888979</v>
      </c>
      <c r="M154" s="89">
        <f t="shared" si="56"/>
        <v>1.4699481404102779</v>
      </c>
      <c r="N154" s="89">
        <f t="shared" si="56"/>
        <v>1.4730143124209985</v>
      </c>
      <c r="O154" s="89">
        <f t="shared" si="56"/>
        <v>1.4848503367721642</v>
      </c>
      <c r="P154" s="89">
        <f t="shared" si="56"/>
        <v>1.5006526965345097</v>
      </c>
      <c r="Q154" s="89">
        <f t="shared" si="56"/>
        <v>1.5184704332004528</v>
      </c>
      <c r="R154" s="89">
        <f t="shared" si="56"/>
        <v>1.5375842805742534</v>
      </c>
      <c r="S154" s="89">
        <f t="shared" si="56"/>
        <v>1.5573675923165491</v>
      </c>
      <c r="T154" s="89">
        <f t="shared" si="56"/>
        <v>1.5773193013073099</v>
      </c>
      <c r="U154" s="89">
        <f t="shared" si="56"/>
        <v>1.5975024573407244</v>
      </c>
      <c r="V154" s="89">
        <f t="shared" si="56"/>
        <v>1.6186653731625424</v>
      </c>
      <c r="W154" s="89">
        <f t="shared" si="56"/>
        <v>1.6395469603790032</v>
      </c>
      <c r="X154" s="89">
        <f t="shared" si="56"/>
        <v>1.6599292417465346</v>
      </c>
      <c r="Y154" s="89">
        <f t="shared" si="56"/>
        <v>1.6802823562479776</v>
      </c>
      <c r="Z154" s="89">
        <f t="shared" si="56"/>
        <v>1.7003420887713083</v>
      </c>
      <c r="AA154" s="89">
        <f t="shared" si="56"/>
        <v>1.7199337427490036</v>
      </c>
      <c r="AB154" s="89">
        <f t="shared" si="56"/>
        <v>1.7389520810717525</v>
      </c>
      <c r="AC154" s="89">
        <f t="shared" si="56"/>
        <v>1.7575405147126169</v>
      </c>
      <c r="AD154" s="89">
        <f t="shared" si="56"/>
        <v>1.7754783463404293</v>
      </c>
      <c r="AE154" s="89">
        <f t="shared" si="56"/>
        <v>1.7925813145636349</v>
      </c>
      <c r="AF154" s="89">
        <f t="shared" si="56"/>
        <v>1.8087349358469942</v>
      </c>
      <c r="AG154" s="89">
        <f t="shared" si="56"/>
        <v>1.8239991907130588</v>
      </c>
      <c r="AH154" s="89">
        <f t="shared" si="56"/>
        <v>1.8387538524214881</v>
      </c>
      <c r="AI154" s="89">
        <f t="shared" si="56"/>
        <v>1.853043304154772</v>
      </c>
      <c r="AJ154" s="89">
        <f t="shared" si="56"/>
        <v>1.8670888550514568</v>
      </c>
      <c r="AK154" s="89">
        <f t="shared" si="56"/>
        <v>1.8806808887224522</v>
      </c>
      <c r="AL154" s="89">
        <f t="shared" si="56"/>
        <v>1.8934598794913682</v>
      </c>
      <c r="AM154" s="89">
        <f t="shared" si="56"/>
        <v>1.9052449550270223</v>
      </c>
      <c r="AN154" s="89">
        <f t="shared" si="56"/>
        <v>1.9158975943951808</v>
      </c>
      <c r="AO154" s="89">
        <f t="shared" si="56"/>
        <v>1.925340754118561</v>
      </c>
      <c r="AP154" s="89">
        <f t="shared" si="56"/>
        <v>1.9335165260942104</v>
      </c>
      <c r="AQ154" s="89">
        <f t="shared" si="56"/>
        <v>1.9410523786820297</v>
      </c>
      <c r="AR154" s="89">
        <f t="shared" si="56"/>
        <v>1.9484936480193076</v>
      </c>
      <c r="AS154" s="89">
        <f t="shared" si="56"/>
        <v>1.9562111291598647</v>
      </c>
      <c r="AT154" s="89">
        <f t="shared" si="56"/>
        <v>1.9618863886446081</v>
      </c>
      <c r="AU154" s="89">
        <f t="shared" si="56"/>
        <v>1.9662613044961985</v>
      </c>
      <c r="AV154" s="89">
        <f t="shared" si="56"/>
        <v>1.9698092586347051</v>
      </c>
      <c r="AW154" s="89">
        <f t="shared" si="56"/>
        <v>1.9713074140650955</v>
      </c>
      <c r="AX154" s="89">
        <f t="shared" si="56"/>
        <v>1.9717120038637499</v>
      </c>
      <c r="AY154" s="89">
        <f t="shared" si="56"/>
        <v>1.9715695622701608</v>
      </c>
      <c r="AZ154" s="89">
        <f t="shared" si="56"/>
        <v>1.9711855673075172</v>
      </c>
      <c r="BA154" s="89">
        <f t="shared" si="56"/>
        <v>1.9707249209274795</v>
      </c>
      <c r="BB154" s="89">
        <f t="shared" si="56"/>
        <v>1.9702716767146273</v>
      </c>
    </row>
    <row r="155" spans="2:54">
      <c r="B155" s="6" t="s">
        <v>15</v>
      </c>
      <c r="C155" s="52"/>
      <c r="D155" s="89">
        <f t="shared" ref="D155:BB155" si="57" xml:space="preserve"> IF(D$152&lt;$C$7,   INDEX($D$60:$D$77,MATCH($B155,$B$60:$B$77,0)),  INDEX($G$60:$G$77,MATCH($B155,$B$60:$B$77,0))   )    *C$13</f>
        <v>30.87555430066493</v>
      </c>
      <c r="E155" s="89">
        <f t="shared" si="57"/>
        <v>31.930894809843799</v>
      </c>
      <c r="F155" s="89">
        <f t="shared" si="57"/>
        <v>32.83413625888975</v>
      </c>
      <c r="G155" s="89">
        <f t="shared" si="57"/>
        <v>33.634949139840394</v>
      </c>
      <c r="H155" s="89">
        <f t="shared" si="57"/>
        <v>25.760727986125421</v>
      </c>
      <c r="I155" s="89">
        <f t="shared" si="57"/>
        <v>22.877933796831734</v>
      </c>
      <c r="J155" s="89">
        <f t="shared" si="57"/>
        <v>21.188459069491032</v>
      </c>
      <c r="K155" s="89">
        <f t="shared" si="57"/>
        <v>20.250387002356035</v>
      </c>
      <c r="L155" s="89">
        <f t="shared" si="57"/>
        <v>19.819325258823284</v>
      </c>
      <c r="M155" s="89">
        <f t="shared" si="57"/>
        <v>19.685161603336532</v>
      </c>
      <c r="N155" s="89">
        <f t="shared" si="57"/>
        <v>19.726222978139734</v>
      </c>
      <c r="O155" s="89">
        <f t="shared" si="57"/>
        <v>19.884727925143306</v>
      </c>
      <c r="P155" s="89">
        <f t="shared" si="57"/>
        <v>20.09634900012151</v>
      </c>
      <c r="Q155" s="89">
        <f t="shared" si="57"/>
        <v>20.334959476254962</v>
      </c>
      <c r="R155" s="89">
        <f t="shared" si="57"/>
        <v>20.590927128494556</v>
      </c>
      <c r="S155" s="89">
        <f t="shared" si="57"/>
        <v>20.855860072719093</v>
      </c>
      <c r="T155" s="89">
        <f t="shared" si="57"/>
        <v>21.12304814891629</v>
      </c>
      <c r="U155" s="89">
        <f t="shared" si="57"/>
        <v>21.393335703463777</v>
      </c>
      <c r="V155" s="89">
        <f t="shared" si="57"/>
        <v>21.676743945222576</v>
      </c>
      <c r="W155" s="89">
        <f t="shared" si="57"/>
        <v>21.956384707770475</v>
      </c>
      <c r="X155" s="89">
        <f t="shared" si="57"/>
        <v>22.2293388967887</v>
      </c>
      <c r="Y155" s="89">
        <f t="shared" si="57"/>
        <v>22.501902490753512</v>
      </c>
      <c r="Z155" s="89">
        <f t="shared" si="57"/>
        <v>22.770537189887357</v>
      </c>
      <c r="AA155" s="89">
        <f t="shared" si="57"/>
        <v>23.032903503381885</v>
      </c>
      <c r="AB155" s="89">
        <f t="shared" si="57"/>
        <v>23.287592123353029</v>
      </c>
      <c r="AC155" s="89">
        <f t="shared" si="57"/>
        <v>23.53652357209868</v>
      </c>
      <c r="AD155" s="89">
        <f t="shared" si="57"/>
        <v>23.776742328597379</v>
      </c>
      <c r="AE155" s="89">
        <f t="shared" si="57"/>
        <v>24.005780812415292</v>
      </c>
      <c r="AF155" s="89">
        <f t="shared" si="57"/>
        <v>24.222105889947123</v>
      </c>
      <c r="AG155" s="89">
        <f t="shared" si="57"/>
        <v>24.426520804686312</v>
      </c>
      <c r="AH155" s="89">
        <f t="shared" si="57"/>
        <v>24.624111380944282</v>
      </c>
      <c r="AI155" s="89">
        <f t="shared" si="57"/>
        <v>24.815471986709774</v>
      </c>
      <c r="AJ155" s="89">
        <f t="shared" si="57"/>
        <v>25.003566336168905</v>
      </c>
      <c r="AK155" s="89">
        <f t="shared" si="57"/>
        <v>25.185587301382586</v>
      </c>
      <c r="AL155" s="89">
        <f t="shared" si="57"/>
        <v>25.356720208386669</v>
      </c>
      <c r="AM155" s="89">
        <f t="shared" si="57"/>
        <v>25.514542862158745</v>
      </c>
      <c r="AN155" s="89">
        <f t="shared" si="57"/>
        <v>25.657200226523813</v>
      </c>
      <c r="AO155" s="89">
        <f t="shared" si="57"/>
        <v>25.783660555354853</v>
      </c>
      <c r="AP155" s="89">
        <f t="shared" si="57"/>
        <v>25.893148358460454</v>
      </c>
      <c r="AQ155" s="89">
        <f t="shared" si="57"/>
        <v>25.99406652824619</v>
      </c>
      <c r="AR155" s="89">
        <f t="shared" si="57"/>
        <v>26.093718063842118</v>
      </c>
      <c r="AS155" s="89">
        <f t="shared" si="57"/>
        <v>26.197068555771832</v>
      </c>
      <c r="AT155" s="89">
        <f t="shared" si="57"/>
        <v>26.273070148635416</v>
      </c>
      <c r="AU155" s="89">
        <f t="shared" si="57"/>
        <v>26.33165787916278</v>
      </c>
      <c r="AV155" s="89">
        <f t="shared" si="57"/>
        <v>26.37917115439862</v>
      </c>
      <c r="AW155" s="89">
        <f t="shared" si="57"/>
        <v>26.399234060662728</v>
      </c>
      <c r="AX155" s="89">
        <f t="shared" si="57"/>
        <v>26.404652221583255</v>
      </c>
      <c r="AY155" s="89">
        <f t="shared" si="57"/>
        <v>26.40274468096209</v>
      </c>
      <c r="AZ155" s="89">
        <f t="shared" si="57"/>
        <v>26.397602320706852</v>
      </c>
      <c r="BA155" s="89">
        <f t="shared" si="57"/>
        <v>26.39143346468823</v>
      </c>
      <c r="BB155" s="89">
        <f t="shared" si="57"/>
        <v>26.385363736559398</v>
      </c>
    </row>
    <row r="156" spans="2:54" ht="29">
      <c r="B156" s="6" t="s">
        <v>16</v>
      </c>
      <c r="C156" s="52"/>
      <c r="D156" s="89">
        <f t="shared" ref="D156:BB156" si="58" xml:space="preserve"> IF(D$152&lt;$C$7,   INDEX($D$60:$D$77,MATCH($B156,$B$60:$B$77,0)),  INDEX($G$60:$G$77,MATCH($B156,$B$60:$B$77,0))   )    *C$13</f>
        <v>427.80469362906757</v>
      </c>
      <c r="E156" s="89">
        <f t="shared" si="58"/>
        <v>442.42725291357857</v>
      </c>
      <c r="F156" s="89">
        <f t="shared" si="58"/>
        <v>454.94236203904796</v>
      </c>
      <c r="G156" s="89">
        <f t="shared" si="58"/>
        <v>466.03824410332311</v>
      </c>
      <c r="H156" s="89">
        <f t="shared" si="58"/>
        <v>356.93481763755079</v>
      </c>
      <c r="I156" s="89">
        <f t="shared" si="58"/>
        <v>316.99147369182333</v>
      </c>
      <c r="J156" s="89">
        <f t="shared" si="58"/>
        <v>293.5824941772928</v>
      </c>
      <c r="K156" s="89">
        <f t="shared" si="58"/>
        <v>280.58477988932515</v>
      </c>
      <c r="L156" s="89">
        <f t="shared" si="58"/>
        <v>274.61208591494466</v>
      </c>
      <c r="M156" s="89">
        <f t="shared" si="58"/>
        <v>272.75314466411726</v>
      </c>
      <c r="N156" s="89">
        <f t="shared" si="58"/>
        <v>273.32208178170271</v>
      </c>
      <c r="O156" s="89">
        <f t="shared" si="58"/>
        <v>275.51829045965002</v>
      </c>
      <c r="P156" s="89">
        <f t="shared" si="58"/>
        <v>278.45046418728265</v>
      </c>
      <c r="Q156" s="89">
        <f t="shared" si="58"/>
        <v>281.75659694995051</v>
      </c>
      <c r="R156" s="89">
        <f t="shared" si="58"/>
        <v>285.30322681702796</v>
      </c>
      <c r="S156" s="89">
        <f t="shared" si="58"/>
        <v>288.97407774111275</v>
      </c>
      <c r="T156" s="89">
        <f t="shared" si="58"/>
        <v>292.67617526350182</v>
      </c>
      <c r="U156" s="89">
        <f t="shared" si="58"/>
        <v>296.42121845653844</v>
      </c>
      <c r="V156" s="89">
        <f t="shared" si="58"/>
        <v>300.34805892252371</v>
      </c>
      <c r="W156" s="89">
        <f t="shared" si="58"/>
        <v>304.22269804909723</v>
      </c>
      <c r="X156" s="89">
        <f t="shared" si="58"/>
        <v>308.00468952593354</v>
      </c>
      <c r="Y156" s="89">
        <f t="shared" si="58"/>
        <v>311.78126900609669</v>
      </c>
      <c r="Z156" s="89">
        <f t="shared" si="58"/>
        <v>315.50341060854294</v>
      </c>
      <c r="AA156" s="89">
        <f t="shared" si="58"/>
        <v>319.13869887802986</v>
      </c>
      <c r="AB156" s="89">
        <f t="shared" si="58"/>
        <v>322.66760676342506</v>
      </c>
      <c r="AC156" s="89">
        <f t="shared" si="58"/>
        <v>326.11674458709746</v>
      </c>
      <c r="AD156" s="89">
        <f t="shared" si="58"/>
        <v>329.44516131857193</v>
      </c>
      <c r="AE156" s="89">
        <f t="shared" si="58"/>
        <v>332.61866672174062</v>
      </c>
      <c r="AF156" s="89">
        <f t="shared" si="58"/>
        <v>335.61601804429796</v>
      </c>
      <c r="AG156" s="89">
        <f t="shared" si="58"/>
        <v>338.44834484632491</v>
      </c>
      <c r="AH156" s="89">
        <f t="shared" si="58"/>
        <v>341.18611515862051</v>
      </c>
      <c r="AI156" s="89">
        <f t="shared" si="58"/>
        <v>343.83756440953857</v>
      </c>
      <c r="AJ156" s="89">
        <f t="shared" si="58"/>
        <v>346.44375715218968</v>
      </c>
      <c r="AK156" s="89">
        <f t="shared" si="58"/>
        <v>348.9657984570685</v>
      </c>
      <c r="AL156" s="89">
        <f t="shared" si="58"/>
        <v>351.33697729122974</v>
      </c>
      <c r="AM156" s="89">
        <f t="shared" si="58"/>
        <v>353.5237322685561</v>
      </c>
      <c r="AN156" s="89">
        <f t="shared" si="58"/>
        <v>355.50036042757881</v>
      </c>
      <c r="AO156" s="89">
        <f t="shared" si="58"/>
        <v>357.25256612743334</v>
      </c>
      <c r="AP156" s="89">
        <f t="shared" si="58"/>
        <v>358.76960435151159</v>
      </c>
      <c r="AQ156" s="89">
        <f t="shared" si="58"/>
        <v>360.16790367551312</v>
      </c>
      <c r="AR156" s="89">
        <f t="shared" si="58"/>
        <v>361.54865280280455</v>
      </c>
      <c r="AS156" s="89">
        <f t="shared" si="58"/>
        <v>362.98065383202828</v>
      </c>
      <c r="AT156" s="89">
        <f t="shared" si="58"/>
        <v>364.03371470451361</v>
      </c>
      <c r="AU156" s="89">
        <f t="shared" si="58"/>
        <v>364.84549304101267</v>
      </c>
      <c r="AV156" s="89">
        <f t="shared" si="58"/>
        <v>365.50382623100649</v>
      </c>
      <c r="AW156" s="89">
        <f t="shared" si="58"/>
        <v>365.7818133202112</v>
      </c>
      <c r="AX156" s="89">
        <f t="shared" si="58"/>
        <v>365.85688613186244</v>
      </c>
      <c r="AY156" s="89">
        <f t="shared" si="58"/>
        <v>365.83045568066865</v>
      </c>
      <c r="AZ156" s="89">
        <f t="shared" si="58"/>
        <v>365.75920430062541</v>
      </c>
      <c r="BA156" s="89">
        <f t="shared" si="58"/>
        <v>365.67373002756818</v>
      </c>
      <c r="BB156" s="89">
        <f t="shared" si="58"/>
        <v>365.58962924812045</v>
      </c>
    </row>
    <row r="157" spans="2:54">
      <c r="B157" s="6" t="s">
        <v>103</v>
      </c>
      <c r="C157" s="52"/>
      <c r="D157" s="89">
        <f t="shared" ref="D157:BB157" si="59" xml:space="preserve"> IF(D$152&lt;$C$7,   INDEX($D$60:$D$77,MATCH($B157,$B$60:$B$77,0)),  INDEX($G$60:$G$77,MATCH($B157,$B$60:$B$77,0))   )    *C$13</f>
        <v>75.422106332568987</v>
      </c>
      <c r="E157" s="89">
        <f t="shared" si="59"/>
        <v>78.000068280239745</v>
      </c>
      <c r="F157" s="89">
        <f t="shared" si="59"/>
        <v>80.206486080889889</v>
      </c>
      <c r="G157" s="89">
        <f t="shared" si="59"/>
        <v>82.162693690035539</v>
      </c>
      <c r="H157" s="89">
        <f t="shared" si="59"/>
        <v>62.927724194156248</v>
      </c>
      <c r="I157" s="89">
        <f t="shared" si="59"/>
        <v>55.88569969274873</v>
      </c>
      <c r="J157" s="89">
        <f t="shared" si="59"/>
        <v>51.758689006856876</v>
      </c>
      <c r="K157" s="89">
        <f t="shared" si="59"/>
        <v>49.467187759426814</v>
      </c>
      <c r="L157" s="89">
        <f t="shared" si="59"/>
        <v>48.414199873281248</v>
      </c>
      <c r="M157" s="89">
        <f t="shared" si="59"/>
        <v>48.086467927433389</v>
      </c>
      <c r="N157" s="89">
        <f t="shared" si="59"/>
        <v>48.186771725914575</v>
      </c>
      <c r="O157" s="89">
        <f t="shared" si="59"/>
        <v>48.573964028625198</v>
      </c>
      <c r="P157" s="89">
        <f t="shared" si="59"/>
        <v>49.090907208455818</v>
      </c>
      <c r="Q157" s="89">
        <f t="shared" si="59"/>
        <v>49.673779487533082</v>
      </c>
      <c r="R157" s="89">
        <f t="shared" si="59"/>
        <v>50.299051484172082</v>
      </c>
      <c r="S157" s="89">
        <f t="shared" si="59"/>
        <v>50.946223693477911</v>
      </c>
      <c r="T157" s="89">
        <f t="shared" si="59"/>
        <v>51.598904688206012</v>
      </c>
      <c r="U157" s="89">
        <f t="shared" si="59"/>
        <v>52.259157018607468</v>
      </c>
      <c r="V157" s="89">
        <f t="shared" si="59"/>
        <v>52.951460267232811</v>
      </c>
      <c r="W157" s="89">
        <f t="shared" si="59"/>
        <v>53.634560402777723</v>
      </c>
      <c r="X157" s="89">
        <f t="shared" si="59"/>
        <v>54.301326727604774</v>
      </c>
      <c r="Y157" s="89">
        <f t="shared" si="59"/>
        <v>54.967138915661863</v>
      </c>
      <c r="Z157" s="89">
        <f t="shared" si="59"/>
        <v>55.623353688209427</v>
      </c>
      <c r="AA157" s="89">
        <f t="shared" si="59"/>
        <v>56.264256189967661</v>
      </c>
      <c r="AB157" s="89">
        <f t="shared" si="59"/>
        <v>56.886403795484334</v>
      </c>
      <c r="AC157" s="89">
        <f t="shared" si="59"/>
        <v>57.494487913229577</v>
      </c>
      <c r="AD157" s="89">
        <f t="shared" si="59"/>
        <v>58.081288863239799</v>
      </c>
      <c r="AE157" s="89">
        <f t="shared" si="59"/>
        <v>58.640778895792607</v>
      </c>
      <c r="AF157" s="89">
        <f t="shared" si="59"/>
        <v>59.169212906762105</v>
      </c>
      <c r="AG157" s="89">
        <f t="shared" si="59"/>
        <v>59.668553041202713</v>
      </c>
      <c r="AH157" s="89">
        <f t="shared" si="59"/>
        <v>60.151222835814984</v>
      </c>
      <c r="AI157" s="89">
        <f t="shared" si="59"/>
        <v>60.618674199290552</v>
      </c>
      <c r="AJ157" s="89">
        <f t="shared" si="59"/>
        <v>61.078146825670458</v>
      </c>
      <c r="AK157" s="89">
        <f t="shared" si="59"/>
        <v>61.522783526259424</v>
      </c>
      <c r="AL157" s="89">
        <f t="shared" si="59"/>
        <v>61.940823124297857</v>
      </c>
      <c r="AM157" s="89">
        <f t="shared" si="59"/>
        <v>62.326348736520764</v>
      </c>
      <c r="AN157" s="89">
        <f t="shared" si="59"/>
        <v>62.674828922479229</v>
      </c>
      <c r="AO157" s="89">
        <f t="shared" si="59"/>
        <v>62.983743356049118</v>
      </c>
      <c r="AP157" s="89">
        <f t="shared" si="59"/>
        <v>63.251197687315077</v>
      </c>
      <c r="AQ157" s="89">
        <f t="shared" si="59"/>
        <v>63.497718311960313</v>
      </c>
      <c r="AR157" s="89">
        <f t="shared" si="59"/>
        <v>63.741144831229576</v>
      </c>
      <c r="AS157" s="89">
        <f t="shared" si="59"/>
        <v>63.993607077443514</v>
      </c>
      <c r="AT157" s="89">
        <f t="shared" si="59"/>
        <v>64.179262051037895</v>
      </c>
      <c r="AU157" s="89">
        <f t="shared" si="59"/>
        <v>64.322378835228662</v>
      </c>
      <c r="AV157" s="89">
        <f t="shared" si="59"/>
        <v>64.438443190289306</v>
      </c>
      <c r="AW157" s="89">
        <f t="shared" si="59"/>
        <v>64.487452404337944</v>
      </c>
      <c r="AX157" s="89">
        <f t="shared" si="59"/>
        <v>64.500687765397231</v>
      </c>
      <c r="AY157" s="89">
        <f t="shared" si="59"/>
        <v>64.496028068273674</v>
      </c>
      <c r="AZ157" s="89">
        <f t="shared" si="59"/>
        <v>64.483466426847116</v>
      </c>
      <c r="BA157" s="89">
        <f t="shared" si="59"/>
        <v>64.468397284766098</v>
      </c>
      <c r="BB157" s="89">
        <f t="shared" si="59"/>
        <v>64.453570290054216</v>
      </c>
    </row>
    <row r="158" spans="2:54">
      <c r="B158" s="6" t="s">
        <v>104</v>
      </c>
      <c r="C158" s="52"/>
      <c r="D158" s="89">
        <f t="shared" ref="D158:BB158" si="60" xml:space="preserve"> IF(D$152&lt;$C$7,   INDEX($D$60:$D$77,MATCH($B158,$B$60:$B$77,0)),  INDEX($G$60:$G$77,MATCH($B158,$B$60:$B$77,0))   )    *C$13</f>
        <v>1961.490924745518</v>
      </c>
      <c r="E158" s="89">
        <f t="shared" si="60"/>
        <v>2028.5355779722322</v>
      </c>
      <c r="F158" s="89">
        <f t="shared" si="60"/>
        <v>2085.9175406701283</v>
      </c>
      <c r="G158" s="89">
        <f t="shared" si="60"/>
        <v>2136.7923260458897</v>
      </c>
      <c r="H158" s="89">
        <f t="shared" si="60"/>
        <v>1636.551482365928</v>
      </c>
      <c r="I158" s="89">
        <f t="shared" si="60"/>
        <v>1453.41065240237</v>
      </c>
      <c r="J158" s="89">
        <f t="shared" si="60"/>
        <v>1346.080130883787</v>
      </c>
      <c r="K158" s="89">
        <f t="shared" si="60"/>
        <v>1286.485416290989</v>
      </c>
      <c r="L158" s="89">
        <f t="shared" si="60"/>
        <v>1259.1005250041542</v>
      </c>
      <c r="M158" s="89">
        <f t="shared" si="60"/>
        <v>1250.5772515398044</v>
      </c>
      <c r="N158" s="89">
        <f t="shared" si="60"/>
        <v>1253.1858367412149</v>
      </c>
      <c r="O158" s="89">
        <f t="shared" si="60"/>
        <v>1263.2554864079764</v>
      </c>
      <c r="P158" s="89">
        <f t="shared" si="60"/>
        <v>1276.6995468453206</v>
      </c>
      <c r="Q158" s="89">
        <f t="shared" si="60"/>
        <v>1291.8582150566601</v>
      </c>
      <c r="R158" s="89">
        <f t="shared" si="60"/>
        <v>1308.1195660920832</v>
      </c>
      <c r="S158" s="89">
        <f t="shared" si="60"/>
        <v>1324.9504725335375</v>
      </c>
      <c r="T158" s="89">
        <f t="shared" si="60"/>
        <v>1341.9246450959952</v>
      </c>
      <c r="U158" s="89">
        <f t="shared" si="60"/>
        <v>1359.0957242012905</v>
      </c>
      <c r="V158" s="89">
        <f t="shared" si="60"/>
        <v>1377.1003465246538</v>
      </c>
      <c r="W158" s="89">
        <f t="shared" si="60"/>
        <v>1394.8656249253336</v>
      </c>
      <c r="X158" s="89">
        <f t="shared" si="60"/>
        <v>1412.2061124649852</v>
      </c>
      <c r="Y158" s="89">
        <f t="shared" si="60"/>
        <v>1429.5217859188699</v>
      </c>
      <c r="Z158" s="89">
        <f t="shared" si="60"/>
        <v>1446.5878608884595</v>
      </c>
      <c r="AA158" s="89">
        <f t="shared" si="60"/>
        <v>1463.255712026192</v>
      </c>
      <c r="AB158" s="89">
        <f t="shared" si="60"/>
        <v>1479.4358075102946</v>
      </c>
      <c r="AC158" s="89">
        <f t="shared" si="60"/>
        <v>1495.2501560671992</v>
      </c>
      <c r="AD158" s="89">
        <f t="shared" si="60"/>
        <v>1510.5109966091195</v>
      </c>
      <c r="AE158" s="89">
        <f t="shared" si="60"/>
        <v>1525.0615663916558</v>
      </c>
      <c r="AF158" s="89">
        <f t="shared" si="60"/>
        <v>1538.8044670774718</v>
      </c>
      <c r="AG158" s="89">
        <f t="shared" si="60"/>
        <v>1551.7907278661539</v>
      </c>
      <c r="AH158" s="89">
        <f t="shared" si="60"/>
        <v>1564.3434457338585</v>
      </c>
      <c r="AI158" s="89">
        <f t="shared" si="60"/>
        <v>1576.5003802428766</v>
      </c>
      <c r="AJ158" s="89">
        <f t="shared" si="60"/>
        <v>1588.4498129839774</v>
      </c>
      <c r="AK158" s="89">
        <f t="shared" si="60"/>
        <v>1600.0134101231019</v>
      </c>
      <c r="AL158" s="89">
        <f t="shared" si="60"/>
        <v>1610.8853005754979</v>
      </c>
      <c r="AM158" s="89">
        <f t="shared" si="60"/>
        <v>1620.9116048833855</v>
      </c>
      <c r="AN158" s="89">
        <f t="shared" si="60"/>
        <v>1629.9744745836447</v>
      </c>
      <c r="AO158" s="89">
        <f t="shared" si="60"/>
        <v>1638.008363948898</v>
      </c>
      <c r="AP158" s="89">
        <f t="shared" si="60"/>
        <v>1644.9640069171392</v>
      </c>
      <c r="AQ158" s="89">
        <f t="shared" si="60"/>
        <v>1651.3752302509458</v>
      </c>
      <c r="AR158" s="89">
        <f t="shared" si="60"/>
        <v>1657.7059856701017</v>
      </c>
      <c r="AS158" s="89">
        <f t="shared" si="60"/>
        <v>1664.2717318268842</v>
      </c>
      <c r="AT158" s="89">
        <f t="shared" si="60"/>
        <v>1669.100031692092</v>
      </c>
      <c r="AU158" s="89">
        <f t="shared" si="60"/>
        <v>1672.8220475176795</v>
      </c>
      <c r="AV158" s="89">
        <f t="shared" si="60"/>
        <v>1675.8405150493872</v>
      </c>
      <c r="AW158" s="89">
        <f t="shared" si="60"/>
        <v>1677.1150900150008</v>
      </c>
      <c r="AX158" s="89">
        <f t="shared" si="60"/>
        <v>1677.4592999803001</v>
      </c>
      <c r="AY158" s="89">
        <f t="shared" si="60"/>
        <v>1677.3381159658993</v>
      </c>
      <c r="AZ158" s="89">
        <f t="shared" si="60"/>
        <v>1677.0114273217314</v>
      </c>
      <c r="BA158" s="89">
        <f t="shared" si="60"/>
        <v>1676.61952650017</v>
      </c>
      <c r="BB158" s="89">
        <f t="shared" si="60"/>
        <v>1676.2339231673702</v>
      </c>
    </row>
    <row r="159" spans="2:54">
      <c r="B159" s="6" t="s">
        <v>17</v>
      </c>
      <c r="C159" s="52"/>
      <c r="D159" s="89">
        <f t="shared" ref="D159:BB159" si="61" xml:space="preserve"> IF(D$152&lt;$C$7,   INDEX($D$60:$D$77,MATCH($B159,$B$60:$B$77,0)),  INDEX($G$60:$G$77,MATCH($B159,$B$60:$B$77,0))   )    *C$13</f>
        <v>24637.934639404237</v>
      </c>
      <c r="E159" s="89">
        <f t="shared" si="61"/>
        <v>25480.070467453312</v>
      </c>
      <c r="F159" s="89">
        <f t="shared" si="61"/>
        <v>26200.834978058898</v>
      </c>
      <c r="G159" s="89">
        <f t="shared" si="61"/>
        <v>26839.864004942796</v>
      </c>
      <c r="H159" s="89">
        <f t="shared" si="61"/>
        <v>20556.428759303639</v>
      </c>
      <c r="I159" s="89">
        <f t="shared" si="61"/>
        <v>18256.029740616465</v>
      </c>
      <c r="J159" s="89">
        <f t="shared" si="61"/>
        <v>16907.870368259897</v>
      </c>
      <c r="K159" s="89">
        <f t="shared" si="61"/>
        <v>16159.311879169869</v>
      </c>
      <c r="L159" s="89">
        <f t="shared" si="61"/>
        <v>15815.335186175605</v>
      </c>
      <c r="M159" s="89">
        <f t="shared" si="61"/>
        <v>15708.275881501195</v>
      </c>
      <c r="N159" s="89">
        <f t="shared" si="61"/>
        <v>15741.041850939471</v>
      </c>
      <c r="O159" s="89">
        <f t="shared" si="61"/>
        <v>15867.524908903943</v>
      </c>
      <c r="P159" s="89">
        <f t="shared" si="61"/>
        <v>16036.39333351134</v>
      </c>
      <c r="Q159" s="89">
        <f t="shared" si="61"/>
        <v>16226.798637915108</v>
      </c>
      <c r="R159" s="89">
        <f t="shared" si="61"/>
        <v>16431.054542902861</v>
      </c>
      <c r="S159" s="89">
        <f t="shared" si="61"/>
        <v>16642.46453088447</v>
      </c>
      <c r="T159" s="89">
        <f t="shared" si="61"/>
        <v>16855.674058838853</v>
      </c>
      <c r="U159" s="89">
        <f t="shared" si="61"/>
        <v>17071.356894454922</v>
      </c>
      <c r="V159" s="89">
        <f t="shared" si="61"/>
        <v>17297.509716481229</v>
      </c>
      <c r="W159" s="89">
        <f t="shared" si="61"/>
        <v>17520.65618255196</v>
      </c>
      <c r="X159" s="89">
        <f t="shared" si="61"/>
        <v>17738.466927035912</v>
      </c>
      <c r="Y159" s="89">
        <f t="shared" si="61"/>
        <v>17955.96598625253</v>
      </c>
      <c r="Z159" s="89">
        <f t="shared" si="61"/>
        <v>18170.329883809929</v>
      </c>
      <c r="AA159" s="89">
        <f t="shared" si="61"/>
        <v>18379.691763454644</v>
      </c>
      <c r="AB159" s="89">
        <f t="shared" si="61"/>
        <v>18582.92703207989</v>
      </c>
      <c r="AC159" s="89">
        <f t="shared" si="61"/>
        <v>18781.568219349378</v>
      </c>
      <c r="AD159" s="89">
        <f t="shared" si="61"/>
        <v>18973.256892017074</v>
      </c>
      <c r="AE159" s="89">
        <f t="shared" si="61"/>
        <v>19156.023981451726</v>
      </c>
      <c r="AF159" s="89">
        <f t="shared" si="61"/>
        <v>19328.646084659715</v>
      </c>
      <c r="AG159" s="89">
        <f t="shared" si="61"/>
        <v>19491.764170237053</v>
      </c>
      <c r="AH159" s="89">
        <f t="shared" si="61"/>
        <v>19649.436601177062</v>
      </c>
      <c r="AI159" s="89">
        <f t="shared" si="61"/>
        <v>19802.137668548843</v>
      </c>
      <c r="AJ159" s="89">
        <f t="shared" si="61"/>
        <v>19952.232343542761</v>
      </c>
      <c r="AK159" s="89">
        <f t="shared" si="61"/>
        <v>20097.480606950921</v>
      </c>
      <c r="AL159" s="89">
        <f t="shared" si="61"/>
        <v>20234.040467103037</v>
      </c>
      <c r="AM159" s="89">
        <f t="shared" si="61"/>
        <v>20359.979071812391</v>
      </c>
      <c r="AN159" s="89">
        <f t="shared" si="61"/>
        <v>20473.816147734316</v>
      </c>
      <c r="AO159" s="89">
        <f t="shared" si="61"/>
        <v>20574.728386778705</v>
      </c>
      <c r="AP159" s="89">
        <f t="shared" si="61"/>
        <v>20662.096966803507</v>
      </c>
      <c r="AQ159" s="89">
        <f t="shared" si="61"/>
        <v>20742.62718973964</v>
      </c>
      <c r="AR159" s="89">
        <f t="shared" si="61"/>
        <v>20822.146669675774</v>
      </c>
      <c r="AS159" s="89">
        <f t="shared" si="61"/>
        <v>20904.617825993115</v>
      </c>
      <c r="AT159" s="89">
        <f t="shared" si="61"/>
        <v>20965.265232003349</v>
      </c>
      <c r="AU159" s="89">
        <f t="shared" si="61"/>
        <v>21012.016803209091</v>
      </c>
      <c r="AV159" s="89">
        <f t="shared" si="61"/>
        <v>21049.931230861632</v>
      </c>
      <c r="AW159" s="89">
        <f t="shared" si="61"/>
        <v>21065.940937712494</v>
      </c>
      <c r="AX159" s="89">
        <f t="shared" si="61"/>
        <v>21070.26449716428</v>
      </c>
      <c r="AY159" s="89">
        <f t="shared" si="61"/>
        <v>21068.742326560034</v>
      </c>
      <c r="AZ159" s="89">
        <f t="shared" si="61"/>
        <v>21064.638849270945</v>
      </c>
      <c r="BA159" s="89">
        <f t="shared" si="61"/>
        <v>21059.716253553095</v>
      </c>
      <c r="BB159" s="89">
        <f t="shared" si="61"/>
        <v>21054.872759458678</v>
      </c>
    </row>
    <row r="160" spans="2:54" ht="29">
      <c r="B160" s="6" t="s">
        <v>106</v>
      </c>
      <c r="C160" s="52"/>
      <c r="D160" s="89">
        <f t="shared" ref="D160:BB160" si="62" xml:space="preserve"> IF(D$152&lt;$C$7,   INDEX($D$60:$D$77,MATCH($B160,$B$60:$B$77,0)),  INDEX($G$60:$G$77,MATCH($B160,$B$60:$B$77,0))   )    *C$13</f>
        <v>7640.0426410421478</v>
      </c>
      <c r="E160" s="89">
        <f t="shared" si="62"/>
        <v>7901.182778395797</v>
      </c>
      <c r="F160" s="89">
        <f t="shared" si="62"/>
        <v>8124.6865613131176</v>
      </c>
      <c r="G160" s="89">
        <f t="shared" si="62"/>
        <v>8322.8447708266867</v>
      </c>
      <c r="H160" s="89">
        <f t="shared" si="62"/>
        <v>6374.3976338603743</v>
      </c>
      <c r="I160" s="89">
        <f t="shared" si="62"/>
        <v>5661.0607875943306</v>
      </c>
      <c r="J160" s="89">
        <f t="shared" si="62"/>
        <v>5243.0064643536289</v>
      </c>
      <c r="K160" s="89">
        <f t="shared" si="62"/>
        <v>5010.8839727704553</v>
      </c>
      <c r="L160" s="89">
        <f t="shared" si="62"/>
        <v>4904.219325734749</v>
      </c>
      <c r="M160" s="89">
        <f t="shared" si="62"/>
        <v>4871.021021379941</v>
      </c>
      <c r="N160" s="89">
        <f t="shared" si="62"/>
        <v>4881.1815079364378</v>
      </c>
      <c r="O160" s="89">
        <f t="shared" si="62"/>
        <v>4920.4029755781476</v>
      </c>
      <c r="P160" s="89">
        <f t="shared" si="62"/>
        <v>4972.7678342243244</v>
      </c>
      <c r="Q160" s="89">
        <f t="shared" si="62"/>
        <v>5031.8111211725263</v>
      </c>
      <c r="R160" s="89">
        <f t="shared" si="62"/>
        <v>5095.1493776713196</v>
      </c>
      <c r="S160" s="89">
        <f t="shared" si="62"/>
        <v>5160.7060627815436</v>
      </c>
      <c r="T160" s="89">
        <f t="shared" si="62"/>
        <v>5226.8207720251803</v>
      </c>
      <c r="U160" s="89">
        <f t="shared" si="62"/>
        <v>5293.7024358157914</v>
      </c>
      <c r="V160" s="89">
        <f t="shared" si="62"/>
        <v>5363.8307655220333</v>
      </c>
      <c r="W160" s="89">
        <f t="shared" si="62"/>
        <v>5433.026846318985</v>
      </c>
      <c r="X160" s="89">
        <f t="shared" si="62"/>
        <v>5500.5683590265126</v>
      </c>
      <c r="Y160" s="89">
        <f t="shared" si="62"/>
        <v>5568.0132204210176</v>
      </c>
      <c r="Z160" s="89">
        <f t="shared" si="62"/>
        <v>5634.4858912032196</v>
      </c>
      <c r="AA160" s="89">
        <f t="shared" si="62"/>
        <v>5699.407472955294</v>
      </c>
      <c r="AB160" s="89">
        <f t="shared" si="62"/>
        <v>5762.4292376115418</v>
      </c>
      <c r="AC160" s="89">
        <f t="shared" si="62"/>
        <v>5824.0264113689127</v>
      </c>
      <c r="AD160" s="89">
        <f t="shared" si="62"/>
        <v>5883.4676613933261</v>
      </c>
      <c r="AE160" s="89">
        <f t="shared" si="62"/>
        <v>5940.142393959045</v>
      </c>
      <c r="AF160" s="89">
        <f t="shared" si="62"/>
        <v>5993.6712407799205</v>
      </c>
      <c r="AG160" s="89">
        <f t="shared" si="62"/>
        <v>6044.2529615116118</v>
      </c>
      <c r="AH160" s="89">
        <f t="shared" si="62"/>
        <v>6093.1460247220257</v>
      </c>
      <c r="AI160" s="89">
        <f t="shared" si="62"/>
        <v>6140.4975045894662</v>
      </c>
      <c r="AJ160" s="89">
        <f t="shared" si="62"/>
        <v>6187.0407613165498</v>
      </c>
      <c r="AK160" s="89">
        <f t="shared" si="62"/>
        <v>6232.0811813930313</v>
      </c>
      <c r="AL160" s="89">
        <f t="shared" si="62"/>
        <v>6274.4273914096902</v>
      </c>
      <c r="AM160" s="89">
        <f t="shared" si="62"/>
        <v>6313.4800280943409</v>
      </c>
      <c r="AN160" s="89">
        <f t="shared" si="62"/>
        <v>6348.780069550904</v>
      </c>
      <c r="AO160" s="89">
        <f t="shared" si="62"/>
        <v>6380.0722139853287</v>
      </c>
      <c r="AP160" s="89">
        <f t="shared" si="62"/>
        <v>6407.1645691947324</v>
      </c>
      <c r="AQ160" s="89">
        <f t="shared" si="62"/>
        <v>6432.1364000778567</v>
      </c>
      <c r="AR160" s="89">
        <f t="shared" si="62"/>
        <v>6456.794806977513</v>
      </c>
      <c r="AS160" s="89">
        <f t="shared" si="62"/>
        <v>6482.3685070519014</v>
      </c>
      <c r="AT160" s="89">
        <f t="shared" si="62"/>
        <v>6501.1748223850773</v>
      </c>
      <c r="AU160" s="89">
        <f t="shared" si="62"/>
        <v>6515.6721413679888</v>
      </c>
      <c r="AV160" s="89">
        <f t="shared" si="62"/>
        <v>6527.4291270169742</v>
      </c>
      <c r="AW160" s="89">
        <f t="shared" si="62"/>
        <v>6532.3936195688611</v>
      </c>
      <c r="AX160" s="89">
        <f t="shared" si="62"/>
        <v>6533.7343236114757</v>
      </c>
      <c r="AY160" s="89">
        <f t="shared" si="62"/>
        <v>6533.2623096828083</v>
      </c>
      <c r="AZ160" s="89">
        <f t="shared" si="62"/>
        <v>6531.9898515030127</v>
      </c>
      <c r="BA160" s="89">
        <f t="shared" si="62"/>
        <v>6530.4633907123889</v>
      </c>
      <c r="BB160" s="89">
        <f t="shared" si="62"/>
        <v>6528.961458754432</v>
      </c>
    </row>
    <row r="161" spans="1:54" ht="29">
      <c r="B161" s="6" t="s">
        <v>107</v>
      </c>
      <c r="C161" s="52"/>
      <c r="D161" s="89">
        <f t="shared" ref="D161:BB161" si="63" xml:space="preserve"> IF(D$152&lt;$C$7,   INDEX($D$60:$D$77,MATCH($B161,$B$60:$B$77,0)),  INDEX($G$60:$G$77,MATCH($B161,$B$60:$B$77,0))   )    *C$13</f>
        <v>4948.9138533069918</v>
      </c>
      <c r="E161" s="89">
        <f t="shared" si="63"/>
        <v>5118.06998294185</v>
      </c>
      <c r="F161" s="89">
        <f t="shared" si="63"/>
        <v>5262.846788453915</v>
      </c>
      <c r="G161" s="89">
        <f t="shared" si="63"/>
        <v>5391.2057458948175</v>
      </c>
      <c r="H161" s="89">
        <f t="shared" si="63"/>
        <v>4129.0796712616002</v>
      </c>
      <c r="I161" s="89">
        <f t="shared" si="63"/>
        <v>3667.0086113965731</v>
      </c>
      <c r="J161" s="89">
        <f t="shared" si="63"/>
        <v>3396.209752158979</v>
      </c>
      <c r="K161" s="89">
        <f t="shared" si="63"/>
        <v>3245.8500921108771</v>
      </c>
      <c r="L161" s="89">
        <f t="shared" si="63"/>
        <v>3176.7570026904887</v>
      </c>
      <c r="M161" s="89">
        <f t="shared" si="63"/>
        <v>3155.2524697909962</v>
      </c>
      <c r="N161" s="89">
        <f t="shared" si="63"/>
        <v>3161.8340263396035</v>
      </c>
      <c r="O161" s="89">
        <f t="shared" si="63"/>
        <v>3187.2401233574878</v>
      </c>
      <c r="P161" s="89">
        <f t="shared" si="63"/>
        <v>3221.1599830436603</v>
      </c>
      <c r="Q161" s="89">
        <f t="shared" si="63"/>
        <v>3259.4058613000257</v>
      </c>
      <c r="R161" s="89">
        <f t="shared" si="63"/>
        <v>3300.4338489381198</v>
      </c>
      <c r="S161" s="89">
        <f t="shared" si="63"/>
        <v>3342.8988458448148</v>
      </c>
      <c r="T161" s="89">
        <f t="shared" si="63"/>
        <v>3385.7253084519089</v>
      </c>
      <c r="U161" s="89">
        <f t="shared" si="63"/>
        <v>3429.0485735195011</v>
      </c>
      <c r="V161" s="89">
        <f t="shared" si="63"/>
        <v>3474.4748988292718</v>
      </c>
      <c r="W161" s="89">
        <f t="shared" si="63"/>
        <v>3519.297350606043</v>
      </c>
      <c r="X161" s="89">
        <f t="shared" si="63"/>
        <v>3563.0480393935595</v>
      </c>
      <c r="Y161" s="89">
        <f t="shared" si="63"/>
        <v>3606.7361213286763</v>
      </c>
      <c r="Z161" s="89">
        <f t="shared" si="63"/>
        <v>3649.7944570941272</v>
      </c>
      <c r="AA161" s="89">
        <f t="shared" si="63"/>
        <v>3691.8480594635007</v>
      </c>
      <c r="AB161" s="89">
        <f t="shared" si="63"/>
        <v>3732.6710363526213</v>
      </c>
      <c r="AC161" s="89">
        <f t="shared" si="63"/>
        <v>3772.5712202723835</v>
      </c>
      <c r="AD161" s="89">
        <f t="shared" si="63"/>
        <v>3811.0748830822517</v>
      </c>
      <c r="AE161" s="89">
        <f t="shared" si="63"/>
        <v>3847.786506603858</v>
      </c>
      <c r="AF161" s="89">
        <f t="shared" si="63"/>
        <v>3882.4603512445005</v>
      </c>
      <c r="AG161" s="89">
        <f t="shared" si="63"/>
        <v>3915.2251655543623</v>
      </c>
      <c r="AH161" s="89">
        <f t="shared" si="63"/>
        <v>3946.8961351053417</v>
      </c>
      <c r="AI161" s="89">
        <f t="shared" si="63"/>
        <v>3977.5685286639464</v>
      </c>
      <c r="AJ161" s="89">
        <f t="shared" si="63"/>
        <v>4007.7173876189095</v>
      </c>
      <c r="AK161" s="89">
        <f t="shared" si="63"/>
        <v>4036.8927691380973</v>
      </c>
      <c r="AL161" s="89">
        <f t="shared" si="63"/>
        <v>4064.3229492081268</v>
      </c>
      <c r="AM161" s="89">
        <f t="shared" si="63"/>
        <v>4089.6196842889758</v>
      </c>
      <c r="AN161" s="89">
        <f t="shared" si="63"/>
        <v>4112.4856383673241</v>
      </c>
      <c r="AO161" s="89">
        <f t="shared" si="63"/>
        <v>4132.7554371586684</v>
      </c>
      <c r="AP161" s="89">
        <f t="shared" si="63"/>
        <v>4150.3047805738825</v>
      </c>
      <c r="AQ161" s="89">
        <f t="shared" si="63"/>
        <v>4166.4805331980951</v>
      </c>
      <c r="AR161" s="89">
        <f t="shared" si="63"/>
        <v>4182.453262309662</v>
      </c>
      <c r="AS161" s="89">
        <f t="shared" si="63"/>
        <v>4199.0188817079852</v>
      </c>
      <c r="AT161" s="89">
        <f t="shared" si="63"/>
        <v>4211.200860115021</v>
      </c>
      <c r="AU161" s="89">
        <f t="shared" si="63"/>
        <v>4220.5916431408814</v>
      </c>
      <c r="AV161" s="89">
        <f t="shared" si="63"/>
        <v>4228.207347906563</v>
      </c>
      <c r="AW161" s="89">
        <f t="shared" si="63"/>
        <v>4231.4231474929011</v>
      </c>
      <c r="AX161" s="89">
        <f t="shared" si="63"/>
        <v>4232.2916019140894</v>
      </c>
      <c r="AY161" s="89">
        <f t="shared" si="63"/>
        <v>4231.9858501820263</v>
      </c>
      <c r="AZ161" s="89">
        <f t="shared" si="63"/>
        <v>4231.1616026994379</v>
      </c>
      <c r="BA161" s="89">
        <f t="shared" si="63"/>
        <v>4230.1728224912404</v>
      </c>
      <c r="BB161" s="89">
        <f t="shared" si="63"/>
        <v>4229.1999310791525</v>
      </c>
    </row>
    <row r="162" spans="1:54">
      <c r="B162" s="6" t="s">
        <v>2863</v>
      </c>
      <c r="C162" s="52"/>
      <c r="D162" s="89">
        <f t="shared" ref="D162:BB162" si="64" xml:space="preserve"> IF(D$152&lt;$C$7,   INDEX($D$60:$D$77,MATCH($B162,$B$60:$B$77,0)),  INDEX($G$60:$G$77,MATCH($B162,$B$60:$B$77,0))   )    *C$13</f>
        <v>9006.3026946107784</v>
      </c>
      <c r="E162" s="89">
        <f t="shared" si="64"/>
        <v>9314.142222898854</v>
      </c>
      <c r="F162" s="89">
        <f t="shared" si="64"/>
        <v>9577.6149306990028</v>
      </c>
      <c r="G162" s="89">
        <f t="shared" si="64"/>
        <v>9811.2095453041711</v>
      </c>
      <c r="H162" s="89">
        <f t="shared" si="64"/>
        <v>6844.865901486558</v>
      </c>
      <c r="I162" s="89">
        <f t="shared" si="64"/>
        <v>6078.8805745995351</v>
      </c>
      <c r="J162" s="89">
        <f t="shared" si="64"/>
        <v>5629.9713683524878</v>
      </c>
      <c r="K162" s="89">
        <f t="shared" si="64"/>
        <v>5380.7168632419316</v>
      </c>
      <c r="L162" s="89">
        <f t="shared" si="64"/>
        <v>5266.1797340376706</v>
      </c>
      <c r="M162" s="89">
        <f t="shared" si="64"/>
        <v>5230.531198361401</v>
      </c>
      <c r="N162" s="89">
        <f t="shared" si="64"/>
        <v>5241.4415889532347</v>
      </c>
      <c r="O162" s="89">
        <f t="shared" si="64"/>
        <v>5283.5578330107019</v>
      </c>
      <c r="P162" s="89">
        <f t="shared" si="64"/>
        <v>5339.7875281083871</v>
      </c>
      <c r="Q162" s="89">
        <f t="shared" si="64"/>
        <v>5403.1885590382199</v>
      </c>
      <c r="R162" s="89">
        <f t="shared" si="64"/>
        <v>5471.2015536881381</v>
      </c>
      <c r="S162" s="89">
        <f t="shared" si="64"/>
        <v>5541.596710109171</v>
      </c>
      <c r="T162" s="89">
        <f t="shared" si="64"/>
        <v>5612.591076146924</v>
      </c>
      <c r="U162" s="89">
        <f t="shared" si="64"/>
        <v>5684.4090025158812</v>
      </c>
      <c r="V162" s="89">
        <f t="shared" si="64"/>
        <v>5759.7132179580803</v>
      </c>
      <c r="W162" s="89">
        <f t="shared" si="64"/>
        <v>5834.0163790046445</v>
      </c>
      <c r="X162" s="89">
        <f t="shared" si="64"/>
        <v>5906.5428550454235</v>
      </c>
      <c r="Y162" s="89">
        <f t="shared" si="64"/>
        <v>5978.9655463343188</v>
      </c>
      <c r="Z162" s="89">
        <f t="shared" si="64"/>
        <v>6050.3442935905186</v>
      </c>
      <c r="AA162" s="89">
        <f t="shared" si="64"/>
        <v>6120.0574722671718</v>
      </c>
      <c r="AB162" s="89">
        <f t="shared" si="64"/>
        <v>6187.7306161036386</v>
      </c>
      <c r="AC162" s="89">
        <f t="shared" si="64"/>
        <v>6253.8740258024818</v>
      </c>
      <c r="AD162" s="89">
        <f t="shared" si="64"/>
        <v>6317.7023918386058</v>
      </c>
      <c r="AE162" s="89">
        <f t="shared" si="64"/>
        <v>6378.5600550559584</v>
      </c>
      <c r="AF162" s="89">
        <f t="shared" si="64"/>
        <v>6436.0396475438547</v>
      </c>
      <c r="AG162" s="89">
        <f t="shared" si="64"/>
        <v>6490.3545985967585</v>
      </c>
      <c r="AH162" s="89">
        <f t="shared" si="64"/>
        <v>6542.8562592102198</v>
      </c>
      <c r="AI162" s="89">
        <f t="shared" si="64"/>
        <v>6593.7025585072543</v>
      </c>
      <c r="AJ162" s="89">
        <f t="shared" si="64"/>
        <v>6643.6809830132906</v>
      </c>
      <c r="AK162" s="89">
        <f t="shared" si="64"/>
        <v>6692.0456526304624</v>
      </c>
      <c r="AL162" s="89">
        <f t="shared" si="64"/>
        <v>6737.5172635416693</v>
      </c>
      <c r="AM162" s="89">
        <f t="shared" si="64"/>
        <v>6779.4522159183416</v>
      </c>
      <c r="AN162" s="89">
        <f t="shared" si="64"/>
        <v>6817.3576093320817</v>
      </c>
      <c r="AO162" s="89">
        <f t="shared" si="64"/>
        <v>6850.9592992056196</v>
      </c>
      <c r="AP162" s="89">
        <f t="shared" si="64"/>
        <v>6880.0512305559232</v>
      </c>
      <c r="AQ162" s="89">
        <f t="shared" si="64"/>
        <v>6906.866130335884</v>
      </c>
      <c r="AR162" s="89">
        <f t="shared" si="64"/>
        <v>6933.3444735876255</v>
      </c>
      <c r="AS162" s="89">
        <f t="shared" si="64"/>
        <v>6960.8056640668919</v>
      </c>
      <c r="AT162" s="89">
        <f t="shared" si="64"/>
        <v>6980.9999967631875</v>
      </c>
      <c r="AU162" s="89">
        <f t="shared" si="64"/>
        <v>6996.5673036789012</v>
      </c>
      <c r="AV162" s="89">
        <f t="shared" si="64"/>
        <v>7009.1920244439716</v>
      </c>
      <c r="AW162" s="89">
        <f t="shared" si="64"/>
        <v>7014.5229259249345</v>
      </c>
      <c r="AX162" s="89">
        <f t="shared" si="64"/>
        <v>7015.9625818598779</v>
      </c>
      <c r="AY162" s="89">
        <f t="shared" si="64"/>
        <v>7015.4557305100034</v>
      </c>
      <c r="AZ162" s="89">
        <f t="shared" si="64"/>
        <v>7014.0893573864178</v>
      </c>
      <c r="BA162" s="89">
        <f t="shared" si="64"/>
        <v>7012.4502347561956</v>
      </c>
      <c r="BB162" s="89">
        <f t="shared" si="64"/>
        <v>7010.8374513316467</v>
      </c>
    </row>
    <row r="163" spans="1:54">
      <c r="B163" s="6" t="s">
        <v>2862</v>
      </c>
      <c r="C163" s="52"/>
      <c r="D163" s="89">
        <f t="shared" ref="D163:BB163" si="65" xml:space="preserve"> IF(D$152&lt;$C$7,   INDEX($D$60:$D$77,MATCH($B163,$B$60:$B$77,0)),  INDEX($G$60:$G$77,MATCH($B163,$B$60:$B$77,0))   )    *C$13</f>
        <v>18012.605389221557</v>
      </c>
      <c r="E163" s="89">
        <f t="shared" si="65"/>
        <v>18628.284445797708</v>
      </c>
      <c r="F163" s="89">
        <f t="shared" si="65"/>
        <v>19155.229861398006</v>
      </c>
      <c r="G163" s="89">
        <f t="shared" si="65"/>
        <v>19622.419090608342</v>
      </c>
      <c r="H163" s="89">
        <f t="shared" si="65"/>
        <v>13689.731802973116</v>
      </c>
      <c r="I163" s="89">
        <f t="shared" si="65"/>
        <v>12157.76114919907</v>
      </c>
      <c r="J163" s="89">
        <f t="shared" si="65"/>
        <v>11259.942736704976</v>
      </c>
      <c r="K163" s="89">
        <f t="shared" si="65"/>
        <v>10761.433726483863</v>
      </c>
      <c r="L163" s="89">
        <f t="shared" si="65"/>
        <v>10532.359468075341</v>
      </c>
      <c r="M163" s="89">
        <f t="shared" si="65"/>
        <v>10461.062396722802</v>
      </c>
      <c r="N163" s="89">
        <f t="shared" si="65"/>
        <v>10482.883177906469</v>
      </c>
      <c r="O163" s="89">
        <f t="shared" si="65"/>
        <v>10567.115666021404</v>
      </c>
      <c r="P163" s="89">
        <f t="shared" si="65"/>
        <v>10679.575056216774</v>
      </c>
      <c r="Q163" s="89">
        <f t="shared" si="65"/>
        <v>10806.37711807644</v>
      </c>
      <c r="R163" s="89">
        <f t="shared" si="65"/>
        <v>10942.403107376276</v>
      </c>
      <c r="S163" s="89">
        <f t="shared" si="65"/>
        <v>11083.193420218342</v>
      </c>
      <c r="T163" s="89">
        <f t="shared" si="65"/>
        <v>11225.182152293848</v>
      </c>
      <c r="U163" s="89">
        <f t="shared" si="65"/>
        <v>11368.818005031762</v>
      </c>
      <c r="V163" s="89">
        <f t="shared" si="65"/>
        <v>11519.426435916161</v>
      </c>
      <c r="W163" s="89">
        <f t="shared" si="65"/>
        <v>11668.032758009289</v>
      </c>
      <c r="X163" s="89">
        <f t="shared" si="65"/>
        <v>11813.085710090847</v>
      </c>
      <c r="Y163" s="89">
        <f t="shared" si="65"/>
        <v>11957.931092668638</v>
      </c>
      <c r="Z163" s="89">
        <f t="shared" si="65"/>
        <v>12100.688587181037</v>
      </c>
      <c r="AA163" s="89">
        <f t="shared" si="65"/>
        <v>12240.114944534344</v>
      </c>
      <c r="AB163" s="89">
        <f t="shared" si="65"/>
        <v>12375.461232207277</v>
      </c>
      <c r="AC163" s="89">
        <f t="shared" si="65"/>
        <v>12507.748051604964</v>
      </c>
      <c r="AD163" s="89">
        <f t="shared" si="65"/>
        <v>12635.404783677212</v>
      </c>
      <c r="AE163" s="89">
        <f t="shared" si="65"/>
        <v>12757.120110111917</v>
      </c>
      <c r="AF163" s="89">
        <f t="shared" si="65"/>
        <v>12872.079295087709</v>
      </c>
      <c r="AG163" s="89">
        <f t="shared" si="65"/>
        <v>12980.709197193517</v>
      </c>
      <c r="AH163" s="89">
        <f t="shared" si="65"/>
        <v>13085.71251842044</v>
      </c>
      <c r="AI163" s="89">
        <f t="shared" si="65"/>
        <v>13187.405117014509</v>
      </c>
      <c r="AJ163" s="89">
        <f t="shared" si="65"/>
        <v>13287.361966026581</v>
      </c>
      <c r="AK163" s="89">
        <f t="shared" si="65"/>
        <v>13384.091305260925</v>
      </c>
      <c r="AL163" s="89">
        <f t="shared" si="65"/>
        <v>13475.034527083339</v>
      </c>
      <c r="AM163" s="89">
        <f t="shared" si="65"/>
        <v>13558.904431836683</v>
      </c>
      <c r="AN163" s="89">
        <f t="shared" si="65"/>
        <v>13634.715218664163</v>
      </c>
      <c r="AO163" s="89">
        <f t="shared" si="65"/>
        <v>13701.918598411239</v>
      </c>
      <c r="AP163" s="89">
        <f t="shared" si="65"/>
        <v>13760.102461111846</v>
      </c>
      <c r="AQ163" s="89">
        <f t="shared" si="65"/>
        <v>13813.732260671768</v>
      </c>
      <c r="AR163" s="89">
        <f t="shared" si="65"/>
        <v>13866.688947175251</v>
      </c>
      <c r="AS163" s="89">
        <f t="shared" si="65"/>
        <v>13921.611328133784</v>
      </c>
      <c r="AT163" s="89">
        <f t="shared" si="65"/>
        <v>13961.999993526375</v>
      </c>
      <c r="AU163" s="89">
        <f t="shared" si="65"/>
        <v>13993.134607357802</v>
      </c>
      <c r="AV163" s="89">
        <f t="shared" si="65"/>
        <v>14018.384048887943</v>
      </c>
      <c r="AW163" s="89">
        <f t="shared" si="65"/>
        <v>14029.045851849869</v>
      </c>
      <c r="AX163" s="89">
        <f t="shared" si="65"/>
        <v>14031.925163719756</v>
      </c>
      <c r="AY163" s="89">
        <f t="shared" si="65"/>
        <v>14030.911461020007</v>
      </c>
      <c r="AZ163" s="89">
        <f t="shared" si="65"/>
        <v>14028.178714772836</v>
      </c>
      <c r="BA163" s="89">
        <f t="shared" si="65"/>
        <v>14024.900469512391</v>
      </c>
      <c r="BB163" s="89">
        <f t="shared" si="65"/>
        <v>14021.674902663293</v>
      </c>
    </row>
    <row r="164" spans="1:54">
      <c r="B164" s="6" t="s">
        <v>131</v>
      </c>
      <c r="C164" s="52"/>
      <c r="D164" s="89">
        <f t="shared" ref="D164:BB164" si="66" xml:space="preserve"> IF(D$152&lt;$C$7,   INDEX($D$60:$D$77,MATCH($B164,$B$60:$B$77,0)),  INDEX($G$60:$G$77,MATCH($B164,$B$60:$B$77,0))   )    *C$13</f>
        <v>514.2185989664506</v>
      </c>
      <c r="E164" s="89">
        <f t="shared" si="66"/>
        <v>531.79482489515601</v>
      </c>
      <c r="F164" s="89">
        <f t="shared" si="66"/>
        <v>546.83790875152692</v>
      </c>
      <c r="G164" s="89">
        <f t="shared" si="66"/>
        <v>560.17509044765791</v>
      </c>
      <c r="H164" s="89">
        <f t="shared" si="66"/>
        <v>3571.2343833842915</v>
      </c>
      <c r="I164" s="89">
        <f t="shared" si="66"/>
        <v>3171.5898650084537</v>
      </c>
      <c r="J164" s="89">
        <f t="shared" si="66"/>
        <v>2937.3763660969503</v>
      </c>
      <c r="K164" s="89">
        <f t="shared" si="66"/>
        <v>2807.3305373436169</v>
      </c>
      <c r="L164" s="89">
        <f t="shared" si="66"/>
        <v>2747.5720351500895</v>
      </c>
      <c r="M164" s="89">
        <f t="shared" si="66"/>
        <v>2728.9727991450791</v>
      </c>
      <c r="N164" s="89">
        <f t="shared" si="66"/>
        <v>2734.6651768451666</v>
      </c>
      <c r="O164" s="89">
        <f t="shared" si="66"/>
        <v>2756.6388693968879</v>
      </c>
      <c r="P164" s="89">
        <f t="shared" si="66"/>
        <v>2785.9761016217672</v>
      </c>
      <c r="Q164" s="89">
        <f t="shared" si="66"/>
        <v>2819.054900367767</v>
      </c>
      <c r="R164" s="89">
        <f t="shared" si="66"/>
        <v>2854.5399410546811</v>
      </c>
      <c r="S164" s="89">
        <f t="shared" si="66"/>
        <v>2891.2678487526114</v>
      </c>
      <c r="T164" s="89">
        <f t="shared" si="66"/>
        <v>2928.3083875549173</v>
      </c>
      <c r="U164" s="89">
        <f t="shared" si="66"/>
        <v>2965.7786100082863</v>
      </c>
      <c r="V164" s="89">
        <f t="shared" si="66"/>
        <v>3005.0677658911727</v>
      </c>
      <c r="W164" s="89">
        <f t="shared" si="66"/>
        <v>3043.8346325241628</v>
      </c>
      <c r="X164" s="89">
        <f t="shared" si="66"/>
        <v>3081.6745330671779</v>
      </c>
      <c r="Y164" s="89">
        <f t="shared" si="66"/>
        <v>3119.4602850439928</v>
      </c>
      <c r="Z164" s="89">
        <f t="shared" si="66"/>
        <v>3156.7013705689665</v>
      </c>
      <c r="AA164" s="89">
        <f t="shared" si="66"/>
        <v>3193.0734637915684</v>
      </c>
      <c r="AB164" s="89">
        <f t="shared" si="66"/>
        <v>3228.3811910105942</v>
      </c>
      <c r="AC164" s="89">
        <f t="shared" si="66"/>
        <v>3262.8907960708607</v>
      </c>
      <c r="AD164" s="89">
        <f t="shared" si="66"/>
        <v>3296.1925522636211</v>
      </c>
      <c r="AE164" s="89">
        <f t="shared" si="66"/>
        <v>3327.944376550935</v>
      </c>
      <c r="AF164" s="89">
        <f t="shared" si="66"/>
        <v>3357.9337291533161</v>
      </c>
      <c r="AG164" s="89">
        <f t="shared" si="66"/>
        <v>3386.2719644852659</v>
      </c>
      <c r="AH164" s="89">
        <f t="shared" si="66"/>
        <v>3413.6641352401152</v>
      </c>
      <c r="AI164" s="89">
        <f t="shared" si="66"/>
        <v>3440.1926392211763</v>
      </c>
      <c r="AJ164" s="89">
        <f t="shared" si="66"/>
        <v>3466.2683389634562</v>
      </c>
      <c r="AK164" s="89">
        <f t="shared" si="66"/>
        <v>3491.5020796332851</v>
      </c>
      <c r="AL164" s="89">
        <f t="shared" si="66"/>
        <v>3515.2263983695671</v>
      </c>
      <c r="AM164" s="89">
        <f t="shared" si="66"/>
        <v>3537.1055039573962</v>
      </c>
      <c r="AN164" s="89">
        <f t="shared" si="66"/>
        <v>3556.8822309558691</v>
      </c>
      <c r="AO164" s="89">
        <f t="shared" si="66"/>
        <v>3574.4135474116279</v>
      </c>
      <c r="AP164" s="89">
        <f t="shared" si="66"/>
        <v>3589.5919463770038</v>
      </c>
      <c r="AQ164" s="89">
        <f t="shared" si="66"/>
        <v>3603.5823288708966</v>
      </c>
      <c r="AR164" s="89">
        <f t="shared" si="66"/>
        <v>3617.3971166544134</v>
      </c>
      <c r="AS164" s="89">
        <f t="shared" si="66"/>
        <v>3631.72469429577</v>
      </c>
      <c r="AT164" s="89">
        <f t="shared" si="66"/>
        <v>3642.2608678764464</v>
      </c>
      <c r="AU164" s="89">
        <f t="shared" si="66"/>
        <v>3650.382941049862</v>
      </c>
      <c r="AV164" s="89">
        <f t="shared" si="66"/>
        <v>3656.9697518838116</v>
      </c>
      <c r="AW164" s="89">
        <f t="shared" si="66"/>
        <v>3659.7510917869226</v>
      </c>
      <c r="AX164" s="89">
        <f t="shared" si="66"/>
        <v>3660.5022166225453</v>
      </c>
      <c r="AY164" s="89">
        <f t="shared" si="66"/>
        <v>3660.2377724400021</v>
      </c>
      <c r="AZ164" s="89">
        <f t="shared" si="66"/>
        <v>3659.5248821146533</v>
      </c>
      <c r="BA164" s="89">
        <f t="shared" si="66"/>
        <v>3658.6696876988849</v>
      </c>
      <c r="BB164" s="89">
        <f t="shared" si="66"/>
        <v>3657.8282354773814</v>
      </c>
    </row>
    <row r="165" spans="1:54" ht="29">
      <c r="B165" s="6" t="s">
        <v>2869</v>
      </c>
      <c r="C165" s="52"/>
      <c r="D165" s="89">
        <f t="shared" ref="D165:BB165" si="67" xml:space="preserve"> IF(D$152&lt;$C$7,   INDEX($D$60:$D$77,MATCH($B165,$B$60:$B$77,0)),  INDEX($G$60:$G$77,MATCH($B165,$B$60:$B$77,0))   )    *C$13</f>
        <v>3579.1280838323355</v>
      </c>
      <c r="E165" s="89">
        <f t="shared" si="67"/>
        <v>3701.4643119572074</v>
      </c>
      <c r="F165" s="89">
        <f t="shared" si="67"/>
        <v>3806.1690503816817</v>
      </c>
      <c r="G165" s="89">
        <f t="shared" si="67"/>
        <v>3899.0001569650344</v>
      </c>
      <c r="H165" s="89">
        <f t="shared" si="67"/>
        <v>977.83798592665119</v>
      </c>
      <c r="I165" s="89">
        <f t="shared" si="67"/>
        <v>868.41151065707652</v>
      </c>
      <c r="J165" s="89">
        <f t="shared" si="67"/>
        <v>804.28162405035539</v>
      </c>
      <c r="K165" s="89">
        <f t="shared" si="67"/>
        <v>768.67383760599034</v>
      </c>
      <c r="L165" s="89">
        <f t="shared" si="67"/>
        <v>752.31139057681014</v>
      </c>
      <c r="M165" s="89">
        <f t="shared" si="67"/>
        <v>747.21874262305732</v>
      </c>
      <c r="N165" s="89">
        <f t="shared" si="67"/>
        <v>748.77736985046215</v>
      </c>
      <c r="O165" s="89">
        <f t="shared" si="67"/>
        <v>754.79397614438597</v>
      </c>
      <c r="P165" s="89">
        <f t="shared" si="67"/>
        <v>762.82678972976953</v>
      </c>
      <c r="Q165" s="89">
        <f t="shared" si="67"/>
        <v>771.8840798626029</v>
      </c>
      <c r="R165" s="89">
        <f t="shared" si="67"/>
        <v>781.60022195544843</v>
      </c>
      <c r="S165" s="89">
        <f t="shared" si="67"/>
        <v>791.6566728727388</v>
      </c>
      <c r="T165" s="89">
        <f t="shared" si="67"/>
        <v>801.79872516384637</v>
      </c>
      <c r="U165" s="89">
        <f t="shared" si="67"/>
        <v>812.05842893084025</v>
      </c>
      <c r="V165" s="89">
        <f t="shared" si="67"/>
        <v>822.81617399401148</v>
      </c>
      <c r="W165" s="89">
        <f t="shared" si="67"/>
        <v>833.43091128637775</v>
      </c>
      <c r="X165" s="89">
        <f t="shared" si="67"/>
        <v>843.79183643506053</v>
      </c>
      <c r="Y165" s="89">
        <f t="shared" si="67"/>
        <v>854.13793519061699</v>
      </c>
      <c r="Z165" s="89">
        <f t="shared" si="67"/>
        <v>864.3348990843599</v>
      </c>
      <c r="AA165" s="89">
        <f t="shared" si="67"/>
        <v>874.29392460959605</v>
      </c>
      <c r="AB165" s="89">
        <f t="shared" si="67"/>
        <v>883.9615165862341</v>
      </c>
      <c r="AC165" s="89">
        <f t="shared" si="67"/>
        <v>893.41057511464032</v>
      </c>
      <c r="AD165" s="89">
        <f t="shared" si="67"/>
        <v>902.5289131198009</v>
      </c>
      <c r="AE165" s="89">
        <f t="shared" si="67"/>
        <v>911.22286500799407</v>
      </c>
      <c r="AF165" s="89">
        <f t="shared" si="67"/>
        <v>919.43423536340788</v>
      </c>
      <c r="AG165" s="89">
        <f t="shared" si="67"/>
        <v>927.19351408525131</v>
      </c>
      <c r="AH165" s="89">
        <f t="shared" si="67"/>
        <v>934.69375131574577</v>
      </c>
      <c r="AI165" s="89">
        <f t="shared" si="67"/>
        <v>941.95750835817921</v>
      </c>
      <c r="AJ165" s="89">
        <f t="shared" si="67"/>
        <v>949.09728328761298</v>
      </c>
      <c r="AK165" s="89">
        <f t="shared" si="67"/>
        <v>956.00652180435179</v>
      </c>
      <c r="AL165" s="89">
        <f t="shared" si="67"/>
        <v>962.50246622023849</v>
      </c>
      <c r="AM165" s="89">
        <f t="shared" si="67"/>
        <v>968.49317370262031</v>
      </c>
      <c r="AN165" s="89">
        <f t="shared" si="67"/>
        <v>973.9082299045831</v>
      </c>
      <c r="AO165" s="89">
        <f t="shared" si="67"/>
        <v>978.70847131508856</v>
      </c>
      <c r="AP165" s="89">
        <f t="shared" si="67"/>
        <v>982.86446150798906</v>
      </c>
      <c r="AQ165" s="89">
        <f t="shared" si="67"/>
        <v>986.69516147655497</v>
      </c>
      <c r="AR165" s="89">
        <f t="shared" si="67"/>
        <v>990.47778194108935</v>
      </c>
      <c r="AS165" s="89">
        <f t="shared" si="67"/>
        <v>994.40080915241322</v>
      </c>
      <c r="AT165" s="89">
        <f t="shared" si="67"/>
        <v>997.28571382331256</v>
      </c>
      <c r="AU165" s="89">
        <f t="shared" si="67"/>
        <v>999.50961481127172</v>
      </c>
      <c r="AV165" s="89">
        <f t="shared" si="67"/>
        <v>1001.3131463491388</v>
      </c>
      <c r="AW165" s="89">
        <f t="shared" si="67"/>
        <v>1002.074703703562</v>
      </c>
      <c r="AX165" s="89">
        <f t="shared" si="67"/>
        <v>1002.2803688371255</v>
      </c>
      <c r="AY165" s="89">
        <f t="shared" si="67"/>
        <v>1002.2079615014291</v>
      </c>
      <c r="AZ165" s="89">
        <f t="shared" si="67"/>
        <v>1002.0127653409169</v>
      </c>
      <c r="BA165" s="89">
        <f t="shared" si="67"/>
        <v>1001.7786049651709</v>
      </c>
      <c r="BB165" s="89">
        <f t="shared" si="67"/>
        <v>1001.5482073330925</v>
      </c>
    </row>
    <row r="166" spans="1:54" ht="29">
      <c r="B166" s="6" t="s">
        <v>2870</v>
      </c>
      <c r="C166" s="52"/>
      <c r="D166" s="89">
        <f t="shared" ref="D166:BB166" si="68" xml:space="preserve"> IF(D$152&lt;$C$7,   INDEX($D$60:$D$77,MATCH($B166,$B$60:$B$77,0)),  INDEX($G$60:$G$77,MATCH($B166,$B$60:$B$77,0))   )    *C$13</f>
        <v>4912.9560118119916</v>
      </c>
      <c r="E166" s="89">
        <f t="shared" si="68"/>
        <v>5080.8830860464905</v>
      </c>
      <c r="F166" s="89">
        <f t="shared" si="68"/>
        <v>5224.6079715657934</v>
      </c>
      <c r="G166" s="89">
        <f t="shared" si="68"/>
        <v>5352.0342978914787</v>
      </c>
      <c r="H166" s="89">
        <f t="shared" si="68"/>
        <v>2295.7935321756154</v>
      </c>
      <c r="I166" s="89">
        <f t="shared" si="68"/>
        <v>2038.8791989340052</v>
      </c>
      <c r="J166" s="89">
        <f t="shared" si="68"/>
        <v>1888.3133782051816</v>
      </c>
      <c r="K166" s="89">
        <f t="shared" si="68"/>
        <v>1804.7124882923247</v>
      </c>
      <c r="L166" s="89">
        <f t="shared" si="68"/>
        <v>1766.2963083107711</v>
      </c>
      <c r="M166" s="89">
        <f t="shared" si="68"/>
        <v>1754.3396565932646</v>
      </c>
      <c r="N166" s="89">
        <f t="shared" si="68"/>
        <v>1757.9990422576063</v>
      </c>
      <c r="O166" s="89">
        <f t="shared" si="68"/>
        <v>1772.1249874694274</v>
      </c>
      <c r="P166" s="89">
        <f t="shared" si="68"/>
        <v>1790.9846367568498</v>
      </c>
      <c r="Q166" s="89">
        <f t="shared" si="68"/>
        <v>1812.2495788078497</v>
      </c>
      <c r="R166" s="89">
        <f t="shared" si="68"/>
        <v>1835.0613906780088</v>
      </c>
      <c r="S166" s="89">
        <f t="shared" si="68"/>
        <v>1858.6721884838209</v>
      </c>
      <c r="T166" s="89">
        <f t="shared" si="68"/>
        <v>1882.4839634281605</v>
      </c>
      <c r="U166" s="89">
        <f t="shared" si="68"/>
        <v>1906.5719635767548</v>
      </c>
      <c r="V166" s="89">
        <f t="shared" si="68"/>
        <v>1931.8292780728959</v>
      </c>
      <c r="W166" s="89">
        <f t="shared" si="68"/>
        <v>1956.750835194104</v>
      </c>
      <c r="X166" s="89">
        <f t="shared" si="68"/>
        <v>1981.0764855431851</v>
      </c>
      <c r="Y166" s="89">
        <f t="shared" si="68"/>
        <v>2005.3673260997089</v>
      </c>
      <c r="Z166" s="89">
        <f t="shared" si="68"/>
        <v>2029.308023937192</v>
      </c>
      <c r="AA166" s="89">
        <f t="shared" si="68"/>
        <v>2052.6900838660076</v>
      </c>
      <c r="AB166" s="89">
        <f t="shared" si="68"/>
        <v>2075.3879085068097</v>
      </c>
      <c r="AC166" s="89">
        <f t="shared" si="68"/>
        <v>2097.5726546169813</v>
      </c>
      <c r="AD166" s="89">
        <f t="shared" si="68"/>
        <v>2118.9809264551841</v>
      </c>
      <c r="AE166" s="89">
        <f t="shared" si="68"/>
        <v>2139.3928134970288</v>
      </c>
      <c r="AF166" s="89">
        <f t="shared" si="68"/>
        <v>2158.6716830271312</v>
      </c>
      <c r="AG166" s="89">
        <f t="shared" si="68"/>
        <v>2176.8891200262415</v>
      </c>
      <c r="AH166" s="89">
        <f t="shared" si="68"/>
        <v>2194.4983726543587</v>
      </c>
      <c r="AI166" s="89">
        <f t="shared" si="68"/>
        <v>2211.5524109278986</v>
      </c>
      <c r="AJ166" s="89">
        <f t="shared" si="68"/>
        <v>2228.3153607622212</v>
      </c>
      <c r="AK166" s="89">
        <f t="shared" si="68"/>
        <v>2244.5370511928254</v>
      </c>
      <c r="AL166" s="89">
        <f t="shared" si="68"/>
        <v>2259.7883989518637</v>
      </c>
      <c r="AM166" s="89">
        <f t="shared" si="68"/>
        <v>2273.8535382583254</v>
      </c>
      <c r="AN166" s="89">
        <f t="shared" si="68"/>
        <v>2286.5671484716295</v>
      </c>
      <c r="AO166" s="89">
        <f t="shared" si="68"/>
        <v>2297.8372804789028</v>
      </c>
      <c r="AP166" s="89">
        <f t="shared" si="68"/>
        <v>2307.5948226709302</v>
      </c>
      <c r="AQ166" s="89">
        <f t="shared" si="68"/>
        <v>2316.588639988433</v>
      </c>
      <c r="AR166" s="89">
        <f t="shared" si="68"/>
        <v>2325.469574992122</v>
      </c>
      <c r="AS166" s="89">
        <f t="shared" si="68"/>
        <v>2334.6801606187087</v>
      </c>
      <c r="AT166" s="89">
        <f t="shared" si="68"/>
        <v>2341.453415063429</v>
      </c>
      <c r="AU166" s="89">
        <f t="shared" si="68"/>
        <v>2346.6747478177676</v>
      </c>
      <c r="AV166" s="89">
        <f t="shared" si="68"/>
        <v>2350.909126211021</v>
      </c>
      <c r="AW166" s="89">
        <f t="shared" si="68"/>
        <v>2352.6971304344493</v>
      </c>
      <c r="AX166" s="89">
        <f t="shared" si="68"/>
        <v>2353.1799964002071</v>
      </c>
      <c r="AY166" s="89">
        <f t="shared" si="68"/>
        <v>2353.0099965685718</v>
      </c>
      <c r="AZ166" s="89">
        <f t="shared" si="68"/>
        <v>2352.5517099308477</v>
      </c>
      <c r="BA166" s="89">
        <f t="shared" si="68"/>
        <v>2352.0019420921394</v>
      </c>
      <c r="BB166" s="89">
        <f t="shared" si="68"/>
        <v>2351.461008521173</v>
      </c>
    </row>
    <row r="167" spans="1:54">
      <c r="B167" s="6" t="s">
        <v>102</v>
      </c>
      <c r="C167" s="52"/>
      <c r="D167" s="89">
        <f t="shared" ref="D167:BB167" si="69" xml:space="preserve"> IF(D$152&lt;$C$7,   INDEX($D$60:$D$77,MATCH($B167,$B$60:$B$77,0)),  INDEX($G$60:$G$77,MATCH($B167,$B$60:$B$77,0))   )    *C$13</f>
        <v>85.703099827741752</v>
      </c>
      <c r="E167" s="89">
        <f t="shared" si="69"/>
        <v>88.632470815859321</v>
      </c>
      <c r="F167" s="89">
        <f t="shared" si="69"/>
        <v>91.139651458587807</v>
      </c>
      <c r="G167" s="89">
        <f t="shared" si="69"/>
        <v>93.362515074609632</v>
      </c>
      <c r="H167" s="89">
        <f t="shared" si="69"/>
        <v>595.20573056404851</v>
      </c>
      <c r="I167" s="89">
        <f t="shared" si="69"/>
        <v>528.59831083474216</v>
      </c>
      <c r="J167" s="89">
        <f t="shared" si="69"/>
        <v>489.56272768282497</v>
      </c>
      <c r="K167" s="89">
        <f t="shared" si="69"/>
        <v>467.88842289060278</v>
      </c>
      <c r="L167" s="89">
        <f t="shared" si="69"/>
        <v>457.92867252501486</v>
      </c>
      <c r="M167" s="89">
        <f t="shared" si="69"/>
        <v>454.8287998575131</v>
      </c>
      <c r="N167" s="89">
        <f t="shared" si="69"/>
        <v>455.77752947419435</v>
      </c>
      <c r="O167" s="89">
        <f t="shared" si="69"/>
        <v>459.43981156614797</v>
      </c>
      <c r="P167" s="89">
        <f t="shared" si="69"/>
        <v>464.32935027029447</v>
      </c>
      <c r="Q167" s="89">
        <f t="shared" si="69"/>
        <v>469.84248339462778</v>
      </c>
      <c r="R167" s="89">
        <f t="shared" si="69"/>
        <v>475.75665684244683</v>
      </c>
      <c r="S167" s="89">
        <f t="shared" si="69"/>
        <v>481.87797479210184</v>
      </c>
      <c r="T167" s="89">
        <f t="shared" si="69"/>
        <v>488.05139792581946</v>
      </c>
      <c r="U167" s="89">
        <f t="shared" si="69"/>
        <v>494.29643500138098</v>
      </c>
      <c r="V167" s="89">
        <f t="shared" si="69"/>
        <v>500.84462764852867</v>
      </c>
      <c r="W167" s="89">
        <f t="shared" si="69"/>
        <v>507.30577208736037</v>
      </c>
      <c r="X167" s="89">
        <f t="shared" si="69"/>
        <v>513.61242217786287</v>
      </c>
      <c r="Y167" s="89">
        <f t="shared" si="69"/>
        <v>519.91004750733202</v>
      </c>
      <c r="Z167" s="89">
        <f t="shared" si="69"/>
        <v>526.11689509482767</v>
      </c>
      <c r="AA167" s="89">
        <f t="shared" si="69"/>
        <v>532.17891063192803</v>
      </c>
      <c r="AB167" s="89">
        <f t="shared" si="69"/>
        <v>538.06353183509896</v>
      </c>
      <c r="AC167" s="89">
        <f t="shared" si="69"/>
        <v>543.81513267847674</v>
      </c>
      <c r="AD167" s="89">
        <f t="shared" si="69"/>
        <v>549.36542537727007</v>
      </c>
      <c r="AE167" s="89">
        <f t="shared" si="69"/>
        <v>554.65739609182242</v>
      </c>
      <c r="AF167" s="89">
        <f t="shared" si="69"/>
        <v>559.65562152555265</v>
      </c>
      <c r="AG167" s="89">
        <f t="shared" si="69"/>
        <v>564.37866074754425</v>
      </c>
      <c r="AH167" s="89">
        <f t="shared" si="69"/>
        <v>568.94402254001909</v>
      </c>
      <c r="AI167" s="89">
        <f t="shared" si="69"/>
        <v>573.36543987019604</v>
      </c>
      <c r="AJ167" s="89">
        <f t="shared" si="69"/>
        <v>577.71138982724267</v>
      </c>
      <c r="AK167" s="89">
        <f t="shared" si="69"/>
        <v>581.91701327221415</v>
      </c>
      <c r="AL167" s="89">
        <f t="shared" si="69"/>
        <v>585.87106639492777</v>
      </c>
      <c r="AM167" s="89">
        <f t="shared" si="69"/>
        <v>589.51758399289929</v>
      </c>
      <c r="AN167" s="89">
        <f t="shared" si="69"/>
        <v>592.81370515931144</v>
      </c>
      <c r="AO167" s="89">
        <f t="shared" si="69"/>
        <v>595.73559123527127</v>
      </c>
      <c r="AP167" s="89">
        <f t="shared" si="69"/>
        <v>598.26532439616722</v>
      </c>
      <c r="AQ167" s="89">
        <f t="shared" si="69"/>
        <v>600.59705481181607</v>
      </c>
      <c r="AR167" s="89">
        <f t="shared" si="69"/>
        <v>602.89951944240215</v>
      </c>
      <c r="AS167" s="89">
        <f t="shared" si="69"/>
        <v>605.28744904929499</v>
      </c>
      <c r="AT167" s="89">
        <f t="shared" si="69"/>
        <v>607.04347797940761</v>
      </c>
      <c r="AU167" s="89">
        <f t="shared" si="69"/>
        <v>608.39715684164366</v>
      </c>
      <c r="AV167" s="89">
        <f t="shared" si="69"/>
        <v>609.49495864730193</v>
      </c>
      <c r="AW167" s="89">
        <f t="shared" si="69"/>
        <v>609.95851529782033</v>
      </c>
      <c r="AX167" s="89">
        <f t="shared" si="69"/>
        <v>610.08370277042422</v>
      </c>
      <c r="AY167" s="89">
        <f t="shared" si="69"/>
        <v>610.03962874000024</v>
      </c>
      <c r="AZ167" s="89">
        <f t="shared" si="69"/>
        <v>609.92081368577544</v>
      </c>
      <c r="BA167" s="89">
        <f t="shared" si="69"/>
        <v>609.77828128314741</v>
      </c>
      <c r="BB167" s="89">
        <f t="shared" si="69"/>
        <v>609.63803924623016</v>
      </c>
    </row>
    <row r="168" spans="1:54">
      <c r="B168" s="6" t="s">
        <v>2831</v>
      </c>
      <c r="C168" s="52"/>
      <c r="D168" s="89">
        <f t="shared" ref="D168:BB168" si="70" xml:space="preserve"> IF(D$152&lt;$C$7,   INDEX($D$60:$D$77,MATCH($B168,$B$60:$B$77,0)),  INDEX($G$60:$G$77,MATCH($B168,$B$60:$B$77,0))   )    *C$13</f>
        <v>224985.90765249773</v>
      </c>
      <c r="E168" s="89">
        <f t="shared" si="70"/>
        <v>232676.0284525296</v>
      </c>
      <c r="F168" s="89">
        <f t="shared" si="70"/>
        <v>239257.82436990959</v>
      </c>
      <c r="G168" s="89">
        <f t="shared" si="70"/>
        <v>245093.23743248938</v>
      </c>
      <c r="H168" s="89">
        <f t="shared" si="70"/>
        <v>208940.16936330276</v>
      </c>
      <c r="I168" s="89">
        <f t="shared" si="70"/>
        <v>185558.39589498384</v>
      </c>
      <c r="J168" s="89">
        <f t="shared" si="70"/>
        <v>171855.4005504536</v>
      </c>
      <c r="K168" s="89">
        <f t="shared" si="70"/>
        <v>164246.88355948447</v>
      </c>
      <c r="L168" s="89">
        <f t="shared" si="70"/>
        <v>160750.62701936331</v>
      </c>
      <c r="M168" s="89">
        <f t="shared" si="70"/>
        <v>159662.45214655303</v>
      </c>
      <c r="N168" s="89">
        <f t="shared" si="70"/>
        <v>159995.49283586477</v>
      </c>
      <c r="O168" s="89">
        <f t="shared" si="70"/>
        <v>161281.0951095926</v>
      </c>
      <c r="P168" s="89">
        <f t="shared" si="70"/>
        <v>162997.51179124092</v>
      </c>
      <c r="Q168" s="89">
        <f t="shared" si="70"/>
        <v>164932.83416730241</v>
      </c>
      <c r="R168" s="89">
        <f t="shared" si="70"/>
        <v>167008.9371656056</v>
      </c>
      <c r="S168" s="89">
        <f t="shared" si="70"/>
        <v>169157.75587391257</v>
      </c>
      <c r="T168" s="89">
        <f t="shared" si="70"/>
        <v>171324.8655115969</v>
      </c>
      <c r="U168" s="89">
        <f t="shared" si="70"/>
        <v>173517.11440512046</v>
      </c>
      <c r="V168" s="89">
        <f t="shared" si="70"/>
        <v>175815.78259741428</v>
      </c>
      <c r="W168" s="89">
        <f t="shared" si="70"/>
        <v>178083.8935110154</v>
      </c>
      <c r="X168" s="89">
        <f t="shared" si="70"/>
        <v>180297.77094928527</v>
      </c>
      <c r="Y168" s="89">
        <f t="shared" si="70"/>
        <v>182508.48034833453</v>
      </c>
      <c r="Z168" s="89">
        <f t="shared" si="70"/>
        <v>184687.32325852389</v>
      </c>
      <c r="AA168" s="89">
        <f t="shared" si="70"/>
        <v>186815.32453264538</v>
      </c>
      <c r="AB168" s="89">
        <f t="shared" si="70"/>
        <v>188881.05355320478</v>
      </c>
      <c r="AC168" s="89">
        <f t="shared" si="70"/>
        <v>190900.08729669146</v>
      </c>
      <c r="AD168" s="89">
        <f t="shared" si="70"/>
        <v>192848.45411668633</v>
      </c>
      <c r="AE168" s="89">
        <f t="shared" si="70"/>
        <v>194706.13995636461</v>
      </c>
      <c r="AF168" s="89">
        <f t="shared" si="70"/>
        <v>196460.70987229922</v>
      </c>
      <c r="AG168" s="89">
        <f t="shared" si="70"/>
        <v>198118.67881358825</v>
      </c>
      <c r="AH168" s="89">
        <f t="shared" si="70"/>
        <v>199721.29689527323</v>
      </c>
      <c r="AI168" s="89">
        <f t="shared" si="70"/>
        <v>201273.38491854805</v>
      </c>
      <c r="AJ168" s="89">
        <f t="shared" si="70"/>
        <v>202798.98098296975</v>
      </c>
      <c r="AK168" s="89">
        <f t="shared" si="70"/>
        <v>204275.31702905905</v>
      </c>
      <c r="AL168" s="89">
        <f t="shared" si="70"/>
        <v>205663.34218860912</v>
      </c>
      <c r="AM168" s="89">
        <f t="shared" si="70"/>
        <v>206943.4105168902</v>
      </c>
      <c r="AN168" s="89">
        <f t="shared" si="70"/>
        <v>208100.47618240301</v>
      </c>
      <c r="AO168" s="89">
        <f t="shared" si="70"/>
        <v>209126.17089638498</v>
      </c>
      <c r="AP168" s="89">
        <f t="shared" si="70"/>
        <v>210014.20481128138</v>
      </c>
      <c r="AQ168" s="89">
        <f t="shared" si="70"/>
        <v>210832.73212534728</v>
      </c>
      <c r="AR168" s="89">
        <f t="shared" si="70"/>
        <v>211640.98602003307</v>
      </c>
      <c r="AS168" s="89">
        <f t="shared" si="70"/>
        <v>212479.24141790869</v>
      </c>
      <c r="AT168" s="89">
        <f t="shared" si="70"/>
        <v>213095.67530492268</v>
      </c>
      <c r="AU168" s="89">
        <f t="shared" si="70"/>
        <v>213570.86879889507</v>
      </c>
      <c r="AV168" s="89">
        <f t="shared" si="70"/>
        <v>213956.23957646504</v>
      </c>
      <c r="AW168" s="89">
        <f t="shared" si="70"/>
        <v>214118.96584083926</v>
      </c>
      <c r="AX168" s="89">
        <f t="shared" si="70"/>
        <v>214162.91147238287</v>
      </c>
      <c r="AY168" s="89">
        <f t="shared" si="70"/>
        <v>214147.43978770575</v>
      </c>
      <c r="AZ168" s="89">
        <f t="shared" si="70"/>
        <v>214105.73112080648</v>
      </c>
      <c r="BA168" s="89">
        <f t="shared" si="70"/>
        <v>214055.69674980565</v>
      </c>
      <c r="BB168" s="89">
        <f t="shared" si="70"/>
        <v>214006.46638551197</v>
      </c>
    </row>
    <row r="169" spans="1:54">
      <c r="B169" s="6" t="s">
        <v>2832</v>
      </c>
      <c r="C169" s="52"/>
      <c r="D169" s="89">
        <f t="shared" ref="D169:BB169" si="71" xml:space="preserve"> IF(D$152&lt;$C$7,   INDEX($D$60:$D$77,MATCH($B169,$B$60:$B$77,0)),  INDEX($G$60:$G$77,MATCH($B169,$B$60:$B$77,0))   )    *C$13</f>
        <v>93009.476018374204</v>
      </c>
      <c r="E169" s="89">
        <f t="shared" si="71"/>
        <v>96188.58227259219</v>
      </c>
      <c r="F169" s="89">
        <f t="shared" si="71"/>
        <v>98909.505533621123</v>
      </c>
      <c r="G169" s="89">
        <f t="shared" si="71"/>
        <v>101321.87312128188</v>
      </c>
      <c r="H169" s="89">
        <f t="shared" si="71"/>
        <v>17936.949837498003</v>
      </c>
      <c r="I169" s="89">
        <f t="shared" si="71"/>
        <v>15929.687667226979</v>
      </c>
      <c r="J169" s="89">
        <f t="shared" si="71"/>
        <v>14753.322486384561</v>
      </c>
      <c r="K169" s="89">
        <f t="shared" si="71"/>
        <v>14100.151829824665</v>
      </c>
      <c r="L169" s="89">
        <f t="shared" si="71"/>
        <v>13800.007638450268</v>
      </c>
      <c r="M169" s="89">
        <f t="shared" si="71"/>
        <v>13706.590761420341</v>
      </c>
      <c r="N169" s="89">
        <f t="shared" si="71"/>
        <v>13735.18140608304</v>
      </c>
      <c r="O169" s="89">
        <f t="shared" si="71"/>
        <v>13845.546892839842</v>
      </c>
      <c r="P169" s="89">
        <f t="shared" si="71"/>
        <v>13992.896634216944</v>
      </c>
      <c r="Q169" s="89">
        <f t="shared" si="71"/>
        <v>14159.038838870962</v>
      </c>
      <c r="R169" s="89">
        <f t="shared" si="71"/>
        <v>14337.266680130593</v>
      </c>
      <c r="S169" s="89">
        <f t="shared" si="71"/>
        <v>14521.73696891341</v>
      </c>
      <c r="T169" s="89">
        <f t="shared" si="71"/>
        <v>14707.777484635944</v>
      </c>
      <c r="U169" s="89">
        <f t="shared" si="71"/>
        <v>14895.976137648759</v>
      </c>
      <c r="V169" s="89">
        <f t="shared" si="71"/>
        <v>15093.310600351017</v>
      </c>
      <c r="W169" s="89">
        <f t="shared" si="71"/>
        <v>15288.021803118379</v>
      </c>
      <c r="X169" s="89">
        <f t="shared" si="71"/>
        <v>15478.077208345738</v>
      </c>
      <c r="Y169" s="89">
        <f t="shared" si="71"/>
        <v>15667.860645953098</v>
      </c>
      <c r="Z169" s="89">
        <f t="shared" si="71"/>
        <v>15854.908431464843</v>
      </c>
      <c r="AA169" s="89">
        <f t="shared" si="71"/>
        <v>16037.591599686457</v>
      </c>
      <c r="AB169" s="89">
        <f t="shared" si="71"/>
        <v>16214.928862944875</v>
      </c>
      <c r="AC169" s="89">
        <f t="shared" si="71"/>
        <v>16388.257462646379</v>
      </c>
      <c r="AD169" s="89">
        <f t="shared" si="71"/>
        <v>16555.519497619302</v>
      </c>
      <c r="AE169" s="89">
        <f t="shared" si="71"/>
        <v>16714.99681508142</v>
      </c>
      <c r="AF169" s="89">
        <f t="shared" si="71"/>
        <v>16865.621908687903</v>
      </c>
      <c r="AG169" s="89">
        <f t="shared" si="71"/>
        <v>17007.954069242063</v>
      </c>
      <c r="AH169" s="89">
        <f t="shared" si="71"/>
        <v>17145.534507831002</v>
      </c>
      <c r="AI169" s="89">
        <f t="shared" si="71"/>
        <v>17278.77707723112</v>
      </c>
      <c r="AJ169" s="89">
        <f t="shared" si="71"/>
        <v>17409.74538343669</v>
      </c>
      <c r="AK169" s="89">
        <f t="shared" si="71"/>
        <v>17536.484849967652</v>
      </c>
      <c r="AL169" s="89">
        <f t="shared" si="71"/>
        <v>17655.643065144286</v>
      </c>
      <c r="AM169" s="89">
        <f t="shared" si="71"/>
        <v>17765.533477614586</v>
      </c>
      <c r="AN169" s="89">
        <f t="shared" si="71"/>
        <v>17864.864443336675</v>
      </c>
      <c r="AO169" s="89">
        <f t="shared" si="71"/>
        <v>17952.917567297209</v>
      </c>
      <c r="AP169" s="89">
        <f t="shared" si="71"/>
        <v>18029.152883053066</v>
      </c>
      <c r="AQ169" s="89">
        <f t="shared" si="71"/>
        <v>18099.42124465037</v>
      </c>
      <c r="AR169" s="89">
        <f t="shared" si="71"/>
        <v>18168.807660910676</v>
      </c>
      <c r="AS169" s="89">
        <f t="shared" si="71"/>
        <v>18240.769625278394</v>
      </c>
      <c r="AT169" s="89">
        <f t="shared" si="71"/>
        <v>18293.688811393717</v>
      </c>
      <c r="AU169" s="89">
        <f t="shared" si="71"/>
        <v>18334.482890820673</v>
      </c>
      <c r="AV169" s="89">
        <f t="shared" si="71"/>
        <v>18367.565932378333</v>
      </c>
      <c r="AW169" s="89">
        <f t="shared" si="71"/>
        <v>18381.535543153597</v>
      </c>
      <c r="AX169" s="89">
        <f t="shared" si="71"/>
        <v>18385.308157060139</v>
      </c>
      <c r="AY169" s="89">
        <f t="shared" si="71"/>
        <v>18383.979954671864</v>
      </c>
      <c r="AZ169" s="89">
        <f t="shared" si="71"/>
        <v>18380.399378144903</v>
      </c>
      <c r="BA169" s="89">
        <f t="shared" si="71"/>
        <v>18376.104062382848</v>
      </c>
      <c r="BB169" s="89">
        <f t="shared" si="71"/>
        <v>18371.877768427461</v>
      </c>
    </row>
    <row r="170" spans="1:54">
      <c r="B170" s="6" t="s">
        <v>2871</v>
      </c>
      <c r="C170" s="52"/>
      <c r="D170" s="89">
        <f t="shared" ref="D170:BB170" si="72" xml:space="preserve"> IF(D$152&lt;$C$7,   INDEX($D$60:$D$77,MATCH($B170,$B$60:$B$77,0)),  INDEX($G$60:$G$77,MATCH($B170,$B$60:$B$77,0))   )    *C$13</f>
        <v>4912.9560118119916</v>
      </c>
      <c r="E170" s="89">
        <f t="shared" si="72"/>
        <v>5080.8830860464905</v>
      </c>
      <c r="F170" s="89">
        <f t="shared" si="72"/>
        <v>5224.6079715657934</v>
      </c>
      <c r="G170" s="89">
        <f t="shared" si="72"/>
        <v>5352.0342978914787</v>
      </c>
      <c r="H170" s="89">
        <f t="shared" si="72"/>
        <v>2295.7935321756154</v>
      </c>
      <c r="I170" s="89">
        <f t="shared" si="72"/>
        <v>2038.8791989340052</v>
      </c>
      <c r="J170" s="89">
        <f t="shared" si="72"/>
        <v>1888.3133782051816</v>
      </c>
      <c r="K170" s="89">
        <f t="shared" si="72"/>
        <v>1804.7124882923247</v>
      </c>
      <c r="L170" s="89">
        <f t="shared" si="72"/>
        <v>1766.2963083107711</v>
      </c>
      <c r="M170" s="89">
        <f t="shared" si="72"/>
        <v>1754.3396565932646</v>
      </c>
      <c r="N170" s="89">
        <f t="shared" si="72"/>
        <v>1757.9990422576063</v>
      </c>
      <c r="O170" s="89">
        <f t="shared" si="72"/>
        <v>1772.1249874694274</v>
      </c>
      <c r="P170" s="89">
        <f t="shared" si="72"/>
        <v>1790.9846367568498</v>
      </c>
      <c r="Q170" s="89">
        <f t="shared" si="72"/>
        <v>1812.2495788078497</v>
      </c>
      <c r="R170" s="89">
        <f t="shared" si="72"/>
        <v>1835.0613906780088</v>
      </c>
      <c r="S170" s="89">
        <f t="shared" si="72"/>
        <v>1858.6721884838209</v>
      </c>
      <c r="T170" s="89">
        <f t="shared" si="72"/>
        <v>1882.4839634281605</v>
      </c>
      <c r="U170" s="89">
        <f t="shared" si="72"/>
        <v>1906.5719635767548</v>
      </c>
      <c r="V170" s="89">
        <f t="shared" si="72"/>
        <v>1931.8292780728959</v>
      </c>
      <c r="W170" s="89">
        <f t="shared" si="72"/>
        <v>1956.750835194104</v>
      </c>
      <c r="X170" s="89">
        <f t="shared" si="72"/>
        <v>1981.0764855431851</v>
      </c>
      <c r="Y170" s="89">
        <f t="shared" si="72"/>
        <v>2005.3673260997089</v>
      </c>
      <c r="Z170" s="89">
        <f t="shared" si="72"/>
        <v>2029.308023937192</v>
      </c>
      <c r="AA170" s="89">
        <f t="shared" si="72"/>
        <v>2052.6900838660076</v>
      </c>
      <c r="AB170" s="89">
        <f t="shared" si="72"/>
        <v>2075.3879085068097</v>
      </c>
      <c r="AC170" s="89">
        <f t="shared" si="72"/>
        <v>2097.5726546169813</v>
      </c>
      <c r="AD170" s="89">
        <f t="shared" si="72"/>
        <v>2118.9809264551841</v>
      </c>
      <c r="AE170" s="89">
        <f t="shared" si="72"/>
        <v>2139.3928134970288</v>
      </c>
      <c r="AF170" s="89">
        <f t="shared" si="72"/>
        <v>2158.6716830271312</v>
      </c>
      <c r="AG170" s="89">
        <f t="shared" si="72"/>
        <v>2176.8891200262415</v>
      </c>
      <c r="AH170" s="89">
        <f t="shared" si="72"/>
        <v>2194.4983726543587</v>
      </c>
      <c r="AI170" s="89">
        <f t="shared" si="72"/>
        <v>2211.5524109278986</v>
      </c>
      <c r="AJ170" s="89">
        <f t="shared" si="72"/>
        <v>2228.3153607622212</v>
      </c>
      <c r="AK170" s="89">
        <f t="shared" si="72"/>
        <v>2244.5370511928254</v>
      </c>
      <c r="AL170" s="89">
        <f t="shared" si="72"/>
        <v>2259.7883989518637</v>
      </c>
      <c r="AM170" s="89">
        <f t="shared" si="72"/>
        <v>2273.8535382583254</v>
      </c>
      <c r="AN170" s="89">
        <f t="shared" si="72"/>
        <v>2286.5671484716295</v>
      </c>
      <c r="AO170" s="89">
        <f t="shared" si="72"/>
        <v>2297.8372804789028</v>
      </c>
      <c r="AP170" s="89">
        <f t="shared" si="72"/>
        <v>2307.5948226709302</v>
      </c>
      <c r="AQ170" s="89">
        <f t="shared" si="72"/>
        <v>2316.588639988433</v>
      </c>
      <c r="AR170" s="89">
        <f t="shared" si="72"/>
        <v>2325.469574992122</v>
      </c>
      <c r="AS170" s="89">
        <f t="shared" si="72"/>
        <v>2334.6801606187087</v>
      </c>
      <c r="AT170" s="89">
        <f t="shared" si="72"/>
        <v>2341.453415063429</v>
      </c>
      <c r="AU170" s="89">
        <f t="shared" si="72"/>
        <v>2346.6747478177676</v>
      </c>
      <c r="AV170" s="89">
        <f t="shared" si="72"/>
        <v>2350.909126211021</v>
      </c>
      <c r="AW170" s="89">
        <f t="shared" si="72"/>
        <v>2352.6971304344493</v>
      </c>
      <c r="AX170" s="89">
        <f t="shared" si="72"/>
        <v>2353.1799964002071</v>
      </c>
      <c r="AY170" s="89">
        <f t="shared" si="72"/>
        <v>2353.0099965685718</v>
      </c>
      <c r="AZ170" s="89">
        <f t="shared" si="72"/>
        <v>2352.5517099308477</v>
      </c>
      <c r="BA170" s="89">
        <f t="shared" si="72"/>
        <v>2352.0019420921394</v>
      </c>
      <c r="BB170" s="89">
        <f t="shared" si="72"/>
        <v>2351.461008521173</v>
      </c>
    </row>
    <row r="171" spans="1:54">
      <c r="B171" s="142"/>
      <c r="C171" s="52"/>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row>
    <row r="173" spans="1:54" s="588" customFormat="1">
      <c r="A173" s="593" t="s">
        <v>10</v>
      </c>
      <c r="B173" s="593" t="s">
        <v>2891</v>
      </c>
      <c r="C173" s="593"/>
      <c r="D173" s="645"/>
    </row>
    <row r="174" spans="1:54">
      <c r="D174" s="23"/>
    </row>
    <row r="176" spans="1:54">
      <c r="B176" s="9" t="s">
        <v>97</v>
      </c>
      <c r="C176" s="9"/>
    </row>
    <row r="178" spans="2:54">
      <c r="B178" s="7" t="s">
        <v>9</v>
      </c>
      <c r="D178" s="34">
        <f>'Prevalence projection'!C$21</f>
        <v>2020</v>
      </c>
      <c r="E178" s="34">
        <f>'Prevalence projection'!D$21</f>
        <v>2021</v>
      </c>
      <c r="F178" s="34">
        <f>'Prevalence projection'!E$21</f>
        <v>2022</v>
      </c>
      <c r="G178" s="34">
        <f>'Prevalence projection'!F$21</f>
        <v>2023</v>
      </c>
      <c r="H178" s="34">
        <f>'Prevalence projection'!G$21</f>
        <v>2024</v>
      </c>
      <c r="I178" s="34">
        <f>'Prevalence projection'!H$21</f>
        <v>2025</v>
      </c>
      <c r="J178" s="34">
        <f>'Prevalence projection'!I$21</f>
        <v>2026</v>
      </c>
      <c r="K178" s="34">
        <f>'Prevalence projection'!J$21</f>
        <v>2027</v>
      </c>
      <c r="L178" s="34">
        <f>'Prevalence projection'!K$21</f>
        <v>2028</v>
      </c>
      <c r="M178" s="34">
        <f>'Prevalence projection'!L$21</f>
        <v>2029</v>
      </c>
      <c r="N178" s="34">
        <f>'Prevalence projection'!M$21</f>
        <v>2030</v>
      </c>
      <c r="O178" s="34">
        <f>'Prevalence projection'!N$21</f>
        <v>2031</v>
      </c>
      <c r="P178" s="34">
        <f>'Prevalence projection'!O$21</f>
        <v>2032</v>
      </c>
      <c r="Q178" s="34">
        <f>'Prevalence projection'!P$21</f>
        <v>2033</v>
      </c>
      <c r="R178" s="34">
        <f>'Prevalence projection'!Q$21</f>
        <v>2034</v>
      </c>
      <c r="S178" s="34">
        <f>'Prevalence projection'!R$21</f>
        <v>2035</v>
      </c>
      <c r="T178" s="34">
        <f>'Prevalence projection'!S$21</f>
        <v>2036</v>
      </c>
      <c r="U178" s="34">
        <f>'Prevalence projection'!T$21</f>
        <v>2037</v>
      </c>
      <c r="V178" s="34">
        <f>'Prevalence projection'!U$21</f>
        <v>2038</v>
      </c>
      <c r="W178" s="34">
        <f>'Prevalence projection'!V$21</f>
        <v>2039</v>
      </c>
      <c r="X178" s="34">
        <f>'Prevalence projection'!W$21</f>
        <v>2040</v>
      </c>
      <c r="Y178" s="34">
        <f>'Prevalence projection'!X$21</f>
        <v>2041</v>
      </c>
      <c r="Z178" s="34">
        <f>'Prevalence projection'!Y$21</f>
        <v>2042</v>
      </c>
      <c r="AA178" s="34">
        <f>'Prevalence projection'!Z$21</f>
        <v>2043</v>
      </c>
      <c r="AB178" s="34">
        <f>'Prevalence projection'!AA$21</f>
        <v>2044</v>
      </c>
      <c r="AC178" s="34">
        <f>'Prevalence projection'!AB$21</f>
        <v>2045</v>
      </c>
      <c r="AD178" s="34">
        <f>'Prevalence projection'!AC$21</f>
        <v>2046</v>
      </c>
      <c r="AE178" s="34">
        <f>'Prevalence projection'!AD$21</f>
        <v>2047</v>
      </c>
      <c r="AF178" s="34">
        <f>'Prevalence projection'!AE$21</f>
        <v>2048</v>
      </c>
      <c r="AG178" s="34">
        <f>'Prevalence projection'!AF$21</f>
        <v>2049</v>
      </c>
      <c r="AH178" s="34">
        <f>'Prevalence projection'!AG$21</f>
        <v>2050</v>
      </c>
      <c r="AI178" s="34">
        <f>'Prevalence projection'!AH$21</f>
        <v>2051</v>
      </c>
      <c r="AJ178" s="34">
        <f>'Prevalence projection'!AI$21</f>
        <v>2052</v>
      </c>
      <c r="AK178" s="34">
        <f>'Prevalence projection'!AJ$21</f>
        <v>2053</v>
      </c>
      <c r="AL178" s="34">
        <f>'Prevalence projection'!AK$21</f>
        <v>2054</v>
      </c>
      <c r="AM178" s="34">
        <f>'Prevalence projection'!AL$21</f>
        <v>2055</v>
      </c>
      <c r="AN178" s="34">
        <f>'Prevalence projection'!AM$21</f>
        <v>2056</v>
      </c>
      <c r="AO178" s="34">
        <f>'Prevalence projection'!AN$21</f>
        <v>2057</v>
      </c>
      <c r="AP178" s="34">
        <f>'Prevalence projection'!AO$21</f>
        <v>2058</v>
      </c>
      <c r="AQ178" s="34">
        <f>'Prevalence projection'!AP$21</f>
        <v>2059</v>
      </c>
      <c r="AR178" s="34">
        <f>'Prevalence projection'!AQ$21</f>
        <v>2060</v>
      </c>
      <c r="AS178" s="34">
        <f>'Prevalence projection'!AR$21</f>
        <v>2061</v>
      </c>
      <c r="AT178" s="34">
        <f>'Prevalence projection'!AS$21</f>
        <v>2062</v>
      </c>
      <c r="AU178" s="34">
        <f>'Prevalence projection'!AT$21</f>
        <v>2063</v>
      </c>
      <c r="AV178" s="34">
        <f>'Prevalence projection'!AU$21</f>
        <v>2064</v>
      </c>
      <c r="AW178" s="34">
        <f>'Prevalence projection'!AV$21</f>
        <v>2065</v>
      </c>
      <c r="AX178" s="34">
        <f>'Prevalence projection'!AW$21</f>
        <v>2066</v>
      </c>
      <c r="AY178" s="34">
        <f>'Prevalence projection'!AX$21</f>
        <v>2067</v>
      </c>
      <c r="AZ178" s="34">
        <f>'Prevalence projection'!AY$21</f>
        <v>2068</v>
      </c>
      <c r="BA178" s="34">
        <f>'Prevalence projection'!AZ$21</f>
        <v>2069</v>
      </c>
      <c r="BB178" s="34">
        <f>'Prevalence projection'!BA$21</f>
        <v>2070</v>
      </c>
    </row>
    <row r="179" spans="2:54">
      <c r="B179" s="6" t="s">
        <v>11</v>
      </c>
      <c r="D179" s="90">
        <f>INDEX(D$131:D$148,MATCH($B179,$B$131:$B$148,0))*INDEX('Resource costs'!$C$121:$C$142, MATCH($B179, 'Resource costs'!$B$121:$B$142,0))</f>
        <v>23892.627801606097</v>
      </c>
      <c r="E179" s="90">
        <f>INDEX(E$131:E$148,MATCH($B179,$B$131:$B$148,0))*INDEX('Resource costs'!$C$121:$C$142, MATCH($B179, 'Resource costs'!$B$121:$B$142,0))</f>
        <v>24709.288702467238</v>
      </c>
      <c r="F179" s="90">
        <f>INDEX(F$131:F$148,MATCH($B179,$B$131:$B$148,0))*INDEX('Resource costs'!$C$121:$C$142, MATCH($B179, 'Resource costs'!$B$121:$B$142,0))</f>
        <v>25408.249814124869</v>
      </c>
      <c r="G179" s="90">
        <f>INDEX(G$131:G$148,MATCH($B179,$B$131:$B$148,0))*INDEX('Resource costs'!$C$121:$C$142, MATCH($B179, 'Resource costs'!$B$121:$B$142,0))</f>
        <v>26027.947971345438</v>
      </c>
      <c r="H179" s="90">
        <f>INDEX(H$131:H$148,MATCH($B179,$B$131:$B$148,0))*INDEX('Resource costs'!$C$121:$C$142, MATCH($B179, 'Resource costs'!$B$121:$B$142,0))</f>
        <v>34123.273179799042</v>
      </c>
      <c r="I179" s="90">
        <f>INDEX(I$131:I$148,MATCH($B179,$B$131:$B$148,0))*INDEX('Resource costs'!$C$121:$C$142, MATCH($B179, 'Resource costs'!$B$121:$B$142,0))</f>
        <v>30304.655410324995</v>
      </c>
      <c r="J179" s="90">
        <f>INDEX(J$131:J$148,MATCH($B179,$B$131:$B$148,0))*INDEX('Resource costs'!$C$121:$C$142, MATCH($B179, 'Resource costs'!$B$121:$B$142,0))</f>
        <v>28066.736991153633</v>
      </c>
      <c r="K179" s="90">
        <f>INDEX(K$131:K$148,MATCH($B179,$B$131:$B$148,0))*INDEX('Resource costs'!$C$121:$C$142, MATCH($B179, 'Resource costs'!$B$121:$B$142,0))</f>
        <v>26824.14441277516</v>
      </c>
      <c r="L179" s="90">
        <f>INDEX(L$131:L$148,MATCH($B179,$B$131:$B$148,0))*INDEX('Resource costs'!$C$121:$C$142, MATCH($B179, 'Resource costs'!$B$121:$B$142,0))</f>
        <v>26253.149771635708</v>
      </c>
      <c r="M179" s="90">
        <f>INDEX(M$131:M$148,MATCH($B179,$B$131:$B$148,0))*INDEX('Resource costs'!$C$121:$C$142, MATCH($B179, 'Resource costs'!$B$121:$B$142,0))</f>
        <v>26075.433401607635</v>
      </c>
      <c r="N179" s="90">
        <f>INDEX(N$131:N$148,MATCH($B179,$B$131:$B$148,0))*INDEX('Resource costs'!$C$121:$C$142, MATCH($B179, 'Resource costs'!$B$121:$B$142,0))</f>
        <v>26129.824275588475</v>
      </c>
      <c r="O179" s="90">
        <f>INDEX(O$131:O$148,MATCH($B179,$B$131:$B$148,0))*INDEX('Resource costs'!$C$121:$C$142, MATCH($B179, 'Resource costs'!$B$121:$B$142,0))</f>
        <v>26339.783699478408</v>
      </c>
      <c r="P179" s="90">
        <f>INDEX(P$131:P$148,MATCH($B179,$B$131:$B$148,0))*INDEX('Resource costs'!$C$121:$C$142, MATCH($B179, 'Resource costs'!$B$121:$B$142,0))</f>
        <v>26620.102010202132</v>
      </c>
      <c r="Q179" s="90">
        <f>INDEX(Q$131:Q$148,MATCH($B179,$B$131:$B$148,0))*INDEX('Resource costs'!$C$121:$C$142, MATCH($B179, 'Resource costs'!$B$121:$B$142,0))</f>
        <v>26936.171123817592</v>
      </c>
      <c r="R179" s="90">
        <f>INDEX(R$131:R$148,MATCH($B179,$B$131:$B$148,0))*INDEX('Resource costs'!$C$121:$C$142, MATCH($B179, 'Resource costs'!$B$121:$B$142,0))</f>
        <v>27275.231965858537</v>
      </c>
      <c r="S179" s="90">
        <f>INDEX(S$131:S$148,MATCH($B179,$B$131:$B$148,0))*INDEX('Resource costs'!$C$121:$C$142, MATCH($B179, 'Resource costs'!$B$121:$B$142,0))</f>
        <v>27626.168446961543</v>
      </c>
      <c r="T179" s="90">
        <f>INDEX(T$131:T$148,MATCH($B179,$B$131:$B$148,0))*INDEX('Resource costs'!$C$121:$C$142, MATCH($B179, 'Resource costs'!$B$121:$B$142,0))</f>
        <v>27980.092129528752</v>
      </c>
      <c r="U179" s="90">
        <f>INDEX(U$131:U$148,MATCH($B179,$B$131:$B$148,0))*INDEX('Resource costs'!$C$121:$C$142, MATCH($B179, 'Resource costs'!$B$121:$B$142,0))</f>
        <v>28338.121454860371</v>
      </c>
      <c r="V179" s="90">
        <f>INDEX(V$131:V$148,MATCH($B179,$B$131:$B$148,0))*INDEX('Resource costs'!$C$121:$C$142, MATCH($B179, 'Resource costs'!$B$121:$B$142,0))</f>
        <v>28713.530754634463</v>
      </c>
      <c r="W179" s="90">
        <f>INDEX(W$131:W$148,MATCH($B179,$B$131:$B$148,0))*INDEX('Resource costs'!$C$121:$C$142, MATCH($B179, 'Resource costs'!$B$121:$B$142,0))</f>
        <v>29083.949561811365</v>
      </c>
      <c r="X179" s="90">
        <f>INDEX(X$131:X$148,MATCH($B179,$B$131:$B$148,0))*INDEX('Resource costs'!$C$121:$C$142, MATCH($B179, 'Resource costs'!$B$121:$B$142,0))</f>
        <v>29445.511174606458</v>
      </c>
      <c r="Y179" s="90">
        <f>INDEX(Y$131:Y$148,MATCH($B179,$B$131:$B$148,0))*INDEX('Resource costs'!$C$121:$C$142, MATCH($B179, 'Resource costs'!$B$121:$B$142,0))</f>
        <v>29806.555395900919</v>
      </c>
      <c r="Z179" s="90">
        <f>INDEX(Z$131:Z$148,MATCH($B179,$B$131:$B$148,0))*INDEX('Resource costs'!$C$121:$C$142, MATCH($B179, 'Resource costs'!$B$121:$B$142,0))</f>
        <v>30162.395309627518</v>
      </c>
      <c r="AA179" s="90">
        <f>INDEX(AA$131:AA$148,MATCH($B179,$B$131:$B$148,0))*INDEX('Resource costs'!$C$121:$C$142, MATCH($B179, 'Resource costs'!$B$121:$B$142,0))</f>
        <v>30509.93197060125</v>
      </c>
      <c r="AB179" s="90">
        <f>INDEX(AB$131:AB$148,MATCH($B179,$B$131:$B$148,0))*INDEX('Resource costs'!$C$121:$C$142, MATCH($B179, 'Resource costs'!$B$121:$B$142,0))</f>
        <v>30847.298576069163</v>
      </c>
      <c r="AC179" s="90">
        <f>INDEX(AC$131:AC$148,MATCH($B179,$B$131:$B$148,0))*INDEX('Resource costs'!$C$121:$C$142, MATCH($B179, 'Resource costs'!$B$121:$B$142,0))</f>
        <v>31177.039095559383</v>
      </c>
      <c r="AD179" s="90">
        <f>INDEX(AD$131:AD$148,MATCH($B179,$B$131:$B$148,0))*INDEX('Resource costs'!$C$121:$C$142, MATCH($B179, 'Resource costs'!$B$121:$B$142,0))</f>
        <v>31495.23857561023</v>
      </c>
      <c r="AE179" s="90">
        <f>INDEX(AE$131:AE$148,MATCH($B179,$B$131:$B$148,0))*INDEX('Resource costs'!$C$121:$C$142, MATCH($B179, 'Resource costs'!$B$121:$B$142,0))</f>
        <v>31798.628400471353</v>
      </c>
      <c r="AF179" s="90">
        <f>INDEX(AF$131:AF$148,MATCH($B179,$B$131:$B$148,0))*INDEX('Resource costs'!$C$121:$C$142, MATCH($B179, 'Resource costs'!$B$121:$B$142,0))</f>
        <v>32085.177744893441</v>
      </c>
      <c r="AG179" s="90">
        <f>INDEX(AG$131:AG$148,MATCH($B179,$B$131:$B$148,0))*INDEX('Resource costs'!$C$121:$C$142, MATCH($B179, 'Resource costs'!$B$121:$B$142,0))</f>
        <v>32355.950604318361</v>
      </c>
      <c r="AH179" s="90">
        <f>INDEX(AH$131:AH$148,MATCH($B179,$B$131:$B$148,0))*INDEX('Resource costs'!$C$121:$C$142, MATCH($B179, 'Resource costs'!$B$121:$B$142,0))</f>
        <v>32617.68378262901</v>
      </c>
      <c r="AI179" s="90">
        <f>INDEX(AI$131:AI$148,MATCH($B179,$B$131:$B$148,0))*INDEX('Resource costs'!$C$121:$C$142, MATCH($B179, 'Resource costs'!$B$121:$B$142,0))</f>
        <v>32871.164593804242</v>
      </c>
      <c r="AJ179" s="90">
        <f>INDEX(AJ$131:AJ$148,MATCH($B179,$B$131:$B$148,0))*INDEX('Resource costs'!$C$121:$C$142, MATCH($B179, 'Resource costs'!$B$121:$B$142,0))</f>
        <v>33120.318844166548</v>
      </c>
      <c r="AK179" s="90">
        <f>INDEX(AK$131:AK$148,MATCH($B179,$B$131:$B$148,0))*INDEX('Resource costs'!$C$121:$C$142, MATCH($B179, 'Resource costs'!$B$121:$B$142,0))</f>
        <v>33361.428145261722</v>
      </c>
      <c r="AL179" s="90">
        <f>INDEX(AL$131:AL$148,MATCH($B179,$B$131:$B$148,0))*INDEX('Resource costs'!$C$121:$C$142, MATCH($B179, 'Resource costs'!$B$121:$B$142,0))</f>
        <v>33588.114865407922</v>
      </c>
      <c r="AM179" s="90">
        <f>INDEX(AM$131:AM$148,MATCH($B179,$B$131:$B$148,0))*INDEX('Resource costs'!$C$121:$C$142, MATCH($B179, 'Resource costs'!$B$121:$B$142,0))</f>
        <v>33797.170507450566</v>
      </c>
      <c r="AN179" s="90">
        <f>INDEX(AN$131:AN$148,MATCH($B179,$B$131:$B$148,0))*INDEX('Resource costs'!$C$121:$C$142, MATCH($B179, 'Resource costs'!$B$121:$B$142,0))</f>
        <v>33986.137846337937</v>
      </c>
      <c r="AO179" s="90">
        <f>INDEX(AO$131:AO$148,MATCH($B179,$B$131:$B$148,0))*INDEX('Resource costs'!$C$121:$C$142, MATCH($B179, 'Resource costs'!$B$121:$B$142,0))</f>
        <v>34153.650206603248</v>
      </c>
      <c r="AP179" s="90">
        <f>INDEX(AP$131:AP$148,MATCH($B179,$B$131:$B$148,0))*INDEX('Resource costs'!$C$121:$C$142, MATCH($B179, 'Resource costs'!$B$121:$B$142,0))</f>
        <v>34298.680355488832</v>
      </c>
      <c r="AQ179" s="90">
        <f>INDEX(AQ$131:AQ$148,MATCH($B179,$B$131:$B$148,0))*INDEX('Resource costs'!$C$121:$C$142, MATCH($B179, 'Resource costs'!$B$121:$B$142,0))</f>
        <v>34432.358964193467</v>
      </c>
      <c r="AR179" s="90">
        <f>INDEX(AR$131:AR$148,MATCH($B179,$B$131:$B$148,0))*INDEX('Resource costs'!$C$121:$C$142, MATCH($B179, 'Resource costs'!$B$121:$B$142,0))</f>
        <v>34564.359759115017</v>
      </c>
      <c r="AS179" s="90">
        <f>INDEX(AS$131:AS$148,MATCH($B179,$B$131:$B$148,0))*INDEX('Resource costs'!$C$121:$C$142, MATCH($B179, 'Resource costs'!$B$121:$B$142,0))</f>
        <v>34701.26027960045</v>
      </c>
      <c r="AT179" s="90">
        <f>INDEX(AT$131:AT$148,MATCH($B179,$B$131:$B$148,0))*INDEX('Resource costs'!$C$121:$C$142, MATCH($B179, 'Resource costs'!$B$121:$B$142,0))</f>
        <v>34801.933797708356</v>
      </c>
      <c r="AU179" s="90">
        <f>INDEX(AU$131:AU$148,MATCH($B179,$B$131:$B$148,0))*INDEX('Resource costs'!$C$121:$C$142, MATCH($B179, 'Resource costs'!$B$121:$B$142,0))</f>
        <v>34879.540499461749</v>
      </c>
      <c r="AV179" s="90">
        <f>INDEX(AV$131:AV$148,MATCH($B179,$B$131:$B$148,0))*INDEX('Resource costs'!$C$121:$C$142, MATCH($B179, 'Resource costs'!$B$121:$B$142,0))</f>
        <v>34942.477714256791</v>
      </c>
      <c r="AW179" s="90">
        <f>INDEX(AW$131:AW$148,MATCH($B179,$B$131:$B$148,0))*INDEX('Resource costs'!$C$121:$C$142, MATCH($B179, 'Resource costs'!$B$121:$B$142,0))</f>
        <v>34969.053517223227</v>
      </c>
      <c r="AX179" s="90">
        <f>INDEX(AX$131:AX$148,MATCH($B179,$B$131:$B$148,0))*INDEX('Resource costs'!$C$121:$C$142, MATCH($B179, 'Resource costs'!$B$121:$B$142,0))</f>
        <v>34976.230542085366</v>
      </c>
      <c r="AY179" s="90">
        <f>INDEX(AY$131:AY$148,MATCH($B179,$B$131:$B$148,0))*INDEX('Resource costs'!$C$121:$C$142, MATCH($B179, 'Resource costs'!$B$121:$B$142,0))</f>
        <v>34973.703768395098</v>
      </c>
      <c r="AZ179" s="90">
        <f>INDEX(AZ$131:AZ$148,MATCH($B179,$B$131:$B$148,0))*INDEX('Resource costs'!$C$121:$C$142, MATCH($B179, 'Resource costs'!$B$121:$B$142,0))</f>
        <v>34966.892075655938</v>
      </c>
      <c r="BA179" s="90">
        <f>INDEX(BA$131:BA$148,MATCH($B179,$B$131:$B$148,0))*INDEX('Resource costs'!$C$121:$C$142, MATCH($B179, 'Resource costs'!$B$121:$B$142,0))</f>
        <v>34958.720662206608</v>
      </c>
      <c r="BB179" s="90">
        <f>INDEX(BB$131:BB$148,MATCH($B179,$B$131:$B$148,0))*INDEX('Resource costs'!$C$121:$C$142, MATCH($B179, 'Resource costs'!$B$121:$B$142,0))</f>
        <v>34950.680555918501</v>
      </c>
    </row>
    <row r="180" spans="2:54" s="97" customFormat="1">
      <c r="B180" s="6" t="s">
        <v>14</v>
      </c>
      <c r="C180" s="315"/>
      <c r="D180" s="90">
        <f>INDEX(D$131:D$148,MATCH($B180,$B$131:$B$148,0))*INDEX('Resource costs'!$C$121:$C$142, MATCH($B180, 'Resource costs'!$B$121:$B$142,0))</f>
        <v>155.32229958167343</v>
      </c>
      <c r="E180" s="90">
        <f>INDEX(E$131:E$148,MATCH($B180,$B$131:$B$148,0))*INDEX('Resource costs'!$C$121:$C$142, MATCH($B180, 'Resource costs'!$B$121:$B$142,0))</f>
        <v>160.63128652749893</v>
      </c>
      <c r="F180" s="90">
        <f>INDEX(F$131:F$148,MATCH($B180,$B$131:$B$148,0))*INDEX('Resource costs'!$C$121:$C$142, MATCH($B180, 'Resource costs'!$B$121:$B$142,0))</f>
        <v>165.1751252413606</v>
      </c>
      <c r="G180" s="90">
        <f>INDEX(G$131:G$148,MATCH($B180,$B$131:$B$148,0))*INDEX('Resource costs'!$C$121:$C$142, MATCH($B180, 'Resource costs'!$B$121:$B$142,0))</f>
        <v>169.20368767598544</v>
      </c>
      <c r="H180" s="90">
        <f>INDEX(H$131:H$148,MATCH($B180,$B$131:$B$148,0))*INDEX('Resource costs'!$C$121:$C$142, MATCH($B180, 'Resource costs'!$B$121:$B$142,0))</f>
        <v>221.8301521100893</v>
      </c>
      <c r="I180" s="90">
        <f>INDEX(I$131:I$148,MATCH($B180,$B$131:$B$148,0))*INDEX('Resource costs'!$C$121:$C$142, MATCH($B180, 'Resource costs'!$B$121:$B$142,0))</f>
        <v>197.0059051455809</v>
      </c>
      <c r="J180" s="90">
        <f>INDEX(J$131:J$148,MATCH($B180,$B$131:$B$148,0))*INDEX('Resource costs'!$C$121:$C$142, MATCH($B180, 'Resource costs'!$B$121:$B$142,0))</f>
        <v>182.45754160733026</v>
      </c>
      <c r="K180" s="90">
        <f>INDEX(K$131:K$148,MATCH($B180,$B$131:$B$148,0))*INDEX('Resource costs'!$C$121:$C$142, MATCH($B180, 'Resource costs'!$B$121:$B$142,0))</f>
        <v>174.37963831768494</v>
      </c>
      <c r="L180" s="90">
        <f>INDEX(L$131:L$148,MATCH($B180,$B$131:$B$148,0))*INDEX('Resource costs'!$C$121:$C$142, MATCH($B180, 'Resource costs'!$B$121:$B$142,0))</f>
        <v>170.66768995239752</v>
      </c>
      <c r="M180" s="90">
        <f>INDEX(M$131:M$148,MATCH($B180,$B$131:$B$148,0))*INDEX('Resource costs'!$C$121:$C$142, MATCH($B180, 'Resource costs'!$B$121:$B$142,0))</f>
        <v>169.51238315670835</v>
      </c>
      <c r="N180" s="90">
        <f>INDEX(N$131:N$148,MATCH($B180,$B$131:$B$148,0))*INDEX('Resource costs'!$C$121:$C$142, MATCH($B180, 'Resource costs'!$B$121:$B$142,0))</f>
        <v>169.86596986525754</v>
      </c>
      <c r="O180" s="90">
        <f>INDEX(O$131:O$148,MATCH($B180,$B$131:$B$148,0))*INDEX('Resource costs'!$C$121:$C$142, MATCH($B180, 'Resource costs'!$B$121:$B$142,0))</f>
        <v>171.23088379637548</v>
      </c>
      <c r="P180" s="90">
        <f>INDEX(P$131:P$148,MATCH($B180,$B$131:$B$148,0))*INDEX('Resource costs'!$C$121:$C$142, MATCH($B180, 'Resource costs'!$B$121:$B$142,0))</f>
        <v>173.05319003234055</v>
      </c>
      <c r="Q180" s="90">
        <f>INDEX(Q$131:Q$148,MATCH($B180,$B$131:$B$148,0))*INDEX('Resource costs'!$C$121:$C$142, MATCH($B180, 'Resource costs'!$B$121:$B$142,0))</f>
        <v>175.10790674082222</v>
      </c>
      <c r="R180" s="90">
        <f>INDEX(R$131:R$148,MATCH($B180,$B$131:$B$148,0))*INDEX('Resource costs'!$C$121:$C$142, MATCH($B180, 'Resource costs'!$B$121:$B$142,0))</f>
        <v>177.31208914056472</v>
      </c>
      <c r="S180" s="90">
        <f>INDEX(S$131:S$148,MATCH($B180,$B$131:$B$148,0))*INDEX('Resource costs'!$C$121:$C$142, MATCH($B180, 'Resource costs'!$B$121:$B$142,0))</f>
        <v>179.59347324383842</v>
      </c>
      <c r="T180" s="90">
        <f>INDEX(T$131:T$148,MATCH($B180,$B$131:$B$148,0))*INDEX('Resource costs'!$C$121:$C$142, MATCH($B180, 'Resource costs'!$B$121:$B$142,0))</f>
        <v>181.89427668451557</v>
      </c>
      <c r="U180" s="90">
        <f>INDEX(U$131:U$148,MATCH($B180,$B$131:$B$148,0))*INDEX('Resource costs'!$C$121:$C$142, MATCH($B180, 'Resource costs'!$B$121:$B$142,0))</f>
        <v>184.22177027751599</v>
      </c>
      <c r="V180" s="90">
        <f>INDEX(V$131:V$148,MATCH($B180,$B$131:$B$148,0))*INDEX('Resource costs'!$C$121:$C$142, MATCH($B180, 'Resource costs'!$B$121:$B$142,0))</f>
        <v>186.66224841200307</v>
      </c>
      <c r="W180" s="90">
        <f>INDEX(W$131:W$148,MATCH($B180,$B$131:$B$148,0))*INDEX('Resource costs'!$C$121:$C$142, MATCH($B180, 'Resource costs'!$B$121:$B$142,0))</f>
        <v>189.07028412145939</v>
      </c>
      <c r="X180" s="90">
        <f>INDEX(X$131:X$148,MATCH($B180,$B$131:$B$148,0))*INDEX('Resource costs'!$C$121:$C$142, MATCH($B180, 'Resource costs'!$B$121:$B$142,0))</f>
        <v>191.42074057213148</v>
      </c>
      <c r="Y180" s="90">
        <f>INDEX(Y$131:Y$148,MATCH($B180,$B$131:$B$148,0))*INDEX('Resource costs'!$C$121:$C$142, MATCH($B180, 'Resource costs'!$B$121:$B$142,0))</f>
        <v>193.76783354021265</v>
      </c>
      <c r="Z180" s="90">
        <f>INDEX(Z$131:Z$148,MATCH($B180,$B$131:$B$148,0))*INDEX('Resource costs'!$C$121:$C$142, MATCH($B180, 'Resource costs'!$B$121:$B$142,0))</f>
        <v>196.08109410501518</v>
      </c>
      <c r="AA180" s="90">
        <f>INDEX(AA$131:AA$148,MATCH($B180,$B$131:$B$148,0))*INDEX('Resource costs'!$C$121:$C$142, MATCH($B180, 'Resource costs'!$B$121:$B$142,0))</f>
        <v>198.34037650038852</v>
      </c>
      <c r="AB180" s="90">
        <f>INDEX(AB$131:AB$148,MATCH($B180,$B$131:$B$148,0))*INDEX('Resource costs'!$C$121:$C$142, MATCH($B180, 'Resource costs'!$B$121:$B$142,0))</f>
        <v>200.5335449286774</v>
      </c>
      <c r="AC180" s="90">
        <f>INDEX(AC$131:AC$148,MATCH($B180,$B$131:$B$148,0))*INDEX('Resource costs'!$C$121:$C$142, MATCH($B180, 'Resource costs'!$B$121:$B$142,0))</f>
        <v>202.67713734462058</v>
      </c>
      <c r="AD180" s="90">
        <f>INDEX(AD$131:AD$148,MATCH($B180,$B$131:$B$148,0))*INDEX('Resource costs'!$C$121:$C$142, MATCH($B180, 'Resource costs'!$B$121:$B$142,0))</f>
        <v>204.74570323773131</v>
      </c>
      <c r="AE180" s="90">
        <f>INDEX(AE$131:AE$148,MATCH($B180,$B$131:$B$148,0))*INDEX('Resource costs'!$C$121:$C$142, MATCH($B180, 'Resource costs'!$B$121:$B$142,0))</f>
        <v>206.71799383960234</v>
      </c>
      <c r="AF180" s="90">
        <f>INDEX(AF$131:AF$148,MATCH($B180,$B$131:$B$148,0))*INDEX('Resource costs'!$C$121:$C$142, MATCH($B180, 'Resource costs'!$B$121:$B$142,0))</f>
        <v>208.58080706754993</v>
      </c>
      <c r="AG180" s="90">
        <f>INDEX(AG$131:AG$148,MATCH($B180,$B$131:$B$148,0))*INDEX('Resource costs'!$C$121:$C$142, MATCH($B180, 'Resource costs'!$B$121:$B$142,0))</f>
        <v>210.34105979234047</v>
      </c>
      <c r="AH180" s="90">
        <f>INDEX(AH$131:AH$148,MATCH($B180,$B$131:$B$148,0))*INDEX('Resource costs'!$C$121:$C$142, MATCH($B180, 'Resource costs'!$B$121:$B$142,0))</f>
        <v>212.04254694015839</v>
      </c>
      <c r="AI180" s="90">
        <f>INDEX(AI$131:AI$148,MATCH($B180,$B$131:$B$148,0))*INDEX('Resource costs'!$C$121:$C$142, MATCH($B180, 'Resource costs'!$B$121:$B$142,0))</f>
        <v>213.69038671812197</v>
      </c>
      <c r="AJ180" s="90">
        <f>INDEX(AJ$131:AJ$148,MATCH($B180,$B$131:$B$148,0))*INDEX('Resource costs'!$C$121:$C$142, MATCH($B180, 'Resource costs'!$B$121:$B$142,0))</f>
        <v>215.31010018949746</v>
      </c>
      <c r="AK180" s="90">
        <f>INDEX(AK$131:AK$148,MATCH($B180,$B$131:$B$148,0))*INDEX('Resource costs'!$C$121:$C$142, MATCH($B180, 'Resource costs'!$B$121:$B$142,0))</f>
        <v>216.87751468268743</v>
      </c>
      <c r="AL180" s="90">
        <f>INDEX(AL$131:AL$148,MATCH($B180,$B$131:$B$148,0))*INDEX('Resource costs'!$C$121:$C$142, MATCH($B180, 'Resource costs'!$B$121:$B$142,0))</f>
        <v>218.35117019476004</v>
      </c>
      <c r="AM180" s="90">
        <f>INDEX(AM$131:AM$148,MATCH($B180,$B$131:$B$148,0))*INDEX('Resource costs'!$C$121:$C$142, MATCH($B180, 'Resource costs'!$B$121:$B$142,0))</f>
        <v>219.71020877905519</v>
      </c>
      <c r="AN180" s="90">
        <f>INDEX(AN$131:AN$148,MATCH($B180,$B$131:$B$148,0))*INDEX('Resource costs'!$C$121:$C$142, MATCH($B180, 'Resource costs'!$B$121:$B$142,0))</f>
        <v>220.93865639333742</v>
      </c>
      <c r="AO180" s="90">
        <f>INDEX(AO$131:AO$148,MATCH($B180,$B$131:$B$148,0))*INDEX('Resource costs'!$C$121:$C$142, MATCH($B180, 'Resource costs'!$B$121:$B$142,0))</f>
        <v>222.02762849053863</v>
      </c>
      <c r="AP180" s="90">
        <f>INDEX(AP$131:AP$148,MATCH($B180,$B$131:$B$148,0))*INDEX('Resource costs'!$C$121:$C$142, MATCH($B180, 'Resource costs'!$B$121:$B$142,0))</f>
        <v>222.97044718844953</v>
      </c>
      <c r="AQ180" s="90">
        <f>INDEX(AQ$131:AQ$148,MATCH($B180,$B$131:$B$148,0))*INDEX('Resource costs'!$C$121:$C$142, MATCH($B180, 'Resource costs'!$B$121:$B$142,0))</f>
        <v>223.83947126906935</v>
      </c>
      <c r="AR180" s="90">
        <f>INDEX(AR$131:AR$148,MATCH($B180,$B$131:$B$148,0))*INDEX('Resource costs'!$C$121:$C$142, MATCH($B180, 'Resource costs'!$B$121:$B$142,0))</f>
        <v>224.6975881402679</v>
      </c>
      <c r="AS180" s="90">
        <f>INDEX(AS$131:AS$148,MATCH($B180,$B$131:$B$148,0))*INDEX('Resource costs'!$C$121:$C$142, MATCH($B180, 'Resource costs'!$B$121:$B$142,0))</f>
        <v>225.58755737396999</v>
      </c>
      <c r="AT180" s="90">
        <f>INDEX(AT$131:AT$148,MATCH($B180,$B$131:$B$148,0))*INDEX('Resource costs'!$C$121:$C$142, MATCH($B180, 'Resource costs'!$B$121:$B$142,0))</f>
        <v>226.24202043551929</v>
      </c>
      <c r="AU180" s="90">
        <f>INDEX(AU$131:AU$148,MATCH($B180,$B$131:$B$148,0))*INDEX('Resource costs'!$C$121:$C$142, MATCH($B180, 'Resource costs'!$B$121:$B$142,0))</f>
        <v>226.7465296707268</v>
      </c>
      <c r="AV180" s="90">
        <f>INDEX(AV$131:AV$148,MATCH($B180,$B$131:$B$148,0))*INDEX('Resource costs'!$C$121:$C$142, MATCH($B180, 'Resource costs'!$B$121:$B$142,0))</f>
        <v>227.15567482681448</v>
      </c>
      <c r="AW180" s="90">
        <f>INDEX(AW$131:AW$148,MATCH($B180,$B$131:$B$148,0))*INDEX('Resource costs'!$C$121:$C$142, MATCH($B180, 'Resource costs'!$B$121:$B$142,0))</f>
        <v>227.32844003557472</v>
      </c>
      <c r="AX180" s="90">
        <f>INDEX(AX$131:AX$148,MATCH($B180,$B$131:$B$148,0))*INDEX('Resource costs'!$C$121:$C$142, MATCH($B180, 'Resource costs'!$B$121:$B$142,0))</f>
        <v>227.37509677065628</v>
      </c>
      <c r="AY180" s="90">
        <f>INDEX(AY$131:AY$148,MATCH($B180,$B$131:$B$148,0))*INDEX('Resource costs'!$C$121:$C$142, MATCH($B180, 'Resource costs'!$B$121:$B$142,0))</f>
        <v>227.35867060341533</v>
      </c>
      <c r="AZ180" s="90">
        <f>INDEX(AZ$131:AZ$148,MATCH($B180,$B$131:$B$148,0))*INDEX('Resource costs'!$C$121:$C$142, MATCH($B180, 'Resource costs'!$B$121:$B$142,0))</f>
        <v>227.31438883629139</v>
      </c>
      <c r="BA180" s="90">
        <f>INDEX(BA$131:BA$148,MATCH($B180,$B$131:$B$148,0))*INDEX('Resource costs'!$C$121:$C$142, MATCH($B180, 'Resource costs'!$B$121:$B$142,0))</f>
        <v>227.2612677339028</v>
      </c>
      <c r="BB180" s="90">
        <f>INDEX(BB$131:BB$148,MATCH($B180,$B$131:$B$148,0))*INDEX('Resource costs'!$C$121:$C$142, MATCH($B180, 'Resource costs'!$B$121:$B$142,0))</f>
        <v>227.20900023917935</v>
      </c>
    </row>
    <row r="181" spans="2:54" s="97" customFormat="1">
      <c r="B181" s="6" t="s">
        <v>15</v>
      </c>
      <c r="C181" s="315"/>
      <c r="D181" s="90">
        <f>INDEX(D$131:D$148,MATCH($B181,$B$131:$B$148,0))*INDEX('Resource costs'!$C$121:$C$142, MATCH($B181, 'Resource costs'!$B$121:$B$142,0))</f>
        <v>1046.4323042329825</v>
      </c>
      <c r="E181" s="90">
        <f>INDEX(E$131:E$148,MATCH($B181,$B$131:$B$148,0))*INDEX('Resource costs'!$C$121:$C$142, MATCH($B181, 'Resource costs'!$B$121:$B$142,0))</f>
        <v>1082.1998370201322</v>
      </c>
      <c r="F181" s="90">
        <f>INDEX(F$131:F$148,MATCH($B181,$B$131:$B$148,0))*INDEX('Resource costs'!$C$121:$C$142, MATCH($B181, 'Resource costs'!$B$121:$B$142,0))</f>
        <v>1112.8124382255958</v>
      </c>
      <c r="G181" s="90">
        <f>INDEX(G$131:G$148,MATCH($B181,$B$131:$B$148,0))*INDEX('Resource costs'!$C$121:$C$142, MATCH($B181, 'Resource costs'!$B$121:$B$142,0))</f>
        <v>1139.9535369768039</v>
      </c>
      <c r="H181" s="90">
        <f>INDEX(H$131:H$148,MATCH($B181,$B$131:$B$148,0))*INDEX('Resource costs'!$C$121:$C$142, MATCH($B181, 'Resource costs'!$B$121:$B$142,0))</f>
        <v>1494.5068277131209</v>
      </c>
      <c r="I181" s="90">
        <f>INDEX(I$131:I$148,MATCH($B181,$B$131:$B$148,0))*INDEX('Resource costs'!$C$121:$C$142, MATCH($B181, 'Resource costs'!$B$121:$B$142,0))</f>
        <v>1327.2617249694567</v>
      </c>
      <c r="J181" s="90">
        <f>INDEX(J$131:J$148,MATCH($B181,$B$131:$B$148,0))*INDEX('Resource costs'!$C$121:$C$142, MATCH($B181, 'Resource costs'!$B$121:$B$142,0))</f>
        <v>1229.2469671326689</v>
      </c>
      <c r="K181" s="90">
        <f>INDEX(K$131:K$148,MATCH($B181,$B$131:$B$148,0))*INDEX('Resource costs'!$C$121:$C$142, MATCH($B181, 'Resource costs'!$B$121:$B$142,0))</f>
        <v>1174.8247819376197</v>
      </c>
      <c r="L181" s="90">
        <f>INDEX(L$131:L$148,MATCH($B181,$B$131:$B$148,0))*INDEX('Resource costs'!$C$121:$C$142, MATCH($B181, 'Resource costs'!$B$121:$B$142,0))</f>
        <v>1149.8167651136152</v>
      </c>
      <c r="M181" s="90">
        <f>INDEX(M$131:M$148,MATCH($B181,$B$131:$B$148,0))*INDEX('Resource costs'!$C$121:$C$142, MATCH($B181, 'Resource costs'!$B$121:$B$142,0))</f>
        <v>1142.033270048418</v>
      </c>
      <c r="N181" s="90">
        <f>INDEX(N$131:N$148,MATCH($B181,$B$131:$B$148,0))*INDEX('Resource costs'!$C$121:$C$142, MATCH($B181, 'Resource costs'!$B$121:$B$142,0))</f>
        <v>1144.4154428283073</v>
      </c>
      <c r="O181" s="90">
        <f>INDEX(O$131:O$148,MATCH($B181,$B$131:$B$148,0))*INDEX('Resource costs'!$C$121:$C$142, MATCH($B181, 'Resource costs'!$B$121:$B$142,0))</f>
        <v>1153.6110962139851</v>
      </c>
      <c r="P181" s="90">
        <f>INDEX(P$131:P$148,MATCH($B181,$B$131:$B$148,0))*INDEX('Resource costs'!$C$121:$C$142, MATCH($B181, 'Resource costs'!$B$121:$B$142,0))</f>
        <v>1165.8882780394854</v>
      </c>
      <c r="Q181" s="90">
        <f>INDEX(Q$131:Q$148,MATCH($B181,$B$131:$B$148,0))*INDEX('Resource costs'!$C$121:$C$142, MATCH($B181, 'Resource costs'!$B$121:$B$142,0))</f>
        <v>1179.731248080448</v>
      </c>
      <c r="R181" s="90">
        <f>INDEX(R$131:R$148,MATCH($B181,$B$131:$B$148,0))*INDEX('Resource costs'!$C$121:$C$142, MATCH($B181, 'Resource costs'!$B$121:$B$142,0))</f>
        <v>1194.5811934760827</v>
      </c>
      <c r="S181" s="90">
        <f>INDEX(S$131:S$148,MATCH($B181,$B$131:$B$148,0))*INDEX('Resource costs'!$C$121:$C$142, MATCH($B181, 'Resource costs'!$B$121:$B$142,0))</f>
        <v>1209.9512596575578</v>
      </c>
      <c r="T181" s="90">
        <f>INDEX(T$131:T$148,MATCH($B181,$B$131:$B$148,0))*INDEX('Resource costs'!$C$121:$C$142, MATCH($B181, 'Resource costs'!$B$121:$B$142,0))</f>
        <v>1225.4521571622909</v>
      </c>
      <c r="U181" s="90">
        <f>INDEX(U$131:U$148,MATCH($B181,$B$131:$B$148,0))*INDEX('Resource costs'!$C$121:$C$142, MATCH($B181, 'Resource costs'!$B$121:$B$142,0))</f>
        <v>1241.1328706861736</v>
      </c>
      <c r="V181" s="90">
        <f>INDEX(V$131:V$148,MATCH($B181,$B$131:$B$148,0))*INDEX('Resource costs'!$C$121:$C$142, MATCH($B181, 'Resource costs'!$B$121:$B$142,0))</f>
        <v>1257.5747799585679</v>
      </c>
      <c r="W181" s="90">
        <f>INDEX(W$131:W$148,MATCH($B181,$B$131:$B$148,0))*INDEX('Resource costs'!$C$121:$C$142, MATCH($B181, 'Resource costs'!$B$121:$B$142,0))</f>
        <v>1273.7981191887259</v>
      </c>
      <c r="X181" s="90">
        <f>INDEX(X$131:X$148,MATCH($B181,$B$131:$B$148,0))*INDEX('Resource costs'!$C$121:$C$142, MATCH($B181, 'Resource costs'!$B$121:$B$142,0))</f>
        <v>1289.6335373244376</v>
      </c>
      <c r="Y181" s="90">
        <f>INDEX(Y$131:Y$148,MATCH($B181,$B$131:$B$148,0))*INDEX('Resource costs'!$C$121:$C$142, MATCH($B181, 'Resource costs'!$B$121:$B$142,0))</f>
        <v>1305.4462951155153</v>
      </c>
      <c r="Z181" s="90">
        <f>INDEX(Z$131:Z$148,MATCH($B181,$B$131:$B$148,0))*INDEX('Resource costs'!$C$121:$C$142, MATCH($B181, 'Resource costs'!$B$121:$B$142,0))</f>
        <v>1321.0311183484778</v>
      </c>
      <c r="AA181" s="90">
        <f>INDEX(AA$131:AA$148,MATCH($B181,$B$131:$B$148,0))*INDEX('Resource costs'!$C$121:$C$142, MATCH($B181, 'Resource costs'!$B$121:$B$142,0))</f>
        <v>1336.2522816281287</v>
      </c>
      <c r="AB181" s="90">
        <f>INDEX(AB$131:AB$148,MATCH($B181,$B$131:$B$148,0))*INDEX('Resource costs'!$C$121:$C$142, MATCH($B181, 'Resource costs'!$B$121:$B$142,0))</f>
        <v>1351.0280240563986</v>
      </c>
      <c r="AC181" s="90">
        <f>INDEX(AC$131:AC$148,MATCH($B181,$B$131:$B$148,0))*INDEX('Resource costs'!$C$121:$C$142, MATCH($B181, 'Resource costs'!$B$121:$B$142,0))</f>
        <v>1365.4697645997278</v>
      </c>
      <c r="AD181" s="90">
        <f>INDEX(AD$131:AD$148,MATCH($B181,$B$131:$B$148,0))*INDEX('Resource costs'!$C$121:$C$142, MATCH($B181, 'Resource costs'!$B$121:$B$142,0))</f>
        <v>1379.4060389133035</v>
      </c>
      <c r="AE181" s="90">
        <f>INDEX(AE$131:AE$148,MATCH($B181,$B$131:$B$148,0))*INDEX('Resource costs'!$C$121:$C$142, MATCH($B181, 'Resource costs'!$B$121:$B$142,0))</f>
        <v>1392.6936904912905</v>
      </c>
      <c r="AF181" s="90">
        <f>INDEX(AF$131:AF$148,MATCH($B181,$B$131:$B$148,0))*INDEX('Resource costs'!$C$121:$C$142, MATCH($B181, 'Resource costs'!$B$121:$B$142,0))</f>
        <v>1405.2437746950839</v>
      </c>
      <c r="AG181" s="90">
        <f>INDEX(AG$131:AG$148,MATCH($B181,$B$131:$B$148,0))*INDEX('Resource costs'!$C$121:$C$142, MATCH($B181, 'Resource costs'!$B$121:$B$142,0))</f>
        <v>1417.1028916396308</v>
      </c>
      <c r="AH181" s="90">
        <f>INDEX(AH$131:AH$148,MATCH($B181,$B$131:$B$148,0))*INDEX('Resource costs'!$C$121:$C$142, MATCH($B181, 'Resource costs'!$B$121:$B$142,0))</f>
        <v>1428.5660950657275</v>
      </c>
      <c r="AI181" s="90">
        <f>INDEX(AI$131:AI$148,MATCH($B181,$B$131:$B$148,0))*INDEX('Resource costs'!$C$121:$C$142, MATCH($B181, 'Resource costs'!$B$121:$B$142,0))</f>
        <v>1439.6678671905634</v>
      </c>
      <c r="AJ181" s="90">
        <f>INDEX(AJ$131:AJ$148,MATCH($B181,$B$131:$B$148,0))*INDEX('Resource costs'!$C$121:$C$142, MATCH($B181, 'Resource costs'!$B$121:$B$142,0))</f>
        <v>1450.5801476848228</v>
      </c>
      <c r="AK181" s="90">
        <f>INDEX(AK$131:AK$148,MATCH($B181,$B$131:$B$148,0))*INDEX('Resource costs'!$C$121:$C$142, MATCH($B181, 'Resource costs'!$B$121:$B$142,0))</f>
        <v>1461.1400812179631</v>
      </c>
      <c r="AL181" s="90">
        <f>INDEX(AL$131:AL$148,MATCH($B181,$B$131:$B$148,0))*INDEX('Resource costs'!$C$121:$C$142, MATCH($B181, 'Resource costs'!$B$121:$B$142,0))</f>
        <v>1471.0683448175689</v>
      </c>
      <c r="AM181" s="90">
        <f>INDEX(AM$131:AM$148,MATCH($B181,$B$131:$B$148,0))*INDEX('Resource costs'!$C$121:$C$142, MATCH($B181, 'Resource costs'!$B$121:$B$142,0))</f>
        <v>1480.2244150092654</v>
      </c>
      <c r="AN181" s="90">
        <f>INDEX(AN$131:AN$148,MATCH($B181,$B$131:$B$148,0))*INDEX('Resource costs'!$C$121:$C$142, MATCH($B181, 'Resource costs'!$B$121:$B$142,0))</f>
        <v>1488.5006719994403</v>
      </c>
      <c r="AO181" s="90">
        <f>INDEX(AO$131:AO$148,MATCH($B181,$B$131:$B$148,0))*INDEX('Resource costs'!$C$121:$C$142, MATCH($B181, 'Resource costs'!$B$121:$B$142,0))</f>
        <v>1495.8372591088814</v>
      </c>
      <c r="AP181" s="90">
        <f>INDEX(AP$131:AP$148,MATCH($B181,$B$131:$B$148,0))*INDEX('Resource costs'!$C$121:$C$142, MATCH($B181, 'Resource costs'!$B$121:$B$142,0))</f>
        <v>1502.1891863285146</v>
      </c>
      <c r="AQ181" s="90">
        <f>INDEX(AQ$131:AQ$148,MATCH($B181,$B$131:$B$148,0))*INDEX('Resource costs'!$C$121:$C$142, MATCH($B181, 'Resource costs'!$B$121:$B$142,0))</f>
        <v>1508.0439468720176</v>
      </c>
      <c r="AR181" s="90">
        <f>INDEX(AR$131:AR$148,MATCH($B181,$B$131:$B$148,0))*INDEX('Resource costs'!$C$121:$C$142, MATCH($B181, 'Resource costs'!$B$121:$B$142,0))</f>
        <v>1513.8252237218194</v>
      </c>
      <c r="AS181" s="90">
        <f>INDEX(AS$131:AS$148,MATCH($B181,$B$131:$B$148,0))*INDEX('Resource costs'!$C$121:$C$142, MATCH($B181, 'Resource costs'!$B$121:$B$142,0))</f>
        <v>1519.8210952639454</v>
      </c>
      <c r="AT181" s="90">
        <f>INDEX(AT$131:AT$148,MATCH($B181,$B$131:$B$148,0))*INDEX('Resource costs'!$C$121:$C$142, MATCH($B181, 'Resource costs'!$B$121:$B$142,0))</f>
        <v>1524.2303223445188</v>
      </c>
      <c r="AU181" s="90">
        <f>INDEX(AU$131:AU$148,MATCH($B181,$B$131:$B$148,0))*INDEX('Resource costs'!$C$121:$C$142, MATCH($B181, 'Resource costs'!$B$121:$B$142,0))</f>
        <v>1527.6292854227559</v>
      </c>
      <c r="AV181" s="90">
        <f>INDEX(AV$131:AV$148,MATCH($B181,$B$131:$B$148,0))*INDEX('Resource costs'!$C$121:$C$142, MATCH($B181, 'Resource costs'!$B$121:$B$142,0))</f>
        <v>1530.3857647538221</v>
      </c>
      <c r="AW181" s="90">
        <f>INDEX(AW$131:AW$148,MATCH($B181,$B$131:$B$148,0))*INDEX('Resource costs'!$C$121:$C$142, MATCH($B181, 'Resource costs'!$B$121:$B$142,0))</f>
        <v>1531.5497128538773</v>
      </c>
      <c r="AX181" s="90">
        <f>INDEX(AX$131:AX$148,MATCH($B181,$B$131:$B$148,0))*INDEX('Resource costs'!$C$121:$C$142, MATCH($B181, 'Resource costs'!$B$121:$B$142,0))</f>
        <v>1531.8640470797475</v>
      </c>
      <c r="AY181" s="90">
        <f>INDEX(AY$131:AY$148,MATCH($B181,$B$131:$B$148,0))*INDEX('Resource costs'!$C$121:$C$142, MATCH($B181, 'Resource costs'!$B$121:$B$142,0))</f>
        <v>1531.7533812443721</v>
      </c>
      <c r="AZ181" s="90">
        <f>INDEX(AZ$131:AZ$148,MATCH($B181,$B$131:$B$148,0))*INDEX('Resource costs'!$C$121:$C$142, MATCH($B181, 'Resource costs'!$B$121:$B$142,0))</f>
        <v>1531.4550475747585</v>
      </c>
      <c r="BA181" s="90">
        <f>INDEX(BA$131:BA$148,MATCH($B181,$B$131:$B$148,0))*INDEX('Resource costs'!$C$121:$C$142, MATCH($B181, 'Resource costs'!$B$121:$B$142,0))</f>
        <v>1531.0971618254127</v>
      </c>
      <c r="BB181" s="90">
        <f>INDEX(BB$131:BB$148,MATCH($B181,$B$131:$B$148,0))*INDEX('Resource costs'!$C$121:$C$142, MATCH($B181, 'Resource costs'!$B$121:$B$142,0))</f>
        <v>1530.7450269736416</v>
      </c>
    </row>
    <row r="182" spans="2:54" s="97" customFormat="1" ht="29">
      <c r="B182" s="6" t="s">
        <v>16</v>
      </c>
      <c r="C182" s="315"/>
      <c r="D182" s="90">
        <f>INDEX(D$131:D$148,MATCH($B182,$B$131:$B$148,0))*INDEX('Resource costs'!$C$121:$C$142, MATCH($B182, 'Resource costs'!$B$121:$B$142,0))</f>
        <v>5608.7715348141437</v>
      </c>
      <c r="E182" s="90">
        <f>INDEX(E$131:E$148,MATCH($B182,$B$131:$B$148,0))*INDEX('Resource costs'!$C$121:$C$142, MATCH($B182, 'Resource costs'!$B$121:$B$142,0))</f>
        <v>5800.4819005545651</v>
      </c>
      <c r="F182" s="90">
        <f>INDEX(F$131:F$148,MATCH($B182,$B$131:$B$148,0))*INDEX('Resource costs'!$C$121:$C$142, MATCH($B182, 'Resource costs'!$B$121:$B$142,0))</f>
        <v>5964.5623533017442</v>
      </c>
      <c r="G182" s="90">
        <f>INDEX(G$131:G$148,MATCH($B182,$B$131:$B$148,0))*INDEX('Resource costs'!$C$121:$C$142, MATCH($B182, 'Resource costs'!$B$121:$B$142,0))</f>
        <v>6110.0359032710712</v>
      </c>
      <c r="H182" s="90">
        <f>INDEX(H$131:H$148,MATCH($B182,$B$131:$B$148,0))*INDEX('Resource costs'!$C$121:$C$142, MATCH($B182, 'Resource costs'!$B$121:$B$142,0))</f>
        <v>8010.4057567363243</v>
      </c>
      <c r="I182" s="90">
        <f>INDEX(I$131:I$148,MATCH($B182,$B$131:$B$148,0))*INDEX('Resource costs'!$C$121:$C$142, MATCH($B182, 'Resource costs'!$B$121:$B$142,0))</f>
        <v>7113.9888859925459</v>
      </c>
      <c r="J182" s="90">
        <f>INDEX(J$131:J$148,MATCH($B182,$B$131:$B$148,0))*INDEX('Resource costs'!$C$121:$C$142, MATCH($B182, 'Resource costs'!$B$121:$B$142,0))</f>
        <v>6588.6396765664967</v>
      </c>
      <c r="K182" s="90">
        <f>INDEX(K$131:K$148,MATCH($B182,$B$131:$B$148,0))*INDEX('Resource costs'!$C$121:$C$142, MATCH($B182, 'Resource costs'!$B$121:$B$142,0))</f>
        <v>6296.9422567242136</v>
      </c>
      <c r="L182" s="90">
        <f>INDEX(L$131:L$148,MATCH($B182,$B$131:$B$148,0))*INDEX('Resource costs'!$C$121:$C$142, MATCH($B182, 'Resource costs'!$B$121:$B$142,0))</f>
        <v>6162.9018105938349</v>
      </c>
      <c r="M182" s="90">
        <f>INDEX(M$131:M$148,MATCH($B182,$B$131:$B$148,0))*INDEX('Resource costs'!$C$121:$C$142, MATCH($B182, 'Resource costs'!$B$121:$B$142,0))</f>
        <v>6121.1830626285337</v>
      </c>
      <c r="N182" s="90">
        <f>INDEX(N$131:N$148,MATCH($B182,$B$131:$B$148,0))*INDEX('Resource costs'!$C$121:$C$142, MATCH($B182, 'Resource costs'!$B$121:$B$142,0))</f>
        <v>6133.9512682972663</v>
      </c>
      <c r="O182" s="90">
        <f>INDEX(O$131:O$148,MATCH($B182,$B$131:$B$148,0))*INDEX('Resource costs'!$C$121:$C$142, MATCH($B182, 'Resource costs'!$B$121:$B$142,0))</f>
        <v>6183.2390423319293</v>
      </c>
      <c r="P182" s="90">
        <f>INDEX(P$131:P$148,MATCH($B182,$B$131:$B$148,0))*INDEX('Resource costs'!$C$121:$C$142, MATCH($B182, 'Resource costs'!$B$121:$B$142,0))</f>
        <v>6249.0434977869591</v>
      </c>
      <c r="Q182" s="90">
        <f>INDEX(Q$131:Q$148,MATCH($B182,$B$131:$B$148,0))*INDEX('Resource costs'!$C$121:$C$142, MATCH($B182, 'Resource costs'!$B$121:$B$142,0))</f>
        <v>6323.2404200426663</v>
      </c>
      <c r="R182" s="90">
        <f>INDEX(R$131:R$148,MATCH($B182,$B$131:$B$148,0))*INDEX('Resource costs'!$C$121:$C$142, MATCH($B182, 'Resource costs'!$B$121:$B$142,0))</f>
        <v>6402.8346285659136</v>
      </c>
      <c r="S182" s="90">
        <f>INDEX(S$131:S$148,MATCH($B182,$B$131:$B$148,0))*INDEX('Resource costs'!$C$121:$C$142, MATCH($B182, 'Resource costs'!$B$121:$B$142,0))</f>
        <v>6485.2166320057395</v>
      </c>
      <c r="T182" s="90">
        <f>INDEX(T$131:T$148,MATCH($B182,$B$131:$B$148,0))*INDEX('Resource costs'!$C$121:$C$142, MATCH($B182, 'Resource costs'!$B$121:$B$142,0))</f>
        <v>6568.29987813349</v>
      </c>
      <c r="U182" s="90">
        <f>INDEX(U$131:U$148,MATCH($B182,$B$131:$B$148,0))*INDEX('Resource costs'!$C$121:$C$142, MATCH($B182, 'Resource costs'!$B$121:$B$142,0))</f>
        <v>6652.3469199751444</v>
      </c>
      <c r="V182" s="90">
        <f>INDEX(V$131:V$148,MATCH($B182,$B$131:$B$148,0))*INDEX('Resource costs'!$C$121:$C$142, MATCH($B182, 'Resource costs'!$B$121:$B$142,0))</f>
        <v>6740.4738942017257</v>
      </c>
      <c r="W182" s="90">
        <f>INDEX(W$131:W$148,MATCH($B182,$B$131:$B$148,0))*INDEX('Resource costs'!$C$121:$C$142, MATCH($B182, 'Resource costs'!$B$121:$B$142,0))</f>
        <v>6827.4293550620814</v>
      </c>
      <c r="X182" s="90">
        <f>INDEX(X$131:X$148,MATCH($B182,$B$131:$B$148,0))*INDEX('Resource costs'!$C$121:$C$142, MATCH($B182, 'Resource costs'!$B$121:$B$142,0))</f>
        <v>6912.3055980088839</v>
      </c>
      <c r="Y182" s="90">
        <f>INDEX(Y$131:Y$148,MATCH($B182,$B$131:$B$148,0))*INDEX('Resource costs'!$C$121:$C$142, MATCH($B182, 'Resource costs'!$B$121:$B$142,0))</f>
        <v>6997.0603837955432</v>
      </c>
      <c r="Z182" s="90">
        <f>INDEX(Z$131:Z$148,MATCH($B182,$B$131:$B$148,0))*INDEX('Resource costs'!$C$121:$C$142, MATCH($B182, 'Resource costs'!$B$121:$B$142,0))</f>
        <v>7080.5934633560219</v>
      </c>
      <c r="AA182" s="90">
        <f>INDEX(AA$131:AA$148,MATCH($B182,$B$131:$B$148,0))*INDEX('Resource costs'!$C$121:$C$142, MATCH($B182, 'Resource costs'!$B$121:$B$142,0))</f>
        <v>7162.1773622707642</v>
      </c>
      <c r="AB182" s="90">
        <f>INDEX(AB$131:AB$148,MATCH($B182,$B$131:$B$148,0))*INDEX('Resource costs'!$C$121:$C$142, MATCH($B182, 'Resource costs'!$B$121:$B$142,0))</f>
        <v>7241.3738503782015</v>
      </c>
      <c r="AC182" s="90">
        <f>INDEX(AC$131:AC$148,MATCH($B182,$B$131:$B$148,0))*INDEX('Resource costs'!$C$121:$C$142, MATCH($B182, 'Resource costs'!$B$121:$B$142,0))</f>
        <v>7318.780122092996</v>
      </c>
      <c r="AD182" s="90">
        <f>INDEX(AD$131:AD$148,MATCH($B182,$B$131:$B$148,0))*INDEX('Resource costs'!$C$121:$C$142, MATCH($B182, 'Resource costs'!$B$121:$B$142,0))</f>
        <v>7393.4771458327577</v>
      </c>
      <c r="AE182" s="90">
        <f>INDEX(AE$131:AE$148,MATCH($B182,$B$131:$B$148,0))*INDEX('Resource costs'!$C$121:$C$142, MATCH($B182, 'Resource costs'!$B$121:$B$142,0))</f>
        <v>7464.6976171749238</v>
      </c>
      <c r="AF182" s="90">
        <f>INDEX(AF$131:AF$148,MATCH($B182,$B$131:$B$148,0))*INDEX('Resource costs'!$C$121:$C$142, MATCH($B182, 'Resource costs'!$B$121:$B$142,0))</f>
        <v>7531.9648018337093</v>
      </c>
      <c r="AG182" s="90">
        <f>INDEX(AG$131:AG$148,MATCH($B182,$B$131:$B$148,0))*INDEX('Resource costs'!$C$121:$C$142, MATCH($B182, 'Resource costs'!$B$121:$B$142,0))</f>
        <v>7595.5284717219001</v>
      </c>
      <c r="AH182" s="90">
        <f>INDEX(AH$131:AH$148,MATCH($B182,$B$131:$B$148,0))*INDEX('Resource costs'!$C$121:$C$142, MATCH($B182, 'Resource costs'!$B$121:$B$142,0))</f>
        <v>7656.9700851105499</v>
      </c>
      <c r="AI182" s="90">
        <f>INDEX(AI$131:AI$148,MATCH($B182,$B$131:$B$148,0))*INDEX('Resource costs'!$C$121:$C$142, MATCH($B182, 'Resource costs'!$B$121:$B$142,0))</f>
        <v>7716.4744632035145</v>
      </c>
      <c r="AJ182" s="90">
        <f>INDEX(AJ$131:AJ$148,MATCH($B182,$B$131:$B$148,0))*INDEX('Resource costs'!$C$121:$C$142, MATCH($B182, 'Resource costs'!$B$121:$B$142,0))</f>
        <v>7774.9631852818848</v>
      </c>
      <c r="AK182" s="90">
        <f>INDEX(AK$131:AK$148,MATCH($B182,$B$131:$B$148,0))*INDEX('Resource costs'!$C$121:$C$142, MATCH($B182, 'Resource costs'!$B$121:$B$142,0))</f>
        <v>7831.563363210852</v>
      </c>
      <c r="AL182" s="90">
        <f>INDEX(AL$131:AL$148,MATCH($B182,$B$131:$B$148,0))*INDEX('Resource costs'!$C$121:$C$142, MATCH($B182, 'Resource costs'!$B$121:$B$142,0))</f>
        <v>7884.7778540501959</v>
      </c>
      <c r="AM182" s="90">
        <f>INDEX(AM$131:AM$148,MATCH($B182,$B$131:$B$148,0))*INDEX('Resource costs'!$C$121:$C$142, MATCH($B182, 'Resource costs'!$B$121:$B$142,0))</f>
        <v>7933.8534661602307</v>
      </c>
      <c r="AN182" s="90">
        <f>INDEX(AN$131:AN$148,MATCH($B182,$B$131:$B$148,0))*INDEX('Resource costs'!$C$121:$C$142, MATCH($B182, 'Resource costs'!$B$121:$B$142,0))</f>
        <v>7978.2133683092043</v>
      </c>
      <c r="AO182" s="90">
        <f>INDEX(AO$131:AO$148,MATCH($B182,$B$131:$B$148,0))*INDEX('Resource costs'!$C$121:$C$142, MATCH($B182, 'Resource costs'!$B$121:$B$142,0))</f>
        <v>8017.5367347378424</v>
      </c>
      <c r="AP182" s="90">
        <f>INDEX(AP$131:AP$148,MATCH($B182,$B$131:$B$148,0))*INDEX('Resource costs'!$C$121:$C$142, MATCH($B182, 'Resource costs'!$B$121:$B$142,0))</f>
        <v>8051.5824235383261</v>
      </c>
      <c r="AQ182" s="90">
        <f>INDEX(AQ$131:AQ$148,MATCH($B182,$B$131:$B$148,0))*INDEX('Resource costs'!$C$121:$C$142, MATCH($B182, 'Resource costs'!$B$121:$B$142,0))</f>
        <v>8082.9633491335298</v>
      </c>
      <c r="AR182" s="90">
        <f>INDEX(AR$131:AR$148,MATCH($B182,$B$131:$B$148,0))*INDEX('Resource costs'!$C$121:$C$142, MATCH($B182, 'Resource costs'!$B$121:$B$142,0))</f>
        <v>8113.9504095471657</v>
      </c>
      <c r="AS182" s="90">
        <f>INDEX(AS$131:AS$148,MATCH($B182,$B$131:$B$148,0))*INDEX('Resource costs'!$C$121:$C$142, MATCH($B182, 'Resource costs'!$B$121:$B$142,0))</f>
        <v>8146.0876758527284</v>
      </c>
      <c r="AT182" s="90">
        <f>INDEX(AT$131:AT$148,MATCH($B182,$B$131:$B$148,0))*INDEX('Resource costs'!$C$121:$C$142, MATCH($B182, 'Resource costs'!$B$121:$B$142,0))</f>
        <v>8169.7206879835776</v>
      </c>
      <c r="AU182" s="90">
        <f>INDEX(AU$131:AU$148,MATCH($B182,$B$131:$B$148,0))*INDEX('Resource costs'!$C$121:$C$142, MATCH($B182, 'Resource costs'!$B$121:$B$142,0))</f>
        <v>8187.9387870273331</v>
      </c>
      <c r="AV182" s="90">
        <f>INDEX(AV$131:AV$148,MATCH($B182,$B$131:$B$148,0))*INDEX('Resource costs'!$C$121:$C$142, MATCH($B182, 'Resource costs'!$B$121:$B$142,0))</f>
        <v>8202.7132380318071</v>
      </c>
      <c r="AW182" s="90">
        <f>INDEX(AW$131:AW$148,MATCH($B182,$B$131:$B$148,0))*INDEX('Resource costs'!$C$121:$C$142, MATCH($B182, 'Resource costs'!$B$121:$B$142,0))</f>
        <v>8208.9518823714188</v>
      </c>
      <c r="AX182" s="90">
        <f>INDEX(AX$131:AX$148,MATCH($B182,$B$131:$B$148,0))*INDEX('Resource costs'!$C$121:$C$142, MATCH($B182, 'Resource costs'!$B$121:$B$142,0))</f>
        <v>8210.6366820964922</v>
      </c>
      <c r="AY182" s="90">
        <f>INDEX(AY$131:AY$148,MATCH($B182,$B$131:$B$148,0))*INDEX('Resource costs'!$C$121:$C$142, MATCH($B182, 'Resource costs'!$B$121:$B$142,0))</f>
        <v>8210.0435243883239</v>
      </c>
      <c r="AZ182" s="90">
        <f>INDEX(AZ$131:AZ$148,MATCH($B182,$B$131:$B$148,0))*INDEX('Resource costs'!$C$121:$C$142, MATCH($B182, 'Resource costs'!$B$121:$B$142,0))</f>
        <v>8208.444486029859</v>
      </c>
      <c r="BA182" s="90">
        <f>INDEX(BA$131:BA$148,MATCH($B182,$B$131:$B$148,0))*INDEX('Resource costs'!$C$121:$C$142, MATCH($B182, 'Resource costs'!$B$121:$B$142,0))</f>
        <v>8206.5262545345904</v>
      </c>
      <c r="BB182" s="90">
        <f>INDEX(BB$131:BB$148,MATCH($B182,$B$131:$B$148,0))*INDEX('Resource costs'!$C$121:$C$142, MATCH($B182, 'Resource costs'!$B$121:$B$142,0))</f>
        <v>8204.6388472698873</v>
      </c>
    </row>
    <row r="183" spans="2:54" s="97" customFormat="1">
      <c r="B183" s="6" t="s">
        <v>103</v>
      </c>
      <c r="C183" s="315"/>
      <c r="D183" s="90">
        <f>INDEX(D$131:D$148,MATCH($B183,$B$131:$B$148,0))*INDEX('Resource costs'!$C$121:$C$142, MATCH($B183, 'Resource costs'!$B$121:$B$142,0))</f>
        <v>110124.10206790602</v>
      </c>
      <c r="E183" s="90">
        <f>INDEX(E$131:E$148,MATCH($B183,$B$131:$B$148,0))*INDEX('Resource costs'!$C$121:$C$142, MATCH($B183, 'Resource costs'!$B$121:$B$142,0))</f>
        <v>113888.19403585837</v>
      </c>
      <c r="F183" s="90">
        <f>INDEX(F$131:F$148,MATCH($B183,$B$131:$B$148,0))*INDEX('Resource costs'!$C$121:$C$142, MATCH($B183, 'Resource costs'!$B$121:$B$142,0))</f>
        <v>117109.79299269256</v>
      </c>
      <c r="G183" s="90">
        <f>INDEX(G$131:G$148,MATCH($B183,$B$131:$B$148,0))*INDEX('Resource costs'!$C$121:$C$142, MATCH($B183, 'Resource costs'!$B$121:$B$142,0))</f>
        <v>119966.05910472161</v>
      </c>
      <c r="H183" s="90">
        <f>INDEX(H$131:H$148,MATCH($B183,$B$131:$B$148,0))*INDEX('Resource costs'!$C$121:$C$142, MATCH($B183, 'Resource costs'!$B$121:$B$142,0))</f>
        <v>157278.42285688748</v>
      </c>
      <c r="I183" s="90">
        <f>INDEX(I$131:I$148,MATCH($B183,$B$131:$B$148,0))*INDEX('Resource costs'!$C$121:$C$142, MATCH($B183, 'Resource costs'!$B$121:$B$142,0))</f>
        <v>139677.93719680401</v>
      </c>
      <c r="J183" s="90">
        <f>INDEX(J$131:J$148,MATCH($B183,$B$131:$B$148,0))*INDEX('Resource costs'!$C$121:$C$142, MATCH($B183, 'Resource costs'!$B$121:$B$142,0))</f>
        <v>129363.09202954672</v>
      </c>
      <c r="K183" s="90">
        <f>INDEX(K$131:K$148,MATCH($B183,$B$131:$B$148,0))*INDEX('Resource costs'!$C$121:$C$142, MATCH($B183, 'Resource costs'!$B$121:$B$142,0))</f>
        <v>123635.8278262775</v>
      </c>
      <c r="L183" s="90">
        <f>INDEX(L$131:L$148,MATCH($B183,$B$131:$B$148,0))*INDEX('Resource costs'!$C$121:$C$142, MATCH($B183, 'Resource costs'!$B$121:$B$142,0))</f>
        <v>121004.04229547702</v>
      </c>
      <c r="M183" s="90">
        <f>INDEX(M$131:M$148,MATCH($B183,$B$131:$B$148,0))*INDEX('Resource costs'!$C$121:$C$142, MATCH($B183, 'Resource costs'!$B$121:$B$142,0))</f>
        <v>120184.92537645843</v>
      </c>
      <c r="N183" s="90">
        <f>INDEX(N$131:N$148,MATCH($B183,$B$131:$B$148,0))*INDEX('Resource costs'!$C$121:$C$142, MATCH($B183, 'Resource costs'!$B$121:$B$142,0))</f>
        <v>120435.61969972687</v>
      </c>
      <c r="O183" s="90">
        <f>INDEX(O$131:O$148,MATCH($B183,$B$131:$B$148,0))*INDEX('Resource costs'!$C$121:$C$142, MATCH($B183, 'Resource costs'!$B$121:$B$142,0))</f>
        <v>121403.34887621451</v>
      </c>
      <c r="P183" s="90">
        <f>INDEX(P$131:P$148,MATCH($B183,$B$131:$B$148,0))*INDEX('Resource costs'!$C$121:$C$142, MATCH($B183, 'Resource costs'!$B$121:$B$142,0))</f>
        <v>122695.37093916931</v>
      </c>
      <c r="Q183" s="90">
        <f>INDEX(Q$131:Q$148,MATCH($B183,$B$131:$B$148,0))*INDEX('Resource costs'!$C$121:$C$142, MATCH($B183, 'Resource costs'!$B$121:$B$142,0))</f>
        <v>124152.17291245254</v>
      </c>
      <c r="R183" s="90">
        <f>INDEX(R$131:R$148,MATCH($B183,$B$131:$B$148,0))*INDEX('Resource costs'!$C$121:$C$142, MATCH($B183, 'Resource costs'!$B$121:$B$142,0))</f>
        <v>125714.94663019475</v>
      </c>
      <c r="S183" s="90">
        <f>INDEX(S$131:S$148,MATCH($B183,$B$131:$B$148,0))*INDEX('Resource costs'!$C$121:$C$142, MATCH($B183, 'Resource costs'!$B$121:$B$142,0))</f>
        <v>127332.45664982272</v>
      </c>
      <c r="T183" s="90">
        <f>INDEX(T$131:T$148,MATCH($B183,$B$131:$B$148,0))*INDEX('Resource costs'!$C$121:$C$142, MATCH($B183, 'Resource costs'!$B$121:$B$142,0))</f>
        <v>128963.73505364321</v>
      </c>
      <c r="U183" s="90">
        <f>INDEX(U$131:U$148,MATCH($B183,$B$131:$B$148,0))*INDEX('Resource costs'!$C$121:$C$142, MATCH($B183, 'Resource costs'!$B$121:$B$142,0))</f>
        <v>130613.93687713085</v>
      </c>
      <c r="V183" s="90">
        <f>INDEX(V$131:V$148,MATCH($B183,$B$131:$B$148,0))*INDEX('Resource costs'!$C$121:$C$142, MATCH($B183, 'Resource costs'!$B$121:$B$142,0))</f>
        <v>132344.24517092115</v>
      </c>
      <c r="W183" s="90">
        <f>INDEX(W$131:W$148,MATCH($B183,$B$131:$B$148,0))*INDEX('Resource costs'!$C$121:$C$142, MATCH($B183, 'Resource costs'!$B$121:$B$142,0))</f>
        <v>134051.55166178267</v>
      </c>
      <c r="X183" s="90">
        <f>INDEX(X$131:X$148,MATCH($B183,$B$131:$B$148,0))*INDEX('Resource costs'!$C$121:$C$142, MATCH($B183, 'Resource costs'!$B$121:$B$142,0))</f>
        <v>135718.03423883129</v>
      </c>
      <c r="Y183" s="90">
        <f>INDEX(Y$131:Y$148,MATCH($B183,$B$131:$B$148,0))*INDEX('Resource costs'!$C$121:$C$142, MATCH($B183, 'Resource costs'!$B$121:$B$142,0))</f>
        <v>137382.13209391054</v>
      </c>
      <c r="Z183" s="90">
        <f>INDEX(Z$131:Z$148,MATCH($B183,$B$131:$B$148,0))*INDEX('Resource costs'!$C$121:$C$142, MATCH($B183, 'Resource costs'!$B$121:$B$142,0))</f>
        <v>139022.24264618845</v>
      </c>
      <c r="AA183" s="90">
        <f>INDEX(AA$131:AA$148,MATCH($B183,$B$131:$B$148,0))*INDEX('Resource costs'!$C$121:$C$142, MATCH($B183, 'Resource costs'!$B$121:$B$142,0))</f>
        <v>140624.08247072366</v>
      </c>
      <c r="AB183" s="90">
        <f>INDEX(AB$131:AB$148,MATCH($B183,$B$131:$B$148,0))*INDEX('Resource costs'!$C$121:$C$142, MATCH($B183, 'Resource costs'!$B$121:$B$142,0))</f>
        <v>142179.04724075011</v>
      </c>
      <c r="AC183" s="90">
        <f>INDEX(AC$131:AC$148,MATCH($B183,$B$131:$B$148,0))*INDEX('Resource costs'!$C$121:$C$142, MATCH($B183, 'Resource costs'!$B$121:$B$142,0))</f>
        <v>143698.86242917503</v>
      </c>
      <c r="AD183" s="90">
        <f>INDEX(AD$131:AD$148,MATCH($B183,$B$131:$B$148,0))*INDEX('Resource costs'!$C$121:$C$142, MATCH($B183, 'Resource costs'!$B$121:$B$142,0))</f>
        <v>145165.48352711552</v>
      </c>
      <c r="AE183" s="90">
        <f>INDEX(AE$131:AE$148,MATCH($B183,$B$131:$B$148,0))*INDEX('Resource costs'!$C$121:$C$142, MATCH($B183, 'Resource costs'!$B$121:$B$142,0))</f>
        <v>146563.84507682853</v>
      </c>
      <c r="AF183" s="90">
        <f>INDEX(AF$131:AF$148,MATCH($B183,$B$131:$B$148,0))*INDEX('Resource costs'!$C$121:$C$142, MATCH($B183, 'Resource costs'!$B$121:$B$142,0))</f>
        <v>147884.58675140099</v>
      </c>
      <c r="AG183" s="90">
        <f>INDEX(AG$131:AG$148,MATCH($B183,$B$131:$B$148,0))*INDEX('Resource costs'!$C$121:$C$142, MATCH($B183, 'Resource costs'!$B$121:$B$142,0))</f>
        <v>149132.61263855454</v>
      </c>
      <c r="AH183" s="90">
        <f>INDEX(AH$131:AH$148,MATCH($B183,$B$131:$B$148,0))*INDEX('Resource costs'!$C$121:$C$142, MATCH($B183, 'Resource costs'!$B$121:$B$142,0))</f>
        <v>150338.97350778055</v>
      </c>
      <c r="AI183" s="90">
        <f>INDEX(AI$131:AI$148,MATCH($B183,$B$131:$B$148,0))*INDEX('Resource costs'!$C$121:$C$142, MATCH($B183, 'Resource costs'!$B$121:$B$142,0))</f>
        <v>151507.29818742254</v>
      </c>
      <c r="AJ183" s="90">
        <f>INDEX(AJ$131:AJ$148,MATCH($B183,$B$131:$B$148,0))*INDEX('Resource costs'!$C$121:$C$142, MATCH($B183, 'Resource costs'!$B$121:$B$142,0))</f>
        <v>152655.68120855288</v>
      </c>
      <c r="AK183" s="90">
        <f>INDEX(AK$131:AK$148,MATCH($B183,$B$131:$B$148,0))*INDEX('Resource costs'!$C$121:$C$142, MATCH($B183, 'Resource costs'!$B$121:$B$142,0))</f>
        <v>153766.98405492882</v>
      </c>
      <c r="AL183" s="90">
        <f>INDEX(AL$131:AL$148,MATCH($B183,$B$131:$B$148,0))*INDEX('Resource costs'!$C$121:$C$142, MATCH($B183, 'Resource costs'!$B$121:$B$142,0))</f>
        <v>154811.81142653929</v>
      </c>
      <c r="AM183" s="90">
        <f>INDEX(AM$131:AM$148,MATCH($B183,$B$131:$B$148,0))*INDEX('Resource costs'!$C$121:$C$142, MATCH($B183, 'Resource costs'!$B$121:$B$142,0))</f>
        <v>155775.37495974882</v>
      </c>
      <c r="AN183" s="90">
        <f>INDEX(AN$131:AN$148,MATCH($B183,$B$131:$B$148,0))*INDEX('Resource costs'!$C$121:$C$142, MATCH($B183, 'Resource costs'!$B$121:$B$142,0))</f>
        <v>156646.34899776295</v>
      </c>
      <c r="AO183" s="90">
        <f>INDEX(AO$131:AO$148,MATCH($B183,$B$131:$B$148,0))*INDEX('Resource costs'!$C$121:$C$142, MATCH($B183, 'Resource costs'!$B$121:$B$142,0))</f>
        <v>157418.43436286677</v>
      </c>
      <c r="AP183" s="90">
        <f>INDEX(AP$131:AP$148,MATCH($B183,$B$131:$B$148,0))*INDEX('Resource costs'!$C$121:$C$142, MATCH($B183, 'Resource costs'!$B$121:$B$142,0))</f>
        <v>158086.89641113614</v>
      </c>
      <c r="AQ183" s="90">
        <f>INDEX(AQ$131:AQ$148,MATCH($B183,$B$131:$B$148,0))*INDEX('Resource costs'!$C$121:$C$142, MATCH($B183, 'Resource costs'!$B$121:$B$142,0))</f>
        <v>158703.03779464253</v>
      </c>
      <c r="AR183" s="90">
        <f>INDEX(AR$131:AR$148,MATCH($B183,$B$131:$B$148,0))*INDEX('Resource costs'!$C$121:$C$142, MATCH($B183, 'Resource costs'!$B$121:$B$142,0))</f>
        <v>159311.4459251207</v>
      </c>
      <c r="AS183" s="90">
        <f>INDEX(AS$131:AS$148,MATCH($B183,$B$131:$B$148,0))*INDEX('Resource costs'!$C$121:$C$142, MATCH($B183, 'Resource costs'!$B$121:$B$142,0))</f>
        <v>159942.43750194815</v>
      </c>
      <c r="AT183" s="90">
        <f>INDEX(AT$131:AT$148,MATCH($B183,$B$131:$B$148,0))*INDEX('Resource costs'!$C$121:$C$142, MATCH($B183, 'Resource costs'!$B$121:$B$142,0))</f>
        <v>160406.4543056128</v>
      </c>
      <c r="AU183" s="90">
        <f>INDEX(AU$131:AU$148,MATCH($B183,$B$131:$B$148,0))*INDEX('Resource costs'!$C$121:$C$142, MATCH($B183, 'Resource costs'!$B$121:$B$142,0))</f>
        <v>160764.15327518657</v>
      </c>
      <c r="AV183" s="90">
        <f>INDEX(AV$131:AV$148,MATCH($B183,$B$131:$B$148,0))*INDEX('Resource costs'!$C$121:$C$142, MATCH($B183, 'Resource costs'!$B$121:$B$142,0))</f>
        <v>161054.23874939687</v>
      </c>
      <c r="AW183" s="90">
        <f>INDEX(AW$131:AW$148,MATCH($B183,$B$131:$B$148,0))*INDEX('Resource costs'!$C$121:$C$142, MATCH($B183, 'Resource costs'!$B$121:$B$142,0))</f>
        <v>161176.72994051717</v>
      </c>
      <c r="AX183" s="90">
        <f>INDEX(AX$131:AX$148,MATCH($B183,$B$131:$B$148,0))*INDEX('Resource costs'!$C$121:$C$142, MATCH($B183, 'Resource costs'!$B$121:$B$142,0))</f>
        <v>161209.80974341807</v>
      </c>
      <c r="AY183" s="90">
        <f>INDEX(AY$131:AY$148,MATCH($B183,$B$131:$B$148,0))*INDEX('Resource costs'!$C$121:$C$142, MATCH($B183, 'Resource costs'!$B$121:$B$142,0))</f>
        <v>161198.16352827256</v>
      </c>
      <c r="AZ183" s="90">
        <f>INDEX(AZ$131:AZ$148,MATCH($B183,$B$131:$B$148,0))*INDEX('Resource costs'!$C$121:$C$142, MATCH($B183, 'Resource costs'!$B$121:$B$142,0))</f>
        <v>161166.76758670047</v>
      </c>
      <c r="BA183" s="90">
        <f>INDEX(BA$131:BA$148,MATCH($B183,$B$131:$B$148,0))*INDEX('Resource costs'!$C$121:$C$142, MATCH($B183, 'Resource costs'!$B$121:$B$142,0))</f>
        <v>161129.10452275438</v>
      </c>
      <c r="BB183" s="90">
        <f>INDEX(BB$131:BB$148,MATCH($B183,$B$131:$B$148,0))*INDEX('Resource costs'!$C$121:$C$142, MATCH($B183, 'Resource costs'!$B$121:$B$142,0))</f>
        <v>161092.04666989448</v>
      </c>
    </row>
    <row r="184" spans="2:54">
      <c r="B184" s="6" t="s">
        <v>104</v>
      </c>
      <c r="C184" s="52"/>
      <c r="D184" s="90">
        <f>INDEX(D$131:D$148,MATCH($B184,$B$131:$B$148,0))*INDEX('Resource costs'!$C$121:$C$142, MATCH($B184, 'Resource costs'!$B$121:$B$142,0))</f>
        <v>26256.272022851532</v>
      </c>
      <c r="E184" s="90">
        <f>INDEX(E$131:E$148,MATCH($B184,$B$131:$B$148,0))*INDEX('Resource costs'!$C$121:$C$142, MATCH($B184, 'Resource costs'!$B$121:$B$142,0))</f>
        <v>27153.723359786338</v>
      </c>
      <c r="F184" s="90">
        <f>INDEX(F$131:F$148,MATCH($B184,$B$131:$B$148,0))*INDEX('Resource costs'!$C$121:$C$142, MATCH($B184, 'Resource costs'!$B$121:$B$142,0))</f>
        <v>27921.831130662998</v>
      </c>
      <c r="G184" s="90">
        <f>INDEX(G$131:G$148,MATCH($B184,$B$131:$B$148,0))*INDEX('Resource costs'!$C$121:$C$142, MATCH($B184, 'Resource costs'!$B$121:$B$142,0))</f>
        <v>28602.834640329245</v>
      </c>
      <c r="H184" s="90">
        <f>INDEX(H$131:H$148,MATCH($B184,$B$131:$B$148,0))*INDEX('Resource costs'!$C$121:$C$142, MATCH($B184, 'Resource costs'!$B$121:$B$142,0))</f>
        <v>37499.012262629847</v>
      </c>
      <c r="I184" s="90">
        <f>INDEX(I$131:I$148,MATCH($B184,$B$131:$B$148,0))*INDEX('Resource costs'!$C$121:$C$142, MATCH($B184, 'Resource costs'!$B$121:$B$142,0))</f>
        <v>33302.627179367242</v>
      </c>
      <c r="J184" s="90">
        <f>INDEX(J$131:J$148,MATCH($B184,$B$131:$B$148,0))*INDEX('Resource costs'!$C$121:$C$142, MATCH($B184, 'Resource costs'!$B$121:$B$142,0))</f>
        <v>30843.316497150721</v>
      </c>
      <c r="K184" s="90">
        <f>INDEX(K$131:K$148,MATCH($B184,$B$131:$B$148,0))*INDEX('Resource costs'!$C$121:$C$142, MATCH($B184, 'Resource costs'!$B$121:$B$142,0))</f>
        <v>29477.797014639527</v>
      </c>
      <c r="L184" s="90">
        <f>INDEX(L$131:L$148,MATCH($B184,$B$131:$B$148,0))*INDEX('Resource costs'!$C$121:$C$142, MATCH($B184, 'Resource costs'!$B$121:$B$142,0))</f>
        <v>28850.315150951847</v>
      </c>
      <c r="M184" s="90">
        <f>INDEX(M$131:M$148,MATCH($B184,$B$131:$B$148,0))*INDEX('Resource costs'!$C$121:$C$142, MATCH($B184, 'Resource costs'!$B$121:$B$142,0))</f>
        <v>28655.017697983654</v>
      </c>
      <c r="N184" s="90">
        <f>INDEX(N$131:N$148,MATCH($B184,$B$131:$B$148,0))*INDEX('Resource costs'!$C$121:$C$142, MATCH($B184, 'Resource costs'!$B$121:$B$142,0))</f>
        <v>28714.789339456485</v>
      </c>
      <c r="O184" s="90">
        <f>INDEX(O$131:O$148,MATCH($B184,$B$131:$B$148,0))*INDEX('Resource costs'!$C$121:$C$142, MATCH($B184, 'Resource costs'!$B$121:$B$142,0))</f>
        <v>28945.519579478256</v>
      </c>
      <c r="P184" s="90">
        <f>INDEX(P$131:P$148,MATCH($B184,$B$131:$B$148,0))*INDEX('Resource costs'!$C$121:$C$142, MATCH($B184, 'Resource costs'!$B$121:$B$142,0))</f>
        <v>29253.569153617336</v>
      </c>
      <c r="Q184" s="90">
        <f>INDEX(Q$131:Q$148,MATCH($B184,$B$131:$B$148,0))*INDEX('Resource costs'!$C$121:$C$142, MATCH($B184, 'Resource costs'!$B$121:$B$142,0))</f>
        <v>29600.906277604645</v>
      </c>
      <c r="R184" s="90">
        <f>INDEX(R$131:R$148,MATCH($B184,$B$131:$B$148,0))*INDEX('Resource costs'!$C$121:$C$142, MATCH($B184, 'Resource costs'!$B$121:$B$142,0))</f>
        <v>29973.509650278691</v>
      </c>
      <c r="S184" s="90">
        <f>INDEX(S$131:S$148,MATCH($B184,$B$131:$B$148,0))*INDEX('Resource costs'!$C$121:$C$142, MATCH($B184, 'Resource costs'!$B$121:$B$142,0))</f>
        <v>30359.163492421721</v>
      </c>
      <c r="T184" s="90">
        <f>INDEX(T$131:T$148,MATCH($B184,$B$131:$B$148,0))*INDEX('Resource costs'!$C$121:$C$142, MATCH($B184, 'Resource costs'!$B$121:$B$142,0))</f>
        <v>30748.100053187529</v>
      </c>
      <c r="U184" s="90">
        <f>INDEX(U$131:U$148,MATCH($B184,$B$131:$B$148,0))*INDEX('Resource costs'!$C$121:$C$142, MATCH($B184, 'Resource costs'!$B$121:$B$142,0))</f>
        <v>31141.5484187722</v>
      </c>
      <c r="V184" s="90">
        <f>INDEX(V$131:V$148,MATCH($B184,$B$131:$B$148,0))*INDEX('Resource costs'!$C$121:$C$142, MATCH($B184, 'Resource costs'!$B$121:$B$142,0))</f>
        <v>31554.096120792416</v>
      </c>
      <c r="W184" s="90">
        <f>INDEX(W$131:W$148,MATCH($B184,$B$131:$B$148,0))*INDEX('Resource costs'!$C$121:$C$142, MATCH($B184, 'Resource costs'!$B$121:$B$142,0))</f>
        <v>31961.159631946386</v>
      </c>
      <c r="X184" s="90">
        <f>INDEX(X$131:X$148,MATCH($B184,$B$131:$B$148,0))*INDEX('Resource costs'!$C$121:$C$142, MATCH($B184, 'Resource costs'!$B$121:$B$142,0))</f>
        <v>32358.489726291671</v>
      </c>
      <c r="Y184" s="90">
        <f>INDEX(Y$131:Y$148,MATCH($B184,$B$131:$B$148,0))*INDEX('Resource costs'!$C$121:$C$142, MATCH($B184, 'Resource costs'!$B$121:$B$142,0))</f>
        <v>32755.251244752562</v>
      </c>
      <c r="Z184" s="90">
        <f>INDEX(Z$131:Z$148,MATCH($B184,$B$131:$B$148,0))*INDEX('Resource costs'!$C$121:$C$142, MATCH($B184, 'Resource costs'!$B$121:$B$142,0))</f>
        <v>33146.293605139792</v>
      </c>
      <c r="AA184" s="90">
        <f>INDEX(AA$131:AA$148,MATCH($B184,$B$131:$B$148,0))*INDEX('Resource costs'!$C$121:$C$142, MATCH($B184, 'Resource costs'!$B$121:$B$142,0))</f>
        <v>33528.21129055346</v>
      </c>
      <c r="AB184" s="90">
        <f>INDEX(AB$131:AB$148,MATCH($B184,$B$131:$B$148,0))*INDEX('Resource costs'!$C$121:$C$142, MATCH($B184, 'Resource costs'!$B$121:$B$142,0))</f>
        <v>33898.952819620274</v>
      </c>
      <c r="AC184" s="90">
        <f>INDEX(AC$131:AC$148,MATCH($B184,$B$131:$B$148,0))*INDEX('Resource costs'!$C$121:$C$142, MATCH($B184, 'Resource costs'!$B$121:$B$142,0))</f>
        <v>34261.31383108296</v>
      </c>
      <c r="AD184" s="90">
        <f>INDEX(AD$131:AD$148,MATCH($B184,$B$131:$B$148,0))*INDEX('Resource costs'!$C$121:$C$142, MATCH($B184, 'Resource costs'!$B$121:$B$142,0))</f>
        <v>34610.992073891546</v>
      </c>
      <c r="AE184" s="90">
        <f>INDEX(AE$131:AE$148,MATCH($B184,$B$131:$B$148,0))*INDEX('Resource costs'!$C$121:$C$142, MATCH($B184, 'Resource costs'!$B$121:$B$142,0))</f>
        <v>34944.395575451272</v>
      </c>
      <c r="AF184" s="90">
        <f>INDEX(AF$131:AF$148,MATCH($B184,$B$131:$B$148,0))*INDEX('Resource costs'!$C$121:$C$142, MATCH($B184, 'Resource costs'!$B$121:$B$142,0))</f>
        <v>35259.292605513845</v>
      </c>
      <c r="AG184" s="90">
        <f>INDEX(AG$131:AG$148,MATCH($B184,$B$131:$B$148,0))*INDEX('Resource costs'!$C$121:$C$142, MATCH($B184, 'Resource costs'!$B$121:$B$142,0))</f>
        <v>35556.852418210052</v>
      </c>
      <c r="AH184" s="90">
        <f>INDEX(AH$131:AH$148,MATCH($B184,$B$131:$B$148,0))*INDEX('Resource costs'!$C$121:$C$142, MATCH($B184, 'Resource costs'!$B$121:$B$142,0))</f>
        <v>35844.478274360867</v>
      </c>
      <c r="AI184" s="90">
        <f>INDEX(AI$131:AI$148,MATCH($B184,$B$131:$B$148,0))*INDEX('Resource costs'!$C$121:$C$142, MATCH($B184, 'Resource costs'!$B$121:$B$142,0))</f>
        <v>36123.035375155887</v>
      </c>
      <c r="AJ184" s="90">
        <f>INDEX(AJ$131:AJ$148,MATCH($B184,$B$131:$B$148,0))*INDEX('Resource costs'!$C$121:$C$142, MATCH($B184, 'Resource costs'!$B$121:$B$142,0))</f>
        <v>36396.837898155172</v>
      </c>
      <c r="AK184" s="90">
        <f>INDEX(AK$131:AK$148,MATCH($B184,$B$131:$B$148,0))*INDEX('Resource costs'!$C$121:$C$142, MATCH($B184, 'Resource costs'!$B$121:$B$142,0))</f>
        <v>36661.799603052641</v>
      </c>
      <c r="AL184" s="90">
        <f>INDEX(AL$131:AL$148,MATCH($B184,$B$131:$B$148,0))*INDEX('Resource costs'!$C$121:$C$142, MATCH($B184, 'Resource costs'!$B$121:$B$142,0))</f>
        <v>36910.911933330797</v>
      </c>
      <c r="AM184" s="90">
        <f>INDEX(AM$131:AM$148,MATCH($B184,$B$131:$B$148,0))*INDEX('Resource costs'!$C$121:$C$142, MATCH($B184, 'Resource costs'!$B$121:$B$142,0))</f>
        <v>37140.648982388855</v>
      </c>
      <c r="AN184" s="90">
        <f>INDEX(AN$131:AN$148,MATCH($B184,$B$131:$B$148,0))*INDEX('Resource costs'!$C$121:$C$142, MATCH($B184, 'Resource costs'!$B$121:$B$142,0))</f>
        <v>37348.310437397493</v>
      </c>
      <c r="AO184" s="90">
        <f>INDEX(AO$131:AO$148,MATCH($B184,$B$131:$B$148,0))*INDEX('Resource costs'!$C$121:$C$142, MATCH($B184, 'Resource costs'!$B$121:$B$142,0))</f>
        <v>37532.394420743192</v>
      </c>
      <c r="AP184" s="90">
        <f>INDEX(AP$131:AP$148,MATCH($B184,$B$131:$B$148,0))*INDEX('Resource costs'!$C$121:$C$142, MATCH($B184, 'Resource costs'!$B$121:$B$142,0))</f>
        <v>37691.772077829468</v>
      </c>
      <c r="AQ184" s="90">
        <f>INDEX(AQ$131:AQ$148,MATCH($B184,$B$131:$B$148,0))*INDEX('Resource costs'!$C$121:$C$142, MATCH($B184, 'Resource costs'!$B$121:$B$142,0))</f>
        <v>37838.675212257789</v>
      </c>
      <c r="AR184" s="90">
        <f>INDEX(AR$131:AR$148,MATCH($B184,$B$131:$B$148,0))*INDEX('Resource costs'!$C$121:$C$142, MATCH($B184, 'Resource costs'!$B$121:$B$142,0))</f>
        <v>37983.734550538698</v>
      </c>
      <c r="AS184" s="90">
        <f>INDEX(AS$131:AS$148,MATCH($B184,$B$131:$B$148,0))*INDEX('Resource costs'!$C$121:$C$142, MATCH($B184, 'Resource costs'!$B$121:$B$142,0))</f>
        <v>38134.178333272961</v>
      </c>
      <c r="AT184" s="90">
        <f>INDEX(AT$131:AT$148,MATCH($B184,$B$131:$B$148,0))*INDEX('Resource costs'!$C$121:$C$142, MATCH($B184, 'Resource costs'!$B$121:$B$142,0))</f>
        <v>38244.811257323323</v>
      </c>
      <c r="AU184" s="90">
        <f>INDEX(AU$131:AU$148,MATCH($B184,$B$131:$B$148,0))*INDEX('Resource costs'!$C$121:$C$142, MATCH($B184, 'Resource costs'!$B$121:$B$142,0))</f>
        <v>38330.095416477074</v>
      </c>
      <c r="AV184" s="90">
        <f>INDEX(AV$131:AV$148,MATCH($B184,$B$131:$B$148,0))*INDEX('Resource costs'!$C$121:$C$142, MATCH($B184, 'Resource costs'!$B$121:$B$142,0))</f>
        <v>38399.258869142926</v>
      </c>
      <c r="AW184" s="90">
        <f>INDEX(AW$131:AW$148,MATCH($B184,$B$131:$B$148,0))*INDEX('Resource costs'!$C$121:$C$142, MATCH($B184, 'Resource costs'!$B$121:$B$142,0))</f>
        <v>38428.463756847472</v>
      </c>
      <c r="AX184" s="90">
        <f>INDEX(AX$131:AX$148,MATCH($B184,$B$131:$B$148,0))*INDEX('Resource costs'!$C$121:$C$142, MATCH($B184, 'Resource costs'!$B$121:$B$142,0))</f>
        <v>38436.350788724405</v>
      </c>
      <c r="AY184" s="90">
        <f>INDEX(AY$131:AY$148,MATCH($B184,$B$131:$B$148,0))*INDEX('Resource costs'!$C$121:$C$142, MATCH($B184, 'Resource costs'!$B$121:$B$142,0))</f>
        <v>38433.574046965288</v>
      </c>
      <c r="AZ184" s="90">
        <f>INDEX(AZ$131:AZ$148,MATCH($B184,$B$131:$B$148,0))*INDEX('Resource costs'!$C$121:$C$142, MATCH($B184, 'Resource costs'!$B$121:$B$142,0))</f>
        <v>38426.088488701018</v>
      </c>
      <c r="BA184" s="90">
        <f>INDEX(BA$131:BA$148,MATCH($B184,$B$131:$B$148,0))*INDEX('Resource costs'!$C$121:$C$142, MATCH($B184, 'Resource costs'!$B$121:$B$142,0))</f>
        <v>38417.108695598385</v>
      </c>
      <c r="BB184" s="90">
        <f>INDEX(BB$131:BB$148,MATCH($B184,$B$131:$B$148,0))*INDEX('Resource costs'!$C$121:$C$142, MATCH($B184, 'Resource costs'!$B$121:$B$142,0))</f>
        <v>38408.273199580697</v>
      </c>
    </row>
    <row r="185" spans="2:54" s="97" customFormat="1">
      <c r="B185" s="6" t="s">
        <v>17</v>
      </c>
      <c r="C185" s="315"/>
      <c r="D185" s="90">
        <f>INDEX(D$131:D$148,MATCH($B185,$B$131:$B$148,0))*INDEX('Resource costs'!$C$121:$C$142, MATCH($B185, 'Resource costs'!$B$121:$B$142,0))</f>
        <v>8583.2472661253378</v>
      </c>
      <c r="E185" s="90">
        <f>INDEX(E$131:E$148,MATCH($B185,$B$131:$B$148,0))*INDEX('Resource costs'!$C$121:$C$142, MATCH($B185, 'Resource costs'!$B$121:$B$142,0))</f>
        <v>8876.626567174706</v>
      </c>
      <c r="F185" s="90">
        <f>INDEX(F$131:F$148,MATCH($B185,$B$131:$B$148,0))*INDEX('Resource costs'!$C$121:$C$142, MATCH($B185, 'Resource costs'!$B$121:$B$142,0))</f>
        <v>9127.723102079919</v>
      </c>
      <c r="G185" s="90">
        <f>INDEX(G$131:G$148,MATCH($B185,$B$131:$B$148,0))*INDEX('Resource costs'!$C$121:$C$142, MATCH($B185, 'Resource costs'!$B$121:$B$142,0))</f>
        <v>9350.3450153308677</v>
      </c>
      <c r="H185" s="90">
        <f>INDEX(H$131:H$148,MATCH($B185,$B$131:$B$148,0))*INDEX('Resource costs'!$C$121:$C$142, MATCH($B185, 'Resource costs'!$B$121:$B$142,0))</f>
        <v>12258.52985547575</v>
      </c>
      <c r="I185" s="90">
        <f>INDEX(I$131:I$148,MATCH($B185,$B$131:$B$148,0))*INDEX('Resource costs'!$C$121:$C$142, MATCH($B185, 'Resource costs'!$B$121:$B$142,0))</f>
        <v>10886.720073714845</v>
      </c>
      <c r="J185" s="90">
        <f>INDEX(J$131:J$148,MATCH($B185,$B$131:$B$148,0))*INDEX('Resource costs'!$C$121:$C$142, MATCH($B185, 'Resource costs'!$B$121:$B$142,0))</f>
        <v>10082.764673217922</v>
      </c>
      <c r="K185" s="90">
        <f>INDEX(K$131:K$148,MATCH($B185,$B$131:$B$148,0))*INDEX('Resource costs'!$C$121:$C$142, MATCH($B185, 'Resource costs'!$B$121:$B$142,0))</f>
        <v>9636.3726128788021</v>
      </c>
      <c r="L185" s="90">
        <f>INDEX(L$131:L$148,MATCH($B185,$B$131:$B$148,0))*INDEX('Resource costs'!$C$121:$C$142, MATCH($B185, 'Resource costs'!$B$121:$B$142,0))</f>
        <v>9431.2470723468832</v>
      </c>
      <c r="M185" s="90">
        <f>INDEX(M$131:M$148,MATCH($B185,$B$131:$B$148,0))*INDEX('Resource costs'!$C$121:$C$142, MATCH($B185, 'Resource costs'!$B$121:$B$142,0))</f>
        <v>9367.4037998590156</v>
      </c>
      <c r="N185" s="90">
        <f>INDEX(N$131:N$148,MATCH($B185,$B$131:$B$148,0))*INDEX('Resource costs'!$C$121:$C$142, MATCH($B185, 'Resource costs'!$B$121:$B$142,0))</f>
        <v>9386.943313230031</v>
      </c>
      <c r="O185" s="90">
        <f>INDEX(O$131:O$148,MATCH($B185,$B$131:$B$148,0))*INDEX('Resource costs'!$C$121:$C$142, MATCH($B185, 'Resource costs'!$B$121:$B$142,0))</f>
        <v>9462.3696608911032</v>
      </c>
      <c r="P185" s="90">
        <f>INDEX(P$131:P$148,MATCH($B185,$B$131:$B$148,0))*INDEX('Resource costs'!$C$121:$C$142, MATCH($B185, 'Resource costs'!$B$121:$B$142,0))</f>
        <v>9563.0719107291279</v>
      </c>
      <c r="Q185" s="90">
        <f>INDEX(Q$131:Q$148,MATCH($B185,$B$131:$B$148,0))*INDEX('Resource costs'!$C$121:$C$142, MATCH($B185, 'Resource costs'!$B$121:$B$142,0))</f>
        <v>9676.617368259931</v>
      </c>
      <c r="R185" s="90">
        <f>INDEX(R$131:R$148,MATCH($B185,$B$131:$B$148,0))*INDEX('Resource costs'!$C$121:$C$142, MATCH($B185, 'Resource costs'!$B$121:$B$142,0))</f>
        <v>9798.4224317156331</v>
      </c>
      <c r="S185" s="90">
        <f>INDEX(S$131:S$148,MATCH($B185,$B$131:$B$148,0))*INDEX('Resource costs'!$C$121:$C$142, MATCH($B185, 'Resource costs'!$B$121:$B$142,0))</f>
        <v>9924.4937293988678</v>
      </c>
      <c r="T185" s="90">
        <f>INDEX(T$131:T$148,MATCH($B185,$B$131:$B$148,0))*INDEX('Resource costs'!$C$121:$C$142, MATCH($B185, 'Resource costs'!$B$121:$B$142,0))</f>
        <v>10051.638156794494</v>
      </c>
      <c r="U185" s="90">
        <f>INDEX(U$131:U$148,MATCH($B185,$B$131:$B$148,0))*INDEX('Resource costs'!$C$121:$C$142, MATCH($B185, 'Resource costs'!$B$121:$B$142,0))</f>
        <v>10180.257505547699</v>
      </c>
      <c r="V185" s="90">
        <f>INDEX(V$131:V$148,MATCH($B185,$B$131:$B$148,0))*INDEX('Resource costs'!$C$121:$C$142, MATCH($B185, 'Resource costs'!$B$121:$B$142,0))</f>
        <v>10315.120479713622</v>
      </c>
      <c r="W185" s="90">
        <f>INDEX(W$131:W$148,MATCH($B185,$B$131:$B$148,0))*INDEX('Resource costs'!$C$121:$C$142, MATCH($B185, 'Resource costs'!$B$121:$B$142,0))</f>
        <v>10448.190656858758</v>
      </c>
      <c r="X185" s="90">
        <f>INDEX(X$131:X$148,MATCH($B185,$B$131:$B$148,0))*INDEX('Resource costs'!$C$121:$C$142, MATCH($B185, 'Resource costs'!$B$121:$B$142,0))</f>
        <v>10578.078953379694</v>
      </c>
      <c r="Y185" s="90">
        <f>INDEX(Y$131:Y$148,MATCH($B185,$B$131:$B$148,0))*INDEX('Resource costs'!$C$121:$C$142, MATCH($B185, 'Resource costs'!$B$121:$B$142,0))</f>
        <v>10707.781380886128</v>
      </c>
      <c r="Z185" s="90">
        <f>INDEX(Z$131:Z$148,MATCH($B185,$B$131:$B$148,0))*INDEX('Resource costs'!$C$121:$C$142, MATCH($B185, 'Resource costs'!$B$121:$B$142,0))</f>
        <v>10835.614199947866</v>
      </c>
      <c r="AA185" s="90">
        <f>INDEX(AA$131:AA$148,MATCH($B185,$B$131:$B$148,0))*INDEX('Resource costs'!$C$121:$C$142, MATCH($B185, 'Resource costs'!$B$121:$B$142,0))</f>
        <v>10960.464137759249</v>
      </c>
      <c r="AB185" s="90">
        <f>INDEX(AB$131:AB$148,MATCH($B185,$B$131:$B$148,0))*INDEX('Resource costs'!$C$121:$C$142, MATCH($B185, 'Resource costs'!$B$121:$B$142,0))</f>
        <v>11081.660559438318</v>
      </c>
      <c r="AC185" s="90">
        <f>INDEX(AC$131:AC$148,MATCH($B185,$B$131:$B$148,0))*INDEX('Resource costs'!$C$121:$C$142, MATCH($B185, 'Resource costs'!$B$121:$B$142,0))</f>
        <v>11200.117366950084</v>
      </c>
      <c r="AD185" s="90">
        <f>INDEX(AD$131:AD$148,MATCH($B185,$B$131:$B$148,0))*INDEX('Resource costs'!$C$121:$C$142, MATCH($B185, 'Resource costs'!$B$121:$B$142,0))</f>
        <v>11314.428142638199</v>
      </c>
      <c r="AE185" s="90">
        <f>INDEX(AE$131:AE$148,MATCH($B185,$B$131:$B$148,0))*INDEX('Resource costs'!$C$121:$C$142, MATCH($B185, 'Resource costs'!$B$121:$B$142,0))</f>
        <v>11423.418660819476</v>
      </c>
      <c r="AF185" s="90">
        <f>INDEX(AF$131:AF$148,MATCH($B185,$B$131:$B$148,0))*INDEX('Resource costs'!$C$121:$C$142, MATCH($B185, 'Resource costs'!$B$121:$B$142,0))</f>
        <v>11526.359362760833</v>
      </c>
      <c r="AG185" s="90">
        <f>INDEX(AG$131:AG$148,MATCH($B185,$B$131:$B$148,0))*INDEX('Resource costs'!$C$121:$C$142, MATCH($B185, 'Resource costs'!$B$121:$B$142,0))</f>
        <v>11623.632480841368</v>
      </c>
      <c r="AH185" s="90">
        <f>INDEX(AH$131:AH$148,MATCH($B185,$B$131:$B$148,0))*INDEX('Resource costs'!$C$121:$C$142, MATCH($B185, 'Resource costs'!$B$121:$B$142,0))</f>
        <v>11717.658161308298</v>
      </c>
      <c r="AI185" s="90">
        <f>INDEX(AI$131:AI$148,MATCH($B185,$B$131:$B$148,0))*INDEX('Resource costs'!$C$121:$C$142, MATCH($B185, 'Resource costs'!$B$121:$B$142,0))</f>
        <v>11808.719240801147</v>
      </c>
      <c r="AJ185" s="90">
        <f>INDEX(AJ$131:AJ$148,MATCH($B185,$B$131:$B$148,0))*INDEX('Resource costs'!$C$121:$C$142, MATCH($B185, 'Resource costs'!$B$121:$B$142,0))</f>
        <v>11898.226035785081</v>
      </c>
      <c r="AK185" s="90">
        <f>INDEX(AK$131:AK$148,MATCH($B185,$B$131:$B$148,0))*INDEX('Resource costs'!$C$121:$C$142, MATCH($B185, 'Resource costs'!$B$121:$B$142,0))</f>
        <v>11984.842743107802</v>
      </c>
      <c r="AL185" s="90">
        <f>INDEX(AL$131:AL$148,MATCH($B185,$B$131:$B$148,0))*INDEX('Resource costs'!$C$121:$C$142, MATCH($B185, 'Resource costs'!$B$121:$B$142,0))</f>
        <v>12066.278246440386</v>
      </c>
      <c r="AM185" s="90">
        <f>INDEX(AM$131:AM$148,MATCH($B185,$B$131:$B$148,0))*INDEX('Resource costs'!$C$121:$C$142, MATCH($B185, 'Resource costs'!$B$121:$B$142,0))</f>
        <v>12141.379917254089</v>
      </c>
      <c r="AN185" s="90">
        <f>INDEX(AN$131:AN$148,MATCH($B185,$B$131:$B$148,0))*INDEX('Resource costs'!$C$121:$C$142, MATCH($B185, 'Resource costs'!$B$121:$B$142,0))</f>
        <v>12209.265015886189</v>
      </c>
      <c r="AO185" s="90">
        <f>INDEX(AO$131:AO$148,MATCH($B185,$B$131:$B$148,0))*INDEX('Resource costs'!$C$121:$C$142, MATCH($B185, 'Resource costs'!$B$121:$B$142,0))</f>
        <v>12269.442574429697</v>
      </c>
      <c r="AP185" s="90">
        <f>INDEX(AP$131:AP$148,MATCH($B185,$B$131:$B$148,0))*INDEX('Resource costs'!$C$121:$C$142, MATCH($B185, 'Resource costs'!$B$121:$B$142,0))</f>
        <v>12321.543567223978</v>
      </c>
      <c r="AQ185" s="90">
        <f>INDEX(AQ$131:AQ$148,MATCH($B185,$B$131:$B$148,0))*INDEX('Resource costs'!$C$121:$C$142, MATCH($B185, 'Resource costs'!$B$121:$B$142,0))</f>
        <v>12369.566604381334</v>
      </c>
      <c r="AR185" s="90">
        <f>INDEX(AR$131:AR$148,MATCH($B185,$B$131:$B$148,0))*INDEX('Resource costs'!$C$121:$C$142, MATCH($B185, 'Resource costs'!$B$121:$B$142,0))</f>
        <v>12416.986899526128</v>
      </c>
      <c r="AS185" s="90">
        <f>INDEX(AS$131:AS$148,MATCH($B185,$B$131:$B$148,0))*INDEX('Resource costs'!$C$121:$C$142, MATCH($B185, 'Resource costs'!$B$121:$B$142,0))</f>
        <v>12466.16738431603</v>
      </c>
      <c r="AT185" s="90">
        <f>INDEX(AT$131:AT$148,MATCH($B185,$B$131:$B$148,0))*INDEX('Resource costs'!$C$121:$C$142, MATCH($B185, 'Resource costs'!$B$121:$B$142,0))</f>
        <v>12502.333590320915</v>
      </c>
      <c r="AU185" s="90">
        <f>INDEX(AU$131:AU$148,MATCH($B185,$B$131:$B$148,0))*INDEX('Resource costs'!$C$121:$C$142, MATCH($B185, 'Resource costs'!$B$121:$B$142,0))</f>
        <v>12530.213215625799</v>
      </c>
      <c r="AV185" s="90">
        <f>INDEX(AV$131:AV$148,MATCH($B185,$B$131:$B$148,0))*INDEX('Resource costs'!$C$121:$C$142, MATCH($B185, 'Resource costs'!$B$121:$B$142,0))</f>
        <v>12552.822937809258</v>
      </c>
      <c r="AW185" s="90">
        <f>INDEX(AW$131:AW$148,MATCH($B185,$B$131:$B$148,0))*INDEX('Resource costs'!$C$121:$C$142, MATCH($B185, 'Resource costs'!$B$121:$B$142,0))</f>
        <v>12562.370095620898</v>
      </c>
      <c r="AX185" s="90">
        <f>INDEX(AX$131:AX$148,MATCH($B185,$B$131:$B$148,0))*INDEX('Resource costs'!$C$121:$C$142, MATCH($B185, 'Resource costs'!$B$121:$B$142,0))</f>
        <v>12564.948387951838</v>
      </c>
      <c r="AY185" s="90">
        <f>INDEX(AY$131:AY$148,MATCH($B185,$B$131:$B$148,0))*INDEX('Resource costs'!$C$121:$C$142, MATCH($B185, 'Resource costs'!$B$121:$B$142,0))</f>
        <v>12564.040663462543</v>
      </c>
      <c r="AZ185" s="90">
        <f>INDEX(AZ$131:AZ$148,MATCH($B185,$B$131:$B$148,0))*INDEX('Resource costs'!$C$121:$C$142, MATCH($B185, 'Resource costs'!$B$121:$B$142,0))</f>
        <v>12561.593613955618</v>
      </c>
      <c r="BA185" s="90">
        <f>INDEX(BA$131:BA$148,MATCH($B185,$B$131:$B$148,0))*INDEX('Resource costs'!$C$121:$C$142, MATCH($B185, 'Resource costs'!$B$121:$B$142,0))</f>
        <v>12558.658094985845</v>
      </c>
      <c r="BB185" s="90">
        <f>INDEX(BB$131:BB$148,MATCH($B185,$B$131:$B$148,0))*INDEX('Resource costs'!$C$121:$C$142, MATCH($B185, 'Resource costs'!$B$121:$B$142,0))</f>
        <v>12555.769747128517</v>
      </c>
    </row>
    <row r="186" spans="2:54" ht="29">
      <c r="B186" s="6" t="s">
        <v>106</v>
      </c>
      <c r="C186" s="52"/>
      <c r="D186" s="90">
        <f>INDEX(D$131:D$148,MATCH($B186,$B$131:$B$148,0))*INDEX('Resource costs'!$C$121:$C$142, MATCH($B186, 'Resource costs'!$B$121:$B$142,0))</f>
        <v>8815.9800026433586</v>
      </c>
      <c r="E186" s="90">
        <f>INDEX(E$131:E$148,MATCH($B186,$B$131:$B$148,0))*INDEX('Resource costs'!$C$121:$C$142, MATCH($B186, 'Resource costs'!$B$121:$B$142,0))</f>
        <v>9117.3142146319042</v>
      </c>
      <c r="F186" s="90">
        <f>INDEX(F$131:F$148,MATCH($B186,$B$131:$B$148,0))*INDEX('Resource costs'!$C$121:$C$142, MATCH($B186, 'Resource costs'!$B$121:$B$142,0))</f>
        <v>9375.2191731892381</v>
      </c>
      <c r="G186" s="90">
        <f>INDEX(G$131:G$148,MATCH($B186,$B$131:$B$148,0))*INDEX('Resource costs'!$C$121:$C$142, MATCH($B186, 'Resource costs'!$B$121:$B$142,0))</f>
        <v>9603.8774274045481</v>
      </c>
      <c r="H186" s="90">
        <f>INDEX(H$131:H$148,MATCH($B186,$B$131:$B$148,0))*INDEX('Resource costs'!$C$121:$C$142, MATCH($B186, 'Resource costs'!$B$121:$B$142,0))</f>
        <v>12590.917017408299</v>
      </c>
      <c r="I186" s="90">
        <f>INDEX(I$131:I$148,MATCH($B186,$B$131:$B$148,0))*INDEX('Resource costs'!$C$121:$C$142, MATCH($B186, 'Resource costs'!$B$121:$B$142,0))</f>
        <v>11181.910935157322</v>
      </c>
      <c r="J186" s="90">
        <f>INDEX(J$131:J$148,MATCH($B186,$B$131:$B$148,0))*INDEX('Resource costs'!$C$121:$C$142, MATCH($B186, 'Resource costs'!$B$121:$B$142,0))</f>
        <v>10356.156472534516</v>
      </c>
      <c r="K186" s="90">
        <f>INDEX(K$131:K$148,MATCH($B186,$B$131:$B$148,0))*INDEX('Resource costs'!$C$121:$C$142, MATCH($B186, 'Resource costs'!$B$121:$B$142,0))</f>
        <v>9897.6605961754776</v>
      </c>
      <c r="L186" s="90">
        <f>INDEX(L$131:L$148,MATCH($B186,$B$131:$B$148,0))*INDEX('Resource costs'!$C$121:$C$142, MATCH($B186, 'Resource costs'!$B$121:$B$142,0))</f>
        <v>9686.973124721897</v>
      </c>
      <c r="M186" s="90">
        <f>INDEX(M$131:M$148,MATCH($B186,$B$131:$B$148,0))*INDEX('Resource costs'!$C$121:$C$142, MATCH($B186, 'Resource costs'!$B$121:$B$142,0))</f>
        <v>9621.3987568742323</v>
      </c>
      <c r="N186" s="90">
        <f>INDEX(N$131:N$148,MATCH($B186,$B$131:$B$148,0))*INDEX('Resource costs'!$C$121:$C$142, MATCH($B186, 'Resource costs'!$B$121:$B$142,0))</f>
        <v>9641.468079567534</v>
      </c>
      <c r="O186" s="90">
        <f>INDEX(O$131:O$148,MATCH($B186,$B$131:$B$148,0))*INDEX('Resource costs'!$C$121:$C$142, MATCH($B186, 'Resource costs'!$B$121:$B$142,0))</f>
        <v>9718.9395949550435</v>
      </c>
      <c r="P186" s="90">
        <f>INDEX(P$131:P$148,MATCH($B186,$B$131:$B$148,0))*INDEX('Resource costs'!$C$121:$C$142, MATCH($B186, 'Resource costs'!$B$121:$B$142,0))</f>
        <v>9822.3723626788596</v>
      </c>
      <c r="Q186" s="90">
        <f>INDEX(Q$131:Q$148,MATCH($B186,$B$131:$B$148,0))*INDEX('Resource costs'!$C$121:$C$142, MATCH($B186, 'Resource costs'!$B$121:$B$142,0))</f>
        <v>9938.9965786598168</v>
      </c>
      <c r="R186" s="90">
        <f>INDEX(R$131:R$148,MATCH($B186,$B$131:$B$148,0))*INDEX('Resource costs'!$C$121:$C$142, MATCH($B186, 'Resource costs'!$B$121:$B$142,0))</f>
        <v>10064.104357843127</v>
      </c>
      <c r="S186" s="90">
        <f>INDEX(S$131:S$148,MATCH($B186,$B$131:$B$148,0))*INDEX('Resource costs'!$C$121:$C$142, MATCH($B186, 'Resource costs'!$B$121:$B$142,0))</f>
        <v>10193.594049194457</v>
      </c>
      <c r="T186" s="90">
        <f>INDEX(T$131:T$148,MATCH($B186,$B$131:$B$148,0))*INDEX('Resource costs'!$C$121:$C$142, MATCH($B186, 'Resource costs'!$B$121:$B$142,0))</f>
        <v>10324.185967918636</v>
      </c>
      <c r="U186" s="90">
        <f>INDEX(U$131:U$148,MATCH($B186,$B$131:$B$148,0))*INDEX('Resource costs'!$C$121:$C$142, MATCH($B186, 'Resource costs'!$B$121:$B$142,0))</f>
        <v>10456.292800147081</v>
      </c>
      <c r="V186" s="90">
        <f>INDEX(V$131:V$148,MATCH($B186,$B$131:$B$148,0))*INDEX('Resource costs'!$C$121:$C$142, MATCH($B186, 'Resource costs'!$B$121:$B$142,0))</f>
        <v>10594.812552226935</v>
      </c>
      <c r="W186" s="90">
        <f>INDEX(W$131:W$148,MATCH($B186,$B$131:$B$148,0))*INDEX('Resource costs'!$C$121:$C$142, MATCH($B186, 'Resource costs'!$B$121:$B$142,0))</f>
        <v>10731.490896015266</v>
      </c>
      <c r="X186" s="90">
        <f>INDEX(X$131:X$148,MATCH($B186,$B$131:$B$148,0))*INDEX('Resource costs'!$C$121:$C$142, MATCH($B186, 'Resource costs'!$B$121:$B$142,0))</f>
        <v>10864.901083232546</v>
      </c>
      <c r="Y186" s="90">
        <f>INDEX(Y$131:Y$148,MATCH($B186,$B$131:$B$148,0))*INDEX('Resource costs'!$C$121:$C$142, MATCH($B186, 'Resource costs'!$B$121:$B$142,0))</f>
        <v>10998.120361640589</v>
      </c>
      <c r="Z186" s="90">
        <f>INDEX(Z$131:Z$148,MATCH($B186,$B$131:$B$148,0))*INDEX('Resource costs'!$C$121:$C$142, MATCH($B186, 'Resource costs'!$B$121:$B$142,0))</f>
        <v>11129.41933760945</v>
      </c>
      <c r="AA186" s="90">
        <f>INDEX(AA$131:AA$148,MATCH($B186,$B$131:$B$148,0))*INDEX('Resource costs'!$C$121:$C$142, MATCH($B186, 'Resource costs'!$B$121:$B$142,0))</f>
        <v>11257.654552202461</v>
      </c>
      <c r="AB186" s="90">
        <f>INDEX(AB$131:AB$148,MATCH($B186,$B$131:$B$148,0))*INDEX('Resource costs'!$C$121:$C$142, MATCH($B186, 'Resource costs'!$B$121:$B$142,0))</f>
        <v>11382.137186430115</v>
      </c>
      <c r="AC186" s="90">
        <f>INDEX(AC$131:AC$148,MATCH($B186,$B$131:$B$148,0))*INDEX('Resource costs'!$C$121:$C$142, MATCH($B186, 'Resource costs'!$B$121:$B$142,0))</f>
        <v>11503.805922494867</v>
      </c>
      <c r="AD186" s="90">
        <f>INDEX(AD$131:AD$148,MATCH($B186,$B$131:$B$148,0))*INDEX('Resource costs'!$C$121:$C$142, MATCH($B186, 'Resource costs'!$B$121:$B$142,0))</f>
        <v>11621.216208055472</v>
      </c>
      <c r="AE186" s="90">
        <f>INDEX(AE$131:AE$148,MATCH($B186,$B$131:$B$148,0))*INDEX('Resource costs'!$C$121:$C$142, MATCH($B186, 'Resource costs'!$B$121:$B$142,0))</f>
        <v>11733.16197857475</v>
      </c>
      <c r="AF186" s="90">
        <f>INDEX(AF$131:AF$148,MATCH($B186,$B$131:$B$148,0))*INDEX('Resource costs'!$C$121:$C$142, MATCH($B186, 'Resource costs'!$B$121:$B$142,0))</f>
        <v>11838.893893505676</v>
      </c>
      <c r="AG186" s="90">
        <f>INDEX(AG$131:AG$148,MATCH($B186,$B$131:$B$148,0))*INDEX('Resource costs'!$C$121:$C$142, MATCH($B186, 'Resource costs'!$B$121:$B$142,0))</f>
        <v>11938.804549368662</v>
      </c>
      <c r="AH186" s="90">
        <f>INDEX(AH$131:AH$148,MATCH($B186,$B$131:$B$148,0))*INDEX('Resource costs'!$C$121:$C$142, MATCH($B186, 'Resource costs'!$B$121:$B$142,0))</f>
        <v>12035.3797141088</v>
      </c>
      <c r="AI186" s="90">
        <f>INDEX(AI$131:AI$148,MATCH($B186,$B$131:$B$148,0))*INDEX('Resource costs'!$C$121:$C$142, MATCH($B186, 'Resource costs'!$B$121:$B$142,0))</f>
        <v>12128.909893414757</v>
      </c>
      <c r="AJ186" s="90">
        <f>INDEX(AJ$131:AJ$148,MATCH($B186,$B$131:$B$148,0))*INDEX('Resource costs'!$C$121:$C$142, MATCH($B186, 'Resource costs'!$B$121:$B$142,0))</f>
        <v>12220.843644151879</v>
      </c>
      <c r="AK186" s="90">
        <f>INDEX(AK$131:AK$148,MATCH($B186,$B$131:$B$148,0))*INDEX('Resource costs'!$C$121:$C$142, MATCH($B186, 'Resource costs'!$B$121:$B$142,0))</f>
        <v>12309.808943178694</v>
      </c>
      <c r="AL186" s="90">
        <f>INDEX(AL$131:AL$148,MATCH($B186,$B$131:$B$148,0))*INDEX('Resource costs'!$C$121:$C$142, MATCH($B186, 'Resource costs'!$B$121:$B$142,0))</f>
        <v>12393.45255108437</v>
      </c>
      <c r="AM186" s="90">
        <f>INDEX(AM$131:AM$148,MATCH($B186,$B$131:$B$148,0))*INDEX('Resource costs'!$C$121:$C$142, MATCH($B186, 'Resource costs'!$B$121:$B$142,0))</f>
        <v>12470.590586087947</v>
      </c>
      <c r="AN186" s="90">
        <f>INDEX(AN$131:AN$148,MATCH($B186,$B$131:$B$148,0))*INDEX('Resource costs'!$C$121:$C$142, MATCH($B186, 'Resource costs'!$B$121:$B$142,0))</f>
        <v>12540.316373247775</v>
      </c>
      <c r="AO186" s="90">
        <f>INDEX(AO$131:AO$148,MATCH($B186,$B$131:$B$148,0))*INDEX('Resource costs'!$C$121:$C$142, MATCH($B186, 'Resource costs'!$B$121:$B$142,0))</f>
        <v>12602.125632177231</v>
      </c>
      <c r="AP186" s="90">
        <f>INDEX(AP$131:AP$148,MATCH($B186,$B$131:$B$148,0))*INDEX('Resource costs'!$C$121:$C$142, MATCH($B186, 'Resource costs'!$B$121:$B$142,0))</f>
        <v>12655.639331171431</v>
      </c>
      <c r="AQ186" s="90">
        <f>INDEX(AQ$131:AQ$148,MATCH($B186,$B$131:$B$148,0))*INDEX('Resource costs'!$C$121:$C$142, MATCH($B186, 'Resource costs'!$B$121:$B$142,0))</f>
        <v>12704.964501718057</v>
      </c>
      <c r="AR186" s="90">
        <f>INDEX(AR$131:AR$148,MATCH($B186,$B$131:$B$148,0))*INDEX('Resource costs'!$C$121:$C$142, MATCH($B186, 'Resource costs'!$B$121:$B$142,0))</f>
        <v>12753.670587043809</v>
      </c>
      <c r="AS186" s="90">
        <f>INDEX(AS$131:AS$148,MATCH($B186,$B$131:$B$148,0))*INDEX('Resource costs'!$C$121:$C$142, MATCH($B186, 'Resource costs'!$B$121:$B$142,0))</f>
        <v>12804.184589144066</v>
      </c>
      <c r="AT186" s="90">
        <f>INDEX(AT$131:AT$148,MATCH($B186,$B$131:$B$148,0))*INDEX('Resource costs'!$C$121:$C$142, MATCH($B186, 'Resource costs'!$B$121:$B$142,0))</f>
        <v>12841.3314333424</v>
      </c>
      <c r="AU186" s="90">
        <f>INDEX(AU$131:AU$148,MATCH($B186,$B$131:$B$148,0))*INDEX('Resource costs'!$C$121:$C$142, MATCH($B186, 'Resource costs'!$B$121:$B$142,0))</f>
        <v>12869.967008148578</v>
      </c>
      <c r="AV186" s="90">
        <f>INDEX(AV$131:AV$148,MATCH($B186,$B$131:$B$148,0))*INDEX('Resource costs'!$C$121:$C$142, MATCH($B186, 'Resource costs'!$B$121:$B$142,0))</f>
        <v>12893.18978764619</v>
      </c>
      <c r="AW186" s="90">
        <f>INDEX(AW$131:AW$148,MATCH($B186,$B$131:$B$148,0))*INDEX('Resource costs'!$C$121:$C$142, MATCH($B186, 'Resource costs'!$B$121:$B$142,0))</f>
        <v>12902.995814402715</v>
      </c>
      <c r="AX186" s="90">
        <f>INDEX(AX$131:AX$148,MATCH($B186,$B$131:$B$148,0))*INDEX('Resource costs'!$C$121:$C$142, MATCH($B186, 'Resource costs'!$B$121:$B$142,0))</f>
        <v>12905.644016525499</v>
      </c>
      <c r="AY186" s="90">
        <f>INDEX(AY$131:AY$148,MATCH($B186,$B$131:$B$148,0))*INDEX('Resource costs'!$C$121:$C$142, MATCH($B186, 'Resource costs'!$B$121:$B$142,0))</f>
        <v>12904.711679299573</v>
      </c>
      <c r="AZ186" s="90">
        <f>INDEX(AZ$131:AZ$148,MATCH($B186,$B$131:$B$148,0))*INDEX('Resource costs'!$C$121:$C$142, MATCH($B186, 'Resource costs'!$B$121:$B$142,0))</f>
        <v>12902.198278619195</v>
      </c>
      <c r="BA186" s="90">
        <f>INDEX(BA$131:BA$148,MATCH($B186,$B$131:$B$148,0))*INDEX('Resource costs'!$C$121:$C$142, MATCH($B186, 'Resource costs'!$B$121:$B$142,0))</f>
        <v>12899.183163741052</v>
      </c>
      <c r="BB186" s="90">
        <f>INDEX(BB$131:BB$148,MATCH($B186,$B$131:$B$148,0))*INDEX('Resource costs'!$C$121:$C$142, MATCH($B186, 'Resource costs'!$B$121:$B$142,0))</f>
        <v>12896.216499008999</v>
      </c>
    </row>
    <row r="187" spans="2:54" ht="29">
      <c r="B187" s="6" t="s">
        <v>107</v>
      </c>
      <c r="C187" s="52"/>
      <c r="D187" s="90">
        <f>INDEX(D$131:D$148,MATCH($B187,$B$131:$B$148,0))*INDEX('Resource costs'!$C$121:$C$142, MATCH($B187, 'Resource costs'!$B$121:$B$142,0))</f>
        <v>19642.709912465085</v>
      </c>
      <c r="E187" s="90">
        <f>INDEX(E$131:E$148,MATCH($B187,$B$131:$B$148,0))*INDEX('Resource costs'!$C$121:$C$142, MATCH($B187, 'Resource costs'!$B$121:$B$142,0))</f>
        <v>20314.106684124905</v>
      </c>
      <c r="F187" s="90">
        <f>INDEX(F$131:F$148,MATCH($B187,$B$131:$B$148,0))*INDEX('Resource costs'!$C$121:$C$142, MATCH($B187, 'Resource costs'!$B$121:$B$142,0))</f>
        <v>20888.739598946519</v>
      </c>
      <c r="G187" s="90">
        <f>INDEX(G$131:G$148,MATCH($B187,$B$131:$B$148,0))*INDEX('Resource costs'!$C$121:$C$142, MATCH($B187, 'Resource costs'!$B$121:$B$142,0))</f>
        <v>21398.208512816032</v>
      </c>
      <c r="H187" s="90">
        <f>INDEX(H$131:H$148,MATCH($B187,$B$131:$B$148,0))*INDEX('Resource costs'!$C$121:$C$142, MATCH($B187, 'Resource costs'!$B$121:$B$142,0))</f>
        <v>28053.572085090451</v>
      </c>
      <c r="I187" s="90">
        <f>INDEX(I$131:I$148,MATCH($B187,$B$131:$B$148,0))*INDEX('Resource costs'!$C$121:$C$142, MATCH($B187, 'Resource costs'!$B$121:$B$142,0))</f>
        <v>24914.193623449617</v>
      </c>
      <c r="J187" s="90">
        <f>INDEX(J$131:J$148,MATCH($B187,$B$131:$B$148,0))*INDEX('Resource costs'!$C$121:$C$142, MATCH($B187, 'Resource costs'!$B$121:$B$142,0))</f>
        <v>23074.346509077768</v>
      </c>
      <c r="K187" s="90">
        <f>INDEX(K$131:K$148,MATCH($B187,$B$131:$B$148,0))*INDEX('Resource costs'!$C$121:$C$142, MATCH($B187, 'Resource costs'!$B$121:$B$142,0))</f>
        <v>22052.780955085851</v>
      </c>
      <c r="L187" s="90">
        <f>INDEX(L$131:L$148,MATCH($B187,$B$131:$B$148,0))*INDEX('Resource costs'!$C$121:$C$142, MATCH($B187, 'Resource costs'!$B$121:$B$142,0))</f>
        <v>21583.352385294107</v>
      </c>
      <c r="M187" s="90">
        <f>INDEX(M$131:M$148,MATCH($B187,$B$131:$B$148,0))*INDEX('Resource costs'!$C$121:$C$142, MATCH($B187, 'Resource costs'!$B$121:$B$142,0))</f>
        <v>21437.247438942286</v>
      </c>
      <c r="N187" s="90">
        <f>INDEX(N$131:N$148,MATCH($B187,$B$131:$B$148,0))*INDEX('Resource costs'!$C$121:$C$142, MATCH($B187, 'Resource costs'!$B$121:$B$142,0))</f>
        <v>21481.963498153622</v>
      </c>
      <c r="O187" s="90">
        <f>INDEX(O$131:O$148,MATCH($B187,$B$131:$B$148,0))*INDEX('Resource costs'!$C$121:$C$142, MATCH($B187, 'Resource costs'!$B$121:$B$142,0))</f>
        <v>21654.576242599469</v>
      </c>
      <c r="P187" s="90">
        <f>INDEX(P$131:P$148,MATCH($B187,$B$131:$B$148,0))*INDEX('Resource costs'!$C$121:$C$142, MATCH($B187, 'Resource costs'!$B$121:$B$142,0))</f>
        <v>21885.032737649723</v>
      </c>
      <c r="Q187" s="90">
        <f>INDEX(Q$131:Q$148,MATCH($B187,$B$131:$B$148,0))*INDEX('Resource costs'!$C$121:$C$142, MATCH($B187, 'Resource costs'!$B$121:$B$142,0))</f>
        <v>22144.880836510623</v>
      </c>
      <c r="R187" s="90">
        <f>INDEX(R$131:R$148,MATCH($B187,$B$131:$B$148,0))*INDEX('Resource costs'!$C$121:$C$142, MATCH($B187, 'Resource costs'!$B$121:$B$142,0))</f>
        <v>22423.630994014798</v>
      </c>
      <c r="S187" s="90">
        <f>INDEX(S$131:S$148,MATCH($B187,$B$131:$B$148,0))*INDEX('Resource costs'!$C$121:$C$142, MATCH($B187, 'Resource costs'!$B$121:$B$142,0))</f>
        <v>22712.144402972863</v>
      </c>
      <c r="T187" s="90">
        <f>INDEX(T$131:T$148,MATCH($B187,$B$131:$B$148,0))*INDEX('Resource costs'!$C$121:$C$142, MATCH($B187, 'Resource costs'!$B$121:$B$142,0))</f>
        <v>23003.113662844389</v>
      </c>
      <c r="U187" s="90">
        <f>INDEX(U$131:U$148,MATCH($B187,$B$131:$B$148,0))*INDEX('Resource costs'!$C$121:$C$142, MATCH($B187, 'Resource costs'!$B$121:$B$142,0))</f>
        <v>23297.458271400665</v>
      </c>
      <c r="V187" s="90">
        <f>INDEX(V$131:V$148,MATCH($B187,$B$131:$B$148,0))*INDEX('Resource costs'!$C$121:$C$142, MATCH($B187, 'Resource costs'!$B$121:$B$142,0))</f>
        <v>23606.091379283778</v>
      </c>
      <c r="W187" s="90">
        <f>INDEX(W$131:W$148,MATCH($B187,$B$131:$B$148,0))*INDEX('Resource costs'!$C$121:$C$142, MATCH($B187, 'Resource costs'!$B$121:$B$142,0))</f>
        <v>23910.621681932531</v>
      </c>
      <c r="X187" s="90">
        <f>INDEX(X$131:X$148,MATCH($B187,$B$131:$B$148,0))*INDEX('Resource costs'!$C$121:$C$142, MATCH($B187, 'Resource costs'!$B$121:$B$142,0))</f>
        <v>24207.870269847994</v>
      </c>
      <c r="Y187" s="90">
        <f>INDEX(Y$131:Y$148,MATCH($B187,$B$131:$B$148,0))*INDEX('Resource costs'!$C$121:$C$142, MATCH($B187, 'Resource costs'!$B$121:$B$142,0))</f>
        <v>24504.693497638043</v>
      </c>
      <c r="Z187" s="90">
        <f>INDEX(Z$131:Z$148,MATCH($B187,$B$131:$B$148,0))*INDEX('Resource costs'!$C$121:$C$142, MATCH($B187, 'Resource costs'!$B$121:$B$142,0))</f>
        <v>24797.238137710592</v>
      </c>
      <c r="AA187" s="90">
        <f>INDEX(AA$131:AA$148,MATCH($B187,$B$131:$B$148,0))*INDEX('Resource costs'!$C$121:$C$142, MATCH($B187, 'Resource costs'!$B$121:$B$142,0))</f>
        <v>25082.956471923906</v>
      </c>
      <c r="AB187" s="90">
        <f>INDEX(AB$131:AB$148,MATCH($B187,$B$131:$B$148,0))*INDEX('Resource costs'!$C$121:$C$142, MATCH($B187, 'Resource costs'!$B$121:$B$142,0))</f>
        <v>25360.31375637103</v>
      </c>
      <c r="AC187" s="90">
        <f>INDEX(AC$131:AC$148,MATCH($B187,$B$131:$B$148,0))*INDEX('Resource costs'!$C$121:$C$142, MATCH($B187, 'Resource costs'!$B$121:$B$142,0))</f>
        <v>25631.401450220113</v>
      </c>
      <c r="AD187" s="90">
        <f>INDEX(AD$131:AD$148,MATCH($B187,$B$131:$B$148,0))*INDEX('Resource costs'!$C$121:$C$142, MATCH($B187, 'Resource costs'!$B$121:$B$142,0))</f>
        <v>25893.00097509598</v>
      </c>
      <c r="AE187" s="90">
        <f>INDEX(AE$131:AE$148,MATCH($B187,$B$131:$B$148,0))*INDEX('Resource costs'!$C$121:$C$142, MATCH($B187, 'Resource costs'!$B$121:$B$142,0))</f>
        <v>26142.425122562086</v>
      </c>
      <c r="AF187" s="90">
        <f>INDEX(AF$131:AF$148,MATCH($B187,$B$131:$B$148,0))*INDEX('Resource costs'!$C$121:$C$142, MATCH($B187, 'Resource costs'!$B$121:$B$142,0))</f>
        <v>26378.004301831428</v>
      </c>
      <c r="AG187" s="90">
        <f>INDEX(AG$131:AG$148,MATCH($B187,$B$131:$B$148,0))*INDEX('Resource costs'!$C$121:$C$142, MATCH($B187, 'Resource costs'!$B$121:$B$142,0))</f>
        <v>26600.613249412105</v>
      </c>
      <c r="AH187" s="90">
        <f>INDEX(AH$131:AH$148,MATCH($B187,$B$131:$B$148,0))*INDEX('Resource costs'!$C$121:$C$142, MATCH($B187, 'Resource costs'!$B$121:$B$142,0))</f>
        <v>26815.790455482249</v>
      </c>
      <c r="AI187" s="90">
        <f>INDEX(AI$131:AI$148,MATCH($B187,$B$131:$B$148,0))*INDEX('Resource costs'!$C$121:$C$142, MATCH($B187, 'Resource costs'!$B$121:$B$142,0))</f>
        <v>27024.183189995812</v>
      </c>
      <c r="AJ187" s="90">
        <f>INDEX(AJ$131:AJ$148,MATCH($B187,$B$131:$B$148,0))*INDEX('Resource costs'!$C$121:$C$142, MATCH($B187, 'Resource costs'!$B$121:$B$142,0))</f>
        <v>27229.01895372857</v>
      </c>
      <c r="AK187" s="90">
        <f>INDEX(AK$131:AK$148,MATCH($B187,$B$131:$B$148,0))*INDEX('Resource costs'!$C$121:$C$142, MATCH($B187, 'Resource costs'!$B$121:$B$142,0))</f>
        <v>27427.240769174554</v>
      </c>
      <c r="AL187" s="90">
        <f>INDEX(AL$131:AL$148,MATCH($B187,$B$131:$B$148,0))*INDEX('Resource costs'!$C$121:$C$142, MATCH($B187, 'Resource costs'!$B$121:$B$142,0))</f>
        <v>27613.605430350115</v>
      </c>
      <c r="AM187" s="90">
        <f>INDEX(AM$131:AM$148,MATCH($B187,$B$131:$B$148,0))*INDEX('Resource costs'!$C$121:$C$142, MATCH($B187, 'Resource costs'!$B$121:$B$142,0))</f>
        <v>27785.475153777177</v>
      </c>
      <c r="AN187" s="90">
        <f>INDEX(AN$131:AN$148,MATCH($B187,$B$131:$B$148,0))*INDEX('Resource costs'!$C$121:$C$142, MATCH($B187, 'Resource costs'!$B$121:$B$142,0))</f>
        <v>27940.829795029556</v>
      </c>
      <c r="AO187" s="90">
        <f>INDEX(AO$131:AO$148,MATCH($B187,$B$131:$B$148,0))*INDEX('Resource costs'!$C$121:$C$142, MATCH($B187, 'Resource costs'!$B$121:$B$142,0))</f>
        <v>28078.545776995452</v>
      </c>
      <c r="AP187" s="90">
        <f>INDEX(AP$131:AP$148,MATCH($B187,$B$131:$B$148,0))*INDEX('Resource costs'!$C$121:$C$142, MATCH($B187, 'Resource costs'!$B$121:$B$142,0))</f>
        <v>28197.778586662771</v>
      </c>
      <c r="AQ187" s="90">
        <f>INDEX(AQ$131:AQ$148,MATCH($B187,$B$131:$B$148,0))*INDEX('Resource costs'!$C$121:$C$142, MATCH($B187, 'Resource costs'!$B$121:$B$142,0))</f>
        <v>28307.679019302104</v>
      </c>
      <c r="AR187" s="90">
        <f>INDEX(AR$131:AR$148,MATCH($B187,$B$131:$B$148,0))*INDEX('Resource costs'!$C$121:$C$142, MATCH($B187, 'Resource costs'!$B$121:$B$142,0))</f>
        <v>28416.200080459083</v>
      </c>
      <c r="AS187" s="90">
        <f>INDEX(AS$131:AS$148,MATCH($B187,$B$131:$B$148,0))*INDEX('Resource costs'!$C$121:$C$142, MATCH($B187, 'Resource costs'!$B$121:$B$142,0))</f>
        <v>28528.749325066656</v>
      </c>
      <c r="AT187" s="90">
        <f>INDEX(AT$131:AT$148,MATCH($B187,$B$131:$B$148,0))*INDEX('Resource costs'!$C$121:$C$142, MATCH($B187, 'Resource costs'!$B$121:$B$142,0))</f>
        <v>28611.515470694558</v>
      </c>
      <c r="AU187" s="90">
        <f>INDEX(AU$131:AU$148,MATCH($B187,$B$131:$B$148,0))*INDEX('Resource costs'!$C$121:$C$142, MATCH($B187, 'Resource costs'!$B$121:$B$142,0))</f>
        <v>28675.317826068065</v>
      </c>
      <c r="AV187" s="90">
        <f>INDEX(AV$131:AV$148,MATCH($B187,$B$131:$B$148,0))*INDEX('Resource costs'!$C$121:$C$142, MATCH($B187, 'Resource costs'!$B$121:$B$142,0))</f>
        <v>28727.060039740958</v>
      </c>
      <c r="AW187" s="90">
        <f>INDEX(AW$131:AW$148,MATCH($B187,$B$131:$B$148,0))*INDEX('Resource costs'!$C$121:$C$142, MATCH($B187, 'Resource costs'!$B$121:$B$142,0))</f>
        <v>28748.908653158247</v>
      </c>
      <c r="AX187" s="90">
        <f>INDEX(AX$131:AX$148,MATCH($B187,$B$131:$B$148,0))*INDEX('Resource costs'!$C$121:$C$142, MATCH($B187, 'Resource costs'!$B$121:$B$142,0))</f>
        <v>28754.809059700889</v>
      </c>
      <c r="AY187" s="90">
        <f>INDEX(AY$131:AY$148,MATCH($B187,$B$131:$B$148,0))*INDEX('Resource costs'!$C$121:$C$142, MATCH($B187, 'Resource costs'!$B$121:$B$142,0))</f>
        <v>28752.731737648897</v>
      </c>
      <c r="AZ187" s="90">
        <f>INDEX(AZ$131:AZ$148,MATCH($B187,$B$131:$B$148,0))*INDEX('Resource costs'!$C$121:$C$142, MATCH($B187, 'Resource costs'!$B$121:$B$142,0))</f>
        <v>28747.131679522212</v>
      </c>
      <c r="BA187" s="90">
        <f>INDEX(BA$131:BA$148,MATCH($B187,$B$131:$B$148,0))*INDEX('Resource costs'!$C$121:$C$142, MATCH($B187, 'Resource costs'!$B$121:$B$142,0))</f>
        <v>28740.413761958156</v>
      </c>
      <c r="BB187" s="90">
        <f>INDEX(BB$131:BB$148,MATCH($B187,$B$131:$B$148,0))*INDEX('Resource costs'!$C$121:$C$142, MATCH($B187, 'Resource costs'!$B$121:$B$142,0))</f>
        <v>28733.803795202133</v>
      </c>
    </row>
    <row r="188" spans="2:54">
      <c r="B188" s="6" t="s">
        <v>2863</v>
      </c>
      <c r="C188" s="52"/>
      <c r="D188" s="90">
        <f>INDEX(D$131:D$148,MATCH($B188,$B$131:$B$148,0))*INDEX('Resource costs'!$C$121:$C$142, MATCH($B188, 'Resource costs'!$B$121:$B$142,0))</f>
        <v>1267.360201382895</v>
      </c>
      <c r="E188" s="90">
        <f>INDEX(E$131:E$148,MATCH($B188,$B$131:$B$148,0))*INDEX('Resource costs'!$C$121:$C$142, MATCH($B188, 'Resource costs'!$B$121:$B$142,0))</f>
        <v>1316.5100153526976</v>
      </c>
      <c r="F188" s="90">
        <f>INDEX(F$131:F$148,MATCH($B188,$B$131:$B$148,0))*INDEX('Resource costs'!$C$121:$C$142, MATCH($B188, 'Resource costs'!$B$121:$B$142,0))</f>
        <v>1359.6158650395164</v>
      </c>
      <c r="G188" s="90">
        <f>INDEX(G$131:G$148,MATCH($B188,$B$131:$B$148,0))*INDEX('Resource costs'!$C$121:$C$142, MATCH($B188, 'Resource costs'!$B$121:$B$142,0))</f>
        <v>1398.6878693580229</v>
      </c>
      <c r="H188" s="90">
        <f>INDEX(H$131:H$148,MATCH($B188,$B$131:$B$148,0))*INDEX('Resource costs'!$C$121:$C$142, MATCH($B188, 'Resource costs'!$B$121:$B$142,0))</f>
        <v>1700.223361567238</v>
      </c>
      <c r="I188" s="90">
        <f>INDEX(I$131:I$148,MATCH($B188,$B$131:$B$148,0))*INDEX('Resource costs'!$C$121:$C$142, MATCH($B188, 'Resource costs'!$B$121:$B$142,0))</f>
        <v>1622.613478175926</v>
      </c>
      <c r="J188" s="90">
        <f>INDEX(J$131:J$148,MATCH($B188,$B$131:$B$148,0))*INDEX('Resource costs'!$C$121:$C$142, MATCH($B188, 'Resource costs'!$B$121:$B$142,0))</f>
        <v>1610.3312287624974</v>
      </c>
      <c r="K188" s="90">
        <f>INDEX(K$131:K$148,MATCH($B188,$B$131:$B$148,0))*INDEX('Resource costs'!$C$121:$C$142, MATCH($B188, 'Resource costs'!$B$121:$B$142,0))</f>
        <v>1639.720692205377</v>
      </c>
      <c r="L188" s="90">
        <f>INDEX(L$131:L$148,MATCH($B188,$B$131:$B$148,0))*INDEX('Resource costs'!$C$121:$C$142, MATCH($B188, 'Resource costs'!$B$121:$B$142,0))</f>
        <v>1698.0897699497432</v>
      </c>
      <c r="M188" s="90">
        <f>INDEX(M$131:M$148,MATCH($B188,$B$131:$B$148,0))*INDEX('Resource costs'!$C$121:$C$142, MATCH($B188, 'Resource costs'!$B$121:$B$142,0))</f>
        <v>1773.9335307275285</v>
      </c>
      <c r="N188" s="90">
        <f>INDEX(N$131:N$148,MATCH($B188,$B$131:$B$148,0))*INDEX('Resource costs'!$C$121:$C$142, MATCH($B188, 'Resource costs'!$B$121:$B$142,0))</f>
        <v>1860.6036920048525</v>
      </c>
      <c r="O188" s="90">
        <f>INDEX(O$131:O$148,MATCH($B188,$B$131:$B$148,0))*INDEX('Resource costs'!$C$121:$C$142, MATCH($B188, 'Resource costs'!$B$121:$B$142,0))</f>
        <v>1949.2582450650364</v>
      </c>
      <c r="P188" s="90">
        <f>INDEX(P$131:P$148,MATCH($B188,$B$131:$B$148,0))*INDEX('Resource costs'!$C$121:$C$142, MATCH($B188, 'Resource costs'!$B$121:$B$142,0))</f>
        <v>2041.845213789526</v>
      </c>
      <c r="Q188" s="90">
        <f>INDEX(Q$131:Q$148,MATCH($B188,$B$131:$B$148,0))*INDEX('Resource costs'!$C$121:$C$142, MATCH($B188, 'Resource costs'!$B$121:$B$142,0))</f>
        <v>2136.9203563181195</v>
      </c>
      <c r="R188" s="90">
        <f>INDEX(R$131:R$148,MATCH($B188,$B$131:$B$148,0))*INDEX('Resource costs'!$C$121:$C$142, MATCH($B188, 'Resource costs'!$B$121:$B$142,0))</f>
        <v>2233.9915794250196</v>
      </c>
      <c r="S188" s="90">
        <f>INDEX(S$131:S$148,MATCH($B188,$B$131:$B$148,0))*INDEX('Resource costs'!$C$121:$C$142, MATCH($B188, 'Resource costs'!$B$121:$B$142,0))</f>
        <v>2229.1660563392252</v>
      </c>
      <c r="T188" s="90">
        <f>INDEX(T$131:T$148,MATCH($B188,$B$131:$B$148,0))*INDEX('Resource costs'!$C$121:$C$142, MATCH($B188, 'Resource costs'!$B$121:$B$142,0))</f>
        <v>2237.9189740830216</v>
      </c>
      <c r="U188" s="90">
        <f>INDEX(U$131:U$148,MATCH($B188,$B$131:$B$148,0))*INDEX('Resource costs'!$C$121:$C$142, MATCH($B188, 'Resource costs'!$B$121:$B$142,0))</f>
        <v>2255.2228421483892</v>
      </c>
      <c r="V188" s="90">
        <f>INDEX(V$131:V$148,MATCH($B188,$B$131:$B$148,0))*INDEX('Resource costs'!$C$121:$C$142, MATCH($B188, 'Resource costs'!$B$121:$B$142,0))</f>
        <v>2278.5364675414098</v>
      </c>
      <c r="W188" s="90">
        <f>INDEX(W$131:W$148,MATCH($B188,$B$131:$B$148,0))*INDEX('Resource costs'!$C$121:$C$142, MATCH($B188, 'Resource costs'!$B$121:$B$142,0))</f>
        <v>2304.6537386655955</v>
      </c>
      <c r="X188" s="90">
        <f>INDEX(X$131:X$148,MATCH($B188,$B$131:$B$148,0))*INDEX('Resource costs'!$C$121:$C$142, MATCH($B188, 'Resource costs'!$B$121:$B$142,0))</f>
        <v>2332.1017831458789</v>
      </c>
      <c r="Y188" s="90">
        <f>INDEX(Y$131:Y$148,MATCH($B188,$B$131:$B$148,0))*INDEX('Resource costs'!$C$121:$C$142, MATCH($B188, 'Resource costs'!$B$121:$B$142,0))</f>
        <v>2360.5139333902202</v>
      </c>
      <c r="Z188" s="90">
        <f>INDEX(Z$131:Z$148,MATCH($B188,$B$131:$B$148,0))*INDEX('Resource costs'!$C$121:$C$142, MATCH($B188, 'Resource costs'!$B$121:$B$142,0))</f>
        <v>2389.1571999461239</v>
      </c>
      <c r="AA188" s="90">
        <f>INDEX(AA$131:AA$148,MATCH($B188,$B$131:$B$148,0))*INDEX('Resource costs'!$C$121:$C$142, MATCH($B188, 'Resource costs'!$B$121:$B$142,0))</f>
        <v>2417.6359740798725</v>
      </c>
      <c r="AB188" s="90">
        <f>INDEX(AB$131:AB$148,MATCH($B188,$B$131:$B$148,0))*INDEX('Resource costs'!$C$121:$C$142, MATCH($B188, 'Resource costs'!$B$121:$B$142,0))</f>
        <v>2445.716661193534</v>
      </c>
      <c r="AC188" s="90">
        <f>INDEX(AC$131:AC$148,MATCH($B188,$B$131:$B$148,0))*INDEX('Resource costs'!$C$121:$C$142, MATCH($B188, 'Resource costs'!$B$121:$B$142,0))</f>
        <v>2473.4173699370326</v>
      </c>
      <c r="AD188" s="90">
        <f>INDEX(AD$131:AD$148,MATCH($B188,$B$131:$B$148,0))*INDEX('Resource costs'!$C$121:$C$142, MATCH($B188, 'Resource costs'!$B$121:$B$142,0))</f>
        <v>2500.4830125916424</v>
      </c>
      <c r="AE188" s="90">
        <f>INDEX(AE$131:AE$148,MATCH($B188,$B$131:$B$148,0))*INDEX('Resource costs'!$C$121:$C$142, MATCH($B188, 'Resource costs'!$B$121:$B$142,0))</f>
        <v>2526.706264885659</v>
      </c>
      <c r="AF188" s="90">
        <f>INDEX(AF$131:AF$148,MATCH($B188,$B$131:$B$148,0))*INDEX('Resource costs'!$C$121:$C$142, MATCH($B188, 'Resource costs'!$B$121:$B$142,0))</f>
        <v>2551.926458608822</v>
      </c>
      <c r="AG188" s="90">
        <f>INDEX(AG$131:AG$148,MATCH($B188,$B$131:$B$148,0))*INDEX('Resource costs'!$C$121:$C$142, MATCH($B188, 'Resource costs'!$B$121:$B$142,0))</f>
        <v>2576.0856098180884</v>
      </c>
      <c r="AH188" s="90">
        <f>INDEX(AH$131:AH$148,MATCH($B188,$B$131:$B$148,0))*INDEX('Resource costs'!$C$121:$C$142, MATCH($B188, 'Resource costs'!$B$121:$B$142,0))</f>
        <v>2599.4798202139459</v>
      </c>
      <c r="AI188" s="90">
        <f>INDEX(AI$131:AI$148,MATCH($B188,$B$131:$B$148,0))*INDEX('Resource costs'!$C$121:$C$142, MATCH($B188, 'Resource costs'!$B$121:$B$142,0))</f>
        <v>2622.1471672872926</v>
      </c>
      <c r="AJ188" s="90">
        <f>INDEX(AJ$131:AJ$148,MATCH($B188,$B$131:$B$148,0))*INDEX('Resource costs'!$C$121:$C$142, MATCH($B188, 'Resource costs'!$B$121:$B$142,0))</f>
        <v>2644.2555318567906</v>
      </c>
      <c r="AK188" s="90">
        <f>INDEX(AK$131:AK$148,MATCH($B188,$B$131:$B$148,0))*INDEX('Resource costs'!$C$121:$C$142, MATCH($B188, 'Resource costs'!$B$121:$B$142,0))</f>
        <v>2665.6251297187396</v>
      </c>
      <c r="AL188" s="90">
        <f>INDEX(AL$131:AL$148,MATCH($B188,$B$131:$B$148,0))*INDEX('Resource costs'!$C$121:$C$142, MATCH($B188, 'Resource costs'!$B$121:$B$142,0))</f>
        <v>2685.9435845489929</v>
      </c>
      <c r="AM188" s="90">
        <f>INDEX(AM$131:AM$148,MATCH($B188,$B$131:$B$148,0))*INDEX('Resource costs'!$C$121:$C$142, MATCH($B188, 'Resource costs'!$B$121:$B$142,0))</f>
        <v>2705.0396265595691</v>
      </c>
      <c r="AN188" s="90">
        <f>INDEX(AN$131:AN$148,MATCH($B188,$B$131:$B$148,0))*INDEX('Resource costs'!$C$121:$C$142, MATCH($B188, 'Resource costs'!$B$121:$B$142,0))</f>
        <v>2722.760350372489</v>
      </c>
      <c r="AO188" s="90">
        <f>INDEX(AO$131:AO$148,MATCH($B188,$B$131:$B$148,0))*INDEX('Resource costs'!$C$121:$C$142, MATCH($B188, 'Resource costs'!$B$121:$B$142,0))</f>
        <v>2739.0111039043177</v>
      </c>
      <c r="AP188" s="90">
        <f>INDEX(AP$131:AP$148,MATCH($B188,$B$131:$B$148,0))*INDEX('Resource costs'!$C$121:$C$142, MATCH($B188, 'Resource costs'!$B$121:$B$142,0))</f>
        <v>2753.7200321400637</v>
      </c>
      <c r="AQ188" s="90">
        <f>INDEX(AQ$131:AQ$148,MATCH($B188,$B$131:$B$148,0))*INDEX('Resource costs'!$C$121:$C$142, MATCH($B188, 'Resource costs'!$B$121:$B$142,0))</f>
        <v>2767.4155932655644</v>
      </c>
      <c r="AR188" s="90">
        <f>INDEX(AR$131:AR$148,MATCH($B188,$B$131:$B$148,0))*INDEX('Resource costs'!$C$121:$C$142, MATCH($B188, 'Resource costs'!$B$121:$B$142,0))</f>
        <v>2780.5871228733949</v>
      </c>
      <c r="AS188" s="90">
        <f>INDEX(AS$131:AS$148,MATCH($B188,$B$131:$B$148,0))*INDEX('Resource costs'!$C$121:$C$142, MATCH($B188, 'Resource costs'!$B$121:$B$142,0))</f>
        <v>2793.5813623460676</v>
      </c>
      <c r="AT188" s="90">
        <f>INDEX(AT$131:AT$148,MATCH($B188,$B$131:$B$148,0))*INDEX('Resource costs'!$C$121:$C$142, MATCH($B188, 'Resource costs'!$B$121:$B$142,0))</f>
        <v>2804.4209271478348</v>
      </c>
      <c r="AU188" s="90">
        <f>INDEX(AU$131:AU$148,MATCH($B188,$B$131:$B$148,0))*INDEX('Resource costs'!$C$121:$C$142, MATCH($B188, 'Resource costs'!$B$121:$B$142,0))</f>
        <v>2813.6493564621155</v>
      </c>
      <c r="AV188" s="90">
        <f>INDEX(AV$131:AV$148,MATCH($B188,$B$131:$B$148,0))*INDEX('Resource costs'!$C$121:$C$142, MATCH($B188, 'Resource costs'!$B$121:$B$142,0))</f>
        <v>2821.6306557778521</v>
      </c>
      <c r="AW188" s="90">
        <f>INDEX(AW$131:AW$148,MATCH($B188,$B$131:$B$148,0))*INDEX('Resource costs'!$C$121:$C$142, MATCH($B188, 'Resource costs'!$B$121:$B$142,0))</f>
        <v>2827.2987293295287</v>
      </c>
      <c r="AX188" s="90">
        <f>INDEX(AX$131:AX$148,MATCH($B188,$B$131:$B$148,0))*INDEX('Resource costs'!$C$121:$C$142, MATCH($B188, 'Resource costs'!$B$121:$B$142,0))</f>
        <v>2831.4262822354058</v>
      </c>
      <c r="AY188" s="90">
        <f>INDEX(AY$131:AY$148,MATCH($B188,$B$131:$B$148,0))*INDEX('Resource costs'!$C$121:$C$142, MATCH($B188, 'Resource costs'!$B$121:$B$142,0))</f>
        <v>2834.491660616372</v>
      </c>
      <c r="AZ188" s="90">
        <f>INDEX(AZ$131:AZ$148,MATCH($B188,$B$131:$B$148,0))*INDEX('Resource costs'!$C$121:$C$142, MATCH($B188, 'Resource costs'!$B$121:$B$142,0))</f>
        <v>2836.798843202851</v>
      </c>
      <c r="BA188" s="90">
        <f>INDEX(BA$131:BA$148,MATCH($B188,$B$131:$B$148,0))*INDEX('Resource costs'!$C$121:$C$142, MATCH($B188, 'Resource costs'!$B$121:$B$142,0))</f>
        <v>2838.5501083057316</v>
      </c>
      <c r="BB188" s="90">
        <f>INDEX(BB$131:BB$148,MATCH($B188,$B$131:$B$148,0))*INDEX('Resource costs'!$C$121:$C$142, MATCH($B188, 'Resource costs'!$B$121:$B$142,0))</f>
        <v>2839.8508684818257</v>
      </c>
    </row>
    <row r="189" spans="2:54">
      <c r="B189" s="6" t="s">
        <v>2862</v>
      </c>
      <c r="C189" s="52"/>
      <c r="D189" s="90">
        <f>INDEX(D$131:D$148,MATCH($B189,$B$131:$B$148,0))*INDEX('Resource costs'!$C$121:$C$142, MATCH($B189, 'Resource costs'!$B$121:$B$142,0))</f>
        <v>1644.5375824905022</v>
      </c>
      <c r="E189" s="90">
        <f>INDEX(E$131:E$148,MATCH($B189,$B$131:$B$148,0))*INDEX('Resource costs'!$C$121:$C$142, MATCH($B189, 'Resource costs'!$B$121:$B$142,0))</f>
        <v>1708.3148071165874</v>
      </c>
      <c r="F189" s="90">
        <f>INDEX(F$131:F$148,MATCH($B189,$B$131:$B$148,0))*INDEX('Resource costs'!$C$121:$C$142, MATCH($B189, 'Resource costs'!$B$121:$B$142,0))</f>
        <v>1764.2493313014311</v>
      </c>
      <c r="G189" s="90">
        <f>INDEX(G$131:G$148,MATCH($B189,$B$131:$B$148,0))*INDEX('Resource costs'!$C$121:$C$142, MATCH($B189, 'Resource costs'!$B$121:$B$142,0))</f>
        <v>1814.9495027719429</v>
      </c>
      <c r="H189" s="90">
        <f>INDEX(H$131:H$148,MATCH($B189,$B$131:$B$148,0))*INDEX('Resource costs'!$C$121:$C$142, MATCH($B189, 'Resource costs'!$B$121:$B$142,0))</f>
        <v>2206.2245711003739</v>
      </c>
      <c r="I189" s="90">
        <f>INDEX(I$131:I$148,MATCH($B189,$B$131:$B$148,0))*INDEX('Resource costs'!$C$121:$C$142, MATCH($B189, 'Resource costs'!$B$121:$B$142,0))</f>
        <v>2105.5173137078423</v>
      </c>
      <c r="J189" s="90">
        <f>INDEX(J$131:J$148,MATCH($B189,$B$131:$B$148,0))*INDEX('Resource costs'!$C$121:$C$142, MATCH($B189, 'Resource costs'!$B$121:$B$142,0))</f>
        <v>2089.5797604093677</v>
      </c>
      <c r="K189" s="90">
        <f>INDEX(K$131:K$148,MATCH($B189,$B$131:$B$148,0))*INDEX('Resource costs'!$C$121:$C$142, MATCH($B189, 'Resource costs'!$B$121:$B$142,0))</f>
        <v>2127.7157829137104</v>
      </c>
      <c r="L189" s="90">
        <f>INDEX(L$131:L$148,MATCH($B189,$B$131:$B$148,0))*INDEX('Resource costs'!$C$121:$C$142, MATCH($B189, 'Resource costs'!$B$121:$B$142,0))</f>
        <v>2203.4560041240493</v>
      </c>
      <c r="M189" s="90">
        <f>INDEX(M$131:M$148,MATCH($B189,$B$131:$B$148,0))*INDEX('Resource costs'!$C$121:$C$142, MATCH($B189, 'Resource costs'!$B$121:$B$142,0))</f>
        <v>2301.8715255049387</v>
      </c>
      <c r="N189" s="90">
        <f>INDEX(N$131:N$148,MATCH($B189,$B$131:$B$148,0))*INDEX('Resource costs'!$C$121:$C$142, MATCH($B189, 'Resource costs'!$B$121:$B$142,0))</f>
        <v>2414.3354780146883</v>
      </c>
      <c r="O189" s="90">
        <f>INDEX(O$131:O$148,MATCH($B189,$B$131:$B$148,0))*INDEX('Resource costs'!$C$121:$C$142, MATCH($B189, 'Resource costs'!$B$121:$B$142,0))</f>
        <v>2529.3743945021115</v>
      </c>
      <c r="P189" s="90">
        <f>INDEX(P$131:P$148,MATCH($B189,$B$131:$B$148,0))*INDEX('Resource costs'!$C$121:$C$142, MATCH($B189, 'Resource costs'!$B$121:$B$142,0))</f>
        <v>2649.5160476407796</v>
      </c>
      <c r="Q189" s="90">
        <f>INDEX(Q$131:Q$148,MATCH($B189,$B$131:$B$148,0))*INDEX('Resource costs'!$C$121:$C$142, MATCH($B189, 'Resource costs'!$B$121:$B$142,0))</f>
        <v>2772.8863766745499</v>
      </c>
      <c r="R189" s="90">
        <f>INDEX(R$131:R$148,MATCH($B189,$B$131:$B$148,0))*INDEX('Resource costs'!$C$121:$C$142, MATCH($B189, 'Resource costs'!$B$121:$B$142,0))</f>
        <v>2898.8468371682811</v>
      </c>
      <c r="S189" s="90">
        <f>INDEX(S$131:S$148,MATCH($B189,$B$131:$B$148,0))*INDEX('Resource costs'!$C$121:$C$142, MATCH($B189, 'Resource costs'!$B$121:$B$142,0))</f>
        <v>2892.5851965856705</v>
      </c>
      <c r="T189" s="90">
        <f>INDEX(T$131:T$148,MATCH($B189,$B$131:$B$148,0))*INDEX('Resource costs'!$C$121:$C$142, MATCH($B189, 'Resource costs'!$B$121:$B$142,0))</f>
        <v>2903.9430585182249</v>
      </c>
      <c r="U189" s="90">
        <f>INDEX(U$131:U$148,MATCH($B189,$B$131:$B$148,0))*INDEX('Resource costs'!$C$121:$C$142, MATCH($B189, 'Resource costs'!$B$121:$B$142,0))</f>
        <v>2926.3967077056486</v>
      </c>
      <c r="V189" s="90">
        <f>INDEX(V$131:V$148,MATCH($B189,$B$131:$B$148,0))*INDEX('Resource costs'!$C$121:$C$142, MATCH($B189, 'Resource costs'!$B$121:$B$142,0))</f>
        <v>2956.6486700925789</v>
      </c>
      <c r="W189" s="90">
        <f>INDEX(W$131:W$148,MATCH($B189,$B$131:$B$148,0))*INDEX('Resource costs'!$C$121:$C$142, MATCH($B189, 'Resource costs'!$B$121:$B$142,0))</f>
        <v>2990.5386674816009</v>
      </c>
      <c r="X189" s="90">
        <f>INDEX(X$131:X$148,MATCH($B189,$B$131:$B$148,0))*INDEX('Resource costs'!$C$121:$C$142, MATCH($B189, 'Resource costs'!$B$121:$B$142,0))</f>
        <v>3026.1554879123223</v>
      </c>
      <c r="Y189" s="90">
        <f>INDEX(Y$131:Y$148,MATCH($B189,$B$131:$B$148,0))*INDEX('Resource costs'!$C$121:$C$142, MATCH($B189, 'Resource costs'!$B$121:$B$142,0))</f>
        <v>3063.0233403391239</v>
      </c>
      <c r="Z189" s="90">
        <f>INDEX(Z$131:Z$148,MATCH($B189,$B$131:$B$148,0))*INDEX('Resource costs'!$C$121:$C$142, MATCH($B189, 'Resource costs'!$B$121:$B$142,0))</f>
        <v>3100.1910912950698</v>
      </c>
      <c r="AA189" s="90">
        <f>INDEX(AA$131:AA$148,MATCH($B189,$B$131:$B$148,0))*INDEX('Resource costs'!$C$121:$C$142, MATCH($B189, 'Resource costs'!$B$121:$B$142,0))</f>
        <v>3137.1453954582462</v>
      </c>
      <c r="AB189" s="90">
        <f>INDEX(AB$131:AB$148,MATCH($B189,$B$131:$B$148,0))*INDEX('Resource costs'!$C$121:$C$142, MATCH($B189, 'Resource costs'!$B$121:$B$142,0))</f>
        <v>3173.5831384536341</v>
      </c>
      <c r="AC189" s="90">
        <f>INDEX(AC$131:AC$148,MATCH($B189,$B$131:$B$148,0))*INDEX('Resource costs'!$C$121:$C$142, MATCH($B189, 'Resource costs'!$B$121:$B$142,0))</f>
        <v>3209.5278182223369</v>
      </c>
      <c r="AD189" s="90">
        <f>INDEX(AD$131:AD$148,MATCH($B189,$B$131:$B$148,0))*INDEX('Resource costs'!$C$121:$C$142, MATCH($B189, 'Resource costs'!$B$121:$B$142,0))</f>
        <v>3244.6484307294959</v>
      </c>
      <c r="AE189" s="90">
        <f>INDEX(AE$131:AE$148,MATCH($B189,$B$131:$B$148,0))*INDEX('Resource costs'!$C$121:$C$142, MATCH($B189, 'Resource costs'!$B$121:$B$142,0))</f>
        <v>3278.6759502031105</v>
      </c>
      <c r="AF189" s="90">
        <f>INDEX(AF$131:AF$148,MATCH($B189,$B$131:$B$148,0))*INDEX('Resource costs'!$C$121:$C$142, MATCH($B189, 'Resource costs'!$B$121:$B$142,0))</f>
        <v>3311.4018921809129</v>
      </c>
      <c r="AG189" s="90">
        <f>INDEX(AG$131:AG$148,MATCH($B189,$B$131:$B$148,0))*INDEX('Resource costs'!$C$121:$C$142, MATCH($B189, 'Resource costs'!$B$121:$B$142,0))</f>
        <v>3342.7510161958198</v>
      </c>
      <c r="AH189" s="90">
        <f>INDEX(AH$131:AH$148,MATCH($B189,$B$131:$B$148,0))*INDEX('Resource costs'!$C$121:$C$142, MATCH($B189, 'Resource costs'!$B$121:$B$142,0))</f>
        <v>3373.107546380922</v>
      </c>
      <c r="AI189" s="90">
        <f>INDEX(AI$131:AI$148,MATCH($B189,$B$131:$B$148,0))*INDEX('Resource costs'!$C$121:$C$142, MATCH($B189, 'Resource costs'!$B$121:$B$142,0))</f>
        <v>3402.5208924184572</v>
      </c>
      <c r="AJ189" s="90">
        <f>INDEX(AJ$131:AJ$148,MATCH($B189,$B$131:$B$148,0))*INDEX('Resource costs'!$C$121:$C$142, MATCH($B189, 'Resource costs'!$B$121:$B$142,0))</f>
        <v>3431.2088979138707</v>
      </c>
      <c r="AK189" s="90">
        <f>INDEX(AK$131:AK$148,MATCH($B189,$B$131:$B$148,0))*INDEX('Resource costs'!$C$121:$C$142, MATCH($B189, 'Resource costs'!$B$121:$B$142,0))</f>
        <v>3458.938273326115</v>
      </c>
      <c r="AL189" s="90">
        <f>INDEX(AL$131:AL$148,MATCH($B189,$B$131:$B$148,0))*INDEX('Resource costs'!$C$121:$C$142, MATCH($B189, 'Resource costs'!$B$121:$B$142,0))</f>
        <v>3485.3036764293738</v>
      </c>
      <c r="AM189" s="90">
        <f>INDEX(AM$131:AM$148,MATCH($B189,$B$131:$B$148,0))*INDEX('Resource costs'!$C$121:$C$142, MATCH($B189, 'Resource costs'!$B$121:$B$142,0))</f>
        <v>3510.0828660622365</v>
      </c>
      <c r="AN189" s="90">
        <f>INDEX(AN$131:AN$148,MATCH($B189,$B$131:$B$148,0))*INDEX('Resource costs'!$C$121:$C$142, MATCH($B189, 'Resource costs'!$B$121:$B$142,0))</f>
        <v>3533.07743088089</v>
      </c>
      <c r="AO189" s="90">
        <f>INDEX(AO$131:AO$148,MATCH($B189,$B$131:$B$148,0))*INDEX('Resource costs'!$C$121:$C$142, MATCH($B189, 'Resource costs'!$B$121:$B$142,0))</f>
        <v>3554.1645495214484</v>
      </c>
      <c r="AP189" s="90">
        <f>INDEX(AP$131:AP$148,MATCH($B189,$B$131:$B$148,0))*INDEX('Resource costs'!$C$121:$C$142, MATCH($B189, 'Resource costs'!$B$121:$B$142,0))</f>
        <v>3573.2509822936349</v>
      </c>
      <c r="AQ189" s="90">
        <f>INDEX(AQ$131:AQ$148,MATCH($B189,$B$131:$B$148,0))*INDEX('Resource costs'!$C$121:$C$142, MATCH($B189, 'Resource costs'!$B$121:$B$142,0))</f>
        <v>3591.0224611199437</v>
      </c>
      <c r="AR189" s="90">
        <f>INDEX(AR$131:AR$148,MATCH($B189,$B$131:$B$148,0))*INDEX('Resource costs'!$C$121:$C$142, MATCH($B189, 'Resource costs'!$B$121:$B$142,0))</f>
        <v>3608.113952106743</v>
      </c>
      <c r="AS189" s="90">
        <f>INDEX(AS$131:AS$148,MATCH($B189,$B$131:$B$148,0))*INDEX('Resource costs'!$C$121:$C$142, MATCH($B189, 'Resource costs'!$B$121:$B$142,0))</f>
        <v>3624.975389877452</v>
      </c>
      <c r="AT189" s="90">
        <f>INDEX(AT$131:AT$148,MATCH($B189,$B$131:$B$148,0))*INDEX('Resource costs'!$C$121:$C$142, MATCH($B189, 'Resource costs'!$B$121:$B$142,0))</f>
        <v>3639.0409031189888</v>
      </c>
      <c r="AU189" s="90">
        <f>INDEX(AU$131:AU$148,MATCH($B189,$B$131:$B$148,0))*INDEX('Resource costs'!$C$121:$C$142, MATCH($B189, 'Resource costs'!$B$121:$B$142,0))</f>
        <v>3651.0157929870243</v>
      </c>
      <c r="AV189" s="90">
        <f>INDEX(AV$131:AV$148,MATCH($B189,$B$131:$B$148,0))*INDEX('Resource costs'!$C$121:$C$142, MATCH($B189, 'Resource costs'!$B$121:$B$142,0))</f>
        <v>3661.3723961591236</v>
      </c>
      <c r="AW189" s="90">
        <f>INDEX(AW$131:AW$148,MATCH($B189,$B$131:$B$148,0))*INDEX('Resource costs'!$C$121:$C$142, MATCH($B189, 'Resource costs'!$B$121:$B$142,0))</f>
        <v>3668.7273375292893</v>
      </c>
      <c r="AX189" s="90">
        <f>INDEX(AX$131:AX$148,MATCH($B189,$B$131:$B$148,0))*INDEX('Resource costs'!$C$121:$C$142, MATCH($B189, 'Resource costs'!$B$121:$B$142,0))</f>
        <v>3674.0832859565999</v>
      </c>
      <c r="AY189" s="90">
        <f>INDEX(AY$131:AY$148,MATCH($B189,$B$131:$B$148,0))*INDEX('Resource costs'!$C$121:$C$142, MATCH($B189, 'Resource costs'!$B$121:$B$142,0))</f>
        <v>3678.0609475137107</v>
      </c>
      <c r="AZ189" s="90">
        <f>INDEX(AZ$131:AZ$148,MATCH($B189,$B$131:$B$148,0))*INDEX('Resource costs'!$C$121:$C$142, MATCH($B189, 'Resource costs'!$B$121:$B$142,0))</f>
        <v>3681.0547676360343</v>
      </c>
      <c r="BA189" s="90">
        <f>INDEX(BA$131:BA$148,MATCH($B189,$B$131:$B$148,0))*INDEX('Resource costs'!$C$121:$C$142, MATCH($B189, 'Resource costs'!$B$121:$B$142,0))</f>
        <v>3683.3272244130808</v>
      </c>
      <c r="BB189" s="90">
        <f>INDEX(BB$131:BB$148,MATCH($B189,$B$131:$B$148,0))*INDEX('Resource costs'!$C$121:$C$142, MATCH($B189, 'Resource costs'!$B$121:$B$142,0))</f>
        <v>3685.0151020922594</v>
      </c>
    </row>
    <row r="190" spans="2:54" s="97" customFormat="1">
      <c r="B190" s="6" t="s">
        <v>131</v>
      </c>
      <c r="C190" s="315"/>
      <c r="D190" s="90">
        <f>INDEX(D$131:D$148,MATCH($B190,$B$131:$B$148,0))*INDEX('Resource costs'!$C$121:$C$142, MATCH($B190, 'Resource costs'!$B$121:$B$142,0))</f>
        <v>319.15631382645</v>
      </c>
      <c r="E190" s="90">
        <f>INDEX(E$131:E$148,MATCH($B190,$B$131:$B$148,0))*INDEX('Resource costs'!$C$121:$C$142, MATCH($B190, 'Resource costs'!$B$121:$B$142,0))</f>
        <v>330.0652220021974</v>
      </c>
      <c r="F190" s="90">
        <f>INDEX(F$131:F$148,MATCH($B190,$B$131:$B$148,0))*INDEX('Resource costs'!$C$121:$C$142, MATCH($B190, 'Resource costs'!$B$121:$B$142,0))</f>
        <v>339.4019033315609</v>
      </c>
      <c r="G190" s="90">
        <f>INDEX(G$131:G$148,MATCH($B190,$B$131:$B$148,0))*INDEX('Resource costs'!$C$121:$C$142, MATCH($B190, 'Resource costs'!$B$121:$B$142,0))</f>
        <v>347.67979478769718</v>
      </c>
      <c r="H190" s="90">
        <f>INDEX(H$131:H$148,MATCH($B190,$B$131:$B$148,0))*INDEX('Resource costs'!$C$121:$C$142, MATCH($B190, 'Resource costs'!$B$121:$B$142,0))</f>
        <v>3794.1754576318194</v>
      </c>
      <c r="I190" s="90">
        <f>INDEX(I$131:I$148,MATCH($B190,$B$131:$B$148,0))*INDEX('Resource costs'!$C$121:$C$142, MATCH($B190, 'Resource costs'!$B$121:$B$142,0))</f>
        <v>3369.5823728279743</v>
      </c>
      <c r="J190" s="90">
        <f>INDEX(J$131:J$148,MATCH($B190,$B$131:$B$148,0))*INDEX('Resource costs'!$C$121:$C$142, MATCH($B190, 'Resource costs'!$B$121:$B$142,0))</f>
        <v>3120.7476523877062</v>
      </c>
      <c r="K190" s="90">
        <f>INDEX(K$131:K$148,MATCH($B190,$B$131:$B$148,0))*INDEX('Resource costs'!$C$121:$C$142, MATCH($B190, 'Resource costs'!$B$121:$B$142,0))</f>
        <v>2982.5834663239234</v>
      </c>
      <c r="L190" s="90">
        <f>INDEX(L$131:L$148,MATCH($B190,$B$131:$B$148,0))*INDEX('Resource costs'!$C$121:$C$142, MATCH($B190, 'Resource costs'!$B$121:$B$142,0))</f>
        <v>2919.0944263823171</v>
      </c>
      <c r="M190" s="90">
        <f>INDEX(M$131:M$148,MATCH($B190,$B$131:$B$148,0))*INDEX('Resource costs'!$C$121:$C$142, MATCH($B190, 'Resource costs'!$B$121:$B$142,0))</f>
        <v>2899.3340978221868</v>
      </c>
      <c r="N190" s="90">
        <f>INDEX(N$131:N$148,MATCH($B190,$B$131:$B$148,0))*INDEX('Resource costs'!$C$121:$C$142, MATCH($B190, 'Resource costs'!$B$121:$B$142,0))</f>
        <v>2905.3818329878568</v>
      </c>
      <c r="O190" s="90">
        <f>INDEX(O$131:O$148,MATCH($B190,$B$131:$B$148,0))*INDEX('Resource costs'!$C$121:$C$142, MATCH($B190, 'Resource costs'!$B$121:$B$142,0))</f>
        <v>2928.7272749395775</v>
      </c>
      <c r="P190" s="90">
        <f>INDEX(P$131:P$148,MATCH($B190,$B$131:$B$148,0))*INDEX('Resource costs'!$C$121:$C$142, MATCH($B190, 'Resource costs'!$B$121:$B$142,0))</f>
        <v>2959.8959394832355</v>
      </c>
      <c r="Q190" s="90">
        <f>INDEX(Q$131:Q$148,MATCH($B190,$B$131:$B$148,0))*INDEX('Resource costs'!$C$121:$C$142, MATCH($B190, 'Resource costs'!$B$121:$B$142,0))</f>
        <v>2995.039744928757</v>
      </c>
      <c r="R190" s="90">
        <f>INDEX(R$131:R$148,MATCH($B190,$B$131:$B$148,0))*INDEX('Resource costs'!$C$121:$C$142, MATCH($B190, 'Resource costs'!$B$121:$B$142,0))</f>
        <v>3032.7400065284351</v>
      </c>
      <c r="S190" s="90">
        <f>INDEX(S$131:S$148,MATCH($B190,$B$131:$B$148,0))*INDEX('Resource costs'!$C$121:$C$142, MATCH($B190, 'Resource costs'!$B$121:$B$142,0))</f>
        <v>3071.760723467658</v>
      </c>
      <c r="T190" s="90">
        <f>INDEX(T$131:T$148,MATCH($B190,$B$131:$B$148,0))*INDEX('Resource costs'!$C$121:$C$142, MATCH($B190, 'Resource costs'!$B$121:$B$142,0))</f>
        <v>3111.1135881004138</v>
      </c>
      <c r="U190" s="90">
        <f>INDEX(U$131:U$148,MATCH($B190,$B$131:$B$148,0))*INDEX('Resource costs'!$C$121:$C$142, MATCH($B190, 'Resource costs'!$B$121:$B$142,0))</f>
        <v>3150.9229602004471</v>
      </c>
      <c r="V190" s="90">
        <f>INDEX(V$131:V$148,MATCH($B190,$B$131:$B$148,0))*INDEX('Resource costs'!$C$121:$C$142, MATCH($B190, 'Resource costs'!$B$121:$B$142,0))</f>
        <v>3192.664816096406</v>
      </c>
      <c r="W190" s="90">
        <f>INDEX(W$131:W$148,MATCH($B190,$B$131:$B$148,0))*INDEX('Resource costs'!$C$121:$C$142, MATCH($B190, 'Resource costs'!$B$121:$B$142,0))</f>
        <v>3233.8517778462492</v>
      </c>
      <c r="X190" s="90">
        <f>INDEX(X$131:X$148,MATCH($B190,$B$131:$B$148,0))*INDEX('Resource costs'!$C$121:$C$142, MATCH($B190, 'Resource costs'!$B$121:$B$142,0))</f>
        <v>3274.0539058912536</v>
      </c>
      <c r="Y190" s="90">
        <f>INDEX(Y$131:Y$148,MATCH($B190,$B$131:$B$148,0))*INDEX('Resource costs'!$C$121:$C$142, MATCH($B190, 'Resource costs'!$B$121:$B$142,0))</f>
        <v>3314.1985050431949</v>
      </c>
      <c r="Z190" s="90">
        <f>INDEX(Z$131:Z$148,MATCH($B190,$B$131:$B$148,0))*INDEX('Resource costs'!$C$121:$C$142, MATCH($B190, 'Resource costs'!$B$121:$B$142,0))</f>
        <v>3353.764435907839</v>
      </c>
      <c r="AA190" s="90">
        <f>INDEX(AA$131:AA$148,MATCH($B190,$B$131:$B$148,0))*INDEX('Resource costs'!$C$121:$C$142, MATCH($B190, 'Resource costs'!$B$121:$B$142,0))</f>
        <v>3392.4071259788038</v>
      </c>
      <c r="AB190" s="90">
        <f>INDEX(AB$131:AB$148,MATCH($B190,$B$131:$B$148,0))*INDEX('Resource costs'!$C$121:$C$142, MATCH($B190, 'Resource costs'!$B$121:$B$142,0))</f>
        <v>3429.9190049813346</v>
      </c>
      <c r="AC190" s="90">
        <f>INDEX(AC$131:AC$148,MATCH($B190,$B$131:$B$148,0))*INDEX('Resource costs'!$C$121:$C$142, MATCH($B190, 'Resource costs'!$B$121:$B$142,0))</f>
        <v>3466.5829375368194</v>
      </c>
      <c r="AD190" s="90">
        <f>INDEX(AD$131:AD$148,MATCH($B190,$B$131:$B$148,0))*INDEX('Resource costs'!$C$121:$C$142, MATCH($B190, 'Resource costs'!$B$121:$B$142,0))</f>
        <v>3501.9636189702428</v>
      </c>
      <c r="AE190" s="90">
        <f>INDEX(AE$131:AE$148,MATCH($B190,$B$131:$B$148,0))*INDEX('Resource costs'!$C$121:$C$142, MATCH($B190, 'Resource costs'!$B$121:$B$142,0))</f>
        <v>3535.6976110617388</v>
      </c>
      <c r="AF190" s="90">
        <f>INDEX(AF$131:AF$148,MATCH($B190,$B$131:$B$148,0))*INDEX('Resource costs'!$C$121:$C$142, MATCH($B190, 'Resource costs'!$B$121:$B$142,0))</f>
        <v>3567.5591058333011</v>
      </c>
      <c r="AG190" s="90">
        <f>INDEX(AG$131:AG$148,MATCH($B190,$B$131:$B$148,0))*INDEX('Resource costs'!$C$121:$C$142, MATCH($B190, 'Resource costs'!$B$121:$B$142,0))</f>
        <v>3597.6664092097844</v>
      </c>
      <c r="AH190" s="90">
        <f>INDEX(AH$131:AH$148,MATCH($B190,$B$131:$B$148,0))*INDEX('Resource costs'!$C$121:$C$142, MATCH($B190, 'Resource costs'!$B$121:$B$142,0))</f>
        <v>3626.7685881350499</v>
      </c>
      <c r="AI190" s="90">
        <f>INDEX(AI$131:AI$148,MATCH($B190,$B$131:$B$148,0))*INDEX('Resource costs'!$C$121:$C$142, MATCH($B190, 'Resource costs'!$B$121:$B$142,0))</f>
        <v>3654.9531842514339</v>
      </c>
      <c r="AJ190" s="90">
        <f>INDEX(AJ$131:AJ$148,MATCH($B190,$B$131:$B$148,0))*INDEX('Resource costs'!$C$121:$C$142, MATCH($B190, 'Resource costs'!$B$121:$B$142,0))</f>
        <v>3682.6567089663185</v>
      </c>
      <c r="AK190" s="90">
        <f>INDEX(AK$131:AK$148,MATCH($B190,$B$131:$B$148,0))*INDEX('Resource costs'!$C$121:$C$142, MATCH($B190, 'Resource costs'!$B$121:$B$142,0))</f>
        <v>3709.4657137180552</v>
      </c>
      <c r="AL190" s="90">
        <f>INDEX(AL$131:AL$148,MATCH($B190,$B$131:$B$148,0))*INDEX('Resource costs'!$C$121:$C$142, MATCH($B190, 'Resource costs'!$B$121:$B$142,0))</f>
        <v>3734.6710680115275</v>
      </c>
      <c r="AM190" s="90">
        <f>INDEX(AM$131:AM$148,MATCH($B190,$B$131:$B$148,0))*INDEX('Resource costs'!$C$121:$C$142, MATCH($B190, 'Resource costs'!$B$121:$B$142,0))</f>
        <v>3757.9160182288833</v>
      </c>
      <c r="AN190" s="90">
        <f>INDEX(AN$131:AN$148,MATCH($B190,$B$131:$B$148,0))*INDEX('Resource costs'!$C$121:$C$142, MATCH($B190, 'Resource costs'!$B$121:$B$142,0))</f>
        <v>3778.9273448892145</v>
      </c>
      <c r="AO190" s="90">
        <f>INDEX(AO$131:AO$148,MATCH($B190,$B$131:$B$148,0))*INDEX('Resource costs'!$C$121:$C$142, MATCH($B190, 'Resource costs'!$B$121:$B$142,0))</f>
        <v>3797.5530869984118</v>
      </c>
      <c r="AP190" s="90">
        <f>INDEX(AP$131:AP$148,MATCH($B190,$B$131:$B$148,0))*INDEX('Resource costs'!$C$121:$C$142, MATCH($B190, 'Resource costs'!$B$121:$B$142,0))</f>
        <v>3813.679026283864</v>
      </c>
      <c r="AQ190" s="90">
        <f>INDEX(AQ$131:AQ$148,MATCH($B190,$B$131:$B$148,0))*INDEX('Resource costs'!$C$121:$C$142, MATCH($B190, 'Resource costs'!$B$121:$B$142,0))</f>
        <v>3828.5427849181838</v>
      </c>
      <c r="AR190" s="90">
        <f>INDEX(AR$131:AR$148,MATCH($B190,$B$131:$B$148,0))*INDEX('Resource costs'!$C$121:$C$142, MATCH($B190, 'Resource costs'!$B$121:$B$142,0))</f>
        <v>3843.2199870095633</v>
      </c>
      <c r="AS190" s="90">
        <f>INDEX(AS$131:AS$148,MATCH($B190,$B$131:$B$148,0))*INDEX('Resource costs'!$C$121:$C$142, MATCH($B190, 'Resource costs'!$B$121:$B$142,0))</f>
        <v>3858.4419908374475</v>
      </c>
      <c r="AT190" s="90">
        <f>INDEX(AT$131:AT$148,MATCH($B190,$B$131:$B$148,0))*INDEX('Resource costs'!$C$121:$C$142, MATCH($B190, 'Resource costs'!$B$121:$B$142,0))</f>
        <v>3869.6359050210549</v>
      </c>
      <c r="AU190" s="90">
        <f>INDEX(AU$131:AU$148,MATCH($B190,$B$131:$B$148,0))*INDEX('Resource costs'!$C$121:$C$142, MATCH($B190, 'Resource costs'!$B$121:$B$142,0))</f>
        <v>3878.2650140045043</v>
      </c>
      <c r="AV190" s="90">
        <f>INDEX(AV$131:AV$148,MATCH($B190,$B$131:$B$148,0))*INDEX('Resource costs'!$C$121:$C$142, MATCH($B190, 'Resource costs'!$B$121:$B$142,0))</f>
        <v>3885.2630189874621</v>
      </c>
      <c r="AW190" s="90">
        <f>INDEX(AW$131:AW$148,MATCH($B190,$B$131:$B$148,0))*INDEX('Resource costs'!$C$121:$C$142, MATCH($B190, 'Resource costs'!$B$121:$B$142,0))</f>
        <v>3888.2179893049574</v>
      </c>
      <c r="AX190" s="90">
        <f>INDEX(AX$131:AX$148,MATCH($B190,$B$131:$B$148,0))*INDEX('Resource costs'!$C$121:$C$142, MATCH($B190, 'Resource costs'!$B$121:$B$142,0))</f>
        <v>3889.0160045319039</v>
      </c>
      <c r="AY190" s="90">
        <f>INDEX(AY$131:AY$148,MATCH($B190,$B$131:$B$148,0))*INDEX('Resource costs'!$C$121:$C$142, MATCH($B190, 'Resource costs'!$B$121:$B$142,0))</f>
        <v>3888.7350519201163</v>
      </c>
      <c r="AZ190" s="90">
        <f>INDEX(AZ$131:AZ$148,MATCH($B190,$B$131:$B$148,0))*INDEX('Resource costs'!$C$121:$C$142, MATCH($B190, 'Resource costs'!$B$121:$B$142,0))</f>
        <v>3887.9776580652047</v>
      </c>
      <c r="BA190" s="90">
        <f>INDEX(BA$131:BA$148,MATCH($B190,$B$131:$B$148,0))*INDEX('Resource costs'!$C$121:$C$142, MATCH($B190, 'Resource costs'!$B$121:$B$142,0))</f>
        <v>3887.0690765173495</v>
      </c>
      <c r="BB190" s="90">
        <f>INDEX(BB$131:BB$148,MATCH($B190,$B$131:$B$148,0))*INDEX('Resource costs'!$C$121:$C$142, MATCH($B190, 'Resource costs'!$B$121:$B$142,0))</f>
        <v>3886.175095046277</v>
      </c>
    </row>
    <row r="191" spans="2:54" ht="29">
      <c r="B191" s="6" t="s">
        <v>2869</v>
      </c>
      <c r="C191" s="52"/>
      <c r="D191" s="90">
        <f>INDEX(D$131:D$148,MATCH($B191,$B$131:$B$148,0))*INDEX('Resource costs'!$C$121:$C$142, MATCH($B191, 'Resource costs'!$B$121:$B$142,0))</f>
        <v>6841.3459729296155</v>
      </c>
      <c r="E191" s="90">
        <f>INDEX(E$131:E$148,MATCH($B191,$B$131:$B$148,0))*INDEX('Resource costs'!$C$121:$C$142, MATCH($B191, 'Resource costs'!$B$121:$B$142,0))</f>
        <v>7075.1862943772167</v>
      </c>
      <c r="F191" s="90">
        <f>INDEX(F$131:F$148,MATCH($B191,$B$131:$B$148,0))*INDEX('Resource costs'!$C$121:$C$142, MATCH($B191, 'Resource costs'!$B$121:$B$142,0))</f>
        <v>7275.3247984454829</v>
      </c>
      <c r="G191" s="90">
        <f>INDEX(G$131:G$148,MATCH($B191,$B$131:$B$148,0))*INDEX('Resource costs'!$C$121:$C$142, MATCH($B191, 'Resource costs'!$B$121:$B$142,0))</f>
        <v>7452.767377283456</v>
      </c>
      <c r="H191" s="90">
        <f>INDEX(H$131:H$148,MATCH($B191,$B$131:$B$148,0))*INDEX('Resource costs'!$C$121:$C$142, MATCH($B191, 'Resource costs'!$B$121:$B$142,0))</f>
        <v>3199.4447429043639</v>
      </c>
      <c r="I191" s="90">
        <f>INDEX(I$131:I$148,MATCH($B191,$B$131:$B$148,0))*INDEX('Resource costs'!$C$121:$C$142, MATCH($B191, 'Resource costs'!$B$121:$B$142,0))</f>
        <v>2841.4059204464506</v>
      </c>
      <c r="J191" s="90">
        <f>INDEX(J$131:J$148,MATCH($B191,$B$131:$B$148,0))*INDEX('Resource costs'!$C$121:$C$142, MATCH($B191, 'Resource costs'!$B$121:$B$142,0))</f>
        <v>2631.5756300303065</v>
      </c>
      <c r="K191" s="90">
        <f>INDEX(K$131:K$148,MATCH($B191,$B$131:$B$148,0))*INDEX('Resource costs'!$C$121:$C$142, MATCH($B191, 'Resource costs'!$B$121:$B$142,0))</f>
        <v>2515.0684511463492</v>
      </c>
      <c r="L191" s="90">
        <f>INDEX(L$131:L$148,MATCH($B191,$B$131:$B$148,0))*INDEX('Resource costs'!$C$121:$C$142, MATCH($B191, 'Resource costs'!$B$121:$B$142,0))</f>
        <v>2461.53121299237</v>
      </c>
      <c r="M191" s="90">
        <f>INDEX(M$131:M$148,MATCH($B191,$B$131:$B$148,0))*INDEX('Resource costs'!$C$121:$C$142, MATCH($B191, 'Resource costs'!$B$121:$B$142,0))</f>
        <v>2444.8682831843657</v>
      </c>
      <c r="N191" s="90">
        <f>INDEX(N$131:N$148,MATCH($B191,$B$131:$B$148,0))*INDEX('Resource costs'!$C$121:$C$142, MATCH($B191, 'Resource costs'!$B$121:$B$142,0))</f>
        <v>2449.9680458859984</v>
      </c>
      <c r="O191" s="90">
        <f>INDEX(O$131:O$148,MATCH($B191,$B$131:$B$148,0))*INDEX('Resource costs'!$C$121:$C$142, MATCH($B191, 'Resource costs'!$B$121:$B$142,0))</f>
        <v>2469.6541285032299</v>
      </c>
      <c r="P191" s="90">
        <f>INDEX(P$131:P$148,MATCH($B191,$B$131:$B$148,0))*INDEX('Resource costs'!$C$121:$C$142, MATCH($B191, 'Resource costs'!$B$121:$B$142,0))</f>
        <v>2495.9371565368888</v>
      </c>
      <c r="Q191" s="90">
        <f>INDEX(Q$131:Q$148,MATCH($B191,$B$131:$B$148,0))*INDEX('Resource costs'!$C$121:$C$142, MATCH($B191, 'Resource costs'!$B$121:$B$142,0))</f>
        <v>2525.5722287242211</v>
      </c>
      <c r="R191" s="90">
        <f>INDEX(R$131:R$148,MATCH($B191,$B$131:$B$148,0))*INDEX('Resource costs'!$C$121:$C$142, MATCH($B191, 'Resource costs'!$B$121:$B$142,0))</f>
        <v>2557.3630368004765</v>
      </c>
      <c r="S191" s="90">
        <f>INDEX(S$131:S$148,MATCH($B191,$B$131:$B$148,0))*INDEX('Resource costs'!$C$121:$C$142, MATCH($B191, 'Resource costs'!$B$121:$B$142,0))</f>
        <v>2590.2673210302514</v>
      </c>
      <c r="T191" s="90">
        <f>INDEX(T$131:T$148,MATCH($B191,$B$131:$B$148,0))*INDEX('Resource costs'!$C$121:$C$142, MATCH($B191, 'Resource costs'!$B$121:$B$142,0))</f>
        <v>2623.4516893530827</v>
      </c>
      <c r="U191" s="90">
        <f>INDEX(U$131:U$148,MATCH($B191,$B$131:$B$148,0))*INDEX('Resource costs'!$C$121:$C$142, MATCH($B191, 'Resource costs'!$B$121:$B$142,0))</f>
        <v>2657.0210083542843</v>
      </c>
      <c r="V191" s="90">
        <f>INDEX(V$131:V$148,MATCH($B191,$B$131:$B$148,0))*INDEX('Resource costs'!$C$121:$C$142, MATCH($B191, 'Resource costs'!$B$121:$B$142,0))</f>
        <v>2692.2198975191927</v>
      </c>
      <c r="W191" s="90">
        <f>INDEX(W$131:W$148,MATCH($B191,$B$131:$B$148,0))*INDEX('Resource costs'!$C$121:$C$142, MATCH($B191, 'Resource costs'!$B$121:$B$142,0))</f>
        <v>2726.9508712757383</v>
      </c>
      <c r="X191" s="90">
        <f>INDEX(X$131:X$148,MATCH($B191,$B$131:$B$148,0))*INDEX('Resource costs'!$C$121:$C$142, MATCH($B191, 'Resource costs'!$B$121:$B$142,0))</f>
        <v>2760.8513823784688</v>
      </c>
      <c r="Y191" s="90">
        <f>INDEX(Y$131:Y$148,MATCH($B191,$B$131:$B$148,0))*INDEX('Resource costs'!$C$121:$C$142, MATCH($B191, 'Resource costs'!$B$121:$B$142,0))</f>
        <v>2794.7033821467799</v>
      </c>
      <c r="Z191" s="90">
        <f>INDEX(Z$131:Z$148,MATCH($B191,$B$131:$B$148,0))*INDEX('Resource costs'!$C$121:$C$142, MATCH($B191, 'Resource costs'!$B$121:$B$142,0))</f>
        <v>2828.0674189227743</v>
      </c>
      <c r="AA191" s="90">
        <f>INDEX(AA$131:AA$148,MATCH($B191,$B$131:$B$148,0))*INDEX('Resource costs'!$C$121:$C$142, MATCH($B191, 'Resource costs'!$B$121:$B$142,0))</f>
        <v>2860.6529313693695</v>
      </c>
      <c r="AB191" s="90">
        <f>INDEX(AB$131:AB$148,MATCH($B191,$B$131:$B$148,0))*INDEX('Resource costs'!$C$121:$C$142, MATCH($B191, 'Resource costs'!$B$121:$B$142,0))</f>
        <v>2892.2848855083653</v>
      </c>
      <c r="AC191" s="90">
        <f>INDEX(AC$131:AC$148,MATCH($B191,$B$131:$B$148,0))*INDEX('Resource costs'!$C$121:$C$142, MATCH($B191, 'Resource costs'!$B$121:$B$142,0))</f>
        <v>2923.20180740055</v>
      </c>
      <c r="AD191" s="90">
        <f>INDEX(AD$131:AD$148,MATCH($B191,$B$131:$B$148,0))*INDEX('Resource costs'!$C$121:$C$142, MATCH($B191, 'Resource costs'!$B$121:$B$142,0))</f>
        <v>2953.0366256572665</v>
      </c>
      <c r="AE191" s="90">
        <f>INDEX(AE$131:AE$148,MATCH($B191,$B$131:$B$148,0))*INDEX('Resource costs'!$C$121:$C$142, MATCH($B191, 'Resource costs'!$B$121:$B$142,0))</f>
        <v>2981.4828703972712</v>
      </c>
      <c r="AF191" s="90">
        <f>INDEX(AF$131:AF$148,MATCH($B191,$B$131:$B$148,0))*INDEX('Resource costs'!$C$121:$C$142, MATCH($B191, 'Resource costs'!$B$121:$B$142,0))</f>
        <v>3008.3501286688688</v>
      </c>
      <c r="AG191" s="90">
        <f>INDEX(AG$131:AG$148,MATCH($B191,$B$131:$B$148,0))*INDEX('Resource costs'!$C$121:$C$142, MATCH($B191, 'Resource costs'!$B$121:$B$142,0))</f>
        <v>3033.738162139266</v>
      </c>
      <c r="AH191" s="90">
        <f>INDEX(AH$131:AH$148,MATCH($B191,$B$131:$B$148,0))*INDEX('Resource costs'!$C$121:$C$142, MATCH($B191, 'Resource costs'!$B$121:$B$142,0))</f>
        <v>3058.2786227503357</v>
      </c>
      <c r="AI191" s="90">
        <f>INDEX(AI$131:AI$148,MATCH($B191,$B$131:$B$148,0))*INDEX('Resource costs'!$C$121:$C$142, MATCH($B191, 'Resource costs'!$B$121:$B$142,0))</f>
        <v>3082.0453301370658</v>
      </c>
      <c r="AJ191" s="90">
        <f>INDEX(AJ$131:AJ$148,MATCH($B191,$B$131:$B$148,0))*INDEX('Resource costs'!$C$121:$C$142, MATCH($B191, 'Resource costs'!$B$121:$B$142,0))</f>
        <v>3105.4063732671802</v>
      </c>
      <c r="AK191" s="90">
        <f>INDEX(AK$131:AK$148,MATCH($B191,$B$131:$B$148,0))*INDEX('Resource costs'!$C$121:$C$142, MATCH($B191, 'Resource costs'!$B$121:$B$142,0))</f>
        <v>3128.0131109558424</v>
      </c>
      <c r="AL191" s="90">
        <f>INDEX(AL$131:AL$148,MATCH($B191,$B$131:$B$148,0))*INDEX('Resource costs'!$C$121:$C$142, MATCH($B191, 'Resource costs'!$B$121:$B$142,0))</f>
        <v>3149.267567737772</v>
      </c>
      <c r="AM191" s="90">
        <f>INDEX(AM$131:AM$148,MATCH($B191,$B$131:$B$148,0))*INDEX('Resource costs'!$C$121:$C$142, MATCH($B191, 'Resource costs'!$B$121:$B$142,0))</f>
        <v>3168.8689105334506</v>
      </c>
      <c r="AN191" s="90">
        <f>INDEX(AN$131:AN$148,MATCH($B191,$B$131:$B$148,0))*INDEX('Resource costs'!$C$121:$C$142, MATCH($B191, 'Resource costs'!$B$121:$B$142,0))</f>
        <v>3186.5867465627839</v>
      </c>
      <c r="AO191" s="90">
        <f>INDEX(AO$131:AO$148,MATCH($B191,$B$131:$B$148,0))*INDEX('Resource costs'!$C$121:$C$142, MATCH($B191, 'Resource costs'!$B$121:$B$142,0))</f>
        <v>3202.2929344656386</v>
      </c>
      <c r="AP191" s="90">
        <f>INDEX(AP$131:AP$148,MATCH($B191,$B$131:$B$148,0))*INDEX('Resource costs'!$C$121:$C$142, MATCH($B191, 'Resource costs'!$B$121:$B$142,0))</f>
        <v>3215.8911594943352</v>
      </c>
      <c r="AQ191" s="90">
        <f>INDEX(AQ$131:AQ$148,MATCH($B191,$B$131:$B$148,0))*INDEX('Resource costs'!$C$121:$C$142, MATCH($B191, 'Resource costs'!$B$121:$B$142,0))</f>
        <v>3228.4250485970961</v>
      </c>
      <c r="AR191" s="90">
        <f>INDEX(AR$131:AR$148,MATCH($B191,$B$131:$B$148,0))*INDEX('Resource costs'!$C$121:$C$142, MATCH($B191, 'Resource costs'!$B$121:$B$142,0))</f>
        <v>3240.801623585834</v>
      </c>
      <c r="AS191" s="90">
        <f>INDEX(AS$131:AS$148,MATCH($B191,$B$131:$B$148,0))*INDEX('Resource costs'!$C$121:$C$142, MATCH($B191, 'Resource costs'!$B$121:$B$142,0))</f>
        <v>3253.6376035418034</v>
      </c>
      <c r="AT191" s="90">
        <f>INDEX(AT$131:AT$148,MATCH($B191,$B$131:$B$148,0))*INDEX('Resource costs'!$C$121:$C$142, MATCH($B191, 'Resource costs'!$B$121:$B$142,0))</f>
        <v>3263.0768902293044</v>
      </c>
      <c r="AU191" s="90">
        <f>INDEX(AU$131:AU$148,MATCH($B191,$B$131:$B$148,0))*INDEX('Resource costs'!$C$121:$C$142, MATCH($B191, 'Resource costs'!$B$121:$B$142,0))</f>
        <v>3270.3534006810046</v>
      </c>
      <c r="AV191" s="90">
        <f>INDEX(AV$131:AV$148,MATCH($B191,$B$131:$B$148,0))*INDEX('Resource costs'!$C$121:$C$142, MATCH($B191, 'Resource costs'!$B$121:$B$142,0))</f>
        <v>3276.2544799809898</v>
      </c>
      <c r="AW191" s="90">
        <f>INDEX(AW$131:AW$148,MATCH($B191,$B$131:$B$148,0))*INDEX('Resource costs'!$C$121:$C$142, MATCH($B191, 'Resource costs'!$B$121:$B$142,0))</f>
        <v>3278.7462635986226</v>
      </c>
      <c r="AX191" s="90">
        <f>INDEX(AX$131:AX$148,MATCH($B191,$B$131:$B$148,0))*INDEX('Resource costs'!$C$121:$C$142, MATCH($B191, 'Resource costs'!$B$121:$B$142,0))</f>
        <v>3279.419191261331</v>
      </c>
      <c r="AY191" s="90">
        <f>INDEX(AY$131:AY$148,MATCH($B191,$B$131:$B$148,0))*INDEX('Resource costs'!$C$121:$C$142, MATCH($B191, 'Resource costs'!$B$121:$B$142,0))</f>
        <v>3279.1822775058063</v>
      </c>
      <c r="AZ191" s="90">
        <f>INDEX(AZ$131:AZ$148,MATCH($B191,$B$131:$B$148,0))*INDEX('Resource costs'!$C$121:$C$142, MATCH($B191, 'Resource costs'!$B$121:$B$142,0))</f>
        <v>3278.5436038823891</v>
      </c>
      <c r="BA191" s="90">
        <f>INDEX(BA$131:BA$148,MATCH($B191,$B$131:$B$148,0))*INDEX('Resource costs'!$C$121:$C$142, MATCH($B191, 'Resource costs'!$B$121:$B$142,0))</f>
        <v>3277.7774409863273</v>
      </c>
      <c r="BB191" s="90">
        <f>INDEX(BB$131:BB$148,MATCH($B191,$B$131:$B$148,0))*INDEX('Resource costs'!$C$121:$C$142, MATCH($B191, 'Resource costs'!$B$121:$B$142,0))</f>
        <v>3277.0235896292106</v>
      </c>
    </row>
    <row r="192" spans="2:54" ht="29">
      <c r="B192" s="6" t="s">
        <v>2870</v>
      </c>
      <c r="C192" s="52"/>
      <c r="D192" s="90">
        <f>INDEX(D$131:D$148,MATCH($B192,$B$131:$B$148,0))*INDEX('Resource costs'!$C$121:$C$142, MATCH($B192, 'Resource costs'!$B$121:$B$142,0))</f>
        <v>8101.2744430231096</v>
      </c>
      <c r="E192" s="90">
        <f>INDEX(E$131:E$148,MATCH($B192,$B$131:$B$148,0))*INDEX('Resource costs'!$C$121:$C$142, MATCH($B192, 'Resource costs'!$B$121:$B$142,0))</f>
        <v>8378.1796934500999</v>
      </c>
      <c r="F192" s="90">
        <f>INDEX(F$131:F$148,MATCH($B192,$B$131:$B$148,0))*INDEX('Resource costs'!$C$121:$C$142, MATCH($B192, 'Resource costs'!$B$121:$B$142,0))</f>
        <v>8615.1764707639104</v>
      </c>
      <c r="G192" s="90">
        <f>INDEX(G$131:G$148,MATCH($B192,$B$131:$B$148,0))*INDEX('Resource costs'!$C$121:$C$142, MATCH($B192, 'Resource costs'!$B$121:$B$142,0))</f>
        <v>8825.2975543536377</v>
      </c>
      <c r="H192" s="90">
        <f>INDEX(H$131:H$148,MATCH($B192,$B$131:$B$148,0))*INDEX('Resource costs'!$C$121:$C$142, MATCH($B192, 'Resource costs'!$B$121:$B$142,0))</f>
        <v>6480.1743934595743</v>
      </c>
      <c r="I192" s="90">
        <f>INDEX(I$131:I$148,MATCH($B192,$B$131:$B$148,0))*INDEX('Resource costs'!$C$121:$C$142, MATCH($B192, 'Resource costs'!$B$121:$B$142,0))</f>
        <v>5755.0004349776345</v>
      </c>
      <c r="J192" s="90">
        <f>INDEX(J$131:J$148,MATCH($B192,$B$131:$B$148,0))*INDEX('Resource costs'!$C$121:$C$142, MATCH($B192, 'Resource costs'!$B$121:$B$142,0))</f>
        <v>5330.0089179519164</v>
      </c>
      <c r="K192" s="90">
        <f>INDEX(K$131:K$148,MATCH($B192,$B$131:$B$148,0))*INDEX('Resource costs'!$C$121:$C$142, MATCH($B192, 'Resource costs'!$B$121:$B$142,0))</f>
        <v>5094.0345855517644</v>
      </c>
      <c r="L192" s="90">
        <f>INDEX(L$131:L$148,MATCH($B192,$B$131:$B$148,0))*INDEX('Resource costs'!$C$121:$C$142, MATCH($B192, 'Resource costs'!$B$121:$B$142,0))</f>
        <v>4985.5999452750812</v>
      </c>
      <c r="M192" s="90">
        <f>INDEX(M$131:M$148,MATCH($B192,$B$131:$B$148,0))*INDEX('Resource costs'!$C$121:$C$142, MATCH($B192, 'Resource costs'!$B$121:$B$142,0))</f>
        <v>4951.8507482304012</v>
      </c>
      <c r="N192" s="90">
        <f>INDEX(N$131:N$148,MATCH($B192,$B$131:$B$148,0))*INDEX('Resource costs'!$C$121:$C$142, MATCH($B192, 'Resource costs'!$B$121:$B$142,0))</f>
        <v>4962.1798379092052</v>
      </c>
      <c r="O192" s="90">
        <f>INDEX(O$131:O$148,MATCH($B192,$B$131:$B$148,0))*INDEX('Resource costs'!$C$121:$C$142, MATCH($B192, 'Resource costs'!$B$121:$B$142,0))</f>
        <v>5002.0521466173441</v>
      </c>
      <c r="P192" s="90">
        <f>INDEX(P$131:P$148,MATCH($B192,$B$131:$B$148,0))*INDEX('Resource costs'!$C$121:$C$142, MATCH($B192, 'Resource costs'!$B$121:$B$142,0))</f>
        <v>5055.285947771129</v>
      </c>
      <c r="Q192" s="90">
        <f>INDEX(Q$131:Q$148,MATCH($B192,$B$131:$B$148,0))*INDEX('Resource costs'!$C$121:$C$142, MATCH($B192, 'Resource costs'!$B$121:$B$142,0))</f>
        <v>5115.3089990716971</v>
      </c>
      <c r="R192" s="90">
        <f>INDEX(R$131:R$148,MATCH($B192,$B$131:$B$148,0))*INDEX('Resource costs'!$C$121:$C$142, MATCH($B192, 'Resource costs'!$B$121:$B$142,0))</f>
        <v>5179.6982906511248</v>
      </c>
      <c r="S192" s="90">
        <f>INDEX(S$131:S$148,MATCH($B192,$B$131:$B$148,0))*INDEX('Resource costs'!$C$121:$C$142, MATCH($B192, 'Resource costs'!$B$121:$B$142,0))</f>
        <v>5246.3428234481962</v>
      </c>
      <c r="T192" s="90">
        <f>INDEX(T$131:T$148,MATCH($B192,$B$131:$B$148,0))*INDEX('Resource costs'!$C$121:$C$142, MATCH($B192, 'Resource costs'!$B$121:$B$142,0))</f>
        <v>5313.5546402316077</v>
      </c>
      <c r="U192" s="90">
        <f>INDEX(U$131:U$148,MATCH($B192,$B$131:$B$148,0))*INDEX('Resource costs'!$C$121:$C$142, MATCH($B192, 'Resource costs'!$B$121:$B$142,0))</f>
        <v>5381.5461384063792</v>
      </c>
      <c r="V192" s="90">
        <f>INDEX(V$131:V$148,MATCH($B192,$B$131:$B$148,0))*INDEX('Resource costs'!$C$121:$C$142, MATCH($B192, 'Resource costs'!$B$121:$B$142,0))</f>
        <v>5452.8381776736687</v>
      </c>
      <c r="W192" s="90">
        <f>INDEX(W$131:W$148,MATCH($B192,$B$131:$B$148,0))*INDEX('Resource costs'!$C$121:$C$142, MATCH($B192, 'Resource costs'!$B$121:$B$142,0))</f>
        <v>5523.1824982924945</v>
      </c>
      <c r="X192" s="90">
        <f>INDEX(X$131:X$148,MATCH($B192,$B$131:$B$148,0))*INDEX('Resource costs'!$C$121:$C$142, MATCH($B192, 'Resource costs'!$B$121:$B$142,0))</f>
        <v>5591.8447949176543</v>
      </c>
      <c r="Y192" s="90">
        <f>INDEX(Y$131:Y$148,MATCH($B192,$B$131:$B$148,0))*INDEX('Resource costs'!$C$121:$C$142, MATCH($B192, 'Resource costs'!$B$121:$B$142,0))</f>
        <v>5660.4088363978253</v>
      </c>
      <c r="Z192" s="90">
        <f>INDEX(Z$131:Z$148,MATCH($B192,$B$131:$B$148,0))*INDEX('Resource costs'!$C$121:$C$142, MATCH($B192, 'Resource costs'!$B$121:$B$142,0))</f>
        <v>5727.9845547338682</v>
      </c>
      <c r="AA192" s="90">
        <f>INDEX(AA$131:AA$148,MATCH($B192,$B$131:$B$148,0))*INDEX('Resource costs'!$C$121:$C$142, MATCH($B192, 'Resource costs'!$B$121:$B$142,0))</f>
        <v>5793.9834452671375</v>
      </c>
      <c r="AB192" s="90">
        <f>INDEX(AB$131:AB$148,MATCH($B192,$B$131:$B$148,0))*INDEX('Resource costs'!$C$121:$C$142, MATCH($B192, 'Resource costs'!$B$121:$B$142,0))</f>
        <v>5858.0509931381257</v>
      </c>
      <c r="AC192" s="90">
        <f>INDEX(AC$131:AC$148,MATCH($B192,$B$131:$B$148,0))*INDEX('Resource costs'!$C$121:$C$142, MATCH($B192, 'Resource costs'!$B$121:$B$142,0))</f>
        <v>5920.6703104476828</v>
      </c>
      <c r="AD192" s="90">
        <f>INDEX(AD$131:AD$148,MATCH($B192,$B$131:$B$148,0))*INDEX('Resource costs'!$C$121:$C$142, MATCH($B192, 'Resource costs'!$B$121:$B$142,0))</f>
        <v>5981.0979286240772</v>
      </c>
      <c r="AE192" s="90">
        <f>INDEX(AE$131:AE$148,MATCH($B192,$B$131:$B$148,0))*INDEX('Resource costs'!$C$121:$C$142, MATCH($B192, 'Resource costs'!$B$121:$B$142,0))</f>
        <v>6038.713121748784</v>
      </c>
      <c r="AF192" s="90">
        <f>INDEX(AF$131:AF$148,MATCH($B192,$B$131:$B$148,0))*INDEX('Resource costs'!$C$121:$C$142, MATCH($B192, 'Resource costs'!$B$121:$B$142,0))</f>
        <v>6093.1302262980016</v>
      </c>
      <c r="AG192" s="90">
        <f>INDEX(AG$131:AG$148,MATCH($B192,$B$131:$B$148,0))*INDEX('Resource costs'!$C$121:$C$142, MATCH($B192, 'Resource costs'!$B$121:$B$142,0))</f>
        <v>6144.5513001452764</v>
      </c>
      <c r="AH192" s="90">
        <f>INDEX(AH$131:AH$148,MATCH($B192,$B$131:$B$148,0))*INDEX('Resource costs'!$C$121:$C$142, MATCH($B192, 'Resource costs'!$B$121:$B$142,0))</f>
        <v>6194.2556948869715</v>
      </c>
      <c r="AI192" s="90">
        <f>INDEX(AI$131:AI$148,MATCH($B192,$B$131:$B$148,0))*INDEX('Resource costs'!$C$121:$C$142, MATCH($B192, 'Resource costs'!$B$121:$B$142,0))</f>
        <v>6242.3929252504277</v>
      </c>
      <c r="AJ192" s="90">
        <f>INDEX(AJ$131:AJ$148,MATCH($B192,$B$131:$B$148,0))*INDEX('Resource costs'!$C$121:$C$142, MATCH($B192, 'Resource costs'!$B$121:$B$142,0))</f>
        <v>6289.708520818067</v>
      </c>
      <c r="AK192" s="90">
        <f>INDEX(AK$131:AK$148,MATCH($B192,$B$131:$B$148,0))*INDEX('Resource costs'!$C$121:$C$142, MATCH($B192, 'Resource costs'!$B$121:$B$142,0))</f>
        <v>6335.496341662486</v>
      </c>
      <c r="AL192" s="90">
        <f>INDEX(AL$131:AL$148,MATCH($B192,$B$131:$B$148,0))*INDEX('Resource costs'!$C$121:$C$142, MATCH($B192, 'Resource costs'!$B$121:$B$142,0))</f>
        <v>6378.5452447231228</v>
      </c>
      <c r="AM192" s="90">
        <f>INDEX(AM$131:AM$148,MATCH($B192,$B$131:$B$148,0))*INDEX('Resource costs'!$C$121:$C$142, MATCH($B192, 'Resource costs'!$B$121:$B$142,0))</f>
        <v>6418.2459208931614</v>
      </c>
      <c r="AN192" s="90">
        <f>INDEX(AN$131:AN$148,MATCH($B192,$B$131:$B$148,0))*INDEX('Resource costs'!$C$121:$C$142, MATCH($B192, 'Resource costs'!$B$121:$B$142,0))</f>
        <v>6454.1317312668016</v>
      </c>
      <c r="AO192" s="90">
        <f>INDEX(AO$131:AO$148,MATCH($B192,$B$131:$B$148,0))*INDEX('Resource costs'!$C$121:$C$142, MATCH($B192, 'Resource costs'!$B$121:$B$142,0))</f>
        <v>6485.9431375718059</v>
      </c>
      <c r="AP192" s="90">
        <f>INDEX(AP$131:AP$148,MATCH($B192,$B$131:$B$148,0))*INDEX('Resource costs'!$C$121:$C$142, MATCH($B192, 'Resource costs'!$B$121:$B$142,0))</f>
        <v>6513.4850633459228</v>
      </c>
      <c r="AQ192" s="90">
        <f>INDEX(AQ$131:AQ$148,MATCH($B192,$B$131:$B$148,0))*INDEX('Resource costs'!$C$121:$C$142, MATCH($B192, 'Resource costs'!$B$121:$B$142,0))</f>
        <v>6538.8712768113382</v>
      </c>
      <c r="AR192" s="90">
        <f>INDEX(AR$131:AR$148,MATCH($B192,$B$131:$B$148,0))*INDEX('Resource costs'!$C$121:$C$142, MATCH($B192, 'Resource costs'!$B$121:$B$142,0))</f>
        <v>6563.9388653354481</v>
      </c>
      <c r="AS192" s="90">
        <f>INDEX(AS$131:AS$148,MATCH($B192,$B$131:$B$148,0))*INDEX('Resource costs'!$C$121:$C$142, MATCH($B192, 'Resource costs'!$B$121:$B$142,0))</f>
        <v>6589.9369354099836</v>
      </c>
      <c r="AT192" s="90">
        <f>INDEX(AT$131:AT$148,MATCH($B192,$B$131:$B$148,0))*INDEX('Resource costs'!$C$121:$C$142, MATCH($B192, 'Resource costs'!$B$121:$B$142,0))</f>
        <v>6609.0553227553273</v>
      </c>
      <c r="AU192" s="90">
        <f>INDEX(AU$131:AU$148,MATCH($B192,$B$131:$B$148,0))*INDEX('Resource costs'!$C$121:$C$142, MATCH($B192, 'Resource costs'!$B$121:$B$142,0))</f>
        <v>6623.7932102614086</v>
      </c>
      <c r="AV192" s="90">
        <f>INDEX(AV$131:AV$148,MATCH($B192,$B$131:$B$148,0))*INDEX('Resource costs'!$C$121:$C$142, MATCH($B192, 'Resource costs'!$B$121:$B$142,0))</f>
        <v>6635.7452913399602</v>
      </c>
      <c r="AW192" s="90">
        <f>INDEX(AW$131:AW$148,MATCH($B192,$B$131:$B$148,0))*INDEX('Resource costs'!$C$121:$C$142, MATCH($B192, 'Resource costs'!$B$121:$B$142,0))</f>
        <v>6640.7921646853538</v>
      </c>
      <c r="AX192" s="90">
        <f>INDEX(AX$131:AX$148,MATCH($B192,$B$131:$B$148,0))*INDEX('Resource costs'!$C$121:$C$142, MATCH($B192, 'Resource costs'!$B$121:$B$142,0))</f>
        <v>6642.1551163719578</v>
      </c>
      <c r="AY192" s="90">
        <f>INDEX(AY$131:AY$148,MATCH($B192,$B$131:$B$148,0))*INDEX('Resource costs'!$C$121:$C$142, MATCH($B192, 'Resource costs'!$B$121:$B$142,0))</f>
        <v>6641.6752698437695</v>
      </c>
      <c r="AZ192" s="90">
        <f>INDEX(AZ$131:AZ$148,MATCH($B192,$B$131:$B$148,0))*INDEX('Resource costs'!$C$121:$C$142, MATCH($B192, 'Resource costs'!$B$121:$B$142,0))</f>
        <v>6640.381696491886</v>
      </c>
      <c r="BA192" s="90">
        <f>INDEX(BA$131:BA$148,MATCH($B192,$B$131:$B$148,0))*INDEX('Resource costs'!$C$121:$C$142, MATCH($B192, 'Resource costs'!$B$121:$B$142,0))</f>
        <v>6638.8299056096439</v>
      </c>
      <c r="BB192" s="90">
        <f>INDEX(BB$131:BB$148,MATCH($B192,$B$131:$B$148,0))*INDEX('Resource costs'!$C$121:$C$142, MATCH($B192, 'Resource costs'!$B$121:$B$142,0))</f>
        <v>6637.3030505915349</v>
      </c>
    </row>
    <row r="193" spans="2:54">
      <c r="B193" s="6" t="s">
        <v>102</v>
      </c>
      <c r="C193" s="52"/>
      <c r="D193" s="90">
        <f>INDEX(D$131:D$148,MATCH($B193,$B$131:$B$148,0))*INDEX('Resource costs'!$C$121:$C$142, MATCH($B193, 'Resource costs'!$B$121:$B$142,0))</f>
        <v>582.30332346279977</v>
      </c>
      <c r="E193" s="90">
        <f>INDEX(E$131:E$148,MATCH($B193,$B$131:$B$148,0))*INDEX('Resource costs'!$C$121:$C$142, MATCH($B193, 'Resource costs'!$B$121:$B$142,0))</f>
        <v>1051.1502272820048</v>
      </c>
      <c r="F193" s="90">
        <f>INDEX(F$131:F$148,MATCH($B193,$B$131:$B$148,0))*INDEX('Resource costs'!$C$121:$C$142, MATCH($B193, 'Resource costs'!$B$121:$B$142,0))</f>
        <v>1532.4736839599811</v>
      </c>
      <c r="G193" s="90">
        <f>INDEX(G$131:G$148,MATCH($B193,$B$131:$B$148,0))*INDEX('Resource costs'!$C$121:$C$142, MATCH($B193, 'Resource costs'!$B$121:$B$142,0))</f>
        <v>2024.9988793476314</v>
      </c>
      <c r="H193" s="90">
        <f>INDEX(H$131:H$148,MATCH($B193,$B$131:$B$148,0))*INDEX('Resource costs'!$C$121:$C$142, MATCH($B193, 'Resource costs'!$B$121:$B$142,0))</f>
        <v>9628.0754954619879</v>
      </c>
      <c r="I193" s="90">
        <f>INDEX(I$131:I$148,MATCH($B193,$B$131:$B$148,0))*INDEX('Resource costs'!$C$121:$C$142, MATCH($B193, 'Resource costs'!$B$121:$B$142,0))</f>
        <v>17224.522353272776</v>
      </c>
      <c r="J193" s="90">
        <f>INDEX(J$131:J$148,MATCH($B193,$B$131:$B$148,0))*INDEX('Resource costs'!$C$121:$C$142, MATCH($B193, 'Resource costs'!$B$121:$B$142,0))</f>
        <v>24232.772445282277</v>
      </c>
      <c r="K193" s="90">
        <f>INDEX(K$131:K$148,MATCH($B193,$B$131:$B$148,0))*INDEX('Resource costs'!$C$121:$C$142, MATCH($B193, 'Resource costs'!$B$121:$B$142,0))</f>
        <v>30911.963517606004</v>
      </c>
      <c r="L193" s="90">
        <f>INDEX(L$131:L$148,MATCH($B193,$B$131:$B$148,0))*INDEX('Resource costs'!$C$121:$C$142, MATCH($B193, 'Resource costs'!$B$121:$B$142,0))</f>
        <v>37435.455841266557</v>
      </c>
      <c r="M193" s="90">
        <f>INDEX(M$131:M$148,MATCH($B193,$B$131:$B$148,0))*INDEX('Resource costs'!$C$121:$C$142, MATCH($B193, 'Resource costs'!$B$121:$B$142,0))</f>
        <v>43906.626821641672</v>
      </c>
      <c r="N193" s="90">
        <f>INDEX(N$131:N$148,MATCH($B193,$B$131:$B$148,0))*INDEX('Resource costs'!$C$121:$C$142, MATCH($B193, 'Resource costs'!$B$121:$B$142,0))</f>
        <v>50386.423585853066</v>
      </c>
      <c r="O193" s="90">
        <f>INDEX(O$131:O$148,MATCH($B193,$B$131:$B$148,0))*INDEX('Resource costs'!$C$121:$C$142, MATCH($B193, 'Resource costs'!$B$121:$B$142,0))</f>
        <v>56466.092191566269</v>
      </c>
      <c r="P193" s="90">
        <f>INDEX(P$131:P$148,MATCH($B193,$B$131:$B$148,0))*INDEX('Resource costs'!$C$121:$C$142, MATCH($B193, 'Resource costs'!$B$121:$B$142,0))</f>
        <v>62598.467947415214</v>
      </c>
      <c r="Q193" s="90">
        <f>INDEX(Q$131:Q$148,MATCH($B193,$B$131:$B$148,0))*INDEX('Resource costs'!$C$121:$C$142, MATCH($B193, 'Resource costs'!$B$121:$B$142,0))</f>
        <v>68795.354994145076</v>
      </c>
      <c r="R193" s="90">
        <f>INDEX(R$131:R$148,MATCH($B193,$B$131:$B$148,0))*INDEX('Resource costs'!$C$121:$C$142, MATCH($B193, 'Resource costs'!$B$121:$B$142,0))</f>
        <v>75064.212701298544</v>
      </c>
      <c r="S193" s="90">
        <f>INDEX(S$131:S$148,MATCH($B193,$B$131:$B$148,0))*INDEX('Resource costs'!$C$121:$C$142, MATCH($B193, 'Resource costs'!$B$121:$B$142,0))</f>
        <v>73445.391436539503</v>
      </c>
      <c r="T193" s="90">
        <f>INDEX(T$131:T$148,MATCH($B193,$B$131:$B$148,0))*INDEX('Resource costs'!$C$121:$C$142, MATCH($B193, 'Resource costs'!$B$121:$B$142,0))</f>
        <v>72861.416060467309</v>
      </c>
      <c r="U193" s="90">
        <f>INDEX(U$131:U$148,MATCH($B193,$B$131:$B$148,0))*INDEX('Resource costs'!$C$121:$C$142, MATCH($B193, 'Resource costs'!$B$121:$B$142,0))</f>
        <v>72921.223224216214</v>
      </c>
      <c r="V193" s="90">
        <f>INDEX(V$131:V$148,MATCH($B193,$B$131:$B$148,0))*INDEX('Resource costs'!$C$121:$C$142, MATCH($B193, 'Resource costs'!$B$121:$B$142,0))</f>
        <v>73381.976431359581</v>
      </c>
      <c r="W193" s="90">
        <f>INDEX(W$131:W$148,MATCH($B193,$B$131:$B$148,0))*INDEX('Resource costs'!$C$121:$C$142, MATCH($B193, 'Resource costs'!$B$121:$B$142,0))</f>
        <v>74076.331440726412</v>
      </c>
      <c r="X193" s="90">
        <f>INDEX(X$131:X$148,MATCH($B193,$B$131:$B$148,0))*INDEX('Resource costs'!$C$121:$C$142, MATCH($B193, 'Resource costs'!$B$121:$B$142,0))</f>
        <v>74904.62830504452</v>
      </c>
      <c r="Y193" s="90">
        <f>INDEX(Y$131:Y$148,MATCH($B193,$B$131:$B$148,0))*INDEX('Resource costs'!$C$121:$C$142, MATCH($B193, 'Resource costs'!$B$121:$B$142,0))</f>
        <v>75808.994731540297</v>
      </c>
      <c r="Z193" s="90">
        <f>INDEX(Z$131:Z$148,MATCH($B193,$B$131:$B$148,0))*INDEX('Resource costs'!$C$121:$C$142, MATCH($B193, 'Resource costs'!$B$121:$B$142,0))</f>
        <v>76749.65272875884</v>
      </c>
      <c r="AA193" s="90">
        <f>INDEX(AA$131:AA$148,MATCH($B193,$B$131:$B$148,0))*INDEX('Resource costs'!$C$121:$C$142, MATCH($B193, 'Resource costs'!$B$121:$B$142,0))</f>
        <v>77707.15680765413</v>
      </c>
      <c r="AB193" s="90">
        <f>INDEX(AB$131:AB$148,MATCH($B193,$B$131:$B$148,0))*INDEX('Resource costs'!$C$121:$C$142, MATCH($B193, 'Resource costs'!$B$121:$B$142,0))</f>
        <v>78670.156420292638</v>
      </c>
      <c r="AC193" s="90">
        <f>INDEX(AC$131:AC$148,MATCH($B193,$B$131:$B$148,0))*INDEX('Resource costs'!$C$121:$C$142, MATCH($B193, 'Resource costs'!$B$121:$B$142,0))</f>
        <v>79631.004162636687</v>
      </c>
      <c r="AD193" s="90">
        <f>INDEX(AD$131:AD$148,MATCH($B193,$B$131:$B$148,0))*INDEX('Resource costs'!$C$121:$C$142, MATCH($B193, 'Resource costs'!$B$121:$B$142,0))</f>
        <v>80583.974087779046</v>
      </c>
      <c r="AE193" s="90">
        <f>INDEX(AE$131:AE$148,MATCH($B193,$B$131:$B$148,0))*INDEX('Resource costs'!$C$121:$C$142, MATCH($B193, 'Resource costs'!$B$121:$B$142,0))</f>
        <v>81524.72057737624</v>
      </c>
      <c r="AF193" s="90">
        <f>INDEX(AF$131:AF$148,MATCH($B193,$B$131:$B$148,0))*INDEX('Resource costs'!$C$121:$C$142, MATCH($B193, 'Resource costs'!$B$121:$B$142,0))</f>
        <v>82448.090963127033</v>
      </c>
      <c r="AG193" s="90">
        <f>INDEX(AG$131:AG$148,MATCH($B193,$B$131:$B$148,0))*INDEX('Resource costs'!$C$121:$C$142, MATCH($B193, 'Resource costs'!$B$121:$B$142,0))</f>
        <v>83345.839203609998</v>
      </c>
      <c r="AH193" s="90">
        <f>INDEX(AH$131:AH$148,MATCH($B193,$B$131:$B$148,0))*INDEX('Resource costs'!$C$121:$C$142, MATCH($B193, 'Resource costs'!$B$121:$B$142,0))</f>
        <v>84216.81978989183</v>
      </c>
      <c r="AI193" s="90">
        <f>INDEX(AI$131:AI$148,MATCH($B193,$B$131:$B$148,0))*INDEX('Resource costs'!$C$121:$C$142, MATCH($B193, 'Resource costs'!$B$121:$B$142,0))</f>
        <v>85061.166235093813</v>
      </c>
      <c r="AJ193" s="90">
        <f>INDEX(AJ$131:AJ$148,MATCH($B193,$B$131:$B$148,0))*INDEX('Resource costs'!$C$121:$C$142, MATCH($B193, 'Resource costs'!$B$121:$B$142,0))</f>
        <v>85877.851477037213</v>
      </c>
      <c r="AK193" s="90">
        <f>INDEX(AK$131:AK$148,MATCH($B193,$B$131:$B$148,0))*INDEX('Resource costs'!$C$121:$C$142, MATCH($B193, 'Resource costs'!$B$121:$B$142,0))</f>
        <v>86666.24888913313</v>
      </c>
      <c r="AL193" s="90">
        <f>INDEX(AL$131:AL$148,MATCH($B193,$B$131:$B$148,0))*INDEX('Resource costs'!$C$121:$C$142, MATCH($B193, 'Resource costs'!$B$121:$B$142,0))</f>
        <v>87424.974372249242</v>
      </c>
      <c r="AM193" s="90">
        <f>INDEX(AM$131:AM$148,MATCH($B193,$B$131:$B$148,0))*INDEX('Resource costs'!$C$121:$C$142, MATCH($B193, 'Resource costs'!$B$121:$B$142,0))</f>
        <v>88152.244627708889</v>
      </c>
      <c r="AN193" s="90">
        <f>INDEX(AN$131:AN$148,MATCH($B193,$B$131:$B$148,0))*INDEX('Resource costs'!$C$121:$C$142, MATCH($B193, 'Resource costs'!$B$121:$B$142,0))</f>
        <v>88845.020173108671</v>
      </c>
      <c r="AO193" s="90">
        <f>INDEX(AO$131:AO$148,MATCH($B193,$B$131:$B$148,0))*INDEX('Resource costs'!$C$121:$C$142, MATCH($B193, 'Resource costs'!$B$121:$B$142,0))</f>
        <v>89500.87071455369</v>
      </c>
      <c r="AP193" s="90">
        <f>INDEX(AP$131:AP$148,MATCH($B193,$B$131:$B$148,0))*INDEX('Resource costs'!$C$121:$C$142, MATCH($B193, 'Resource costs'!$B$121:$B$142,0))</f>
        <v>90117.91477031559</v>
      </c>
      <c r="AQ193" s="90">
        <f>INDEX(AQ$131:AQ$148,MATCH($B193,$B$131:$B$148,0))*INDEX('Resource costs'!$C$121:$C$142, MATCH($B193, 'Resource costs'!$B$121:$B$142,0))</f>
        <v>90697.28046735884</v>
      </c>
      <c r="AR193" s="90">
        <f>INDEX(AR$131:AR$148,MATCH($B193,$B$131:$B$148,0))*INDEX('Resource costs'!$C$121:$C$142, MATCH($B193, 'Resource costs'!$B$121:$B$142,0))</f>
        <v>91242.261925700208</v>
      </c>
      <c r="AS193" s="90">
        <f>INDEX(AS$131:AS$148,MATCH($B193,$B$131:$B$148,0))*INDEX('Resource costs'!$C$121:$C$142, MATCH($B193, 'Resource costs'!$B$121:$B$142,0))</f>
        <v>91756.178655665994</v>
      </c>
      <c r="AT193" s="90">
        <f>INDEX(AT$131:AT$148,MATCH($B193,$B$131:$B$148,0))*INDEX('Resource costs'!$C$121:$C$142, MATCH($B193, 'Resource costs'!$B$121:$B$142,0))</f>
        <v>92232.954122819152</v>
      </c>
      <c r="AU193" s="90">
        <f>INDEX(AU$131:AU$148,MATCH($B193,$B$131:$B$148,0))*INDEX('Resource costs'!$C$121:$C$142, MATCH($B193, 'Resource costs'!$B$121:$B$142,0))</f>
        <v>92667.664390866586</v>
      </c>
      <c r="AV193" s="90">
        <f>INDEX(AV$131:AV$148,MATCH($B193,$B$131:$B$148,0))*INDEX('Resource costs'!$C$121:$C$142, MATCH($B193, 'Resource costs'!$B$121:$B$142,0))</f>
        <v>93058.490388659702</v>
      </c>
      <c r="AW193" s="90">
        <f>INDEX(AW$131:AW$148,MATCH($B193,$B$131:$B$148,0))*INDEX('Resource costs'!$C$121:$C$142, MATCH($B193, 'Resource costs'!$B$121:$B$142,0))</f>
        <v>93400.445301713524</v>
      </c>
      <c r="AX193" s="90">
        <f>INDEX(AX$131:AX$148,MATCH($B193,$B$131:$B$148,0))*INDEX('Resource costs'!$C$121:$C$142, MATCH($B193, 'Resource costs'!$B$121:$B$142,0))</f>
        <v>93692.735173560504</v>
      </c>
      <c r="AY193" s="90">
        <f>INDEX(AY$131:AY$148,MATCH($B193,$B$131:$B$148,0))*INDEX('Resource costs'!$C$121:$C$142, MATCH($B193, 'Resource costs'!$B$121:$B$142,0))</f>
        <v>93937.732460226674</v>
      </c>
      <c r="AZ193" s="90">
        <f>INDEX(AZ$131:AZ$148,MATCH($B193,$B$131:$B$148,0))*INDEX('Resource costs'!$C$121:$C$142, MATCH($B193, 'Resource costs'!$B$121:$B$142,0))</f>
        <v>94139.582249630446</v>
      </c>
      <c r="BA193" s="90">
        <f>INDEX(BA$131:BA$148,MATCH($B193,$B$131:$B$148,0))*INDEX('Resource costs'!$C$121:$C$142, MATCH($B193, 'Resource costs'!$B$121:$B$142,0))</f>
        <v>94303.462209196921</v>
      </c>
      <c r="BB193" s="90">
        <f>INDEX(BB$131:BB$148,MATCH($B193,$B$131:$B$148,0))*INDEX('Resource costs'!$C$121:$C$142, MATCH($B193, 'Resource costs'!$B$121:$B$142,0))</f>
        <v>94432.189160215436</v>
      </c>
    </row>
    <row r="194" spans="2:54">
      <c r="B194" s="6" t="s">
        <v>2831</v>
      </c>
      <c r="D194" s="90">
        <f>INDEX(D$131:D$148,MATCH($B194,$B$131:$B$148,0))*INDEX('Resource costs'!$C$121:$C$142, MATCH($B194, 'Resource costs'!$B$121:$B$142,0))</f>
        <v>33100.207645966999</v>
      </c>
      <c r="E194" s="90">
        <f>INDEX(E$131:E$148,MATCH($B194,$B$131:$B$148,0))*INDEX('Resource costs'!$C$121:$C$142, MATCH($B194, 'Resource costs'!$B$121:$B$142,0))</f>
        <v>34450.931242516221</v>
      </c>
      <c r="F194" s="90">
        <f>INDEX(F$131:F$148,MATCH($B194,$B$131:$B$148,0))*INDEX('Resource costs'!$C$121:$C$142, MATCH($B194, 'Resource costs'!$B$121:$B$142,0))</f>
        <v>35646.09395659704</v>
      </c>
      <c r="G194" s="90">
        <f>INDEX(G$131:G$148,MATCH($B194,$B$131:$B$148,0))*INDEX('Resource costs'!$C$121:$C$142, MATCH($B194, 'Resource costs'!$B$121:$B$142,0))</f>
        <v>36737.864622368397</v>
      </c>
      <c r="H194" s="90">
        <f>INDEX(H$131:H$148,MATCH($B194,$B$131:$B$148,0))*INDEX('Resource costs'!$C$121:$C$142, MATCH($B194, 'Resource costs'!$B$121:$B$142,0))</f>
        <v>55542.683766587317</v>
      </c>
      <c r="I194" s="90">
        <f>INDEX(I$131:I$148,MATCH($B194,$B$131:$B$148,0))*INDEX('Resource costs'!$C$121:$C$142, MATCH($B194, 'Resource costs'!$B$121:$B$142,0))</f>
        <v>55683.888061461257</v>
      </c>
      <c r="J194" s="90">
        <f>INDEX(J$131:J$148,MATCH($B194,$B$131:$B$148,0))*INDEX('Resource costs'!$C$121:$C$142, MATCH($B194, 'Resource costs'!$B$121:$B$142,0))</f>
        <v>57640.078059300482</v>
      </c>
      <c r="K194" s="90">
        <f>INDEX(K$131:K$148,MATCH($B194,$B$131:$B$148,0))*INDEX('Resource costs'!$C$121:$C$142, MATCH($B194, 'Resource costs'!$B$121:$B$142,0))</f>
        <v>60769.395162732275</v>
      </c>
      <c r="L194" s="90">
        <f>INDEX(L$131:L$148,MATCH($B194,$B$131:$B$148,0))*INDEX('Resource costs'!$C$121:$C$142, MATCH($B194, 'Resource costs'!$B$121:$B$142,0))</f>
        <v>64738.896135924806</v>
      </c>
      <c r="M194" s="90">
        <f>INDEX(M$131:M$148,MATCH($B194,$B$131:$B$148,0))*INDEX('Resource costs'!$C$121:$C$142, MATCH($B194, 'Resource costs'!$B$121:$B$142,0))</f>
        <v>69228.87141241983</v>
      </c>
      <c r="N194" s="90">
        <f>INDEX(N$131:N$148,MATCH($B194,$B$131:$B$148,0))*INDEX('Resource costs'!$C$121:$C$142, MATCH($B194, 'Resource costs'!$B$121:$B$142,0))</f>
        <v>74054.975138400594</v>
      </c>
      <c r="O194" s="90">
        <f>INDEX(O$131:O$148,MATCH($B194,$B$131:$B$148,0))*INDEX('Resource costs'!$C$121:$C$142, MATCH($B194, 'Resource costs'!$B$121:$B$142,0))</f>
        <v>78808.890001759151</v>
      </c>
      <c r="P194" s="90">
        <f>INDEX(P$131:P$148,MATCH($B194,$B$131:$B$148,0))*INDEX('Resource costs'!$C$121:$C$142, MATCH($B194, 'Resource costs'!$B$121:$B$142,0))</f>
        <v>83701.406786875217</v>
      </c>
      <c r="Q194" s="90">
        <f>INDEX(Q$131:Q$148,MATCH($B194,$B$131:$B$148,0))*INDEX('Resource costs'!$C$121:$C$142, MATCH($B194, 'Resource costs'!$B$121:$B$142,0))</f>
        <v>88692.000858621905</v>
      </c>
      <c r="R194" s="90">
        <f>INDEX(R$131:R$148,MATCH($B194,$B$131:$B$148,0))*INDEX('Resource costs'!$C$121:$C$142, MATCH($B194, 'Resource costs'!$B$121:$B$142,0))</f>
        <v>93768.009246505506</v>
      </c>
      <c r="S194" s="90">
        <f>INDEX(S$131:S$148,MATCH($B194,$B$131:$B$148,0))*INDEX('Resource costs'!$C$121:$C$142, MATCH($B194, 'Resource costs'!$B$121:$B$142,0))</f>
        <v>93080.285574239184</v>
      </c>
      <c r="T194" s="90">
        <f>INDEX(T$131:T$148,MATCH($B194,$B$131:$B$148,0))*INDEX('Resource costs'!$C$121:$C$142, MATCH($B194, 'Resource costs'!$B$121:$B$142,0))</f>
        <v>93155.209163460313</v>
      </c>
      <c r="U194" s="90">
        <f>INDEX(U$131:U$148,MATCH($B194,$B$131:$B$148,0))*INDEX('Resource costs'!$C$121:$C$142, MATCH($B194, 'Resource costs'!$B$121:$B$142,0))</f>
        <v>93707.772464991882</v>
      </c>
      <c r="V194" s="90">
        <f>INDEX(V$131:V$148,MATCH($B194,$B$131:$B$148,0))*INDEX('Resource costs'!$C$121:$C$142, MATCH($B194, 'Resource costs'!$B$121:$B$142,0))</f>
        <v>94578.870855364614</v>
      </c>
      <c r="W194" s="90">
        <f>INDEX(W$131:W$148,MATCH($B194,$B$131:$B$148,0))*INDEX('Resource costs'!$C$121:$C$142, MATCH($B194, 'Resource costs'!$B$121:$B$142,0))</f>
        <v>95614.076793397136</v>
      </c>
      <c r="X194" s="90">
        <f>INDEX(X$131:X$148,MATCH($B194,$B$131:$B$148,0))*INDEX('Resource costs'!$C$121:$C$142, MATCH($B194, 'Resource costs'!$B$121:$B$142,0))</f>
        <v>96734.858666994725</v>
      </c>
      <c r="Y194" s="90">
        <f>INDEX(Y$131:Y$148,MATCH($B194,$B$131:$B$148,0))*INDEX('Resource costs'!$C$121:$C$142, MATCH($B194, 'Resource costs'!$B$121:$B$142,0))</f>
        <v>97910.654110990217</v>
      </c>
      <c r="Z194" s="90">
        <f>INDEX(Z$131:Z$148,MATCH($B194,$B$131:$B$148,0))*INDEX('Resource costs'!$C$121:$C$142, MATCH($B194, 'Resource costs'!$B$121:$B$142,0))</f>
        <v>99105.651459852859</v>
      </c>
      <c r="AA194" s="90">
        <f>INDEX(AA$131:AA$148,MATCH($B194,$B$131:$B$148,0))*INDEX('Resource costs'!$C$121:$C$142, MATCH($B194, 'Resource costs'!$B$121:$B$142,0))</f>
        <v>100301.19642114811</v>
      </c>
      <c r="AB194" s="90">
        <f>INDEX(AB$131:AB$148,MATCH($B194,$B$131:$B$148,0))*INDEX('Resource costs'!$C$121:$C$142, MATCH($B194, 'Resource costs'!$B$121:$B$142,0))</f>
        <v>101486.317985719</v>
      </c>
      <c r="AC194" s="90">
        <f>INDEX(AC$131:AC$148,MATCH($B194,$B$131:$B$148,0))*INDEX('Resource costs'!$C$121:$C$142, MATCH($B194, 'Resource costs'!$B$121:$B$142,0))</f>
        <v>102659.02642537493</v>
      </c>
      <c r="AD194" s="90">
        <f>INDEX(AD$131:AD$148,MATCH($B194,$B$131:$B$148,0))*INDEX('Resource costs'!$C$121:$C$142, MATCH($B194, 'Resource costs'!$B$121:$B$142,0))</f>
        <v>103809.56253815169</v>
      </c>
      <c r="AE194" s="90">
        <f>INDEX(AE$131:AE$148,MATCH($B194,$B$131:$B$148,0))*INDEX('Resource costs'!$C$121:$C$142, MATCH($B194, 'Resource costs'!$B$121:$B$142,0))</f>
        <v>104930.09711423879</v>
      </c>
      <c r="AF194" s="90">
        <f>INDEX(AF$131:AF$148,MATCH($B194,$B$131:$B$148,0))*INDEX('Resource costs'!$C$121:$C$142, MATCH($B194, 'Resource costs'!$B$121:$B$142,0))</f>
        <v>106013.96829196493</v>
      </c>
      <c r="AG194" s="90">
        <f>INDEX(AG$131:AG$148,MATCH($B194,$B$131:$B$148,0))*INDEX('Resource costs'!$C$121:$C$142, MATCH($B194, 'Resource costs'!$B$121:$B$142,0))</f>
        <v>107056.64469085017</v>
      </c>
      <c r="AH194" s="90">
        <f>INDEX(AH$131:AH$148,MATCH($B194,$B$131:$B$148,0))*INDEX('Resource costs'!$C$121:$C$142, MATCH($B194, 'Resource costs'!$B$121:$B$142,0))</f>
        <v>108066.85929801864</v>
      </c>
      <c r="AI194" s="90">
        <f>INDEX(AI$131:AI$148,MATCH($B194,$B$131:$B$148,0))*INDEX('Resource costs'!$C$121:$C$142, MATCH($B194, 'Resource costs'!$B$121:$B$142,0))</f>
        <v>109045.82867447189</v>
      </c>
      <c r="AJ194" s="90">
        <f>INDEX(AJ$131:AJ$148,MATCH($B194,$B$131:$B$148,0))*INDEX('Resource costs'!$C$121:$C$142, MATCH($B194, 'Resource costs'!$B$121:$B$142,0))</f>
        <v>109998.37839704304</v>
      </c>
      <c r="AK194" s="90">
        <f>INDEX(AK$131:AK$148,MATCH($B194,$B$131:$B$148,0))*INDEX('Resource costs'!$C$121:$C$142, MATCH($B194, 'Resource costs'!$B$121:$B$142,0))</f>
        <v>110918.76568290367</v>
      </c>
      <c r="AL194" s="90">
        <f>INDEX(AL$131:AL$148,MATCH($B194,$B$131:$B$148,0))*INDEX('Resource costs'!$C$121:$C$142, MATCH($B194, 'Resource costs'!$B$121:$B$142,0))</f>
        <v>111796.91403952619</v>
      </c>
      <c r="AM194" s="90">
        <f>INDEX(AM$131:AM$148,MATCH($B194,$B$131:$B$148,0))*INDEX('Resource costs'!$C$121:$C$142, MATCH($B194, 'Resource costs'!$B$121:$B$142,0))</f>
        <v>112626.95751634358</v>
      </c>
      <c r="AN194" s="90">
        <f>INDEX(AN$131:AN$148,MATCH($B194,$B$131:$B$148,0))*INDEX('Resource costs'!$C$121:$C$142, MATCH($B194, 'Resource costs'!$B$121:$B$142,0))</f>
        <v>113403.17705036078</v>
      </c>
      <c r="AO194" s="90">
        <f>INDEX(AO$131:AO$148,MATCH($B194,$B$131:$B$148,0))*INDEX('Resource costs'!$C$121:$C$142, MATCH($B194, 'Resource costs'!$B$121:$B$142,0))</f>
        <v>114121.84962054054</v>
      </c>
      <c r="AP194" s="90">
        <f>INDEX(AP$131:AP$148,MATCH($B194,$B$131:$B$148,0))*INDEX('Resource costs'!$C$121:$C$142, MATCH($B194, 'Resource costs'!$B$121:$B$142,0))</f>
        <v>114780.13673377785</v>
      </c>
      <c r="AQ194" s="90">
        <f>INDEX(AQ$131:AQ$148,MATCH($B194,$B$131:$B$148,0))*INDEX('Resource costs'!$C$121:$C$142, MATCH($B194, 'Resource costs'!$B$121:$B$142,0))</f>
        <v>115394.68100063094</v>
      </c>
      <c r="AR194" s="90">
        <f>INDEX(AR$131:AR$148,MATCH($B194,$B$131:$B$148,0))*INDEX('Resource costs'!$C$121:$C$142, MATCH($B194, 'Resource costs'!$B$121:$B$142,0))</f>
        <v>115981.64220404402</v>
      </c>
      <c r="AS194" s="90">
        <f>INDEX(AS$131:AS$148,MATCH($B194,$B$131:$B$148,0))*INDEX('Resource costs'!$C$121:$C$142, MATCH($B194, 'Resource costs'!$B$121:$B$142,0))</f>
        <v>116552.7992860423</v>
      </c>
      <c r="AT194" s="90">
        <f>INDEX(AT$131:AT$148,MATCH($B194,$B$131:$B$148,0))*INDEX('Resource costs'!$C$121:$C$142, MATCH($B194, 'Resource costs'!$B$121:$B$142,0))</f>
        <v>117045.26098244652</v>
      </c>
      <c r="AU194" s="90">
        <f>INDEX(AU$131:AU$148,MATCH($B194,$B$131:$B$148,0))*INDEX('Resource costs'!$C$121:$C$142, MATCH($B194, 'Resource costs'!$B$121:$B$142,0))</f>
        <v>117474.11834418502</v>
      </c>
      <c r="AV194" s="90">
        <f>INDEX(AV$131:AV$148,MATCH($B194,$B$131:$B$148,0))*INDEX('Resource costs'!$C$121:$C$142, MATCH($B194, 'Resource costs'!$B$121:$B$142,0))</f>
        <v>117849.97020967166</v>
      </c>
      <c r="AW194" s="90">
        <f>INDEX(AW$131:AW$148,MATCH($B194,$B$131:$B$148,0))*INDEX('Resource costs'!$C$121:$C$142, MATCH($B194, 'Resource costs'!$B$121:$B$142,0))</f>
        <v>118138.33932404655</v>
      </c>
      <c r="AX194" s="90">
        <f>INDEX(AX$131:AX$148,MATCH($B194,$B$131:$B$148,0))*INDEX('Resource costs'!$C$121:$C$142, MATCH($B194, 'Resource costs'!$B$121:$B$142,0))</f>
        <v>118362.7464490494</v>
      </c>
      <c r="AY194" s="90">
        <f>INDEX(AY$131:AY$148,MATCH($B194,$B$131:$B$148,0))*INDEX('Resource costs'!$C$121:$C$142, MATCH($B194, 'Resource costs'!$B$121:$B$142,0))</f>
        <v>118538.70611117127</v>
      </c>
      <c r="AZ194" s="90">
        <f>INDEX(AZ$131:AZ$148,MATCH($B194,$B$131:$B$148,0))*INDEX('Resource costs'!$C$121:$C$142, MATCH($B194, 'Resource costs'!$B$121:$B$142,0))</f>
        <v>118676.95592126333</v>
      </c>
      <c r="BA194" s="90">
        <f>INDEX(BA$131:BA$148,MATCH($B194,$B$131:$B$148,0))*INDEX('Resource costs'!$C$121:$C$142, MATCH($B194, 'Resource costs'!$B$121:$B$142,0))</f>
        <v>118785.44689878447</v>
      </c>
      <c r="BB194" s="90">
        <f>INDEX(BB$131:BB$148,MATCH($B194,$B$131:$B$148,0))*INDEX('Resource costs'!$C$121:$C$142, MATCH($B194, 'Resource costs'!$B$121:$B$142,0))</f>
        <v>118868.36203269915</v>
      </c>
    </row>
    <row r="195" spans="2:54" s="97" customFormat="1">
      <c r="B195" s="6" t="s">
        <v>2832</v>
      </c>
      <c r="C195" s="315"/>
      <c r="D195" s="90">
        <f>INDEX(D$131:D$148,MATCH($B195,$B$131:$B$148,0))*INDEX('Resource costs'!$C$121:$C$142, MATCH($B195, 'Resource costs'!$B$121:$B$142,0))</f>
        <v>13473.43019986127</v>
      </c>
      <c r="E195" s="90">
        <f>INDEX(E$131:E$148,MATCH($B195,$B$131:$B$148,0))*INDEX('Resource costs'!$C$121:$C$142, MATCH($B195, 'Resource costs'!$B$121:$B$142,0))</f>
        <v>14077.786185035684</v>
      </c>
      <c r="F195" s="90">
        <f>INDEX(F$131:F$148,MATCH($B195,$B$131:$B$148,0))*INDEX('Resource costs'!$C$121:$C$142, MATCH($B195, 'Resource costs'!$B$121:$B$142,0))</f>
        <v>14620.685506707436</v>
      </c>
      <c r="G195" s="90">
        <f>INDEX(G$131:G$148,MATCH($B195,$B$131:$B$148,0))*INDEX('Resource costs'!$C$121:$C$142, MATCH($B195, 'Resource costs'!$B$121:$B$142,0))</f>
        <v>15123.094778039733</v>
      </c>
      <c r="H195" s="90">
        <f>INDEX(H$131:H$148,MATCH($B195,$B$131:$B$148,0))*INDEX('Resource costs'!$C$121:$C$142, MATCH($B195, 'Resource costs'!$B$121:$B$142,0))</f>
        <v>4764.8452022840074</v>
      </c>
      <c r="I195" s="90">
        <f>INDEX(I$131:I$148,MATCH($B195,$B$131:$B$148,0))*INDEX('Resource costs'!$C$121:$C$142, MATCH($B195, 'Resource costs'!$B$121:$B$142,0))</f>
        <v>4926.3413378667237</v>
      </c>
      <c r="J195" s="90">
        <f>INDEX(J$131:J$148,MATCH($B195,$B$131:$B$148,0))*INDEX('Resource costs'!$C$121:$C$142, MATCH($B195, 'Resource costs'!$B$121:$B$142,0))</f>
        <v>5225.7287176890386</v>
      </c>
      <c r="K195" s="90">
        <f>INDEX(K$131:K$148,MATCH($B195,$B$131:$B$148,0))*INDEX('Resource costs'!$C$121:$C$142, MATCH($B195, 'Resource costs'!$B$121:$B$142,0))</f>
        <v>5615.251570217567</v>
      </c>
      <c r="L195" s="90">
        <f>INDEX(L$131:L$148,MATCH($B195,$B$131:$B$148,0))*INDEX('Resource costs'!$C$121:$C$142, MATCH($B195, 'Resource costs'!$B$121:$B$142,0))</f>
        <v>6070.9063874985432</v>
      </c>
      <c r="M195" s="90">
        <f>INDEX(M$131:M$148,MATCH($B195,$B$131:$B$148,0))*INDEX('Resource costs'!$C$121:$C$142, MATCH($B195, 'Resource costs'!$B$121:$B$142,0))</f>
        <v>6568.3990347742656</v>
      </c>
      <c r="N195" s="90">
        <f>INDEX(N$131:N$148,MATCH($B195,$B$131:$B$148,0))*INDEX('Resource costs'!$C$121:$C$142, MATCH($B195, 'Resource costs'!$B$121:$B$142,0))</f>
        <v>7093.7478357986147</v>
      </c>
      <c r="O195" s="90">
        <f>INDEX(O$131:O$148,MATCH($B195,$B$131:$B$148,0))*INDEX('Resource costs'!$C$121:$C$142, MATCH($B195, 'Resource costs'!$B$121:$B$142,0))</f>
        <v>7605.2567607736373</v>
      </c>
      <c r="P195" s="90">
        <f>INDEX(P$131:P$148,MATCH($B195,$B$131:$B$148,0))*INDEX('Resource costs'!$C$121:$C$142, MATCH($B195, 'Resource costs'!$B$121:$B$142,0))</f>
        <v>8129.2217731984483</v>
      </c>
      <c r="Q195" s="90">
        <f>INDEX(Q$131:Q$148,MATCH($B195,$B$131:$B$148,0))*INDEX('Resource costs'!$C$121:$C$142, MATCH($B195, 'Resource costs'!$B$121:$B$142,0))</f>
        <v>8662.5378461825931</v>
      </c>
      <c r="R195" s="90">
        <f>INDEX(R$131:R$148,MATCH($B195,$B$131:$B$148,0))*INDEX('Resource costs'!$C$121:$C$142, MATCH($B195, 'Resource costs'!$B$121:$B$142,0))</f>
        <v>9204.3091266912033</v>
      </c>
      <c r="S195" s="90">
        <f>INDEX(S$131:S$148,MATCH($B195,$B$131:$B$148,0))*INDEX('Resource costs'!$C$121:$C$142, MATCH($B195, 'Resource costs'!$B$121:$B$142,0))</f>
        <v>9115.7265017673017</v>
      </c>
      <c r="T195" s="90">
        <f>INDEX(T$131:T$148,MATCH($B195,$B$131:$B$148,0))*INDEX('Resource costs'!$C$121:$C$142, MATCH($B195, 'Resource costs'!$B$121:$B$142,0))</f>
        <v>9110.3768698613003</v>
      </c>
      <c r="U195" s="90">
        <f>INDEX(U$131:U$148,MATCH($B195,$B$131:$B$148,0))*INDEX('Resource costs'!$C$121:$C$142, MATCH($B195, 'Resource costs'!$B$121:$B$142,0))</f>
        <v>9157.0698956953001</v>
      </c>
      <c r="V195" s="90">
        <f>INDEX(V$131:V$148,MATCH($B195,$B$131:$B$148,0))*INDEX('Resource costs'!$C$121:$C$142, MATCH($B195, 'Resource costs'!$B$121:$B$142,0))</f>
        <v>9237.9097980193656</v>
      </c>
      <c r="W195" s="90">
        <f>INDEX(W$131:W$148,MATCH($B195,$B$131:$B$148,0))*INDEX('Resource costs'!$C$121:$C$142, MATCH($B195, 'Resource costs'!$B$121:$B$142,0))</f>
        <v>9336.8753733002141</v>
      </c>
      <c r="X195" s="90">
        <f>INDEX(X$131:X$148,MATCH($B195,$B$131:$B$148,0))*INDEX('Resource costs'!$C$121:$C$142, MATCH($B195, 'Resource costs'!$B$121:$B$142,0))</f>
        <v>9445.5320589899711</v>
      </c>
      <c r="Y195" s="90">
        <f>INDEX(Y$131:Y$148,MATCH($B195,$B$131:$B$148,0))*INDEX('Resource costs'!$C$121:$C$142, MATCH($B195, 'Resource costs'!$B$121:$B$142,0))</f>
        <v>9560.2207905784671</v>
      </c>
      <c r="Z195" s="90">
        <f>INDEX(Z$131:Z$148,MATCH($B195,$B$131:$B$148,0))*INDEX('Resource costs'!$C$121:$C$142, MATCH($B195, 'Resource costs'!$B$121:$B$142,0))</f>
        <v>9677.2071041356921</v>
      </c>
      <c r="AA195" s="90">
        <f>INDEX(AA$131:AA$148,MATCH($B195,$B$131:$B$148,0))*INDEX('Resource costs'!$C$121:$C$142, MATCH($B195, 'Resource costs'!$B$121:$B$142,0))</f>
        <v>9794.570868785182</v>
      </c>
      <c r="AB195" s="90">
        <f>INDEX(AB$131:AB$148,MATCH($B195,$B$131:$B$148,0))*INDEX('Resource costs'!$C$121:$C$142, MATCH($B195, 'Resource costs'!$B$121:$B$142,0))</f>
        <v>9911.18450468423</v>
      </c>
      <c r="AC195" s="90">
        <f>INDEX(AC$131:AC$148,MATCH($B195,$B$131:$B$148,0))*INDEX('Resource costs'!$C$121:$C$142, MATCH($B195, 'Resource costs'!$B$121:$B$142,0))</f>
        <v>10026.73325253746</v>
      </c>
      <c r="AD195" s="90">
        <f>INDEX(AD$131:AD$148,MATCH($B195,$B$131:$B$148,0))*INDEX('Resource costs'!$C$121:$C$142, MATCH($B195, 'Resource costs'!$B$121:$B$142,0))</f>
        <v>10140.300309963714</v>
      </c>
      <c r="AE195" s="90">
        <f>INDEX(AE$131:AE$148,MATCH($B195,$B$131:$B$148,0))*INDEX('Resource costs'!$C$121:$C$142, MATCH($B195, 'Resource costs'!$B$121:$B$142,0))</f>
        <v>10251.15507439145</v>
      </c>
      <c r="AF195" s="90">
        <f>INDEX(AF$131:AF$148,MATCH($B195,$B$131:$B$148,0))*INDEX('Resource costs'!$C$121:$C$142, MATCH($B195, 'Resource costs'!$B$121:$B$142,0))</f>
        <v>10358.647172741486</v>
      </c>
      <c r="AG195" s="90">
        <f>INDEX(AG$131:AG$148,MATCH($B195,$B$131:$B$148,0))*INDEX('Resource costs'!$C$121:$C$142, MATCH($B195, 'Resource costs'!$B$121:$B$142,0))</f>
        <v>10462.240686630146</v>
      </c>
      <c r="AH195" s="90">
        <f>INDEX(AH$131:AH$148,MATCH($B195,$B$131:$B$148,0))*INDEX('Resource costs'!$C$121:$C$142, MATCH($B195, 'Resource costs'!$B$121:$B$142,0))</f>
        <v>10562.632329296839</v>
      </c>
      <c r="AI195" s="90">
        <f>INDEX(AI$131:AI$148,MATCH($B195,$B$131:$B$148,0))*INDEX('Resource costs'!$C$121:$C$142, MATCH($B195, 'Resource costs'!$B$121:$B$142,0))</f>
        <v>10659.924939540433</v>
      </c>
      <c r="AJ195" s="90">
        <f>INDEX(AJ$131:AJ$148,MATCH($B195,$B$131:$B$148,0))*INDEX('Resource costs'!$C$121:$C$142, MATCH($B195, 'Resource costs'!$B$121:$B$142,0))</f>
        <v>10754.495724662871</v>
      </c>
      <c r="AK195" s="90">
        <f>INDEX(AK$131:AK$148,MATCH($B195,$B$131:$B$148,0))*INDEX('Resource costs'!$C$121:$C$142, MATCH($B195, 'Resource costs'!$B$121:$B$142,0))</f>
        <v>10845.859305026921</v>
      </c>
      <c r="AL195" s="90">
        <f>INDEX(AL$131:AL$148,MATCH($B195,$B$131:$B$148,0))*INDEX('Resource costs'!$C$121:$C$142, MATCH($B195, 'Resource costs'!$B$121:$B$142,0))</f>
        <v>10933.158401480436</v>
      </c>
      <c r="AM195" s="90">
        <f>INDEX(AM$131:AM$148,MATCH($B195,$B$131:$B$148,0))*INDEX('Resource costs'!$C$121:$C$142, MATCH($B195, 'Resource costs'!$B$121:$B$142,0))</f>
        <v>11015.87467014002</v>
      </c>
      <c r="AN195" s="90">
        <f>INDEX(AN$131:AN$148,MATCH($B195,$B$131:$B$148,0))*INDEX('Resource costs'!$C$121:$C$142, MATCH($B195, 'Resource costs'!$B$121:$B$142,0))</f>
        <v>11093.477083390899</v>
      </c>
      <c r="AO195" s="90">
        <f>INDEX(AO$131:AO$148,MATCH($B195,$B$131:$B$148,0))*INDEX('Resource costs'!$C$121:$C$142, MATCH($B195, 'Resource costs'!$B$121:$B$142,0))</f>
        <v>11165.611040432314</v>
      </c>
      <c r="AP195" s="90">
        <f>INDEX(AP$131:AP$148,MATCH($B195,$B$131:$B$148,0))*INDEX('Resource costs'!$C$121:$C$142, MATCH($B195, 'Resource costs'!$B$121:$B$142,0))</f>
        <v>11232.005623780315</v>
      </c>
      <c r="AQ195" s="90">
        <f>INDEX(AQ$131:AQ$148,MATCH($B195,$B$131:$B$148,0))*INDEX('Resource costs'!$C$121:$C$142, MATCH($B195, 'Resource costs'!$B$121:$B$142,0))</f>
        <v>11294.053895857127</v>
      </c>
      <c r="AR195" s="90">
        <f>INDEX(AR$131:AR$148,MATCH($B195,$B$131:$B$148,0))*INDEX('Resource costs'!$C$121:$C$142, MATCH($B195, 'Resource costs'!$B$121:$B$142,0))</f>
        <v>11353.151881410045</v>
      </c>
      <c r="AS195" s="90">
        <f>INDEX(AS$131:AS$148,MATCH($B195,$B$131:$B$148,0))*INDEX('Resource costs'!$C$121:$C$142, MATCH($B195, 'Resource costs'!$B$121:$B$142,0))</f>
        <v>11410.335268210802</v>
      </c>
      <c r="AT195" s="90">
        <f>INDEX(AT$131:AT$148,MATCH($B195,$B$131:$B$148,0))*INDEX('Resource costs'!$C$121:$C$142, MATCH($B195, 'Resource costs'!$B$121:$B$142,0))</f>
        <v>11460.303994707288</v>
      </c>
      <c r="AU195" s="90">
        <f>INDEX(AU$131:AU$148,MATCH($B195,$B$131:$B$148,0))*INDEX('Resource costs'!$C$121:$C$142, MATCH($B195, 'Resource costs'!$B$121:$B$142,0))</f>
        <v>11504.203928247538</v>
      </c>
      <c r="AV195" s="90">
        <f>INDEX(AV$131:AV$148,MATCH($B195,$B$131:$B$148,0))*INDEX('Resource costs'!$C$121:$C$142, MATCH($B195, 'Resource costs'!$B$121:$B$142,0))</f>
        <v>11542.872178853189</v>
      </c>
      <c r="AW195" s="90">
        <f>INDEX(AW$131:AW$148,MATCH($B195,$B$131:$B$148,0))*INDEX('Resource costs'!$C$121:$C$142, MATCH($B195, 'Resource costs'!$B$121:$B$142,0))</f>
        <v>11573.370567608077</v>
      </c>
      <c r="AX195" s="90">
        <f>INDEX(AX$131:AX$148,MATCH($B195,$B$131:$B$148,0))*INDEX('Resource costs'!$C$121:$C$142, MATCH($B195, 'Resource costs'!$B$121:$B$142,0))</f>
        <v>11597.62077186012</v>
      </c>
      <c r="AY195" s="90">
        <f>INDEX(AY$131:AY$148,MATCH($B195,$B$131:$B$148,0))*INDEX('Resource costs'!$C$121:$C$142, MATCH($B195, 'Resource costs'!$B$121:$B$142,0))</f>
        <v>11616.94748541793</v>
      </c>
      <c r="AZ195" s="90">
        <f>INDEX(AZ$131:AZ$148,MATCH($B195,$B$131:$B$148,0))*INDEX('Resource costs'!$C$121:$C$142, MATCH($B195, 'Resource costs'!$B$121:$B$142,0))</f>
        <v>11632.316911753693</v>
      </c>
      <c r="BA195" s="90">
        <f>INDEX(BA$131:BA$148,MATCH($B195,$B$131:$B$148,0))*INDEX('Resource costs'!$C$121:$C$142, MATCH($B195, 'Resource costs'!$B$121:$B$142,0))</f>
        <v>11644.486101539755</v>
      </c>
      <c r="BB195" s="90">
        <f>INDEX(BB$131:BB$148,MATCH($B195,$B$131:$B$148,0))*INDEX('Resource costs'!$C$121:$C$142, MATCH($B195, 'Resource costs'!$B$121:$B$142,0))</f>
        <v>11653.855167432974</v>
      </c>
    </row>
    <row r="196" spans="2:54" s="97" customFormat="1">
      <c r="B196" s="6" t="s">
        <v>2871</v>
      </c>
      <c r="C196" s="315"/>
      <c r="D196" s="90">
        <f>INDEX(D$131:D$148,MATCH($B196,$B$131:$B$148,0))*INDEX('Resource costs'!$C$121:$C$142, MATCH($B196, 'Resource costs'!$B$121:$B$142,0))</f>
        <v>920.67641317829612</v>
      </c>
      <c r="E196" s="90">
        <f>INDEX(E$131:E$148,MATCH($B196,$B$131:$B$148,0))*INDEX('Resource costs'!$C$121:$C$142, MATCH($B196, 'Resource costs'!$B$121:$B$142,0))</f>
        <v>952.14555232996577</v>
      </c>
      <c r="F196" s="90">
        <f>INDEX(F$131:F$148,MATCH($B196,$B$131:$B$148,0))*INDEX('Resource costs'!$C$121:$C$142, MATCH($B196, 'Resource costs'!$B$121:$B$142,0))</f>
        <v>979.07925818164279</v>
      </c>
      <c r="G196" s="90">
        <f>INDEX(G$131:G$148,MATCH($B196,$B$131:$B$148,0))*INDEX('Resource costs'!$C$121:$C$142, MATCH($B196, 'Resource costs'!$B$121:$B$142,0))</f>
        <v>1002.9586523353776</v>
      </c>
      <c r="H196" s="90">
        <f>INDEX(H$131:H$148,MATCH($B196,$B$131:$B$148,0))*INDEX('Resource costs'!$C$121:$C$142, MATCH($B196, 'Resource costs'!$B$121:$B$142,0))</f>
        <v>736.44508148693785</v>
      </c>
      <c r="I196" s="90">
        <f>INDEX(I$131:I$148,MATCH($B196,$B$131:$B$148,0))*INDEX('Resource costs'!$C$121:$C$142, MATCH($B196, 'Resource costs'!$B$121:$B$142,0))</f>
        <v>654.03205329969433</v>
      </c>
      <c r="J196" s="90">
        <f>INDEX(J$131:J$148,MATCH($B196,$B$131:$B$148,0))*INDEX('Resource costs'!$C$121:$C$142, MATCH($B196, 'Resource costs'!$B$121:$B$142,0))</f>
        <v>605.73352097884276</v>
      </c>
      <c r="K196" s="90">
        <f>INDEX(K$131:K$148,MATCH($B196,$B$131:$B$148,0))*INDEX('Resource costs'!$C$121:$C$142, MATCH($B196, 'Resource costs'!$B$121:$B$142,0))</f>
        <v>578.91601177281677</v>
      </c>
      <c r="L196" s="90">
        <f>INDEX(L$131:L$148,MATCH($B196,$B$131:$B$148,0))*INDEX('Resource costs'!$C$121:$C$142, MATCH($B196, 'Resource costs'!$B$121:$B$142,0))</f>
        <v>566.59286232560942</v>
      </c>
      <c r="M196" s="90">
        <f>INDEX(M$131:M$148,MATCH($B196,$B$131:$B$148,0))*INDEX('Resource costs'!$C$121:$C$142, MATCH($B196, 'Resource costs'!$B$121:$B$142,0))</f>
        <v>562.7574053365546</v>
      </c>
      <c r="N196" s="90">
        <f>INDEX(N$131:N$148,MATCH($B196,$B$131:$B$148,0))*INDEX('Resource costs'!$C$121:$C$142, MATCH($B196, 'Resource costs'!$B$121:$B$142,0))</f>
        <v>563.9312637589253</v>
      </c>
      <c r="O196" s="90">
        <f>INDEX(O$131:O$148,MATCH($B196,$B$131:$B$148,0))*INDEX('Resource costs'!$C$121:$C$142, MATCH($B196, 'Resource costs'!$B$121:$B$142,0))</f>
        <v>568.4625871235055</v>
      </c>
      <c r="P196" s="90">
        <f>INDEX(P$131:P$148,MATCH($B196,$B$131:$B$148,0))*INDEX('Resource costs'!$C$121:$C$142, MATCH($B196, 'Resource costs'!$B$121:$B$142,0))</f>
        <v>574.51238897268513</v>
      </c>
      <c r="Q196" s="90">
        <f>INDEX(Q$131:Q$148,MATCH($B196,$B$131:$B$148,0))*INDEX('Resource costs'!$C$121:$C$142, MATCH($B196, 'Resource costs'!$B$121:$B$142,0))</f>
        <v>581.33376108741652</v>
      </c>
      <c r="R196" s="90">
        <f>INDEX(R$131:R$148,MATCH($B196,$B$131:$B$148,0))*INDEX('Resource costs'!$C$121:$C$142, MATCH($B196, 'Resource costs'!$B$121:$B$142,0))</f>
        <v>588.6513383939714</v>
      </c>
      <c r="S196" s="90">
        <f>INDEX(S$131:S$148,MATCH($B196,$B$131:$B$148,0))*INDEX('Resource costs'!$C$121:$C$142, MATCH($B196, 'Resource costs'!$B$121:$B$142,0))</f>
        <v>596.22521455939284</v>
      </c>
      <c r="T196" s="90">
        <f>INDEX(T$131:T$148,MATCH($B196,$B$131:$B$148,0))*INDEX('Resource costs'!$C$121:$C$142, MATCH($B196, 'Resource costs'!$B$121:$B$142,0))</f>
        <v>603.86356020914934</v>
      </c>
      <c r="U196" s="90">
        <f>INDEX(U$131:U$148,MATCH($B196,$B$131:$B$148,0))*INDEX('Resource costs'!$C$121:$C$142, MATCH($B196, 'Resource costs'!$B$121:$B$142,0))</f>
        <v>611.59051343193232</v>
      </c>
      <c r="V196" s="90">
        <f>INDEX(V$131:V$148,MATCH($B196,$B$131:$B$148,0))*INDEX('Resource costs'!$C$121:$C$142, MATCH($B196, 'Resource costs'!$B$121:$B$142,0))</f>
        <v>619.69255953127185</v>
      </c>
      <c r="W196" s="90">
        <f>INDEX(W$131:W$148,MATCH($B196,$B$131:$B$148,0))*INDEX('Resource costs'!$C$121:$C$142, MATCH($B196, 'Resource costs'!$B$121:$B$142,0))</f>
        <v>627.68690131666597</v>
      </c>
      <c r="X196" s="90">
        <f>INDEX(X$131:X$148,MATCH($B196,$B$131:$B$148,0))*INDEX('Resource costs'!$C$121:$C$142, MATCH($B196, 'Resource costs'!$B$121:$B$142,0))</f>
        <v>635.49008801550417</v>
      </c>
      <c r="Y196" s="90">
        <f>INDEX(Y$131:Y$148,MATCH($B196,$B$131:$B$148,0))*INDEX('Resource costs'!$C$121:$C$142, MATCH($B196, 'Resource costs'!$B$121:$B$142,0))</f>
        <v>643.28210842253236</v>
      </c>
      <c r="Z196" s="90">
        <f>INDEX(Z$131:Z$148,MATCH($B196,$B$131:$B$148,0))*INDEX('Resource costs'!$C$121:$C$142, MATCH($B196, 'Resource costs'!$B$121:$B$142,0))</f>
        <v>650.96180998222405</v>
      </c>
      <c r="AA196" s="90">
        <f>INDEX(AA$131:AA$148,MATCH($B196,$B$131:$B$148,0))*INDEX('Resource costs'!$C$121:$C$142, MATCH($B196, 'Resource costs'!$B$121:$B$142,0))</f>
        <v>658.46231156839701</v>
      </c>
      <c r="AB196" s="90">
        <f>INDEX(AB$131:AB$148,MATCH($B196,$B$131:$B$148,0))*INDEX('Resource costs'!$C$121:$C$142, MATCH($B196, 'Resource costs'!$B$121:$B$142,0))</f>
        <v>665.74332403005837</v>
      </c>
      <c r="AC196" s="90">
        <f>INDEX(AC$131:AC$148,MATCH($B196,$B$131:$B$148,0))*INDEX('Resource costs'!$C$121:$C$142, MATCH($B196, 'Resource costs'!$B$121:$B$142,0))</f>
        <v>672.85975106406499</v>
      </c>
      <c r="AD196" s="90">
        <f>INDEX(AD$131:AD$148,MATCH($B196,$B$131:$B$148,0))*INDEX('Resource costs'!$C$121:$C$142, MATCH($B196, 'Resource costs'!$B$121:$B$142,0))</f>
        <v>679.72710053492051</v>
      </c>
      <c r="AE196" s="90">
        <f>INDEX(AE$131:AE$148,MATCH($B196,$B$131:$B$148,0))*INDEX('Resource costs'!$C$121:$C$142, MATCH($B196, 'Resource costs'!$B$121:$B$142,0))</f>
        <v>686.27482950320803</v>
      </c>
      <c r="AF196" s="90">
        <f>INDEX(AF$131:AF$148,MATCH($B196,$B$131:$B$148,0))*INDEX('Resource costs'!$C$121:$C$142, MATCH($B196, 'Resource costs'!$B$121:$B$142,0))</f>
        <v>692.45910890076254</v>
      </c>
      <c r="AG196" s="90">
        <f>INDEX(AG$131:AG$148,MATCH($B196,$B$131:$B$148,0))*INDEX('Resource costs'!$C$121:$C$142, MATCH($B196, 'Resource costs'!$B$121:$B$142,0))</f>
        <v>698.30290177118638</v>
      </c>
      <c r="AH196" s="90">
        <f>INDEX(AH$131:AH$148,MATCH($B196,$B$131:$B$148,0))*INDEX('Resource costs'!$C$121:$C$142, MATCH($B196, 'Resource costs'!$B$121:$B$142,0))</f>
        <v>703.95160114457849</v>
      </c>
      <c r="AI196" s="90">
        <f>INDEX(AI$131:AI$148,MATCH($B196,$B$131:$B$148,0))*INDEX('Resource costs'!$C$121:$C$142, MATCH($B196, 'Resource costs'!$B$121:$B$142,0))</f>
        <v>709.42219875277715</v>
      </c>
      <c r="AJ196" s="90">
        <f>INDEX(AJ$131:AJ$148,MATCH($B196,$B$131:$B$148,0))*INDEX('Resource costs'!$C$121:$C$142, MATCH($B196, 'Resource costs'!$B$121:$B$142,0))</f>
        <v>714.79942095663989</v>
      </c>
      <c r="AK196" s="90">
        <f>INDEX(AK$131:AK$148,MATCH($B196,$B$131:$B$148,0))*INDEX('Resource costs'!$C$121:$C$142, MATCH($B196, 'Resource costs'!$B$121:$B$142,0))</f>
        <v>720.00301786707359</v>
      </c>
      <c r="AL196" s="90">
        <f>INDEX(AL$131:AL$148,MATCH($B196,$B$131:$B$148,0))*INDEX('Resource costs'!$C$121:$C$142, MATCH($B196, 'Resource costs'!$B$121:$B$142,0))</f>
        <v>724.89534807263271</v>
      </c>
      <c r="AM196" s="90">
        <f>INDEX(AM$131:AM$148,MATCH($B196,$B$131:$B$148,0))*INDEX('Resource costs'!$C$121:$C$142, MATCH($B196, 'Resource costs'!$B$121:$B$142,0))</f>
        <v>729.40716610744369</v>
      </c>
      <c r="AN196" s="90">
        <f>INDEX(AN$131:AN$148,MATCH($B196,$B$131:$B$148,0))*INDEX('Resource costs'!$C$121:$C$142, MATCH($B196, 'Resource costs'!$B$121:$B$142,0))</f>
        <v>733.48544038529553</v>
      </c>
      <c r="AO196" s="90">
        <f>INDEX(AO$131:AO$148,MATCH($B196,$B$131:$B$148,0))*INDEX('Resource costs'!$C$121:$C$142, MATCH($B196, 'Resource costs'!$B$121:$B$142,0))</f>
        <v>737.10067545244863</v>
      </c>
      <c r="AP196" s="90">
        <f>INDEX(AP$131:AP$148,MATCH($B196,$B$131:$B$148,0))*INDEX('Resource costs'!$C$121:$C$142, MATCH($B196, 'Resource costs'!$B$121:$B$142,0))</f>
        <v>740.23070167388778</v>
      </c>
      <c r="AQ196" s="90">
        <f>INDEX(AQ$131:AQ$148,MATCH($B196,$B$131:$B$148,0))*INDEX('Resource costs'!$C$121:$C$142, MATCH($B196, 'Resource costs'!$B$121:$B$142,0))</f>
        <v>743.11574008628793</v>
      </c>
      <c r="AR196" s="90">
        <f>INDEX(AR$131:AR$148,MATCH($B196,$B$131:$B$148,0))*INDEX('Resource costs'!$C$121:$C$142, MATCH($B196, 'Resource costs'!$B$121:$B$142,0))</f>
        <v>745.96456808881067</v>
      </c>
      <c r="AS196" s="90">
        <f>INDEX(AS$131:AS$148,MATCH($B196,$B$131:$B$148,0))*INDEX('Resource costs'!$C$121:$C$142, MATCH($B196, 'Resource costs'!$B$121:$B$142,0))</f>
        <v>748.91914148021033</v>
      </c>
      <c r="AT196" s="90">
        <f>INDEX(AT$131:AT$148,MATCH($B196,$B$131:$B$148,0))*INDEX('Resource costs'!$C$121:$C$142, MATCH($B196, 'Resource costs'!$B$121:$B$142,0))</f>
        <v>751.09186731620798</v>
      </c>
      <c r="AU196" s="90">
        <f>INDEX(AU$131:AU$148,MATCH($B196,$B$131:$B$148,0))*INDEX('Resource costs'!$C$121:$C$142, MATCH($B196, 'Resource costs'!$B$121:$B$142,0))</f>
        <v>752.76676742017992</v>
      </c>
      <c r="AV196" s="90">
        <f>INDEX(AV$131:AV$148,MATCH($B196,$B$131:$B$148,0))*INDEX('Resource costs'!$C$121:$C$142, MATCH($B196, 'Resource costs'!$B$121:$B$142,0))</f>
        <v>754.12507211838624</v>
      </c>
      <c r="AW196" s="90">
        <f>INDEX(AW$131:AW$148,MATCH($B196,$B$131:$B$148,0))*INDEX('Resource costs'!$C$121:$C$142, MATCH($B196, 'Resource costs'!$B$121:$B$142,0))</f>
        <v>754.6986284498106</v>
      </c>
      <c r="AX196" s="90">
        <f>INDEX(AX$131:AX$148,MATCH($B196,$B$131:$B$148,0))*INDEX('Resource costs'!$C$121:$C$142, MATCH($B196, 'Resource costs'!$B$121:$B$142,0))</f>
        <v>754.85352228521674</v>
      </c>
      <c r="AY196" s="90">
        <f>INDEX(AY$131:AY$148,MATCH($B196,$B$131:$B$148,0))*INDEX('Resource costs'!$C$121:$C$142, MATCH($B196, 'Resource costs'!$B$121:$B$142,0))</f>
        <v>754.79898970721854</v>
      </c>
      <c r="AZ196" s="90">
        <f>INDEX(AZ$131:AZ$148,MATCH($B196,$B$131:$B$148,0))*INDEX('Resource costs'!$C$121:$C$142, MATCH($B196, 'Resource costs'!$B$121:$B$142,0))</f>
        <v>754.65198043328633</v>
      </c>
      <c r="BA196" s="90">
        <f>INDEX(BA$131:BA$148,MATCH($B196,$B$131:$B$148,0))*INDEX('Resource costs'!$C$121:$C$142, MATCH($B196, 'Resource costs'!$B$121:$B$142,0))</f>
        <v>754.47562580247927</v>
      </c>
      <c r="BB196" s="90">
        <f>INDEX(BB$131:BB$148,MATCH($B196,$B$131:$B$148,0))*INDEX('Resource costs'!$C$121:$C$142, MATCH($B196, 'Resource costs'!$B$121:$B$142,0))</f>
        <v>754.30210502974137</v>
      </c>
    </row>
    <row r="197" spans="2:54">
      <c r="B197" s="52"/>
      <c r="C197" s="52"/>
      <c r="D197" s="116"/>
      <c r="E197" s="116"/>
      <c r="F197" s="116"/>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row>
    <row r="198" spans="2:54">
      <c r="B198" s="113" t="s">
        <v>98</v>
      </c>
      <c r="C198" s="113"/>
      <c r="D198" s="116"/>
      <c r="E198" s="116"/>
      <c r="F198" s="116"/>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row>
    <row r="199" spans="2:54" ht="15" customHeight="1">
      <c r="B199" s="52"/>
      <c r="C199" s="113"/>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row>
    <row r="200" spans="2:54">
      <c r="B200" s="7" t="s">
        <v>9</v>
      </c>
      <c r="C200" s="113"/>
      <c r="D200" s="34">
        <f>'Prevalence projection'!C$21</f>
        <v>2020</v>
      </c>
      <c r="E200" s="34">
        <f>'Prevalence projection'!D$21</f>
        <v>2021</v>
      </c>
      <c r="F200" s="34">
        <f>'Prevalence projection'!E$21</f>
        <v>2022</v>
      </c>
      <c r="G200" s="34">
        <f>'Prevalence projection'!F$21</f>
        <v>2023</v>
      </c>
      <c r="H200" s="34">
        <f>'Prevalence projection'!G$21</f>
        <v>2024</v>
      </c>
      <c r="I200" s="34">
        <f>'Prevalence projection'!H$21</f>
        <v>2025</v>
      </c>
      <c r="J200" s="34">
        <f>'Prevalence projection'!I$21</f>
        <v>2026</v>
      </c>
      <c r="K200" s="34">
        <f>'Prevalence projection'!J$21</f>
        <v>2027</v>
      </c>
      <c r="L200" s="34">
        <f>'Prevalence projection'!K$21</f>
        <v>2028</v>
      </c>
      <c r="M200" s="34">
        <f>'Prevalence projection'!L$21</f>
        <v>2029</v>
      </c>
      <c r="N200" s="34">
        <f>'Prevalence projection'!M$21</f>
        <v>2030</v>
      </c>
      <c r="O200" s="34">
        <f>'Prevalence projection'!N$21</f>
        <v>2031</v>
      </c>
      <c r="P200" s="34">
        <f>'Prevalence projection'!O$21</f>
        <v>2032</v>
      </c>
      <c r="Q200" s="34">
        <f>'Prevalence projection'!P$21</f>
        <v>2033</v>
      </c>
      <c r="R200" s="34">
        <f>'Prevalence projection'!Q$21</f>
        <v>2034</v>
      </c>
      <c r="S200" s="34">
        <f>'Prevalence projection'!R$21</f>
        <v>2035</v>
      </c>
      <c r="T200" s="34">
        <f>'Prevalence projection'!S$21</f>
        <v>2036</v>
      </c>
      <c r="U200" s="34">
        <f>'Prevalence projection'!T$21</f>
        <v>2037</v>
      </c>
      <c r="V200" s="34">
        <f>'Prevalence projection'!U$21</f>
        <v>2038</v>
      </c>
      <c r="W200" s="34">
        <f>'Prevalence projection'!V$21</f>
        <v>2039</v>
      </c>
      <c r="X200" s="34">
        <f>'Prevalence projection'!W$21</f>
        <v>2040</v>
      </c>
      <c r="Y200" s="34">
        <f>'Prevalence projection'!X$21</f>
        <v>2041</v>
      </c>
      <c r="Z200" s="34">
        <f>'Prevalence projection'!Y$21</f>
        <v>2042</v>
      </c>
      <c r="AA200" s="34">
        <f>'Prevalence projection'!Z$21</f>
        <v>2043</v>
      </c>
      <c r="AB200" s="34">
        <f>'Prevalence projection'!AA$21</f>
        <v>2044</v>
      </c>
      <c r="AC200" s="34">
        <f>'Prevalence projection'!AB$21</f>
        <v>2045</v>
      </c>
      <c r="AD200" s="34">
        <f>'Prevalence projection'!AC$21</f>
        <v>2046</v>
      </c>
      <c r="AE200" s="34">
        <f>'Prevalence projection'!AD$21</f>
        <v>2047</v>
      </c>
      <c r="AF200" s="34">
        <f>'Prevalence projection'!AE$21</f>
        <v>2048</v>
      </c>
      <c r="AG200" s="34">
        <f>'Prevalence projection'!AF$21</f>
        <v>2049</v>
      </c>
      <c r="AH200" s="34">
        <f>'Prevalence projection'!AG$21</f>
        <v>2050</v>
      </c>
      <c r="AI200" s="34">
        <f>'Prevalence projection'!AH$21</f>
        <v>2051</v>
      </c>
      <c r="AJ200" s="34">
        <f>'Prevalence projection'!AI$21</f>
        <v>2052</v>
      </c>
      <c r="AK200" s="34">
        <f>'Prevalence projection'!AJ$21</f>
        <v>2053</v>
      </c>
      <c r="AL200" s="34">
        <f>'Prevalence projection'!AK$21</f>
        <v>2054</v>
      </c>
      <c r="AM200" s="34">
        <f>'Prevalence projection'!AL$21</f>
        <v>2055</v>
      </c>
      <c r="AN200" s="34">
        <f>'Prevalence projection'!AM$21</f>
        <v>2056</v>
      </c>
      <c r="AO200" s="34">
        <f>'Prevalence projection'!AN$21</f>
        <v>2057</v>
      </c>
      <c r="AP200" s="34">
        <f>'Prevalence projection'!AO$21</f>
        <v>2058</v>
      </c>
      <c r="AQ200" s="34">
        <f>'Prevalence projection'!AP$21</f>
        <v>2059</v>
      </c>
      <c r="AR200" s="34">
        <f>'Prevalence projection'!AQ$21</f>
        <v>2060</v>
      </c>
      <c r="AS200" s="34">
        <f>'Prevalence projection'!AR$21</f>
        <v>2061</v>
      </c>
      <c r="AT200" s="34">
        <f>'Prevalence projection'!AS$21</f>
        <v>2062</v>
      </c>
      <c r="AU200" s="34">
        <f>'Prevalence projection'!AT$21</f>
        <v>2063</v>
      </c>
      <c r="AV200" s="34">
        <f>'Prevalence projection'!AU$21</f>
        <v>2064</v>
      </c>
      <c r="AW200" s="34">
        <f>'Prevalence projection'!AV$21</f>
        <v>2065</v>
      </c>
      <c r="AX200" s="34">
        <f>'Prevalence projection'!AW$21</f>
        <v>2066</v>
      </c>
      <c r="AY200" s="34">
        <f>'Prevalence projection'!AX$21</f>
        <v>2067</v>
      </c>
      <c r="AZ200" s="34">
        <f>'Prevalence projection'!AY$21</f>
        <v>2068</v>
      </c>
      <c r="BA200" s="34">
        <f>'Prevalence projection'!AZ$21</f>
        <v>2069</v>
      </c>
      <c r="BB200" s="34">
        <f>'Prevalence projection'!BA$21</f>
        <v>2070</v>
      </c>
    </row>
    <row r="201" spans="2:54">
      <c r="B201" s="6" t="s">
        <v>11</v>
      </c>
      <c r="C201" s="113"/>
      <c r="D201" s="90">
        <f>INDEX(D$153:D$170,MATCH($B201,$B$153:$B$170,0))*INDEX('Resource costs'!$C$121:$C$142, MATCH($B201, 'Resource costs'!$B$121:$B$142,0))</f>
        <v>65432.394070659859</v>
      </c>
      <c r="E201" s="90">
        <f>INDEX(E$153:E$170,MATCH($B201,$B$153:$B$170,0))*INDEX('Resource costs'!$C$121:$C$142, MATCH($B201, 'Resource costs'!$B$121:$B$142,0))</f>
        <v>67668.903103109376</v>
      </c>
      <c r="F201" s="90">
        <f>INDEX(F$153:F$170,MATCH($B201,$B$153:$B$170,0))*INDEX('Resource costs'!$C$121:$C$142, MATCH($B201, 'Resource costs'!$B$121:$B$142,0))</f>
        <v>69583.079278196077</v>
      </c>
      <c r="G201" s="90">
        <f>INDEX(G$153:G$170,MATCH($B201,$B$153:$B$170,0))*INDEX('Resource costs'!$C$121:$C$142, MATCH($B201, 'Resource costs'!$B$121:$B$142,0))</f>
        <v>71280.185781708933</v>
      </c>
      <c r="H201" s="90">
        <f>INDEX(H$153:H$170,MATCH($B201,$B$153:$B$170,0))*INDEX('Resource costs'!$C$121:$C$142, MATCH($B201, 'Resource costs'!$B$121:$B$142,0))</f>
        <v>54592.901838168269</v>
      </c>
      <c r="I201" s="90">
        <f>INDEX(I$153:I$170,MATCH($B201,$B$153:$B$170,0))*INDEX('Resource costs'!$C$121:$C$142, MATCH($B201, 'Resource costs'!$B$121:$B$142,0))</f>
        <v>48483.598549825008</v>
      </c>
      <c r="J201" s="90">
        <f>INDEX(J$153:J$170,MATCH($B201,$B$153:$B$170,0))*INDEX('Resource costs'!$C$121:$C$142, MATCH($B201, 'Resource costs'!$B$121:$B$142,0))</f>
        <v>44903.213399317872</v>
      </c>
      <c r="K201" s="90">
        <f>INDEX(K$153:K$170,MATCH($B201,$B$153:$B$170,0))*INDEX('Resource costs'!$C$121:$C$142, MATCH($B201, 'Resource costs'!$B$121:$B$142,0))</f>
        <v>42915.223141208291</v>
      </c>
      <c r="L201" s="90">
        <f>INDEX(L$153:L$170,MATCH($B201,$B$153:$B$170,0))*INDEX('Resource costs'!$C$121:$C$142, MATCH($B201, 'Resource costs'!$B$121:$B$142,0))</f>
        <v>42001.70425837439</v>
      </c>
      <c r="M201" s="90">
        <f>INDEX(M$153:M$170,MATCH($B201,$B$153:$B$170,0))*INDEX('Resource costs'!$C$121:$C$142, MATCH($B201, 'Resource costs'!$B$121:$B$142,0))</f>
        <v>41717.380644609162</v>
      </c>
      <c r="N201" s="90">
        <f>INDEX(N$153:N$170,MATCH($B201,$B$153:$B$170,0))*INDEX('Resource costs'!$C$121:$C$142, MATCH($B201, 'Resource costs'!$B$121:$B$142,0))</f>
        <v>41804.399132797036</v>
      </c>
      <c r="O201" s="90">
        <f>INDEX(O$153:O$170,MATCH($B201,$B$153:$B$170,0))*INDEX('Resource costs'!$C$121:$C$142, MATCH($B201, 'Resource costs'!$B$121:$B$142,0))</f>
        <v>42140.307536367407</v>
      </c>
      <c r="P201" s="90">
        <f>INDEX(P$153:P$170,MATCH($B201,$B$153:$B$170,0))*INDEX('Resource costs'!$C$121:$C$142, MATCH($B201, 'Resource costs'!$B$121:$B$142,0))</f>
        <v>42588.781220006902</v>
      </c>
      <c r="Q201" s="90">
        <f>INDEX(Q$153:Q$170,MATCH($B201,$B$153:$B$170,0))*INDEX('Resource costs'!$C$121:$C$142, MATCH($B201, 'Resource costs'!$B$121:$B$142,0))</f>
        <v>43094.451646251386</v>
      </c>
      <c r="R201" s="90">
        <f>INDEX(R$153:R$170,MATCH($B201,$B$153:$B$170,0))*INDEX('Resource costs'!$C$121:$C$142, MATCH($B201, 'Resource costs'!$B$121:$B$142,0))</f>
        <v>43636.905916953234</v>
      </c>
      <c r="S201" s="90">
        <f>INDEX(S$153:S$170,MATCH($B201,$B$153:$B$170,0))*INDEX('Resource costs'!$C$121:$C$142, MATCH($B201, 'Resource costs'!$B$121:$B$142,0))</f>
        <v>44198.359701393536</v>
      </c>
      <c r="T201" s="90">
        <f>INDEX(T$153:T$170,MATCH($B201,$B$153:$B$170,0))*INDEX('Resource costs'!$C$121:$C$142, MATCH($B201, 'Resource costs'!$B$121:$B$142,0))</f>
        <v>44764.59262866246</v>
      </c>
      <c r="U201" s="90">
        <f>INDEX(U$153:U$170,MATCH($B201,$B$153:$B$170,0))*INDEX('Resource costs'!$C$121:$C$142, MATCH($B201, 'Resource costs'!$B$121:$B$142,0))</f>
        <v>45337.39406274604</v>
      </c>
      <c r="V201" s="90">
        <f>INDEX(V$153:V$170,MATCH($B201,$B$153:$B$170,0))*INDEX('Resource costs'!$C$121:$C$142, MATCH($B201, 'Resource costs'!$B$121:$B$142,0))</f>
        <v>45938.001247869041</v>
      </c>
      <c r="W201" s="90">
        <f>INDEX(W$153:W$170,MATCH($B201,$B$153:$B$170,0))*INDEX('Resource costs'!$C$121:$C$142, MATCH($B201, 'Resource costs'!$B$121:$B$142,0))</f>
        <v>46530.624278862197</v>
      </c>
      <c r="X201" s="90">
        <f>INDEX(X$153:X$170,MATCH($B201,$B$153:$B$170,0))*INDEX('Resource costs'!$C$121:$C$142, MATCH($B201, 'Resource costs'!$B$121:$B$142,0))</f>
        <v>47109.076924121851</v>
      </c>
      <c r="Y201" s="90">
        <f>INDEX(Y$153:Y$170,MATCH($B201,$B$153:$B$170,0))*INDEX('Resource costs'!$C$121:$C$142, MATCH($B201, 'Resource costs'!$B$121:$B$142,0))</f>
        <v>47686.701808713377</v>
      </c>
      <c r="Z201" s="90">
        <f>INDEX(Z$153:Z$170,MATCH($B201,$B$153:$B$170,0))*INDEX('Resource costs'!$C$121:$C$142, MATCH($B201, 'Resource costs'!$B$121:$B$142,0))</f>
        <v>48256.000462386466</v>
      </c>
      <c r="AA201" s="90">
        <f>INDEX(AA$153:AA$170,MATCH($B201,$B$153:$B$170,0))*INDEX('Resource costs'!$C$121:$C$142, MATCH($B201, 'Resource costs'!$B$121:$B$142,0))</f>
        <v>48812.014966555893</v>
      </c>
      <c r="AB201" s="90">
        <f>INDEX(AB$153:AB$170,MATCH($B201,$B$153:$B$170,0))*INDEX('Resource costs'!$C$121:$C$142, MATCH($B201, 'Resource costs'!$B$121:$B$142,0))</f>
        <v>49351.758673988072</v>
      </c>
      <c r="AC201" s="90">
        <f>INDEX(AC$153:AC$170,MATCH($B201,$B$153:$B$170,0))*INDEX('Resource costs'!$C$121:$C$142, MATCH($B201, 'Resource costs'!$B$121:$B$142,0))</f>
        <v>49879.301612725038</v>
      </c>
      <c r="AD201" s="90">
        <f>INDEX(AD$153:AD$170,MATCH($B201,$B$153:$B$170,0))*INDEX('Resource costs'!$C$121:$C$142, MATCH($B201, 'Resource costs'!$B$121:$B$142,0))</f>
        <v>50388.380354610112</v>
      </c>
      <c r="AE201" s="90">
        <f>INDEX(AE$153:AE$170,MATCH($B201,$B$153:$B$170,0))*INDEX('Resource costs'!$C$121:$C$142, MATCH($B201, 'Resource costs'!$B$121:$B$142,0))</f>
        <v>50873.765529709541</v>
      </c>
      <c r="AF201" s="90">
        <f>INDEX(AF$153:AF$170,MATCH($B201,$B$153:$B$170,0))*INDEX('Resource costs'!$C$121:$C$142, MATCH($B201, 'Resource costs'!$B$121:$B$142,0))</f>
        <v>51332.208075634102</v>
      </c>
      <c r="AG201" s="90">
        <f>INDEX(AG$153:AG$170,MATCH($B201,$B$153:$B$170,0))*INDEX('Resource costs'!$C$121:$C$142, MATCH($B201, 'Resource costs'!$B$121:$B$142,0))</f>
        <v>51765.410249913672</v>
      </c>
      <c r="AH201" s="90">
        <f>INDEX(AH$153:AH$170,MATCH($B201,$B$153:$B$170,0))*INDEX('Resource costs'!$C$121:$C$142, MATCH($B201, 'Resource costs'!$B$121:$B$142,0))</f>
        <v>52184.150082872125</v>
      </c>
      <c r="AI201" s="90">
        <f>INDEX(AI$153:AI$170,MATCH($B201,$B$153:$B$170,0))*INDEX('Resource costs'!$C$121:$C$142, MATCH($B201, 'Resource costs'!$B$121:$B$142,0))</f>
        <v>52589.687176849999</v>
      </c>
      <c r="AJ201" s="90">
        <f>INDEX(AJ$153:AJ$170,MATCH($B201,$B$153:$B$170,0))*INDEX('Resource costs'!$C$121:$C$142, MATCH($B201, 'Resource costs'!$B$121:$B$142,0))</f>
        <v>52988.302323202515</v>
      </c>
      <c r="AK201" s="90">
        <f>INDEX(AK$153:AK$170,MATCH($B201,$B$153:$B$170,0))*INDEX('Resource costs'!$C$121:$C$142, MATCH($B201, 'Resource costs'!$B$121:$B$142,0))</f>
        <v>53374.04657281188</v>
      </c>
      <c r="AL201" s="90">
        <f>INDEX(AL$153:AL$170,MATCH($B201,$B$153:$B$170,0))*INDEX('Resource costs'!$C$121:$C$142, MATCH($B201, 'Resource costs'!$B$121:$B$142,0))</f>
        <v>53736.716525244366</v>
      </c>
      <c r="AM201" s="90">
        <f>INDEX(AM$153:AM$170,MATCH($B201,$B$153:$B$170,0))*INDEX('Resource costs'!$C$121:$C$142, MATCH($B201, 'Resource costs'!$B$121:$B$142,0))</f>
        <v>54071.178992681569</v>
      </c>
      <c r="AN201" s="90">
        <f>INDEX(AN$153:AN$170,MATCH($B201,$B$153:$B$170,0))*INDEX('Resource costs'!$C$121:$C$142, MATCH($B201, 'Resource costs'!$B$121:$B$142,0))</f>
        <v>54373.502727223102</v>
      </c>
      <c r="AO201" s="90">
        <f>INDEX(AO$153:AO$170,MATCH($B201,$B$153:$B$170,0))*INDEX('Resource costs'!$C$121:$C$142, MATCH($B201, 'Resource costs'!$B$121:$B$142,0))</f>
        <v>54641.501221753759</v>
      </c>
      <c r="AP201" s="90">
        <f>INDEX(AP$153:AP$170,MATCH($B201,$B$153:$B$170,0))*INDEX('Resource costs'!$C$121:$C$142, MATCH($B201, 'Resource costs'!$B$121:$B$142,0))</f>
        <v>54873.531034367763</v>
      </c>
      <c r="AQ201" s="90">
        <f>INDEX(AQ$153:AQ$170,MATCH($B201,$B$153:$B$170,0))*INDEX('Resource costs'!$C$121:$C$142, MATCH($B201, 'Resource costs'!$B$121:$B$142,0))</f>
        <v>55087.39982486808</v>
      </c>
      <c r="AR201" s="90">
        <f>INDEX(AR$153:AR$170,MATCH($B201,$B$153:$B$170,0))*INDEX('Resource costs'!$C$121:$C$142, MATCH($B201, 'Resource costs'!$B$121:$B$142,0))</f>
        <v>55298.584326476157</v>
      </c>
      <c r="AS201" s="90">
        <f>INDEX(AS$153:AS$170,MATCH($B201,$B$153:$B$170,0))*INDEX('Resource costs'!$C$121:$C$142, MATCH($B201, 'Resource costs'!$B$121:$B$142,0))</f>
        <v>55517.607766492452</v>
      </c>
      <c r="AT201" s="90">
        <f>INDEX(AT$153:AT$170,MATCH($B201,$B$153:$B$170,0))*INDEX('Resource costs'!$C$121:$C$142, MATCH($B201, 'Resource costs'!$B$121:$B$142,0))</f>
        <v>55678.672605226071</v>
      </c>
      <c r="AU201" s="90">
        <f>INDEX(AU$153:AU$170,MATCH($B201,$B$153:$B$170,0))*INDEX('Resource costs'!$C$121:$C$142, MATCH($B201, 'Resource costs'!$B$121:$B$142,0))</f>
        <v>55802.833468355566</v>
      </c>
      <c r="AV201" s="90">
        <f>INDEX(AV$153:AV$170,MATCH($B201,$B$153:$B$170,0))*INDEX('Resource costs'!$C$121:$C$142, MATCH($B201, 'Resource costs'!$B$121:$B$142,0))</f>
        <v>55903.525016061722</v>
      </c>
      <c r="AW201" s="90">
        <f>INDEX(AW$153:AW$170,MATCH($B201,$B$153:$B$170,0))*INDEX('Resource costs'!$C$121:$C$142, MATCH($B201, 'Resource costs'!$B$121:$B$142,0))</f>
        <v>55946.042924439724</v>
      </c>
      <c r="AX201" s="90">
        <f>INDEX(AX$153:AX$170,MATCH($B201,$B$153:$B$170,0))*INDEX('Resource costs'!$C$121:$C$142, MATCH($B201, 'Resource costs'!$B$121:$B$142,0))</f>
        <v>55957.525252401778</v>
      </c>
      <c r="AY201" s="90">
        <f>INDEX(AY$153:AY$170,MATCH($B201,$B$153:$B$170,0))*INDEX('Resource costs'!$C$121:$C$142, MATCH($B201, 'Resource costs'!$B$121:$B$142,0))</f>
        <v>55953.482735515616</v>
      </c>
      <c r="AZ201" s="90">
        <f>INDEX(AZ$153:AZ$170,MATCH($B201,$B$153:$B$170,0))*INDEX('Resource costs'!$C$121:$C$142, MATCH($B201, 'Resource costs'!$B$121:$B$142,0))</f>
        <v>55942.584892536106</v>
      </c>
      <c r="BA201" s="90">
        <f>INDEX(BA$153:BA$170,MATCH($B201,$B$153:$B$170,0))*INDEX('Resource costs'!$C$121:$C$142, MATCH($B201, 'Resource costs'!$B$121:$B$142,0))</f>
        <v>55929.511669168358</v>
      </c>
      <c r="BB201" s="90">
        <f>INDEX(BB$153:BB$170,MATCH($B201,$B$153:$B$170,0))*INDEX('Resource costs'!$C$121:$C$142, MATCH($B201, 'Resource costs'!$B$121:$B$142,0))</f>
        <v>55916.648520576426</v>
      </c>
    </row>
    <row r="202" spans="2:54" s="97" customFormat="1">
      <c r="B202" s="6" t="s">
        <v>14</v>
      </c>
      <c r="C202" s="316"/>
      <c r="D202" s="90">
        <f>INDEX(D$153:D$170,MATCH($B202,$B$153:$B$170,0))*INDEX('Resource costs'!$C$121:$C$142, MATCH($B202, 'Resource costs'!$B$121:$B$142,0))</f>
        <v>160.55478839736807</v>
      </c>
      <c r="E202" s="90">
        <f>INDEX(E$153:E$170,MATCH($B202,$B$153:$B$170,0))*INDEX('Resource costs'!$C$121:$C$142, MATCH($B202, 'Resource costs'!$B$121:$B$142,0))</f>
        <v>166.04262419420542</v>
      </c>
      <c r="F202" s="90">
        <f>INDEX(F$153:F$170,MATCH($B202,$B$153:$B$170,0))*INDEX('Resource costs'!$C$121:$C$142, MATCH($B202, 'Resource costs'!$B$121:$B$142,0))</f>
        <v>170.73953548885322</v>
      </c>
      <c r="G202" s="90">
        <f>INDEX(G$153:G$170,MATCH($B202,$B$153:$B$170,0))*INDEX('Resource costs'!$C$121:$C$142, MATCH($B202, 'Resource costs'!$B$121:$B$142,0))</f>
        <v>174.90381190620482</v>
      </c>
      <c r="H202" s="90">
        <f>INDEX(H$153:H$170,MATCH($B202,$B$153:$B$170,0))*INDEX('Resource costs'!$C$121:$C$142, MATCH($B202, 'Resource costs'!$B$121:$B$142,0))</f>
        <v>133.95737580929688</v>
      </c>
      <c r="I202" s="90">
        <f>INDEX(I$153:I$170,MATCH($B202,$B$153:$B$170,0))*INDEX('Resource costs'!$C$121:$C$142, MATCH($B202, 'Resource costs'!$B$121:$B$142,0))</f>
        <v>118.96666806206002</v>
      </c>
      <c r="J202" s="90">
        <f>INDEX(J$153:J$170,MATCH($B202,$B$153:$B$170,0))*INDEX('Resource costs'!$C$121:$C$142, MATCH($B202, 'Resource costs'!$B$121:$B$142,0))</f>
        <v>110.18129518391073</v>
      </c>
      <c r="K202" s="90">
        <f>INDEX(K$153:K$170,MATCH($B202,$B$153:$B$170,0))*INDEX('Resource costs'!$C$121:$C$142, MATCH($B202, 'Resource costs'!$B$121:$B$142,0))</f>
        <v>105.30326252500889</v>
      </c>
      <c r="L202" s="90">
        <f>INDEX(L$153:L$170,MATCH($B202,$B$153:$B$170,0))*INDEX('Resource costs'!$C$121:$C$142, MATCH($B202, 'Resource costs'!$B$121:$B$142,0))</f>
        <v>103.06171484799727</v>
      </c>
      <c r="M202" s="90">
        <f>INDEX(M$153:M$170,MATCH($B202,$B$153:$B$170,0))*INDEX('Resource costs'!$C$121:$C$142, MATCH($B202, 'Resource costs'!$B$121:$B$142,0))</f>
        <v>102.36405555717025</v>
      </c>
      <c r="N202" s="90">
        <f>INDEX(N$153:N$170,MATCH($B202,$B$153:$B$170,0))*INDEX('Resource costs'!$C$121:$C$142, MATCH($B202, 'Resource costs'!$B$121:$B$142,0))</f>
        <v>102.57757724097988</v>
      </c>
      <c r="O202" s="90">
        <f>INDEX(O$153:O$170,MATCH($B202,$B$153:$B$170,0))*INDEX('Resource costs'!$C$121:$C$142, MATCH($B202, 'Resource costs'!$B$121:$B$142,0))</f>
        <v>103.40181275035</v>
      </c>
      <c r="P202" s="90">
        <f>INDEX(P$153:P$170,MATCH($B202,$B$153:$B$170,0))*INDEX('Resource costs'!$C$121:$C$142, MATCH($B202, 'Resource costs'!$B$121:$B$142,0))</f>
        <v>104.50225540419468</v>
      </c>
      <c r="Q202" s="90">
        <f>INDEX(Q$153:Q$170,MATCH($B202,$B$153:$B$170,0))*INDEX('Resource costs'!$C$121:$C$142, MATCH($B202, 'Resource costs'!$B$121:$B$142,0))</f>
        <v>105.74304461017753</v>
      </c>
      <c r="R202" s="90">
        <f>INDEX(R$153:R$170,MATCH($B202,$B$153:$B$170,0))*INDEX('Resource costs'!$C$121:$C$142, MATCH($B202, 'Resource costs'!$B$121:$B$142,0))</f>
        <v>107.07409220341908</v>
      </c>
      <c r="S202" s="90">
        <f>INDEX(S$153:S$170,MATCH($B202,$B$153:$B$170,0))*INDEX('Resource costs'!$C$121:$C$142, MATCH($B202, 'Resource costs'!$B$121:$B$142,0))</f>
        <v>108.45175986843476</v>
      </c>
      <c r="T202" s="90">
        <f>INDEX(T$153:T$170,MATCH($B202,$B$153:$B$170,0))*INDEX('Resource costs'!$C$121:$C$142, MATCH($B202, 'Resource costs'!$B$121:$B$142,0))</f>
        <v>109.84115435892386</v>
      </c>
      <c r="U202" s="90">
        <f>INDEX(U$153:U$170,MATCH($B202,$B$153:$B$170,0))*INDEX('Resource costs'!$C$121:$C$142, MATCH($B202, 'Resource costs'!$B$121:$B$142,0))</f>
        <v>111.2466663281739</v>
      </c>
      <c r="V202" s="90">
        <f>INDEX(V$153:V$170,MATCH($B202,$B$153:$B$170,0))*INDEX('Resource costs'!$C$121:$C$142, MATCH($B202, 'Resource costs'!$B$121:$B$142,0))</f>
        <v>112.7204066808993</v>
      </c>
      <c r="W202" s="90">
        <f>INDEX(W$153:W$170,MATCH($B202,$B$153:$B$170,0))*INDEX('Resource costs'!$C$121:$C$142, MATCH($B202, 'Resource costs'!$B$121:$B$142,0))</f>
        <v>114.17455590915104</v>
      </c>
      <c r="X202" s="90">
        <f>INDEX(X$153:X$170,MATCH($B202,$B$153:$B$170,0))*INDEX('Resource costs'!$C$121:$C$142, MATCH($B202, 'Resource costs'!$B$121:$B$142,0))</f>
        <v>115.59393454226766</v>
      </c>
      <c r="Y202" s="90">
        <f>INDEX(Y$153:Y$170,MATCH($B202,$B$153:$B$170,0))*INDEX('Resource costs'!$C$121:$C$142, MATCH($B202, 'Resource costs'!$B$121:$B$142,0))</f>
        <v>117.01128205699405</v>
      </c>
      <c r="Z202" s="90">
        <f>INDEX(Z$153:Z$170,MATCH($B202,$B$153:$B$170,0))*INDEX('Resource costs'!$C$121:$C$142, MATCH($B202, 'Resource costs'!$B$121:$B$142,0))</f>
        <v>118.40819907605777</v>
      </c>
      <c r="AA202" s="90">
        <f>INDEX(AA$153:AA$170,MATCH($B202,$B$153:$B$170,0))*INDEX('Resource costs'!$C$121:$C$142, MATCH($B202, 'Resource costs'!$B$121:$B$142,0))</f>
        <v>119.77252010283216</v>
      </c>
      <c r="AB202" s="90">
        <f>INDEX(AB$153:AB$170,MATCH($B202,$B$153:$B$170,0))*INDEX('Resource costs'!$C$121:$C$142, MATCH($B202, 'Resource costs'!$B$121:$B$142,0))</f>
        <v>121.09691664931955</v>
      </c>
      <c r="AC202" s="90">
        <f>INDEX(AC$153:AC$170,MATCH($B202,$B$153:$B$170,0))*INDEX('Resource costs'!$C$121:$C$142, MATCH($B202, 'Resource costs'!$B$121:$B$142,0))</f>
        <v>122.3913755500282</v>
      </c>
      <c r="AD202" s="90">
        <f>INDEX(AD$153:AD$170,MATCH($B202,$B$153:$B$170,0))*INDEX('Resource costs'!$C$121:$C$142, MATCH($B202, 'Resource costs'!$B$121:$B$142,0))</f>
        <v>123.64052791319392</v>
      </c>
      <c r="AE202" s="90">
        <f>INDEX(AE$153:AE$170,MATCH($B202,$B$153:$B$170,0))*INDEX('Resource costs'!$C$121:$C$142, MATCH($B202, 'Resource costs'!$B$121:$B$142,0))</f>
        <v>124.83154216823021</v>
      </c>
      <c r="AF202" s="90">
        <f>INDEX(AF$153:AF$170,MATCH($B202,$B$153:$B$170,0))*INDEX('Resource costs'!$C$121:$C$142, MATCH($B202, 'Resource costs'!$B$121:$B$142,0))</f>
        <v>125.95644592574492</v>
      </c>
      <c r="AG202" s="90">
        <f>INDEX(AG$153:AG$170,MATCH($B202,$B$153:$B$170,0))*INDEX('Resource costs'!$C$121:$C$142, MATCH($B202, 'Resource costs'!$B$121:$B$142,0))</f>
        <v>127.01941610149039</v>
      </c>
      <c r="AH202" s="90">
        <f>INDEX(AH$153:AH$170,MATCH($B202,$B$153:$B$170,0))*INDEX('Resource costs'!$C$121:$C$142, MATCH($B202, 'Resource costs'!$B$121:$B$142,0))</f>
        <v>128.04689929584811</v>
      </c>
      <c r="AI202" s="90">
        <f>INDEX(AI$153:AI$170,MATCH($B202,$B$153:$B$170,0))*INDEX('Resource costs'!$C$121:$C$142, MATCH($B202, 'Resource costs'!$B$121:$B$142,0))</f>
        <v>129.04198625905153</v>
      </c>
      <c r="AJ202" s="90">
        <f>INDEX(AJ$153:AJ$170,MATCH($B202,$B$153:$B$170,0))*INDEX('Resource costs'!$C$121:$C$142, MATCH($B202, 'Resource costs'!$B$121:$B$142,0))</f>
        <v>130.02008848782674</v>
      </c>
      <c r="AK202" s="90">
        <f>INDEX(AK$153:AK$170,MATCH($B202,$B$153:$B$170,0))*INDEX('Resource costs'!$C$121:$C$142, MATCH($B202, 'Resource costs'!$B$121:$B$142,0))</f>
        <v>130.96660874359873</v>
      </c>
      <c r="AL202" s="90">
        <f>INDEX(AL$153:AL$170,MATCH($B202,$B$153:$B$170,0))*INDEX('Resource costs'!$C$121:$C$142, MATCH($B202, 'Resource costs'!$B$121:$B$142,0))</f>
        <v>131.85651042453068</v>
      </c>
      <c r="AM202" s="90">
        <f>INDEX(AM$153:AM$170,MATCH($B202,$B$153:$B$170,0))*INDEX('Resource costs'!$C$121:$C$142, MATCH($B202, 'Resource costs'!$B$121:$B$142,0))</f>
        <v>132.67719796697719</v>
      </c>
      <c r="AN202" s="90">
        <f>INDEX(AN$153:AN$170,MATCH($B202,$B$153:$B$170,0))*INDEX('Resource costs'!$C$121:$C$142, MATCH($B202, 'Resource costs'!$B$121:$B$142,0))</f>
        <v>133.41902506831175</v>
      </c>
      <c r="AO202" s="90">
        <f>INDEX(AO$153:AO$170,MATCH($B202,$B$153:$B$170,0))*INDEX('Resource costs'!$C$121:$C$142, MATCH($B202, 'Resource costs'!$B$121:$B$142,0))</f>
        <v>134.07662658498126</v>
      </c>
      <c r="AP202" s="90">
        <f>INDEX(AP$153:AP$170,MATCH($B202,$B$153:$B$170,0))*INDEX('Resource costs'!$C$121:$C$142, MATCH($B202, 'Resource costs'!$B$121:$B$142,0))</f>
        <v>134.64596992011724</v>
      </c>
      <c r="AQ202" s="90">
        <f>INDEX(AQ$153:AQ$170,MATCH($B202,$B$153:$B$170,0))*INDEX('Resource costs'!$C$121:$C$142, MATCH($B202, 'Resource costs'!$B$121:$B$142,0))</f>
        <v>135.17075063296258</v>
      </c>
      <c r="AR202" s="90">
        <f>INDEX(AR$153:AR$170,MATCH($B202,$B$153:$B$170,0))*INDEX('Resource costs'!$C$121:$C$142, MATCH($B202, 'Resource costs'!$B$121:$B$142,0))</f>
        <v>135.68894476982811</v>
      </c>
      <c r="AS202" s="90">
        <f>INDEX(AS$153:AS$170,MATCH($B202,$B$153:$B$170,0))*INDEX('Resource costs'!$C$121:$C$142, MATCH($B202, 'Resource costs'!$B$121:$B$142,0))</f>
        <v>136.22637370797617</v>
      </c>
      <c r="AT202" s="90">
        <f>INDEX(AT$153:AT$170,MATCH($B202,$B$153:$B$170,0))*INDEX('Resource costs'!$C$121:$C$142, MATCH($B202, 'Resource costs'!$B$121:$B$142,0))</f>
        <v>136.62158668265667</v>
      </c>
      <c r="AU202" s="90">
        <f>INDEX(AU$153:AU$170,MATCH($B202,$B$153:$B$170,0))*INDEX('Resource costs'!$C$121:$C$142, MATCH($B202, 'Resource costs'!$B$121:$B$142,0))</f>
        <v>136.92624649818265</v>
      </c>
      <c r="AV202" s="90">
        <f>INDEX(AV$153:AV$170,MATCH($B202,$B$153:$B$170,0))*INDEX('Resource costs'!$C$121:$C$142, MATCH($B202, 'Resource costs'!$B$121:$B$142,0))</f>
        <v>137.17331846253578</v>
      </c>
      <c r="AW202" s="90">
        <f>INDEX(AW$153:AW$170,MATCH($B202,$B$153:$B$170,0))*INDEX('Resource costs'!$C$121:$C$142, MATCH($B202, 'Resource costs'!$B$121:$B$142,0))</f>
        <v>137.27764681364818</v>
      </c>
      <c r="AX202" s="90">
        <f>INDEX(AX$153:AX$170,MATCH($B202,$B$153:$B$170,0))*INDEX('Resource costs'!$C$121:$C$142, MATCH($B202, 'Resource costs'!$B$121:$B$142,0))</f>
        <v>137.30582158491308</v>
      </c>
      <c r="AY202" s="90">
        <f>INDEX(AY$153:AY$170,MATCH($B202,$B$153:$B$170,0))*INDEX('Resource costs'!$C$121:$C$142, MATCH($B202, 'Resource costs'!$B$121:$B$142,0))</f>
        <v>137.29590225592523</v>
      </c>
      <c r="AZ202" s="90">
        <f>INDEX(AZ$153:AZ$170,MATCH($B202,$B$153:$B$170,0))*INDEX('Resource costs'!$C$121:$C$142, MATCH($B202, 'Resource costs'!$B$121:$B$142,0))</f>
        <v>137.26916166514576</v>
      </c>
      <c r="BA202" s="90">
        <f>INDEX(BA$153:BA$170,MATCH($B202,$B$153:$B$170,0))*INDEX('Resource costs'!$C$121:$C$142, MATCH($B202, 'Resource costs'!$B$121:$B$142,0))</f>
        <v>137.23708323302827</v>
      </c>
      <c r="BB202" s="90">
        <f>INDEX(BB$153:BB$170,MATCH($B202,$B$153:$B$170,0))*INDEX('Resource costs'!$C$121:$C$142, MATCH($B202, 'Resource costs'!$B$121:$B$142,0))</f>
        <v>137.20552027205716</v>
      </c>
    </row>
    <row r="203" spans="2:54" s="97" customFormat="1">
      <c r="B203" s="6" t="s">
        <v>15</v>
      </c>
      <c r="C203" s="316"/>
      <c r="D203" s="90">
        <f>INDEX(D$153:D$170,MATCH($B203,$B$153:$B$170,0))*INDEX('Resource costs'!$C$121:$C$142, MATCH($B203, 'Resource costs'!$B$121:$B$142,0))</f>
        <v>2299.5249980635317</v>
      </c>
      <c r="E203" s="90">
        <f>INDEX(E$153:E$170,MATCH($B203,$B$153:$B$170,0))*INDEX('Resource costs'!$C$121:$C$142, MATCH($B203, 'Resource costs'!$B$121:$B$142,0))</f>
        <v>2378.1238098838476</v>
      </c>
      <c r="F203" s="90">
        <f>INDEX(F$153:F$170,MATCH($B203,$B$153:$B$170,0))*INDEX('Resource costs'!$C$121:$C$142, MATCH($B203, 'Resource costs'!$B$121:$B$142,0))</f>
        <v>2445.3947087685215</v>
      </c>
      <c r="G203" s="90">
        <f>INDEX(G$153:G$170,MATCH($B203,$B$153:$B$170,0))*INDEX('Resource costs'!$C$121:$C$142, MATCH($B203, 'Resource costs'!$B$121:$B$142,0))</f>
        <v>2505.0370141530639</v>
      </c>
      <c r="H203" s="90">
        <f>INDEX(H$153:H$170,MATCH($B203,$B$153:$B$170,0))*INDEX('Resource costs'!$C$121:$C$142, MATCH($B203, 'Resource costs'!$B$121:$B$142,0))</f>
        <v>1918.5870282864685</v>
      </c>
      <c r="I203" s="90">
        <f>INDEX(I$153:I$170,MATCH($B203,$B$153:$B$170,0))*INDEX('Resource costs'!$C$121:$C$142, MATCH($B203, 'Resource costs'!$B$121:$B$142,0))</f>
        <v>1703.8845734576539</v>
      </c>
      <c r="J203" s="90">
        <f>INDEX(J$153:J$170,MATCH($B203,$B$153:$B$170,0))*INDEX('Resource costs'!$C$121:$C$142, MATCH($B203, 'Resource costs'!$B$121:$B$142,0))</f>
        <v>1578.0572172494174</v>
      </c>
      <c r="K203" s="90">
        <f>INDEX(K$153:K$170,MATCH($B203,$B$153:$B$170,0))*INDEX('Resource costs'!$C$121:$C$142, MATCH($B203, 'Resource costs'!$B$121:$B$142,0))</f>
        <v>1508.1922312687252</v>
      </c>
      <c r="L203" s="90">
        <f>INDEX(L$153:L$170,MATCH($B203,$B$153:$B$170,0))*INDEX('Resource costs'!$C$121:$C$142, MATCH($B203, 'Resource costs'!$B$121:$B$142,0))</f>
        <v>1476.0879572754625</v>
      </c>
      <c r="M203" s="90">
        <f>INDEX(M$153:M$170,MATCH($B203,$B$153:$B$170,0))*INDEX('Resource costs'!$C$121:$C$142, MATCH($B203, 'Resource costs'!$B$121:$B$142,0))</f>
        <v>1466.0958231547568</v>
      </c>
      <c r="N203" s="90">
        <f>INDEX(N$153:N$170,MATCH($B203,$B$153:$B$170,0))*INDEX('Resource costs'!$C$121:$C$142, MATCH($B203, 'Resource costs'!$B$121:$B$142,0))</f>
        <v>1469.1539595980851</v>
      </c>
      <c r="O203" s="90">
        <f>INDEX(O$153:O$170,MATCH($B203,$B$153:$B$170,0))*INDEX('Resource costs'!$C$121:$C$142, MATCH($B203, 'Resource costs'!$B$121:$B$142,0))</f>
        <v>1480.9589650856658</v>
      </c>
      <c r="P203" s="90">
        <f>INDEX(P$153:P$170,MATCH($B203,$B$153:$B$170,0))*INDEX('Resource costs'!$C$121:$C$142, MATCH($B203, 'Resource costs'!$B$121:$B$142,0))</f>
        <v>1496.7199113440129</v>
      </c>
      <c r="Q203" s="90">
        <f>INDEX(Q$153:Q$170,MATCH($B203,$B$153:$B$170,0))*INDEX('Resource costs'!$C$121:$C$142, MATCH($B203, 'Resource costs'!$B$121:$B$142,0))</f>
        <v>1514.4909527745758</v>
      </c>
      <c r="R203" s="90">
        <f>INDEX(R$153:R$170,MATCH($B203,$B$153:$B$170,0))*INDEX('Resource costs'!$C$121:$C$142, MATCH($B203, 'Resource costs'!$B$121:$B$142,0))</f>
        <v>1533.5547081743584</v>
      </c>
      <c r="S203" s="90">
        <f>INDEX(S$153:S$170,MATCH($B203,$B$153:$B$170,0))*INDEX('Resource costs'!$C$121:$C$142, MATCH($B203, 'Resource costs'!$B$121:$B$142,0))</f>
        <v>1553.2861734663604</v>
      </c>
      <c r="T203" s="90">
        <f>INDEX(T$153:T$170,MATCH($B203,$B$153:$B$170,0))*INDEX('Resource costs'!$C$121:$C$142, MATCH($B203, 'Resource costs'!$B$121:$B$142,0))</f>
        <v>1573.1855946853902</v>
      </c>
      <c r="U203" s="90">
        <f>INDEX(U$153:U$170,MATCH($B203,$B$153:$B$170,0))*INDEX('Resource costs'!$C$121:$C$142, MATCH($B203, 'Resource costs'!$B$121:$B$142,0))</f>
        <v>1593.3158563900042</v>
      </c>
      <c r="V203" s="90">
        <f>INDEX(V$153:V$170,MATCH($B203,$B$153:$B$170,0))*INDEX('Resource costs'!$C$121:$C$142, MATCH($B203, 'Resource costs'!$B$121:$B$142,0))</f>
        <v>1614.4233102104383</v>
      </c>
      <c r="W203" s="90">
        <f>INDEX(W$153:W$170,MATCH($B203,$B$153:$B$170,0))*INDEX('Resource costs'!$C$121:$C$142, MATCH($B203, 'Resource costs'!$B$121:$B$142,0))</f>
        <v>1635.2501727080162</v>
      </c>
      <c r="X203" s="90">
        <f>INDEX(X$153:X$170,MATCH($B203,$B$153:$B$170,0))*INDEX('Resource costs'!$C$121:$C$142, MATCH($B203, 'Resource costs'!$B$121:$B$142,0))</f>
        <v>1655.5790378957108</v>
      </c>
      <c r="Y203" s="90">
        <f>INDEX(Y$153:Y$170,MATCH($B203,$B$153:$B$170,0))*INDEX('Resource costs'!$C$121:$C$142, MATCH($B203, 'Resource costs'!$B$121:$B$142,0))</f>
        <v>1675.8788126554025</v>
      </c>
      <c r="Z203" s="90">
        <f>INDEX(Z$153:Z$170,MATCH($B203,$B$153:$B$170,0))*INDEX('Resource costs'!$C$121:$C$142, MATCH($B203, 'Resource costs'!$B$121:$B$142,0))</f>
        <v>1695.8859743079545</v>
      </c>
      <c r="AA203" s="90">
        <f>INDEX(AA$153:AA$170,MATCH($B203,$B$153:$B$170,0))*INDEX('Resource costs'!$C$121:$C$142, MATCH($B203, 'Resource costs'!$B$121:$B$142,0))</f>
        <v>1715.4262841160103</v>
      </c>
      <c r="AB203" s="90">
        <f>INDEX(AB$153:AB$170,MATCH($B203,$B$153:$B$170,0))*INDEX('Resource costs'!$C$121:$C$142, MATCH($B203, 'Resource costs'!$B$121:$B$142,0))</f>
        <v>1734.3947807668812</v>
      </c>
      <c r="AC203" s="90">
        <f>INDEX(AC$153:AC$170,MATCH($B203,$B$153:$B$170,0))*INDEX('Resource costs'!$C$121:$C$142, MATCH($B203, 'Resource costs'!$B$121:$B$142,0))</f>
        <v>1752.934499394134</v>
      </c>
      <c r="AD203" s="90">
        <f>INDEX(AD$153:AD$170,MATCH($B203,$B$153:$B$170,0))*INDEX('Resource costs'!$C$121:$C$142, MATCH($B203, 'Resource costs'!$B$121:$B$142,0))</f>
        <v>1770.8253210517262</v>
      </c>
      <c r="AE203" s="90">
        <f>INDEX(AE$153:AE$170,MATCH($B203,$B$153:$B$170,0))*INDEX('Resource costs'!$C$121:$C$142, MATCH($B203, 'Resource costs'!$B$121:$B$142,0))</f>
        <v>1787.8834672449595</v>
      </c>
      <c r="AF203" s="90">
        <f>INDEX(AF$153:AF$170,MATCH($B203,$B$153:$B$170,0))*INDEX('Resource costs'!$C$121:$C$142, MATCH($B203, 'Resource costs'!$B$121:$B$142,0))</f>
        <v>1803.9947544674781</v>
      </c>
      <c r="AG203" s="90">
        <f>INDEX(AG$153:AG$170,MATCH($B203,$B$153:$B$170,0))*INDEX('Resource costs'!$C$121:$C$142, MATCH($B203, 'Resource costs'!$B$121:$B$142,0))</f>
        <v>1819.2190060498915</v>
      </c>
      <c r="AH203" s="90">
        <f>INDEX(AH$153:AH$170,MATCH($B203,$B$153:$B$170,0))*INDEX('Resource costs'!$C$121:$C$142, MATCH($B203, 'Resource costs'!$B$121:$B$142,0))</f>
        <v>1833.9349999738351</v>
      </c>
      <c r="AI203" s="90">
        <f>INDEX(AI$153:AI$170,MATCH($B203,$B$153:$B$170,0))*INDEX('Resource costs'!$C$121:$C$142, MATCH($B203, 'Resource costs'!$B$121:$B$142,0))</f>
        <v>1848.1870031060625</v>
      </c>
      <c r="AJ203" s="90">
        <f>INDEX(AJ$153:AJ$170,MATCH($B203,$B$153:$B$170,0))*INDEX('Resource costs'!$C$121:$C$142, MATCH($B203, 'Resource costs'!$B$121:$B$142,0))</f>
        <v>1862.1957445966227</v>
      </c>
      <c r="AK203" s="90">
        <f>INDEX(AK$153:AK$170,MATCH($B203,$B$153:$B$170,0))*INDEX('Resource costs'!$C$121:$C$142, MATCH($B203, 'Resource costs'!$B$121:$B$142,0))</f>
        <v>1875.7521574015418</v>
      </c>
      <c r="AL203" s="90">
        <f>INDEX(AL$153:AL$170,MATCH($B203,$B$153:$B$170,0))*INDEX('Resource costs'!$C$121:$C$142, MATCH($B203, 'Resource costs'!$B$121:$B$142,0))</f>
        <v>1888.4976580592804</v>
      </c>
      <c r="AM203" s="90">
        <f>INDEX(AM$153:AM$170,MATCH($B203,$B$153:$B$170,0))*INDEX('Resource costs'!$C$121:$C$142, MATCH($B203, 'Resource costs'!$B$121:$B$142,0))</f>
        <v>1900.2518482537478</v>
      </c>
      <c r="AN203" s="90">
        <f>INDEX(AN$153:AN$170,MATCH($B203,$B$153:$B$170,0))*INDEX('Resource costs'!$C$121:$C$142, MATCH($B203, 'Resource costs'!$B$121:$B$142,0))</f>
        <v>1910.876570074799</v>
      </c>
      <c r="AO203" s="90">
        <f>INDEX(AO$153:AO$170,MATCH($B203,$B$153:$B$170,0))*INDEX('Resource costs'!$C$121:$C$142, MATCH($B203, 'Resource costs'!$B$121:$B$142,0))</f>
        <v>1920.2949819542596</v>
      </c>
      <c r="AP203" s="90">
        <f>INDEX(AP$153:AP$170,MATCH($B203,$B$153:$B$170,0))*INDEX('Resource costs'!$C$121:$C$142, MATCH($B203, 'Resource costs'!$B$121:$B$142,0))</f>
        <v>1928.4493275498937</v>
      </c>
      <c r="AQ203" s="90">
        <f>INDEX(AQ$153:AQ$170,MATCH($B203,$B$153:$B$170,0))*INDEX('Resource costs'!$C$121:$C$142, MATCH($B203, 'Resource costs'!$B$121:$B$142,0))</f>
        <v>1935.9654308049571</v>
      </c>
      <c r="AR203" s="90">
        <f>INDEX(AR$153:AR$170,MATCH($B203,$B$153:$B$170,0))*INDEX('Resource costs'!$C$121:$C$142, MATCH($B203, 'Resource costs'!$B$121:$B$142,0))</f>
        <v>1943.3871986853583</v>
      </c>
      <c r="AS203" s="90">
        <f>INDEX(AS$153:AS$170,MATCH($B203,$B$153:$B$170,0))*INDEX('Resource costs'!$C$121:$C$142, MATCH($B203, 'Resource costs'!$B$121:$B$142,0))</f>
        <v>1951.0844544962256</v>
      </c>
      <c r="AT203" s="90">
        <f>INDEX(AT$153:AT$170,MATCH($B203,$B$153:$B$170,0))*INDEX('Resource costs'!$C$121:$C$142, MATCH($B203, 'Resource costs'!$B$121:$B$142,0))</f>
        <v>1956.7448407351437</v>
      </c>
      <c r="AU203" s="90">
        <f>INDEX(AU$153:AU$170,MATCH($B203,$B$153:$B$170,0))*INDEX('Resource costs'!$C$121:$C$142, MATCH($B203, 'Resource costs'!$B$121:$B$142,0))</f>
        <v>1961.1082911728445</v>
      </c>
      <c r="AV203" s="90">
        <f>INDEX(AV$153:AV$170,MATCH($B203,$B$153:$B$170,0))*INDEX('Resource costs'!$C$121:$C$142, MATCH($B203, 'Resource costs'!$B$121:$B$142,0))</f>
        <v>1964.6469471296164</v>
      </c>
      <c r="AW203" s="90">
        <f>INDEX(AW$153:AW$170,MATCH($B203,$B$153:$B$170,0))*INDEX('Resource costs'!$C$121:$C$142, MATCH($B203, 'Resource costs'!$B$121:$B$142,0))</f>
        <v>1966.1411763194428</v>
      </c>
      <c r="AX203" s="90">
        <f>INDEX(AX$153:AX$170,MATCH($B203,$B$153:$B$170,0))*INDEX('Resource costs'!$C$121:$C$142, MATCH($B203, 'Resource costs'!$B$121:$B$142,0))</f>
        <v>1966.5447058029608</v>
      </c>
      <c r="AY203" s="90">
        <f>INDEX(AY$153:AY$170,MATCH($B203,$B$153:$B$170,0))*INDEX('Resource costs'!$C$121:$C$142, MATCH($B203, 'Resource costs'!$B$121:$B$142,0))</f>
        <v>1966.4026375083977</v>
      </c>
      <c r="AZ203" s="90">
        <f>INDEX(AZ$153:AZ$170,MATCH($B203,$B$153:$B$170,0))*INDEX('Resource costs'!$C$121:$C$142, MATCH($B203, 'Resource costs'!$B$121:$B$142,0))</f>
        <v>1966.019648887665</v>
      </c>
      <c r="BA203" s="90">
        <f>INDEX(BA$153:BA$170,MATCH($B203,$B$153:$B$170,0))*INDEX('Resource costs'!$C$121:$C$142, MATCH($B203, 'Resource costs'!$B$121:$B$142,0))</f>
        <v>1965.560209731168</v>
      </c>
      <c r="BB203" s="90">
        <f>INDEX(BB$153:BB$170,MATCH($B203,$B$153:$B$170,0))*INDEX('Resource costs'!$C$121:$C$142, MATCH($B203, 'Resource costs'!$B$121:$B$142,0))</f>
        <v>1965.1081533428751</v>
      </c>
    </row>
    <row r="204" spans="2:54" s="97" customFormat="1" ht="29">
      <c r="B204" s="6" t="s">
        <v>16</v>
      </c>
      <c r="C204" s="316"/>
      <c r="D204" s="90">
        <f>INDEX(D$153:D$170,MATCH($B204,$B$153:$B$170,0))*INDEX('Resource costs'!$C$121:$C$142, MATCH($B204, 'Resource costs'!$B$121:$B$142,0))</f>
        <v>63247.849222372257</v>
      </c>
      <c r="E204" s="90">
        <f>INDEX(E$153:E$170,MATCH($B204,$B$153:$B$170,0))*INDEX('Resource costs'!$C$121:$C$142, MATCH($B204, 'Resource costs'!$B$121:$B$142,0))</f>
        <v>65409.689516891907</v>
      </c>
      <c r="F204" s="90">
        <f>INDEX(F$153:F$170,MATCH($B204,$B$153:$B$170,0))*INDEX('Resource costs'!$C$121:$C$142, MATCH($B204, 'Resource costs'!$B$121:$B$142,0))</f>
        <v>67259.958452126055</v>
      </c>
      <c r="G204" s="90">
        <f>INDEX(G$153:G$170,MATCH($B204,$B$153:$B$170,0))*INDEX('Resource costs'!$C$121:$C$142, MATCH($B204, 'Resource costs'!$B$121:$B$142,0))</f>
        <v>68900.404866673794</v>
      </c>
      <c r="H204" s="90">
        <f>INDEX(H$153:H$170,MATCH($B204,$B$153:$B$170,0))*INDEX('Resource costs'!$C$121:$C$142, MATCH($B204, 'Resource costs'!$B$121:$B$142,0))</f>
        <v>52770.247415118232</v>
      </c>
      <c r="I204" s="90">
        <f>INDEX(I$153:I$170,MATCH($B204,$B$153:$B$170,0))*INDEX('Resource costs'!$C$121:$C$142, MATCH($B204, 'Resource costs'!$B$121:$B$142,0))</f>
        <v>46864.911094738338</v>
      </c>
      <c r="J204" s="90">
        <f>INDEX(J$153:J$170,MATCH($B204,$B$153:$B$170,0))*INDEX('Resource costs'!$C$121:$C$142, MATCH($B204, 'Resource costs'!$B$121:$B$142,0))</f>
        <v>43404.061719232493</v>
      </c>
      <c r="K204" s="90">
        <f>INDEX(K$153:K$170,MATCH($B204,$B$153:$B$170,0))*INDEX('Resource costs'!$C$121:$C$142, MATCH($B204, 'Resource costs'!$B$121:$B$142,0))</f>
        <v>41482.443079317236</v>
      </c>
      <c r="L204" s="90">
        <f>INDEX(L$153:L$170,MATCH($B204,$B$153:$B$170,0))*INDEX('Resource costs'!$C$121:$C$142, MATCH($B204, 'Resource costs'!$B$121:$B$142,0))</f>
        <v>40599.423202329795</v>
      </c>
      <c r="M204" s="90">
        <f>INDEX(M$153:M$170,MATCH($B204,$B$153:$B$170,0))*INDEX('Resource costs'!$C$121:$C$142, MATCH($B204, 'Resource costs'!$B$121:$B$142,0))</f>
        <v>40324.592099033107</v>
      </c>
      <c r="N204" s="90">
        <f>INDEX(N$153:N$170,MATCH($B204,$B$153:$B$170,0))*INDEX('Resource costs'!$C$121:$C$142, MATCH($B204, 'Resource costs'!$B$121:$B$142,0))</f>
        <v>40408.705362786255</v>
      </c>
      <c r="O204" s="90">
        <f>INDEX(O$153:O$170,MATCH($B204,$B$153:$B$170,0))*INDEX('Resource costs'!$C$121:$C$142, MATCH($B204, 'Resource costs'!$B$121:$B$142,0))</f>
        <v>40733.399031164088</v>
      </c>
      <c r="P204" s="90">
        <f>INDEX(P$153:P$170,MATCH($B204,$B$153:$B$170,0))*INDEX('Resource costs'!$C$121:$C$142, MATCH($B204, 'Resource costs'!$B$121:$B$142,0))</f>
        <v>41166.899842587882</v>
      </c>
      <c r="Q204" s="90">
        <f>INDEX(Q$153:Q$170,MATCH($B204,$B$153:$B$170,0))*INDEX('Resource costs'!$C$121:$C$142, MATCH($B204, 'Resource costs'!$B$121:$B$142,0))</f>
        <v>41655.687809612078</v>
      </c>
      <c r="R204" s="90">
        <f>INDEX(R$153:R$170,MATCH($B204,$B$153:$B$170,0))*INDEX('Resource costs'!$C$121:$C$142, MATCH($B204, 'Resource costs'!$B$121:$B$142,0))</f>
        <v>42180.031545015256</v>
      </c>
      <c r="S204" s="90">
        <f>INDEX(S$153:S$170,MATCH($B204,$B$153:$B$170,0))*INDEX('Resource costs'!$C$121:$C$142, MATCH($B204, 'Resource costs'!$B$121:$B$142,0))</f>
        <v>42722.740470891673</v>
      </c>
      <c r="T204" s="90">
        <f>INDEX(T$153:T$170,MATCH($B204,$B$153:$B$170,0))*INDEX('Resource costs'!$C$121:$C$142, MATCH($B204, 'Resource costs'!$B$121:$B$142,0))</f>
        <v>43270.06898175089</v>
      </c>
      <c r="U204" s="90">
        <f>INDEX(U$153:U$170,MATCH($B204,$B$153:$B$170,0))*INDEX('Resource costs'!$C$121:$C$142, MATCH($B204, 'Resource costs'!$B$121:$B$142,0))</f>
        <v>43823.746701354947</v>
      </c>
      <c r="V204" s="90">
        <f>INDEX(V$153:V$170,MATCH($B204,$B$153:$B$170,0))*INDEX('Resource costs'!$C$121:$C$142, MATCH($B204, 'Resource costs'!$B$121:$B$142,0))</f>
        <v>44404.301841145658</v>
      </c>
      <c r="W204" s="90">
        <f>INDEX(W$153:W$170,MATCH($B204,$B$153:$B$170,0))*INDEX('Resource costs'!$C$121:$C$142, MATCH($B204, 'Resource costs'!$B$121:$B$142,0))</f>
        <v>44977.139388087366</v>
      </c>
      <c r="X204" s="90">
        <f>INDEX(X$153:X$170,MATCH($B204,$B$153:$B$170,0))*INDEX('Resource costs'!$C$121:$C$142, MATCH($B204, 'Resource costs'!$B$121:$B$142,0))</f>
        <v>45536.279645895396</v>
      </c>
      <c r="Y204" s="90">
        <f>INDEX(Y$153:Y$170,MATCH($B204,$B$153:$B$170,0))*INDEX('Resource costs'!$C$121:$C$142, MATCH($B204, 'Resource costs'!$B$121:$B$142,0))</f>
        <v>46094.619778892556</v>
      </c>
      <c r="Z204" s="90">
        <f>INDEX(Z$153:Z$170,MATCH($B204,$B$153:$B$170,0))*INDEX('Resource costs'!$C$121:$C$142, MATCH($B204, 'Resource costs'!$B$121:$B$142,0))</f>
        <v>46644.911662926817</v>
      </c>
      <c r="AA204" s="90">
        <f>INDEX(AA$153:AA$170,MATCH($B204,$B$153:$B$170,0))*INDEX('Resource costs'!$C$121:$C$142, MATCH($B204, 'Resource costs'!$B$121:$B$142,0))</f>
        <v>47182.362905917915</v>
      </c>
      <c r="AB204" s="90">
        <f>INDEX(AB$153:AB$170,MATCH($B204,$B$153:$B$170,0))*INDEX('Resource costs'!$C$121:$C$142, MATCH($B204, 'Resource costs'!$B$121:$B$142,0))</f>
        <v>47704.086573701323</v>
      </c>
      <c r="AC204" s="90">
        <f>INDEX(AC$153:AC$170,MATCH($B204,$B$153:$B$170,0))*INDEX('Resource costs'!$C$121:$C$142, MATCH($B204, 'Resource costs'!$B$121:$B$142,0))</f>
        <v>48214.016811184796</v>
      </c>
      <c r="AD204" s="90">
        <f>INDEX(AD$153:AD$170,MATCH($B204,$B$153:$B$170,0))*INDEX('Resource costs'!$C$121:$C$142, MATCH($B204, 'Resource costs'!$B$121:$B$142,0))</f>
        <v>48706.099302837043</v>
      </c>
      <c r="AE204" s="90">
        <f>INDEX(AE$153:AE$170,MATCH($B204,$B$153:$B$170,0))*INDEX('Resource costs'!$C$121:$C$142, MATCH($B204, 'Resource costs'!$B$121:$B$142,0))</f>
        <v>49175.279267982616</v>
      </c>
      <c r="AF204" s="90">
        <f>INDEX(AF$153:AF$170,MATCH($B204,$B$153:$B$170,0))*INDEX('Resource costs'!$C$121:$C$142, MATCH($B204, 'Resource costs'!$B$121:$B$142,0))</f>
        <v>49618.416118369671</v>
      </c>
      <c r="AG204" s="90">
        <f>INDEX(AG$153:AG$170,MATCH($B204,$B$153:$B$170,0))*INDEX('Resource costs'!$C$121:$C$142, MATCH($B204, 'Resource costs'!$B$121:$B$142,0))</f>
        <v>50037.155279465478</v>
      </c>
      <c r="AH204" s="90">
        <f>INDEX(AH$153:AH$170,MATCH($B204,$B$153:$B$170,0))*INDEX('Resource costs'!$C$121:$C$142, MATCH($B204, 'Resource costs'!$B$121:$B$142,0))</f>
        <v>50441.91494315373</v>
      </c>
      <c r="AI204" s="90">
        <f>INDEX(AI$153:AI$170,MATCH($B204,$B$153:$B$170,0))*INDEX('Resource costs'!$C$121:$C$142, MATCH($B204, 'Resource costs'!$B$121:$B$142,0))</f>
        <v>50833.912658326633</v>
      </c>
      <c r="AJ204" s="90">
        <f>INDEX(AJ$153:AJ$170,MATCH($B204,$B$153:$B$170,0))*INDEX('Resource costs'!$C$121:$C$142, MATCH($B204, 'Resource costs'!$B$121:$B$142,0))</f>
        <v>51219.219524021195</v>
      </c>
      <c r="AK204" s="90">
        <f>INDEX(AK$153:AK$170,MATCH($B204,$B$153:$B$170,0))*INDEX('Resource costs'!$C$121:$C$142, MATCH($B204, 'Resource costs'!$B$121:$B$142,0))</f>
        <v>51592.085204456853</v>
      </c>
      <c r="AL204" s="90">
        <f>INDEX(AL$153:AL$170,MATCH($B204,$B$153:$B$170,0))*INDEX('Resource costs'!$C$121:$C$142, MATCH($B204, 'Resource costs'!$B$121:$B$142,0))</f>
        <v>51942.646952880175</v>
      </c>
      <c r="AM204" s="90">
        <f>INDEX(AM$153:AM$170,MATCH($B204,$B$153:$B$170,0))*INDEX('Resource costs'!$C$121:$C$142, MATCH($B204, 'Resource costs'!$B$121:$B$142,0))</f>
        <v>52265.942959567124</v>
      </c>
      <c r="AN204" s="90">
        <f>INDEX(AN$153:AN$170,MATCH($B204,$B$153:$B$170,0))*INDEX('Resource costs'!$C$121:$C$142, MATCH($B204, 'Resource costs'!$B$121:$B$142,0))</f>
        <v>52558.173226397623</v>
      </c>
      <c r="AO204" s="90">
        <f>INDEX(AO$153:AO$170,MATCH($B204,$B$153:$B$170,0))*INDEX('Resource costs'!$C$121:$C$142, MATCH($B204, 'Resource costs'!$B$121:$B$142,0))</f>
        <v>52817.224245615922</v>
      </c>
      <c r="AP204" s="90">
        <f>INDEX(AP$153:AP$170,MATCH($B204,$B$153:$B$170,0))*INDEX('Resource costs'!$C$121:$C$142, MATCH($B204, 'Resource costs'!$B$121:$B$142,0))</f>
        <v>53041.507443743409</v>
      </c>
      <c r="AQ204" s="90">
        <f>INDEX(AQ$153:AQ$170,MATCH($B204,$B$153:$B$170,0))*INDEX('Resource costs'!$C$121:$C$142, MATCH($B204, 'Resource costs'!$B$121:$B$142,0))</f>
        <v>53248.23594889832</v>
      </c>
      <c r="AR204" s="90">
        <f>INDEX(AR$153:AR$170,MATCH($B204,$B$153:$B$170,0))*INDEX('Resource costs'!$C$121:$C$142, MATCH($B204, 'Resource costs'!$B$121:$B$142,0))</f>
        <v>53452.369783606948</v>
      </c>
      <c r="AS204" s="90">
        <f>INDEX(AS$153:AS$170,MATCH($B204,$B$153:$B$170,0))*INDEX('Resource costs'!$C$121:$C$142, MATCH($B204, 'Resource costs'!$B$121:$B$142,0))</f>
        <v>53664.080843657066</v>
      </c>
      <c r="AT204" s="90">
        <f>INDEX(AT$153:AT$170,MATCH($B204,$B$153:$B$170,0))*INDEX('Resource costs'!$C$121:$C$142, MATCH($B204, 'Resource costs'!$B$121:$B$142,0))</f>
        <v>53819.768325063429</v>
      </c>
      <c r="AU204" s="90">
        <f>INDEX(AU$153:AU$170,MATCH($B204,$B$153:$B$170,0))*INDEX('Resource costs'!$C$121:$C$142, MATCH($B204, 'Resource costs'!$B$121:$B$142,0))</f>
        <v>53939.783917677283</v>
      </c>
      <c r="AV204" s="90">
        <f>INDEX(AV$153:AV$170,MATCH($B204,$B$153:$B$170,0))*INDEX('Resource costs'!$C$121:$C$142, MATCH($B204, 'Resource costs'!$B$121:$B$142,0))</f>
        <v>54037.113748225878</v>
      </c>
      <c r="AW204" s="90">
        <f>INDEX(AW$153:AW$170,MATCH($B204,$B$153:$B$170,0))*INDEX('Resource costs'!$C$121:$C$142, MATCH($B204, 'Resource costs'!$B$121:$B$142,0))</f>
        <v>54078.212141407683</v>
      </c>
      <c r="AX204" s="90">
        <f>INDEX(AX$153:AX$170,MATCH($B204,$B$153:$B$170,0))*INDEX('Resource costs'!$C$121:$C$142, MATCH($B204, 'Resource costs'!$B$121:$B$142,0))</f>
        <v>54089.311117044759</v>
      </c>
      <c r="AY204" s="90">
        <f>INDEX(AY$153:AY$170,MATCH($B204,$B$153:$B$170,0))*INDEX('Resource costs'!$C$121:$C$142, MATCH($B204, 'Resource costs'!$B$121:$B$142,0))</f>
        <v>54085.403564797489</v>
      </c>
      <c r="AZ204" s="90">
        <f>INDEX(AZ$153:AZ$170,MATCH($B204,$B$153:$B$170,0))*INDEX('Resource costs'!$C$121:$C$142, MATCH($B204, 'Resource costs'!$B$121:$B$142,0))</f>
        <v>54074.869560358144</v>
      </c>
      <c r="BA204" s="90">
        <f>INDEX(BA$153:BA$170,MATCH($B204,$B$153:$B$170,0))*INDEX('Resource costs'!$C$121:$C$142, MATCH($B204, 'Resource costs'!$B$121:$B$142,0))</f>
        <v>54062.232803409883</v>
      </c>
      <c r="BB204" s="90">
        <f>INDEX(BB$153:BB$170,MATCH($B204,$B$153:$B$170,0))*INDEX('Resource costs'!$C$121:$C$142, MATCH($B204, 'Resource costs'!$B$121:$B$142,0))</f>
        <v>54049.799107620172</v>
      </c>
    </row>
    <row r="205" spans="2:54" s="97" customFormat="1">
      <c r="B205" s="6" t="s">
        <v>103</v>
      </c>
      <c r="C205" s="316"/>
      <c r="D205" s="90">
        <f>INDEX(D$153:D$170,MATCH($B205,$B$153:$B$170,0))*INDEX('Resource costs'!$C$121:$C$142, MATCH($B205, 'Resource costs'!$B$121:$B$142,0))</f>
        <v>248364.99615314967</v>
      </c>
      <c r="E205" s="90">
        <f>INDEX(E$153:E$170,MATCH($B205,$B$153:$B$170,0))*INDEX('Resource costs'!$C$121:$C$142, MATCH($B205, 'Resource costs'!$B$121:$B$142,0))</f>
        <v>256854.22484682949</v>
      </c>
      <c r="F205" s="90">
        <f>INDEX(F$153:F$170,MATCH($B205,$B$153:$B$170,0))*INDEX('Resource costs'!$C$121:$C$142, MATCH($B205, 'Resource costs'!$B$121:$B$142,0))</f>
        <v>264119.95866437041</v>
      </c>
      <c r="G205" s="90">
        <f>INDEX(G$153:G$170,MATCH($B205,$B$153:$B$170,0))*INDEX('Resource costs'!$C$121:$C$142, MATCH($B205, 'Resource costs'!$B$121:$B$142,0))</f>
        <v>270561.75032128702</v>
      </c>
      <c r="H205" s="90">
        <f>INDEX(H$153:H$170,MATCH($B205,$B$153:$B$170,0))*INDEX('Resource costs'!$C$121:$C$142, MATCH($B205, 'Resource costs'!$B$121:$B$142,0))</f>
        <v>207220.99577135654</v>
      </c>
      <c r="I205" s="90">
        <f>INDEX(I$153:I$170,MATCH($B205,$B$153:$B$170,0))*INDEX('Resource costs'!$C$121:$C$142, MATCH($B205, 'Resource costs'!$B$121:$B$142,0))</f>
        <v>184031.60908822156</v>
      </c>
      <c r="J205" s="90">
        <f>INDEX(J$153:J$170,MATCH($B205,$B$153:$B$170,0))*INDEX('Resource costs'!$C$121:$C$142, MATCH($B205, 'Resource costs'!$B$121:$B$142,0))</f>
        <v>170441.36289957969</v>
      </c>
      <c r="K205" s="90">
        <f>INDEX(K$153:K$170,MATCH($B205,$B$153:$B$170,0))*INDEX('Resource costs'!$C$121:$C$142, MATCH($B205, 'Resource costs'!$B$121:$B$142,0))</f>
        <v>162895.44929179249</v>
      </c>
      <c r="L205" s="90">
        <f>INDEX(L$153:L$170,MATCH($B205,$B$153:$B$170,0))*INDEX('Resource costs'!$C$121:$C$142, MATCH($B205, 'Resource costs'!$B$121:$B$142,0))</f>
        <v>159427.96018271515</v>
      </c>
      <c r="M205" s="90">
        <f>INDEX(M$153:M$170,MATCH($B205,$B$153:$B$170,0))*INDEX('Resource costs'!$C$121:$C$142, MATCH($B205, 'Resource costs'!$B$121:$B$142,0))</f>
        <v>158348.73888503815</v>
      </c>
      <c r="N205" s="90">
        <f>INDEX(N$153:N$170,MATCH($B205,$B$153:$B$170,0))*INDEX('Resource costs'!$C$121:$C$142, MATCH($B205, 'Resource costs'!$B$121:$B$142,0))</f>
        <v>158679.03929343668</v>
      </c>
      <c r="O205" s="90">
        <f>INDEX(O$153:O$170,MATCH($B205,$B$153:$B$170,0))*INDEX('Resource costs'!$C$121:$C$142, MATCH($B205, 'Resource costs'!$B$121:$B$142,0))</f>
        <v>159954.06354626277</v>
      </c>
      <c r="P205" s="90">
        <f>INDEX(P$153:P$170,MATCH($B205,$B$153:$B$170,0))*INDEX('Resource costs'!$C$121:$C$142, MATCH($B205, 'Resource costs'!$B$121:$B$142,0))</f>
        <v>161656.357437445</v>
      </c>
      <c r="Q205" s="90">
        <f>INDEX(Q$153:Q$170,MATCH($B205,$B$153:$B$170,0))*INDEX('Resource costs'!$C$121:$C$142, MATCH($B205, 'Resource costs'!$B$121:$B$142,0))</f>
        <v>163575.75585244643</v>
      </c>
      <c r="R205" s="90">
        <f>INDEX(R$153:R$170,MATCH($B205,$B$153:$B$170,0))*INDEX('Resource costs'!$C$121:$C$142, MATCH($B205, 'Resource costs'!$B$121:$B$142,0))</f>
        <v>165634.77653737867</v>
      </c>
      <c r="S205" s="90">
        <f>INDEX(S$153:S$170,MATCH($B205,$B$153:$B$170,0))*INDEX('Resource costs'!$C$121:$C$142, MATCH($B205, 'Resource costs'!$B$121:$B$142,0))</f>
        <v>167765.91462262277</v>
      </c>
      <c r="T205" s="90">
        <f>INDEX(T$153:T$170,MATCH($B205,$B$153:$B$170,0))*INDEX('Resource costs'!$C$121:$C$142, MATCH($B205, 'Resource costs'!$B$121:$B$142,0))</f>
        <v>169915.1931382624</v>
      </c>
      <c r="U205" s="90">
        <f>INDEX(U$153:U$170,MATCH($B205,$B$153:$B$170,0))*INDEX('Resource costs'!$C$121:$C$142, MATCH($B205, 'Resource costs'!$B$121:$B$142,0))</f>
        <v>172089.40406227438</v>
      </c>
      <c r="V205" s="90">
        <f>INDEX(V$153:V$170,MATCH($B205,$B$153:$B$170,0))*INDEX('Resource costs'!$C$121:$C$142, MATCH($B205, 'Resource costs'!$B$121:$B$142,0))</f>
        <v>174369.15865999766</v>
      </c>
      <c r="W205" s="90">
        <f>INDEX(W$153:W$170,MATCH($B205,$B$153:$B$170,0))*INDEX('Resource costs'!$C$121:$C$142, MATCH($B205, 'Resource costs'!$B$121:$B$142,0))</f>
        <v>176618.60740634703</v>
      </c>
      <c r="X205" s="90">
        <f>INDEX(X$153:X$170,MATCH($B205,$B$153:$B$170,0))*INDEX('Resource costs'!$C$121:$C$142, MATCH($B205, 'Resource costs'!$B$121:$B$142,0))</f>
        <v>178814.26891400252</v>
      </c>
      <c r="Y205" s="90">
        <f>INDEX(Y$153:Y$170,MATCH($B205,$B$153:$B$170,0))*INDEX('Resource costs'!$C$121:$C$142, MATCH($B205, 'Resource costs'!$B$121:$B$142,0))</f>
        <v>181006.78844927452</v>
      </c>
      <c r="Z205" s="90">
        <f>INDEX(Z$153:Z$170,MATCH($B205,$B$153:$B$170,0))*INDEX('Resource costs'!$C$121:$C$142, MATCH($B205, 'Resource costs'!$B$121:$B$142,0))</f>
        <v>183167.70369527364</v>
      </c>
      <c r="AA205" s="90">
        <f>INDEX(AA$153:AA$170,MATCH($B205,$B$153:$B$170,0))*INDEX('Resource costs'!$C$121:$C$142, MATCH($B205, 'Resource costs'!$B$121:$B$142,0))</f>
        <v>185278.1956335635</v>
      </c>
      <c r="AB205" s="90">
        <f>INDEX(AB$153:AB$170,MATCH($B205,$B$153:$B$170,0))*INDEX('Resource costs'!$C$121:$C$142, MATCH($B205, 'Resource costs'!$B$121:$B$142,0))</f>
        <v>187326.92769852991</v>
      </c>
      <c r="AC205" s="90">
        <f>INDEX(AC$153:AC$170,MATCH($B205,$B$153:$B$170,0))*INDEX('Resource costs'!$C$121:$C$142, MATCH($B205, 'Resource costs'!$B$121:$B$142,0))</f>
        <v>189329.34869826501</v>
      </c>
      <c r="AD205" s="90">
        <f>INDEX(AD$153:AD$170,MATCH($B205,$B$153:$B$170,0))*INDEX('Resource costs'!$C$121:$C$142, MATCH($B205, 'Resource costs'!$B$121:$B$142,0))</f>
        <v>191261.68422664865</v>
      </c>
      <c r="AE205" s="90">
        <f>INDEX(AE$153:AE$170,MATCH($B205,$B$153:$B$170,0))*INDEX('Resource costs'!$C$121:$C$142, MATCH($B205, 'Resource costs'!$B$121:$B$142,0))</f>
        <v>193104.08490384507</v>
      </c>
      <c r="AF205" s="90">
        <f>INDEX(AF$153:AF$170,MATCH($B205,$B$153:$B$170,0))*INDEX('Resource costs'!$C$121:$C$142, MATCH($B205, 'Resource costs'!$B$121:$B$142,0))</f>
        <v>194844.21810196762</v>
      </c>
      <c r="AG205" s="90">
        <f>INDEX(AG$153:AG$170,MATCH($B205,$B$153:$B$170,0))*INDEX('Resource costs'!$C$121:$C$142, MATCH($B205, 'Resource costs'!$B$121:$B$142,0))</f>
        <v>196488.54516468054</v>
      </c>
      <c r="AH205" s="90">
        <f>INDEX(AH$153:AH$170,MATCH($B205,$B$153:$B$170,0))*INDEX('Resource costs'!$C$121:$C$142, MATCH($B205, 'Resource costs'!$B$121:$B$142,0))</f>
        <v>198077.97679833873</v>
      </c>
      <c r="AI205" s="90">
        <f>INDEX(AI$153:AI$170,MATCH($B205,$B$153:$B$170,0))*INDEX('Resource costs'!$C$121:$C$142, MATCH($B205, 'Resource costs'!$B$121:$B$142,0))</f>
        <v>199617.29413826379</v>
      </c>
      <c r="AJ205" s="90">
        <f>INDEX(AJ$153:AJ$170,MATCH($B205,$B$153:$B$170,0))*INDEX('Resource costs'!$C$121:$C$142, MATCH($B205, 'Resource costs'!$B$121:$B$142,0))</f>
        <v>201130.33749693283</v>
      </c>
      <c r="AK205" s="90">
        <f>INDEX(AK$153:AK$170,MATCH($B205,$B$153:$B$170,0))*INDEX('Resource costs'!$C$121:$C$142, MATCH($B205, 'Resource costs'!$B$121:$B$142,0))</f>
        <v>202594.52615197227</v>
      </c>
      <c r="AL205" s="90">
        <f>INDEX(AL$153:AL$170,MATCH($B205,$B$153:$B$170,0))*INDEX('Resource costs'!$C$121:$C$142, MATCH($B205, 'Resource costs'!$B$121:$B$142,0))</f>
        <v>203971.13054831285</v>
      </c>
      <c r="AM205" s="90">
        <f>INDEX(AM$153:AM$170,MATCH($B205,$B$153:$B$170,0))*INDEX('Resource costs'!$C$121:$C$142, MATCH($B205, 'Resource costs'!$B$121:$B$142,0))</f>
        <v>205240.66638936289</v>
      </c>
      <c r="AN205" s="90">
        <f>INDEX(AN$153:AN$170,MATCH($B205,$B$153:$B$170,0))*INDEX('Resource costs'!$C$121:$C$142, MATCH($B205, 'Resource costs'!$B$121:$B$142,0))</f>
        <v>206388.2116417241</v>
      </c>
      <c r="AO205" s="90">
        <f>INDEX(AO$153:AO$170,MATCH($B205,$B$153:$B$170,0))*INDEX('Resource costs'!$C$121:$C$142, MATCH($B205, 'Resource costs'!$B$121:$B$142,0))</f>
        <v>207405.46687146975</v>
      </c>
      <c r="AP205" s="90">
        <f>INDEX(AP$153:AP$170,MATCH($B205,$B$153:$B$170,0))*INDEX('Resource costs'!$C$121:$C$142, MATCH($B205, 'Resource costs'!$B$121:$B$142,0))</f>
        <v>208286.19398432854</v>
      </c>
      <c r="AQ205" s="90">
        <f>INDEX(AQ$153:AQ$170,MATCH($B205,$B$153:$B$170,0))*INDEX('Resource costs'!$C$121:$C$142, MATCH($B205, 'Resource costs'!$B$121:$B$142,0))</f>
        <v>209097.98640128531</v>
      </c>
      <c r="AR205" s="90">
        <f>INDEX(AR$153:AR$170,MATCH($B205,$B$153:$B$170,0))*INDEX('Resource costs'!$C$121:$C$142, MATCH($B205, 'Resource costs'!$B$121:$B$142,0))</f>
        <v>209899.58992923898</v>
      </c>
      <c r="AS205" s="90">
        <f>INDEX(AS$153:AS$170,MATCH($B205,$B$153:$B$170,0))*INDEX('Resource costs'!$C$121:$C$142, MATCH($B205, 'Resource costs'!$B$121:$B$142,0))</f>
        <v>210730.9481060215</v>
      </c>
      <c r="AT205" s="90">
        <f>INDEX(AT$153:AT$170,MATCH($B205,$B$153:$B$170,0))*INDEX('Resource costs'!$C$121:$C$142, MATCH($B205, 'Resource costs'!$B$121:$B$142,0))</f>
        <v>211342.3099340678</v>
      </c>
      <c r="AU205" s="90">
        <f>INDEX(AU$153:AU$170,MATCH($B205,$B$153:$B$170,0))*INDEX('Resource costs'!$C$121:$C$142, MATCH($B205, 'Resource costs'!$B$121:$B$142,0))</f>
        <v>211813.593504408</v>
      </c>
      <c r="AV205" s="90">
        <f>INDEX(AV$153:AV$170,MATCH($B205,$B$153:$B$170,0))*INDEX('Resource costs'!$C$121:$C$142, MATCH($B205, 'Resource costs'!$B$121:$B$142,0))</f>
        <v>212195.79342562269</v>
      </c>
      <c r="AW205" s="90">
        <f>INDEX(AW$153:AW$170,MATCH($B205,$B$153:$B$170,0))*INDEX('Resource costs'!$C$121:$C$142, MATCH($B205, 'Resource costs'!$B$121:$B$142,0))</f>
        <v>212357.18076748485</v>
      </c>
      <c r="AX205" s="90">
        <f>INDEX(AX$153:AX$170,MATCH($B205,$B$153:$B$170,0))*INDEX('Resource costs'!$C$121:$C$142, MATCH($B205, 'Resource costs'!$B$121:$B$142,0))</f>
        <v>212400.76481145309</v>
      </c>
      <c r="AY205" s="90">
        <f>INDEX(AY$153:AY$170,MATCH($B205,$B$153:$B$170,0))*INDEX('Resource costs'!$C$121:$C$142, MATCH($B205, 'Resource costs'!$B$121:$B$142,0))</f>
        <v>212385.42042882519</v>
      </c>
      <c r="AZ205" s="90">
        <f>INDEX(AZ$153:AZ$170,MATCH($B205,$B$153:$B$170,0))*INDEX('Resource costs'!$C$121:$C$142, MATCH($B205, 'Resource costs'!$B$121:$B$142,0))</f>
        <v>212344.05494360754</v>
      </c>
      <c r="BA205" s="90">
        <f>INDEX(BA$153:BA$170,MATCH($B205,$B$153:$B$170,0))*INDEX('Resource costs'!$C$121:$C$142, MATCH($B205, 'Resource costs'!$B$121:$B$142,0))</f>
        <v>212294.43225873477</v>
      </c>
      <c r="BB205" s="90">
        <f>INDEX(BB$153:BB$170,MATCH($B205,$B$153:$B$170,0))*INDEX('Resource costs'!$C$121:$C$142, MATCH($B205, 'Resource costs'!$B$121:$B$142,0))</f>
        <v>212245.60696514853</v>
      </c>
    </row>
    <row r="206" spans="2:54" s="97" customFormat="1">
      <c r="B206" s="6" t="s">
        <v>104</v>
      </c>
      <c r="C206" s="315"/>
      <c r="D206" s="90">
        <f>INDEX(D$153:D$170,MATCH($B206,$B$153:$B$170,0))*INDEX('Resource costs'!$C$121:$C$142, MATCH($B206, 'Resource costs'!$B$121:$B$142,0))</f>
        <v>14804.068268203522</v>
      </c>
      <c r="E206" s="90">
        <f>INDEX(E$153:E$170,MATCH($B206,$B$153:$B$170,0))*INDEX('Resource costs'!$C$121:$C$142, MATCH($B206, 'Resource costs'!$B$121:$B$142,0))</f>
        <v>15310.078064560383</v>
      </c>
      <c r="F206" s="90">
        <f>INDEX(F$153:F$170,MATCH($B206,$B$153:$B$170,0))*INDEX('Resource costs'!$C$121:$C$142, MATCH($B206, 'Resource costs'!$B$121:$B$142,0))</f>
        <v>15743.160105586585</v>
      </c>
      <c r="G206" s="90">
        <f>INDEX(G$153:G$170,MATCH($B206,$B$153:$B$170,0))*INDEX('Resource costs'!$C$121:$C$142, MATCH($B206, 'Resource costs'!$B$121:$B$142,0))</f>
        <v>16127.130169547338</v>
      </c>
      <c r="H206" s="90">
        <f>INDEX(H$153:H$170,MATCH($B206,$B$153:$B$170,0))*INDEX('Resource costs'!$C$121:$C$142, MATCH($B206, 'Resource costs'!$B$121:$B$142,0))</f>
        <v>12351.634954680272</v>
      </c>
      <c r="I206" s="90">
        <f>INDEX(I$153:I$170,MATCH($B206,$B$153:$B$170,0))*INDEX('Resource costs'!$C$121:$C$142, MATCH($B206, 'Resource costs'!$B$121:$B$142,0))</f>
        <v>10969.406102498497</v>
      </c>
      <c r="J206" s="90">
        <f>INDEX(J$153:J$170,MATCH($B206,$B$153:$B$170,0))*INDEX('Resource costs'!$C$121:$C$142, MATCH($B206, 'Resource costs'!$B$121:$B$142,0))</f>
        <v>10159.3445581</v>
      </c>
      <c r="K206" s="90">
        <f>INDEX(K$153:K$170,MATCH($B206,$B$153:$B$170,0))*INDEX('Resource costs'!$C$121:$C$142, MATCH($B206, 'Resource costs'!$B$121:$B$142,0))</f>
        <v>9709.5620930751629</v>
      </c>
      <c r="L206" s="90">
        <f>INDEX(L$153:L$170,MATCH($B206,$B$153:$B$170,0))*INDEX('Resource costs'!$C$121:$C$142, MATCH($B206, 'Resource costs'!$B$121:$B$142,0))</f>
        <v>9502.8785978761061</v>
      </c>
      <c r="M206" s="90">
        <f>INDEX(M$153:M$170,MATCH($B206,$B$153:$B$170,0))*INDEX('Resource costs'!$C$121:$C$142, MATCH($B206, 'Resource costs'!$B$121:$B$142,0))</f>
        <v>9438.55042758331</v>
      </c>
      <c r="N206" s="90">
        <f>INDEX(N$153:N$170,MATCH($B206,$B$153:$B$170,0))*INDEX('Resource costs'!$C$121:$C$142, MATCH($B206, 'Resource costs'!$B$121:$B$142,0))</f>
        <v>9458.2383460528381</v>
      </c>
      <c r="O206" s="90">
        <f>INDEX(O$153:O$170,MATCH($B206,$B$153:$B$170,0))*INDEX('Resource costs'!$C$121:$C$142, MATCH($B206, 'Resource costs'!$B$121:$B$142,0))</f>
        <v>9534.2375664534975</v>
      </c>
      <c r="P206" s="90">
        <f>INDEX(P$153:P$170,MATCH($B206,$B$153:$B$170,0))*INDEX('Resource costs'!$C$121:$C$142, MATCH($B206, 'Resource costs'!$B$121:$B$142,0))</f>
        <v>9635.7046627349246</v>
      </c>
      <c r="Q206" s="90">
        <f>INDEX(Q$153:Q$170,MATCH($B206,$B$153:$B$170,0))*INDEX('Resource costs'!$C$121:$C$142, MATCH($B206, 'Resource costs'!$B$121:$B$142,0))</f>
        <v>9750.1125125111503</v>
      </c>
      <c r="R206" s="90">
        <f>INDEX(R$153:R$170,MATCH($B206,$B$153:$B$170,0))*INDEX('Resource costs'!$C$121:$C$142, MATCH($B206, 'Resource costs'!$B$121:$B$142,0))</f>
        <v>9872.8427009737152</v>
      </c>
      <c r="S206" s="90">
        <f>INDEX(S$153:S$170,MATCH($B206,$B$153:$B$170,0))*INDEX('Resource costs'!$C$121:$C$142, MATCH($B206, 'Resource costs'!$B$121:$B$142,0))</f>
        <v>9999.8715262574024</v>
      </c>
      <c r="T206" s="90">
        <f>INDEX(T$153:T$170,MATCH($B206,$B$153:$B$170,0))*INDEX('Resource costs'!$C$121:$C$142, MATCH($B206, 'Resource costs'!$B$121:$B$142,0))</f>
        <v>10127.981631810651</v>
      </c>
      <c r="U206" s="90">
        <f>INDEX(U$153:U$170,MATCH($B206,$B$153:$B$170,0))*INDEX('Resource costs'!$C$121:$C$142, MATCH($B206, 'Resource costs'!$B$121:$B$142,0))</f>
        <v>10257.577860937481</v>
      </c>
      <c r="V206" s="90">
        <f>INDEX(V$153:V$170,MATCH($B206,$B$153:$B$170,0))*INDEX('Resource costs'!$C$121:$C$142, MATCH($B206, 'Resource costs'!$B$121:$B$142,0))</f>
        <v>10393.465136609108</v>
      </c>
      <c r="W206" s="90">
        <f>INDEX(W$153:W$170,MATCH($B206,$B$153:$B$170,0))*INDEX('Resource costs'!$C$121:$C$142, MATCH($B206, 'Resource costs'!$B$121:$B$142,0))</f>
        <v>10527.545998737709</v>
      </c>
      <c r="X206" s="90">
        <f>INDEX(X$153:X$170,MATCH($B206,$B$153:$B$170,0))*INDEX('Resource costs'!$C$121:$C$142, MATCH($B206, 'Resource costs'!$B$121:$B$142,0))</f>
        <v>10658.420813452562</v>
      </c>
      <c r="Y206" s="90">
        <f>INDEX(Y$153:Y$170,MATCH($B206,$B$153:$B$170,0))*INDEX('Resource costs'!$C$121:$C$142, MATCH($B206, 'Resource costs'!$B$121:$B$142,0))</f>
        <v>10789.108347454019</v>
      </c>
      <c r="Z206" s="90">
        <f>INDEX(Z$153:Z$170,MATCH($B206,$B$153:$B$170,0))*INDEX('Resource costs'!$C$121:$C$142, MATCH($B206, 'Resource costs'!$B$121:$B$142,0))</f>
        <v>10917.912073095962</v>
      </c>
      <c r="AA206" s="90">
        <f>INDEX(AA$153:AA$170,MATCH($B206,$B$153:$B$170,0))*INDEX('Resource costs'!$C$121:$C$142, MATCH($B206, 'Resource costs'!$B$121:$B$142,0))</f>
        <v>11043.710262123657</v>
      </c>
      <c r="AB206" s="90">
        <f>INDEX(AB$153:AB$170,MATCH($B206,$B$153:$B$170,0))*INDEX('Resource costs'!$C$121:$C$142, MATCH($B206, 'Resource costs'!$B$121:$B$142,0))</f>
        <v>11165.827186097589</v>
      </c>
      <c r="AC206" s="90">
        <f>INDEX(AC$153:AC$170,MATCH($B206,$B$153:$B$170,0))*INDEX('Resource costs'!$C$121:$C$142, MATCH($B206, 'Resource costs'!$B$121:$B$142,0))</f>
        <v>11285.183688184876</v>
      </c>
      <c r="AD206" s="90">
        <f>INDEX(AD$153:AD$170,MATCH($B206,$B$153:$B$170,0))*INDEX('Resource costs'!$C$121:$C$142, MATCH($B206, 'Resource costs'!$B$121:$B$142,0))</f>
        <v>11400.36266880752</v>
      </c>
      <c r="AE206" s="90">
        <f>INDEX(AE$153:AE$170,MATCH($B206,$B$153:$B$170,0))*INDEX('Resource costs'!$C$121:$C$142, MATCH($B206, 'Resource costs'!$B$121:$B$142,0))</f>
        <v>11510.180983888367</v>
      </c>
      <c r="AF206" s="90">
        <f>INDEX(AF$153:AF$170,MATCH($B206,$B$153:$B$170,0))*INDEX('Resource costs'!$C$121:$C$142, MATCH($B206, 'Resource costs'!$B$121:$B$142,0))</f>
        <v>11613.903533602615</v>
      </c>
      <c r="AG206" s="90">
        <f>INDEX(AG$153:AG$170,MATCH($B206,$B$153:$B$170,0))*INDEX('Resource costs'!$C$121:$C$142, MATCH($B206, 'Resource costs'!$B$121:$B$142,0))</f>
        <v>11711.915453433081</v>
      </c>
      <c r="AH206" s="90">
        <f>INDEX(AH$153:AH$170,MATCH($B206,$B$153:$B$170,0))*INDEX('Resource costs'!$C$121:$C$142, MATCH($B206, 'Resource costs'!$B$121:$B$142,0))</f>
        <v>11806.655270946692</v>
      </c>
      <c r="AI206" s="90">
        <f>INDEX(AI$153:AI$170,MATCH($B206,$B$153:$B$170,0))*INDEX('Resource costs'!$C$121:$C$142, MATCH($B206, 'Resource costs'!$B$121:$B$142,0))</f>
        <v>11898.407970963357</v>
      </c>
      <c r="AJ206" s="90">
        <f>INDEX(AJ$153:AJ$170,MATCH($B206,$B$153:$B$170,0))*INDEX('Resource costs'!$C$121:$C$142, MATCH($B206, 'Resource costs'!$B$121:$B$142,0))</f>
        <v>11988.594581481839</v>
      </c>
      <c r="AK206" s="90">
        <f>INDEX(AK$153:AK$170,MATCH($B206,$B$153:$B$170,0))*INDEX('Resource costs'!$C$121:$C$142, MATCH($B206, 'Resource costs'!$B$121:$B$142,0))</f>
        <v>12075.869153754364</v>
      </c>
      <c r="AL206" s="90">
        <f>INDEX(AL$153:AL$170,MATCH($B206,$B$153:$B$170,0))*INDEX('Resource costs'!$C$121:$C$142, MATCH($B206, 'Resource costs'!$B$121:$B$142,0))</f>
        <v>12157.923170131004</v>
      </c>
      <c r="AM206" s="90">
        <f>INDEX(AM$153:AM$170,MATCH($B206,$B$153:$B$170,0))*INDEX('Resource costs'!$C$121:$C$142, MATCH($B206, 'Resource costs'!$B$121:$B$142,0))</f>
        <v>12233.595247722189</v>
      </c>
      <c r="AN206" s="90">
        <f>INDEX(AN$153:AN$170,MATCH($B206,$B$153:$B$170,0))*INDEX('Resource costs'!$C$121:$C$142, MATCH($B206, 'Resource costs'!$B$121:$B$142,0))</f>
        <v>12301.995942344765</v>
      </c>
      <c r="AO206" s="90">
        <f>INDEX(AO$153:AO$170,MATCH($B206,$B$153:$B$170,0))*INDEX('Resource costs'!$C$121:$C$142, MATCH($B206, 'Resource costs'!$B$121:$B$142,0))</f>
        <v>12362.630557127821</v>
      </c>
      <c r="AP206" s="90">
        <f>INDEX(AP$153:AP$170,MATCH($B206,$B$153:$B$170,0))*INDEX('Resource costs'!$C$121:$C$142, MATCH($B206, 'Resource costs'!$B$121:$B$142,0))</f>
        <v>12415.127263613706</v>
      </c>
      <c r="AQ206" s="90">
        <f>INDEX(AQ$153:AQ$170,MATCH($B206,$B$153:$B$170,0))*INDEX('Resource costs'!$C$121:$C$142, MATCH($B206, 'Resource costs'!$B$121:$B$142,0))</f>
        <v>12463.515041869006</v>
      </c>
      <c r="AR206" s="90">
        <f>INDEX(AR$153:AR$170,MATCH($B206,$B$153:$B$170,0))*INDEX('Resource costs'!$C$121:$C$142, MATCH($B206, 'Resource costs'!$B$121:$B$142,0))</f>
        <v>12511.295500209206</v>
      </c>
      <c r="AS206" s="90">
        <f>INDEX(AS$153:AS$170,MATCH($B206,$B$153:$B$170,0))*INDEX('Resource costs'!$C$121:$C$142, MATCH($B206, 'Resource costs'!$B$121:$B$142,0))</f>
        <v>12560.849517059585</v>
      </c>
      <c r="AT206" s="90">
        <f>INDEX(AT$153:AT$170,MATCH($B206,$B$153:$B$170,0))*INDEX('Resource costs'!$C$121:$C$142, MATCH($B206, 'Resource costs'!$B$121:$B$142,0))</f>
        <v>12597.290410016134</v>
      </c>
      <c r="AU206" s="90">
        <f>INDEX(AU$153:AU$170,MATCH($B206,$B$153:$B$170,0))*INDEX('Resource costs'!$C$121:$C$142, MATCH($B206, 'Resource costs'!$B$121:$B$142,0))</f>
        <v>12625.381784634388</v>
      </c>
      <c r="AV206" s="90">
        <f>INDEX(AV$153:AV$170,MATCH($B206,$B$153:$B$170,0))*INDEX('Resource costs'!$C$121:$C$142, MATCH($B206, 'Resource costs'!$B$121:$B$142,0))</f>
        <v>12648.16323054424</v>
      </c>
      <c r="AW206" s="90">
        <f>INDEX(AW$153:AW$170,MATCH($B206,$B$153:$B$170,0))*INDEX('Resource costs'!$C$121:$C$142, MATCH($B206, 'Resource costs'!$B$121:$B$142,0))</f>
        <v>12657.782900238268</v>
      </c>
      <c r="AX206" s="90">
        <f>INDEX(AX$153:AX$170,MATCH($B206,$B$153:$B$170,0))*INDEX('Resource costs'!$C$121:$C$142, MATCH($B206, 'Resource costs'!$B$121:$B$142,0))</f>
        <v>12660.380775028614</v>
      </c>
      <c r="AY206" s="90">
        <f>INDEX(AY$153:AY$170,MATCH($B206,$B$153:$B$170,0))*INDEX('Resource costs'!$C$121:$C$142, MATCH($B206, 'Resource costs'!$B$121:$B$142,0))</f>
        <v>12659.466156255939</v>
      </c>
      <c r="AZ206" s="90">
        <f>INDEX(AZ$153:AZ$170,MATCH($B206,$B$153:$B$170,0))*INDEX('Resource costs'!$C$121:$C$142, MATCH($B206, 'Resource costs'!$B$121:$B$142,0))</f>
        <v>12657.000521095615</v>
      </c>
      <c r="BA206" s="90">
        <f>INDEX(BA$153:BA$170,MATCH($B206,$B$153:$B$170,0))*INDEX('Resource costs'!$C$121:$C$142, MATCH($B206, 'Resource costs'!$B$121:$B$142,0))</f>
        <v>12654.042706484512</v>
      </c>
      <c r="BB206" s="90">
        <f>INDEX(BB$153:BB$170,MATCH($B206,$B$153:$B$170,0))*INDEX('Resource costs'!$C$121:$C$142, MATCH($B206, 'Resource costs'!$B$121:$B$142,0))</f>
        <v>12651.132421256474</v>
      </c>
    </row>
    <row r="207" spans="2:54" s="97" customFormat="1">
      <c r="B207" s="6" t="s">
        <v>17</v>
      </c>
      <c r="C207" s="315"/>
      <c r="D207" s="90">
        <f>INDEX(D$153:D$170,MATCH($B207,$B$153:$B$170,0))*INDEX('Resource costs'!$C$121:$C$142, MATCH($B207, 'Resource costs'!$B$121:$B$142,0))</f>
        <v>17119.974544977016</v>
      </c>
      <c r="E207" s="90">
        <f>INDEX(E$153:E$170,MATCH($B207,$B$153:$B$170,0))*INDEX('Resource costs'!$C$121:$C$142, MATCH($B207, 'Resource costs'!$B$121:$B$142,0))</f>
        <v>17705.143072721836</v>
      </c>
      <c r="F207" s="90">
        <f>INDEX(F$153:F$170,MATCH($B207,$B$153:$B$170,0))*INDEX('Resource costs'!$C$121:$C$142, MATCH($B207, 'Resource costs'!$B$121:$B$142,0))</f>
        <v>18205.975234795824</v>
      </c>
      <c r="G207" s="90">
        <f>INDEX(G$153:G$170,MATCH($B207,$B$153:$B$170,0))*INDEX('Resource costs'!$C$121:$C$142, MATCH($B207, 'Resource costs'!$B$121:$B$142,0))</f>
        <v>18650.012481986862</v>
      </c>
      <c r="H207" s="90">
        <f>INDEX(H$153:H$170,MATCH($B207,$B$153:$B$170,0))*INDEX('Resource costs'!$C$121:$C$142, MATCH($B207, 'Resource costs'!$B$121:$B$142,0))</f>
        <v>14283.889548601446</v>
      </c>
      <c r="I207" s="90">
        <f>INDEX(I$153:I$170,MATCH($B207,$B$153:$B$170,0))*INDEX('Resource costs'!$C$121:$C$142, MATCH($B207, 'Resource costs'!$B$121:$B$142,0))</f>
        <v>12685.428751476496</v>
      </c>
      <c r="J207" s="90">
        <f>INDEX(J$153:J$170,MATCH($B207,$B$153:$B$170,0))*INDEX('Resource costs'!$C$121:$C$142, MATCH($B207, 'Resource costs'!$B$121:$B$142,0))</f>
        <v>11748.643486188743</v>
      </c>
      <c r="K207" s="90">
        <f>INDEX(K$153:K$170,MATCH($B207,$B$153:$B$170,0))*INDEX('Resource costs'!$C$121:$C$142, MATCH($B207, 'Resource costs'!$B$121:$B$142,0))</f>
        <v>11228.498333349844</v>
      </c>
      <c r="L207" s="90">
        <f>INDEX(L$153:L$170,MATCH($B207,$B$153:$B$170,0))*INDEX('Resource costs'!$C$121:$C$142, MATCH($B207, 'Resource costs'!$B$121:$B$142,0))</f>
        <v>10989.481860812048</v>
      </c>
      <c r="M207" s="90">
        <f>INDEX(M$153:M$170,MATCH($B207,$B$153:$B$170,0))*INDEX('Resource costs'!$C$121:$C$142, MATCH($B207, 'Resource costs'!$B$121:$B$142,0))</f>
        <v>10915.090374770134</v>
      </c>
      <c r="N207" s="90">
        <f>INDEX(N$153:N$170,MATCH($B207,$B$153:$B$170,0))*INDEX('Resource costs'!$C$121:$C$142, MATCH($B207, 'Resource costs'!$B$121:$B$142,0))</f>
        <v>10937.858215132354</v>
      </c>
      <c r="O207" s="90">
        <f>INDEX(O$153:O$170,MATCH($B207,$B$153:$B$170,0))*INDEX('Resource costs'!$C$121:$C$142, MATCH($B207, 'Resource costs'!$B$121:$B$142,0))</f>
        <v>11025.746537120976</v>
      </c>
      <c r="P207" s="90">
        <f>INDEX(P$153:P$170,MATCH($B207,$B$153:$B$170,0))*INDEX('Resource costs'!$C$121:$C$142, MATCH($B207, 'Resource costs'!$B$121:$B$142,0))</f>
        <v>11143.086856958716</v>
      </c>
      <c r="Q207" s="90">
        <f>INDEX(Q$153:Q$170,MATCH($B207,$B$153:$B$170,0))*INDEX('Resource costs'!$C$121:$C$142, MATCH($B207, 'Resource costs'!$B$121:$B$142,0))</f>
        <v>11275.392344911741</v>
      </c>
      <c r="R207" s="90">
        <f>INDEX(R$153:R$170,MATCH($B207,$B$153:$B$170,0))*INDEX('Resource costs'!$C$121:$C$142, MATCH($B207, 'Resource costs'!$B$121:$B$142,0))</f>
        <v>11417.322094512543</v>
      </c>
      <c r="S207" s="90">
        <f>INDEX(S$153:S$170,MATCH($B207,$B$153:$B$170,0))*INDEX('Resource costs'!$C$121:$C$142, MATCH($B207, 'Resource costs'!$B$121:$B$142,0))</f>
        <v>11564.222947435926</v>
      </c>
      <c r="T207" s="90">
        <f>INDEX(T$153:T$170,MATCH($B207,$B$153:$B$170,0))*INDEX('Resource costs'!$C$121:$C$142, MATCH($B207, 'Resource costs'!$B$121:$B$142,0))</f>
        <v>11712.374233034672</v>
      </c>
      <c r="U207" s="90">
        <f>INDEX(U$153:U$170,MATCH($B207,$B$153:$B$170,0))*INDEX('Resource costs'!$C$121:$C$142, MATCH($B207, 'Resource costs'!$B$121:$B$142,0))</f>
        <v>11862.244127146252</v>
      </c>
      <c r="V207" s="90">
        <f>INDEX(V$153:V$170,MATCH($B207,$B$153:$B$170,0))*INDEX('Resource costs'!$C$121:$C$142, MATCH($B207, 'Resource costs'!$B$121:$B$142,0))</f>
        <v>12019.389221206731</v>
      </c>
      <c r="W207" s="90">
        <f>INDEX(W$153:W$170,MATCH($B207,$B$153:$B$170,0))*INDEX('Resource costs'!$C$121:$C$142, MATCH($B207, 'Resource costs'!$B$121:$B$142,0))</f>
        <v>12174.445311534311</v>
      </c>
      <c r="X207" s="90">
        <f>INDEX(X$153:X$170,MATCH($B207,$B$153:$B$170,0))*INDEX('Resource costs'!$C$121:$C$142, MATCH($B207, 'Resource costs'!$B$121:$B$142,0))</f>
        <v>12325.7938095218</v>
      </c>
      <c r="Y207" s="90">
        <f>INDEX(Y$153:Y$170,MATCH($B207,$B$153:$B$170,0))*INDEX('Resource costs'!$C$121:$C$142, MATCH($B207, 'Resource costs'!$B$121:$B$142,0))</f>
        <v>12476.925729134482</v>
      </c>
      <c r="Z207" s="90">
        <f>INDEX(Z$153:Z$170,MATCH($B207,$B$153:$B$170,0))*INDEX('Resource costs'!$C$121:$C$142, MATCH($B207, 'Resource costs'!$B$121:$B$142,0))</f>
        <v>12625.879142773112</v>
      </c>
      <c r="AA207" s="90">
        <f>INDEX(AA$153:AA$170,MATCH($B207,$B$153:$B$170,0))*INDEX('Resource costs'!$C$121:$C$142, MATCH($B207, 'Resource costs'!$B$121:$B$142,0))</f>
        <v>12771.35684220956</v>
      </c>
      <c r="AB207" s="90">
        <f>INDEX(AB$153:AB$170,MATCH($B207,$B$153:$B$170,0))*INDEX('Resource costs'!$C$121:$C$142, MATCH($B207, 'Resource costs'!$B$121:$B$142,0))</f>
        <v>12912.577389971751</v>
      </c>
      <c r="AC207" s="90">
        <f>INDEX(AC$153:AC$170,MATCH($B207,$B$153:$B$170,0))*INDEX('Resource costs'!$C$121:$C$142, MATCH($B207, 'Resource costs'!$B$121:$B$142,0))</f>
        <v>13050.605683309244</v>
      </c>
      <c r="AD207" s="90">
        <f>INDEX(AD$153:AD$170,MATCH($B207,$B$153:$B$170,0))*INDEX('Resource costs'!$C$121:$C$142, MATCH($B207, 'Resource costs'!$B$121:$B$142,0))</f>
        <v>13183.80293562206</v>
      </c>
      <c r="AE207" s="90">
        <f>INDEX(AE$153:AE$170,MATCH($B207,$B$153:$B$170,0))*INDEX('Resource costs'!$C$121:$C$142, MATCH($B207, 'Resource costs'!$B$121:$B$142,0))</f>
        <v>13310.800915143303</v>
      </c>
      <c r="AF207" s="90">
        <f>INDEX(AF$153:AF$170,MATCH($B207,$B$153:$B$170,0))*INDEX('Resource costs'!$C$121:$C$142, MATCH($B207, 'Resource costs'!$B$121:$B$142,0))</f>
        <v>13430.749525125191</v>
      </c>
      <c r="AG207" s="90">
        <f>INDEX(AG$153:AG$170,MATCH($B207,$B$153:$B$170,0))*INDEX('Resource costs'!$C$121:$C$142, MATCH($B207, 'Resource costs'!$B$121:$B$142,0))</f>
        <v>13544.094150548588</v>
      </c>
      <c r="AH207" s="90">
        <f>INDEX(AH$153:AH$170,MATCH($B207,$B$153:$B$170,0))*INDEX('Resource costs'!$C$121:$C$142, MATCH($B207, 'Resource costs'!$B$121:$B$142,0))</f>
        <v>13653.654795287877</v>
      </c>
      <c r="AI207" s="90">
        <f>INDEX(AI$153:AI$170,MATCH($B207,$B$153:$B$170,0))*INDEX('Resource costs'!$C$121:$C$142, MATCH($B207, 'Resource costs'!$B$121:$B$142,0))</f>
        <v>13759.761026376529</v>
      </c>
      <c r="AJ207" s="90">
        <f>INDEX(AJ$153:AJ$170,MATCH($B207,$B$153:$B$170,0))*INDEX('Resource costs'!$C$121:$C$142, MATCH($B207, 'Resource costs'!$B$121:$B$142,0))</f>
        <v>13864.056173386247</v>
      </c>
      <c r="AK207" s="90">
        <f>INDEX(AK$153:AK$170,MATCH($B207,$B$153:$B$170,0))*INDEX('Resource costs'!$C$121:$C$142, MATCH($B207, 'Resource costs'!$B$121:$B$142,0))</f>
        <v>13964.983731180513</v>
      </c>
      <c r="AL207" s="90">
        <f>INDEX(AL$153:AL$170,MATCH($B207,$B$153:$B$170,0))*INDEX('Resource costs'!$C$121:$C$142, MATCH($B207, 'Resource costs'!$B$121:$B$142,0))</f>
        <v>14059.87404418308</v>
      </c>
      <c r="AM207" s="90">
        <f>INDEX(AM$153:AM$170,MATCH($B207,$B$153:$B$170,0))*INDEX('Resource costs'!$C$121:$C$142, MATCH($B207, 'Resource costs'!$B$121:$B$142,0))</f>
        <v>14147.384046072841</v>
      </c>
      <c r="AN207" s="90">
        <f>INDEX(AN$153:AN$170,MATCH($B207,$B$153:$B$170,0))*INDEX('Resource costs'!$C$121:$C$142, MATCH($B207, 'Resource costs'!$B$121:$B$142,0))</f>
        <v>14226.485150551827</v>
      </c>
      <c r="AO207" s="90">
        <f>INDEX(AO$153:AO$170,MATCH($B207,$B$153:$B$170,0))*INDEX('Resource costs'!$C$121:$C$142, MATCH($B207, 'Resource costs'!$B$121:$B$142,0))</f>
        <v>14296.605271779583</v>
      </c>
      <c r="AP207" s="90">
        <f>INDEX(AP$153:AP$170,MATCH($B207,$B$153:$B$170,0))*INDEX('Resource costs'!$C$121:$C$142, MATCH($B207, 'Resource costs'!$B$121:$B$142,0))</f>
        <v>14357.314413513534</v>
      </c>
      <c r="AQ207" s="90">
        <f>INDEX(AQ$153:AQ$170,MATCH($B207,$B$153:$B$170,0))*INDEX('Resource costs'!$C$121:$C$142, MATCH($B207, 'Resource costs'!$B$121:$B$142,0))</f>
        <v>14413.271837987051</v>
      </c>
      <c r="AR207" s="90">
        <f>INDEX(AR$153:AR$170,MATCH($B207,$B$153:$B$170,0))*INDEX('Resource costs'!$C$121:$C$142, MATCH($B207, 'Resource costs'!$B$121:$B$142,0))</f>
        <v>14468.526935147636</v>
      </c>
      <c r="AS207" s="90">
        <f>INDEX(AS$153:AS$170,MATCH($B207,$B$153:$B$170,0))*INDEX('Resource costs'!$C$121:$C$142, MATCH($B207, 'Resource costs'!$B$121:$B$142,0))</f>
        <v>14525.833041260508</v>
      </c>
      <c r="AT207" s="90">
        <f>INDEX(AT$153:AT$170,MATCH($B207,$B$153:$B$170,0))*INDEX('Resource costs'!$C$121:$C$142, MATCH($B207, 'Resource costs'!$B$121:$B$142,0))</f>
        <v>14567.974643724765</v>
      </c>
      <c r="AU207" s="90">
        <f>INDEX(AU$153:AU$170,MATCH($B207,$B$153:$B$170,0))*INDEX('Resource costs'!$C$121:$C$142, MATCH($B207, 'Resource costs'!$B$121:$B$142,0))</f>
        <v>14600.460552981944</v>
      </c>
      <c r="AV207" s="90">
        <f>INDEX(AV$153:AV$170,MATCH($B207,$B$153:$B$170,0))*INDEX('Resource costs'!$C$121:$C$142, MATCH($B207, 'Resource costs'!$B$121:$B$142,0))</f>
        <v>14626.805863406655</v>
      </c>
      <c r="AW207" s="90">
        <f>INDEX(AW$153:AW$170,MATCH($B207,$B$153:$B$170,0))*INDEX('Resource costs'!$C$121:$C$142, MATCH($B207, 'Resource costs'!$B$121:$B$142,0))</f>
        <v>14637.93040683007</v>
      </c>
      <c r="AX207" s="90">
        <f>INDEX(AX$153:AX$170,MATCH($B207,$B$153:$B$170,0))*INDEX('Resource costs'!$C$121:$C$142, MATCH($B207, 'Resource costs'!$B$121:$B$142,0))</f>
        <v>14640.934685753673</v>
      </c>
      <c r="AY207" s="90">
        <f>INDEX(AY$153:AY$170,MATCH($B207,$B$153:$B$170,0))*INDEX('Resource costs'!$C$121:$C$142, MATCH($B207, 'Resource costs'!$B$121:$B$142,0))</f>
        <v>14639.876986625104</v>
      </c>
      <c r="AZ207" s="90">
        <f>INDEX(AZ$153:AZ$170,MATCH($B207,$B$153:$B$170,0))*INDEX('Resource costs'!$C$121:$C$142, MATCH($B207, 'Resource costs'!$B$121:$B$142,0))</f>
        <v>14637.025634522613</v>
      </c>
      <c r="BA207" s="90">
        <f>INDEX(BA$153:BA$170,MATCH($B207,$B$153:$B$170,0))*INDEX('Resource costs'!$C$121:$C$142, MATCH($B207, 'Resource costs'!$B$121:$B$142,0))</f>
        <v>14633.60510781783</v>
      </c>
      <c r="BB207" s="90">
        <f>INDEX(BB$153:BB$170,MATCH($B207,$B$153:$B$170,0))*INDEX('Resource costs'!$C$121:$C$142, MATCH($B207, 'Resource costs'!$B$121:$B$142,0))</f>
        <v>14630.239545857432</v>
      </c>
    </row>
    <row r="208" spans="2:54" s="97" customFormat="1" ht="29">
      <c r="B208" s="6" t="s">
        <v>106</v>
      </c>
      <c r="C208" s="315"/>
      <c r="D208" s="90">
        <f>INDEX(D$153:D$170,MATCH($B208,$B$153:$B$170,0))*INDEX('Resource costs'!$C$121:$C$142, MATCH($B208, 'Resource costs'!$B$121:$B$142,0))</f>
        <v>35420.92643142429</v>
      </c>
      <c r="E208" s="90">
        <f>INDEX(E$153:E$170,MATCH($B208,$B$153:$B$170,0))*INDEX('Resource costs'!$C$121:$C$142, MATCH($B208, 'Resource costs'!$B$121:$B$142,0))</f>
        <v>36631.629830356353</v>
      </c>
      <c r="F208" s="90">
        <f>INDEX(F$153:F$170,MATCH($B208,$B$153:$B$170,0))*INDEX('Resource costs'!$C$121:$C$142, MATCH($B208, 'Resource costs'!$B$121:$B$142,0))</f>
        <v>37667.842771018622</v>
      </c>
      <c r="G208" s="90">
        <f>INDEX(G$153:G$170,MATCH($B208,$B$153:$B$170,0))*INDEX('Resource costs'!$C$121:$C$142, MATCH($B208, 'Resource costs'!$B$121:$B$142,0))</f>
        <v>38586.548031020349</v>
      </c>
      <c r="H208" s="90">
        <f>INDEX(H$153:H$170,MATCH($B208,$B$153:$B$170,0))*INDEX('Resource costs'!$C$121:$C$142, MATCH($B208, 'Resource costs'!$B$121:$B$142,0))</f>
        <v>29553.116421195085</v>
      </c>
      <c r="I208" s="90">
        <f>INDEX(I$153:I$170,MATCH($B208,$B$153:$B$170,0))*INDEX('Resource costs'!$C$121:$C$142, MATCH($B208, 'Resource costs'!$B$121:$B$142,0))</f>
        <v>26245.929126626899</v>
      </c>
      <c r="J208" s="90">
        <f>INDEX(J$153:J$170,MATCH($B208,$B$153:$B$170,0))*INDEX('Resource costs'!$C$121:$C$142, MATCH($B208, 'Resource costs'!$B$121:$B$142,0))</f>
        <v>24307.736877764284</v>
      </c>
      <c r="K208" s="90">
        <f>INDEX(K$153:K$170,MATCH($B208,$B$153:$B$170,0))*INDEX('Resource costs'!$C$121:$C$142, MATCH($B208, 'Resource costs'!$B$121:$B$142,0))</f>
        <v>23231.565698656184</v>
      </c>
      <c r="L208" s="90">
        <f>INDEX(L$153:L$170,MATCH($B208,$B$153:$B$170,0))*INDEX('Resource costs'!$C$121:$C$142, MATCH($B208, 'Resource costs'!$B$121:$B$142,0))</f>
        <v>22737.044817949394</v>
      </c>
      <c r="M208" s="90">
        <f>INDEX(M$153:M$170,MATCH($B208,$B$153:$B$170,0))*INDEX('Resource costs'!$C$121:$C$142, MATCH($B208, 'Resource costs'!$B$121:$B$142,0))</f>
        <v>22583.130140839781</v>
      </c>
      <c r="N208" s="90">
        <f>INDEX(N$153:N$170,MATCH($B208,$B$153:$B$170,0))*INDEX('Resource costs'!$C$121:$C$142, MATCH($B208, 'Resource costs'!$B$121:$B$142,0))</f>
        <v>22630.236402379709</v>
      </c>
      <c r="O208" s="90">
        <f>INDEX(O$153:O$170,MATCH($B208,$B$153:$B$170,0))*INDEX('Resource costs'!$C$121:$C$142, MATCH($B208, 'Resource costs'!$B$121:$B$142,0))</f>
        <v>22812.075795841523</v>
      </c>
      <c r="P208" s="90">
        <f>INDEX(P$153:P$170,MATCH($B208,$B$153:$B$170,0))*INDEX('Resource costs'!$C$121:$C$142, MATCH($B208, 'Resource costs'!$B$121:$B$142,0))</f>
        <v>23054.850855202338</v>
      </c>
      <c r="Q208" s="90">
        <f>INDEX(Q$153:Q$170,MATCH($B208,$B$153:$B$170,0))*INDEX('Resource costs'!$C$121:$C$142, MATCH($B208, 'Resource costs'!$B$121:$B$142,0))</f>
        <v>23328.588584364599</v>
      </c>
      <c r="R208" s="90">
        <f>INDEX(R$153:R$170,MATCH($B208,$B$153:$B$170,0))*INDEX('Resource costs'!$C$121:$C$142, MATCH($B208, 'Resource costs'!$B$121:$B$142,0))</f>
        <v>23622.238741719273</v>
      </c>
      <c r="S208" s="90">
        <f>INDEX(S$153:S$170,MATCH($B208,$B$153:$B$170,0))*INDEX('Resource costs'!$C$121:$C$142, MATCH($B208, 'Resource costs'!$B$121:$B$142,0))</f>
        <v>23926.174024475829</v>
      </c>
      <c r="T208" s="90">
        <f>INDEX(T$153:T$170,MATCH($B208,$B$153:$B$170,0))*INDEX('Resource costs'!$C$121:$C$142, MATCH($B208, 'Resource costs'!$B$121:$B$142,0))</f>
        <v>24232.696430459993</v>
      </c>
      <c r="U208" s="90">
        <f>INDEX(U$153:U$170,MATCH($B208,$B$153:$B$170,0))*INDEX('Resource costs'!$C$121:$C$142, MATCH($B208, 'Resource costs'!$B$121:$B$142,0))</f>
        <v>24542.774607250816</v>
      </c>
      <c r="V208" s="90">
        <f>INDEX(V$153:V$170,MATCH($B208,$B$153:$B$170,0))*INDEX('Resource costs'!$C$121:$C$142, MATCH($B208, 'Resource costs'!$B$121:$B$142,0))</f>
        <v>24867.905044866362</v>
      </c>
      <c r="W208" s="90">
        <f>INDEX(W$153:W$170,MATCH($B208,$B$153:$B$170,0))*INDEX('Resource costs'!$C$121:$C$142, MATCH($B208, 'Resource costs'!$B$121:$B$142,0))</f>
        <v>25188.713370475052</v>
      </c>
      <c r="X208" s="90">
        <f>INDEX(X$153:X$170,MATCH($B208,$B$153:$B$170,0))*INDEX('Resource costs'!$C$121:$C$142, MATCH($B208, 'Resource costs'!$B$121:$B$142,0))</f>
        <v>25501.850752697057</v>
      </c>
      <c r="Y208" s="90">
        <f>INDEX(Y$153:Y$170,MATCH($B208,$B$153:$B$170,0))*INDEX('Resource costs'!$C$121:$C$142, MATCH($B208, 'Resource costs'!$B$121:$B$142,0))</f>
        <v>25814.540038068182</v>
      </c>
      <c r="Z208" s="90">
        <f>INDEX(Z$153:Z$170,MATCH($B208,$B$153:$B$170,0))*INDEX('Resource costs'!$C$121:$C$142, MATCH($B208, 'Resource costs'!$B$121:$B$142,0))</f>
        <v>26122.722032868605</v>
      </c>
      <c r="AA208" s="90">
        <f>INDEX(AA$153:AA$170,MATCH($B208,$B$153:$B$170,0))*INDEX('Resource costs'!$C$121:$C$142, MATCH($B208, 'Resource costs'!$B$121:$B$142,0))</f>
        <v>26423.712836074152</v>
      </c>
      <c r="AB208" s="90">
        <f>INDEX(AB$153:AB$170,MATCH($B208,$B$153:$B$170,0))*INDEX('Resource costs'!$C$121:$C$142, MATCH($B208, 'Resource costs'!$B$121:$B$142,0))</f>
        <v>26715.895667289737</v>
      </c>
      <c r="AC208" s="90">
        <f>INDEX(AC$153:AC$170,MATCH($B208,$B$153:$B$170,0))*INDEX('Resource costs'!$C$121:$C$142, MATCH($B208, 'Resource costs'!$B$121:$B$142,0))</f>
        <v>27001.473780207951</v>
      </c>
      <c r="AD208" s="90">
        <f>INDEX(AD$153:AD$170,MATCH($B208,$B$153:$B$170,0))*INDEX('Resource costs'!$C$121:$C$142, MATCH($B208, 'Resource costs'!$B$121:$B$142,0))</f>
        <v>27277.056554156898</v>
      </c>
      <c r="AE208" s="90">
        <f>INDEX(AE$153:AE$170,MATCH($B208,$B$153:$B$170,0))*INDEX('Resource costs'!$C$121:$C$142, MATCH($B208, 'Resource costs'!$B$121:$B$142,0))</f>
        <v>27539.813141659026</v>
      </c>
      <c r="AF208" s="90">
        <f>INDEX(AF$153:AF$170,MATCH($B208,$B$153:$B$170,0))*INDEX('Resource costs'!$C$121:$C$142, MATCH($B208, 'Resource costs'!$B$121:$B$142,0))</f>
        <v>27787.984707484553</v>
      </c>
      <c r="AG208" s="90">
        <f>INDEX(AG$153:AG$170,MATCH($B208,$B$153:$B$170,0))*INDEX('Resource costs'!$C$121:$C$142, MATCH($B208, 'Resource costs'!$B$121:$B$142,0))</f>
        <v>28022.49274533075</v>
      </c>
      <c r="AH208" s="90">
        <f>INDEX(AH$153:AH$170,MATCH($B208,$B$153:$B$170,0))*INDEX('Resource costs'!$C$121:$C$142, MATCH($B208, 'Resource costs'!$B$121:$B$142,0))</f>
        <v>28249.1717936491</v>
      </c>
      <c r="AI208" s="90">
        <f>INDEX(AI$153:AI$170,MATCH($B208,$B$153:$B$170,0))*INDEX('Resource costs'!$C$121:$C$142, MATCH($B208, 'Resource costs'!$B$121:$B$142,0))</f>
        <v>28468.703720839352</v>
      </c>
      <c r="AJ208" s="90">
        <f>INDEX(AJ$153:AJ$170,MATCH($B208,$B$153:$B$170,0))*INDEX('Resource costs'!$C$121:$C$142, MATCH($B208, 'Resource costs'!$B$121:$B$142,0))</f>
        <v>28684.488546902056</v>
      </c>
      <c r="AK208" s="90">
        <f>INDEX(AK$153:AK$170,MATCH($B208,$B$153:$B$170,0))*INDEX('Resource costs'!$C$121:$C$142, MATCH($B208, 'Resource costs'!$B$121:$B$142,0))</f>
        <v>28893.305890067026</v>
      </c>
      <c r="AL208" s="90">
        <f>INDEX(AL$153:AL$170,MATCH($B208,$B$153:$B$170,0))*INDEX('Resource costs'!$C$121:$C$142, MATCH($B208, 'Resource costs'!$B$121:$B$142,0))</f>
        <v>29089.6322798691</v>
      </c>
      <c r="AM208" s="90">
        <f>INDEX(AM$153:AM$170,MATCH($B208,$B$153:$B$170,0))*INDEX('Resource costs'!$C$121:$C$142, MATCH($B208, 'Resource costs'!$B$121:$B$142,0))</f>
        <v>29270.688935695758</v>
      </c>
      <c r="AN208" s="90">
        <f>INDEX(AN$153:AN$170,MATCH($B208,$B$153:$B$170,0))*INDEX('Resource costs'!$C$121:$C$142, MATCH($B208, 'Resource costs'!$B$121:$B$142,0))</f>
        <v>29434.347730575024</v>
      </c>
      <c r="AO208" s="90">
        <f>INDEX(AO$153:AO$170,MATCH($B208,$B$153:$B$170,0))*INDEX('Resource costs'!$C$121:$C$142, MATCH($B208, 'Resource costs'!$B$121:$B$142,0))</f>
        <v>29579.425028958016</v>
      </c>
      <c r="AP208" s="90">
        <f>INDEX(AP$153:AP$170,MATCH($B208,$B$153:$B$170,0))*INDEX('Resource costs'!$C$121:$C$142, MATCH($B208, 'Resource costs'!$B$121:$B$142,0))</f>
        <v>29705.031176176508</v>
      </c>
      <c r="AQ208" s="90">
        <f>INDEX(AQ$153:AQ$170,MATCH($B208,$B$153:$B$170,0))*INDEX('Resource costs'!$C$121:$C$142, MATCH($B208, 'Resource costs'!$B$121:$B$142,0))</f>
        <v>29820.806103899748</v>
      </c>
      <c r="AR208" s="90">
        <f>INDEX(AR$153:AR$170,MATCH($B208,$B$153:$B$170,0))*INDEX('Resource costs'!$C$121:$C$142, MATCH($B208, 'Resource costs'!$B$121:$B$142,0))</f>
        <v>29935.127928756698</v>
      </c>
      <c r="AS208" s="90">
        <f>INDEX(AS$153:AS$170,MATCH($B208,$B$153:$B$170,0))*INDEX('Resource costs'!$C$121:$C$142, MATCH($B208, 'Resource costs'!$B$121:$B$142,0))</f>
        <v>30053.693255087212</v>
      </c>
      <c r="AT208" s="90">
        <f>INDEX(AT$153:AT$170,MATCH($B208,$B$153:$B$170,0))*INDEX('Resource costs'!$C$121:$C$142, MATCH($B208, 'Resource costs'!$B$121:$B$142,0))</f>
        <v>30140.883489901364</v>
      </c>
      <c r="AU208" s="90">
        <f>INDEX(AU$153:AU$170,MATCH($B208,$B$153:$B$170,0))*INDEX('Resource costs'!$C$121:$C$142, MATCH($B208, 'Resource costs'!$B$121:$B$142,0))</f>
        <v>30208.096265179349</v>
      </c>
      <c r="AV208" s="90">
        <f>INDEX(AV$153:AV$170,MATCH($B208,$B$153:$B$170,0))*INDEX('Resource costs'!$C$121:$C$142, MATCH($B208, 'Resource costs'!$B$121:$B$142,0))</f>
        <v>30262.604249400654</v>
      </c>
      <c r="AW208" s="90">
        <f>INDEX(AW$153:AW$170,MATCH($B208,$B$153:$B$170,0))*INDEX('Resource costs'!$C$121:$C$142, MATCH($B208, 'Resource costs'!$B$121:$B$142,0))</f>
        <v>30285.62073421778</v>
      </c>
      <c r="AX208" s="90">
        <f>INDEX(AX$153:AX$170,MATCH($B208,$B$153:$B$170,0))*INDEX('Resource costs'!$C$121:$C$142, MATCH($B208, 'Resource costs'!$B$121:$B$142,0))</f>
        <v>30291.836534507253</v>
      </c>
      <c r="AY208" s="90">
        <f>INDEX(AY$153:AY$170,MATCH($B208,$B$153:$B$170,0))*INDEX('Resource costs'!$C$121:$C$142, MATCH($B208, 'Resource costs'!$B$121:$B$142,0))</f>
        <v>30289.648173600453</v>
      </c>
      <c r="AZ208" s="90">
        <f>INDEX(AZ$153:AZ$170,MATCH($B208,$B$153:$B$170,0))*INDEX('Resource costs'!$C$121:$C$142, MATCH($B208, 'Resource costs'!$B$121:$B$142,0))</f>
        <v>30283.748776216009</v>
      </c>
      <c r="BA208" s="90">
        <f>INDEX(BA$153:BA$170,MATCH($B208,$B$153:$B$170,0))*INDEX('Resource costs'!$C$121:$C$142, MATCH($B208, 'Resource costs'!$B$121:$B$142,0))</f>
        <v>30276.671766583277</v>
      </c>
      <c r="BB208" s="90">
        <f>INDEX(BB$153:BB$170,MATCH($B208,$B$153:$B$170,0))*INDEX('Resource costs'!$C$121:$C$142, MATCH($B208, 'Resource costs'!$B$121:$B$142,0))</f>
        <v>30269.708478040619</v>
      </c>
    </row>
    <row r="209" spans="2:54" ht="29">
      <c r="B209" s="6" t="s">
        <v>107</v>
      </c>
      <c r="C209" s="52"/>
      <c r="D209" s="90">
        <f>INDEX(D$153:D$170,MATCH($B209,$B$153:$B$170,0))*INDEX('Resource costs'!$C$121:$C$142, MATCH($B209, 'Resource costs'!$B$121:$B$142,0))</f>
        <v>80475.017747883525</v>
      </c>
      <c r="E209" s="90">
        <f>INDEX(E$153:E$170,MATCH($B209,$B$153:$B$170,0))*INDEX('Resource costs'!$C$121:$C$142, MATCH($B209, 'Resource costs'!$B$121:$B$142,0))</f>
        <v>83225.690509227323</v>
      </c>
      <c r="F209" s="90">
        <f>INDEX(F$153:F$170,MATCH($B209,$B$153:$B$170,0))*INDEX('Resource costs'!$C$121:$C$142, MATCH($B209, 'Resource costs'!$B$121:$B$142,0))</f>
        <v>85579.927486959292</v>
      </c>
      <c r="G209" s="90">
        <f>INDEX(G$153:G$170,MATCH($B209,$B$153:$B$170,0))*INDEX('Resource costs'!$C$121:$C$142, MATCH($B209, 'Resource costs'!$B$121:$B$142,0))</f>
        <v>87667.191416852482</v>
      </c>
      <c r="H209" s="90">
        <f>INDEX(H$153:H$170,MATCH($B209,$B$153:$B$170,0))*INDEX('Resource costs'!$C$121:$C$142, MATCH($B209, 'Resource costs'!$B$121:$B$142,0))</f>
        <v>67143.573251969035</v>
      </c>
      <c r="I209" s="90">
        <f>INDEX(I$153:I$170,MATCH($B209,$B$153:$B$170,0))*INDEX('Resource costs'!$C$121:$C$142, MATCH($B209, 'Resource costs'!$B$121:$B$142,0))</f>
        <v>59629.767628019188</v>
      </c>
      <c r="J209" s="90">
        <f>INDEX(J$153:J$170,MATCH($B209,$B$153:$B$170,0))*INDEX('Resource costs'!$C$121:$C$142, MATCH($B209, 'Resource costs'!$B$121:$B$142,0))</f>
        <v>55226.26745622095</v>
      </c>
      <c r="K209" s="90">
        <f>INDEX(K$153:K$170,MATCH($B209,$B$153:$B$170,0))*INDEX('Resource costs'!$C$121:$C$142, MATCH($B209, 'Resource costs'!$B$121:$B$142,0))</f>
        <v>52781.246857842365</v>
      </c>
      <c r="L209" s="90">
        <f>INDEX(L$153:L$170,MATCH($B209,$B$153:$B$170,0))*INDEX('Resource costs'!$C$121:$C$142, MATCH($B209, 'Resource costs'!$B$121:$B$142,0))</f>
        <v>51657.713944929295</v>
      </c>
      <c r="M209" s="90">
        <f>INDEX(M$153:M$170,MATCH($B209,$B$153:$B$170,0))*INDEX('Resource costs'!$C$121:$C$142, MATCH($B209, 'Resource costs'!$B$121:$B$142,0))</f>
        <v>51308.02556520731</v>
      </c>
      <c r="N209" s="90">
        <f>INDEX(N$153:N$170,MATCH($B209,$B$153:$B$170,0))*INDEX('Resource costs'!$C$121:$C$142, MATCH($B209, 'Resource costs'!$B$121:$B$142,0))</f>
        <v>51415.049226511081</v>
      </c>
      <c r="O209" s="90">
        <f>INDEX(O$153:O$170,MATCH($B209,$B$153:$B$170,0))*INDEX('Resource costs'!$C$121:$C$142, MATCH($B209, 'Resource costs'!$B$121:$B$142,0))</f>
        <v>51828.181515539</v>
      </c>
      <c r="P209" s="90">
        <f>INDEX(P$153:P$170,MATCH($B209,$B$153:$B$170,0))*INDEX('Resource costs'!$C$121:$C$142, MATCH($B209, 'Resource costs'!$B$121:$B$142,0))</f>
        <v>52379.757354432695</v>
      </c>
      <c r="Q209" s="90">
        <f>INDEX(Q$153:Q$170,MATCH($B209,$B$153:$B$170,0))*INDEX('Resource costs'!$C$121:$C$142, MATCH($B209, 'Resource costs'!$B$121:$B$142,0))</f>
        <v>53001.67921904703</v>
      </c>
      <c r="R209" s="90">
        <f>INDEX(R$153:R$170,MATCH($B209,$B$153:$B$170,0))*INDEX('Resource costs'!$C$121:$C$142, MATCH($B209, 'Resource costs'!$B$121:$B$142,0))</f>
        <v>53668.841374462056</v>
      </c>
      <c r="S209" s="90">
        <f>INDEX(S$153:S$170,MATCH($B209,$B$153:$B$170,0))*INDEX('Resource costs'!$C$121:$C$142, MATCH($B209, 'Resource costs'!$B$121:$B$142,0))</f>
        <v>54359.370949440723</v>
      </c>
      <c r="T209" s="90">
        <f>INDEX(T$153:T$170,MATCH($B209,$B$153:$B$170,0))*INDEX('Resource costs'!$C$121:$C$142, MATCH($B209, 'Resource costs'!$B$121:$B$142,0))</f>
        <v>55055.778371461609</v>
      </c>
      <c r="U209" s="90">
        <f>INDEX(U$153:U$170,MATCH($B209,$B$153:$B$170,0))*INDEX('Resource costs'!$C$121:$C$142, MATCH($B209, 'Resource costs'!$B$121:$B$142,0))</f>
        <v>55760.264371532314</v>
      </c>
      <c r="V209" s="90">
        <f>INDEX(V$153:V$170,MATCH($B209,$B$153:$B$170,0))*INDEX('Resource costs'!$C$121:$C$142, MATCH($B209, 'Resource costs'!$B$121:$B$142,0))</f>
        <v>56498.948544238629</v>
      </c>
      <c r="W209" s="90">
        <f>INDEX(W$153:W$170,MATCH($B209,$B$153:$B$170,0))*INDEX('Resource costs'!$C$121:$C$142, MATCH($B209, 'Resource costs'!$B$121:$B$142,0))</f>
        <v>57227.81304040055</v>
      </c>
      <c r="X209" s="90">
        <f>INDEX(X$153:X$170,MATCH($B209,$B$153:$B$170,0))*INDEX('Resource costs'!$C$121:$C$142, MATCH($B209, 'Resource costs'!$B$121:$B$142,0))</f>
        <v>57939.249440592641</v>
      </c>
      <c r="Y209" s="90">
        <f>INDEX(Y$153:Y$170,MATCH($B209,$B$153:$B$170,0))*INDEX('Resource costs'!$C$121:$C$142, MATCH($B209, 'Resource costs'!$B$121:$B$142,0))</f>
        <v>58649.667781528231</v>
      </c>
      <c r="Z209" s="90">
        <f>INDEX(Z$153:Z$170,MATCH($B209,$B$153:$B$170,0))*INDEX('Resource costs'!$C$121:$C$142, MATCH($B209, 'Resource costs'!$B$121:$B$142,0))</f>
        <v>59349.845727160384</v>
      </c>
      <c r="AA209" s="90">
        <f>INDEX(AA$153:AA$170,MATCH($B209,$B$153:$B$170,0))*INDEX('Resource costs'!$C$121:$C$142, MATCH($B209, 'Resource costs'!$B$121:$B$142,0))</f>
        <v>60033.685554919022</v>
      </c>
      <c r="AB209" s="90">
        <f>INDEX(AB$153:AB$170,MATCH($B209,$B$153:$B$170,0))*INDEX('Resource costs'!$C$121:$C$142, MATCH($B209, 'Resource costs'!$B$121:$B$142,0))</f>
        <v>60697.514000321869</v>
      </c>
      <c r="AC209" s="90">
        <f>INDEX(AC$153:AC$170,MATCH($B209,$B$153:$B$170,0))*INDEX('Resource costs'!$C$121:$C$142, MATCH($B209, 'Resource costs'!$B$121:$B$142,0))</f>
        <v>61346.336773209914</v>
      </c>
      <c r="AD209" s="90">
        <f>INDEX(AD$153:AD$170,MATCH($B209,$B$153:$B$170,0))*INDEX('Resource costs'!$C$121:$C$142, MATCH($B209, 'Resource costs'!$B$121:$B$142,0))</f>
        <v>61972.450510451898</v>
      </c>
      <c r="AE209" s="90">
        <f>INDEX(AE$153:AE$170,MATCH($B209,$B$153:$B$170,0))*INDEX('Resource costs'!$C$121:$C$142, MATCH($B209, 'Resource costs'!$B$121:$B$142,0))</f>
        <v>62569.423632641265</v>
      </c>
      <c r="AF209" s="90">
        <f>INDEX(AF$153:AF$170,MATCH($B209,$B$153:$B$170,0))*INDEX('Resource costs'!$C$121:$C$142, MATCH($B209, 'Resource costs'!$B$121:$B$142,0))</f>
        <v>63133.26013203364</v>
      </c>
      <c r="AG209" s="90">
        <f>INDEX(AG$153:AG$170,MATCH($B209,$B$153:$B$170,0))*INDEX('Resource costs'!$C$121:$C$142, MATCH($B209, 'Resource costs'!$B$121:$B$142,0))</f>
        <v>63666.053607783942</v>
      </c>
      <c r="AH209" s="90">
        <f>INDEX(AH$153:AH$170,MATCH($B209,$B$153:$B$170,0))*INDEX('Resource costs'!$C$121:$C$142, MATCH($B209, 'Resource costs'!$B$121:$B$142,0))</f>
        <v>64181.059912653167</v>
      </c>
      <c r="AI209" s="90">
        <f>INDEX(AI$153:AI$170,MATCH($B209,$B$153:$B$170,0))*INDEX('Resource costs'!$C$121:$C$142, MATCH($B209, 'Resource costs'!$B$121:$B$142,0))</f>
        <v>64679.828226098216</v>
      </c>
      <c r="AJ209" s="90">
        <f>INDEX(AJ$153:AJ$170,MATCH($B209,$B$153:$B$170,0))*INDEX('Resource costs'!$C$121:$C$142, MATCH($B209, 'Resource costs'!$B$121:$B$142,0))</f>
        <v>65170.083266172878</v>
      </c>
      <c r="AK209" s="90">
        <f>INDEX(AK$153:AK$170,MATCH($B209,$B$153:$B$170,0))*INDEX('Resource costs'!$C$121:$C$142, MATCH($B209, 'Resource costs'!$B$121:$B$142,0))</f>
        <v>65644.508446152322</v>
      </c>
      <c r="AL209" s="90">
        <f>INDEX(AL$153:AL$170,MATCH($B209,$B$153:$B$170,0))*INDEX('Resource costs'!$C$121:$C$142, MATCH($B209, 'Resource costs'!$B$121:$B$142,0))</f>
        <v>66090.554648085745</v>
      </c>
      <c r="AM209" s="90">
        <f>INDEX(AM$153:AM$170,MATCH($B209,$B$153:$B$170,0))*INDEX('Resource costs'!$C$121:$C$142, MATCH($B209, 'Resource costs'!$B$121:$B$142,0))</f>
        <v>66501.908586533158</v>
      </c>
      <c r="AN209" s="90">
        <f>INDEX(AN$153:AN$170,MATCH($B209,$B$153:$B$170,0))*INDEX('Resource costs'!$C$121:$C$142, MATCH($B209, 'Resource costs'!$B$121:$B$142,0))</f>
        <v>66873.735236748078</v>
      </c>
      <c r="AO209" s="90">
        <f>INDEX(AO$153:AO$170,MATCH($B209,$B$153:$B$170,0))*INDEX('Resource costs'!$C$121:$C$142, MATCH($B209, 'Resource costs'!$B$121:$B$142,0))</f>
        <v>67203.345423110382</v>
      </c>
      <c r="AP209" s="90">
        <f>INDEX(AP$153:AP$170,MATCH($B209,$B$153:$B$170,0))*INDEX('Resource costs'!$C$121:$C$142, MATCH($B209, 'Resource costs'!$B$121:$B$142,0))</f>
        <v>67488.717883546182</v>
      </c>
      <c r="AQ209" s="90">
        <f>INDEX(AQ$153:AQ$170,MATCH($B209,$B$153:$B$170,0))*INDEX('Resource costs'!$C$121:$C$142, MATCH($B209, 'Resource costs'!$B$121:$B$142,0))</f>
        <v>67751.754181631884</v>
      </c>
      <c r="AR209" s="90">
        <f>INDEX(AR$153:AR$170,MATCH($B209,$B$153:$B$170,0))*INDEX('Resource costs'!$C$121:$C$142, MATCH($B209, 'Resource costs'!$B$121:$B$142,0))</f>
        <v>68011.489084448287</v>
      </c>
      <c r="AS209" s="90">
        <f>INDEX(AS$153:AS$170,MATCH($B209,$B$153:$B$170,0))*INDEX('Resource costs'!$C$121:$C$142, MATCH($B209, 'Resource costs'!$B$121:$B$142,0))</f>
        <v>68280.865063622769</v>
      </c>
      <c r="AT209" s="90">
        <f>INDEX(AT$153:AT$170,MATCH($B209,$B$153:$B$170,0))*INDEX('Resource costs'!$C$121:$C$142, MATCH($B209, 'Resource costs'!$B$121:$B$142,0))</f>
        <v>68478.958010392394</v>
      </c>
      <c r="AU209" s="90">
        <f>INDEX(AU$153:AU$170,MATCH($B209,$B$153:$B$170,0))*INDEX('Resource costs'!$C$121:$C$142, MATCH($B209, 'Resource costs'!$B$121:$B$142,0))</f>
        <v>68631.662917584836</v>
      </c>
      <c r="AV209" s="90">
        <f>INDEX(AV$153:AV$170,MATCH($B209,$B$153:$B$170,0))*INDEX('Resource costs'!$C$121:$C$142, MATCH($B209, 'Resource costs'!$B$121:$B$142,0))</f>
        <v>68755.503015502749</v>
      </c>
      <c r="AW209" s="90">
        <f>INDEX(AW$153:AW$170,MATCH($B209,$B$153:$B$170,0))*INDEX('Resource costs'!$C$121:$C$142, MATCH($B209, 'Resource costs'!$B$121:$B$142,0))</f>
        <v>68807.795606656102</v>
      </c>
      <c r="AX209" s="90">
        <f>INDEX(AX$153:AX$170,MATCH($B209,$B$153:$B$170,0))*INDEX('Resource costs'!$C$121:$C$142, MATCH($B209, 'Resource costs'!$B$121:$B$142,0))</f>
        <v>68821.91767202843</v>
      </c>
      <c r="AY209" s="90">
        <f>INDEX(AY$153:AY$170,MATCH($B209,$B$153:$B$170,0))*INDEX('Resource costs'!$C$121:$C$142, MATCH($B209, 'Resource costs'!$B$121:$B$142,0))</f>
        <v>68816.945798038782</v>
      </c>
      <c r="AZ209" s="90">
        <f>INDEX(AZ$153:AZ$170,MATCH($B209,$B$153:$B$170,0))*INDEX('Resource costs'!$C$121:$C$142, MATCH($B209, 'Resource costs'!$B$121:$B$142,0))</f>
        <v>68803.54258821212</v>
      </c>
      <c r="BA209" s="90">
        <f>INDEX(BA$153:BA$170,MATCH($B209,$B$153:$B$170,0))*INDEX('Resource costs'!$C$121:$C$142, MATCH($B209, 'Resource costs'!$B$121:$B$142,0))</f>
        <v>68787.463887478574</v>
      </c>
      <c r="BB209" s="90">
        <f>INDEX(BB$153:BB$170,MATCH($B209,$B$153:$B$170,0))*INDEX('Resource costs'!$C$121:$C$142, MATCH($B209, 'Resource costs'!$B$121:$B$142,0))</f>
        <v>68771.643556800918</v>
      </c>
    </row>
    <row r="210" spans="2:54" s="97" customFormat="1">
      <c r="B210" s="6" t="s">
        <v>2863</v>
      </c>
      <c r="C210" s="315"/>
      <c r="D210" s="90">
        <f>INDEX(D$153:D$170,MATCH($B210,$B$153:$B$170,0))*INDEX('Resource costs'!$C$121:$C$142, MATCH($B210, 'Resource costs'!$B$121:$B$142,0))</f>
        <v>5403.7816167664669</v>
      </c>
      <c r="E210" s="90">
        <f>INDEX(E$153:E$170,MATCH($B210,$B$153:$B$170,0))*INDEX('Resource costs'!$C$121:$C$142, MATCH($B210, 'Resource costs'!$B$121:$B$142,0))</f>
        <v>5588.4853337393124</v>
      </c>
      <c r="F210" s="90">
        <f>INDEX(F$153:F$170,MATCH($B210,$B$153:$B$170,0))*INDEX('Resource costs'!$C$121:$C$142, MATCH($B210, 'Resource costs'!$B$121:$B$142,0))</f>
        <v>5746.5689584194015</v>
      </c>
      <c r="G210" s="90">
        <f>INDEX(G$153:G$170,MATCH($B210,$B$153:$B$170,0))*INDEX('Resource costs'!$C$121:$C$142, MATCH($B210, 'Resource costs'!$B$121:$B$142,0))</f>
        <v>5886.7257271825029</v>
      </c>
      <c r="H210" s="90">
        <f>INDEX(H$153:H$170,MATCH($B210,$B$153:$B$170,0))*INDEX('Resource costs'!$C$121:$C$142, MATCH($B210, 'Resource costs'!$B$121:$B$142,0))</f>
        <v>4106.919540891935</v>
      </c>
      <c r="I210" s="90">
        <f>INDEX(I$153:I$170,MATCH($B210,$B$153:$B$170,0))*INDEX('Resource costs'!$C$121:$C$142, MATCH($B210, 'Resource costs'!$B$121:$B$142,0))</f>
        <v>3647.3283447597209</v>
      </c>
      <c r="J210" s="90">
        <f>INDEX(J$153:J$170,MATCH($B210,$B$153:$B$170,0))*INDEX('Resource costs'!$C$121:$C$142, MATCH($B210, 'Resource costs'!$B$121:$B$142,0))</f>
        <v>3377.9828210114924</v>
      </c>
      <c r="K210" s="90">
        <f>INDEX(K$153:K$170,MATCH($B210,$B$153:$B$170,0))*INDEX('Resource costs'!$C$121:$C$142, MATCH($B210, 'Resource costs'!$B$121:$B$142,0))</f>
        <v>3228.4301179451591</v>
      </c>
      <c r="L210" s="90">
        <f>INDEX(L$153:L$170,MATCH($B210,$B$153:$B$170,0))*INDEX('Resource costs'!$C$121:$C$142, MATCH($B210, 'Resource costs'!$B$121:$B$142,0))</f>
        <v>3159.7078404226022</v>
      </c>
      <c r="M210" s="90">
        <f>INDEX(M$153:M$170,MATCH($B210,$B$153:$B$170,0))*INDEX('Resource costs'!$C$121:$C$142, MATCH($B210, 'Resource costs'!$B$121:$B$142,0))</f>
        <v>3138.3187190168405</v>
      </c>
      <c r="N210" s="90">
        <f>INDEX(N$153:N$170,MATCH($B210,$B$153:$B$170,0))*INDEX('Resource costs'!$C$121:$C$142, MATCH($B210, 'Resource costs'!$B$121:$B$142,0))</f>
        <v>3144.8649533719408</v>
      </c>
      <c r="O210" s="90">
        <f>INDEX(O$153:O$170,MATCH($B210,$B$153:$B$170,0))*INDEX('Resource costs'!$C$121:$C$142, MATCH($B210, 'Resource costs'!$B$121:$B$142,0))</f>
        <v>3170.1346998064209</v>
      </c>
      <c r="P210" s="90">
        <f>INDEX(P$153:P$170,MATCH($B210,$B$153:$B$170,0))*INDEX('Resource costs'!$C$121:$C$142, MATCH($B210, 'Resource costs'!$B$121:$B$142,0))</f>
        <v>3203.8725168650321</v>
      </c>
      <c r="Q210" s="90">
        <f>INDEX(Q$153:Q$170,MATCH($B210,$B$153:$B$170,0))*INDEX('Resource costs'!$C$121:$C$142, MATCH($B210, 'Resource costs'!$B$121:$B$142,0))</f>
        <v>3241.9131354229316</v>
      </c>
      <c r="R210" s="90">
        <f>INDEX(R$153:R$170,MATCH($B210,$B$153:$B$170,0))*INDEX('Resource costs'!$C$121:$C$142, MATCH($B210, 'Resource costs'!$B$121:$B$142,0))</f>
        <v>3282.7209322128829</v>
      </c>
      <c r="S210" s="90">
        <f>INDEX(S$153:S$170,MATCH($B210,$B$153:$B$170,0))*INDEX('Resource costs'!$C$121:$C$142, MATCH($B210, 'Resource costs'!$B$121:$B$142,0))</f>
        <v>3324.9580260655025</v>
      </c>
      <c r="T210" s="90">
        <f>INDEX(T$153:T$170,MATCH($B210,$B$153:$B$170,0))*INDEX('Resource costs'!$C$121:$C$142, MATCH($B210, 'Resource costs'!$B$121:$B$142,0))</f>
        <v>3367.5546456881543</v>
      </c>
      <c r="U210" s="90">
        <f>INDEX(U$153:U$170,MATCH($B210,$B$153:$B$170,0))*INDEX('Resource costs'!$C$121:$C$142, MATCH($B210, 'Resource costs'!$B$121:$B$142,0))</f>
        <v>3410.6454015095287</v>
      </c>
      <c r="V210" s="90">
        <f>INDEX(V$153:V$170,MATCH($B210,$B$153:$B$170,0))*INDEX('Resource costs'!$C$121:$C$142, MATCH($B210, 'Resource costs'!$B$121:$B$142,0))</f>
        <v>3455.827930774848</v>
      </c>
      <c r="W210" s="90">
        <f>INDEX(W$153:W$170,MATCH($B210,$B$153:$B$170,0))*INDEX('Resource costs'!$C$121:$C$142, MATCH($B210, 'Resource costs'!$B$121:$B$142,0))</f>
        <v>3500.4098274027865</v>
      </c>
      <c r="X210" s="90">
        <f>INDEX(X$153:X$170,MATCH($B210,$B$153:$B$170,0))*INDEX('Resource costs'!$C$121:$C$142, MATCH($B210, 'Resource costs'!$B$121:$B$142,0))</f>
        <v>3543.925713027254</v>
      </c>
      <c r="Y210" s="90">
        <f>INDEX(Y$153:Y$170,MATCH($B210,$B$153:$B$170,0))*INDEX('Resource costs'!$C$121:$C$142, MATCH($B210, 'Resource costs'!$B$121:$B$142,0))</f>
        <v>3587.379327800591</v>
      </c>
      <c r="Z210" s="90">
        <f>INDEX(Z$153:Z$170,MATCH($B210,$B$153:$B$170,0))*INDEX('Resource costs'!$C$121:$C$142, MATCH($B210, 'Resource costs'!$B$121:$B$142,0))</f>
        <v>3630.2065761543113</v>
      </c>
      <c r="AA210" s="90">
        <f>INDEX(AA$153:AA$170,MATCH($B210,$B$153:$B$170,0))*INDEX('Resource costs'!$C$121:$C$142, MATCH($B210, 'Resource costs'!$B$121:$B$142,0))</f>
        <v>3672.0344833603031</v>
      </c>
      <c r="AB210" s="90">
        <f>INDEX(AB$153:AB$170,MATCH($B210,$B$153:$B$170,0))*INDEX('Resource costs'!$C$121:$C$142, MATCH($B210, 'Resource costs'!$B$121:$B$142,0))</f>
        <v>3712.6383696621829</v>
      </c>
      <c r="AC210" s="90">
        <f>INDEX(AC$153:AC$170,MATCH($B210,$B$153:$B$170,0))*INDEX('Resource costs'!$C$121:$C$142, MATCH($B210, 'Resource costs'!$B$121:$B$142,0))</f>
        <v>3752.3244154814888</v>
      </c>
      <c r="AD210" s="90">
        <f>INDEX(AD$153:AD$170,MATCH($B210,$B$153:$B$170,0))*INDEX('Resource costs'!$C$121:$C$142, MATCH($B210, 'Resource costs'!$B$121:$B$142,0))</f>
        <v>3790.6214351031631</v>
      </c>
      <c r="AE210" s="90">
        <f>INDEX(AE$153:AE$170,MATCH($B210,$B$153:$B$170,0))*INDEX('Resource costs'!$C$121:$C$142, MATCH($B210, 'Resource costs'!$B$121:$B$142,0))</f>
        <v>3827.1360330335747</v>
      </c>
      <c r="AF210" s="90">
        <f>INDEX(AF$153:AF$170,MATCH($B210,$B$153:$B$170,0))*INDEX('Resource costs'!$C$121:$C$142, MATCH($B210, 'Resource costs'!$B$121:$B$142,0))</f>
        <v>3861.6237885263126</v>
      </c>
      <c r="AG210" s="90">
        <f>INDEX(AG$153:AG$170,MATCH($B210,$B$153:$B$170,0))*INDEX('Resource costs'!$C$121:$C$142, MATCH($B210, 'Resource costs'!$B$121:$B$142,0))</f>
        <v>3894.2127591580547</v>
      </c>
      <c r="AH210" s="90">
        <f>INDEX(AH$153:AH$170,MATCH($B210,$B$153:$B$170,0))*INDEX('Resource costs'!$C$121:$C$142, MATCH($B210, 'Resource costs'!$B$121:$B$142,0))</f>
        <v>3925.7137555261315</v>
      </c>
      <c r="AI210" s="90">
        <f>INDEX(AI$153:AI$170,MATCH($B210,$B$153:$B$170,0))*INDEX('Resource costs'!$C$121:$C$142, MATCH($B210, 'Resource costs'!$B$121:$B$142,0))</f>
        <v>3956.2215351043524</v>
      </c>
      <c r="AJ210" s="90">
        <f>INDEX(AJ$153:AJ$170,MATCH($B210,$B$153:$B$170,0))*INDEX('Resource costs'!$C$121:$C$142, MATCH($B210, 'Resource costs'!$B$121:$B$142,0))</f>
        <v>3986.208589807974</v>
      </c>
      <c r="AK210" s="90">
        <f>INDEX(AK$153:AK$170,MATCH($B210,$B$153:$B$170,0))*INDEX('Resource costs'!$C$121:$C$142, MATCH($B210, 'Resource costs'!$B$121:$B$142,0))</f>
        <v>4015.2273915782771</v>
      </c>
      <c r="AL210" s="90">
        <f>INDEX(AL$153:AL$170,MATCH($B210,$B$153:$B$170,0))*INDEX('Resource costs'!$C$121:$C$142, MATCH($B210, 'Resource costs'!$B$121:$B$142,0))</f>
        <v>4042.5103581250014</v>
      </c>
      <c r="AM210" s="90">
        <f>INDEX(AM$153:AM$170,MATCH($B210,$B$153:$B$170,0))*INDEX('Resource costs'!$C$121:$C$142, MATCH($B210, 'Resource costs'!$B$121:$B$142,0))</f>
        <v>4067.6713295510049</v>
      </c>
      <c r="AN210" s="90">
        <f>INDEX(AN$153:AN$170,MATCH($B210,$B$153:$B$170,0))*INDEX('Resource costs'!$C$121:$C$142, MATCH($B210, 'Resource costs'!$B$121:$B$142,0))</f>
        <v>4090.4145655992488</v>
      </c>
      <c r="AO210" s="90">
        <f>INDEX(AO$153:AO$170,MATCH($B210,$B$153:$B$170,0))*INDEX('Resource costs'!$C$121:$C$142, MATCH($B210, 'Resource costs'!$B$121:$B$142,0))</f>
        <v>4110.5755795233717</v>
      </c>
      <c r="AP210" s="90">
        <f>INDEX(AP$153:AP$170,MATCH($B210,$B$153:$B$170,0))*INDEX('Resource costs'!$C$121:$C$142, MATCH($B210, 'Resource costs'!$B$121:$B$142,0))</f>
        <v>4128.0307383335539</v>
      </c>
      <c r="AQ210" s="90">
        <f>INDEX(AQ$153:AQ$170,MATCH($B210,$B$153:$B$170,0))*INDEX('Resource costs'!$C$121:$C$142, MATCH($B210, 'Resource costs'!$B$121:$B$142,0))</f>
        <v>4144.1196782015304</v>
      </c>
      <c r="AR210" s="90">
        <f>INDEX(AR$153:AR$170,MATCH($B210,$B$153:$B$170,0))*INDEX('Resource costs'!$C$121:$C$142, MATCH($B210, 'Resource costs'!$B$121:$B$142,0))</f>
        <v>4160.006684152575</v>
      </c>
      <c r="AS210" s="90">
        <f>INDEX(AS$153:AS$170,MATCH($B210,$B$153:$B$170,0))*INDEX('Resource costs'!$C$121:$C$142, MATCH($B210, 'Resource costs'!$B$121:$B$142,0))</f>
        <v>4176.4833984401348</v>
      </c>
      <c r="AT210" s="90">
        <f>INDEX(AT$153:AT$170,MATCH($B210,$B$153:$B$170,0))*INDEX('Resource costs'!$C$121:$C$142, MATCH($B210, 'Resource costs'!$B$121:$B$142,0))</f>
        <v>4188.5999980579127</v>
      </c>
      <c r="AU210" s="90">
        <f>INDEX(AU$153:AU$170,MATCH($B210,$B$153:$B$170,0))*INDEX('Resource costs'!$C$121:$C$142, MATCH($B210, 'Resource costs'!$B$121:$B$142,0))</f>
        <v>4197.9403822073409</v>
      </c>
      <c r="AV210" s="90">
        <f>INDEX(AV$153:AV$170,MATCH($B210,$B$153:$B$170,0))*INDEX('Resource costs'!$C$121:$C$142, MATCH($B210, 'Resource costs'!$B$121:$B$142,0))</f>
        <v>4205.5152146663831</v>
      </c>
      <c r="AW210" s="90">
        <f>INDEX(AW$153:AW$170,MATCH($B210,$B$153:$B$170,0))*INDEX('Resource costs'!$C$121:$C$142, MATCH($B210, 'Resource costs'!$B$121:$B$142,0))</f>
        <v>4208.7137555549607</v>
      </c>
      <c r="AX210" s="90">
        <f>INDEX(AX$153:AX$170,MATCH($B210,$B$153:$B$170,0))*INDEX('Resource costs'!$C$121:$C$142, MATCH($B210, 'Resource costs'!$B$121:$B$142,0))</f>
        <v>4209.5775491159266</v>
      </c>
      <c r="AY210" s="90">
        <f>INDEX(AY$153:AY$170,MATCH($B210,$B$153:$B$170,0))*INDEX('Resource costs'!$C$121:$C$142, MATCH($B210, 'Resource costs'!$B$121:$B$142,0))</f>
        <v>4209.2734383060015</v>
      </c>
      <c r="AZ210" s="90">
        <f>INDEX(AZ$153:AZ$170,MATCH($B210,$B$153:$B$170,0))*INDEX('Resource costs'!$C$121:$C$142, MATCH($B210, 'Resource costs'!$B$121:$B$142,0))</f>
        <v>4208.4536144318508</v>
      </c>
      <c r="BA210" s="90">
        <f>INDEX(BA$153:BA$170,MATCH($B210,$B$153:$B$170,0))*INDEX('Resource costs'!$C$121:$C$142, MATCH($B210, 'Resource costs'!$B$121:$B$142,0))</f>
        <v>4207.4701408537176</v>
      </c>
      <c r="BB210" s="90">
        <f>INDEX(BB$153:BB$170,MATCH($B210,$B$153:$B$170,0))*INDEX('Resource costs'!$C$121:$C$142, MATCH($B210, 'Resource costs'!$B$121:$B$142,0))</f>
        <v>4206.5024707989878</v>
      </c>
    </row>
    <row r="211" spans="2:54">
      <c r="B211" s="6" t="s">
        <v>2862</v>
      </c>
      <c r="C211" s="52"/>
      <c r="D211" s="90">
        <f>INDEX(D$153:D$170,MATCH($B211,$B$153:$B$170,0))*INDEX('Resource costs'!$C$121:$C$142, MATCH($B211, 'Resource costs'!$B$121:$B$142,0))</f>
        <v>7011.9938646068358</v>
      </c>
      <c r="E211" s="90">
        <f>INDEX(E$153:E$170,MATCH($B211,$B$153:$B$170,0))*INDEX('Resource costs'!$C$121:$C$142, MATCH($B211, 'Resource costs'!$B$121:$B$142,0))</f>
        <v>7251.6670087185812</v>
      </c>
      <c r="F211" s="90">
        <f>INDEX(F$153:F$170,MATCH($B211,$B$153:$B$170,0))*INDEX('Resource costs'!$C$121:$C$142, MATCH($B211, 'Resource costs'!$B$121:$B$142,0))</f>
        <v>7456.7976903346334</v>
      </c>
      <c r="G211" s="90">
        <f>INDEX(G$153:G$170,MATCH($B211,$B$153:$B$170,0))*INDEX('Resource costs'!$C$121:$C$142, MATCH($B211, 'Resource costs'!$B$121:$B$142,0))</f>
        <v>7638.6663283270882</v>
      </c>
      <c r="H211" s="90">
        <f>INDEX(H$153:H$170,MATCH($B211,$B$153:$B$170,0))*INDEX('Resource costs'!$C$121:$C$142, MATCH($B211, 'Resource costs'!$B$121:$B$142,0))</f>
        <v>5329.1743940607712</v>
      </c>
      <c r="I211" s="90">
        <f>INDEX(I$153:I$170,MATCH($B211,$B$153:$B$170,0))*INDEX('Resource costs'!$C$121:$C$142, MATCH($B211, 'Resource costs'!$B$121:$B$142,0))</f>
        <v>4732.8048743326999</v>
      </c>
      <c r="J211" s="90">
        <f>INDEX(J$153:J$170,MATCH($B211,$B$153:$B$170,0))*INDEX('Resource costs'!$C$121:$C$142, MATCH($B211, 'Resource costs'!$B$121:$B$142,0))</f>
        <v>4383.2997880942166</v>
      </c>
      <c r="K211" s="90">
        <f>INDEX(K$153:K$170,MATCH($B211,$B$153:$B$170,0))*INDEX('Resource costs'!$C$121:$C$142, MATCH($B211, 'Resource costs'!$B$121:$B$142,0))</f>
        <v>4189.2389043081685</v>
      </c>
      <c r="L211" s="90">
        <f>INDEX(L$153:L$170,MATCH($B211,$B$153:$B$170,0))*INDEX('Resource costs'!$C$121:$C$142, MATCH($B211, 'Resource costs'!$B$121:$B$142,0))</f>
        <v>4100.0642813265831</v>
      </c>
      <c r="M211" s="90">
        <f>INDEX(M$153:M$170,MATCH($B211,$B$153:$B$170,0))*INDEX('Resource costs'!$C$121:$C$142, MATCH($B211, 'Resource costs'!$B$121:$B$142,0))</f>
        <v>4072.3095719946618</v>
      </c>
      <c r="N211" s="90">
        <f>INDEX(N$153:N$170,MATCH($B211,$B$153:$B$170,0))*INDEX('Resource costs'!$C$121:$C$142, MATCH($B211, 'Resource costs'!$B$121:$B$142,0))</f>
        <v>4080.8040224350384</v>
      </c>
      <c r="O211" s="90">
        <f>INDEX(O$153:O$170,MATCH($B211,$B$153:$B$170,0))*INDEX('Resource costs'!$C$121:$C$142, MATCH($B211, 'Resource costs'!$B$121:$B$142,0))</f>
        <v>4113.5942644405568</v>
      </c>
      <c r="P211" s="90">
        <f>INDEX(P$153:P$170,MATCH($B211,$B$153:$B$170,0))*INDEX('Resource costs'!$C$121:$C$142, MATCH($B211, 'Resource costs'!$B$121:$B$142,0))</f>
        <v>4157.3727482871655</v>
      </c>
      <c r="Q211" s="90">
        <f>INDEX(Q$153:Q$170,MATCH($B211,$B$153:$B$170,0))*INDEX('Resource costs'!$C$121:$C$142, MATCH($B211, 'Resource costs'!$B$121:$B$142,0))</f>
        <v>4206.7345846549078</v>
      </c>
      <c r="R211" s="90">
        <f>INDEX(R$153:R$170,MATCH($B211,$B$153:$B$170,0))*INDEX('Resource costs'!$C$121:$C$142, MATCH($B211, 'Resource costs'!$B$121:$B$142,0))</f>
        <v>4259.6871354818013</v>
      </c>
      <c r="S211" s="90">
        <f>INDEX(S$153:S$170,MATCH($B211,$B$153:$B$170,0))*INDEX('Resource costs'!$C$121:$C$142, MATCH($B211, 'Resource costs'!$B$121:$B$142,0))</f>
        <v>4314.4943545660199</v>
      </c>
      <c r="T211" s="90">
        <f>INDEX(T$153:T$170,MATCH($B211,$B$153:$B$170,0))*INDEX('Resource costs'!$C$121:$C$142, MATCH($B211, 'Resource costs'!$B$121:$B$142,0))</f>
        <v>4369.7680974057157</v>
      </c>
      <c r="U211" s="90">
        <f>INDEX(U$153:U$170,MATCH($B211,$B$153:$B$170,0))*INDEX('Resource costs'!$C$121:$C$142, MATCH($B211, 'Resource costs'!$B$121:$B$142,0))</f>
        <v>4425.6830356599285</v>
      </c>
      <c r="V211" s="90">
        <f>INDEX(V$153:V$170,MATCH($B211,$B$153:$B$170,0))*INDEX('Resource costs'!$C$121:$C$142, MATCH($B211, 'Resource costs'!$B$121:$B$142,0))</f>
        <v>4484.3122772659981</v>
      </c>
      <c r="W211" s="90">
        <f>INDEX(W$153:W$170,MATCH($B211,$B$153:$B$170,0))*INDEX('Resource costs'!$C$121:$C$142, MATCH($B211, 'Resource costs'!$B$121:$B$142,0))</f>
        <v>4542.1621327556622</v>
      </c>
      <c r="X211" s="90">
        <f>INDEX(X$153:X$170,MATCH($B211,$B$153:$B$170,0))*INDEX('Resource costs'!$C$121:$C$142, MATCH($B211, 'Resource costs'!$B$121:$B$142,0))</f>
        <v>4598.6287231272918</v>
      </c>
      <c r="Y211" s="90">
        <f>INDEX(Y$153:Y$170,MATCH($B211,$B$153:$B$170,0))*INDEX('Resource costs'!$C$121:$C$142, MATCH($B211, 'Resource costs'!$B$121:$B$142,0))</f>
        <v>4655.0145103027471</v>
      </c>
      <c r="Z211" s="90">
        <f>INDEX(Z$153:Z$170,MATCH($B211,$B$153:$B$170,0))*INDEX('Resource costs'!$C$121:$C$142, MATCH($B211, 'Resource costs'!$B$121:$B$142,0))</f>
        <v>4710.5875189829121</v>
      </c>
      <c r="AA211" s="90">
        <f>INDEX(AA$153:AA$170,MATCH($B211,$B$153:$B$170,0))*INDEX('Resource costs'!$C$121:$C$142, MATCH($B211, 'Resource costs'!$B$121:$B$142,0))</f>
        <v>4764.8637739277337</v>
      </c>
      <c r="AB211" s="90">
        <f>INDEX(AB$153:AB$170,MATCH($B211,$B$153:$B$170,0))*INDEX('Resource costs'!$C$121:$C$142, MATCH($B211, 'Resource costs'!$B$121:$B$142,0))</f>
        <v>4817.5517287378589</v>
      </c>
      <c r="AC211" s="90">
        <f>INDEX(AC$153:AC$170,MATCH($B211,$B$153:$B$170,0))*INDEX('Resource costs'!$C$121:$C$142, MATCH($B211, 'Resource costs'!$B$121:$B$142,0))</f>
        <v>4869.0486857821734</v>
      </c>
      <c r="AD211" s="90">
        <f>INDEX(AD$153:AD$170,MATCH($B211,$B$153:$B$170,0))*INDEX('Resource costs'!$C$121:$C$142, MATCH($B211, 'Resource costs'!$B$121:$B$142,0))</f>
        <v>4918.7432303926935</v>
      </c>
      <c r="AE211" s="90">
        <f>INDEX(AE$153:AE$170,MATCH($B211,$B$153:$B$170,0))*INDEX('Resource costs'!$C$121:$C$142, MATCH($B211, 'Resource costs'!$B$121:$B$142,0))</f>
        <v>4966.1248891670239</v>
      </c>
      <c r="AF211" s="90">
        <f>INDEX(AF$153:AF$170,MATCH($B211,$B$153:$B$170,0))*INDEX('Resource costs'!$C$121:$C$142, MATCH($B211, 'Resource costs'!$B$121:$B$142,0))</f>
        <v>5010.8764996260425</v>
      </c>
      <c r="AG211" s="90">
        <f>INDEX(AG$153:AG$170,MATCH($B211,$B$153:$B$170,0))*INDEX('Resource costs'!$C$121:$C$142, MATCH($B211, 'Resource costs'!$B$121:$B$142,0))</f>
        <v>5053.1642303912186</v>
      </c>
      <c r="AH211" s="90">
        <f>INDEX(AH$153:AH$170,MATCH($B211,$B$153:$B$170,0))*INDEX('Resource costs'!$C$121:$C$142, MATCH($B211, 'Resource costs'!$B$121:$B$142,0))</f>
        <v>5094.0401963215618</v>
      </c>
      <c r="AI211" s="90">
        <f>INDEX(AI$153:AI$170,MATCH($B211,$B$153:$B$170,0))*INDEX('Resource costs'!$C$121:$C$142, MATCH($B211, 'Resource costs'!$B$121:$B$142,0))</f>
        <v>5133.6273555364205</v>
      </c>
      <c r="AJ211" s="90">
        <f>INDEX(AJ$153:AJ$170,MATCH($B211,$B$153:$B$170,0))*INDEX('Resource costs'!$C$121:$C$142, MATCH($B211, 'Resource costs'!$B$121:$B$142,0))</f>
        <v>5172.5388176404804</v>
      </c>
      <c r="AK211" s="90">
        <f>INDEX(AK$153:AK$170,MATCH($B211,$B$153:$B$170,0))*INDEX('Resource costs'!$C$121:$C$142, MATCH($B211, 'Resource costs'!$B$121:$B$142,0))</f>
        <v>5210.1938663456804</v>
      </c>
      <c r="AL211" s="90">
        <f>INDEX(AL$153:AL$170,MATCH($B211,$B$153:$B$170,0))*INDEX('Resource costs'!$C$121:$C$142, MATCH($B211, 'Resource costs'!$B$121:$B$142,0))</f>
        <v>5245.5964802189592</v>
      </c>
      <c r="AM211" s="90">
        <f>INDEX(AM$153:AM$170,MATCH($B211,$B$153:$B$170,0))*INDEX('Resource costs'!$C$121:$C$142, MATCH($B211, 'Resource costs'!$B$121:$B$142,0))</f>
        <v>5278.245574830642</v>
      </c>
      <c r="AN211" s="90">
        <f>INDEX(AN$153:AN$170,MATCH($B211,$B$153:$B$170,0))*INDEX('Resource costs'!$C$121:$C$142, MATCH($B211, 'Resource costs'!$B$121:$B$142,0))</f>
        <v>5307.7573950597916</v>
      </c>
      <c r="AO211" s="90">
        <f>INDEX(AO$153:AO$170,MATCH($B211,$B$153:$B$170,0))*INDEX('Resource costs'!$C$121:$C$142, MATCH($B211, 'Resource costs'!$B$121:$B$142,0))</f>
        <v>5333.9185014785953</v>
      </c>
      <c r="AP211" s="90">
        <f>INDEX(AP$153:AP$170,MATCH($B211,$B$153:$B$170,0))*INDEX('Resource costs'!$C$121:$C$142, MATCH($B211, 'Resource costs'!$B$121:$B$142,0))</f>
        <v>5356.5684668478425</v>
      </c>
      <c r="AQ211" s="90">
        <f>INDEX(AQ$153:AQ$170,MATCH($B211,$B$153:$B$170,0))*INDEX('Resource costs'!$C$121:$C$142, MATCH($B211, 'Resource costs'!$B$121:$B$142,0))</f>
        <v>5377.4456146756229</v>
      </c>
      <c r="AR211" s="90">
        <f>INDEX(AR$153:AR$170,MATCH($B211,$B$153:$B$170,0))*INDEX('Resource costs'!$C$121:$C$142, MATCH($B211, 'Resource costs'!$B$121:$B$142,0))</f>
        <v>5398.0607313024793</v>
      </c>
      <c r="AS211" s="90">
        <f>INDEX(AS$153:AS$170,MATCH($B211,$B$153:$B$170,0))*INDEX('Resource costs'!$C$121:$C$142, MATCH($B211, 'Resource costs'!$B$121:$B$142,0))</f>
        <v>5419.441058578248</v>
      </c>
      <c r="AT211" s="90">
        <f>INDEX(AT$153:AT$170,MATCH($B211,$B$153:$B$170,0))*INDEX('Resource costs'!$C$121:$C$142, MATCH($B211, 'Resource costs'!$B$121:$B$142,0))</f>
        <v>5435.163663266072</v>
      </c>
      <c r="AU211" s="90">
        <f>INDEX(AU$153:AU$170,MATCH($B211,$B$153:$B$170,0))*INDEX('Resource costs'!$C$121:$C$142, MATCH($B211, 'Resource costs'!$B$121:$B$142,0))</f>
        <v>5447.2838266985927</v>
      </c>
      <c r="AV211" s="90">
        <f>INDEX(AV$153:AV$170,MATCH($B211,$B$153:$B$170,0))*INDEX('Resource costs'!$C$121:$C$142, MATCH($B211, 'Resource costs'!$B$121:$B$142,0))</f>
        <v>5457.1129949542883</v>
      </c>
      <c r="AW211" s="90">
        <f>INDEX(AW$153:AW$170,MATCH($B211,$B$153:$B$170,0))*INDEX('Resource costs'!$C$121:$C$142, MATCH($B211, 'Resource costs'!$B$121:$B$142,0))</f>
        <v>5461.2634493354963</v>
      </c>
      <c r="AX211" s="90">
        <f>INDEX(AX$153:AX$170,MATCH($B211,$B$153:$B$170,0))*INDEX('Resource costs'!$C$121:$C$142, MATCH($B211, 'Resource costs'!$B$121:$B$142,0))</f>
        <v>5462.3843153473626</v>
      </c>
      <c r="AY211" s="90">
        <f>INDEX(AY$153:AY$170,MATCH($B211,$B$153:$B$170,0))*INDEX('Resource costs'!$C$121:$C$142, MATCH($B211, 'Resource costs'!$B$121:$B$142,0))</f>
        <v>5461.9896985244441</v>
      </c>
      <c r="AZ211" s="90">
        <f>INDEX(AZ$153:AZ$170,MATCH($B211,$B$153:$B$170,0))*INDEX('Resource costs'!$C$121:$C$142, MATCH($B211, 'Resource costs'!$B$121:$B$142,0))</f>
        <v>5460.9258879593071</v>
      </c>
      <c r="BA211" s="90">
        <f>INDEX(BA$153:BA$170,MATCH($B211,$B$153:$B$170,0))*INDEX('Resource costs'!$C$121:$C$142, MATCH($B211, 'Resource costs'!$B$121:$B$142,0))</f>
        <v>5459.6497241198076</v>
      </c>
      <c r="BB211" s="90">
        <f>INDEX(BB$153:BB$170,MATCH($B211,$B$153:$B$170,0))*INDEX('Resource costs'!$C$121:$C$142, MATCH($B211, 'Resource costs'!$B$121:$B$142,0))</f>
        <v>5458.3940670692573</v>
      </c>
    </row>
    <row r="212" spans="2:54">
      <c r="B212" s="6" t="s">
        <v>131</v>
      </c>
      <c r="C212" s="52"/>
      <c r="D212" s="90">
        <f>INDEX(D$153:D$170,MATCH($B212,$B$153:$B$170,0))*INDEX('Resource costs'!$C$121:$C$142, MATCH($B212, 'Resource costs'!$B$121:$B$142,0))</f>
        <v>1362.4773336451335</v>
      </c>
      <c r="E212" s="90">
        <f>INDEX(E$153:E$170,MATCH($B212,$B$153:$B$170,0))*INDEX('Resource costs'!$C$121:$C$142, MATCH($B212, 'Resource costs'!$B$121:$B$142,0))</f>
        <v>1409.0474294896235</v>
      </c>
      <c r="F212" s="90">
        <f>INDEX(F$153:F$170,MATCH($B212,$B$153:$B$170,0))*INDEX('Resource costs'!$C$121:$C$142, MATCH($B212, 'Resource costs'!$B$121:$B$142,0))</f>
        <v>1448.9056937057057</v>
      </c>
      <c r="G212" s="90">
        <f>INDEX(G$153:G$170,MATCH($B212,$B$153:$B$170,0))*INDEX('Resource costs'!$C$121:$C$142, MATCH($B212, 'Resource costs'!$B$121:$B$142,0))</f>
        <v>1484.2439871711872</v>
      </c>
      <c r="H212" s="90">
        <f>INDEX(H$153:H$170,MATCH($B212,$B$153:$B$170,0))*INDEX('Resource costs'!$C$121:$C$142, MATCH($B212, 'Resource costs'!$B$121:$B$142,0))</f>
        <v>9462.3685535199947</v>
      </c>
      <c r="I212" s="90">
        <f>INDEX(I$153:I$170,MATCH($B212,$B$153:$B$170,0))*INDEX('Resource costs'!$C$121:$C$142, MATCH($B212, 'Resource costs'!$B$121:$B$142,0))</f>
        <v>8403.467535748503</v>
      </c>
      <c r="J212" s="90">
        <f>INDEX(J$153:J$170,MATCH($B212,$B$153:$B$170,0))*INDEX('Resource costs'!$C$121:$C$142, MATCH($B212, 'Resource costs'!$B$121:$B$142,0))</f>
        <v>7782.8937483708469</v>
      </c>
      <c r="K212" s="90">
        <f>INDEX(K$153:K$170,MATCH($B212,$B$153:$B$170,0))*INDEX('Resource costs'!$C$121:$C$142, MATCH($B212, 'Resource costs'!$B$121:$B$142,0))</f>
        <v>7438.323376222419</v>
      </c>
      <c r="L212" s="90">
        <f>INDEX(L$153:L$170,MATCH($B212,$B$153:$B$170,0))*INDEX('Resource costs'!$C$121:$C$142, MATCH($B212, 'Resource costs'!$B$121:$B$142,0))</f>
        <v>7279.9868148943906</v>
      </c>
      <c r="M212" s="90">
        <f>INDEX(M$153:M$170,MATCH($B212,$B$153:$B$170,0))*INDEX('Resource costs'!$C$121:$C$142, MATCH($B212, 'Resource costs'!$B$121:$B$142,0))</f>
        <v>7230.7061441234828</v>
      </c>
      <c r="N212" s="90">
        <f>INDEX(N$153:N$170,MATCH($B212,$B$153:$B$170,0))*INDEX('Resource costs'!$C$121:$C$142, MATCH($B212, 'Resource costs'!$B$121:$B$142,0))</f>
        <v>7245.788709410901</v>
      </c>
      <c r="O212" s="90">
        <f>INDEX(O$153:O$170,MATCH($B212,$B$153:$B$170,0))*INDEX('Resource costs'!$C$121:$C$142, MATCH($B212, 'Resource costs'!$B$121:$B$142,0))</f>
        <v>7304.0103647504438</v>
      </c>
      <c r="P212" s="90">
        <f>INDEX(P$153:P$170,MATCH($B212,$B$153:$B$170,0))*INDEX('Resource costs'!$C$121:$C$142, MATCH($B212, 'Resource costs'!$B$121:$B$142,0))</f>
        <v>7381.7425082758273</v>
      </c>
      <c r="Q212" s="90">
        <f>INDEX(Q$153:Q$170,MATCH($B212,$B$153:$B$170,0))*INDEX('Resource costs'!$C$121:$C$142, MATCH($B212, 'Resource costs'!$B$121:$B$142,0))</f>
        <v>7469.388333623685</v>
      </c>
      <c r="R212" s="90">
        <f>INDEX(R$153:R$170,MATCH($B212,$B$153:$B$170,0))*INDEX('Resource costs'!$C$121:$C$142, MATCH($B212, 'Resource costs'!$B$121:$B$142,0))</f>
        <v>7563.4097550902979</v>
      </c>
      <c r="S212" s="90">
        <f>INDEX(S$153:S$170,MATCH($B212,$B$153:$B$170,0))*INDEX('Resource costs'!$C$121:$C$142, MATCH($B212, 'Resource costs'!$B$121:$B$142,0))</f>
        <v>7660.7242860139559</v>
      </c>
      <c r="T212" s="90">
        <f>INDEX(T$153:T$170,MATCH($B212,$B$153:$B$170,0))*INDEX('Resource costs'!$C$121:$C$142, MATCH($B212, 'Resource costs'!$B$121:$B$142,0))</f>
        <v>7758.867166581832</v>
      </c>
      <c r="U212" s="90">
        <f>INDEX(U$153:U$170,MATCH($B212,$B$153:$B$170,0))*INDEX('Resource costs'!$C$121:$C$142, MATCH($B212, 'Resource costs'!$B$121:$B$142,0))</f>
        <v>7858.1485400715665</v>
      </c>
      <c r="V212" s="90">
        <f>INDEX(V$153:V$170,MATCH($B212,$B$153:$B$170,0))*INDEX('Resource costs'!$C$121:$C$142, MATCH($B212, 'Resource costs'!$B$121:$B$142,0))</f>
        <v>7962.2493727837173</v>
      </c>
      <c r="W212" s="90">
        <f>INDEX(W$153:W$170,MATCH($B212,$B$153:$B$170,0))*INDEX('Resource costs'!$C$121:$C$142, MATCH($B212, 'Resource costs'!$B$121:$B$142,0))</f>
        <v>8064.9663441069169</v>
      </c>
      <c r="X212" s="90">
        <f>INDEX(X$153:X$170,MATCH($B212,$B$153:$B$170,0))*INDEX('Resource costs'!$C$121:$C$142, MATCH($B212, 'Resource costs'!$B$121:$B$142,0))</f>
        <v>8165.2272193472691</v>
      </c>
      <c r="Y212" s="90">
        <f>INDEX(Y$153:Y$170,MATCH($B212,$B$153:$B$170,0))*INDEX('Resource costs'!$C$121:$C$142, MATCH($B212, 'Resource costs'!$B$121:$B$142,0))</f>
        <v>8265.3446221534359</v>
      </c>
      <c r="Z212" s="90">
        <f>INDEX(Z$153:Z$170,MATCH($B212,$B$153:$B$170,0))*INDEX('Resource costs'!$C$121:$C$142, MATCH($B212, 'Resource costs'!$B$121:$B$142,0))</f>
        <v>8364.0188727738951</v>
      </c>
      <c r="AA212" s="90">
        <f>INDEX(AA$153:AA$170,MATCH($B212,$B$153:$B$170,0))*INDEX('Resource costs'!$C$121:$C$142, MATCH($B212, 'Resource costs'!$B$121:$B$142,0))</f>
        <v>8460.3906350800971</v>
      </c>
      <c r="AB212" s="90">
        <f>INDEX(AB$153:AB$170,MATCH($B212,$B$153:$B$170,0))*INDEX('Resource costs'!$C$121:$C$142, MATCH($B212, 'Resource costs'!$B$121:$B$142,0))</f>
        <v>8553.9422454946907</v>
      </c>
      <c r="AC212" s="90">
        <f>INDEX(AC$153:AC$170,MATCH($B212,$B$153:$B$170,0))*INDEX('Resource costs'!$C$121:$C$142, MATCH($B212, 'Resource costs'!$B$121:$B$142,0))</f>
        <v>8645.3791456421441</v>
      </c>
      <c r="AD212" s="90">
        <f>INDEX(AD$153:AD$170,MATCH($B212,$B$153:$B$170,0))*INDEX('Resource costs'!$C$121:$C$142, MATCH($B212, 'Resource costs'!$B$121:$B$142,0))</f>
        <v>8733.6157206598691</v>
      </c>
      <c r="AE212" s="90">
        <f>INDEX(AE$153:AE$170,MATCH($B212,$B$153:$B$170,0))*INDEX('Resource costs'!$C$121:$C$142, MATCH($B212, 'Resource costs'!$B$121:$B$142,0))</f>
        <v>8817.7455848466179</v>
      </c>
      <c r="AF212" s="90">
        <f>INDEX(AF$153:AF$170,MATCH($B212,$B$153:$B$170,0))*INDEX('Resource costs'!$C$121:$C$142, MATCH($B212, 'Resource costs'!$B$121:$B$142,0))</f>
        <v>8897.2055912593805</v>
      </c>
      <c r="AG212" s="90">
        <f>INDEX(AG$153:AG$170,MATCH($B212,$B$153:$B$170,0))*INDEX('Resource costs'!$C$121:$C$142, MATCH($B212, 'Resource costs'!$B$121:$B$142,0))</f>
        <v>8972.2907853633824</v>
      </c>
      <c r="AH212" s="90">
        <f>INDEX(AH$153:AH$170,MATCH($B212,$B$153:$B$170,0))*INDEX('Resource costs'!$C$121:$C$142, MATCH($B212, 'Resource costs'!$B$121:$B$142,0))</f>
        <v>9044.8692798943703</v>
      </c>
      <c r="AI212" s="90">
        <f>INDEX(AI$153:AI$170,MATCH($B212,$B$153:$B$170,0))*INDEX('Resource costs'!$C$121:$C$142, MATCH($B212, 'Resource costs'!$B$121:$B$142,0))</f>
        <v>9115.1593966703076</v>
      </c>
      <c r="AJ212" s="90">
        <f>INDEX(AJ$153:AJ$170,MATCH($B212,$B$153:$B$170,0))*INDEX('Resource costs'!$C$121:$C$142, MATCH($B212, 'Resource costs'!$B$121:$B$142,0))</f>
        <v>9184.2497600472852</v>
      </c>
      <c r="AK212" s="90">
        <f>INDEX(AK$153:AK$170,MATCH($B212,$B$153:$B$170,0))*INDEX('Resource costs'!$C$121:$C$142, MATCH($B212, 'Resource costs'!$B$121:$B$142,0))</f>
        <v>9251.1092625522979</v>
      </c>
      <c r="AL212" s="90">
        <f>INDEX(AL$153:AL$170,MATCH($B212,$B$153:$B$170,0))*INDEX('Resource costs'!$C$121:$C$142, MATCH($B212, 'Resource costs'!$B$121:$B$142,0))</f>
        <v>9313.9693897420293</v>
      </c>
      <c r="AM212" s="90">
        <f>INDEX(AM$153:AM$170,MATCH($B212,$B$153:$B$170,0))*INDEX('Resource costs'!$C$121:$C$142, MATCH($B212, 'Resource costs'!$B$121:$B$142,0))</f>
        <v>9371.9404267752325</v>
      </c>
      <c r="AN212" s="90">
        <f>INDEX(AN$153:AN$170,MATCH($B212,$B$153:$B$170,0))*INDEX('Resource costs'!$C$121:$C$142, MATCH($B212, 'Resource costs'!$B$121:$B$142,0))</f>
        <v>9424.3409862323697</v>
      </c>
      <c r="AO212" s="90">
        <f>INDEX(AO$153:AO$170,MATCH($B212,$B$153:$B$170,0))*INDEX('Resource costs'!$C$121:$C$142, MATCH($B212, 'Resource costs'!$B$121:$B$142,0))</f>
        <v>9470.7920896112446</v>
      </c>
      <c r="AP212" s="90">
        <f>INDEX(AP$153:AP$170,MATCH($B212,$B$153:$B$170,0))*INDEX('Resource costs'!$C$121:$C$142, MATCH($B212, 'Resource costs'!$B$121:$B$142,0))</f>
        <v>9511.008885722691</v>
      </c>
      <c r="AQ212" s="90">
        <f>INDEX(AQ$153:AQ$170,MATCH($B212,$B$153:$B$170,0))*INDEX('Resource costs'!$C$121:$C$142, MATCH($B212, 'Resource costs'!$B$121:$B$142,0))</f>
        <v>9548.0779047649194</v>
      </c>
      <c r="AR212" s="90">
        <f>INDEX(AR$153:AR$170,MATCH($B212,$B$153:$B$170,0))*INDEX('Resource costs'!$C$121:$C$142, MATCH($B212, 'Resource costs'!$B$121:$B$142,0))</f>
        <v>9584.6816667875119</v>
      </c>
      <c r="AS212" s="90">
        <f>INDEX(AS$153:AS$170,MATCH($B212,$B$153:$B$170,0))*INDEX('Resource costs'!$C$121:$C$142, MATCH($B212, 'Resource costs'!$B$121:$B$142,0))</f>
        <v>9622.6441205408864</v>
      </c>
      <c r="AT212" s="90">
        <f>INDEX(AT$153:AT$170,MATCH($B212,$B$153:$B$170,0))*INDEX('Resource costs'!$C$121:$C$142, MATCH($B212, 'Resource costs'!$B$121:$B$142,0))</f>
        <v>9650.5608425650917</v>
      </c>
      <c r="AU212" s="90">
        <f>INDEX(AU$153:AU$170,MATCH($B212,$B$153:$B$170,0))*INDEX('Resource costs'!$C$121:$C$142, MATCH($B212, 'Resource costs'!$B$121:$B$142,0))</f>
        <v>9672.0811466210471</v>
      </c>
      <c r="AV212" s="90">
        <f>INDEX(AV$153:AV$170,MATCH($B212,$B$153:$B$170,0))*INDEX('Resource costs'!$C$121:$C$142, MATCH($B212, 'Resource costs'!$B$121:$B$142,0))</f>
        <v>9689.533608434569</v>
      </c>
      <c r="AW212" s="90">
        <f>INDEX(AW$153:AW$170,MATCH($B212,$B$153:$B$170,0))*INDEX('Resource costs'!$C$121:$C$142, MATCH($B212, 'Resource costs'!$B$121:$B$142,0))</f>
        <v>9696.9030668376072</v>
      </c>
      <c r="AX212" s="90">
        <f>INDEX(AX$153:AX$170,MATCH($B212,$B$153:$B$170,0))*INDEX('Resource costs'!$C$121:$C$142, MATCH($B212, 'Resource costs'!$B$121:$B$142,0))</f>
        <v>9698.8932526561111</v>
      </c>
      <c r="AY212" s="90">
        <f>INDEX(AY$153:AY$170,MATCH($B212,$B$153:$B$170,0))*INDEX('Resource costs'!$C$121:$C$142, MATCH($B212, 'Resource costs'!$B$121:$B$142,0))</f>
        <v>9698.1925794298731</v>
      </c>
      <c r="AZ212" s="90">
        <f>INDEX(AZ$153:AZ$170,MATCH($B212,$B$153:$B$170,0))*INDEX('Resource costs'!$C$121:$C$142, MATCH($B212, 'Resource costs'!$B$121:$B$142,0))</f>
        <v>9696.3037000474178</v>
      </c>
      <c r="BA212" s="90">
        <f>INDEX(BA$153:BA$170,MATCH($B212,$B$153:$B$170,0))*INDEX('Resource costs'!$C$121:$C$142, MATCH($B212, 'Resource costs'!$B$121:$B$142,0))</f>
        <v>9694.037770713694</v>
      </c>
      <c r="BB212" s="90">
        <f>INDEX(BB$153:BB$170,MATCH($B212,$B$153:$B$170,0))*INDEX('Resource costs'!$C$121:$C$142, MATCH($B212, 'Resource costs'!$B$121:$B$142,0))</f>
        <v>9691.8082527976785</v>
      </c>
    </row>
    <row r="213" spans="2:54" ht="29">
      <c r="B213" s="6" t="s">
        <v>2869</v>
      </c>
      <c r="C213" s="52"/>
      <c r="D213" s="90">
        <f>INDEX(D$153:D$170,MATCH($B213,$B$153:$B$170,0))*INDEX('Resource costs'!$C$121:$C$142, MATCH($B213, 'Resource costs'!$B$121:$B$142,0))</f>
        <v>29205.68516407186</v>
      </c>
      <c r="E213" s="90">
        <f>INDEX(E$153:E$170,MATCH($B213,$B$153:$B$170,0))*INDEX('Resource costs'!$C$121:$C$142, MATCH($B213, 'Resource costs'!$B$121:$B$142,0))</f>
        <v>30203.948785570814</v>
      </c>
      <c r="F213" s="90">
        <f>INDEX(F$153:F$170,MATCH($B213,$B$153:$B$170,0))*INDEX('Resource costs'!$C$121:$C$142, MATCH($B213, 'Resource costs'!$B$121:$B$142,0))</f>
        <v>31058.339451114523</v>
      </c>
      <c r="G213" s="90">
        <f>INDEX(G$153:G$170,MATCH($B213,$B$153:$B$170,0))*INDEX('Resource costs'!$C$121:$C$142, MATCH($B213, 'Resource costs'!$B$121:$B$142,0))</f>
        <v>31815.84128083468</v>
      </c>
      <c r="H213" s="90">
        <f>INDEX(H$153:H$170,MATCH($B213,$B$153:$B$170,0))*INDEX('Resource costs'!$C$121:$C$142, MATCH($B213, 'Resource costs'!$B$121:$B$142,0))</f>
        <v>7979.1579651614738</v>
      </c>
      <c r="I213" s="90">
        <f>INDEX(I$153:I$170,MATCH($B213,$B$153:$B$170,0))*INDEX('Resource costs'!$C$121:$C$142, MATCH($B213, 'Resource costs'!$B$121:$B$142,0))</f>
        <v>7086.237926961745</v>
      </c>
      <c r="J213" s="90">
        <f>INDEX(J$153:J$170,MATCH($B213,$B$153:$B$170,0))*INDEX('Resource costs'!$C$121:$C$142, MATCH($B213, 'Resource costs'!$B$121:$B$142,0))</f>
        <v>6562.9380522509</v>
      </c>
      <c r="K213" s="90">
        <f>INDEX(K$153:K$170,MATCH($B213,$B$153:$B$170,0))*INDEX('Resource costs'!$C$121:$C$142, MATCH($B213, 'Resource costs'!$B$121:$B$142,0))</f>
        <v>6272.3785148648813</v>
      </c>
      <c r="L213" s="90">
        <f>INDEX(L$153:L$170,MATCH($B213,$B$153:$B$170,0))*INDEX('Resource costs'!$C$121:$C$142, MATCH($B213, 'Resource costs'!$B$121:$B$142,0))</f>
        <v>6138.8609471067712</v>
      </c>
      <c r="M213" s="90">
        <f>INDEX(M$153:M$170,MATCH($B213,$B$153:$B$170,0))*INDEX('Resource costs'!$C$121:$C$142, MATCH($B213, 'Resource costs'!$B$121:$B$142,0))</f>
        <v>6097.3049398041476</v>
      </c>
      <c r="N213" s="90">
        <f>INDEX(N$153:N$170,MATCH($B213,$B$153:$B$170,0))*INDEX('Resource costs'!$C$121:$C$142, MATCH($B213, 'Resource costs'!$B$121:$B$142,0))</f>
        <v>6110.023337979771</v>
      </c>
      <c r="O213" s="90">
        <f>INDEX(O$153:O$170,MATCH($B213,$B$153:$B$170,0))*INDEX('Resource costs'!$C$121:$C$142, MATCH($B213, 'Resource costs'!$B$121:$B$142,0))</f>
        <v>6159.1188453381892</v>
      </c>
      <c r="P213" s="90">
        <f>INDEX(P$153:P$170,MATCH($B213,$B$153:$B$170,0))*INDEX('Resource costs'!$C$121:$C$142, MATCH($B213, 'Resource costs'!$B$121:$B$142,0))</f>
        <v>6224.6666041949193</v>
      </c>
      <c r="Q213" s="90">
        <f>INDEX(Q$153:Q$170,MATCH($B213,$B$153:$B$170,0))*INDEX('Resource costs'!$C$121:$C$142, MATCH($B213, 'Resource costs'!$B$121:$B$142,0))</f>
        <v>6298.57409167884</v>
      </c>
      <c r="R213" s="90">
        <f>INDEX(R$153:R$170,MATCH($B213,$B$153:$B$170,0))*INDEX('Resource costs'!$C$121:$C$142, MATCH($B213, 'Resource costs'!$B$121:$B$142,0))</f>
        <v>6377.8578111564593</v>
      </c>
      <c r="S213" s="90">
        <f>INDEX(S$153:S$170,MATCH($B213,$B$153:$B$170,0))*INDEX('Resource costs'!$C$121:$C$142, MATCH($B213, 'Resource costs'!$B$121:$B$142,0))</f>
        <v>6459.9184506415486</v>
      </c>
      <c r="T213" s="90">
        <f>INDEX(T$153:T$170,MATCH($B213,$B$153:$B$170,0))*INDEX('Resource costs'!$C$121:$C$142, MATCH($B213, 'Resource costs'!$B$121:$B$142,0))</f>
        <v>6542.6775973369868</v>
      </c>
      <c r="U213" s="90">
        <f>INDEX(U$153:U$170,MATCH($B213,$B$153:$B$170,0))*INDEX('Resource costs'!$C$121:$C$142, MATCH($B213, 'Resource costs'!$B$121:$B$142,0))</f>
        <v>6626.3967800756564</v>
      </c>
      <c r="V213" s="90">
        <f>INDEX(V$153:V$170,MATCH($B213,$B$153:$B$170,0))*INDEX('Resource costs'!$C$121:$C$142, MATCH($B213, 'Resource costs'!$B$121:$B$142,0))</f>
        <v>6714.1799797911335</v>
      </c>
      <c r="W213" s="90">
        <f>INDEX(W$153:W$170,MATCH($B213,$B$153:$B$170,0))*INDEX('Resource costs'!$C$121:$C$142, MATCH($B213, 'Resource costs'!$B$121:$B$142,0))</f>
        <v>6800.7962360968422</v>
      </c>
      <c r="X213" s="90">
        <f>INDEX(X$153:X$170,MATCH($B213,$B$153:$B$170,0))*INDEX('Resource costs'!$C$121:$C$142, MATCH($B213, 'Resource costs'!$B$121:$B$142,0))</f>
        <v>6885.3413853100938</v>
      </c>
      <c r="Y213" s="90">
        <f>INDEX(Y$153:Y$170,MATCH($B213,$B$153:$B$170,0))*INDEX('Resource costs'!$C$121:$C$142, MATCH($B213, 'Resource costs'!$B$121:$B$142,0))</f>
        <v>6969.7655511554349</v>
      </c>
      <c r="Z213" s="90">
        <f>INDEX(Z$153:Z$170,MATCH($B213,$B$153:$B$170,0))*INDEX('Resource costs'!$C$121:$C$142, MATCH($B213, 'Resource costs'!$B$121:$B$142,0))</f>
        <v>7052.9727765283769</v>
      </c>
      <c r="AA213" s="90">
        <f>INDEX(AA$153:AA$170,MATCH($B213,$B$153:$B$170,0))*INDEX('Resource costs'!$C$121:$C$142, MATCH($B213, 'Resource costs'!$B$121:$B$142,0))</f>
        <v>7134.2384248143035</v>
      </c>
      <c r="AB213" s="90">
        <f>INDEX(AB$153:AB$170,MATCH($B213,$B$153:$B$170,0))*INDEX('Resource costs'!$C$121:$C$142, MATCH($B213, 'Resource costs'!$B$121:$B$142,0))</f>
        <v>7213.1259753436707</v>
      </c>
      <c r="AC213" s="90">
        <f>INDEX(AC$153:AC$170,MATCH($B213,$B$153:$B$170,0))*INDEX('Resource costs'!$C$121:$C$142, MATCH($B213, 'Resource costs'!$B$121:$B$142,0))</f>
        <v>7290.2302929354655</v>
      </c>
      <c r="AD213" s="90">
        <f>INDEX(AD$153:AD$170,MATCH($B213,$B$153:$B$170,0))*INDEX('Resource costs'!$C$121:$C$142, MATCH($B213, 'Resource costs'!$B$121:$B$142,0))</f>
        <v>7364.6359310575754</v>
      </c>
      <c r="AE213" s="90">
        <f>INDEX(AE$153:AE$170,MATCH($B213,$B$153:$B$170,0))*INDEX('Resource costs'!$C$121:$C$142, MATCH($B213, 'Resource costs'!$B$121:$B$142,0))</f>
        <v>7435.5785784652317</v>
      </c>
      <c r="AF213" s="90">
        <f>INDEX(AF$153:AF$170,MATCH($B213,$B$153:$B$170,0))*INDEX('Resource costs'!$C$121:$C$142, MATCH($B213, 'Resource costs'!$B$121:$B$142,0))</f>
        <v>7502.5833605654088</v>
      </c>
      <c r="AG213" s="90">
        <f>INDEX(AG$153:AG$170,MATCH($B213,$B$153:$B$170,0))*INDEX('Resource costs'!$C$121:$C$142, MATCH($B213, 'Resource costs'!$B$121:$B$142,0))</f>
        <v>7565.8990749356508</v>
      </c>
      <c r="AH213" s="90">
        <f>INDEX(AH$153:AH$170,MATCH($B213,$B$153:$B$170,0))*INDEX('Resource costs'!$C$121:$C$142, MATCH($B213, 'Resource costs'!$B$121:$B$142,0))</f>
        <v>7627.1010107364855</v>
      </c>
      <c r="AI213" s="90">
        <f>INDEX(AI$153:AI$170,MATCH($B213,$B$153:$B$170,0))*INDEX('Resource costs'!$C$121:$C$142, MATCH($B213, 'Resource costs'!$B$121:$B$142,0))</f>
        <v>7686.3732682027421</v>
      </c>
      <c r="AJ213" s="90">
        <f>INDEX(AJ$153:AJ$170,MATCH($B213,$B$153:$B$170,0))*INDEX('Resource costs'!$C$121:$C$142, MATCH($B213, 'Resource costs'!$B$121:$B$142,0))</f>
        <v>7744.6338316269221</v>
      </c>
      <c r="AK213" s="90">
        <f>INDEX(AK$153:AK$170,MATCH($B213,$B$153:$B$170,0))*INDEX('Resource costs'!$C$121:$C$142, MATCH($B213, 'Resource costs'!$B$121:$B$142,0))</f>
        <v>7801.0132179235106</v>
      </c>
      <c r="AL213" s="90">
        <f>INDEX(AL$153:AL$170,MATCH($B213,$B$153:$B$170,0))*INDEX('Resource costs'!$C$121:$C$142, MATCH($B213, 'Resource costs'!$B$121:$B$142,0))</f>
        <v>7854.0201243571464</v>
      </c>
      <c r="AM213" s="90">
        <f>INDEX(AM$153:AM$170,MATCH($B213,$B$153:$B$170,0))*INDEX('Resource costs'!$C$121:$C$142, MATCH($B213, 'Resource costs'!$B$121:$B$142,0))</f>
        <v>7902.9042974133818</v>
      </c>
      <c r="AN213" s="90">
        <f>INDEX(AN$153:AN$170,MATCH($B213,$B$153:$B$170,0))*INDEX('Resource costs'!$C$121:$C$142, MATCH($B213, 'Resource costs'!$B$121:$B$142,0))</f>
        <v>7947.0911560213981</v>
      </c>
      <c r="AO213" s="90">
        <f>INDEX(AO$153:AO$170,MATCH($B213,$B$153:$B$170,0))*INDEX('Resource costs'!$C$121:$C$142, MATCH($B213, 'Resource costs'!$B$121:$B$142,0))</f>
        <v>7986.2611259311225</v>
      </c>
      <c r="AP213" s="90">
        <f>INDEX(AP$153:AP$170,MATCH($B213,$B$153:$B$170,0))*INDEX('Resource costs'!$C$121:$C$142, MATCH($B213, 'Resource costs'!$B$121:$B$142,0))</f>
        <v>8020.1740059051908</v>
      </c>
      <c r="AQ213" s="90">
        <f>INDEX(AQ$153:AQ$170,MATCH($B213,$B$153:$B$170,0))*INDEX('Resource costs'!$C$121:$C$142, MATCH($B213, 'Resource costs'!$B$121:$B$142,0))</f>
        <v>8051.4325176486891</v>
      </c>
      <c r="AR213" s="90">
        <f>INDEX(AR$153:AR$170,MATCH($B213,$B$153:$B$170,0))*INDEX('Resource costs'!$C$121:$C$142, MATCH($B213, 'Resource costs'!$B$121:$B$142,0))</f>
        <v>8082.2987006392896</v>
      </c>
      <c r="AS213" s="90">
        <f>INDEX(AS$153:AS$170,MATCH($B213,$B$153:$B$170,0))*INDEX('Resource costs'!$C$121:$C$142, MATCH($B213, 'Resource costs'!$B$121:$B$142,0))</f>
        <v>8114.3106026836922</v>
      </c>
      <c r="AT213" s="90">
        <f>INDEX(AT$153:AT$170,MATCH($B213,$B$153:$B$170,0))*INDEX('Resource costs'!$C$121:$C$142, MATCH($B213, 'Resource costs'!$B$121:$B$142,0))</f>
        <v>8137.8514247982303</v>
      </c>
      <c r="AU213" s="90">
        <f>INDEX(AU$153:AU$170,MATCH($B213,$B$153:$B$170,0))*INDEX('Resource costs'!$C$121:$C$142, MATCH($B213, 'Resource costs'!$B$121:$B$142,0))</f>
        <v>8155.9984568599775</v>
      </c>
      <c r="AV213" s="90">
        <f>INDEX(AV$153:AV$170,MATCH($B213,$B$153:$B$170,0))*INDEX('Resource costs'!$C$121:$C$142, MATCH($B213, 'Resource costs'!$B$121:$B$142,0))</f>
        <v>8170.7152742089729</v>
      </c>
      <c r="AW213" s="90">
        <f>INDEX(AW$153:AW$170,MATCH($B213,$B$153:$B$170,0))*INDEX('Resource costs'!$C$121:$C$142, MATCH($B213, 'Resource costs'!$B$121:$B$142,0))</f>
        <v>8176.9295822210661</v>
      </c>
      <c r="AX213" s="90">
        <f>INDEX(AX$153:AX$170,MATCH($B213,$B$153:$B$170,0))*INDEX('Resource costs'!$C$121:$C$142, MATCH($B213, 'Resource costs'!$B$121:$B$142,0))</f>
        <v>8178.6078097109439</v>
      </c>
      <c r="AY213" s="90">
        <f>INDEX(AY$153:AY$170,MATCH($B213,$B$153:$B$170,0))*INDEX('Resource costs'!$C$121:$C$142, MATCH($B213, 'Resource costs'!$B$121:$B$142,0))</f>
        <v>8178.0169658516616</v>
      </c>
      <c r="AZ213" s="90">
        <f>INDEX(AZ$153:AZ$170,MATCH($B213,$B$153:$B$170,0))*INDEX('Resource costs'!$C$121:$C$142, MATCH($B213, 'Resource costs'!$B$121:$B$142,0))</f>
        <v>8176.424165181882</v>
      </c>
      <c r="BA213" s="90">
        <f>INDEX(BA$153:BA$170,MATCH($B213,$B$153:$B$170,0))*INDEX('Resource costs'!$C$121:$C$142, MATCH($B213, 'Resource costs'!$B$121:$B$142,0))</f>
        <v>8174.5134165157942</v>
      </c>
      <c r="BB213" s="90">
        <f>INDEX(BB$153:BB$170,MATCH($B213,$B$153:$B$170,0))*INDEX('Resource costs'!$C$121:$C$142, MATCH($B213, 'Resource costs'!$B$121:$B$142,0))</f>
        <v>8172.6333718380347</v>
      </c>
    </row>
    <row r="214" spans="2:54" ht="29">
      <c r="B214" s="6" t="s">
        <v>2870</v>
      </c>
      <c r="C214" s="52"/>
      <c r="D214" s="90">
        <f>INDEX(D$153:D$170,MATCH($B214,$B$153:$B$170,0))*INDEX('Resource costs'!$C$121:$C$142, MATCH($B214, 'Resource costs'!$B$121:$B$142,0))</f>
        <v>34584.315973331162</v>
      </c>
      <c r="E214" s="90">
        <f>INDEX(E$153:E$170,MATCH($B214,$B$153:$B$170,0))*INDEX('Resource costs'!$C$121:$C$142, MATCH($B214, 'Resource costs'!$B$121:$B$142,0))</f>
        <v>35766.42364574669</v>
      </c>
      <c r="F214" s="90">
        <f>INDEX(F$153:F$170,MATCH($B214,$B$153:$B$170,0))*INDEX('Resource costs'!$C$121:$C$142, MATCH($B214, 'Resource costs'!$B$121:$B$142,0))</f>
        <v>36778.162167744398</v>
      </c>
      <c r="G214" s="90">
        <f>INDEX(G$153:G$170,MATCH($B214,$B$153:$B$170,0))*INDEX('Resource costs'!$C$121:$C$142, MATCH($B214, 'Resource costs'!$B$121:$B$142,0))</f>
        <v>37675.168434923035</v>
      </c>
      <c r="H214" s="90">
        <f>INDEX(H$153:H$170,MATCH($B214,$B$153:$B$170,0))*INDEX('Resource costs'!$C$121:$C$142, MATCH($B214, 'Resource costs'!$B$121:$B$142,0))</f>
        <v>16161.033954995222</v>
      </c>
      <c r="I214" s="90">
        <f>INDEX(I$153:I$170,MATCH($B214,$B$153:$B$170,0))*INDEX('Resource costs'!$C$121:$C$142, MATCH($B214, 'Resource costs'!$B$121:$B$142,0))</f>
        <v>14352.508403872182</v>
      </c>
      <c r="J214" s="90">
        <f>INDEX(J$153:J$170,MATCH($B214,$B$153:$B$170,0))*INDEX('Resource costs'!$C$121:$C$142, MATCH($B214, 'Resource costs'!$B$121:$B$142,0))</f>
        <v>13292.613728171827</v>
      </c>
      <c r="K214" s="90">
        <f>INDEX(K$153:K$170,MATCH($B214,$B$153:$B$170,0))*INDEX('Resource costs'!$C$121:$C$142, MATCH($B214, 'Resource costs'!$B$121:$B$142,0))</f>
        <v>12704.112714638113</v>
      </c>
      <c r="L214" s="90">
        <f>INDEX(L$153:L$170,MATCH($B214,$B$153:$B$170,0))*INDEX('Resource costs'!$C$121:$C$142, MATCH($B214, 'Resource costs'!$B$121:$B$142,0))</f>
        <v>12433.685439536092</v>
      </c>
      <c r="M214" s="90">
        <f>INDEX(M$153:M$170,MATCH($B214,$B$153:$B$170,0))*INDEX('Resource costs'!$C$121:$C$142, MATCH($B214, 'Resource costs'!$B$121:$B$142,0))</f>
        <v>12349.51765541852</v>
      </c>
      <c r="N214" s="90">
        <f>INDEX(N$153:N$170,MATCH($B214,$B$153:$B$170,0))*INDEX('Resource costs'!$C$121:$C$142, MATCH($B214, 'Resource costs'!$B$121:$B$142,0))</f>
        <v>12375.277574656469</v>
      </c>
      <c r="O214" s="90">
        <f>INDEX(O$153:O$170,MATCH($B214,$B$153:$B$170,0))*INDEX('Resource costs'!$C$121:$C$142, MATCH($B214, 'Resource costs'!$B$121:$B$142,0))</f>
        <v>12474.715906986949</v>
      </c>
      <c r="P214" s="90">
        <f>INDEX(P$153:P$170,MATCH($B214,$B$153:$B$170,0))*INDEX('Resource costs'!$C$121:$C$142, MATCH($B214, 'Resource costs'!$B$121:$B$142,0))</f>
        <v>12607.476727261799</v>
      </c>
      <c r="Q214" s="90">
        <f>INDEX(Q$153:Q$170,MATCH($B214,$B$153:$B$170,0))*INDEX('Resource costs'!$C$121:$C$142, MATCH($B214, 'Resource costs'!$B$121:$B$142,0))</f>
        <v>12757.169391571879</v>
      </c>
      <c r="R214" s="90">
        <f>INDEX(R$153:R$170,MATCH($B214,$B$153:$B$170,0))*INDEX('Resource costs'!$C$121:$C$142, MATCH($B214, 'Resource costs'!$B$121:$B$142,0))</f>
        <v>12917.751108107705</v>
      </c>
      <c r="S214" s="90">
        <f>INDEX(S$153:S$170,MATCH($B214,$B$153:$B$170,0))*INDEX('Resource costs'!$C$121:$C$142, MATCH($B214, 'Resource costs'!$B$121:$B$142,0))</f>
        <v>13083.957214927186</v>
      </c>
      <c r="T214" s="90">
        <f>INDEX(T$153:T$170,MATCH($B214,$B$153:$B$170,0))*INDEX('Resource costs'!$C$121:$C$142, MATCH($B214, 'Resource costs'!$B$121:$B$142,0))</f>
        <v>13251.578082401054</v>
      </c>
      <c r="U214" s="90">
        <f>INDEX(U$153:U$170,MATCH($B214,$B$153:$B$170,0))*INDEX('Resource costs'!$C$121:$C$142, MATCH($B214, 'Resource costs'!$B$121:$B$142,0))</f>
        <v>13421.143412581445</v>
      </c>
      <c r="V214" s="90">
        <f>INDEX(V$153:V$170,MATCH($B214,$B$153:$B$170,0))*INDEX('Resource costs'!$C$121:$C$142, MATCH($B214, 'Resource costs'!$B$121:$B$142,0))</f>
        <v>13598.940026895152</v>
      </c>
      <c r="W214" s="90">
        <f>INDEX(W$153:W$170,MATCH($B214,$B$153:$B$170,0))*INDEX('Resource costs'!$C$121:$C$142, MATCH($B214, 'Resource costs'!$B$121:$B$142,0))</f>
        <v>13774.373107092708</v>
      </c>
      <c r="X214" s="90">
        <f>INDEX(X$153:X$170,MATCH($B214,$B$153:$B$170,0))*INDEX('Resource costs'!$C$121:$C$142, MATCH($B214, 'Resource costs'!$B$121:$B$142,0))</f>
        <v>13945.611354678629</v>
      </c>
      <c r="Y214" s="90">
        <f>INDEX(Y$153:Y$170,MATCH($B214,$B$153:$B$170,0))*INDEX('Resource costs'!$C$121:$C$142, MATCH($B214, 'Resource costs'!$B$121:$B$142,0))</f>
        <v>14116.604561832297</v>
      </c>
      <c r="Z214" s="90">
        <f>INDEX(Z$153:Z$170,MATCH($B214,$B$153:$B$170,0))*INDEX('Resource costs'!$C$121:$C$142, MATCH($B214, 'Resource costs'!$B$121:$B$142,0))</f>
        <v>14285.132970522076</v>
      </c>
      <c r="AA214" s="90">
        <f>INDEX(AA$153:AA$170,MATCH($B214,$B$153:$B$170,0))*INDEX('Resource costs'!$C$121:$C$142, MATCH($B214, 'Resource costs'!$B$121:$B$142,0))</f>
        <v>14449.728897442919</v>
      </c>
      <c r="AB214" s="90">
        <f>INDEX(AB$153:AB$170,MATCH($B214,$B$153:$B$170,0))*INDEX('Resource costs'!$C$121:$C$142, MATCH($B214, 'Resource costs'!$B$121:$B$142,0))</f>
        <v>14609.508211036904</v>
      </c>
      <c r="AC214" s="90">
        <f>INDEX(AC$153:AC$170,MATCH($B214,$B$153:$B$170,0))*INDEX('Resource costs'!$C$121:$C$142, MATCH($B214, 'Resource costs'!$B$121:$B$142,0))</f>
        <v>14765.675754043121</v>
      </c>
      <c r="AD214" s="90">
        <f>INDEX(AD$153:AD$170,MATCH($B214,$B$153:$B$170,0))*INDEX('Resource costs'!$C$121:$C$142, MATCH($B214, 'Resource costs'!$B$121:$B$142,0))</f>
        <v>14916.377375615813</v>
      </c>
      <c r="AE214" s="90">
        <f>INDEX(AE$153:AE$170,MATCH($B214,$B$153:$B$170,0))*INDEX('Resource costs'!$C$121:$C$142, MATCH($B214, 'Resource costs'!$B$121:$B$142,0))</f>
        <v>15060.065035218275</v>
      </c>
      <c r="AF214" s="90">
        <f>INDEX(AF$153:AF$170,MATCH($B214,$B$153:$B$170,0))*INDEX('Resource costs'!$C$121:$C$142, MATCH($B214, 'Resource costs'!$B$121:$B$142,0))</f>
        <v>15195.776919028074</v>
      </c>
      <c r="AG214" s="90">
        <f>INDEX(AG$153:AG$170,MATCH($B214,$B$153:$B$170,0))*INDEX('Resource costs'!$C$121:$C$142, MATCH($B214, 'Resource costs'!$B$121:$B$142,0))</f>
        <v>15324.016943137127</v>
      </c>
      <c r="AH214" s="90">
        <f>INDEX(AH$153:AH$170,MATCH($B214,$B$153:$B$170,0))*INDEX('Resource costs'!$C$121:$C$142, MATCH($B214, 'Resource costs'!$B$121:$B$142,0))</f>
        <v>15447.975707571577</v>
      </c>
      <c r="AI214" s="90">
        <f>INDEX(AI$153:AI$170,MATCH($B214,$B$153:$B$170,0))*INDEX('Resource costs'!$C$121:$C$142, MATCH($B214, 'Resource costs'!$B$121:$B$142,0))</f>
        <v>15568.026090040979</v>
      </c>
      <c r="AJ214" s="90">
        <f>INDEX(AJ$153:AJ$170,MATCH($B214,$B$153:$B$170,0))*INDEX('Resource costs'!$C$121:$C$142, MATCH($B214, 'Resource costs'!$B$121:$B$142,0))</f>
        <v>15686.027381386044</v>
      </c>
      <c r="AK214" s="90">
        <f>INDEX(AK$153:AK$170,MATCH($B214,$B$153:$B$170,0))*INDEX('Resource costs'!$C$121:$C$142, MATCH($B214, 'Resource costs'!$B$121:$B$142,0))</f>
        <v>15800.218525398886</v>
      </c>
      <c r="AL214" s="90">
        <f>INDEX(AL$153:AL$170,MATCH($B214,$B$153:$B$170,0))*INDEX('Resource costs'!$C$121:$C$142, MATCH($B214, 'Resource costs'!$B$121:$B$142,0))</f>
        <v>15907.579028657941</v>
      </c>
      <c r="AM214" s="90">
        <f>INDEX(AM$153:AM$170,MATCH($B214,$B$153:$B$170,0))*INDEX('Resource costs'!$C$121:$C$142, MATCH($B214, 'Resource costs'!$B$121:$B$142,0))</f>
        <v>16006.589323237027</v>
      </c>
      <c r="AN214" s="90">
        <f>INDEX(AN$153:AN$170,MATCH($B214,$B$153:$B$170,0))*INDEX('Resource costs'!$C$121:$C$142, MATCH($B214, 'Resource costs'!$B$121:$B$142,0))</f>
        <v>16096.085649221128</v>
      </c>
      <c r="AO214" s="90">
        <f>INDEX(AO$153:AO$170,MATCH($B214,$B$153:$B$170,0))*INDEX('Resource costs'!$C$121:$C$142, MATCH($B214, 'Resource costs'!$B$121:$B$142,0))</f>
        <v>16175.420739025227</v>
      </c>
      <c r="AP214" s="90">
        <f>INDEX(AP$153:AP$170,MATCH($B214,$B$153:$B$170,0))*INDEX('Resource costs'!$C$121:$C$142, MATCH($B214, 'Resource costs'!$B$121:$B$142,0))</f>
        <v>16244.10808763589</v>
      </c>
      <c r="AQ214" s="90">
        <f>INDEX(AQ$153:AQ$170,MATCH($B214,$B$153:$B$170,0))*INDEX('Resource costs'!$C$121:$C$142, MATCH($B214, 'Resource costs'!$B$121:$B$142,0))</f>
        <v>16307.419263060036</v>
      </c>
      <c r="AR214" s="90">
        <f>INDEX(AR$153:AR$170,MATCH($B214,$B$153:$B$170,0))*INDEX('Resource costs'!$C$121:$C$142, MATCH($B214, 'Resource costs'!$B$121:$B$142,0))</f>
        <v>16369.93581349683</v>
      </c>
      <c r="AS214" s="90">
        <f>INDEX(AS$153:AS$170,MATCH($B214,$B$153:$B$170,0))*INDEX('Resource costs'!$C$121:$C$142, MATCH($B214, 'Resource costs'!$B$121:$B$142,0))</f>
        <v>16434.77291011309</v>
      </c>
      <c r="AT214" s="90">
        <f>INDEX(AT$153:AT$170,MATCH($B214,$B$153:$B$170,0))*INDEX('Resource costs'!$C$121:$C$142, MATCH($B214, 'Resource costs'!$B$121:$B$142,0))</f>
        <v>16482.452631104035</v>
      </c>
      <c r="AU214" s="90">
        <f>INDEX(AU$153:AU$170,MATCH($B214,$B$153:$B$170,0))*INDEX('Resource costs'!$C$121:$C$142, MATCH($B214, 'Resource costs'!$B$121:$B$142,0))</f>
        <v>16519.207737672015</v>
      </c>
      <c r="AV214" s="90">
        <f>INDEX(AV$153:AV$170,MATCH($B214,$B$153:$B$170,0))*INDEX('Resource costs'!$C$121:$C$142, MATCH($B214, 'Resource costs'!$B$121:$B$142,0))</f>
        <v>16549.015266978371</v>
      </c>
      <c r="AW214" s="90">
        <f>INDEX(AW$153:AW$170,MATCH($B214,$B$153:$B$170,0))*INDEX('Resource costs'!$C$121:$C$142, MATCH($B214, 'Resource costs'!$B$121:$B$142,0))</f>
        <v>16561.601763351639</v>
      </c>
      <c r="AX214" s="90">
        <f>INDEX(AX$153:AX$170,MATCH($B214,$B$153:$B$170,0))*INDEX('Resource costs'!$C$121:$C$142, MATCH($B214, 'Resource costs'!$B$121:$B$142,0))</f>
        <v>16565.000855281709</v>
      </c>
      <c r="AY214" s="90">
        <f>INDEX(AY$153:AY$170,MATCH($B214,$B$153:$B$170,0))*INDEX('Resource costs'!$C$121:$C$142, MATCH($B214, 'Resource costs'!$B$121:$B$142,0))</f>
        <v>16563.804156618306</v>
      </c>
      <c r="AZ214" s="90">
        <f>INDEX(AZ$153:AZ$170,MATCH($B214,$B$153:$B$170,0))*INDEX('Resource costs'!$C$121:$C$142, MATCH($B214, 'Resource costs'!$B$121:$B$142,0))</f>
        <v>16560.578088677274</v>
      </c>
      <c r="BA214" s="90">
        <f>INDEX(BA$153:BA$170,MATCH($B214,$B$153:$B$170,0))*INDEX('Resource costs'!$C$121:$C$142, MATCH($B214, 'Resource costs'!$B$121:$B$142,0))</f>
        <v>16556.708046975262</v>
      </c>
      <c r="BB214" s="90">
        <f>INDEX(BB$153:BB$170,MATCH($B214,$B$153:$B$170,0))*INDEX('Resource costs'!$C$121:$C$142, MATCH($B214, 'Resource costs'!$B$121:$B$142,0))</f>
        <v>16552.900193313657</v>
      </c>
    </row>
    <row r="215" spans="2:54" s="97" customFormat="1">
      <c r="B215" s="6" t="s">
        <v>102</v>
      </c>
      <c r="C215" s="315"/>
      <c r="D215" s="90">
        <f>INDEX(D$153:D$170,MATCH($B215,$B$153:$B$170,0))*INDEX('Resource costs'!$C$121:$C$142, MATCH($B215, 'Resource costs'!$B$121:$B$142,0))</f>
        <v>1979.5956693737976</v>
      </c>
      <c r="E215" s="90">
        <f>INDEX(E$153:E$170,MATCH($B215,$B$153:$B$170,0))*INDEX('Resource costs'!$C$121:$C$142, MATCH($B215, 'Resource costs'!$B$121:$B$142,0))</f>
        <v>2047.2591510182465</v>
      </c>
      <c r="F215" s="90">
        <f>INDEX(F$153:F$170,MATCH($B215,$B$153:$B$170,0))*INDEX('Resource costs'!$C$121:$C$142, MATCH($B215, 'Resource costs'!$B$121:$B$142,0))</f>
        <v>2105.170754596867</v>
      </c>
      <c r="G215" s="90">
        <f>INDEX(G$153:G$170,MATCH($B215,$B$153:$B$170,0))*INDEX('Resource costs'!$C$121:$C$142, MATCH($B215, 'Resource costs'!$B$121:$B$142,0))</f>
        <v>2156.5151189982698</v>
      </c>
      <c r="H215" s="90">
        <f>INDEX(H$153:H$170,MATCH($B215,$B$153:$B$170,0))*INDEX('Resource costs'!$C$121:$C$142, MATCH($B215, 'Resource costs'!$B$121:$B$142,0))</f>
        <v>13748.238849928477</v>
      </c>
      <c r="I215" s="90">
        <f>INDEX(I$153:I$170,MATCH($B215,$B$153:$B$170,0))*INDEX('Resource costs'!$C$121:$C$142, MATCH($B215, 'Resource costs'!$B$121:$B$142,0))</f>
        <v>12209.720874390603</v>
      </c>
      <c r="J215" s="90">
        <f>INDEX(J$153:J$170,MATCH($B215,$B$153:$B$170,0))*INDEX('Resource costs'!$C$121:$C$142, MATCH($B215, 'Resource costs'!$B$121:$B$142,0))</f>
        <v>11308.065374013911</v>
      </c>
      <c r="K215" s="90">
        <f>INDEX(K$153:K$170,MATCH($B215,$B$153:$B$170,0))*INDEX('Resource costs'!$C$121:$C$142, MATCH($B215, 'Resource costs'!$B$121:$B$142,0))</f>
        <v>10807.425840676025</v>
      </c>
      <c r="L215" s="90">
        <f>INDEX(L$153:L$170,MATCH($B215,$B$153:$B$170,0))*INDEX('Resource costs'!$C$121:$C$142, MATCH($B215, 'Resource costs'!$B$121:$B$142,0))</f>
        <v>10577.37256685757</v>
      </c>
      <c r="M215" s="90">
        <f>INDEX(M$153:M$170,MATCH($B215,$B$153:$B$170,0))*INDEX('Resource costs'!$C$121:$C$142, MATCH($B215, 'Resource costs'!$B$121:$B$142,0))</f>
        <v>10505.770786752408</v>
      </c>
      <c r="N215" s="90">
        <f>INDEX(N$153:N$170,MATCH($B215,$B$153:$B$170,0))*INDEX('Resource costs'!$C$121:$C$142, MATCH($B215, 'Resource costs'!$B$121:$B$142,0))</f>
        <v>10527.68482538536</v>
      </c>
      <c r="O215" s="90">
        <f>INDEX(O$153:O$170,MATCH($B215,$B$153:$B$170,0))*INDEX('Resource costs'!$C$121:$C$142, MATCH($B215, 'Resource costs'!$B$121:$B$142,0))</f>
        <v>10612.277305515348</v>
      </c>
      <c r="P215" s="90">
        <f>INDEX(P$153:P$170,MATCH($B215,$B$153:$B$170,0))*INDEX('Resource costs'!$C$121:$C$142, MATCH($B215, 'Resource costs'!$B$121:$B$142,0))</f>
        <v>10725.217323594261</v>
      </c>
      <c r="Q215" s="90">
        <f>INDEX(Q$153:Q$170,MATCH($B215,$B$153:$B$170,0))*INDEX('Resource costs'!$C$121:$C$142, MATCH($B215, 'Resource costs'!$B$121:$B$142,0))</f>
        <v>10852.561310912659</v>
      </c>
      <c r="R215" s="90">
        <f>INDEX(R$153:R$170,MATCH($B215,$B$153:$B$170,0))*INDEX('Resource costs'!$C$121:$C$142, MATCH($B215, 'Resource costs'!$B$121:$B$142,0))</f>
        <v>10989.168646805525</v>
      </c>
      <c r="S215" s="90">
        <f>INDEX(S$153:S$170,MATCH($B215,$B$153:$B$170,0))*INDEX('Resource costs'!$C$121:$C$142, MATCH($B215, 'Resource costs'!$B$121:$B$142,0))</f>
        <v>11130.560667961738</v>
      </c>
      <c r="T215" s="90">
        <f>INDEX(T$153:T$170,MATCH($B215,$B$153:$B$170,0))*INDEX('Resource costs'!$C$121:$C$142, MATCH($B215, 'Resource costs'!$B$121:$B$142,0))</f>
        <v>11273.156230144234</v>
      </c>
      <c r="U215" s="90">
        <f>INDEX(U$153:U$170,MATCH($B215,$B$153:$B$170,0))*INDEX('Resource costs'!$C$121:$C$142, MATCH($B215, 'Resource costs'!$B$121:$B$142,0))</f>
        <v>11417.405952437928</v>
      </c>
      <c r="V215" s="90">
        <f>INDEX(V$153:V$170,MATCH($B215,$B$153:$B$170,0))*INDEX('Resource costs'!$C$121:$C$142, MATCH($B215, 'Resource costs'!$B$121:$B$142,0))</f>
        <v>11568.658052216972</v>
      </c>
      <c r="W215" s="90">
        <f>INDEX(W$153:W$170,MATCH($B215,$B$153:$B$170,0))*INDEX('Resource costs'!$C$121:$C$142, MATCH($B215, 'Resource costs'!$B$121:$B$142,0))</f>
        <v>11717.899486611035</v>
      </c>
      <c r="X215" s="90">
        <f>INDEX(X$153:X$170,MATCH($B215,$B$153:$B$170,0))*INDEX('Resource costs'!$C$121:$C$142, MATCH($B215, 'Resource costs'!$B$121:$B$142,0))</f>
        <v>11863.57236463421</v>
      </c>
      <c r="Y215" s="90">
        <f>INDEX(Y$153:Y$170,MATCH($B215,$B$153:$B$170,0))*INDEX('Resource costs'!$C$121:$C$142, MATCH($B215, 'Resource costs'!$B$121:$B$142,0))</f>
        <v>12009.036786045026</v>
      </c>
      <c r="Z215" s="90">
        <f>INDEX(Z$153:Z$170,MATCH($B215,$B$153:$B$170,0))*INDEX('Resource costs'!$C$121:$C$142, MATCH($B215, 'Resource costs'!$B$121:$B$142,0))</f>
        <v>12152.404396194084</v>
      </c>
      <c r="AA215" s="90">
        <f>INDEX(AA$153:AA$170,MATCH($B215,$B$153:$B$170,0))*INDEX('Resource costs'!$C$121:$C$142, MATCH($B215, 'Resource costs'!$B$121:$B$142,0))</f>
        <v>12292.426632601409</v>
      </c>
      <c r="AB215" s="90">
        <f>INDEX(AB$153:AB$170,MATCH($B215,$B$153:$B$170,0))*INDEX('Resource costs'!$C$121:$C$142, MATCH($B215, 'Resource costs'!$B$121:$B$142,0))</f>
        <v>12428.351361964951</v>
      </c>
      <c r="AC215" s="90">
        <f>INDEX(AC$153:AC$170,MATCH($B215,$B$153:$B$170,0))*INDEX('Resource costs'!$C$121:$C$142, MATCH($B215, 'Resource costs'!$B$121:$B$142,0))</f>
        <v>12561.203547526526</v>
      </c>
      <c r="AD215" s="90">
        <f>INDEX(AD$153:AD$170,MATCH($B215,$B$153:$B$170,0))*INDEX('Resource costs'!$C$121:$C$142, MATCH($B215, 'Resource costs'!$B$121:$B$142,0))</f>
        <v>12689.405857739017</v>
      </c>
      <c r="AE215" s="90">
        <f>INDEX(AE$153:AE$170,MATCH($B215,$B$153:$B$170,0))*INDEX('Resource costs'!$C$121:$C$142, MATCH($B215, 'Resource costs'!$B$121:$B$142,0))</f>
        <v>12811.641369990462</v>
      </c>
      <c r="AF215" s="90">
        <f>INDEX(AF$153:AF$170,MATCH($B215,$B$153:$B$170,0))*INDEX('Resource costs'!$C$121:$C$142, MATCH($B215, 'Resource costs'!$B$121:$B$142,0))</f>
        <v>12927.091866449209</v>
      </c>
      <c r="AG215" s="90">
        <f>INDEX(AG$153:AG$170,MATCH($B215,$B$153:$B$170,0))*INDEX('Resource costs'!$C$121:$C$142, MATCH($B215, 'Resource costs'!$B$121:$B$142,0))</f>
        <v>13036.186030008399</v>
      </c>
      <c r="AH215" s="90">
        <f>INDEX(AH$153:AH$170,MATCH($B215,$B$153:$B$170,0))*INDEX('Resource costs'!$C$121:$C$142, MATCH($B215, 'Resource costs'!$B$121:$B$142,0))</f>
        <v>13141.63811344147</v>
      </c>
      <c r="AI215" s="90">
        <f>INDEX(AI$153:AI$170,MATCH($B215,$B$153:$B$170,0))*INDEX('Resource costs'!$C$121:$C$142, MATCH($B215, 'Resource costs'!$B$121:$B$142,0))</f>
        <v>13243.765324906455</v>
      </c>
      <c r="AJ215" s="90">
        <f>INDEX(AJ$153:AJ$170,MATCH($B215,$B$153:$B$170,0))*INDEX('Resource costs'!$C$121:$C$142, MATCH($B215, 'Resource costs'!$B$121:$B$142,0))</f>
        <v>13344.149368559214</v>
      </c>
      <c r="AK215" s="90">
        <f>INDEX(AK$153:AK$170,MATCH($B215,$B$153:$B$170,0))*INDEX('Resource costs'!$C$121:$C$142, MATCH($B215, 'Resource costs'!$B$121:$B$142,0))</f>
        <v>13441.292108733327</v>
      </c>
      <c r="AL215" s="90">
        <f>INDEX(AL$153:AL$170,MATCH($B215,$B$153:$B$170,0))*INDEX('Resource costs'!$C$121:$C$142, MATCH($B215, 'Resource costs'!$B$121:$B$142,0))</f>
        <v>13532.624002841365</v>
      </c>
      <c r="AM215" s="90">
        <f>INDEX(AM$153:AM$170,MATCH($B215,$B$153:$B$170,0))*INDEX('Resource costs'!$C$121:$C$142, MATCH($B215, 'Resource costs'!$B$121:$B$142,0))</f>
        <v>13616.852350004405</v>
      </c>
      <c r="AN215" s="90">
        <f>INDEX(AN$153:AN$170,MATCH($B215,$B$153:$B$170,0))*INDEX('Resource costs'!$C$121:$C$142, MATCH($B215, 'Resource costs'!$B$121:$B$142,0))</f>
        <v>13692.987136259228</v>
      </c>
      <c r="AO215" s="90">
        <f>INDEX(AO$153:AO$170,MATCH($B215,$B$153:$B$170,0))*INDEX('Resource costs'!$C$121:$C$142, MATCH($B215, 'Resource costs'!$B$121:$B$142,0))</f>
        <v>13760.477729178263</v>
      </c>
      <c r="AP215" s="90">
        <f>INDEX(AP$153:AP$170,MATCH($B215,$B$153:$B$170,0))*INDEX('Resource costs'!$C$121:$C$142, MATCH($B215, 'Resource costs'!$B$121:$B$142,0))</f>
        <v>13818.910257523754</v>
      </c>
      <c r="AQ215" s="90">
        <f>INDEX(AQ$153:AQ$170,MATCH($B215,$B$153:$B$170,0))*INDEX('Resource costs'!$C$121:$C$142, MATCH($B215, 'Resource costs'!$B$121:$B$142,0))</f>
        <v>13872.769259616365</v>
      </c>
      <c r="AR215" s="90">
        <f>INDEX(AR$153:AR$170,MATCH($B215,$B$153:$B$170,0))*INDEX('Resource costs'!$C$121:$C$142, MATCH($B215, 'Resource costs'!$B$121:$B$142,0))</f>
        <v>13925.952271908287</v>
      </c>
      <c r="AS215" s="90">
        <f>INDEX(AS$153:AS$170,MATCH($B215,$B$153:$B$170,0))*INDEX('Resource costs'!$C$121:$C$142, MATCH($B215, 'Resource costs'!$B$121:$B$142,0))</f>
        <v>13981.109379621728</v>
      </c>
      <c r="AT215" s="90">
        <f>INDEX(AT$153:AT$170,MATCH($B215,$B$153:$B$170,0))*INDEX('Resource costs'!$C$121:$C$142, MATCH($B215, 'Resource costs'!$B$121:$B$142,0))</f>
        <v>14021.670657712404</v>
      </c>
      <c r="AU215" s="90">
        <f>INDEX(AU$153:AU$170,MATCH($B215,$B$153:$B$170,0))*INDEX('Resource costs'!$C$121:$C$142, MATCH($B215, 'Resource costs'!$B$121:$B$142,0))</f>
        <v>14052.938334363442</v>
      </c>
      <c r="AV215" s="90">
        <f>INDEX(AV$153:AV$170,MATCH($B215,$B$153:$B$170,0))*INDEX('Resource costs'!$C$121:$C$142, MATCH($B215, 'Resource costs'!$B$121:$B$142,0))</f>
        <v>14078.295686719188</v>
      </c>
      <c r="AW215" s="90">
        <f>INDEX(AW$153:AW$170,MATCH($B215,$B$153:$B$170,0))*INDEX('Resource costs'!$C$121:$C$142, MATCH($B215, 'Resource costs'!$B$121:$B$142,0))</f>
        <v>14089.003055994279</v>
      </c>
      <c r="AX215" s="90">
        <f>INDEX(AX$153:AX$170,MATCH($B215,$B$153:$B$170,0))*INDEX('Resource costs'!$C$121:$C$142, MATCH($B215, 'Resource costs'!$B$121:$B$142,0))</f>
        <v>14091.894673440143</v>
      </c>
      <c r="AY215" s="90">
        <f>INDEX(AY$153:AY$170,MATCH($B215,$B$153:$B$170,0))*INDEX('Resource costs'!$C$121:$C$142, MATCH($B215, 'Resource costs'!$B$121:$B$142,0))</f>
        <v>14090.876638387334</v>
      </c>
      <c r="AZ215" s="90">
        <f>INDEX(AZ$153:AZ$170,MATCH($B215,$B$153:$B$170,0))*INDEX('Resource costs'!$C$121:$C$142, MATCH($B215, 'Resource costs'!$B$121:$B$142,0))</f>
        <v>14088.132212954968</v>
      </c>
      <c r="BA215" s="90">
        <f>INDEX(BA$153:BA$170,MATCH($B215,$B$153:$B$170,0))*INDEX('Resource costs'!$C$121:$C$142, MATCH($B215, 'Resource costs'!$B$121:$B$142,0))</f>
        <v>14084.839957160777</v>
      </c>
      <c r="BB215" s="90">
        <f>INDEX(BB$153:BB$170,MATCH($B215,$B$153:$B$170,0))*INDEX('Resource costs'!$C$121:$C$142, MATCH($B215, 'Resource costs'!$B$121:$B$142,0))</f>
        <v>14081.600604914434</v>
      </c>
    </row>
    <row r="216" spans="2:54">
      <c r="B216" s="6" t="s">
        <v>2831</v>
      </c>
      <c r="C216" s="52"/>
      <c r="D216" s="90">
        <f>INDEX(D$153:D$170,MATCH($B216,$B$153:$B$170,0))*INDEX('Resource costs'!$C$121:$C$142, MATCH($B216, 'Resource costs'!$B$121:$B$142,0))</f>
        <v>141057.34112134538</v>
      </c>
      <c r="E216" s="90">
        <f>INDEX(E$153:E$170,MATCH($B216,$B$153:$B$170,0))*INDEX('Resource costs'!$C$121:$C$142, MATCH($B216, 'Resource costs'!$B$121:$B$142,0))</f>
        <v>145878.74528960066</v>
      </c>
      <c r="F216" s="90">
        <f>INDEX(F$153:F$170,MATCH($B216,$B$153:$B$170,0))*INDEX('Resource costs'!$C$121:$C$142, MATCH($B216, 'Resource costs'!$B$121:$B$142,0))</f>
        <v>150005.27322015411</v>
      </c>
      <c r="G216" s="90">
        <f>INDEX(G$153:G$170,MATCH($B216,$B$153:$B$170,0))*INDEX('Resource costs'!$C$121:$C$142, MATCH($B216, 'Resource costs'!$B$121:$B$142,0))</f>
        <v>153663.84837066368</v>
      </c>
      <c r="H216" s="90">
        <f>INDEX(H$153:H$170,MATCH($B216,$B$153:$B$170,0))*INDEX('Resource costs'!$C$121:$C$142, MATCH($B216, 'Resource costs'!$B$121:$B$142,0))</f>
        <v>130997.29245865894</v>
      </c>
      <c r="I216" s="90">
        <f>INDEX(I$153:I$170,MATCH($B216,$B$153:$B$170,0))*INDEX('Resource costs'!$C$121:$C$142, MATCH($B216, 'Resource costs'!$B$121:$B$142,0))</f>
        <v>116337.83742631585</v>
      </c>
      <c r="J216" s="90">
        <f>INDEX(J$153:J$170,MATCH($B216,$B$153:$B$170,0))*INDEX('Resource costs'!$C$121:$C$142, MATCH($B216, 'Resource costs'!$B$121:$B$142,0))</f>
        <v>107746.59671766184</v>
      </c>
      <c r="K216" s="90">
        <f>INDEX(K$153:K$170,MATCH($B216,$B$153:$B$170,0))*INDEX('Resource costs'!$C$121:$C$142, MATCH($B216, 'Resource costs'!$B$121:$B$142,0))</f>
        <v>102976.35493753952</v>
      </c>
      <c r="L216" s="90">
        <f>INDEX(L$153:L$170,MATCH($B216,$B$153:$B$170,0))*INDEX('Resource costs'!$C$121:$C$142, MATCH($B216, 'Resource costs'!$B$121:$B$142,0))</f>
        <v>100784.33919498317</v>
      </c>
      <c r="M216" s="90">
        <f>INDEX(M$153:M$170,MATCH($B216,$B$153:$B$170,0))*INDEX('Resource costs'!$C$121:$C$142, MATCH($B216, 'Resource costs'!$B$121:$B$142,0))</f>
        <v>100102.09622325555</v>
      </c>
      <c r="N216" s="90">
        <f>INDEX(N$153:N$170,MATCH($B216,$B$153:$B$170,0))*INDEX('Resource costs'!$C$121:$C$142, MATCH($B216, 'Resource costs'!$B$121:$B$142,0))</f>
        <v>100310.89967503483</v>
      </c>
      <c r="O216" s="90">
        <f>INDEX(O$153:O$170,MATCH($B216,$B$153:$B$170,0))*INDEX('Resource costs'!$C$121:$C$142, MATCH($B216, 'Resource costs'!$B$121:$B$142,0))</f>
        <v>101116.92188488673</v>
      </c>
      <c r="P216" s="90">
        <f>INDEX(P$153:P$170,MATCH($B216,$B$153:$B$170,0))*INDEX('Resource costs'!$C$121:$C$142, MATCH($B216, 'Resource costs'!$B$121:$B$142,0))</f>
        <v>102193.04783382213</v>
      </c>
      <c r="Q216" s="90">
        <f>INDEX(Q$153:Q$170,MATCH($B216,$B$153:$B$170,0))*INDEX('Resource costs'!$C$121:$C$142, MATCH($B216, 'Resource costs'!$B$121:$B$142,0))</f>
        <v>103406.41906861754</v>
      </c>
      <c r="R216" s="90">
        <f>INDEX(R$153:R$170,MATCH($B216,$B$153:$B$170,0))*INDEX('Resource costs'!$C$121:$C$142, MATCH($B216, 'Resource costs'!$B$121:$B$142,0))</f>
        <v>104708.05423274978</v>
      </c>
      <c r="S216" s="90">
        <f>INDEX(S$153:S$170,MATCH($B216,$B$153:$B$170,0))*INDEX('Resource costs'!$C$121:$C$142, MATCH($B216, 'Resource costs'!$B$121:$B$142,0))</f>
        <v>106055.27929545792</v>
      </c>
      <c r="T216" s="90">
        <f>INDEX(T$153:T$170,MATCH($B216,$B$153:$B$170,0))*INDEX('Resource costs'!$C$121:$C$142, MATCH($B216, 'Resource costs'!$B$121:$B$142,0))</f>
        <v>107413.97205359433</v>
      </c>
      <c r="U216" s="90">
        <f>INDEX(U$153:U$170,MATCH($B216,$B$153:$B$170,0))*INDEX('Resource costs'!$C$121:$C$142, MATCH($B216, 'Resource costs'!$B$121:$B$142,0))</f>
        <v>108788.42613928876</v>
      </c>
      <c r="V216" s="90">
        <f>INDEX(V$153:V$170,MATCH($B216,$B$153:$B$170,0))*INDEX('Resource costs'!$C$121:$C$142, MATCH($B216, 'Resource costs'!$B$121:$B$142,0))</f>
        <v>110229.60095200631</v>
      </c>
      <c r="W216" s="90">
        <f>INDEX(W$153:W$170,MATCH($B216,$B$153:$B$170,0))*INDEX('Resource costs'!$C$121:$C$142, MATCH($B216, 'Resource costs'!$B$121:$B$142,0))</f>
        <v>111651.61754930818</v>
      </c>
      <c r="X216" s="90">
        <f>INDEX(X$153:X$170,MATCH($B216,$B$153:$B$170,0))*INDEX('Resource costs'!$C$121:$C$142, MATCH($B216, 'Resource costs'!$B$121:$B$142,0))</f>
        <v>113039.63188438033</v>
      </c>
      <c r="Y216" s="90">
        <f>INDEX(Y$153:Y$170,MATCH($B216,$B$153:$B$170,0))*INDEX('Resource costs'!$C$121:$C$142, MATCH($B216, 'Resource costs'!$B$121:$B$142,0))</f>
        <v>114425.65998309797</v>
      </c>
      <c r="Z216" s="90">
        <f>INDEX(Z$153:Z$170,MATCH($B216,$B$153:$B$170,0))*INDEX('Resource costs'!$C$121:$C$142, MATCH($B216, 'Resource costs'!$B$121:$B$142,0))</f>
        <v>115791.70904296669</v>
      </c>
      <c r="AA216" s="90">
        <f>INDEX(AA$153:AA$170,MATCH($B216,$B$153:$B$170,0))*INDEX('Resource costs'!$C$121:$C$142, MATCH($B216, 'Resource costs'!$B$121:$B$142,0))</f>
        <v>117125.88239081051</v>
      </c>
      <c r="AB216" s="90">
        <f>INDEX(AB$153:AB$170,MATCH($B216,$B$153:$B$170,0))*INDEX('Resource costs'!$C$121:$C$142, MATCH($B216, 'Resource costs'!$B$121:$B$142,0))</f>
        <v>118421.01347772006</v>
      </c>
      <c r="AC216" s="90">
        <f>INDEX(AC$153:AC$170,MATCH($B216,$B$153:$B$170,0))*INDEX('Resource costs'!$C$121:$C$142, MATCH($B216, 'Resource costs'!$B$121:$B$142,0))</f>
        <v>119686.86845709234</v>
      </c>
      <c r="AD216" s="90">
        <f>INDEX(AD$153:AD$170,MATCH($B216,$B$153:$B$170,0))*INDEX('Resource costs'!$C$121:$C$142, MATCH($B216, 'Resource costs'!$B$121:$B$142,0))</f>
        <v>120908.41804668716</v>
      </c>
      <c r="AE216" s="90">
        <f>INDEX(AE$153:AE$170,MATCH($B216,$B$153:$B$170,0))*INDEX('Resource costs'!$C$121:$C$142, MATCH($B216, 'Resource costs'!$B$121:$B$142,0))</f>
        <v>122073.11421774037</v>
      </c>
      <c r="AF216" s="90">
        <f>INDEX(AF$153:AF$170,MATCH($B216,$B$153:$B$170,0))*INDEX('Resource costs'!$C$121:$C$142, MATCH($B216, 'Resource costs'!$B$121:$B$142,0))</f>
        <v>123173.160748368</v>
      </c>
      <c r="AG216" s="90">
        <f>INDEX(AG$153:AG$170,MATCH($B216,$B$153:$B$170,0))*INDEX('Resource costs'!$C$121:$C$142, MATCH($B216, 'Resource costs'!$B$121:$B$142,0))</f>
        <v>124212.64225616636</v>
      </c>
      <c r="AH216" s="90">
        <f>INDEX(AH$153:AH$170,MATCH($B216,$B$153:$B$170,0))*INDEX('Resource costs'!$C$121:$C$142, MATCH($B216, 'Resource costs'!$B$121:$B$142,0))</f>
        <v>125217.42094561493</v>
      </c>
      <c r="AI216" s="90">
        <f>INDEX(AI$153:AI$170,MATCH($B216,$B$153:$B$170,0))*INDEX('Resource costs'!$C$121:$C$142, MATCH($B216, 'Resource costs'!$B$121:$B$142,0))</f>
        <v>126190.51927001125</v>
      </c>
      <c r="AJ216" s="90">
        <f>INDEX(AJ$153:AJ$170,MATCH($B216,$B$153:$B$170,0))*INDEX('Resource costs'!$C$121:$C$142, MATCH($B216, 'Resource costs'!$B$121:$B$142,0))</f>
        <v>127147.00817510701</v>
      </c>
      <c r="AK216" s="90">
        <f>INDEX(AK$153:AK$170,MATCH($B216,$B$153:$B$170,0))*INDEX('Resource costs'!$C$121:$C$142, MATCH($B216, 'Resource costs'!$B$121:$B$142,0))</f>
        <v>128072.61298047379</v>
      </c>
      <c r="AL216" s="90">
        <f>INDEX(AL$153:AL$170,MATCH($B216,$B$153:$B$170,0))*INDEX('Resource costs'!$C$121:$C$142, MATCH($B216, 'Resource costs'!$B$121:$B$142,0))</f>
        <v>128942.85032315248</v>
      </c>
      <c r="AM216" s="90">
        <f>INDEX(AM$153:AM$170,MATCH($B216,$B$153:$B$170,0))*INDEX('Resource costs'!$C$121:$C$142, MATCH($B216, 'Resource costs'!$B$121:$B$142,0))</f>
        <v>129745.40296622674</v>
      </c>
      <c r="AN216" s="90">
        <f>INDEX(AN$153:AN$170,MATCH($B216,$B$153:$B$170,0))*INDEX('Resource costs'!$C$121:$C$142, MATCH($B216, 'Resource costs'!$B$121:$B$142,0))</f>
        <v>130470.83776337914</v>
      </c>
      <c r="AO216" s="90">
        <f>INDEX(AO$153:AO$170,MATCH($B216,$B$153:$B$170,0))*INDEX('Resource costs'!$C$121:$C$142, MATCH($B216, 'Resource costs'!$B$121:$B$142,0))</f>
        <v>131113.90812572371</v>
      </c>
      <c r="AP216" s="90">
        <f>INDEX(AP$153:AP$170,MATCH($B216,$B$153:$B$170,0))*INDEX('Resource costs'!$C$121:$C$142, MATCH($B216, 'Resource costs'!$B$121:$B$142,0))</f>
        <v>131670.67056550435</v>
      </c>
      <c r="AQ216" s="90">
        <f>INDEX(AQ$153:AQ$170,MATCH($B216,$B$153:$B$170,0))*INDEX('Resource costs'!$C$121:$C$142, MATCH($B216, 'Resource costs'!$B$121:$B$142,0))</f>
        <v>132183.85509231332</v>
      </c>
      <c r="AR216" s="90">
        <f>INDEX(AR$153:AR$170,MATCH($B216,$B$153:$B$170,0))*INDEX('Resource costs'!$C$121:$C$142, MATCH($B216, 'Resource costs'!$B$121:$B$142,0))</f>
        <v>132690.59858805014</v>
      </c>
      <c r="AS216" s="90">
        <f>INDEX(AS$153:AS$170,MATCH($B216,$B$153:$B$170,0))*INDEX('Resource costs'!$C$121:$C$142, MATCH($B216, 'Resource costs'!$B$121:$B$142,0))</f>
        <v>133216.15184975744</v>
      </c>
      <c r="AT216" s="90">
        <f>INDEX(AT$153:AT$170,MATCH($B216,$B$153:$B$170,0))*INDEX('Resource costs'!$C$121:$C$142, MATCH($B216, 'Resource costs'!$B$121:$B$142,0))</f>
        <v>133602.63172303731</v>
      </c>
      <c r="AU216" s="90">
        <f>INDEX(AU$153:AU$170,MATCH($B216,$B$153:$B$170,0))*INDEX('Resource costs'!$C$121:$C$142, MATCH($B216, 'Resource costs'!$B$121:$B$142,0))</f>
        <v>133900.55940871901</v>
      </c>
      <c r="AV216" s="90">
        <f>INDEX(AV$153:AV$170,MATCH($B216,$B$153:$B$170,0))*INDEX('Resource costs'!$C$121:$C$142, MATCH($B216, 'Resource costs'!$B$121:$B$142,0))</f>
        <v>134142.17177367589</v>
      </c>
      <c r="AW216" s="90">
        <f>INDEX(AW$153:AW$170,MATCH($B216,$B$153:$B$170,0))*INDEX('Resource costs'!$C$121:$C$142, MATCH($B216, 'Resource costs'!$B$121:$B$142,0))</f>
        <v>134244.19476001637</v>
      </c>
      <c r="AX216" s="90">
        <f>INDEX(AX$153:AX$170,MATCH($B216,$B$153:$B$170,0))*INDEX('Resource costs'!$C$121:$C$142, MATCH($B216, 'Resource costs'!$B$121:$B$142,0))</f>
        <v>134271.74694763613</v>
      </c>
      <c r="AY216" s="90">
        <f>INDEX(AY$153:AY$170,MATCH($B216,$B$153:$B$170,0))*INDEX('Resource costs'!$C$121:$C$142, MATCH($B216, 'Resource costs'!$B$121:$B$142,0))</f>
        <v>134262.04680807629</v>
      </c>
      <c r="AZ216" s="90">
        <f>INDEX(AZ$153:AZ$170,MATCH($B216,$B$153:$B$170,0))*INDEX('Resource costs'!$C$121:$C$142, MATCH($B216, 'Resource costs'!$B$121:$B$142,0))</f>
        <v>134235.89710956445</v>
      </c>
      <c r="BA216" s="90">
        <f>INDEX(BA$153:BA$170,MATCH($B216,$B$153:$B$170,0))*INDEX('Resource costs'!$C$121:$C$142, MATCH($B216, 'Resource costs'!$B$121:$B$142,0))</f>
        <v>134204.52752107912</v>
      </c>
      <c r="BB216" s="90">
        <f>INDEX(BB$153:BB$170,MATCH($B216,$B$153:$B$170,0))*INDEX('Resource costs'!$C$121:$C$142, MATCH($B216, 'Resource costs'!$B$121:$B$142,0))</f>
        <v>134173.66201326952</v>
      </c>
    </row>
    <row r="217" spans="2:54">
      <c r="B217" s="6" t="s">
        <v>2832</v>
      </c>
      <c r="C217" s="52"/>
      <c r="D217" s="90">
        <f>INDEX(D$153:D$170,MATCH($B217,$B$153:$B$170,0))*INDEX('Resource costs'!$C$121:$C$142, MATCH($B217, 'Resource costs'!$B$121:$B$142,0))</f>
        <v>57355.843544664094</v>
      </c>
      <c r="E217" s="90">
        <f>INDEX(E$153:E$170,MATCH($B217,$B$153:$B$170,0))*INDEX('Resource costs'!$C$121:$C$142, MATCH($B217, 'Resource costs'!$B$121:$B$142,0))</f>
        <v>59316.292401431856</v>
      </c>
      <c r="F217" s="90">
        <f>INDEX(F$153:F$170,MATCH($B217,$B$153:$B$170,0))*INDEX('Resource costs'!$C$121:$C$142, MATCH($B217, 'Resource costs'!$B$121:$B$142,0))</f>
        <v>60994.195079066361</v>
      </c>
      <c r="G217" s="90">
        <f>INDEX(G$153:G$170,MATCH($B217,$B$153:$B$170,0))*INDEX('Resource costs'!$C$121:$C$142, MATCH($B217, 'Resource costs'!$B$121:$B$142,0))</f>
        <v>62481.821758123828</v>
      </c>
      <c r="H217" s="90">
        <f>INDEX(H$153:H$170,MATCH($B217,$B$153:$B$170,0))*INDEX('Resource costs'!$C$121:$C$142, MATCH($B217, 'Resource costs'!$B$121:$B$142,0))</f>
        <v>11061.119066457102</v>
      </c>
      <c r="I217" s="90">
        <f>INDEX(I$153:I$170,MATCH($B217,$B$153:$B$170,0))*INDEX('Resource costs'!$C$121:$C$142, MATCH($B217, 'Resource costs'!$B$121:$B$142,0))</f>
        <v>9823.3073947899702</v>
      </c>
      <c r="J217" s="90">
        <f>INDEX(J$153:J$170,MATCH($B217,$B$153:$B$170,0))*INDEX('Resource costs'!$C$121:$C$142, MATCH($B217, 'Resource costs'!$B$121:$B$142,0))</f>
        <v>9097.8821999371467</v>
      </c>
      <c r="K217" s="90">
        <f>INDEX(K$153:K$170,MATCH($B217,$B$153:$B$170,0))*INDEX('Resource costs'!$C$121:$C$142, MATCH($B217, 'Resource costs'!$B$121:$B$142,0))</f>
        <v>8695.0936283918763</v>
      </c>
      <c r="L217" s="90">
        <f>INDEX(L$153:L$170,MATCH($B217,$B$153:$B$170,0))*INDEX('Resource costs'!$C$121:$C$142, MATCH($B217, 'Resource costs'!$B$121:$B$142,0))</f>
        <v>8510.0047103776651</v>
      </c>
      <c r="M217" s="90">
        <f>INDEX(M$153:M$170,MATCH($B217,$B$153:$B$170,0))*INDEX('Resource costs'!$C$121:$C$142, MATCH($B217, 'Resource costs'!$B$121:$B$142,0))</f>
        <v>8452.3976362092108</v>
      </c>
      <c r="N217" s="90">
        <f>INDEX(N$153:N$170,MATCH($B217,$B$153:$B$170,0))*INDEX('Resource costs'!$C$121:$C$142, MATCH($B217, 'Resource costs'!$B$121:$B$142,0))</f>
        <v>8470.0285337512087</v>
      </c>
      <c r="O217" s="90">
        <f>INDEX(O$153:O$170,MATCH($B217,$B$153:$B$170,0))*INDEX('Resource costs'!$C$121:$C$142, MATCH($B217, 'Resource costs'!$B$121:$B$142,0))</f>
        <v>8538.0872505845691</v>
      </c>
      <c r="P217" s="90">
        <f>INDEX(P$153:P$170,MATCH($B217,$B$153:$B$170,0))*INDEX('Resource costs'!$C$121:$C$142, MATCH($B217, 'Resource costs'!$B$121:$B$142,0))</f>
        <v>8628.9529244337828</v>
      </c>
      <c r="Q217" s="90">
        <f>INDEX(Q$153:Q$170,MATCH($B217,$B$153:$B$170,0))*INDEX('Resource costs'!$C$121:$C$142, MATCH($B217, 'Resource costs'!$B$121:$B$142,0))</f>
        <v>8731.4072839704259</v>
      </c>
      <c r="R217" s="90">
        <f>INDEX(R$153:R$170,MATCH($B217,$B$153:$B$170,0))*INDEX('Resource costs'!$C$121:$C$142, MATCH($B217, 'Resource costs'!$B$121:$B$142,0))</f>
        <v>8841.3144527471995</v>
      </c>
      <c r="S217" s="90">
        <f>INDEX(S$153:S$170,MATCH($B217,$B$153:$B$170,0))*INDEX('Resource costs'!$C$121:$C$142, MATCH($B217, 'Resource costs'!$B$121:$B$142,0))</f>
        <v>8955.071130829936</v>
      </c>
      <c r="T217" s="90">
        <f>INDEX(T$153:T$170,MATCH($B217,$B$153:$B$170,0))*INDEX('Resource costs'!$C$121:$C$142, MATCH($B217, 'Resource costs'!$B$121:$B$142,0))</f>
        <v>9069.7961155254998</v>
      </c>
      <c r="U217" s="90">
        <f>INDEX(U$153:U$170,MATCH($B217,$B$153:$B$170,0))*INDEX('Resource costs'!$C$121:$C$142, MATCH($B217, 'Resource costs'!$B$121:$B$142,0))</f>
        <v>9185.8519515500684</v>
      </c>
      <c r="V217" s="90">
        <f>INDEX(V$153:V$170,MATCH($B217,$B$153:$B$170,0))*INDEX('Resource costs'!$C$121:$C$142, MATCH($B217, 'Resource costs'!$B$121:$B$142,0))</f>
        <v>9307.5415368831273</v>
      </c>
      <c r="W217" s="90">
        <f>INDEX(W$153:W$170,MATCH($B217,$B$153:$B$170,0))*INDEX('Resource costs'!$C$121:$C$142, MATCH($B217, 'Resource costs'!$B$121:$B$142,0))</f>
        <v>9427.6134452563347</v>
      </c>
      <c r="X217" s="90">
        <f>INDEX(X$153:X$170,MATCH($B217,$B$153:$B$170,0))*INDEX('Resource costs'!$C$121:$C$142, MATCH($B217, 'Resource costs'!$B$121:$B$142,0))</f>
        <v>9544.8142784798729</v>
      </c>
      <c r="Y217" s="90">
        <f>INDEX(Y$153:Y$170,MATCH($B217,$B$153:$B$170,0))*INDEX('Resource costs'!$C$121:$C$142, MATCH($B217, 'Resource costs'!$B$121:$B$142,0))</f>
        <v>9661.8473983377444</v>
      </c>
      <c r="Z217" s="90">
        <f>INDEX(Z$153:Z$170,MATCH($B217,$B$153:$B$170,0))*INDEX('Resource costs'!$C$121:$C$142, MATCH($B217, 'Resource costs'!$B$121:$B$142,0))</f>
        <v>9777.1935327366537</v>
      </c>
      <c r="AA217" s="90">
        <f>INDEX(AA$153:AA$170,MATCH($B217,$B$153:$B$170,0))*INDEX('Resource costs'!$C$121:$C$142, MATCH($B217, 'Resource costs'!$B$121:$B$142,0))</f>
        <v>9889.848153139983</v>
      </c>
      <c r="AB217" s="90">
        <f>INDEX(AB$153:AB$170,MATCH($B217,$B$153:$B$170,0))*INDEX('Resource costs'!$C$121:$C$142, MATCH($B217, 'Resource costs'!$B$121:$B$142,0))</f>
        <v>9999.2061321493402</v>
      </c>
      <c r="AC217" s="90">
        <f>INDEX(AC$153:AC$170,MATCH($B217,$B$153:$B$170,0))*INDEX('Resource costs'!$C$121:$C$142, MATCH($B217, 'Resource costs'!$B$121:$B$142,0))</f>
        <v>10106.092101965267</v>
      </c>
      <c r="AD217" s="90">
        <f>INDEX(AD$153:AD$170,MATCH($B217,$B$153:$B$170,0))*INDEX('Resource costs'!$C$121:$C$142, MATCH($B217, 'Resource costs'!$B$121:$B$142,0))</f>
        <v>10209.237023531903</v>
      </c>
      <c r="AE217" s="90">
        <f>INDEX(AE$153:AE$170,MATCH($B217,$B$153:$B$170,0))*INDEX('Resource costs'!$C$121:$C$142, MATCH($B217, 'Resource costs'!$B$121:$B$142,0))</f>
        <v>10307.581369300209</v>
      </c>
      <c r="AF217" s="90">
        <f>INDEX(AF$153:AF$170,MATCH($B217,$B$153:$B$170,0))*INDEX('Resource costs'!$C$121:$C$142, MATCH($B217, 'Resource costs'!$B$121:$B$142,0))</f>
        <v>10400.466843690874</v>
      </c>
      <c r="AG217" s="90">
        <f>INDEX(AG$153:AG$170,MATCH($B217,$B$153:$B$170,0))*INDEX('Resource costs'!$C$121:$C$142, MATCH($B217, 'Resource costs'!$B$121:$B$142,0))</f>
        <v>10488.238342699273</v>
      </c>
      <c r="AH217" s="90">
        <f>INDEX(AH$153:AH$170,MATCH($B217,$B$153:$B$170,0))*INDEX('Resource costs'!$C$121:$C$142, MATCH($B217, 'Resource costs'!$B$121:$B$142,0))</f>
        <v>10573.079613162452</v>
      </c>
      <c r="AI217" s="90">
        <f>INDEX(AI$153:AI$170,MATCH($B217,$B$153:$B$170,0))*INDEX('Resource costs'!$C$121:$C$142, MATCH($B217, 'Resource costs'!$B$121:$B$142,0))</f>
        <v>10655.245864292525</v>
      </c>
      <c r="AJ217" s="90">
        <f>INDEX(AJ$153:AJ$170,MATCH($B217,$B$153:$B$170,0))*INDEX('Resource costs'!$C$121:$C$142, MATCH($B217, 'Resource costs'!$B$121:$B$142,0))</f>
        <v>10736.009653119292</v>
      </c>
      <c r="AK217" s="90">
        <f>INDEX(AK$153:AK$170,MATCH($B217,$B$153:$B$170,0))*INDEX('Resource costs'!$C$121:$C$142, MATCH($B217, 'Resource costs'!$B$121:$B$142,0))</f>
        <v>10814.165657480053</v>
      </c>
      <c r="AL217" s="90">
        <f>INDEX(AL$153:AL$170,MATCH($B217,$B$153:$B$170,0))*INDEX('Resource costs'!$C$121:$C$142, MATCH($B217, 'Resource costs'!$B$121:$B$142,0))</f>
        <v>10887.646556838978</v>
      </c>
      <c r="AM217" s="90">
        <f>INDEX(AM$153:AM$170,MATCH($B217,$B$153:$B$170,0))*INDEX('Resource costs'!$C$121:$C$142, MATCH($B217, 'Resource costs'!$B$121:$B$142,0))</f>
        <v>10955.412311195661</v>
      </c>
      <c r="AN217" s="90">
        <f>INDEX(AN$153:AN$170,MATCH($B217,$B$153:$B$170,0))*INDEX('Resource costs'!$C$121:$C$142, MATCH($B217, 'Resource costs'!$B$121:$B$142,0))</f>
        <v>11016.666406724284</v>
      </c>
      <c r="AO217" s="90">
        <f>INDEX(AO$153:AO$170,MATCH($B217,$B$153:$B$170,0))*INDEX('Resource costs'!$C$121:$C$142, MATCH($B217, 'Resource costs'!$B$121:$B$142,0))</f>
        <v>11070.965833166612</v>
      </c>
      <c r="AP217" s="90">
        <f>INDEX(AP$153:AP$170,MATCH($B217,$B$153:$B$170,0))*INDEX('Resource costs'!$C$121:$C$142, MATCH($B217, 'Resource costs'!$B$121:$B$142,0))</f>
        <v>11117.977611216058</v>
      </c>
      <c r="AQ217" s="90">
        <f>INDEX(AQ$153:AQ$170,MATCH($B217,$B$153:$B$170,0))*INDEX('Resource costs'!$C$121:$C$142, MATCH($B217, 'Resource costs'!$B$121:$B$142,0))</f>
        <v>11161.309767534396</v>
      </c>
      <c r="AR217" s="90">
        <f>INDEX(AR$153:AR$170,MATCH($B217,$B$153:$B$170,0))*INDEX('Resource costs'!$C$121:$C$142, MATCH($B217, 'Resource costs'!$B$121:$B$142,0))</f>
        <v>11204.098057561583</v>
      </c>
      <c r="AS217" s="90">
        <f>INDEX(AS$153:AS$170,MATCH($B217,$B$153:$B$170,0))*INDEX('Resource costs'!$C$121:$C$142, MATCH($B217, 'Resource costs'!$B$121:$B$142,0))</f>
        <v>11248.47460225501</v>
      </c>
      <c r="AT217" s="90">
        <f>INDEX(AT$153:AT$170,MATCH($B217,$B$153:$B$170,0))*INDEX('Resource costs'!$C$121:$C$142, MATCH($B217, 'Resource costs'!$B$121:$B$142,0))</f>
        <v>11281.108100359459</v>
      </c>
      <c r="AU217" s="90">
        <f>INDEX(AU$153:AU$170,MATCH($B217,$B$153:$B$170,0))*INDEX('Resource costs'!$C$121:$C$142, MATCH($B217, 'Resource costs'!$B$121:$B$142,0))</f>
        <v>11306.264449339415</v>
      </c>
      <c r="AV217" s="90">
        <f>INDEX(AV$153:AV$170,MATCH($B217,$B$153:$B$170,0))*INDEX('Resource costs'!$C$121:$C$142, MATCH($B217, 'Resource costs'!$B$121:$B$142,0))</f>
        <v>11326.665658299973</v>
      </c>
      <c r="AW217" s="90">
        <f>INDEX(AW$153:AW$170,MATCH($B217,$B$153:$B$170,0))*INDEX('Resource costs'!$C$121:$C$142, MATCH($B217, 'Resource costs'!$B$121:$B$142,0))</f>
        <v>11335.280251611386</v>
      </c>
      <c r="AX217" s="90">
        <f>INDEX(AX$153:AX$170,MATCH($B217,$B$153:$B$170,0))*INDEX('Resource costs'!$C$121:$C$142, MATCH($B217, 'Resource costs'!$B$121:$B$142,0))</f>
        <v>11337.606696853753</v>
      </c>
      <c r="AY217" s="90">
        <f>INDEX(AY$153:AY$170,MATCH($B217,$B$153:$B$170,0))*INDEX('Resource costs'!$C$121:$C$142, MATCH($B217, 'Resource costs'!$B$121:$B$142,0))</f>
        <v>11336.787638714317</v>
      </c>
      <c r="AZ217" s="90">
        <f>INDEX(AZ$153:AZ$170,MATCH($B217,$B$153:$B$170,0))*INDEX('Resource costs'!$C$121:$C$142, MATCH($B217, 'Resource costs'!$B$121:$B$142,0))</f>
        <v>11334.579616522691</v>
      </c>
      <c r="BA217" s="90">
        <f>INDEX(BA$153:BA$170,MATCH($B217,$B$153:$B$170,0))*INDEX('Resource costs'!$C$121:$C$142, MATCH($B217, 'Resource costs'!$B$121:$B$142,0))</f>
        <v>11331.930838469423</v>
      </c>
      <c r="BB217" s="90">
        <f>INDEX(BB$153:BB$170,MATCH($B217,$B$153:$B$170,0))*INDEX('Resource costs'!$C$121:$C$142, MATCH($B217, 'Resource costs'!$B$121:$B$142,0))</f>
        <v>11329.324623863602</v>
      </c>
    </row>
    <row r="218" spans="2:54">
      <c r="B218" s="6" t="s">
        <v>2871</v>
      </c>
      <c r="C218" s="52"/>
      <c r="D218" s="90">
        <f>INDEX(D$153:D$170,MATCH($B218,$B$153:$B$170,0))*INDEX('Resource costs'!$C$121:$C$142, MATCH($B218, 'Resource costs'!$B$121:$B$142,0))</f>
        <v>3930.3648094495934</v>
      </c>
      <c r="E218" s="90">
        <f>INDEX(E$153:E$170,MATCH($B218,$B$153:$B$170,0))*INDEX('Resource costs'!$C$121:$C$142, MATCH($B218, 'Resource costs'!$B$121:$B$142,0))</f>
        <v>4064.7064688371925</v>
      </c>
      <c r="F218" s="90">
        <f>INDEX(F$153:F$170,MATCH($B218,$B$153:$B$170,0))*INDEX('Resource costs'!$C$121:$C$142, MATCH($B218, 'Resource costs'!$B$121:$B$142,0))</f>
        <v>4179.6863772526349</v>
      </c>
      <c r="G218" s="90">
        <f>INDEX(G$153:G$170,MATCH($B218,$B$153:$B$170,0))*INDEX('Resource costs'!$C$121:$C$142, MATCH($B218, 'Resource costs'!$B$121:$B$142,0))</f>
        <v>4281.6274383131831</v>
      </c>
      <c r="H218" s="90">
        <f>INDEX(H$153:H$170,MATCH($B218,$B$153:$B$170,0))*INDEX('Resource costs'!$C$121:$C$142, MATCH($B218, 'Resource costs'!$B$121:$B$142,0))</f>
        <v>1836.6348257404925</v>
      </c>
      <c r="I218" s="90">
        <f>INDEX(I$153:I$170,MATCH($B218,$B$153:$B$170,0))*INDEX('Resource costs'!$C$121:$C$142, MATCH($B218, 'Resource costs'!$B$121:$B$142,0))</f>
        <v>1631.1033591472042</v>
      </c>
      <c r="J218" s="90">
        <f>INDEX(J$153:J$170,MATCH($B218,$B$153:$B$170,0))*INDEX('Resource costs'!$C$121:$C$142, MATCH($B218, 'Resource costs'!$B$121:$B$142,0))</f>
        <v>1510.6507025641454</v>
      </c>
      <c r="K218" s="90">
        <f>INDEX(K$153:K$170,MATCH($B218,$B$153:$B$170,0))*INDEX('Resource costs'!$C$121:$C$142, MATCH($B218, 'Resource costs'!$B$121:$B$142,0))</f>
        <v>1443.7699906338598</v>
      </c>
      <c r="L218" s="90">
        <f>INDEX(L$153:L$170,MATCH($B218,$B$153:$B$170,0))*INDEX('Resource costs'!$C$121:$C$142, MATCH($B218, 'Resource costs'!$B$121:$B$142,0))</f>
        <v>1413.037046648617</v>
      </c>
      <c r="M218" s="90">
        <f>INDEX(M$153:M$170,MATCH($B218,$B$153:$B$170,0))*INDEX('Resource costs'!$C$121:$C$142, MATCH($B218, 'Resource costs'!$B$121:$B$142,0))</f>
        <v>1403.4717252746118</v>
      </c>
      <c r="N218" s="90">
        <f>INDEX(N$153:N$170,MATCH($B218,$B$153:$B$170,0))*INDEX('Resource costs'!$C$121:$C$142, MATCH($B218, 'Resource costs'!$B$121:$B$142,0))</f>
        <v>1406.3992338060852</v>
      </c>
      <c r="O218" s="90">
        <f>INDEX(O$153:O$170,MATCH($B218,$B$153:$B$170,0))*INDEX('Resource costs'!$C$121:$C$142, MATCH($B218, 'Resource costs'!$B$121:$B$142,0))</f>
        <v>1417.6999899755419</v>
      </c>
      <c r="P218" s="90">
        <f>INDEX(P$153:P$170,MATCH($B218,$B$153:$B$170,0))*INDEX('Resource costs'!$C$121:$C$142, MATCH($B218, 'Resource costs'!$B$121:$B$142,0))</f>
        <v>1432.78770940548</v>
      </c>
      <c r="Q218" s="90">
        <f>INDEX(Q$153:Q$170,MATCH($B218,$B$153:$B$170,0))*INDEX('Resource costs'!$C$121:$C$142, MATCH($B218, 'Resource costs'!$B$121:$B$142,0))</f>
        <v>1449.7996630462799</v>
      </c>
      <c r="R218" s="90">
        <f>INDEX(R$153:R$170,MATCH($B218,$B$153:$B$170,0))*INDEX('Resource costs'!$C$121:$C$142, MATCH($B218, 'Resource costs'!$B$121:$B$142,0))</f>
        <v>1468.0491125424071</v>
      </c>
      <c r="S218" s="90">
        <f>INDEX(S$153:S$170,MATCH($B218,$B$153:$B$170,0))*INDEX('Resource costs'!$C$121:$C$142, MATCH($B218, 'Resource costs'!$B$121:$B$142,0))</f>
        <v>1486.9377507870568</v>
      </c>
      <c r="T218" s="90">
        <f>INDEX(T$153:T$170,MATCH($B218,$B$153:$B$170,0))*INDEX('Resource costs'!$C$121:$C$142, MATCH($B218, 'Resource costs'!$B$121:$B$142,0))</f>
        <v>1505.9871707425284</v>
      </c>
      <c r="U218" s="90">
        <f>INDEX(U$153:U$170,MATCH($B218,$B$153:$B$170,0))*INDEX('Resource costs'!$C$121:$C$142, MATCH($B218, 'Resource costs'!$B$121:$B$142,0))</f>
        <v>1525.257570861404</v>
      </c>
      <c r="V218" s="90">
        <f>INDEX(V$153:V$170,MATCH($B218,$B$153:$B$170,0))*INDEX('Resource costs'!$C$121:$C$142, MATCH($B218, 'Resource costs'!$B$121:$B$142,0))</f>
        <v>1545.4634224583169</v>
      </c>
      <c r="W218" s="90">
        <f>INDEX(W$153:W$170,MATCH($B218,$B$153:$B$170,0))*INDEX('Resource costs'!$C$121:$C$142, MATCH($B218, 'Resource costs'!$B$121:$B$142,0))</f>
        <v>1565.4006681552833</v>
      </c>
      <c r="X218" s="90">
        <f>INDEX(X$153:X$170,MATCH($B218,$B$153:$B$170,0))*INDEX('Resource costs'!$C$121:$C$142, MATCH($B218, 'Resource costs'!$B$121:$B$142,0))</f>
        <v>1584.8611884345482</v>
      </c>
      <c r="Y218" s="90">
        <f>INDEX(Y$153:Y$170,MATCH($B218,$B$153:$B$170,0))*INDEX('Resource costs'!$C$121:$C$142, MATCH($B218, 'Resource costs'!$B$121:$B$142,0))</f>
        <v>1604.2938608797672</v>
      </c>
      <c r="Z218" s="90">
        <f>INDEX(Z$153:Z$170,MATCH($B218,$B$153:$B$170,0))*INDEX('Resource costs'!$C$121:$C$142, MATCH($B218, 'Resource costs'!$B$121:$B$142,0))</f>
        <v>1623.4464191497536</v>
      </c>
      <c r="AA218" s="90">
        <f>INDEX(AA$153:AA$170,MATCH($B218,$B$153:$B$170,0))*INDEX('Resource costs'!$C$121:$C$142, MATCH($B218, 'Resource costs'!$B$121:$B$142,0))</f>
        <v>1642.1520670928062</v>
      </c>
      <c r="AB218" s="90">
        <f>INDEX(AB$153:AB$170,MATCH($B218,$B$153:$B$170,0))*INDEX('Resource costs'!$C$121:$C$142, MATCH($B218, 'Resource costs'!$B$121:$B$142,0))</f>
        <v>1660.3103268054479</v>
      </c>
      <c r="AC218" s="90">
        <f>INDEX(AC$153:AC$170,MATCH($B218,$B$153:$B$170,0))*INDEX('Resource costs'!$C$121:$C$142, MATCH($B218, 'Resource costs'!$B$121:$B$142,0))</f>
        <v>1678.058123693585</v>
      </c>
      <c r="AD218" s="90">
        <f>INDEX(AD$153:AD$170,MATCH($B218,$B$153:$B$170,0))*INDEX('Resource costs'!$C$121:$C$142, MATCH($B218, 'Resource costs'!$B$121:$B$142,0))</f>
        <v>1695.1847411641475</v>
      </c>
      <c r="AE218" s="90">
        <f>INDEX(AE$153:AE$170,MATCH($B218,$B$153:$B$170,0))*INDEX('Resource costs'!$C$121:$C$142, MATCH($B218, 'Resource costs'!$B$121:$B$142,0))</f>
        <v>1711.5142507976232</v>
      </c>
      <c r="AF218" s="90">
        <f>INDEX(AF$153:AF$170,MATCH($B218,$B$153:$B$170,0))*INDEX('Resource costs'!$C$121:$C$142, MATCH($B218, 'Resource costs'!$B$121:$B$142,0))</f>
        <v>1726.9373464217051</v>
      </c>
      <c r="AG218" s="90">
        <f>INDEX(AG$153:AG$170,MATCH($B218,$B$153:$B$170,0))*INDEX('Resource costs'!$C$121:$C$142, MATCH($B218, 'Resource costs'!$B$121:$B$142,0))</f>
        <v>1741.5112960209933</v>
      </c>
      <c r="AH218" s="90">
        <f>INDEX(AH$153:AH$170,MATCH($B218,$B$153:$B$170,0))*INDEX('Resource costs'!$C$121:$C$142, MATCH($B218, 'Resource costs'!$B$121:$B$142,0))</f>
        <v>1755.5986981234871</v>
      </c>
      <c r="AI218" s="90">
        <f>INDEX(AI$153:AI$170,MATCH($B218,$B$153:$B$170,0))*INDEX('Resource costs'!$C$121:$C$142, MATCH($B218, 'Resource costs'!$B$121:$B$142,0))</f>
        <v>1769.241928742319</v>
      </c>
      <c r="AJ218" s="90">
        <f>INDEX(AJ$153:AJ$170,MATCH($B218,$B$153:$B$170,0))*INDEX('Resource costs'!$C$121:$C$142, MATCH($B218, 'Resource costs'!$B$121:$B$142,0))</f>
        <v>1782.6522886097771</v>
      </c>
      <c r="AK218" s="90">
        <f>INDEX(AK$153:AK$170,MATCH($B218,$B$153:$B$170,0))*INDEX('Resource costs'!$C$121:$C$142, MATCH($B218, 'Resource costs'!$B$121:$B$142,0))</f>
        <v>1795.6296409542604</v>
      </c>
      <c r="AL218" s="90">
        <f>INDEX(AL$153:AL$170,MATCH($B218,$B$153:$B$170,0))*INDEX('Resource costs'!$C$121:$C$142, MATCH($B218, 'Resource costs'!$B$121:$B$142,0))</f>
        <v>1807.8307191614911</v>
      </c>
      <c r="AM218" s="90">
        <f>INDEX(AM$153:AM$170,MATCH($B218,$B$153:$B$170,0))*INDEX('Resource costs'!$C$121:$C$142, MATCH($B218, 'Resource costs'!$B$121:$B$142,0))</f>
        <v>1819.0828306066605</v>
      </c>
      <c r="AN218" s="90">
        <f>INDEX(AN$153:AN$170,MATCH($B218,$B$153:$B$170,0))*INDEX('Resource costs'!$C$121:$C$142, MATCH($B218, 'Resource costs'!$B$121:$B$142,0))</f>
        <v>1829.2537187773037</v>
      </c>
      <c r="AO218" s="90">
        <f>INDEX(AO$153:AO$170,MATCH($B218,$B$153:$B$170,0))*INDEX('Resource costs'!$C$121:$C$142, MATCH($B218, 'Resource costs'!$B$121:$B$142,0))</f>
        <v>1838.2698243831223</v>
      </c>
      <c r="AP218" s="90">
        <f>INDEX(AP$153:AP$170,MATCH($B218,$B$153:$B$170,0))*INDEX('Resource costs'!$C$121:$C$142, MATCH($B218, 'Resource costs'!$B$121:$B$142,0))</f>
        <v>1846.0758581367443</v>
      </c>
      <c r="AQ218" s="90">
        <f>INDEX(AQ$153:AQ$170,MATCH($B218,$B$153:$B$170,0))*INDEX('Resource costs'!$C$121:$C$142, MATCH($B218, 'Resource costs'!$B$121:$B$142,0))</f>
        <v>1853.2709119907465</v>
      </c>
      <c r="AR218" s="90">
        <f>INDEX(AR$153:AR$170,MATCH($B218,$B$153:$B$170,0))*INDEX('Resource costs'!$C$121:$C$142, MATCH($B218, 'Resource costs'!$B$121:$B$142,0))</f>
        <v>1860.3756599936978</v>
      </c>
      <c r="AS218" s="90">
        <f>INDEX(AS$153:AS$170,MATCH($B218,$B$153:$B$170,0))*INDEX('Resource costs'!$C$121:$C$142, MATCH($B218, 'Resource costs'!$B$121:$B$142,0))</f>
        <v>1867.7441284949671</v>
      </c>
      <c r="AT218" s="90">
        <f>INDEX(AT$153:AT$170,MATCH($B218,$B$153:$B$170,0))*INDEX('Resource costs'!$C$121:$C$142, MATCH($B218, 'Resource costs'!$B$121:$B$142,0))</f>
        <v>1873.1627320507432</v>
      </c>
      <c r="AU218" s="90">
        <f>INDEX(AU$153:AU$170,MATCH($B218,$B$153:$B$170,0))*INDEX('Resource costs'!$C$121:$C$142, MATCH($B218, 'Resource costs'!$B$121:$B$142,0))</f>
        <v>1877.3397982542142</v>
      </c>
      <c r="AV218" s="90">
        <f>INDEX(AV$153:AV$170,MATCH($B218,$B$153:$B$170,0))*INDEX('Resource costs'!$C$121:$C$142, MATCH($B218, 'Resource costs'!$B$121:$B$142,0))</f>
        <v>1880.727300968817</v>
      </c>
      <c r="AW218" s="90">
        <f>INDEX(AW$153:AW$170,MATCH($B218,$B$153:$B$170,0))*INDEX('Resource costs'!$C$121:$C$142, MATCH($B218, 'Resource costs'!$B$121:$B$142,0))</f>
        <v>1882.1577043475595</v>
      </c>
      <c r="AX218" s="90">
        <f>INDEX(AX$153:AX$170,MATCH($B218,$B$153:$B$170,0))*INDEX('Resource costs'!$C$121:$C$142, MATCH($B218, 'Resource costs'!$B$121:$B$142,0))</f>
        <v>1882.5439971201658</v>
      </c>
      <c r="AY218" s="90">
        <f>INDEX(AY$153:AY$170,MATCH($B218,$B$153:$B$170,0))*INDEX('Resource costs'!$C$121:$C$142, MATCH($B218, 'Resource costs'!$B$121:$B$142,0))</f>
        <v>1882.4079972548575</v>
      </c>
      <c r="AZ218" s="90">
        <f>INDEX(AZ$153:AZ$170,MATCH($B218,$B$153:$B$170,0))*INDEX('Resource costs'!$C$121:$C$142, MATCH($B218, 'Resource costs'!$B$121:$B$142,0))</f>
        <v>1882.0413679446783</v>
      </c>
      <c r="BA218" s="90">
        <f>INDEX(BA$153:BA$170,MATCH($B218,$B$153:$B$170,0))*INDEX('Resource costs'!$C$121:$C$142, MATCH($B218, 'Resource costs'!$B$121:$B$142,0))</f>
        <v>1881.6015536737116</v>
      </c>
      <c r="BB218" s="90">
        <f>INDEX(BB$153:BB$170,MATCH($B218,$B$153:$B$170,0))*INDEX('Resource costs'!$C$121:$C$142, MATCH($B218, 'Resource costs'!$B$121:$B$142,0))</f>
        <v>1881.1688068169385</v>
      </c>
    </row>
    <row r="219" spans="2:54">
      <c r="B219" s="52"/>
      <c r="C219" s="52"/>
      <c r="D219" s="116"/>
      <c r="E219" s="116"/>
      <c r="F219" s="116"/>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row>
    <row r="220" spans="2:54" s="588" customFormat="1">
      <c r="B220" s="608" t="s">
        <v>3141</v>
      </c>
      <c r="C220" s="625"/>
      <c r="D220" s="647"/>
      <c r="E220" s="647"/>
      <c r="F220" s="647"/>
      <c r="G220" s="647"/>
      <c r="H220" s="647"/>
      <c r="I220" s="647"/>
      <c r="J220" s="647"/>
      <c r="K220" s="647"/>
      <c r="L220" s="647"/>
      <c r="M220" s="647"/>
      <c r="N220" s="647"/>
      <c r="O220" s="647"/>
      <c r="P220" s="647"/>
      <c r="Q220" s="647"/>
      <c r="R220" s="647"/>
      <c r="S220" s="647"/>
      <c r="T220" s="647"/>
      <c r="U220" s="647"/>
      <c r="V220" s="647"/>
      <c r="W220" s="647"/>
      <c r="X220" s="647"/>
      <c r="Y220" s="647"/>
      <c r="Z220" s="647"/>
      <c r="AA220" s="647"/>
      <c r="AB220" s="647"/>
      <c r="AC220" s="647"/>
      <c r="AD220" s="647"/>
      <c r="AE220" s="647"/>
      <c r="AF220" s="647"/>
      <c r="AG220" s="647"/>
      <c r="AH220" s="647"/>
      <c r="AI220" s="647"/>
      <c r="AJ220" s="647"/>
      <c r="AK220" s="647"/>
      <c r="AL220" s="647"/>
      <c r="AM220" s="647"/>
      <c r="AN220" s="647"/>
      <c r="AO220" s="647"/>
      <c r="AP220" s="647"/>
    </row>
    <row r="221" spans="2:54" s="3" customFormat="1">
      <c r="B221" s="35"/>
      <c r="C221" s="157"/>
      <c r="D221" s="116"/>
      <c r="E221" s="116"/>
      <c r="F221" s="116"/>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row>
    <row r="222" spans="2:54">
      <c r="B222" s="52"/>
      <c r="C222" s="725" t="s">
        <v>20</v>
      </c>
      <c r="D222" s="549" t="s">
        <v>3197</v>
      </c>
      <c r="E222" s="116"/>
      <c r="F222" s="116"/>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row>
    <row r="223" spans="2:54">
      <c r="B223" s="6" t="s">
        <v>3146</v>
      </c>
      <c r="C223" s="491">
        <f>'Control Assumptions'!C241</f>
        <v>0</v>
      </c>
      <c r="D223" s="491">
        <f>'Control Assumptions'!C248</f>
        <v>0.5780320366132724</v>
      </c>
      <c r="E223" s="116"/>
      <c r="F223" s="116"/>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row>
    <row r="224" spans="2:54">
      <c r="B224" s="6" t="s">
        <v>3147</v>
      </c>
      <c r="C224" s="85">
        <f>'To-be clinical improvements'!C176</f>
        <v>1016</v>
      </c>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row>
    <row r="225" spans="1:54">
      <c r="B225" s="52"/>
      <c r="C225" s="52"/>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row>
    <row r="226" spans="1:54">
      <c r="B226" s="52"/>
      <c r="C226" s="52"/>
      <c r="D226" s="34">
        <f>'Prevalence projection'!C$21</f>
        <v>2020</v>
      </c>
      <c r="E226" s="34">
        <f>'Prevalence projection'!D$21</f>
        <v>2021</v>
      </c>
      <c r="F226" s="34">
        <f>'Prevalence projection'!E$21</f>
        <v>2022</v>
      </c>
      <c r="G226" s="34">
        <f>'Prevalence projection'!F$21</f>
        <v>2023</v>
      </c>
      <c r="H226" s="34">
        <f>'Prevalence projection'!G$21</f>
        <v>2024</v>
      </c>
      <c r="I226" s="34">
        <f>'Prevalence projection'!H$21</f>
        <v>2025</v>
      </c>
      <c r="J226" s="34">
        <f>'Prevalence projection'!I$21</f>
        <v>2026</v>
      </c>
      <c r="K226" s="34">
        <f>'Prevalence projection'!J$21</f>
        <v>2027</v>
      </c>
      <c r="L226" s="34">
        <f>'Prevalence projection'!K$21</f>
        <v>2028</v>
      </c>
      <c r="M226" s="34">
        <f>'Prevalence projection'!L$21</f>
        <v>2029</v>
      </c>
      <c r="N226" s="34">
        <f>'Prevalence projection'!M$21</f>
        <v>2030</v>
      </c>
      <c r="O226" s="34">
        <f>'Prevalence projection'!N$21</f>
        <v>2031</v>
      </c>
      <c r="P226" s="34">
        <f>'Prevalence projection'!O$21</f>
        <v>2032</v>
      </c>
      <c r="Q226" s="34">
        <f>'Prevalence projection'!P$21</f>
        <v>2033</v>
      </c>
      <c r="R226" s="34">
        <f>'Prevalence projection'!Q$21</f>
        <v>2034</v>
      </c>
      <c r="S226" s="34">
        <f>'Prevalence projection'!R$21</f>
        <v>2035</v>
      </c>
      <c r="T226" s="34">
        <f>'Prevalence projection'!S$21</f>
        <v>2036</v>
      </c>
      <c r="U226" s="34">
        <f>'Prevalence projection'!T$21</f>
        <v>2037</v>
      </c>
      <c r="V226" s="34">
        <f>'Prevalence projection'!U$21</f>
        <v>2038</v>
      </c>
      <c r="W226" s="34">
        <f>'Prevalence projection'!V$21</f>
        <v>2039</v>
      </c>
      <c r="X226" s="34">
        <f>'Prevalence projection'!W$21</f>
        <v>2040</v>
      </c>
      <c r="Y226" s="34">
        <f>'Prevalence projection'!X$21</f>
        <v>2041</v>
      </c>
      <c r="Z226" s="34">
        <f>'Prevalence projection'!Y$21</f>
        <v>2042</v>
      </c>
      <c r="AA226" s="34">
        <f>'Prevalence projection'!Z$21</f>
        <v>2043</v>
      </c>
      <c r="AB226" s="34">
        <f>'Prevalence projection'!AA$21</f>
        <v>2044</v>
      </c>
      <c r="AC226" s="34">
        <f>'Prevalence projection'!AB$21</f>
        <v>2045</v>
      </c>
      <c r="AD226" s="34">
        <f>'Prevalence projection'!AC$21</f>
        <v>2046</v>
      </c>
      <c r="AE226" s="34">
        <f>'Prevalence projection'!AD$21</f>
        <v>2047</v>
      </c>
      <c r="AF226" s="34">
        <f>'Prevalence projection'!AE$21</f>
        <v>2048</v>
      </c>
      <c r="AG226" s="34">
        <f>'Prevalence projection'!AF$21</f>
        <v>2049</v>
      </c>
      <c r="AH226" s="34">
        <f>'Prevalence projection'!AG$21</f>
        <v>2050</v>
      </c>
      <c r="AI226" s="34">
        <f>'Prevalence projection'!AH$21</f>
        <v>2051</v>
      </c>
      <c r="AJ226" s="34">
        <f>'Prevalence projection'!AI$21</f>
        <v>2052</v>
      </c>
      <c r="AK226" s="34">
        <f>'Prevalence projection'!AJ$21</f>
        <v>2053</v>
      </c>
      <c r="AL226" s="34">
        <f>'Prevalence projection'!AK$21</f>
        <v>2054</v>
      </c>
      <c r="AM226" s="34">
        <f>'Prevalence projection'!AL$21</f>
        <v>2055</v>
      </c>
      <c r="AN226" s="34">
        <f>'Prevalence projection'!AM$21</f>
        <v>2056</v>
      </c>
      <c r="AO226" s="34">
        <f>'Prevalence projection'!AN$21</f>
        <v>2057</v>
      </c>
      <c r="AP226" s="34">
        <f>'Prevalence projection'!AO$21</f>
        <v>2058</v>
      </c>
      <c r="AQ226" s="34">
        <f>'Prevalence projection'!AP$21</f>
        <v>2059</v>
      </c>
      <c r="AR226" s="34">
        <f>'Prevalence projection'!AQ$21</f>
        <v>2060</v>
      </c>
      <c r="AS226" s="34">
        <f>'Prevalence projection'!AR$21</f>
        <v>2061</v>
      </c>
      <c r="AT226" s="34">
        <f>'Prevalence projection'!AS$21</f>
        <v>2062</v>
      </c>
      <c r="AU226" s="34">
        <f>'Prevalence projection'!AT$21</f>
        <v>2063</v>
      </c>
      <c r="AV226" s="34">
        <f>'Prevalence projection'!AU$21</f>
        <v>2064</v>
      </c>
      <c r="AW226" s="34">
        <f>'Prevalence projection'!AV$21</f>
        <v>2065</v>
      </c>
      <c r="AX226" s="34">
        <f>'Prevalence projection'!AW$21</f>
        <v>2066</v>
      </c>
      <c r="AY226" s="34">
        <f>'Prevalence projection'!AX$21</f>
        <v>2067</v>
      </c>
      <c r="AZ226" s="34">
        <f>'Prevalence projection'!AY$21</f>
        <v>2068</v>
      </c>
      <c r="BA226" s="34">
        <f>'Prevalence projection'!AZ$21</f>
        <v>2069</v>
      </c>
      <c r="BB226" s="34">
        <f>'Prevalence projection'!BA$21</f>
        <v>2070</v>
      </c>
    </row>
    <row r="227" spans="1:54" ht="29">
      <c r="B227" s="6" t="s">
        <v>3143</v>
      </c>
      <c r="C227" s="52"/>
      <c r="D227" s="82">
        <f xml:space="preserve"> IF(D$226&lt;$C$7,   $C$223, $D$223)    *C11</f>
        <v>0</v>
      </c>
      <c r="E227" s="82">
        <f t="shared" ref="E227:BB227" si="73" xml:space="preserve"> IF(E$226&lt;$C$7,   $C$223, $D$223)    *D11</f>
        <v>0</v>
      </c>
      <c r="F227" s="82">
        <f t="shared" si="73"/>
        <v>0</v>
      </c>
      <c r="G227" s="82">
        <f t="shared" si="73"/>
        <v>0</v>
      </c>
      <c r="H227" s="82">
        <f t="shared" si="73"/>
        <v>182.46353574998196</v>
      </c>
      <c r="I227" s="82">
        <f t="shared" si="73"/>
        <v>162.0446709996794</v>
      </c>
      <c r="J227" s="82">
        <f t="shared" si="73"/>
        <v>150.07810186868073</v>
      </c>
      <c r="K227" s="82">
        <f t="shared" si="73"/>
        <v>143.4337265136856</v>
      </c>
      <c r="L227" s="82">
        <f t="shared" si="73"/>
        <v>140.38051117389006</v>
      </c>
      <c r="M227" s="82">
        <f t="shared" si="73"/>
        <v>139.43022844265516</v>
      </c>
      <c r="N227" s="82">
        <f t="shared" si="73"/>
        <v>139.72106663765427</v>
      </c>
      <c r="O227" s="82">
        <f t="shared" si="73"/>
        <v>140.84375901962855</v>
      </c>
      <c r="P227" s="82">
        <f t="shared" si="73"/>
        <v>142.34267355343101</v>
      </c>
      <c r="Q227" s="82">
        <f t="shared" si="73"/>
        <v>144.03275432932156</v>
      </c>
      <c r="R227" s="82">
        <f t="shared" si="73"/>
        <v>145.84577618531929</v>
      </c>
      <c r="S227" s="82">
        <f t="shared" si="73"/>
        <v>147.72229930865257</v>
      </c>
      <c r="T227" s="82">
        <f t="shared" si="73"/>
        <v>149.61479555796015</v>
      </c>
      <c r="U227" s="82">
        <f t="shared" si="73"/>
        <v>151.52924544844899</v>
      </c>
      <c r="V227" s="82">
        <f t="shared" si="73"/>
        <v>153.53662931896105</v>
      </c>
      <c r="W227" s="82">
        <f t="shared" si="73"/>
        <v>155.51732809043179</v>
      </c>
      <c r="X227" s="82">
        <f t="shared" si="73"/>
        <v>157.4506657838719</v>
      </c>
      <c r="Y227" s="82">
        <f t="shared" si="73"/>
        <v>159.38123688800871</v>
      </c>
      <c r="Z227" s="82">
        <f t="shared" si="73"/>
        <v>161.28397958439112</v>
      </c>
      <c r="AA227" s="82">
        <f t="shared" si="73"/>
        <v>163.14232323243098</v>
      </c>
      <c r="AB227" s="82">
        <f t="shared" si="73"/>
        <v>164.94628568800476</v>
      </c>
      <c r="AC227" s="82">
        <f t="shared" si="73"/>
        <v>166.70947003287114</v>
      </c>
      <c r="AD227" s="82">
        <f t="shared" si="73"/>
        <v>168.4109422772822</v>
      </c>
      <c r="AE227" s="82">
        <f t="shared" si="73"/>
        <v>170.03322452034382</v>
      </c>
      <c r="AF227" s="82">
        <f t="shared" si="73"/>
        <v>171.5654575589096</v>
      </c>
      <c r="AG227" s="82">
        <f t="shared" si="73"/>
        <v>173.01333077597985</v>
      </c>
      <c r="AH227" s="82">
        <f t="shared" si="73"/>
        <v>174.41286712426643</v>
      </c>
      <c r="AI227" s="82">
        <f t="shared" si="73"/>
        <v>175.76827651914203</v>
      </c>
      <c r="AJ227" s="82">
        <f t="shared" si="73"/>
        <v>177.1005509826351</v>
      </c>
      <c r="AK227" s="82">
        <f t="shared" si="73"/>
        <v>178.38980759492497</v>
      </c>
      <c r="AL227" s="82">
        <f t="shared" si="73"/>
        <v>179.60194396436125</v>
      </c>
      <c r="AM227" s="82">
        <f t="shared" si="73"/>
        <v>180.71980365544638</v>
      </c>
      <c r="AN227" s="82">
        <f t="shared" si="73"/>
        <v>181.73024742539124</v>
      </c>
      <c r="AO227" s="82">
        <f t="shared" si="73"/>
        <v>182.62596740438576</v>
      </c>
      <c r="AP227" s="82">
        <f t="shared" si="73"/>
        <v>183.4014707863906</v>
      </c>
      <c r="AQ227" s="82">
        <f t="shared" si="73"/>
        <v>184.11627535598345</v>
      </c>
      <c r="AR227" s="82">
        <f t="shared" si="73"/>
        <v>184.82210834088755</v>
      </c>
      <c r="AS227" s="82">
        <f t="shared" si="73"/>
        <v>185.55414107649781</v>
      </c>
      <c r="AT227" s="82">
        <f t="shared" si="73"/>
        <v>186.09246124213868</v>
      </c>
      <c r="AU227" s="82">
        <f t="shared" si="73"/>
        <v>186.50743881844579</v>
      </c>
      <c r="AV227" s="82">
        <f t="shared" si="73"/>
        <v>186.84397589920155</v>
      </c>
      <c r="AW227" s="82">
        <f t="shared" si="73"/>
        <v>186.98608169746711</v>
      </c>
      <c r="AX227" s="82">
        <f t="shared" si="73"/>
        <v>187.02445859424401</v>
      </c>
      <c r="AY227" s="82">
        <f t="shared" si="73"/>
        <v>187.01094746185242</v>
      </c>
      <c r="AZ227" s="82">
        <f t="shared" si="73"/>
        <v>186.97452406439345</v>
      </c>
      <c r="BA227" s="82">
        <f t="shared" si="73"/>
        <v>186.9308299855112</v>
      </c>
      <c r="BB227" s="82">
        <f t="shared" si="73"/>
        <v>186.88783803062449</v>
      </c>
    </row>
    <row r="228" spans="1:54" ht="43.5">
      <c r="B228" s="6" t="s">
        <v>3148</v>
      </c>
      <c r="C228" s="52"/>
      <c r="D228" s="90">
        <f>D227*$C$224</f>
        <v>0</v>
      </c>
      <c r="E228" s="90">
        <f t="shared" ref="E228:AF228" si="74">E227*$C$224</f>
        <v>0</v>
      </c>
      <c r="F228" s="90">
        <f t="shared" si="74"/>
        <v>0</v>
      </c>
      <c r="G228" s="90">
        <f t="shared" si="74"/>
        <v>0</v>
      </c>
      <c r="H228" s="90">
        <f t="shared" si="74"/>
        <v>185382.95232198166</v>
      </c>
      <c r="I228" s="90">
        <f t="shared" si="74"/>
        <v>164637.38573567427</v>
      </c>
      <c r="J228" s="90">
        <f t="shared" si="74"/>
        <v>152479.35149857964</v>
      </c>
      <c r="K228" s="90">
        <f t="shared" si="74"/>
        <v>145728.66613790457</v>
      </c>
      <c r="L228" s="90">
        <f t="shared" si="74"/>
        <v>142626.59935267229</v>
      </c>
      <c r="M228" s="90">
        <f t="shared" si="74"/>
        <v>141661.11209773764</v>
      </c>
      <c r="N228" s="90">
        <f t="shared" si="74"/>
        <v>141956.60370385673</v>
      </c>
      <c r="O228" s="90">
        <f t="shared" si="74"/>
        <v>143097.2591639426</v>
      </c>
      <c r="P228" s="90">
        <f t="shared" si="74"/>
        <v>144620.15633028591</v>
      </c>
      <c r="Q228" s="90">
        <f t="shared" si="74"/>
        <v>146337.27839859072</v>
      </c>
      <c r="R228" s="90">
        <f t="shared" si="74"/>
        <v>148179.30860428439</v>
      </c>
      <c r="S228" s="90">
        <f t="shared" si="74"/>
        <v>150085.85609759099</v>
      </c>
      <c r="T228" s="90">
        <f t="shared" si="74"/>
        <v>152008.6322868875</v>
      </c>
      <c r="U228" s="90">
        <f t="shared" si="74"/>
        <v>153953.71337562418</v>
      </c>
      <c r="V228" s="90">
        <f t="shared" si="74"/>
        <v>155993.21538806442</v>
      </c>
      <c r="W228" s="90">
        <f t="shared" si="74"/>
        <v>158005.6053398787</v>
      </c>
      <c r="X228" s="90">
        <f t="shared" si="74"/>
        <v>159969.87643641385</v>
      </c>
      <c r="Y228" s="90">
        <f t="shared" si="74"/>
        <v>161931.33667821685</v>
      </c>
      <c r="Z228" s="90">
        <f t="shared" si="74"/>
        <v>163864.52325774138</v>
      </c>
      <c r="AA228" s="90">
        <f t="shared" si="74"/>
        <v>165752.60040414988</v>
      </c>
      <c r="AB228" s="90">
        <f t="shared" si="74"/>
        <v>167585.42625901283</v>
      </c>
      <c r="AC228" s="90">
        <f t="shared" si="74"/>
        <v>169376.82155339708</v>
      </c>
      <c r="AD228" s="90">
        <f t="shared" si="74"/>
        <v>171105.51735371872</v>
      </c>
      <c r="AE228" s="90">
        <f t="shared" si="74"/>
        <v>172753.75611266933</v>
      </c>
      <c r="AF228" s="90">
        <f t="shared" si="74"/>
        <v>174310.50487985215</v>
      </c>
      <c r="AG228" s="90">
        <f t="shared" ref="AG228:AP228" si="75">AG227*$C$224</f>
        <v>175781.54406839554</v>
      </c>
      <c r="AH228" s="90">
        <f t="shared" si="75"/>
        <v>177203.4729982547</v>
      </c>
      <c r="AI228" s="90">
        <f t="shared" si="75"/>
        <v>178580.56894344831</v>
      </c>
      <c r="AJ228" s="90">
        <f t="shared" si="75"/>
        <v>179934.15979835726</v>
      </c>
      <c r="AK228" s="90">
        <f t="shared" si="75"/>
        <v>181244.04451644377</v>
      </c>
      <c r="AL228" s="90">
        <f t="shared" si="75"/>
        <v>182475.57506779104</v>
      </c>
      <c r="AM228" s="90">
        <f t="shared" si="75"/>
        <v>183611.32051393352</v>
      </c>
      <c r="AN228" s="90">
        <f t="shared" si="75"/>
        <v>184637.93138419749</v>
      </c>
      <c r="AO228" s="90">
        <f t="shared" si="75"/>
        <v>185547.98288285593</v>
      </c>
      <c r="AP228" s="90">
        <f t="shared" si="75"/>
        <v>186335.89431897286</v>
      </c>
      <c r="AQ228" s="90">
        <f t="shared" ref="AQ228:BB228" si="76">AQ227*$C$224</f>
        <v>187062.13576167918</v>
      </c>
      <c r="AR228" s="90">
        <f t="shared" si="76"/>
        <v>187779.26207434176</v>
      </c>
      <c r="AS228" s="90">
        <f t="shared" si="76"/>
        <v>188523.00733372179</v>
      </c>
      <c r="AT228" s="90">
        <f t="shared" si="76"/>
        <v>189069.94062201289</v>
      </c>
      <c r="AU228" s="90">
        <f t="shared" si="76"/>
        <v>189491.55783954091</v>
      </c>
      <c r="AV228" s="90">
        <f t="shared" si="76"/>
        <v>189833.47951358877</v>
      </c>
      <c r="AW228" s="90">
        <f t="shared" si="76"/>
        <v>189977.85900462657</v>
      </c>
      <c r="AX228" s="90">
        <f t="shared" si="76"/>
        <v>190016.8499317519</v>
      </c>
      <c r="AY228" s="90">
        <f t="shared" si="76"/>
        <v>190003.12262124207</v>
      </c>
      <c r="AZ228" s="90">
        <f t="shared" si="76"/>
        <v>189966.11644942375</v>
      </c>
      <c r="BA228" s="90">
        <f t="shared" si="76"/>
        <v>189921.72326527938</v>
      </c>
      <c r="BB228" s="90">
        <f t="shared" si="76"/>
        <v>189878.0434391145</v>
      </c>
    </row>
    <row r="229" spans="1:54">
      <c r="D229" s="15"/>
    </row>
    <row r="230" spans="1:54">
      <c r="D230" s="19"/>
      <c r="E230" s="19"/>
      <c r="F230" s="19"/>
    </row>
    <row r="231" spans="1:54" s="588" customFormat="1">
      <c r="A231" s="593" t="s">
        <v>10</v>
      </c>
      <c r="B231" s="646" t="s">
        <v>182</v>
      </c>
      <c r="C231" s="646"/>
    </row>
    <row r="232" spans="1:54" s="588" customFormat="1">
      <c r="A232" s="593"/>
      <c r="B232" s="646"/>
      <c r="C232" s="646"/>
    </row>
    <row r="234" spans="1:54">
      <c r="B234" s="7" t="s">
        <v>9</v>
      </c>
      <c r="D234" s="34">
        <f>'Prevalence projection'!C$21</f>
        <v>2020</v>
      </c>
      <c r="E234" s="34">
        <f>'Prevalence projection'!D$21</f>
        <v>2021</v>
      </c>
      <c r="F234" s="34">
        <f>'Prevalence projection'!E$21</f>
        <v>2022</v>
      </c>
      <c r="G234" s="34">
        <f>'Prevalence projection'!F$21</f>
        <v>2023</v>
      </c>
      <c r="H234" s="34">
        <f>'Prevalence projection'!G$21</f>
        <v>2024</v>
      </c>
      <c r="I234" s="34">
        <f>'Prevalence projection'!H$21</f>
        <v>2025</v>
      </c>
      <c r="J234" s="34">
        <f>'Prevalence projection'!I$21</f>
        <v>2026</v>
      </c>
      <c r="K234" s="34">
        <f>'Prevalence projection'!J$21</f>
        <v>2027</v>
      </c>
      <c r="L234" s="34">
        <f>'Prevalence projection'!K$21</f>
        <v>2028</v>
      </c>
      <c r="M234" s="34">
        <f>'Prevalence projection'!L$21</f>
        <v>2029</v>
      </c>
      <c r="N234" s="34">
        <f>'Prevalence projection'!M$21</f>
        <v>2030</v>
      </c>
      <c r="O234" s="34">
        <f>'Prevalence projection'!N$21</f>
        <v>2031</v>
      </c>
      <c r="P234" s="34">
        <f>'Prevalence projection'!O$21</f>
        <v>2032</v>
      </c>
      <c r="Q234" s="34">
        <f>'Prevalence projection'!P$21</f>
        <v>2033</v>
      </c>
      <c r="R234" s="34">
        <f>'Prevalence projection'!Q$21</f>
        <v>2034</v>
      </c>
      <c r="S234" s="34">
        <f>'Prevalence projection'!R$21</f>
        <v>2035</v>
      </c>
      <c r="T234" s="34">
        <f>'Prevalence projection'!S$21</f>
        <v>2036</v>
      </c>
      <c r="U234" s="34">
        <f>'Prevalence projection'!T$21</f>
        <v>2037</v>
      </c>
      <c r="V234" s="34">
        <f>'Prevalence projection'!U$21</f>
        <v>2038</v>
      </c>
      <c r="W234" s="34">
        <f>'Prevalence projection'!V$21</f>
        <v>2039</v>
      </c>
      <c r="X234" s="34">
        <f>'Prevalence projection'!W$21</f>
        <v>2040</v>
      </c>
      <c r="Y234" s="34">
        <f>'Prevalence projection'!X$21</f>
        <v>2041</v>
      </c>
      <c r="Z234" s="34">
        <f>'Prevalence projection'!Y$21</f>
        <v>2042</v>
      </c>
      <c r="AA234" s="34">
        <f>'Prevalence projection'!Z$21</f>
        <v>2043</v>
      </c>
      <c r="AB234" s="34">
        <f>'Prevalence projection'!AA$21</f>
        <v>2044</v>
      </c>
      <c r="AC234" s="34">
        <f>'Prevalence projection'!AB$21</f>
        <v>2045</v>
      </c>
      <c r="AD234" s="34">
        <f>'Prevalence projection'!AC$21</f>
        <v>2046</v>
      </c>
      <c r="AE234" s="34">
        <f>'Prevalence projection'!AD$21</f>
        <v>2047</v>
      </c>
      <c r="AF234" s="34">
        <f>'Prevalence projection'!AE$21</f>
        <v>2048</v>
      </c>
      <c r="AG234" s="34">
        <f>'Prevalence projection'!AF$21</f>
        <v>2049</v>
      </c>
      <c r="AH234" s="34">
        <f>'Prevalence projection'!AG$21</f>
        <v>2050</v>
      </c>
      <c r="AI234" s="34">
        <f>'Prevalence projection'!AH$21</f>
        <v>2051</v>
      </c>
      <c r="AJ234" s="34">
        <f>'Prevalence projection'!AI$21</f>
        <v>2052</v>
      </c>
      <c r="AK234" s="34">
        <f>'Prevalence projection'!AJ$21</f>
        <v>2053</v>
      </c>
      <c r="AL234" s="34">
        <f>'Prevalence projection'!AK$21</f>
        <v>2054</v>
      </c>
      <c r="AM234" s="34">
        <f>'Prevalence projection'!AL$21</f>
        <v>2055</v>
      </c>
      <c r="AN234" s="34">
        <f>'Prevalence projection'!AM$21</f>
        <v>2056</v>
      </c>
      <c r="AO234" s="34">
        <f>'Prevalence projection'!AN$21</f>
        <v>2057</v>
      </c>
      <c r="AP234" s="34">
        <f>'Prevalence projection'!AO$21</f>
        <v>2058</v>
      </c>
      <c r="AQ234" s="34">
        <f>'Prevalence projection'!AP$21</f>
        <v>2059</v>
      </c>
      <c r="AR234" s="34">
        <f>'Prevalence projection'!AQ$21</f>
        <v>2060</v>
      </c>
      <c r="AS234" s="34">
        <f>'Prevalence projection'!AR$21</f>
        <v>2061</v>
      </c>
      <c r="AT234" s="34">
        <f>'Prevalence projection'!AS$21</f>
        <v>2062</v>
      </c>
      <c r="AU234" s="34">
        <f>'Prevalence projection'!AT$21</f>
        <v>2063</v>
      </c>
      <c r="AV234" s="34">
        <f>'Prevalence projection'!AU$21</f>
        <v>2064</v>
      </c>
      <c r="AW234" s="34">
        <f>'Prevalence projection'!AV$21</f>
        <v>2065</v>
      </c>
      <c r="AX234" s="34">
        <f>'Prevalence projection'!AW$21</f>
        <v>2066</v>
      </c>
      <c r="AY234" s="34">
        <f>'Prevalence projection'!AX$21</f>
        <v>2067</v>
      </c>
      <c r="AZ234" s="34">
        <f>'Prevalence projection'!AY$21</f>
        <v>2068</v>
      </c>
      <c r="BA234" s="34">
        <f>'Prevalence projection'!AZ$21</f>
        <v>2069</v>
      </c>
      <c r="BB234" s="34">
        <f>'Prevalence projection'!BA$21</f>
        <v>2070</v>
      </c>
    </row>
    <row r="235" spans="1:54">
      <c r="B235" s="6" t="s">
        <v>11</v>
      </c>
      <c r="D235" s="90">
        <f>(D179+D201)*INDEX(Inflation!$D$126:$BD$166, MATCH($B235, Inflation!$B$126:$B$166,0), MATCH(D$234, Inflation!$D$125:$BD$125,0))</f>
        <v>93386.094666666657</v>
      </c>
      <c r="E235" s="90">
        <f>(E179+E201)*INDEX(Inflation!$D$126:$BD$166, MATCH($B235, Inflation!$B$126:$B$166,0), MATCH(E$234, Inflation!$D$125:$BD$125,0))</f>
        <v>98780.054003151759</v>
      </c>
      <c r="F235" s="90">
        <f>(F179+F201)*INDEX(Inflation!$D$126:$BD$166, MATCH($B235, Inflation!$B$126:$B$166,0), MATCH(F$234, Inflation!$D$125:$BD$125,0))</f>
        <v>103890.17687475322</v>
      </c>
      <c r="G235" s="90">
        <f>(G179+G201)*INDEX(Inflation!$D$126:$BD$166, MATCH($B235, Inflation!$B$126:$B$166,0), MATCH(G$234, Inflation!$D$125:$BD$125,0))</f>
        <v>108850.48894602159</v>
      </c>
      <c r="H235" s="90">
        <f>(H179+H201)*INDEX(Inflation!$D$126:$BD$166, MATCH($B235, Inflation!$B$126:$B$166,0), MATCH(H$234, Inflation!$D$125:$BD$125,0))</f>
        <v>101502.0396037328</v>
      </c>
      <c r="I235" s="90">
        <f>(I179+I201)*INDEX(Inflation!$D$126:$BD$166, MATCH($B235, Inflation!$B$126:$B$166,0), MATCH(I$234, Inflation!$D$125:$BD$125,0))</f>
        <v>92198.563715326381</v>
      </c>
      <c r="J235" s="90">
        <f>(J179+J201)*INDEX(Inflation!$D$126:$BD$166, MATCH($B235, Inflation!$B$126:$B$166,0), MATCH(J$234, Inflation!$D$125:$BD$125,0))</f>
        <v>87336.835071952868</v>
      </c>
      <c r="K235" s="90">
        <f>(K179+K201)*INDEX(Inflation!$D$126:$BD$166, MATCH($B235, Inflation!$B$126:$B$166,0), MATCH(K$234, Inflation!$D$125:$BD$125,0))</f>
        <v>85373.310594131355</v>
      </c>
      <c r="L235" s="90">
        <f>(L179+L201)*INDEX(Inflation!$D$126:$BD$166, MATCH($B235, Inflation!$B$126:$B$166,0), MATCH(L$234, Inflation!$D$125:$BD$125,0))</f>
        <v>85461.080573871586</v>
      </c>
      <c r="M235" s="90">
        <f>(M179+M201)*INDEX(Inflation!$D$126:$BD$166, MATCH($B235, Inflation!$B$126:$B$166,0), MATCH(M$234, Inflation!$D$125:$BD$125,0))</f>
        <v>86817.888377585128</v>
      </c>
      <c r="N235" s="90">
        <f>(N179+N201)*INDEX(Inflation!$D$126:$BD$166, MATCH($B235, Inflation!$B$126:$B$166,0), MATCH(N$234, Inflation!$D$125:$BD$125,0))</f>
        <v>88982.559030254779</v>
      </c>
      <c r="O235" s="90">
        <f>(O179+O201)*INDEX(Inflation!$D$126:$BD$166, MATCH($B235, Inflation!$B$126:$B$166,0), MATCH(O$234, Inflation!$D$125:$BD$125,0))</f>
        <v>91742.65955865194</v>
      </c>
      <c r="P235" s="90">
        <f>(P179+P201)*INDEX(Inflation!$D$126:$BD$166, MATCH($B235, Inflation!$B$126:$B$166,0), MATCH(P$234, Inflation!$D$125:$BD$125,0))</f>
        <v>94833.014607784469</v>
      </c>
      <c r="Q235" s="90">
        <f>(Q179+Q201)*INDEX(Inflation!$D$126:$BD$166, MATCH($B235, Inflation!$B$126:$B$166,0), MATCH(Q$234, Inflation!$D$125:$BD$125,0))</f>
        <v>98146.862927939961</v>
      </c>
      <c r="R235" s="90">
        <f>(R179+R201)*INDEX(Inflation!$D$126:$BD$166, MATCH($B235, Inflation!$B$126:$B$166,0), MATCH(R$234, Inflation!$D$125:$BD$125,0))</f>
        <v>101648.2093622472</v>
      </c>
      <c r="S235" s="90">
        <f>(S179+S201)*INDEX(Inflation!$D$126:$BD$166, MATCH($B235, Inflation!$B$126:$B$166,0), MATCH(S$234, Inflation!$D$125:$BD$125,0))</f>
        <v>105303.46324474245</v>
      </c>
      <c r="T235" s="90">
        <f>(T179+T201)*INDEX(Inflation!$D$126:$BD$166, MATCH($B235, Inflation!$B$126:$B$166,0), MATCH(T$234, Inflation!$D$125:$BD$125,0))</f>
        <v>109084.20191108776</v>
      </c>
      <c r="U235" s="90">
        <f>(U179+U201)*INDEX(Inflation!$D$126:$BD$166, MATCH($B235, Inflation!$B$126:$B$166,0), MATCH(U$234, Inflation!$D$125:$BD$125,0))</f>
        <v>112998.97266216049</v>
      </c>
      <c r="V235" s="90">
        <f>(V179+V201)*INDEX(Inflation!$D$126:$BD$166, MATCH($B235, Inflation!$B$126:$B$166,0), MATCH(V$234, Inflation!$D$125:$BD$125,0))</f>
        <v>117106.43382391105</v>
      </c>
      <c r="W235" s="90">
        <f>(W179+W201)*INDEX(Inflation!$D$126:$BD$166, MATCH($B235, Inflation!$B$126:$B$166,0), MATCH(W$234, Inflation!$D$125:$BD$125,0))</f>
        <v>121321.63634216556</v>
      </c>
      <c r="X235" s="90">
        <f>(X179+X201)*INDEX(Inflation!$D$126:$BD$166, MATCH($B235, Inflation!$B$126:$B$166,0), MATCH(X$234, Inflation!$D$125:$BD$125,0))</f>
        <v>125630.38593222231</v>
      </c>
      <c r="Y235" s="90">
        <f>(Y179+Y201)*INDEX(Inflation!$D$126:$BD$166, MATCH($B235, Inflation!$B$126:$B$166,0), MATCH(Y$234, Inflation!$D$125:$BD$125,0))</f>
        <v>130070.2888634393</v>
      </c>
      <c r="Z235" s="90">
        <f>(Z179+Z201)*INDEX(Inflation!$D$126:$BD$166, MATCH($B235, Inflation!$B$126:$B$166,0), MATCH(Z$234, Inflation!$D$125:$BD$125,0))</f>
        <v>134624.11523141403</v>
      </c>
      <c r="AA235" s="90">
        <f>(AA179+AA201)*INDEX(Inflation!$D$126:$BD$166, MATCH($B235, Inflation!$B$126:$B$166,0), MATCH(AA$234, Inflation!$D$125:$BD$125,0))</f>
        <v>139280.07538547963</v>
      </c>
      <c r="AB235" s="90">
        <f>(AB179+AB201)*INDEX(Inflation!$D$126:$BD$166, MATCH($B235, Inflation!$B$126:$B$166,0), MATCH(AB$234, Inflation!$D$125:$BD$125,0))</f>
        <v>144030.87873709525</v>
      </c>
      <c r="AC235" s="90">
        <f>(AC179+AC201)*INDEX(Inflation!$D$126:$BD$166, MATCH($B235, Inflation!$B$126:$B$166,0), MATCH(AC$234, Inflation!$D$125:$BD$125,0))</f>
        <v>148889.49612621558</v>
      </c>
      <c r="AD235" s="90">
        <f>(AD179+AD201)*INDEX(Inflation!$D$126:$BD$166, MATCH($B235, Inflation!$B$126:$B$166,0), MATCH(AD$234, Inflation!$D$125:$BD$125,0))</f>
        <v>153838.42127535318</v>
      </c>
      <c r="AE235" s="90">
        <f>(AE179+AE201)*INDEX(Inflation!$D$126:$BD$166, MATCH($B235, Inflation!$B$126:$B$166,0), MATCH(AE$234, Inflation!$D$125:$BD$125,0))</f>
        <v>158861.63166831521</v>
      </c>
      <c r="AF235" s="90">
        <f>(AF179+AF201)*INDEX(Inflation!$D$126:$BD$166, MATCH($B235, Inflation!$B$126:$B$166,0), MATCH(AF$234, Inflation!$D$125:$BD$125,0))</f>
        <v>163947.87810885021</v>
      </c>
      <c r="AG235" s="90">
        <f>(AG179+AG201)*INDEX(Inflation!$D$126:$BD$166, MATCH($B235, Inflation!$B$126:$B$166,0), MATCH(AG$234, Inflation!$D$125:$BD$125,0))</f>
        <v>169101.02254303102</v>
      </c>
      <c r="AH235" s="90">
        <f>(AH179+AH201)*INDEX(Inflation!$D$126:$BD$166, MATCH($B235, Inflation!$B$126:$B$166,0), MATCH(AH$234, Inflation!$D$125:$BD$125,0))</f>
        <v>174355.60269996172</v>
      </c>
      <c r="AI235" s="90">
        <f>(AI179+AI201)*INDEX(Inflation!$D$126:$BD$166, MATCH($B235, Inflation!$B$126:$B$166,0), MATCH(AI$234, Inflation!$D$125:$BD$125,0))</f>
        <v>179716.76800693167</v>
      </c>
      <c r="AJ235" s="90">
        <f>(AJ179+AJ201)*INDEX(Inflation!$D$126:$BD$166, MATCH($B235, Inflation!$B$126:$B$166,0), MATCH(AJ$234, Inflation!$D$125:$BD$125,0))</f>
        <v>185207.57147081231</v>
      </c>
      <c r="AK235" s="90">
        <f>(AK179+AK201)*INDEX(Inflation!$D$126:$BD$166, MATCH($B235, Inflation!$B$126:$B$166,0), MATCH(AK$234, Inflation!$D$125:$BD$125,0))</f>
        <v>190809.31885086218</v>
      </c>
      <c r="AL235" s="90">
        <f>(AL179+AL201)*INDEX(Inflation!$D$126:$BD$166, MATCH($B235, Inflation!$B$126:$B$166,0), MATCH(AL$234, Inflation!$D$125:$BD$125,0))</f>
        <v>196485.85749037057</v>
      </c>
      <c r="AM235" s="90">
        <f>(AM179+AM201)*INDEX(Inflation!$D$126:$BD$166, MATCH($B235, Inflation!$B$126:$B$166,0), MATCH(AM$234, Inflation!$D$125:$BD$125,0))</f>
        <v>202216.56501288214</v>
      </c>
      <c r="AN235" s="90">
        <f>(AN179+AN201)*INDEX(Inflation!$D$126:$BD$166, MATCH($B235, Inflation!$B$126:$B$166,0), MATCH(AN$234, Inflation!$D$125:$BD$125,0))</f>
        <v>207983.51805833401</v>
      </c>
      <c r="AO235" s="90">
        <f>(AO179+AO201)*INDEX(Inflation!$D$126:$BD$166, MATCH($B235, Inflation!$B$126:$B$166,0), MATCH(AO$234, Inflation!$D$125:$BD$125,0))</f>
        <v>213774.03321173822</v>
      </c>
      <c r="AP235" s="90">
        <f>(AP179+AP201)*INDEX(Inflation!$D$126:$BD$166, MATCH($B235, Inflation!$B$126:$B$166,0), MATCH(AP$234, Inflation!$D$125:$BD$125,0))</f>
        <v>219576.54894835857</v>
      </c>
      <c r="AQ235" s="90">
        <f>(AQ179+AQ201)*INDEX(Inflation!$D$126:$BD$166, MATCH($B235, Inflation!$B$126:$B$166,0), MATCH(AQ$234, Inflation!$D$125:$BD$125,0))</f>
        <v>225458.20283406842</v>
      </c>
      <c r="AR235" s="90">
        <f>(AR179+AR201)*INDEX(Inflation!$D$126:$BD$166, MATCH($B235, Inflation!$B$126:$B$166,0), MATCH(AR$234, Inflation!$D$125:$BD$125,0))</f>
        <v>231482.67889430362</v>
      </c>
      <c r="AS235" s="90">
        <f>(AS179+AS201)*INDEX(Inflation!$D$126:$BD$166, MATCH($B235, Inflation!$B$126:$B$166,0), MATCH(AS$234, Inflation!$D$125:$BD$125,0))</f>
        <v>237698.23122813297</v>
      </c>
      <c r="AT235" s="90">
        <f>(AT179+AT201)*INDEX(Inflation!$D$126:$BD$166, MATCH($B235, Inflation!$B$126:$B$166,0), MATCH(AT$234, Inflation!$D$125:$BD$125,0))</f>
        <v>243823.07166083268</v>
      </c>
      <c r="AU235" s="90" t="e">
        <f>(AU179+AU201)*INDEX(Inflation!$D$126:$BD$166, MATCH($B235, Inflation!$B$126:$B$166,0), MATCH(AU$234, Inflation!$D$125:$BD$125,0))</f>
        <v>#N/A</v>
      </c>
      <c r="AV235" s="90" t="e">
        <f>(AV179+AV201)*INDEX(Inflation!$D$126:$BD$166, MATCH($B235, Inflation!$B$126:$B$166,0), MATCH(AV$234, Inflation!$D$125:$BD$125,0))</f>
        <v>#N/A</v>
      </c>
      <c r="AW235" s="90" t="e">
        <f>(AW179+AW201)*INDEX(Inflation!$D$126:$BD$166, MATCH($B235, Inflation!$B$126:$B$166,0), MATCH(AW$234, Inflation!$D$125:$BD$125,0))</f>
        <v>#N/A</v>
      </c>
      <c r="AX235" s="90" t="e">
        <f>(AX179+AX201)*INDEX(Inflation!$D$126:$BD$166, MATCH($B235, Inflation!$B$126:$B$166,0), MATCH(AX$234, Inflation!$D$125:$BD$125,0))</f>
        <v>#N/A</v>
      </c>
      <c r="AY235" s="90" t="e">
        <f>(AY179+AY201)*INDEX(Inflation!$D$126:$BD$166, MATCH($B235, Inflation!$B$126:$B$166,0), MATCH(AY$234, Inflation!$D$125:$BD$125,0))</f>
        <v>#N/A</v>
      </c>
      <c r="AZ235" s="90" t="e">
        <f>(AZ179+AZ201)*INDEX(Inflation!$D$126:$BD$166, MATCH($B235, Inflation!$B$126:$B$166,0), MATCH(AZ$234, Inflation!$D$125:$BD$125,0))</f>
        <v>#N/A</v>
      </c>
      <c r="BA235" s="90" t="e">
        <f>(BA179+BA201)*INDEX(Inflation!$D$126:$BD$166, MATCH($B235, Inflation!$B$126:$B$166,0), MATCH(BA$234, Inflation!$D$125:$BD$125,0))</f>
        <v>#N/A</v>
      </c>
      <c r="BB235" s="90" t="e">
        <f>(BB179+BB201)*INDEX(Inflation!$D$126:$BD$166, MATCH($B235, Inflation!$B$126:$B$166,0), MATCH(BB$234, Inflation!$D$125:$BD$125,0))</f>
        <v>#N/A</v>
      </c>
    </row>
    <row r="236" spans="1:54">
      <c r="B236" s="6" t="s">
        <v>14</v>
      </c>
      <c r="D236" s="90">
        <f>(D180+D202)*INDEX(Inflation!$D$126:$BD$166, MATCH($B236, Inflation!$B$126:$B$166,0), MATCH(D$234, Inflation!$D$125:$BD$125,0))</f>
        <v>330.23812390692063</v>
      </c>
      <c r="E236" s="90">
        <f>(E180+E202)*INDEX(Inflation!$D$126:$BD$166, MATCH($B236, Inflation!$B$126:$B$166,0), MATCH(E$234, Inflation!$D$125:$BD$125,0))</f>
        <v>349.31260194424755</v>
      </c>
      <c r="F236" s="90">
        <f>(F180+F202)*INDEX(Inflation!$D$126:$BD$166, MATCH($B236, Inflation!$B$126:$B$166,0), MATCH(F$234, Inflation!$D$125:$BD$125,0))</f>
        <v>367.38335858178647</v>
      </c>
      <c r="G236" s="90">
        <f>(G180+G202)*INDEX(Inflation!$D$126:$BD$166, MATCH($B236, Inflation!$B$126:$B$166,0), MATCH(G$234, Inflation!$D$125:$BD$125,0))</f>
        <v>384.92434429551099</v>
      </c>
      <c r="H236" s="90">
        <f>(H180+H202)*INDEX(Inflation!$D$126:$BD$166, MATCH($B236, Inflation!$B$126:$B$166,0), MATCH(H$234, Inflation!$D$125:$BD$125,0))</f>
        <v>407.063985142212</v>
      </c>
      <c r="I236" s="90">
        <f>(I180+I202)*INDEX(Inflation!$D$126:$BD$166, MATCH($B236, Inflation!$B$126:$B$166,0), MATCH(I$234, Inflation!$D$125:$BD$125,0))</f>
        <v>369.75330660221232</v>
      </c>
      <c r="J236" s="90">
        <f>(J180+J202)*INDEX(Inflation!$D$126:$BD$166, MATCH($B236, Inflation!$B$126:$B$166,0), MATCH(J$234, Inflation!$D$125:$BD$125,0))</f>
        <v>350.25582020708288</v>
      </c>
      <c r="K236" s="90">
        <f>(K180+K202)*INDEX(Inflation!$D$126:$BD$166, MATCH($B236, Inflation!$B$126:$B$166,0), MATCH(K$234, Inflation!$D$125:$BD$125,0))</f>
        <v>342.3812976655978</v>
      </c>
      <c r="L236" s="90">
        <f>(L180+L202)*INDEX(Inflation!$D$126:$BD$166, MATCH($B236, Inflation!$B$126:$B$166,0), MATCH(L$234, Inflation!$D$125:$BD$125,0))</f>
        <v>342.73329057005947</v>
      </c>
      <c r="M236" s="90">
        <f>(M180+M202)*INDEX(Inflation!$D$126:$BD$166, MATCH($B236, Inflation!$B$126:$B$166,0), MATCH(M$234, Inflation!$D$125:$BD$125,0))</f>
        <v>348.17463533325764</v>
      </c>
      <c r="N236" s="90">
        <f>(N180+N202)*INDEX(Inflation!$D$126:$BD$166, MATCH($B236, Inflation!$B$126:$B$166,0), MATCH(N$234, Inflation!$D$125:$BD$125,0))</f>
        <v>356.85583490162264</v>
      </c>
      <c r="O236" s="90">
        <f>(O180+O202)*INDEX(Inflation!$D$126:$BD$166, MATCH($B236, Inflation!$B$126:$B$166,0), MATCH(O$234, Inflation!$D$125:$BD$125,0))</f>
        <v>367.92494764919695</v>
      </c>
      <c r="P236" s="90">
        <f>(P180+P202)*INDEX(Inflation!$D$126:$BD$166, MATCH($B236, Inflation!$B$126:$B$166,0), MATCH(P$234, Inflation!$D$125:$BD$125,0))</f>
        <v>380.31851379540853</v>
      </c>
      <c r="Q236" s="90">
        <f>(Q180+Q202)*INDEX(Inflation!$D$126:$BD$166, MATCH($B236, Inflation!$B$126:$B$166,0), MATCH(Q$234, Inflation!$D$125:$BD$125,0))</f>
        <v>393.60837780824659</v>
      </c>
      <c r="R236" s="90">
        <f>(R180+R202)*INDEX(Inflation!$D$126:$BD$166, MATCH($B236, Inflation!$B$126:$B$166,0), MATCH(R$234, Inflation!$D$125:$BD$125,0))</f>
        <v>407.65018463771423</v>
      </c>
      <c r="S236" s="90">
        <f>(S180+S202)*INDEX(Inflation!$D$126:$BD$166, MATCH($B236, Inflation!$B$126:$B$166,0), MATCH(S$234, Inflation!$D$125:$BD$125,0))</f>
        <v>422.30922220901772</v>
      </c>
      <c r="T236" s="90">
        <f>(T180+T202)*INDEX(Inflation!$D$126:$BD$166, MATCH($B236, Inflation!$B$126:$B$166,0), MATCH(T$234, Inflation!$D$125:$BD$125,0))</f>
        <v>437.47150421154788</v>
      </c>
      <c r="U236" s="90">
        <f>(U180+U202)*INDEX(Inflation!$D$126:$BD$166, MATCH($B236, Inflation!$B$126:$B$166,0), MATCH(U$234, Inflation!$D$125:$BD$125,0))</f>
        <v>453.17130875804901</v>
      </c>
      <c r="V236" s="90">
        <f>(V180+V202)*INDEX(Inflation!$D$126:$BD$166, MATCH($B236, Inflation!$B$126:$B$166,0), MATCH(V$234, Inflation!$D$125:$BD$125,0))</f>
        <v>469.64387931768107</v>
      </c>
      <c r="W236" s="90">
        <f>(W180+W202)*INDEX(Inflation!$D$126:$BD$166, MATCH($B236, Inflation!$B$126:$B$166,0), MATCH(W$234, Inflation!$D$125:$BD$125,0))</f>
        <v>486.54853603158477</v>
      </c>
      <c r="X236" s="90">
        <f>(X180+X202)*INDEX(Inflation!$D$126:$BD$166, MATCH($B236, Inflation!$B$126:$B$166,0), MATCH(X$234, Inflation!$D$125:$BD$125,0))</f>
        <v>503.82835411165291</v>
      </c>
      <c r="Y236" s="90">
        <f>(Y180+Y202)*INDEX(Inflation!$D$126:$BD$166, MATCH($B236, Inflation!$B$126:$B$166,0), MATCH(Y$234, Inflation!$D$125:$BD$125,0))</f>
        <v>521.63414981666165</v>
      </c>
      <c r="Z236" s="90">
        <f>(Z180+Z202)*INDEX(Inflation!$D$126:$BD$166, MATCH($B236, Inflation!$B$126:$B$166,0), MATCH(Z$234, Inflation!$D$125:$BD$125,0))</f>
        <v>539.89682430310916</v>
      </c>
      <c r="AA236" s="90">
        <f>(AA180+AA202)*INDEX(Inflation!$D$126:$BD$166, MATCH($B236, Inflation!$B$126:$B$166,0), MATCH(AA$234, Inflation!$D$125:$BD$125,0))</f>
        <v>558.56909633209</v>
      </c>
      <c r="AB236" s="90">
        <f>(AB180+AB202)*INDEX(Inflation!$D$126:$BD$166, MATCH($B236, Inflation!$B$126:$B$166,0), MATCH(AB$234, Inflation!$D$125:$BD$125,0))</f>
        <v>577.62172771255848</v>
      </c>
      <c r="AC236" s="90">
        <f>(AC180+AC202)*INDEX(Inflation!$D$126:$BD$166, MATCH($B236, Inflation!$B$126:$B$166,0), MATCH(AC$234, Inflation!$D$125:$BD$125,0))</f>
        <v>597.10673672733162</v>
      </c>
      <c r="AD236" s="90">
        <f>(AD180+AD202)*INDEX(Inflation!$D$126:$BD$166, MATCH($B236, Inflation!$B$126:$B$166,0), MATCH(AD$234, Inflation!$D$125:$BD$125,0))</f>
        <v>616.95391616572761</v>
      </c>
      <c r="AE236" s="90">
        <f>(AE180+AE202)*INDEX(Inflation!$D$126:$BD$166, MATCH($B236, Inflation!$B$126:$B$166,0), MATCH(AE$234, Inflation!$D$125:$BD$125,0))</f>
        <v>637.09900929636535</v>
      </c>
      <c r="AF236" s="90">
        <f>(AF180+AF202)*INDEX(Inflation!$D$126:$BD$166, MATCH($B236, Inflation!$B$126:$B$166,0), MATCH(AF$234, Inflation!$D$125:$BD$125,0))</f>
        <v>657.49690231982174</v>
      </c>
      <c r="AG236" s="90">
        <f>(AG180+AG202)*INDEX(Inflation!$D$126:$BD$166, MATCH($B236, Inflation!$B$126:$B$166,0), MATCH(AG$234, Inflation!$D$125:$BD$125,0))</f>
        <v>678.16308319244649</v>
      </c>
      <c r="AH236" s="90">
        <f>(AH180+AH202)*INDEX(Inflation!$D$126:$BD$166, MATCH($B236, Inflation!$B$126:$B$166,0), MATCH(AH$234, Inflation!$D$125:$BD$125,0))</f>
        <v>699.23606209296838</v>
      </c>
      <c r="AI236" s="90">
        <f>(AI180+AI202)*INDEX(Inflation!$D$126:$BD$166, MATCH($B236, Inflation!$B$126:$B$166,0), MATCH(AI$234, Inflation!$D$125:$BD$125,0))</f>
        <v>720.73649029501519</v>
      </c>
      <c r="AJ236" s="90">
        <f>(AJ180+AJ202)*INDEX(Inflation!$D$126:$BD$166, MATCH($B236, Inflation!$B$126:$B$166,0), MATCH(AJ$234, Inflation!$D$125:$BD$125,0))</f>
        <v>742.75681962401995</v>
      </c>
      <c r="AK236" s="90">
        <f>(AK180+AK202)*INDEX(Inflation!$D$126:$BD$166, MATCH($B236, Inflation!$B$126:$B$166,0), MATCH(AK$234, Inflation!$D$125:$BD$125,0))</f>
        <v>765.22207865906307</v>
      </c>
      <c r="AL236" s="90">
        <f>(AL180+AL202)*INDEX(Inflation!$D$126:$BD$166, MATCH($B236, Inflation!$B$126:$B$166,0), MATCH(AL$234, Inflation!$D$125:$BD$125,0))</f>
        <v>787.9872807124716</v>
      </c>
      <c r="AM236" s="90">
        <f>(AM180+AM202)*INDEX(Inflation!$D$126:$BD$166, MATCH($B236, Inflation!$B$126:$B$166,0), MATCH(AM$234, Inflation!$D$125:$BD$125,0))</f>
        <v>810.96972176395377</v>
      </c>
      <c r="AN236" s="90">
        <f>(AN180+AN202)*INDEX(Inflation!$D$126:$BD$166, MATCH($B236, Inflation!$B$126:$B$166,0), MATCH(AN$234, Inflation!$D$125:$BD$125,0))</f>
        <v>834.09752193402369</v>
      </c>
      <c r="AO236" s="90">
        <f>(AO180+AO202)*INDEX(Inflation!$D$126:$BD$166, MATCH($B236, Inflation!$B$126:$B$166,0), MATCH(AO$234, Inflation!$D$125:$BD$125,0))</f>
        <v>857.31981562953285</v>
      </c>
      <c r="AP236" s="90">
        <f>(AP180+AP202)*INDEX(Inflation!$D$126:$BD$166, MATCH($B236, Inflation!$B$126:$B$166,0), MATCH(AP$234, Inflation!$D$125:$BD$125,0))</f>
        <v>880.59023648827019</v>
      </c>
      <c r="AQ236" s="90">
        <f>(AQ180+AQ202)*INDEX(Inflation!$D$126:$BD$166, MATCH($B236, Inflation!$B$126:$B$166,0), MATCH(AQ$234, Inflation!$D$125:$BD$125,0))</f>
        <v>904.17803314035018</v>
      </c>
      <c r="AR236" s="90">
        <f>(AR180+AR202)*INDEX(Inflation!$D$126:$BD$166, MATCH($B236, Inflation!$B$126:$B$166,0), MATCH(AR$234, Inflation!$D$125:$BD$125,0))</f>
        <v>928.3386041303246</v>
      </c>
      <c r="AS236" s="90">
        <f>(AS180+AS202)*INDEX(Inflation!$D$126:$BD$166, MATCH($B236, Inflation!$B$126:$B$166,0), MATCH(AS$234, Inflation!$D$125:$BD$125,0))</f>
        <v>953.26546779480134</v>
      </c>
      <c r="AT236" s="90">
        <f>(AT180+AT202)*INDEX(Inflation!$D$126:$BD$166, MATCH($B236, Inflation!$B$126:$B$166,0), MATCH(AT$234, Inflation!$D$125:$BD$125,0))</f>
        <v>977.82854026731957</v>
      </c>
      <c r="AU236" s="90" t="e">
        <f>(AU180+AU202)*INDEX(Inflation!$D$126:$BD$166, MATCH($B236, Inflation!$B$126:$B$166,0), MATCH(AU$234, Inflation!$D$125:$BD$125,0))</f>
        <v>#N/A</v>
      </c>
      <c r="AV236" s="90" t="e">
        <f>(AV180+AV202)*INDEX(Inflation!$D$126:$BD$166, MATCH($B236, Inflation!$B$126:$B$166,0), MATCH(AV$234, Inflation!$D$125:$BD$125,0))</f>
        <v>#N/A</v>
      </c>
      <c r="AW236" s="90" t="e">
        <f>(AW180+AW202)*INDEX(Inflation!$D$126:$BD$166, MATCH($B236, Inflation!$B$126:$B$166,0), MATCH(AW$234, Inflation!$D$125:$BD$125,0))</f>
        <v>#N/A</v>
      </c>
      <c r="AX236" s="90" t="e">
        <f>(AX180+AX202)*INDEX(Inflation!$D$126:$BD$166, MATCH($B236, Inflation!$B$126:$B$166,0), MATCH(AX$234, Inflation!$D$125:$BD$125,0))</f>
        <v>#N/A</v>
      </c>
      <c r="AY236" s="90" t="e">
        <f>(AY180+AY202)*INDEX(Inflation!$D$126:$BD$166, MATCH($B236, Inflation!$B$126:$B$166,0), MATCH(AY$234, Inflation!$D$125:$BD$125,0))</f>
        <v>#N/A</v>
      </c>
      <c r="AZ236" s="90" t="e">
        <f>(AZ180+AZ202)*INDEX(Inflation!$D$126:$BD$166, MATCH($B236, Inflation!$B$126:$B$166,0), MATCH(AZ$234, Inflation!$D$125:$BD$125,0))</f>
        <v>#N/A</v>
      </c>
      <c r="BA236" s="90" t="e">
        <f>(BA180+BA202)*INDEX(Inflation!$D$126:$BD$166, MATCH($B236, Inflation!$B$126:$B$166,0), MATCH(BA$234, Inflation!$D$125:$BD$125,0))</f>
        <v>#N/A</v>
      </c>
      <c r="BB236" s="90" t="e">
        <f>(BB180+BB202)*INDEX(Inflation!$D$126:$BD$166, MATCH($B236, Inflation!$B$126:$B$166,0), MATCH(BB$234, Inflation!$D$125:$BD$125,0))</f>
        <v>#N/A</v>
      </c>
    </row>
    <row r="237" spans="1:54">
      <c r="B237" s="6" t="s">
        <v>15</v>
      </c>
      <c r="D237" s="90">
        <f>(D181+D203)*INDEX(Inflation!$D$126:$BD$166, MATCH($B237, Inflation!$B$126:$B$166,0), MATCH(D$234, Inflation!$D$125:$BD$125,0))</f>
        <v>3498.0779050881229</v>
      </c>
      <c r="E237" s="90">
        <f>(E181+E203)*INDEX(Inflation!$D$126:$BD$166, MATCH($B237, Inflation!$B$126:$B$166,0), MATCH(E$234, Inflation!$D$125:$BD$125,0))</f>
        <v>3700.1260798538815</v>
      </c>
      <c r="F237" s="90">
        <f>(F181+F203)*INDEX(Inflation!$D$126:$BD$166, MATCH($B237, Inflation!$B$126:$B$166,0), MATCH(F$234, Inflation!$D$125:$BD$125,0))</f>
        <v>3891.5422427552207</v>
      </c>
      <c r="G237" s="90">
        <f>(G181+G203)*INDEX(Inflation!$D$126:$BD$166, MATCH($B237, Inflation!$B$126:$B$166,0), MATCH(G$234, Inflation!$D$125:$BD$125,0))</f>
        <v>4077.3467580931906</v>
      </c>
      <c r="H237" s="90">
        <f>(H181+H203)*INDEX(Inflation!$D$126:$BD$166, MATCH($B237, Inflation!$B$126:$B$166,0), MATCH(H$234, Inflation!$D$125:$BD$125,0))</f>
        <v>3904.9923835508598</v>
      </c>
      <c r="I237" s="90">
        <f>(I181+I203)*INDEX(Inflation!$D$126:$BD$166, MATCH($B237, Inflation!$B$126:$B$166,0), MATCH(I$234, Inflation!$D$125:$BD$125,0))</f>
        <v>3547.0685169309418</v>
      </c>
      <c r="J237" s="90">
        <f>(J181+J203)*INDEX(Inflation!$D$126:$BD$166, MATCH($B237, Inflation!$B$126:$B$166,0), MATCH(J$234, Inflation!$D$125:$BD$125,0))</f>
        <v>3360.0278092034641</v>
      </c>
      <c r="K237" s="90">
        <f>(K181+K203)*INDEX(Inflation!$D$126:$BD$166, MATCH($B237, Inflation!$B$126:$B$166,0), MATCH(K$234, Inflation!$D$125:$BD$125,0))</f>
        <v>3284.4869810512118</v>
      </c>
      <c r="L237" s="90">
        <f>(L181+L203)*INDEX(Inflation!$D$126:$BD$166, MATCH($B237, Inflation!$B$126:$B$166,0), MATCH(L$234, Inflation!$D$125:$BD$125,0))</f>
        <v>3287.8636728273377</v>
      </c>
      <c r="M237" s="90">
        <f>(M181+M203)*INDEX(Inflation!$D$126:$BD$166, MATCH($B237, Inflation!$B$126:$B$166,0), MATCH(M$234, Inflation!$D$125:$BD$125,0))</f>
        <v>3340.0628617316074</v>
      </c>
      <c r="N237" s="90">
        <f>(N181+N203)*INDEX(Inflation!$D$126:$BD$166, MATCH($B237, Inflation!$B$126:$B$166,0), MATCH(N$234, Inflation!$D$125:$BD$125,0))</f>
        <v>3423.3421972461624</v>
      </c>
      <c r="O237" s="90">
        <f>(O181+O203)*INDEX(Inflation!$D$126:$BD$166, MATCH($B237, Inflation!$B$126:$B$166,0), MATCH(O$234, Inflation!$D$125:$BD$125,0))</f>
        <v>3529.5289456435739</v>
      </c>
      <c r="P237" s="90">
        <f>(P181+P203)*INDEX(Inflation!$D$126:$BD$166, MATCH($B237, Inflation!$B$126:$B$166,0), MATCH(P$234, Inflation!$D$125:$BD$125,0))</f>
        <v>3648.4212652111769</v>
      </c>
      <c r="Q237" s="90">
        <f>(Q181+Q203)*INDEX(Inflation!$D$126:$BD$166, MATCH($B237, Inflation!$B$126:$B$166,0), MATCH(Q$234, Inflation!$D$125:$BD$125,0))</f>
        <v>3775.9118309275932</v>
      </c>
      <c r="R237" s="90">
        <f>(R181+R203)*INDEX(Inflation!$D$126:$BD$166, MATCH($B237, Inflation!$B$126:$B$166,0), MATCH(R$234, Inflation!$D$125:$BD$125,0))</f>
        <v>3910.6158350197429</v>
      </c>
      <c r="S237" s="90">
        <f>(S181+S203)*INDEX(Inflation!$D$126:$BD$166, MATCH($B237, Inflation!$B$126:$B$166,0), MATCH(S$234, Inflation!$D$125:$BD$125,0))</f>
        <v>4051.2409754288788</v>
      </c>
      <c r="T237" s="90">
        <f>(T181+T203)*INDEX(Inflation!$D$126:$BD$166, MATCH($B237, Inflation!$B$126:$B$166,0), MATCH(T$234, Inflation!$D$125:$BD$125,0))</f>
        <v>4196.6937737560156</v>
      </c>
      <c r="U237" s="90">
        <f>(U181+U203)*INDEX(Inflation!$D$126:$BD$166, MATCH($B237, Inflation!$B$126:$B$166,0), MATCH(U$234, Inflation!$D$125:$BD$125,0))</f>
        <v>4347.3030622586712</v>
      </c>
      <c r="V237" s="90">
        <f>(V181+V203)*INDEX(Inflation!$D$126:$BD$166, MATCH($B237, Inflation!$B$126:$B$166,0), MATCH(V$234, Inflation!$D$125:$BD$125,0))</f>
        <v>4505.3255474716389</v>
      </c>
      <c r="W237" s="90">
        <f>(W181+W203)*INDEX(Inflation!$D$126:$BD$166, MATCH($B237, Inflation!$B$126:$B$166,0), MATCH(W$234, Inflation!$D$125:$BD$125,0))</f>
        <v>4667.4930644315928</v>
      </c>
      <c r="X237" s="90">
        <f>(X181+X203)*INDEX(Inflation!$D$126:$BD$166, MATCH($B237, Inflation!$B$126:$B$166,0), MATCH(X$234, Inflation!$D$125:$BD$125,0))</f>
        <v>4833.2595297901944</v>
      </c>
      <c r="Y237" s="90">
        <f>(Y181+Y203)*INDEX(Inflation!$D$126:$BD$166, MATCH($B237, Inflation!$B$126:$B$166,0), MATCH(Y$234, Inflation!$D$125:$BD$125,0))</f>
        <v>5004.071734134016</v>
      </c>
      <c r="Z237" s="90">
        <f>(Z181+Z203)*INDEX(Inflation!$D$126:$BD$166, MATCH($B237, Inflation!$B$126:$B$166,0), MATCH(Z$234, Inflation!$D$125:$BD$125,0))</f>
        <v>5179.2668075766614</v>
      </c>
      <c r="AA237" s="90">
        <f>(AA181+AA203)*INDEX(Inflation!$D$126:$BD$166, MATCH($B237, Inflation!$B$126:$B$166,0), MATCH(AA$234, Inflation!$D$125:$BD$125,0))</f>
        <v>5358.391177990532</v>
      </c>
      <c r="AB237" s="90">
        <f>(AB181+AB203)*INDEX(Inflation!$D$126:$BD$166, MATCH($B237, Inflation!$B$126:$B$166,0), MATCH(AB$234, Inflation!$D$125:$BD$125,0))</f>
        <v>5541.164361428363</v>
      </c>
      <c r="AC237" s="90">
        <f>(AC181+AC203)*INDEX(Inflation!$D$126:$BD$166, MATCH($B237, Inflation!$B$126:$B$166,0), MATCH(AC$234, Inflation!$D$125:$BD$125,0))</f>
        <v>5728.0853728008769</v>
      </c>
      <c r="AD237" s="90">
        <f>(AD181+AD203)*INDEX(Inflation!$D$126:$BD$166, MATCH($B237, Inflation!$B$126:$B$166,0), MATCH(AD$234, Inflation!$D$125:$BD$125,0))</f>
        <v>5918.4807095802471</v>
      </c>
      <c r="AE237" s="90">
        <f>(AE181+AE203)*INDEX(Inflation!$D$126:$BD$166, MATCH($B237, Inflation!$B$126:$B$166,0), MATCH(AE$234, Inflation!$D$125:$BD$125,0))</f>
        <v>6111.7339525896496</v>
      </c>
      <c r="AF237" s="90">
        <f>(AF181+AF203)*INDEX(Inflation!$D$126:$BD$166, MATCH($B237, Inflation!$B$126:$B$166,0), MATCH(AF$234, Inflation!$D$125:$BD$125,0))</f>
        <v>6307.4123220952542</v>
      </c>
      <c r="AG237" s="90">
        <f>(AG181+AG203)*INDEX(Inflation!$D$126:$BD$166, MATCH($B237, Inflation!$B$126:$B$166,0), MATCH(AG$234, Inflation!$D$125:$BD$125,0))</f>
        <v>6505.6643951114665</v>
      </c>
      <c r="AH237" s="90">
        <f>(AH181+AH203)*INDEX(Inflation!$D$126:$BD$166, MATCH($B237, Inflation!$B$126:$B$166,0), MATCH(AH$234, Inflation!$D$125:$BD$125,0))</f>
        <v>6707.8189091653621</v>
      </c>
      <c r="AI237" s="90">
        <f>(AI181+AI203)*INDEX(Inflation!$D$126:$BD$166, MATCH($B237, Inflation!$B$126:$B$166,0), MATCH(AI$234, Inflation!$D$125:$BD$125,0))</f>
        <v>6914.0739733237479</v>
      </c>
      <c r="AJ237" s="90">
        <f>(AJ181+AJ203)*INDEX(Inflation!$D$126:$BD$166, MATCH($B237, Inflation!$B$126:$B$166,0), MATCH(AJ$234, Inflation!$D$125:$BD$125,0))</f>
        <v>7125.3164842105907</v>
      </c>
      <c r="AK237" s="90">
        <f>(AK181+AK203)*INDEX(Inflation!$D$126:$BD$166, MATCH($B237, Inflation!$B$126:$B$166,0), MATCH(AK$234, Inflation!$D$125:$BD$125,0))</f>
        <v>7340.8272359065231</v>
      </c>
      <c r="AL237" s="90">
        <f>(AL181+AL203)*INDEX(Inflation!$D$126:$BD$166, MATCH($B237, Inflation!$B$126:$B$166,0), MATCH(AL$234, Inflation!$D$125:$BD$125,0))</f>
        <v>7559.215361295458</v>
      </c>
      <c r="AM237" s="90">
        <f>(AM181+AM203)*INDEX(Inflation!$D$126:$BD$166, MATCH($B237, Inflation!$B$126:$B$166,0), MATCH(AM$234, Inflation!$D$125:$BD$125,0))</f>
        <v>7779.6874751084515</v>
      </c>
      <c r="AN237" s="90">
        <f>(AN181+AN203)*INDEX(Inflation!$D$126:$BD$166, MATCH($B237, Inflation!$B$126:$B$166,0), MATCH(AN$234, Inflation!$D$125:$BD$125,0))</f>
        <v>8001.5540287925287</v>
      </c>
      <c r="AO237" s="90">
        <f>(AO181+AO203)*INDEX(Inflation!$D$126:$BD$166, MATCH($B237, Inflation!$B$126:$B$166,0), MATCH(AO$234, Inflation!$D$125:$BD$125,0))</f>
        <v>8224.3270652670381</v>
      </c>
      <c r="AP237" s="90">
        <f>(AP181+AP203)*INDEX(Inflation!$D$126:$BD$166, MATCH($B237, Inflation!$B$126:$B$166,0), MATCH(AP$234, Inflation!$D$125:$BD$125,0))</f>
        <v>8447.5617888784745</v>
      </c>
      <c r="AQ237" s="90">
        <f>(AQ181+AQ203)*INDEX(Inflation!$D$126:$BD$166, MATCH($B237, Inflation!$B$126:$B$166,0), MATCH(AQ$234, Inflation!$D$125:$BD$125,0))</f>
        <v>8673.8411199741477</v>
      </c>
      <c r="AR237" s="90">
        <f>(AR181+AR203)*INDEX(Inflation!$D$126:$BD$166, MATCH($B237, Inflation!$B$126:$B$166,0), MATCH(AR$234, Inflation!$D$125:$BD$125,0))</f>
        <v>8905.6151140923685</v>
      </c>
      <c r="AS237" s="90">
        <f>(AS181+AS203)*INDEX(Inflation!$D$126:$BD$166, MATCH($B237, Inflation!$B$126:$B$166,0), MATCH(AS$234, Inflation!$D$125:$BD$125,0))</f>
        <v>9144.7402057449399</v>
      </c>
      <c r="AT237" s="90">
        <f>(AT181+AT203)*INDEX(Inflation!$D$126:$BD$166, MATCH($B237, Inflation!$B$126:$B$166,0), MATCH(AT$234, Inflation!$D$125:$BD$125,0))</f>
        <v>9380.3754238502243</v>
      </c>
      <c r="AU237" s="90" t="e">
        <f>(AU181+AU203)*INDEX(Inflation!$D$126:$BD$166, MATCH($B237, Inflation!$B$126:$B$166,0), MATCH(AU$234, Inflation!$D$125:$BD$125,0))</f>
        <v>#N/A</v>
      </c>
      <c r="AV237" s="90" t="e">
        <f>(AV181+AV203)*INDEX(Inflation!$D$126:$BD$166, MATCH($B237, Inflation!$B$126:$B$166,0), MATCH(AV$234, Inflation!$D$125:$BD$125,0))</f>
        <v>#N/A</v>
      </c>
      <c r="AW237" s="90" t="e">
        <f>(AW181+AW203)*INDEX(Inflation!$D$126:$BD$166, MATCH($B237, Inflation!$B$126:$B$166,0), MATCH(AW$234, Inflation!$D$125:$BD$125,0))</f>
        <v>#N/A</v>
      </c>
      <c r="AX237" s="90" t="e">
        <f>(AX181+AX203)*INDEX(Inflation!$D$126:$BD$166, MATCH($B237, Inflation!$B$126:$B$166,0), MATCH(AX$234, Inflation!$D$125:$BD$125,0))</f>
        <v>#N/A</v>
      </c>
      <c r="AY237" s="90" t="e">
        <f>(AY181+AY203)*INDEX(Inflation!$D$126:$BD$166, MATCH($B237, Inflation!$B$126:$B$166,0), MATCH(AY$234, Inflation!$D$125:$BD$125,0))</f>
        <v>#N/A</v>
      </c>
      <c r="AZ237" s="90" t="e">
        <f>(AZ181+AZ203)*INDEX(Inflation!$D$126:$BD$166, MATCH($B237, Inflation!$B$126:$B$166,0), MATCH(AZ$234, Inflation!$D$125:$BD$125,0))</f>
        <v>#N/A</v>
      </c>
      <c r="BA237" s="90" t="e">
        <f>(BA181+BA203)*INDEX(Inflation!$D$126:$BD$166, MATCH($B237, Inflation!$B$126:$B$166,0), MATCH(BA$234, Inflation!$D$125:$BD$125,0))</f>
        <v>#N/A</v>
      </c>
      <c r="BB237" s="90" t="e">
        <f>(BB181+BB203)*INDEX(Inflation!$D$126:$BD$166, MATCH($B237, Inflation!$B$126:$B$166,0), MATCH(BB$234, Inflation!$D$125:$BD$125,0))</f>
        <v>#N/A</v>
      </c>
    </row>
    <row r="238" spans="1:54" ht="29">
      <c r="B238" s="6" t="s">
        <v>16</v>
      </c>
      <c r="C238" s="47"/>
      <c r="D238" s="90">
        <f>(D182+D204)*INDEX(Inflation!$D$126:$BD$166, MATCH($B238, Inflation!$B$126:$B$166,0), MATCH(D$234, Inflation!$D$125:$BD$125,0))</f>
        <v>71987.118163291132</v>
      </c>
      <c r="E238" s="90">
        <f>(E182+E204)*INDEX(Inflation!$D$126:$BD$166, MATCH($B238, Inflation!$B$126:$B$166,0), MATCH(E$234, Inflation!$D$125:$BD$125,0))</f>
        <v>76145.077541606792</v>
      </c>
      <c r="F238" s="90">
        <f>(F182+F204)*INDEX(Inflation!$D$126:$BD$166, MATCH($B238, Inflation!$B$126:$B$166,0), MATCH(F$234, Inflation!$D$125:$BD$125,0))</f>
        <v>80084.240222088993</v>
      </c>
      <c r="G238" s="90">
        <f>(G182+G204)*INDEX(Inflation!$D$126:$BD$166, MATCH($B238, Inflation!$B$126:$B$166,0), MATCH(G$234, Inflation!$D$125:$BD$125,0))</f>
        <v>83907.920529909505</v>
      </c>
      <c r="H238" s="90">
        <f>(H182+H204)*INDEX(Inflation!$D$126:$BD$166, MATCH($B238, Inflation!$B$126:$B$166,0), MATCH(H$234, Inflation!$D$125:$BD$125,0))</f>
        <v>69540.422185028539</v>
      </c>
      <c r="I238" s="90">
        <f>(I182+I204)*INDEX(Inflation!$D$126:$BD$166, MATCH($B238, Inflation!$B$126:$B$166,0), MATCH(I$234, Inflation!$D$125:$BD$125,0))</f>
        <v>63166.484837623524</v>
      </c>
      <c r="J238" s="90">
        <f>(J182+J204)*INDEX(Inflation!$D$126:$BD$166, MATCH($B238, Inflation!$B$126:$B$166,0), MATCH(J$234, Inflation!$D$125:$BD$125,0))</f>
        <v>59835.648691580143</v>
      </c>
      <c r="K238" s="90">
        <f>(K182+K204)*INDEX(Inflation!$D$126:$BD$166, MATCH($B238, Inflation!$B$126:$B$166,0), MATCH(K$234, Inflation!$D$125:$BD$125,0))</f>
        <v>58490.411475742709</v>
      </c>
      <c r="L238" s="90">
        <f>(L182+L204)*INDEX(Inflation!$D$126:$BD$166, MATCH($B238, Inflation!$B$126:$B$166,0), MATCH(L$234, Inflation!$D$125:$BD$125,0))</f>
        <v>58550.543877713506</v>
      </c>
      <c r="M238" s="90">
        <f>(M182+M204)*INDEX(Inflation!$D$126:$BD$166, MATCH($B238, Inflation!$B$126:$B$166,0), MATCH(M$234, Inflation!$D$125:$BD$125,0))</f>
        <v>59480.111282098078</v>
      </c>
      <c r="N238" s="90">
        <f>(N182+N204)*INDEX(Inflation!$D$126:$BD$166, MATCH($B238, Inflation!$B$126:$B$166,0), MATCH(N$234, Inflation!$D$125:$BD$125,0))</f>
        <v>60963.156466863518</v>
      </c>
      <c r="O238" s="90">
        <f>(O182+O204)*INDEX(Inflation!$D$126:$BD$166, MATCH($B238, Inflation!$B$126:$B$166,0), MATCH(O$234, Inflation!$D$125:$BD$125,0))</f>
        <v>62854.138724630895</v>
      </c>
      <c r="P238" s="90">
        <f>(P182+P204)*INDEX(Inflation!$D$126:$BD$166, MATCH($B238, Inflation!$B$126:$B$166,0), MATCH(P$234, Inflation!$D$125:$BD$125,0))</f>
        <v>64971.382827875561</v>
      </c>
      <c r="Q238" s="90">
        <f>(Q182+Q204)*INDEX(Inflation!$D$126:$BD$166, MATCH($B238, Inflation!$B$126:$B$166,0), MATCH(Q$234, Inflation!$D$125:$BD$125,0))</f>
        <v>67241.745198330682</v>
      </c>
      <c r="R238" s="90">
        <f>(R182+R204)*INDEX(Inflation!$D$126:$BD$166, MATCH($B238, Inflation!$B$126:$B$166,0), MATCH(R$234, Inflation!$D$125:$BD$125,0))</f>
        <v>69640.565066466777</v>
      </c>
      <c r="S238" s="90">
        <f>(S182+S204)*INDEX(Inflation!$D$126:$BD$166, MATCH($B238, Inflation!$B$126:$B$166,0), MATCH(S$234, Inflation!$D$125:$BD$125,0))</f>
        <v>72144.829012044036</v>
      </c>
      <c r="T238" s="90">
        <f>(T182+T204)*INDEX(Inflation!$D$126:$BD$166, MATCH($B238, Inflation!$B$126:$B$166,0), MATCH(T$234, Inflation!$D$125:$BD$125,0))</f>
        <v>74735.064282737512</v>
      </c>
      <c r="U238" s="90">
        <f>(U182+U204)*INDEX(Inflation!$D$126:$BD$166, MATCH($B238, Inflation!$B$126:$B$166,0), MATCH(U$234, Inflation!$D$125:$BD$125,0))</f>
        <v>77417.126750152078</v>
      </c>
      <c r="V238" s="90">
        <f>(V182+V204)*INDEX(Inflation!$D$126:$BD$166, MATCH($B238, Inflation!$B$126:$B$166,0), MATCH(V$234, Inflation!$D$125:$BD$125,0))</f>
        <v>80231.20402792767</v>
      </c>
      <c r="W238" s="90">
        <f>(W182+W204)*INDEX(Inflation!$D$126:$BD$166, MATCH($B238, Inflation!$B$126:$B$166,0), MATCH(W$234, Inflation!$D$125:$BD$125,0))</f>
        <v>83119.096368408602</v>
      </c>
      <c r="X238" s="90">
        <f>(X182+X204)*INDEX(Inflation!$D$126:$BD$166, MATCH($B238, Inflation!$B$126:$B$166,0), MATCH(X$234, Inflation!$D$125:$BD$125,0))</f>
        <v>86071.079074883179</v>
      </c>
      <c r="Y238" s="90">
        <f>(Y182+Y204)*INDEX(Inflation!$D$126:$BD$166, MATCH($B238, Inflation!$B$126:$B$166,0), MATCH(Y$234, Inflation!$D$125:$BD$125,0))</f>
        <v>89112.916711868165</v>
      </c>
      <c r="Z238" s="90">
        <f>(Z182+Z204)*INDEX(Inflation!$D$126:$BD$166, MATCH($B238, Inflation!$B$126:$B$166,0), MATCH(Z$234, Inflation!$D$125:$BD$125,0))</f>
        <v>92232.804838477125</v>
      </c>
      <c r="AA238" s="90">
        <f>(AA182+AA204)*INDEX(Inflation!$D$126:$BD$166, MATCH($B238, Inflation!$B$126:$B$166,0), MATCH(AA$234, Inflation!$D$125:$BD$125,0))</f>
        <v>95422.666205346482</v>
      </c>
      <c r="AB238" s="90">
        <f>(AB182+AB204)*INDEX(Inflation!$D$126:$BD$166, MATCH($B238, Inflation!$B$126:$B$166,0), MATCH(AB$234, Inflation!$D$125:$BD$125,0))</f>
        <v>98677.505931515378</v>
      </c>
      <c r="AC238" s="90">
        <f>(AC182+AC204)*INDEX(Inflation!$D$126:$BD$166, MATCH($B238, Inflation!$B$126:$B$166,0), MATCH(AC$234, Inflation!$D$125:$BD$125,0))</f>
        <v>102006.21051512776</v>
      </c>
      <c r="AD238" s="90">
        <f>(AD182+AD204)*INDEX(Inflation!$D$126:$BD$166, MATCH($B238, Inflation!$B$126:$B$166,0), MATCH(AD$234, Inflation!$D$125:$BD$125,0))</f>
        <v>105396.78616835314</v>
      </c>
      <c r="AE238" s="90">
        <f>(AE182+AE204)*INDEX(Inflation!$D$126:$BD$166, MATCH($B238, Inflation!$B$126:$B$166,0), MATCH(AE$234, Inflation!$D$125:$BD$125,0))</f>
        <v>108838.25564832166</v>
      </c>
      <c r="AF238" s="90">
        <f>(AF182+AF204)*INDEX(Inflation!$D$126:$BD$166, MATCH($B238, Inflation!$B$126:$B$166,0), MATCH(AF$234, Inflation!$D$125:$BD$125,0))</f>
        <v>112322.91197831027</v>
      </c>
      <c r="AG238" s="90">
        <f>(AG182+AG204)*INDEX(Inflation!$D$126:$BD$166, MATCH($B238, Inflation!$B$126:$B$166,0), MATCH(AG$234, Inflation!$D$125:$BD$125,0))</f>
        <v>115853.40102988383</v>
      </c>
      <c r="AH238" s="90">
        <f>(AH182+AH204)*INDEX(Inflation!$D$126:$BD$166, MATCH($B238, Inflation!$B$126:$B$166,0), MATCH(AH$234, Inflation!$D$125:$BD$125,0))</f>
        <v>119453.38506906756</v>
      </c>
      <c r="AI238" s="90">
        <f>(AI182+AI204)*INDEX(Inflation!$D$126:$BD$166, MATCH($B238, Inflation!$B$126:$B$166,0), MATCH(AI$234, Inflation!$D$125:$BD$125,0))</f>
        <v>123126.39203824682</v>
      </c>
      <c r="AJ238" s="90">
        <f>(AJ182+AJ204)*INDEX(Inflation!$D$126:$BD$166, MATCH($B238, Inflation!$B$126:$B$166,0), MATCH(AJ$234, Inflation!$D$125:$BD$125,0))</f>
        <v>126888.21586468382</v>
      </c>
      <c r="AK238" s="90">
        <f>(AK182+AK204)*INDEX(Inflation!$D$126:$BD$166, MATCH($B238, Inflation!$B$126:$B$166,0), MATCH(AK$234, Inflation!$D$125:$BD$125,0))</f>
        <v>130726.0488708318</v>
      </c>
      <c r="AL238" s="90">
        <f>(AL182+AL204)*INDEX(Inflation!$D$126:$BD$166, MATCH($B238, Inflation!$B$126:$B$166,0), MATCH(AL$234, Inflation!$D$125:$BD$125,0))</f>
        <v>134615.12238188789</v>
      </c>
      <c r="AM238" s="90">
        <f>(AM182+AM204)*INDEX(Inflation!$D$126:$BD$166, MATCH($B238, Inflation!$B$126:$B$166,0), MATCH(AM$234, Inflation!$D$125:$BD$125,0))</f>
        <v>138541.3077284109</v>
      </c>
      <c r="AN238" s="90">
        <f>(AN182+AN204)*INDEX(Inflation!$D$126:$BD$166, MATCH($B238, Inflation!$B$126:$B$166,0), MATCH(AN$234, Inflation!$D$125:$BD$125,0))</f>
        <v>142492.32537364852</v>
      </c>
      <c r="AO238" s="90">
        <f>(AO182+AO204)*INDEX(Inflation!$D$126:$BD$166, MATCH($B238, Inflation!$B$126:$B$166,0), MATCH(AO$234, Inflation!$D$125:$BD$125,0))</f>
        <v>146459.48573819481</v>
      </c>
      <c r="AP238" s="90">
        <f>(AP182+AP204)*INDEX(Inflation!$D$126:$BD$166, MATCH($B238, Inflation!$B$126:$B$166,0), MATCH(AP$234, Inflation!$D$125:$BD$125,0))</f>
        <v>150434.86786485123</v>
      </c>
      <c r="AQ238" s="90">
        <f>(AQ182+AQ204)*INDEX(Inflation!$D$126:$BD$166, MATCH($B238, Inflation!$B$126:$B$166,0), MATCH(AQ$234, Inflation!$D$125:$BD$125,0))</f>
        <v>154464.46860938083</v>
      </c>
      <c r="AR238" s="90">
        <f>(AR182+AR204)*INDEX(Inflation!$D$126:$BD$166, MATCH($B238, Inflation!$B$126:$B$166,0), MATCH(AR$234, Inflation!$D$125:$BD$125,0))</f>
        <v>158591.9187602145</v>
      </c>
      <c r="AS238" s="90">
        <f>(AS182+AS204)*INDEX(Inflation!$D$126:$BD$166, MATCH($B238, Inflation!$B$126:$B$166,0), MATCH(AS$234, Inflation!$D$125:$BD$125,0))</f>
        <v>162850.27785422959</v>
      </c>
      <c r="AT238" s="90">
        <f>(AT182+AT204)*INDEX(Inflation!$D$126:$BD$166, MATCH($B238, Inflation!$B$126:$B$166,0), MATCH(AT$234, Inflation!$D$125:$BD$125,0))</f>
        <v>167046.48899608143</v>
      </c>
      <c r="AU238" s="90" t="e">
        <f>(AU182+AU204)*INDEX(Inflation!$D$126:$BD$166, MATCH($B238, Inflation!$B$126:$B$166,0), MATCH(AU$234, Inflation!$D$125:$BD$125,0))</f>
        <v>#N/A</v>
      </c>
      <c r="AV238" s="90" t="e">
        <f>(AV182+AV204)*INDEX(Inflation!$D$126:$BD$166, MATCH($B238, Inflation!$B$126:$B$166,0), MATCH(AV$234, Inflation!$D$125:$BD$125,0))</f>
        <v>#N/A</v>
      </c>
      <c r="AW238" s="90" t="e">
        <f>(AW182+AW204)*INDEX(Inflation!$D$126:$BD$166, MATCH($B238, Inflation!$B$126:$B$166,0), MATCH(AW$234, Inflation!$D$125:$BD$125,0))</f>
        <v>#N/A</v>
      </c>
      <c r="AX238" s="90" t="e">
        <f>(AX182+AX204)*INDEX(Inflation!$D$126:$BD$166, MATCH($B238, Inflation!$B$126:$B$166,0), MATCH(AX$234, Inflation!$D$125:$BD$125,0))</f>
        <v>#N/A</v>
      </c>
      <c r="AY238" s="90" t="e">
        <f>(AY182+AY204)*INDEX(Inflation!$D$126:$BD$166, MATCH($B238, Inflation!$B$126:$B$166,0), MATCH(AY$234, Inflation!$D$125:$BD$125,0))</f>
        <v>#N/A</v>
      </c>
      <c r="AZ238" s="90" t="e">
        <f>(AZ182+AZ204)*INDEX(Inflation!$D$126:$BD$166, MATCH($B238, Inflation!$B$126:$B$166,0), MATCH(AZ$234, Inflation!$D$125:$BD$125,0))</f>
        <v>#N/A</v>
      </c>
      <c r="BA238" s="90" t="e">
        <f>(BA182+BA204)*INDEX(Inflation!$D$126:$BD$166, MATCH($B238, Inflation!$B$126:$B$166,0), MATCH(BA$234, Inflation!$D$125:$BD$125,0))</f>
        <v>#N/A</v>
      </c>
      <c r="BB238" s="90" t="e">
        <f>(BB182+BB204)*INDEX(Inflation!$D$126:$BD$166, MATCH($B238, Inflation!$B$126:$B$166,0), MATCH(BB$234, Inflation!$D$125:$BD$125,0))</f>
        <v>#N/A</v>
      </c>
    </row>
    <row r="239" spans="1:54">
      <c r="B239" s="6" t="s">
        <v>103</v>
      </c>
      <c r="C239" s="492" t="s">
        <v>3313</v>
      </c>
      <c r="D239" s="90">
        <f>(D183+D205+D228)*INDEX(Inflation!$D$126:$BD$166, MATCH($B239, Inflation!$B$126:$B$166,0), MATCH(D$234, Inflation!$D$125:$BD$125,0))</f>
        <v>372606.39890900085</v>
      </c>
      <c r="E239" s="90">
        <f>(E183+E205+E228)*INDEX(Inflation!$D$126:$BD$166, MATCH($B239, Inflation!$B$126:$B$166,0), MATCH(E$234, Inflation!$D$125:$BD$125,0))</f>
        <v>392663.7581897155</v>
      </c>
      <c r="F239" s="90">
        <f>(F183+F205+F228)*INDEX(Inflation!$D$126:$BD$166, MATCH($B239, Inflation!$B$126:$B$166,0), MATCH(F$234, Inflation!$D$125:$BD$125,0))</f>
        <v>411442.84086097515</v>
      </c>
      <c r="G239" s="90">
        <f>(G183+G205+G228)*INDEX(Inflation!$D$126:$BD$166, MATCH($B239, Inflation!$B$126:$B$166,0), MATCH(G$234, Inflation!$D$125:$BD$125,0))</f>
        <v>429485.86302440701</v>
      </c>
      <c r="H239" s="90">
        <f>(H183+H205+H228)*INDEX(Inflation!$D$126:$BD$166, MATCH($B239, Inflation!$B$126:$B$166,0), MATCH(H$234, Inflation!$D$125:$BD$125,0))</f>
        <v>616227.23460209847</v>
      </c>
      <c r="I239" s="90">
        <f>(I183+I205+I228)*INDEX(Inflation!$D$126:$BD$166, MATCH($B239, Inflation!$B$126:$B$166,0), MATCH(I$234, Inflation!$D$125:$BD$125,0))</f>
        <v>557665.4509310635</v>
      </c>
      <c r="J239" s="90">
        <f>(J183+J205+J228)*INDEX(Inflation!$D$126:$BD$166, MATCH($B239, Inflation!$B$126:$B$166,0), MATCH(J$234, Inflation!$D$125:$BD$125,0))</f>
        <v>526296.51997849834</v>
      </c>
      <c r="K239" s="90">
        <f>(K183+K205+K228)*INDEX(Inflation!$D$126:$BD$166, MATCH($B239, Inflation!$B$126:$B$166,0), MATCH(K$234, Inflation!$D$125:$BD$125,0))</f>
        <v>512552.83019324671</v>
      </c>
      <c r="L239" s="90">
        <f>(L183+L205+L228)*INDEX(Inflation!$D$126:$BD$166, MATCH($B239, Inflation!$B$126:$B$166,0), MATCH(L$234, Inflation!$D$125:$BD$125,0))</f>
        <v>511173.53098243056</v>
      </c>
      <c r="M239" s="90">
        <f>(M183+M205+M228)*INDEX(Inflation!$D$126:$BD$166, MATCH($B239, Inflation!$B$126:$B$166,0), MATCH(M$234, Inflation!$D$125:$BD$125,0))</f>
        <v>517359.77731646015</v>
      </c>
      <c r="N239" s="90">
        <f>(N183+N205+N228)*INDEX(Inflation!$D$126:$BD$166, MATCH($B239, Inflation!$B$126:$B$166,0), MATCH(N$234, Inflation!$D$125:$BD$125,0))</f>
        <v>528289.28047614289</v>
      </c>
      <c r="O239" s="90">
        <f>(O183+O205+O228)*INDEX(Inflation!$D$126:$BD$166, MATCH($B239, Inflation!$B$126:$B$166,0), MATCH(O$234, Inflation!$D$125:$BD$125,0))</f>
        <v>542652.36195763689</v>
      </c>
      <c r="P239" s="90">
        <f>(P183+P205+P228)*INDEX(Inflation!$D$126:$BD$166, MATCH($B239, Inflation!$B$126:$B$166,0), MATCH(P$234, Inflation!$D$125:$BD$125,0))</f>
        <v>558847.60340979241</v>
      </c>
      <c r="Q239" s="90">
        <f>(Q183+Q205+Q228)*INDEX(Inflation!$D$126:$BD$166, MATCH($B239, Inflation!$B$126:$B$166,0), MATCH(Q$234, Inflation!$D$125:$BD$125,0))</f>
        <v>576227.15910618287</v>
      </c>
      <c r="R239" s="90">
        <f>(R183+R205+R228)*INDEX(Inflation!$D$126:$BD$166, MATCH($B239, Inflation!$B$126:$B$166,0), MATCH(R$234, Inflation!$D$125:$BD$125,0))</f>
        <v>594566.58539902861</v>
      </c>
      <c r="S239" s="90">
        <f>(S183+S205+S228)*INDEX(Inflation!$D$126:$BD$166, MATCH($B239, Inflation!$B$126:$B$166,0), MATCH(S$234, Inflation!$D$125:$BD$125,0))</f>
        <v>613658.68485744519</v>
      </c>
      <c r="T239" s="90">
        <f>(T183+T205+T228)*INDEX(Inflation!$D$126:$BD$166, MATCH($B239, Inflation!$B$126:$B$166,0), MATCH(T$234, Inflation!$D$125:$BD$125,0))</f>
        <v>633329.26084980322</v>
      </c>
      <c r="U239" s="90">
        <f>(U183+U205+U228)*INDEX(Inflation!$D$126:$BD$166, MATCH($B239, Inflation!$B$126:$B$166,0), MATCH(U$234, Inflation!$D$125:$BD$125,0))</f>
        <v>653620.48484324897</v>
      </c>
      <c r="V239" s="90">
        <f>(V183+V205+V228)*INDEX(Inflation!$D$126:$BD$166, MATCH($B239, Inflation!$B$126:$B$166,0), MATCH(V$234, Inflation!$D$125:$BD$125,0))</f>
        <v>674862.63017975527</v>
      </c>
      <c r="W239" s="90">
        <f>(W183+W205+W228)*INDEX(Inflation!$D$126:$BD$166, MATCH($B239, Inflation!$B$126:$B$166,0), MATCH(W$234, Inflation!$D$125:$BD$125,0))</f>
        <v>696556.498448728</v>
      </c>
      <c r="X239" s="90">
        <f>(X183+X205+X228)*INDEX(Inflation!$D$126:$BD$166, MATCH($B239, Inflation!$B$126:$B$166,0), MATCH(X$234, Inflation!$D$125:$BD$125,0))</f>
        <v>718614.94930101279</v>
      </c>
      <c r="Y239" s="90">
        <f>(Y183+Y205+Y228)*INDEX(Inflation!$D$126:$BD$166, MATCH($B239, Inflation!$B$126:$B$166,0), MATCH(Y$234, Inflation!$D$125:$BD$125,0))</f>
        <v>741247.29758757458</v>
      </c>
      <c r="Z239" s="90">
        <f>(Z183+Z205+Z228)*INDEX(Inflation!$D$126:$BD$166, MATCH($B239, Inflation!$B$126:$B$166,0), MATCH(Z$234, Inflation!$D$125:$BD$125,0))</f>
        <v>764348.37221718079</v>
      </c>
      <c r="AA239" s="90">
        <f>(AA183+AA205+AA228)*INDEX(Inflation!$D$126:$BD$166, MATCH($B239, Inflation!$B$126:$B$166,0), MATCH(AA$234, Inflation!$D$125:$BD$125,0))</f>
        <v>787845.28596528678</v>
      </c>
      <c r="AB239" s="90">
        <f>(AB183+AB205+AB228)*INDEX(Inflation!$D$126:$BD$166, MATCH($B239, Inflation!$B$126:$B$166,0), MATCH(AB$234, Inflation!$D$125:$BD$125,0))</f>
        <v>811691.54583409044</v>
      </c>
      <c r="AC239" s="90">
        <f>(AC183+AC205+AC228)*INDEX(Inflation!$D$126:$BD$166, MATCH($B239, Inflation!$B$126:$B$166,0), MATCH(AC$234, Inflation!$D$125:$BD$125,0))</f>
        <v>835955.07193332154</v>
      </c>
      <c r="AD239" s="90">
        <f>(AD183+AD205+AD228)*INDEX(Inflation!$D$126:$BD$166, MATCH($B239, Inflation!$B$126:$B$166,0), MATCH(AD$234, Inflation!$D$125:$BD$125,0))</f>
        <v>860532.26000554604</v>
      </c>
      <c r="AE239" s="90">
        <f>(AE183+AE205+AE228)*INDEX(Inflation!$D$126:$BD$166, MATCH($B239, Inflation!$B$126:$B$166,0), MATCH(AE$234, Inflation!$D$125:$BD$125,0))</f>
        <v>885329.27481347229</v>
      </c>
      <c r="AF239" s="90">
        <f>(AF183+AF205+AF228)*INDEX(Inflation!$D$126:$BD$166, MATCH($B239, Inflation!$B$126:$B$166,0), MATCH(AF$234, Inflation!$D$125:$BD$125,0))</f>
        <v>910280.14719265711</v>
      </c>
      <c r="AG239" s="90">
        <f>(AG183+AG205+AG228)*INDEX(Inflation!$D$126:$BD$166, MATCH($B239, Inflation!$B$126:$B$166,0), MATCH(AG$234, Inflation!$D$125:$BD$125,0))</f>
        <v>935403.45412387303</v>
      </c>
      <c r="AH239" s="90">
        <f>(AH183+AH205+AH228)*INDEX(Inflation!$D$126:$BD$166, MATCH($B239, Inflation!$B$126:$B$166,0), MATCH(AH$234, Inflation!$D$125:$BD$125,0))</f>
        <v>960886.5350128822</v>
      </c>
      <c r="AI239" s="90">
        <f>(AI183+AI205+AI228)*INDEX(Inflation!$D$126:$BD$166, MATCH($B239, Inflation!$B$126:$B$166,0), MATCH(AI$234, Inflation!$D$125:$BD$125,0))</f>
        <v>986752.56625790079</v>
      </c>
      <c r="AJ239" s="90">
        <f>(AJ183+AJ205+AJ228)*INDEX(Inflation!$D$126:$BD$166, MATCH($B239, Inflation!$B$126:$B$166,0), MATCH(AJ$234, Inflation!$D$125:$BD$125,0))</f>
        <v>1013122.2808491179</v>
      </c>
      <c r="AK239" s="90">
        <f>(AK183+AK205+AK228)*INDEX(Inflation!$D$126:$BD$166, MATCH($B239, Inflation!$B$126:$B$166,0), MATCH(AK$234, Inflation!$D$125:$BD$125,0))</f>
        <v>1039887.0631132508</v>
      </c>
      <c r="AL239" s="90">
        <f>(AL183+AL205+AL228)*INDEX(Inflation!$D$126:$BD$166, MATCH($B239, Inflation!$B$126:$B$166,0), MATCH(AL$234, Inflation!$D$125:$BD$125,0))</f>
        <v>1066845.0716277165</v>
      </c>
      <c r="AM239" s="90">
        <f>(AM183+AM205+AM228)*INDEX(Inflation!$D$126:$BD$166, MATCH($B239, Inflation!$B$126:$B$166,0), MATCH(AM$234, Inflation!$D$125:$BD$125,0))</f>
        <v>1093881.4366060402</v>
      </c>
      <c r="AN239" s="90">
        <f>(AN183+AN205+AN228)*INDEX(Inflation!$D$126:$BD$166, MATCH($B239, Inflation!$B$126:$B$166,0), MATCH(AN$234, Inflation!$D$125:$BD$125,0))</f>
        <v>1120897.5196382354</v>
      </c>
      <c r="AO239" s="90">
        <f>(AO183+AO205+AO228)*INDEX(Inflation!$D$126:$BD$166, MATCH($B239, Inflation!$B$126:$B$166,0), MATCH(AO$234, Inflation!$D$125:$BD$125,0))</f>
        <v>1147824.2709957466</v>
      </c>
      <c r="AP239" s="90">
        <f>(AP183+AP205+AP228)*INDEX(Inflation!$D$126:$BD$166, MATCH($B239, Inflation!$B$126:$B$166,0), MATCH(AP$234, Inflation!$D$125:$BD$125,0))</f>
        <v>1174599.6644635911</v>
      </c>
      <c r="AQ239" s="90">
        <f>(AQ183+AQ205+AQ228)*INDEX(Inflation!$D$126:$BD$166, MATCH($B239, Inflation!$B$126:$B$166,0), MATCH(AQ$234, Inflation!$D$125:$BD$125,0))</f>
        <v>1201582.024944318</v>
      </c>
      <c r="AR239" s="90">
        <f>(AR183+AR205+AR228)*INDEX(Inflation!$D$126:$BD$166, MATCH($B239, Inflation!$B$126:$B$166,0), MATCH(AR$234, Inflation!$D$125:$BD$125,0))</f>
        <v>1229106.0217130724</v>
      </c>
      <c r="AS239" s="90">
        <f>(AS183+AS205+AS228)*INDEX(Inflation!$D$126:$BD$166, MATCH($B239, Inflation!$B$126:$B$166,0), MATCH(AS$234, Inflation!$D$125:$BD$125,0))</f>
        <v>1257419.7035624613</v>
      </c>
      <c r="AT239" s="90">
        <f>(AT183+AT205+AT228)*INDEX(Inflation!$D$126:$BD$166, MATCH($B239, Inflation!$B$126:$B$166,0), MATCH(AT$234, Inflation!$D$125:$BD$125,0))</f>
        <v>1285027.9508100695</v>
      </c>
      <c r="AU239" s="90" t="e">
        <f>(AU183+AU205+AU228)*INDEX(Inflation!$D$126:$BD$166, MATCH($B239, Inflation!$B$126:$B$166,0), MATCH(AU$234, Inflation!$D$125:$BD$125,0))</f>
        <v>#N/A</v>
      </c>
      <c r="AV239" s="90" t="e">
        <f>(AV183+AV205+AV228)*INDEX(Inflation!$D$126:$BD$166, MATCH($B239, Inflation!$B$126:$B$166,0), MATCH(AV$234, Inflation!$D$125:$BD$125,0))</f>
        <v>#N/A</v>
      </c>
      <c r="AW239" s="90" t="e">
        <f>(AW183+AW205+AW228)*INDEX(Inflation!$D$126:$BD$166, MATCH($B239, Inflation!$B$126:$B$166,0), MATCH(AW$234, Inflation!$D$125:$BD$125,0))</f>
        <v>#N/A</v>
      </c>
      <c r="AX239" s="90" t="e">
        <f>(AX183+AX205+AX228)*INDEX(Inflation!$D$126:$BD$166, MATCH($B239, Inflation!$B$126:$B$166,0), MATCH(AX$234, Inflation!$D$125:$BD$125,0))</f>
        <v>#N/A</v>
      </c>
      <c r="AY239" s="90" t="e">
        <f>(AY183+AY205+AY228)*INDEX(Inflation!$D$126:$BD$166, MATCH($B239, Inflation!$B$126:$B$166,0), MATCH(AY$234, Inflation!$D$125:$BD$125,0))</f>
        <v>#N/A</v>
      </c>
      <c r="AZ239" s="90" t="e">
        <f>(AZ183+AZ205+AZ228)*INDEX(Inflation!$D$126:$BD$166, MATCH($B239, Inflation!$B$126:$B$166,0), MATCH(AZ$234, Inflation!$D$125:$BD$125,0))</f>
        <v>#N/A</v>
      </c>
      <c r="BA239" s="90" t="e">
        <f>(BA183+BA205+BA228)*INDEX(Inflation!$D$126:$BD$166, MATCH($B239, Inflation!$B$126:$B$166,0), MATCH(BA$234, Inflation!$D$125:$BD$125,0))</f>
        <v>#N/A</v>
      </c>
      <c r="BB239" s="90" t="e">
        <f>(BB183+BB205+BB228)*INDEX(Inflation!$D$126:$BD$166, MATCH($B239, Inflation!$B$126:$B$166,0), MATCH(BB$234, Inflation!$D$125:$BD$125,0))</f>
        <v>#N/A</v>
      </c>
    </row>
    <row r="240" spans="1:54">
      <c r="B240" s="6" t="s">
        <v>104</v>
      </c>
      <c r="C240" s="47"/>
      <c r="D240" s="90">
        <f>(D184+D206)*INDEX(Inflation!$D$126:$BD$166, MATCH($B240, Inflation!$B$126:$B$166,0), MATCH(D$234, Inflation!$D$125:$BD$125,0))</f>
        <v>42677.296491716799</v>
      </c>
      <c r="E240" s="90">
        <f>(E184+E206)*INDEX(Inflation!$D$126:$BD$166, MATCH($B240, Inflation!$B$126:$B$166,0), MATCH(E$234, Inflation!$D$125:$BD$125,0))</f>
        <v>44974.610417001801</v>
      </c>
      <c r="F240" s="90">
        <f>(F184+F206)*INDEX(Inflation!$D$126:$BD$166, MATCH($B240, Inflation!$B$126:$B$166,0), MATCH(F$234, Inflation!$D$125:$BD$125,0))</f>
        <v>47125.514108807532</v>
      </c>
      <c r="G240" s="90">
        <f>(G184+G206)*INDEX(Inflation!$D$126:$BD$166, MATCH($B240, Inflation!$B$126:$B$166,0), MATCH(G$234, Inflation!$D$125:$BD$125,0))</f>
        <v>49192.111485369118</v>
      </c>
      <c r="H240" s="90">
        <f>(H184+H206)*INDEX(Inflation!$D$126:$BD$166, MATCH($B240, Inflation!$B$126:$B$166,0), MATCH(H$234, Inflation!$D$125:$BD$125,0))</f>
        <v>55865.268829701155</v>
      </c>
      <c r="I240" s="90">
        <f>(I184+I206)*INDEX(Inflation!$D$126:$BD$166, MATCH($B240, Inflation!$B$126:$B$166,0), MATCH(I$234, Inflation!$D$125:$BD$125,0))</f>
        <v>50556.237348738381</v>
      </c>
      <c r="J240" s="90">
        <f>(J184+J206)*INDEX(Inflation!$D$126:$BD$166, MATCH($B240, Inflation!$B$126:$B$166,0), MATCH(J$234, Inflation!$D$125:$BD$125,0))</f>
        <v>47712.426393682254</v>
      </c>
      <c r="K240" s="90">
        <f>(K184+K206)*INDEX(Inflation!$D$126:$BD$166, MATCH($B240, Inflation!$B$126:$B$166,0), MATCH(K$234, Inflation!$D$125:$BD$125,0))</f>
        <v>46466.465680730529</v>
      </c>
      <c r="L240" s="90">
        <f>(L184+L206)*INDEX(Inflation!$D$126:$BD$166, MATCH($B240, Inflation!$B$126:$B$166,0), MATCH(L$234, Inflation!$D$125:$BD$125,0))</f>
        <v>46341.422649715198</v>
      </c>
      <c r="M240" s="90">
        <f>(M184+M206)*INDEX(Inflation!$D$126:$BD$166, MATCH($B240, Inflation!$B$126:$B$166,0), MATCH(M$234, Inflation!$D$125:$BD$125,0))</f>
        <v>46902.24874614775</v>
      </c>
      <c r="N240" s="90">
        <f>(N184+N206)*INDEX(Inflation!$D$126:$BD$166, MATCH($B240, Inflation!$B$126:$B$166,0), MATCH(N$234, Inflation!$D$125:$BD$125,0))</f>
        <v>47893.083941195568</v>
      </c>
      <c r="O240" s="90">
        <f>(O184+O206)*INDEX(Inflation!$D$126:$BD$166, MATCH($B240, Inflation!$B$126:$B$166,0), MATCH(O$234, Inflation!$D$125:$BD$125,0))</f>
        <v>49195.196803352141</v>
      </c>
      <c r="P240" s="90">
        <f>(P184+P206)*INDEX(Inflation!$D$126:$BD$166, MATCH($B240, Inflation!$B$126:$B$166,0), MATCH(P$234, Inflation!$D$125:$BD$125,0))</f>
        <v>50663.407662404454</v>
      </c>
      <c r="Q240" s="90">
        <f>(Q184+Q206)*INDEX(Inflation!$D$126:$BD$166, MATCH($B240, Inflation!$B$126:$B$166,0), MATCH(Q$234, Inflation!$D$125:$BD$125,0))</f>
        <v>52238.984814145471</v>
      </c>
      <c r="R240" s="90">
        <f>(R184+R206)*INDEX(Inflation!$D$126:$BD$166, MATCH($B240, Inflation!$B$126:$B$166,0), MATCH(R$234, Inflation!$D$125:$BD$125,0))</f>
        <v>53901.580886670345</v>
      </c>
      <c r="S240" s="90">
        <f>(S184+S206)*INDEX(Inflation!$D$126:$BD$166, MATCH($B240, Inflation!$B$126:$B$166,0), MATCH(S$234, Inflation!$D$125:$BD$125,0))</f>
        <v>55632.411997139752</v>
      </c>
      <c r="T240" s="90">
        <f>(T184+T206)*INDEX(Inflation!$D$126:$BD$166, MATCH($B240, Inflation!$B$126:$B$166,0), MATCH(T$234, Inflation!$D$125:$BD$125,0))</f>
        <v>57415.686013838662</v>
      </c>
      <c r="U240" s="90">
        <f>(U184+U206)*INDEX(Inflation!$D$126:$BD$166, MATCH($B240, Inflation!$B$126:$B$166,0), MATCH(U$234, Inflation!$D$125:$BD$125,0))</f>
        <v>59255.226072481935</v>
      </c>
      <c r="V240" s="90">
        <f>(V184+V206)*INDEX(Inflation!$D$126:$BD$166, MATCH($B240, Inflation!$B$126:$B$166,0), MATCH(V$234, Inflation!$D$125:$BD$125,0))</f>
        <v>61180.973740076945</v>
      </c>
      <c r="W240" s="90">
        <f>(W184+W206)*INDEX(Inflation!$D$126:$BD$166, MATCH($B240, Inflation!$B$126:$B$166,0), MATCH(W$234, Inflation!$D$125:$BD$125,0))</f>
        <v>63147.67322161614</v>
      </c>
      <c r="X240" s="90">
        <f>(X184+X206)*INDEX(Inflation!$D$126:$BD$166, MATCH($B240, Inflation!$B$126:$B$166,0), MATCH(X$234, Inflation!$D$125:$BD$125,0))</f>
        <v>65147.424640628546</v>
      </c>
      <c r="Y240" s="90">
        <f>(Y184+Y206)*INDEX(Inflation!$D$126:$BD$166, MATCH($B240, Inflation!$B$126:$B$166,0), MATCH(Y$234, Inflation!$D$125:$BD$125,0))</f>
        <v>67199.203838756017</v>
      </c>
      <c r="Z240" s="90">
        <f>(Z184+Z206)*INDEX(Inflation!$D$126:$BD$166, MATCH($B240, Inflation!$B$126:$B$166,0), MATCH(Z$234, Inflation!$D$125:$BD$125,0))</f>
        <v>69293.476327818033</v>
      </c>
      <c r="AA240" s="90">
        <f>(AA184+AA206)*INDEX(Inflation!$D$126:$BD$166, MATCH($B240, Inflation!$B$126:$B$166,0), MATCH(AA$234, Inflation!$D$125:$BD$125,0))</f>
        <v>71423.634375853391</v>
      </c>
      <c r="AB240" s="90">
        <f>(AB184+AB206)*INDEX(Inflation!$D$126:$BD$166, MATCH($B240, Inflation!$B$126:$B$166,0), MATCH(AB$234, Inflation!$D$125:$BD$125,0))</f>
        <v>73585.463070448226</v>
      </c>
      <c r="AC240" s="90">
        <f>(AC184+AC206)*INDEX(Inflation!$D$126:$BD$166, MATCH($B240, Inflation!$B$126:$B$166,0), MATCH(AC$234, Inflation!$D$125:$BD$125,0))</f>
        <v>75785.119840187181</v>
      </c>
      <c r="AD240" s="90">
        <f>(AD184+AD206)*INDEX(Inflation!$D$126:$BD$166, MATCH($B240, Inflation!$B$126:$B$166,0), MATCH(AD$234, Inflation!$D$125:$BD$125,0))</f>
        <v>78013.212241230605</v>
      </c>
      <c r="AE240" s="90">
        <f>(AE184+AE206)*INDEX(Inflation!$D$126:$BD$166, MATCH($B240, Inflation!$B$126:$B$166,0), MATCH(AE$234, Inflation!$D$125:$BD$125,0))</f>
        <v>80261.233459107083</v>
      </c>
      <c r="AF240" s="90">
        <f>(AF184+AF206)*INDEX(Inflation!$D$126:$BD$166, MATCH($B240, Inflation!$B$126:$B$166,0), MATCH(AF$234, Inflation!$D$125:$BD$125,0))</f>
        <v>82523.20293194089</v>
      </c>
      <c r="AG240" s="90">
        <f>(AG184+AG206)*INDEX(Inflation!$D$126:$BD$166, MATCH($B240, Inflation!$B$126:$B$166,0), MATCH(AG$234, Inflation!$D$125:$BD$125,0))</f>
        <v>84800.804791764138</v>
      </c>
      <c r="AH240" s="90">
        <f>(AH184+AH206)*INDEX(Inflation!$D$126:$BD$166, MATCH($B240, Inflation!$B$126:$B$166,0), MATCH(AH$234, Inflation!$D$125:$BD$125,0))</f>
        <v>87111.022653836961</v>
      </c>
      <c r="AI240" s="90">
        <f>(AI184+AI206)*INDEX(Inflation!$D$126:$BD$166, MATCH($B240, Inflation!$B$126:$B$166,0), MATCH(AI$234, Inflation!$D$125:$BD$125,0))</f>
        <v>89455.957619253517</v>
      </c>
      <c r="AJ240" s="90">
        <f>(AJ184+AJ206)*INDEX(Inflation!$D$126:$BD$166, MATCH($B240, Inflation!$B$126:$B$166,0), MATCH(AJ$234, Inflation!$D$125:$BD$125,0))</f>
        <v>91846.554970167534</v>
      </c>
      <c r="AK240" s="90">
        <f>(AK184+AK206)*INDEX(Inflation!$D$126:$BD$166, MATCH($B240, Inflation!$B$126:$B$166,0), MATCH(AK$234, Inflation!$D$125:$BD$125,0))</f>
        <v>94272.967943167139</v>
      </c>
      <c r="AL240" s="90">
        <f>(AL184+AL206)*INDEX(Inflation!$D$126:$BD$166, MATCH($B240, Inflation!$B$126:$B$166,0), MATCH(AL$234, Inflation!$D$125:$BD$125,0))</f>
        <v>96716.898214678833</v>
      </c>
      <c r="AM240" s="90">
        <f>(AM184+AM206)*INDEX(Inflation!$D$126:$BD$166, MATCH($B240, Inflation!$B$126:$B$166,0), MATCH(AM$234, Inflation!$D$125:$BD$125,0))</f>
        <v>99167.93204259334</v>
      </c>
      <c r="AN240" s="90">
        <f>(AN184+AN206)*INDEX(Inflation!$D$126:$BD$166, MATCH($B240, Inflation!$B$126:$B$166,0), MATCH(AN$234, Inflation!$D$125:$BD$125,0))</f>
        <v>101617.12717155201</v>
      </c>
      <c r="AO240" s="90">
        <f>(AO184+AO206)*INDEX(Inflation!$D$126:$BD$166, MATCH($B240, Inflation!$B$126:$B$166,0), MATCH(AO$234, Inflation!$D$125:$BD$125,0))</f>
        <v>104058.22376519605</v>
      </c>
      <c r="AP240" s="90">
        <f>(AP184+AP206)*INDEX(Inflation!$D$126:$BD$166, MATCH($B240, Inflation!$B$126:$B$166,0), MATCH(AP$234, Inflation!$D$125:$BD$125,0))</f>
        <v>106485.59871734017</v>
      </c>
      <c r="AQ240" s="90">
        <f>(AQ184+AQ206)*INDEX(Inflation!$D$126:$BD$166, MATCH($B240, Inflation!$B$126:$B$166,0), MATCH(AQ$234, Inflation!$D$125:$BD$125,0))</f>
        <v>108931.73666333506</v>
      </c>
      <c r="AR240" s="90">
        <f>(AR184+AR206)*INDEX(Inflation!$D$126:$BD$166, MATCH($B240, Inflation!$B$126:$B$166,0), MATCH(AR$234, Inflation!$D$125:$BD$125,0))</f>
        <v>111426.97769199093</v>
      </c>
      <c r="AS240" s="90">
        <f>(AS184+AS206)*INDEX(Inflation!$D$126:$BD$166, MATCH($B240, Inflation!$B$126:$B$166,0), MATCH(AS$234, Inflation!$D$125:$BD$125,0))</f>
        <v>113993.80914515785</v>
      </c>
      <c r="AT240" s="90">
        <f>(AT184+AT206)*INDEX(Inflation!$D$126:$BD$166, MATCH($B240, Inflation!$B$126:$B$166,0), MATCH(AT$234, Inflation!$D$125:$BD$125,0))</f>
        <v>116496.68806351721</v>
      </c>
      <c r="AU240" s="90" t="e">
        <f>(AU184+AU206)*INDEX(Inflation!$D$126:$BD$166, MATCH($B240, Inflation!$B$126:$B$166,0), MATCH(AU$234, Inflation!$D$125:$BD$125,0))</f>
        <v>#N/A</v>
      </c>
      <c r="AV240" s="90" t="e">
        <f>(AV184+AV206)*INDEX(Inflation!$D$126:$BD$166, MATCH($B240, Inflation!$B$126:$B$166,0), MATCH(AV$234, Inflation!$D$125:$BD$125,0))</f>
        <v>#N/A</v>
      </c>
      <c r="AW240" s="90" t="e">
        <f>(AW184+AW206)*INDEX(Inflation!$D$126:$BD$166, MATCH($B240, Inflation!$B$126:$B$166,0), MATCH(AW$234, Inflation!$D$125:$BD$125,0))</f>
        <v>#N/A</v>
      </c>
      <c r="AX240" s="90" t="e">
        <f>(AX184+AX206)*INDEX(Inflation!$D$126:$BD$166, MATCH($B240, Inflation!$B$126:$B$166,0), MATCH(AX$234, Inflation!$D$125:$BD$125,0))</f>
        <v>#N/A</v>
      </c>
      <c r="AY240" s="90" t="e">
        <f>(AY184+AY206)*INDEX(Inflation!$D$126:$BD$166, MATCH($B240, Inflation!$B$126:$B$166,0), MATCH(AY$234, Inflation!$D$125:$BD$125,0))</f>
        <v>#N/A</v>
      </c>
      <c r="AZ240" s="90" t="e">
        <f>(AZ184+AZ206)*INDEX(Inflation!$D$126:$BD$166, MATCH($B240, Inflation!$B$126:$B$166,0), MATCH(AZ$234, Inflation!$D$125:$BD$125,0))</f>
        <v>#N/A</v>
      </c>
      <c r="BA240" s="90" t="e">
        <f>(BA184+BA206)*INDEX(Inflation!$D$126:$BD$166, MATCH($B240, Inflation!$B$126:$B$166,0), MATCH(BA$234, Inflation!$D$125:$BD$125,0))</f>
        <v>#N/A</v>
      </c>
      <c r="BB240" s="90" t="e">
        <f>(BB184+BB206)*INDEX(Inflation!$D$126:$BD$166, MATCH($B240, Inflation!$B$126:$B$166,0), MATCH(BB$234, Inflation!$D$125:$BD$125,0))</f>
        <v>#N/A</v>
      </c>
    </row>
    <row r="241" spans="2:54">
      <c r="B241" s="6" t="s">
        <v>17</v>
      </c>
      <c r="C241" s="47"/>
      <c r="D241" s="90">
        <f>(D185+D207)*INDEX(Inflation!$D$126:$BD$166, MATCH($B241, Inflation!$B$126:$B$166,0), MATCH(D$234, Inflation!$D$125:$BD$125,0))</f>
        <v>26715.414686023563</v>
      </c>
      <c r="E241" s="90">
        <f>(E185+E207)*INDEX(Inflation!$D$126:$BD$166, MATCH($B241, Inflation!$B$126:$B$166,0), MATCH(E$234, Inflation!$D$125:$BD$125,0))</f>
        <v>28153.502363153661</v>
      </c>
      <c r="F241" s="90">
        <f>(F185+F207)*INDEX(Inflation!$D$126:$BD$166, MATCH($B241, Inflation!$B$126:$B$166,0), MATCH(F$234, Inflation!$D$125:$BD$125,0))</f>
        <v>29499.939199597648</v>
      </c>
      <c r="G241" s="90">
        <f>(G185+G207)*INDEX(Inflation!$D$126:$BD$166, MATCH($B241, Inflation!$B$126:$B$166,0), MATCH(G$234, Inflation!$D$125:$BD$125,0))</f>
        <v>30793.60141446186</v>
      </c>
      <c r="H241" s="90">
        <f>(H185+H207)*INDEX(Inflation!$D$126:$BD$166, MATCH($B241, Inflation!$B$126:$B$166,0), MATCH(H$234, Inflation!$D$125:$BD$125,0))</f>
        <v>29744.837392694117</v>
      </c>
      <c r="I241" s="90">
        <f>(I185+I207)*INDEX(Inflation!$D$126:$BD$166, MATCH($B241, Inflation!$B$126:$B$166,0), MATCH(I$234, Inflation!$D$125:$BD$125,0))</f>
        <v>26918.102975728874</v>
      </c>
      <c r="J241" s="90">
        <f>(J185+J207)*INDEX(Inflation!$D$126:$BD$166, MATCH($B241, Inflation!$B$126:$B$166,0), MATCH(J$234, Inflation!$D$125:$BD$125,0))</f>
        <v>25403.947647996272</v>
      </c>
      <c r="K241" s="90">
        <f>(K185+K207)*INDEX(Inflation!$D$126:$BD$166, MATCH($B241, Inflation!$B$126:$B$166,0), MATCH(K$234, Inflation!$D$125:$BD$125,0))</f>
        <v>24740.549805637176</v>
      </c>
      <c r="L241" s="90">
        <f>(L185+L207)*INDEX(Inflation!$D$126:$BD$166, MATCH($B241, Inflation!$B$126:$B$166,0), MATCH(L$234, Inflation!$D$125:$BD$125,0))</f>
        <v>24673.972042698657</v>
      </c>
      <c r="M241" s="90">
        <f>(M185+M207)*INDEX(Inflation!$D$126:$BD$166, MATCH($B241, Inflation!$B$126:$B$166,0), MATCH(M$234, Inflation!$D$125:$BD$125,0))</f>
        <v>24972.577623472247</v>
      </c>
      <c r="N241" s="90">
        <f>(N185+N207)*INDEX(Inflation!$D$126:$BD$166, MATCH($B241, Inflation!$B$126:$B$166,0), MATCH(N$234, Inflation!$D$125:$BD$125,0))</f>
        <v>25500.136738053756</v>
      </c>
      <c r="O241" s="90">
        <f>(O185+O207)*INDEX(Inflation!$D$126:$BD$166, MATCH($B241, Inflation!$B$126:$B$166,0), MATCH(O$234, Inflation!$D$125:$BD$125,0))</f>
        <v>26193.432164051806</v>
      </c>
      <c r="P241" s="90">
        <f>(P185+P207)*INDEX(Inflation!$D$126:$BD$166, MATCH($B241, Inflation!$B$126:$B$166,0), MATCH(P$234, Inflation!$D$125:$BD$125,0))</f>
        <v>26975.164610266769</v>
      </c>
      <c r="Q241" s="90">
        <f>(Q185+Q207)*INDEX(Inflation!$D$126:$BD$166, MATCH($B241, Inflation!$B$126:$B$166,0), MATCH(Q$234, Inflation!$D$125:$BD$125,0))</f>
        <v>27814.063037857697</v>
      </c>
      <c r="R241" s="90">
        <f>(R185+R207)*INDEX(Inflation!$D$126:$BD$166, MATCH($B241, Inflation!$B$126:$B$166,0), MATCH(R$234, Inflation!$D$125:$BD$125,0))</f>
        <v>28699.293716291158</v>
      </c>
      <c r="S241" s="90">
        <f>(S185+S207)*INDEX(Inflation!$D$126:$BD$166, MATCH($B241, Inflation!$B$126:$B$166,0), MATCH(S$234, Inflation!$D$125:$BD$125,0))</f>
        <v>29620.855377295062</v>
      </c>
      <c r="T241" s="90">
        <f>(T185+T207)*INDEX(Inflation!$D$126:$BD$166, MATCH($B241, Inflation!$B$126:$B$166,0), MATCH(T$234, Inflation!$D$125:$BD$125,0))</f>
        <v>30570.339677013035</v>
      </c>
      <c r="U241" s="90">
        <f>(U185+U207)*INDEX(Inflation!$D$126:$BD$166, MATCH($B241, Inflation!$B$126:$B$166,0), MATCH(U$234, Inflation!$D$125:$BD$125,0))</f>
        <v>31549.782201284946</v>
      </c>
      <c r="V241" s="90">
        <f>(V185+V207)*INDEX(Inflation!$D$126:$BD$166, MATCH($B241, Inflation!$B$126:$B$166,0), MATCH(V$234, Inflation!$D$125:$BD$125,0))</f>
        <v>32575.125002490971</v>
      </c>
      <c r="W241" s="90">
        <f>(W185+W207)*INDEX(Inflation!$D$126:$BD$166, MATCH($B241, Inflation!$B$126:$B$166,0), MATCH(W$234, Inflation!$D$125:$BD$125,0))</f>
        <v>33622.27213888098</v>
      </c>
      <c r="X241" s="90">
        <f>(X185+X207)*INDEX(Inflation!$D$126:$BD$166, MATCH($B241, Inflation!$B$126:$B$166,0), MATCH(X$234, Inflation!$D$125:$BD$125,0))</f>
        <v>34687.01740960827</v>
      </c>
      <c r="Y241" s="90">
        <f>(Y185+Y207)*INDEX(Inflation!$D$126:$BD$166, MATCH($B241, Inflation!$B$126:$B$166,0), MATCH(Y$234, Inflation!$D$125:$BD$125,0))</f>
        <v>35779.464289261821</v>
      </c>
      <c r="Z241" s="90">
        <f>(Z185+Z207)*INDEX(Inflation!$D$126:$BD$166, MATCH($B241, Inflation!$B$126:$B$166,0), MATCH(Z$234, Inflation!$D$125:$BD$125,0))</f>
        <v>36894.536246277508</v>
      </c>
      <c r="AA241" s="90">
        <f>(AA185+AA207)*INDEX(Inflation!$D$126:$BD$166, MATCH($B241, Inflation!$B$126:$B$166,0), MATCH(AA$234, Inflation!$D$125:$BD$125,0))</f>
        <v>38028.715067696961</v>
      </c>
      <c r="AB241" s="90">
        <f>(AB185+AB207)*INDEX(Inflation!$D$126:$BD$166, MATCH($B241, Inflation!$B$126:$B$166,0), MATCH(AB$234, Inflation!$D$125:$BD$125,0))</f>
        <v>39179.756570559926</v>
      </c>
      <c r="AC241" s="90">
        <f>(AC185+AC207)*INDEX(Inflation!$D$126:$BD$166, MATCH($B241, Inflation!$B$126:$B$166,0), MATCH(AC$234, Inflation!$D$125:$BD$125,0))</f>
        <v>40350.939208829783</v>
      </c>
      <c r="AD241" s="90">
        <f>(AD185+AD207)*INDEX(Inflation!$D$126:$BD$166, MATCH($B241, Inflation!$B$126:$B$166,0), MATCH(AD$234, Inflation!$D$125:$BD$125,0))</f>
        <v>41537.262080862551</v>
      </c>
      <c r="AE241" s="90">
        <f>(AE185+AE207)*INDEX(Inflation!$D$126:$BD$166, MATCH($B241, Inflation!$B$126:$B$166,0), MATCH(AE$234, Inflation!$D$125:$BD$125,0))</f>
        <v>42734.195828463395</v>
      </c>
      <c r="AF241" s="90">
        <f>(AF185+AF207)*INDEX(Inflation!$D$126:$BD$166, MATCH($B241, Inflation!$B$126:$B$166,0), MATCH(AF$234, Inflation!$D$125:$BD$125,0))</f>
        <v>43938.556168369396</v>
      </c>
      <c r="AG241" s="90">
        <f>(AG185+AG207)*INDEX(Inflation!$D$126:$BD$166, MATCH($B241, Inflation!$B$126:$B$166,0), MATCH(AG$234, Inflation!$D$125:$BD$125,0))</f>
        <v>45151.239797839771</v>
      </c>
      <c r="AH241" s="90">
        <f>(AH185+AH207)*INDEX(Inflation!$D$126:$BD$166, MATCH($B241, Inflation!$B$126:$B$166,0), MATCH(AH$234, Inflation!$D$125:$BD$125,0))</f>
        <v>46381.289452814672</v>
      </c>
      <c r="AI241" s="90">
        <f>(AI185+AI207)*INDEX(Inflation!$D$126:$BD$166, MATCH($B241, Inflation!$B$126:$B$166,0), MATCH(AI$234, Inflation!$D$125:$BD$125,0))</f>
        <v>47629.823841065496</v>
      </c>
      <c r="AJ241" s="90">
        <f>(AJ185+AJ207)*INDEX(Inflation!$D$126:$BD$166, MATCH($B241, Inflation!$B$126:$B$166,0), MATCH(AJ$234, Inflation!$D$125:$BD$125,0))</f>
        <v>48902.670655624039</v>
      </c>
      <c r="AK241" s="90">
        <f>(AK185+AK207)*INDEX(Inflation!$D$126:$BD$166, MATCH($B241, Inflation!$B$126:$B$166,0), MATCH(AK$234, Inflation!$D$125:$BD$125,0))</f>
        <v>50194.587097472882</v>
      </c>
      <c r="AL241" s="90">
        <f>(AL185+AL207)*INDEX(Inflation!$D$126:$BD$166, MATCH($B241, Inflation!$B$126:$B$166,0), MATCH(AL$234, Inflation!$D$125:$BD$125,0))</f>
        <v>51495.830428938789</v>
      </c>
      <c r="AM241" s="90">
        <f>(AM185+AM207)*INDEX(Inflation!$D$126:$BD$166, MATCH($B241, Inflation!$B$126:$B$166,0), MATCH(AM$234, Inflation!$D$125:$BD$125,0))</f>
        <v>52800.855969539938</v>
      </c>
      <c r="AN241" s="90">
        <f>(AN185+AN207)*INDEX(Inflation!$D$126:$BD$166, MATCH($B241, Inflation!$B$126:$B$166,0), MATCH(AN$234, Inflation!$D$125:$BD$125,0))</f>
        <v>54104.902515452603</v>
      </c>
      <c r="AO241" s="90">
        <f>(AO185+AO207)*INDEX(Inflation!$D$126:$BD$166, MATCH($B241, Inflation!$B$126:$B$166,0), MATCH(AO$234, Inflation!$D$125:$BD$125,0))</f>
        <v>55404.637086839786</v>
      </c>
      <c r="AP241" s="90">
        <f>(AP185+AP207)*INDEX(Inflation!$D$126:$BD$166, MATCH($B241, Inflation!$B$126:$B$166,0), MATCH(AP$234, Inflation!$D$125:$BD$125,0))</f>
        <v>56697.065723721935</v>
      </c>
      <c r="AQ241" s="90">
        <f>(AQ185+AQ207)*INDEX(Inflation!$D$126:$BD$166, MATCH($B241, Inflation!$B$126:$B$166,0), MATCH(AQ$234, Inflation!$D$125:$BD$125,0))</f>
        <v>57999.484506767934</v>
      </c>
      <c r="AR241" s="90">
        <f>(AR185+AR207)*INDEX(Inflation!$D$126:$BD$166, MATCH($B241, Inflation!$B$126:$B$166,0), MATCH(AR$234, Inflation!$D$125:$BD$125,0))</f>
        <v>59328.047676833412</v>
      </c>
      <c r="AS241" s="90">
        <f>(AS185+AS207)*INDEX(Inflation!$D$126:$BD$166, MATCH($B241, Inflation!$B$126:$B$166,0), MATCH(AS$234, Inflation!$D$125:$BD$125,0))</f>
        <v>60694.728367508083</v>
      </c>
      <c r="AT241" s="90">
        <f>(AT185+AT207)*INDEX(Inflation!$D$126:$BD$166, MATCH($B241, Inflation!$B$126:$B$166,0), MATCH(AT$234, Inflation!$D$125:$BD$125,0))</f>
        <v>62027.358246496886</v>
      </c>
      <c r="AU241" s="90" t="e">
        <f>(AU185+AU207)*INDEX(Inflation!$D$126:$BD$166, MATCH($B241, Inflation!$B$126:$B$166,0), MATCH(AU$234, Inflation!$D$125:$BD$125,0))</f>
        <v>#N/A</v>
      </c>
      <c r="AV241" s="90" t="e">
        <f>(AV185+AV207)*INDEX(Inflation!$D$126:$BD$166, MATCH($B241, Inflation!$B$126:$B$166,0), MATCH(AV$234, Inflation!$D$125:$BD$125,0))</f>
        <v>#N/A</v>
      </c>
      <c r="AW241" s="90" t="e">
        <f>(AW185+AW207)*INDEX(Inflation!$D$126:$BD$166, MATCH($B241, Inflation!$B$126:$B$166,0), MATCH(AW$234, Inflation!$D$125:$BD$125,0))</f>
        <v>#N/A</v>
      </c>
      <c r="AX241" s="90" t="e">
        <f>(AX185+AX207)*INDEX(Inflation!$D$126:$BD$166, MATCH($B241, Inflation!$B$126:$B$166,0), MATCH(AX$234, Inflation!$D$125:$BD$125,0))</f>
        <v>#N/A</v>
      </c>
      <c r="AY241" s="90" t="e">
        <f>(AY185+AY207)*INDEX(Inflation!$D$126:$BD$166, MATCH($B241, Inflation!$B$126:$B$166,0), MATCH(AY$234, Inflation!$D$125:$BD$125,0))</f>
        <v>#N/A</v>
      </c>
      <c r="AZ241" s="90" t="e">
        <f>(AZ185+AZ207)*INDEX(Inflation!$D$126:$BD$166, MATCH($B241, Inflation!$B$126:$B$166,0), MATCH(AZ$234, Inflation!$D$125:$BD$125,0))</f>
        <v>#N/A</v>
      </c>
      <c r="BA241" s="90" t="e">
        <f>(BA185+BA207)*INDEX(Inflation!$D$126:$BD$166, MATCH($B241, Inflation!$B$126:$B$166,0), MATCH(BA$234, Inflation!$D$125:$BD$125,0))</f>
        <v>#N/A</v>
      </c>
      <c r="BB241" s="90" t="e">
        <f>(BB185+BB207)*INDEX(Inflation!$D$126:$BD$166, MATCH($B241, Inflation!$B$126:$B$166,0), MATCH(BB$234, Inflation!$D$125:$BD$125,0))</f>
        <v>#N/A</v>
      </c>
    </row>
    <row r="242" spans="2:54" ht="29">
      <c r="B242" s="6" t="s">
        <v>106</v>
      </c>
      <c r="C242" s="47"/>
      <c r="D242" s="90">
        <f>(D186+D208)*INDEX(Inflation!$D$126:$BD$166, MATCH($B242, Inflation!$B$126:$B$166,0), MATCH(D$234, Inflation!$D$125:$BD$125,0))</f>
        <v>47938.695001376858</v>
      </c>
      <c r="E242" s="90">
        <f>(E186+E208)*INDEX(Inflation!$D$126:$BD$166, MATCH($B242, Inflation!$B$126:$B$166,0), MATCH(E$234, Inflation!$D$125:$BD$125,0))</f>
        <v>51649.590959458503</v>
      </c>
      <c r="F242" s="90">
        <f>(F186+F208)*INDEX(Inflation!$D$126:$BD$166, MATCH($B242, Inflation!$B$126:$B$166,0), MATCH(F$234, Inflation!$D$125:$BD$125,0))</f>
        <v>55330.646747123727</v>
      </c>
      <c r="G242" s="90">
        <f>(G186+G208)*INDEX(Inflation!$D$126:$BD$166, MATCH($B242, Inflation!$B$126:$B$166,0), MATCH(G$234, Inflation!$D$125:$BD$125,0))</f>
        <v>59049.371415646492</v>
      </c>
      <c r="H242" s="90">
        <f>(H186+H208)*INDEX(Inflation!$D$126:$BD$166, MATCH($B242, Inflation!$B$126:$B$166,0), MATCH(H$234, Inflation!$D$125:$BD$125,0))</f>
        <v>53799.094898534262</v>
      </c>
      <c r="I242" s="90">
        <f>(I186+I208)*INDEX(Inflation!$D$126:$BD$166, MATCH($B242, Inflation!$B$126:$B$166,0), MATCH(I$234, Inflation!$D$125:$BD$125,0))</f>
        <v>49775.77028110504</v>
      </c>
      <c r="J242" s="90">
        <f>(J186+J208)*INDEX(Inflation!$D$126:$BD$166, MATCH($B242, Inflation!$B$126:$B$166,0), MATCH(J$234, Inflation!$D$125:$BD$125,0))</f>
        <v>48026.940073764192</v>
      </c>
      <c r="K242" s="90">
        <f>(K186+K208)*INDEX(Inflation!$D$126:$BD$166, MATCH($B242, Inflation!$B$126:$B$166,0), MATCH(K$234, Inflation!$D$125:$BD$125,0))</f>
        <v>47819.301066322972</v>
      </c>
      <c r="L242" s="90">
        <f>(L186+L208)*INDEX(Inflation!$D$126:$BD$166, MATCH($B242, Inflation!$B$126:$B$166,0), MATCH(L$234, Inflation!$D$125:$BD$125,0))</f>
        <v>48757.689220169799</v>
      </c>
      <c r="M242" s="90">
        <f>(M186+M208)*INDEX(Inflation!$D$126:$BD$166, MATCH($B242, Inflation!$B$126:$B$166,0), MATCH(M$234, Inflation!$D$125:$BD$125,0))</f>
        <v>50451.907100742013</v>
      </c>
      <c r="N242" s="90">
        <f>(N186+N208)*INDEX(Inflation!$D$126:$BD$166, MATCH($B242, Inflation!$B$126:$B$166,0), MATCH(N$234, Inflation!$D$125:$BD$125,0))</f>
        <v>52670.433640535208</v>
      </c>
      <c r="O242" s="90">
        <f>(O186+O208)*INDEX(Inflation!$D$126:$BD$166, MATCH($B242, Inflation!$B$126:$B$166,0), MATCH(O$234, Inflation!$D$125:$BD$125,0))</f>
        <v>55312.967950981925</v>
      </c>
      <c r="P242" s="90">
        <f>(P186+P208)*INDEX(Inflation!$D$126:$BD$166, MATCH($B242, Inflation!$B$126:$B$166,0), MATCH(P$234, Inflation!$D$125:$BD$125,0))</f>
        <v>58238.318398759671</v>
      </c>
      <c r="Q242" s="90">
        <f>(Q186+Q208)*INDEX(Inflation!$D$126:$BD$166, MATCH($B242, Inflation!$B$126:$B$166,0), MATCH(Q$234, Inflation!$D$125:$BD$125,0))</f>
        <v>61393.066536662926</v>
      </c>
      <c r="R242" s="90">
        <f>(R186+R208)*INDEX(Inflation!$D$126:$BD$166, MATCH($B242, Inflation!$B$126:$B$166,0), MATCH(R$234, Inflation!$D$125:$BD$125,0))</f>
        <v>64764.388610942595</v>
      </c>
      <c r="S242" s="90">
        <f>(S186+S208)*INDEX(Inflation!$D$126:$BD$166, MATCH($B242, Inflation!$B$126:$B$166,0), MATCH(S$234, Inflation!$D$125:$BD$125,0))</f>
        <v>68339.661905176225</v>
      </c>
      <c r="T242" s="90">
        <f>(T186+T208)*INDEX(Inflation!$D$126:$BD$166, MATCH($B242, Inflation!$B$126:$B$166,0), MATCH(T$234, Inflation!$D$125:$BD$125,0))</f>
        <v>72108.367526451402</v>
      </c>
      <c r="U242" s="90">
        <f>(U186+U208)*INDEX(Inflation!$D$126:$BD$166, MATCH($B242, Inflation!$B$126:$B$166,0), MATCH(U$234, Inflation!$D$125:$BD$125,0))</f>
        <v>76083.754203334451</v>
      </c>
      <c r="V242" s="90">
        <f>(V186+V208)*INDEX(Inflation!$D$126:$BD$166, MATCH($B242, Inflation!$B$126:$B$166,0), MATCH(V$234, Inflation!$D$125:$BD$125,0))</f>
        <v>80314.105799493555</v>
      </c>
      <c r="W242" s="90">
        <f>(W186+W208)*INDEX(Inflation!$D$126:$BD$166, MATCH($B242, Inflation!$B$126:$B$166,0), MATCH(W$234, Inflation!$D$125:$BD$125,0))</f>
        <v>84750.635913786769</v>
      </c>
      <c r="X242" s="90">
        <f>(X186+X208)*INDEX(Inflation!$D$126:$BD$166, MATCH($B242, Inflation!$B$126:$B$166,0), MATCH(X$234, Inflation!$D$125:$BD$125,0))</f>
        <v>89390.843208469902</v>
      </c>
      <c r="Y242" s="90">
        <f>(Y186+Y208)*INDEX(Inflation!$D$126:$BD$166, MATCH($B242, Inflation!$B$126:$B$166,0), MATCH(Y$234, Inflation!$D$125:$BD$125,0))</f>
        <v>94269.25577670148</v>
      </c>
      <c r="Z242" s="90">
        <f>(Z186+Z208)*INDEX(Inflation!$D$126:$BD$166, MATCH($B242, Inflation!$B$126:$B$166,0), MATCH(Z$234, Inflation!$D$125:$BD$125,0))</f>
        <v>99382.16868980405</v>
      </c>
      <c r="AA242" s="90">
        <f>(AA186+AA208)*INDEX(Inflation!$D$126:$BD$166, MATCH($B242, Inflation!$B$126:$B$166,0), MATCH(AA$234, Inflation!$D$125:$BD$125,0))</f>
        <v>104729.30811339097</v>
      </c>
      <c r="AB242" s="90">
        <f>(AB186+AB208)*INDEX(Inflation!$D$126:$BD$166, MATCH($B242, Inflation!$B$126:$B$166,0), MATCH(AB$234, Inflation!$D$125:$BD$125,0))</f>
        <v>110313.45461504855</v>
      </c>
      <c r="AC242" s="90">
        <f>(AC186+AC208)*INDEX(Inflation!$D$126:$BD$166, MATCH($B242, Inflation!$B$126:$B$166,0), MATCH(AC$234, Inflation!$D$125:$BD$125,0))</f>
        <v>116153.03681627233</v>
      </c>
      <c r="AD242" s="90">
        <f>(AD186+AD208)*INDEX(Inflation!$D$126:$BD$166, MATCH($B242, Inflation!$B$126:$B$166,0), MATCH(AD$234, Inflation!$D$125:$BD$125,0))</f>
        <v>122243.26947955223</v>
      </c>
      <c r="AE242" s="90">
        <f>(AE186+AE208)*INDEX(Inflation!$D$126:$BD$166, MATCH($B242, Inflation!$B$126:$B$166,0), MATCH(AE$234, Inflation!$D$125:$BD$125,0))</f>
        <v>128579.81456097633</v>
      </c>
      <c r="AF242" s="90">
        <f>(AF186+AF208)*INDEX(Inflation!$D$126:$BD$166, MATCH($B242, Inflation!$B$126:$B$166,0), MATCH(AF$234, Inflation!$D$125:$BD$125,0))</f>
        <v>135161.56451209378</v>
      </c>
      <c r="AG242" s="90">
        <f>(AG186+AG208)*INDEX(Inflation!$D$126:$BD$166, MATCH($B242, Inflation!$B$126:$B$166,0), MATCH(AG$234, Inflation!$D$125:$BD$125,0))</f>
        <v>141999.65114757622</v>
      </c>
      <c r="AH242" s="90">
        <f>(AH186+AH208)*INDEX(Inflation!$D$126:$BD$166, MATCH($B242, Inflation!$B$126:$B$166,0), MATCH(AH$234, Inflation!$D$125:$BD$125,0))</f>
        <v>149131.91164160558</v>
      </c>
      <c r="AI242" s="90">
        <f>(AI186+AI208)*INDEX(Inflation!$D$126:$BD$166, MATCH($B242, Inflation!$B$126:$B$166,0), MATCH(AI$234, Inflation!$D$125:$BD$125,0))</f>
        <v>156573.01369556104</v>
      </c>
      <c r="AJ242" s="90">
        <f>(AJ186+AJ208)*INDEX(Inflation!$D$126:$BD$166, MATCH($B242, Inflation!$B$126:$B$166,0), MATCH(AJ$234, Inflation!$D$125:$BD$125,0))</f>
        <v>164354.15279115725</v>
      </c>
      <c r="AK242" s="90">
        <f>(AK186+AK208)*INDEX(Inflation!$D$126:$BD$166, MATCH($B242, Inflation!$B$126:$B$166,0), MATCH(AK$234, Inflation!$D$125:$BD$125,0))</f>
        <v>172470.63401196842</v>
      </c>
      <c r="AL242" s="90">
        <f>(AL186+AL208)*INDEX(Inflation!$D$126:$BD$166, MATCH($B242, Inflation!$B$126:$B$166,0), MATCH(AL$234, Inflation!$D$125:$BD$125,0))</f>
        <v>180900.80894345712</v>
      </c>
      <c r="AM242" s="90">
        <f>(AM186+AM208)*INDEX(Inflation!$D$126:$BD$166, MATCH($B242, Inflation!$B$126:$B$166,0), MATCH(AM$234, Inflation!$D$125:$BD$125,0))</f>
        <v>189635.47116549223</v>
      </c>
      <c r="AN242" s="90">
        <f>(AN186+AN208)*INDEX(Inflation!$D$126:$BD$166, MATCH($B242, Inflation!$B$126:$B$166,0), MATCH(AN$234, Inflation!$D$125:$BD$125,0))</f>
        <v>198666.84732449311</v>
      </c>
      <c r="AO242" s="90">
        <f>(AO186+AO208)*INDEX(Inflation!$D$126:$BD$166, MATCH($B242, Inflation!$B$126:$B$166,0), MATCH(AO$234, Inflation!$D$125:$BD$125,0))</f>
        <v>207991.24984417576</v>
      </c>
      <c r="AP242" s="90">
        <f>(AP186+AP208)*INDEX(Inflation!$D$126:$BD$166, MATCH($B242, Inflation!$B$126:$B$166,0), MATCH(AP$234, Inflation!$D$125:$BD$125,0))</f>
        <v>217605.4170404344</v>
      </c>
      <c r="AQ242" s="90">
        <f>(AQ186+AQ208)*INDEX(Inflation!$D$126:$BD$166, MATCH($B242, Inflation!$B$126:$B$166,0), MATCH(AQ$234, Inflation!$D$125:$BD$125,0))</f>
        <v>227584.88858949399</v>
      </c>
      <c r="AR242" s="90">
        <f>(AR186+AR208)*INDEX(Inflation!$D$126:$BD$166, MATCH($B242, Inflation!$B$126:$B$166,0), MATCH(AR$234, Inflation!$D$125:$BD$125,0))</f>
        <v>238006.88180563808</v>
      </c>
      <c r="AS242" s="90">
        <f>(AS186+AS208)*INDEX(Inflation!$D$126:$BD$166, MATCH($B242, Inflation!$B$126:$B$166,0), MATCH(AS$234, Inflation!$D$125:$BD$125,0))</f>
        <v>248937.65756839718</v>
      </c>
      <c r="AT242" s="90">
        <f>(AT186+AT208)*INDEX(Inflation!$D$126:$BD$166, MATCH($B242, Inflation!$B$126:$B$166,0), MATCH(AT$234, Inflation!$D$125:$BD$125,0))</f>
        <v>260095.6450067918</v>
      </c>
      <c r="AU242" s="90" t="e">
        <f>(AU186+AU208)*INDEX(Inflation!$D$126:$BD$166, MATCH($B242, Inflation!$B$126:$B$166,0), MATCH(AU$234, Inflation!$D$125:$BD$125,0))</f>
        <v>#N/A</v>
      </c>
      <c r="AV242" s="90" t="e">
        <f>(AV186+AV208)*INDEX(Inflation!$D$126:$BD$166, MATCH($B242, Inflation!$B$126:$B$166,0), MATCH(AV$234, Inflation!$D$125:$BD$125,0))</f>
        <v>#N/A</v>
      </c>
      <c r="AW242" s="90" t="e">
        <f>(AW186+AW208)*INDEX(Inflation!$D$126:$BD$166, MATCH($B242, Inflation!$B$126:$B$166,0), MATCH(AW$234, Inflation!$D$125:$BD$125,0))</f>
        <v>#N/A</v>
      </c>
      <c r="AX242" s="90" t="e">
        <f>(AX186+AX208)*INDEX(Inflation!$D$126:$BD$166, MATCH($B242, Inflation!$B$126:$B$166,0), MATCH(AX$234, Inflation!$D$125:$BD$125,0))</f>
        <v>#N/A</v>
      </c>
      <c r="AY242" s="90" t="e">
        <f>(AY186+AY208)*INDEX(Inflation!$D$126:$BD$166, MATCH($B242, Inflation!$B$126:$B$166,0), MATCH(AY$234, Inflation!$D$125:$BD$125,0))</f>
        <v>#N/A</v>
      </c>
      <c r="AZ242" s="90" t="e">
        <f>(AZ186+AZ208)*INDEX(Inflation!$D$126:$BD$166, MATCH($B242, Inflation!$B$126:$B$166,0), MATCH(AZ$234, Inflation!$D$125:$BD$125,0))</f>
        <v>#N/A</v>
      </c>
      <c r="BA242" s="90" t="e">
        <f>(BA186+BA208)*INDEX(Inflation!$D$126:$BD$166, MATCH($B242, Inflation!$B$126:$B$166,0), MATCH(BA$234, Inflation!$D$125:$BD$125,0))</f>
        <v>#N/A</v>
      </c>
      <c r="BB242" s="90" t="e">
        <f>(BB186+BB208)*INDEX(Inflation!$D$126:$BD$166, MATCH($B242, Inflation!$B$126:$B$166,0), MATCH(BB$234, Inflation!$D$125:$BD$125,0))</f>
        <v>#N/A</v>
      </c>
    </row>
    <row r="243" spans="2:54" ht="29">
      <c r="B243" s="6" t="s">
        <v>107</v>
      </c>
      <c r="C243" s="47"/>
      <c r="D243" s="90">
        <f>(D187+D209)*INDEX(Inflation!$D$126:$BD$166, MATCH($B243, Inflation!$B$126:$B$166,0), MATCH(D$234, Inflation!$D$125:$BD$125,0))</f>
        <v>108495.67922869424</v>
      </c>
      <c r="E243" s="90">
        <f>(E187+E209)*INDEX(Inflation!$D$126:$BD$166, MATCH($B243, Inflation!$B$126:$B$166,0), MATCH(E$234, Inflation!$D$125:$BD$125,0))</f>
        <v>116894.2428005128</v>
      </c>
      <c r="F243" s="90">
        <f>(F187+F209)*INDEX(Inflation!$D$126:$BD$166, MATCH($B243, Inflation!$B$126:$B$166,0), MATCH(F$234, Inflation!$D$125:$BD$125,0))</f>
        <v>125225.27158529687</v>
      </c>
      <c r="G243" s="90">
        <f>(G187+G209)*INDEX(Inflation!$D$126:$BD$166, MATCH($B243, Inflation!$B$126:$B$166,0), MATCH(G$234, Inflation!$D$125:$BD$125,0))</f>
        <v>133641.55322926506</v>
      </c>
      <c r="H243" s="90">
        <f>(H187+H209)*INDEX(Inflation!$D$126:$BD$166, MATCH($B243, Inflation!$B$126:$B$166,0), MATCH(H$234, Inflation!$D$125:$BD$125,0))</f>
        <v>121524.20730016733</v>
      </c>
      <c r="I243" s="90">
        <f>(I187+I209)*INDEX(Inflation!$D$126:$BD$166, MATCH($B243, Inflation!$B$126:$B$166,0), MATCH(I$234, Inflation!$D$125:$BD$125,0))</f>
        <v>112436.11138021803</v>
      </c>
      <c r="J243" s="90">
        <f>(J187+J209)*INDEX(Inflation!$D$126:$BD$166, MATCH($B243, Inflation!$B$126:$B$166,0), MATCH(J$234, Inflation!$D$125:$BD$125,0))</f>
        <v>108485.7623074221</v>
      </c>
      <c r="K243" s="90">
        <f>(K187+K209)*INDEX(Inflation!$D$126:$BD$166, MATCH($B243, Inflation!$B$126:$B$166,0), MATCH(K$234, Inflation!$D$125:$BD$125,0))</f>
        <v>108016.7364654172</v>
      </c>
      <c r="L243" s="90">
        <f>(L187+L209)*INDEX(Inflation!$D$126:$BD$166, MATCH($B243, Inflation!$B$126:$B$166,0), MATCH(L$234, Inflation!$D$125:$BD$125,0))</f>
        <v>110136.41667102618</v>
      </c>
      <c r="M243" s="90">
        <f>(M187+M209)*INDEX(Inflation!$D$126:$BD$166, MATCH($B243, Inflation!$B$126:$B$166,0), MATCH(M$234, Inflation!$D$125:$BD$125,0))</f>
        <v>113963.40456587117</v>
      </c>
      <c r="N243" s="90">
        <f>(N187+N209)*INDEX(Inflation!$D$126:$BD$166, MATCH($B243, Inflation!$B$126:$B$166,0), MATCH(N$234, Inflation!$D$125:$BD$125,0))</f>
        <v>118974.72826251011</v>
      </c>
      <c r="O243" s="90">
        <f>(O187+O209)*INDEX(Inflation!$D$126:$BD$166, MATCH($B243, Inflation!$B$126:$B$166,0), MATCH(O$234, Inflation!$D$125:$BD$125,0))</f>
        <v>124943.82287174453</v>
      </c>
      <c r="P243" s="90">
        <f>(P187+P209)*INDEX(Inflation!$D$126:$BD$166, MATCH($B243, Inflation!$B$126:$B$166,0), MATCH(P$234, Inflation!$D$125:$BD$125,0))</f>
        <v>131551.75735301894</v>
      </c>
      <c r="Q243" s="90">
        <f>(Q187+Q209)*INDEX(Inflation!$D$126:$BD$166, MATCH($B243, Inflation!$B$126:$B$166,0), MATCH(Q$234, Inflation!$D$125:$BD$125,0))</f>
        <v>138677.86732593633</v>
      </c>
      <c r="R243" s="90">
        <f>(R187+R209)*INDEX(Inflation!$D$126:$BD$166, MATCH($B243, Inflation!$B$126:$B$166,0), MATCH(R$234, Inflation!$D$125:$BD$125,0))</f>
        <v>146293.18582531044</v>
      </c>
      <c r="S243" s="90">
        <f>(S187+S209)*INDEX(Inflation!$D$126:$BD$166, MATCH($B243, Inflation!$B$126:$B$166,0), MATCH(S$234, Inflation!$D$125:$BD$125,0))</f>
        <v>154369.19999957562</v>
      </c>
      <c r="T243" s="90">
        <f>(T187+T209)*INDEX(Inflation!$D$126:$BD$166, MATCH($B243, Inflation!$B$126:$B$166,0), MATCH(T$234, Inflation!$D$125:$BD$125,0))</f>
        <v>162882.14922366434</v>
      </c>
      <c r="U243" s="90">
        <f>(U187+U209)*INDEX(Inflation!$D$126:$BD$166, MATCH($B243, Inflation!$B$126:$B$166,0), MATCH(U$234, Inflation!$D$125:$BD$125,0))</f>
        <v>171861.96041809057</v>
      </c>
      <c r="V243" s="90">
        <f>(V187+V209)*INDEX(Inflation!$D$126:$BD$166, MATCH($B243, Inflation!$B$126:$B$166,0), MATCH(V$234, Inflation!$D$125:$BD$125,0))</f>
        <v>181417.69969760469</v>
      </c>
      <c r="W243" s="90">
        <f>(W187+W209)*INDEX(Inflation!$D$126:$BD$166, MATCH($B243, Inflation!$B$126:$B$166,0), MATCH(W$234, Inflation!$D$125:$BD$125,0))</f>
        <v>191439.16578954621</v>
      </c>
      <c r="X243" s="90">
        <f>(X187+X209)*INDEX(Inflation!$D$126:$BD$166, MATCH($B243, Inflation!$B$126:$B$166,0), MATCH(X$234, Inflation!$D$125:$BD$125,0))</f>
        <v>201920.70854148915</v>
      </c>
      <c r="Y243" s="90">
        <f>(Y187+Y209)*INDEX(Inflation!$D$126:$BD$166, MATCH($B243, Inflation!$B$126:$B$166,0), MATCH(Y$234, Inflation!$D$125:$BD$125,0))</f>
        <v>212940.32181482814</v>
      </c>
      <c r="Z243" s="90">
        <f>(Z187+Z209)*INDEX(Inflation!$D$126:$BD$166, MATCH($B243, Inflation!$B$126:$B$166,0), MATCH(Z$234, Inflation!$D$125:$BD$125,0))</f>
        <v>224489.63672303321</v>
      </c>
      <c r="AA243" s="90">
        <f>(AA187+AA209)*INDEX(Inflation!$D$126:$BD$166, MATCH($B243, Inflation!$B$126:$B$166,0), MATCH(AA$234, Inflation!$D$125:$BD$125,0))</f>
        <v>236568.03471468005</v>
      </c>
      <c r="AB243" s="90">
        <f>(AB187+AB209)*INDEX(Inflation!$D$126:$BD$166, MATCH($B243, Inflation!$B$126:$B$166,0), MATCH(AB$234, Inflation!$D$125:$BD$125,0))</f>
        <v>249181.79668115565</v>
      </c>
      <c r="AC243" s="90">
        <f>(AC187+AC209)*INDEX(Inflation!$D$126:$BD$166, MATCH($B243, Inflation!$B$126:$B$166,0), MATCH(AC$234, Inflation!$D$125:$BD$125,0))</f>
        <v>262372.5501558432</v>
      </c>
      <c r="AD243" s="90">
        <f>(AD187+AD209)*INDEX(Inflation!$D$126:$BD$166, MATCH($B243, Inflation!$B$126:$B$166,0), MATCH(AD$234, Inflation!$D$125:$BD$125,0))</f>
        <v>276129.48599416041</v>
      </c>
      <c r="AE243" s="90">
        <f>(AE187+AE209)*INDEX(Inflation!$D$126:$BD$166, MATCH($B243, Inflation!$B$126:$B$166,0), MATCH(AE$234, Inflation!$D$125:$BD$125,0))</f>
        <v>290442.80519579659</v>
      </c>
      <c r="AF243" s="90">
        <f>(AF187+AF209)*INDEX(Inflation!$D$126:$BD$166, MATCH($B243, Inflation!$B$126:$B$166,0), MATCH(AF$234, Inflation!$D$125:$BD$125,0))</f>
        <v>305310.00597242638</v>
      </c>
      <c r="AG243" s="90">
        <f>(AG187+AG209)*INDEX(Inflation!$D$126:$BD$166, MATCH($B243, Inflation!$B$126:$B$166,0), MATCH(AG$234, Inflation!$D$125:$BD$125,0))</f>
        <v>320756.23344882036</v>
      </c>
      <c r="AH243" s="90">
        <f>(AH187+AH209)*INDEX(Inflation!$D$126:$BD$166, MATCH($B243, Inflation!$B$126:$B$166,0), MATCH(AH$234, Inflation!$D$125:$BD$125,0))</f>
        <v>336866.95621153415</v>
      </c>
      <c r="AI243" s="90">
        <f>(AI187+AI209)*INDEX(Inflation!$D$126:$BD$166, MATCH($B243, Inflation!$B$126:$B$166,0), MATCH(AI$234, Inflation!$D$125:$BD$125,0))</f>
        <v>353675.30643103243</v>
      </c>
      <c r="AJ243" s="90">
        <f>(AJ187+AJ209)*INDEX(Inflation!$D$126:$BD$166, MATCH($B243, Inflation!$B$126:$B$166,0), MATCH(AJ$234, Inflation!$D$125:$BD$125,0))</f>
        <v>371251.75009180541</v>
      </c>
      <c r="AK243" s="90">
        <f>(AK187+AK209)*INDEX(Inflation!$D$126:$BD$166, MATCH($B243, Inflation!$B$126:$B$166,0), MATCH(AK$234, Inflation!$D$125:$BD$125,0))</f>
        <v>389585.68207125674</v>
      </c>
      <c r="AL243" s="90">
        <f>(AL187+AL209)*INDEX(Inflation!$D$126:$BD$166, MATCH($B243, Inflation!$B$126:$B$166,0), MATCH(AL$234, Inflation!$D$125:$BD$125,0))</f>
        <v>408628.20179920149</v>
      </c>
      <c r="AM243" s="90">
        <f>(AM187+AM209)*INDEX(Inflation!$D$126:$BD$166, MATCH($B243, Inflation!$B$126:$B$166,0), MATCH(AM$234, Inflation!$D$125:$BD$125,0))</f>
        <v>428358.51333268511</v>
      </c>
      <c r="AN243" s="90">
        <f>(AN187+AN209)*INDEX(Inflation!$D$126:$BD$166, MATCH($B243, Inflation!$B$126:$B$166,0), MATCH(AN$234, Inflation!$D$125:$BD$125,0))</f>
        <v>448759.05781437509</v>
      </c>
      <c r="AO243" s="90">
        <f>(AO187+AO209)*INDEX(Inflation!$D$126:$BD$166, MATCH($B243, Inflation!$B$126:$B$166,0), MATCH(AO$234, Inflation!$D$125:$BD$125,0))</f>
        <v>469821.50555423467</v>
      </c>
      <c r="AP243" s="90">
        <f>(AP187+AP209)*INDEX(Inflation!$D$126:$BD$166, MATCH($B243, Inflation!$B$126:$B$166,0), MATCH(AP$234, Inflation!$D$125:$BD$125,0))</f>
        <v>491538.4888897374</v>
      </c>
      <c r="AQ243" s="90">
        <f>(AQ187+AQ209)*INDEX(Inflation!$D$126:$BD$166, MATCH($B243, Inflation!$B$126:$B$166,0), MATCH(AQ$234, Inflation!$D$125:$BD$125,0))</f>
        <v>514080.64078952855</v>
      </c>
      <c r="AR243" s="90">
        <f>(AR187+AR209)*INDEX(Inflation!$D$126:$BD$166, MATCH($B243, Inflation!$B$126:$B$166,0), MATCH(AR$234, Inflation!$D$125:$BD$125,0))</f>
        <v>537622.3837587795</v>
      </c>
      <c r="AS243" s="90">
        <f>(AS187+AS209)*INDEX(Inflation!$D$126:$BD$166, MATCH($B243, Inflation!$B$126:$B$166,0), MATCH(AS$234, Inflation!$D$125:$BD$125,0))</f>
        <v>562313.39133521693</v>
      </c>
      <c r="AT243" s="90">
        <f>(AT187+AT209)*INDEX(Inflation!$D$126:$BD$166, MATCH($B243, Inflation!$B$126:$B$166,0), MATCH(AT$234, Inflation!$D$125:$BD$125,0))</f>
        <v>587517.63651951787</v>
      </c>
      <c r="AU243" s="90" t="e">
        <f>(AU187+AU209)*INDEX(Inflation!$D$126:$BD$166, MATCH($B243, Inflation!$B$126:$B$166,0), MATCH(AU$234, Inflation!$D$125:$BD$125,0))</f>
        <v>#N/A</v>
      </c>
      <c r="AV243" s="90" t="e">
        <f>(AV187+AV209)*INDEX(Inflation!$D$126:$BD$166, MATCH($B243, Inflation!$B$126:$B$166,0), MATCH(AV$234, Inflation!$D$125:$BD$125,0))</f>
        <v>#N/A</v>
      </c>
      <c r="AW243" s="90" t="e">
        <f>(AW187+AW209)*INDEX(Inflation!$D$126:$BD$166, MATCH($B243, Inflation!$B$126:$B$166,0), MATCH(AW$234, Inflation!$D$125:$BD$125,0))</f>
        <v>#N/A</v>
      </c>
      <c r="AX243" s="90" t="e">
        <f>(AX187+AX209)*INDEX(Inflation!$D$126:$BD$166, MATCH($B243, Inflation!$B$126:$B$166,0), MATCH(AX$234, Inflation!$D$125:$BD$125,0))</f>
        <v>#N/A</v>
      </c>
      <c r="AY243" s="90" t="e">
        <f>(AY187+AY209)*INDEX(Inflation!$D$126:$BD$166, MATCH($B243, Inflation!$B$126:$B$166,0), MATCH(AY$234, Inflation!$D$125:$BD$125,0))</f>
        <v>#N/A</v>
      </c>
      <c r="AZ243" s="90" t="e">
        <f>(AZ187+AZ209)*INDEX(Inflation!$D$126:$BD$166, MATCH($B243, Inflation!$B$126:$B$166,0), MATCH(AZ$234, Inflation!$D$125:$BD$125,0))</f>
        <v>#N/A</v>
      </c>
      <c r="BA243" s="90" t="e">
        <f>(BA187+BA209)*INDEX(Inflation!$D$126:$BD$166, MATCH($B243, Inflation!$B$126:$B$166,0), MATCH(BA$234, Inflation!$D$125:$BD$125,0))</f>
        <v>#N/A</v>
      </c>
      <c r="BB243" s="90" t="e">
        <f>(BB187+BB209)*INDEX(Inflation!$D$126:$BD$166, MATCH($B243, Inflation!$B$126:$B$166,0), MATCH(BB$234, Inflation!$D$125:$BD$125,0))</f>
        <v>#N/A</v>
      </c>
    </row>
    <row r="244" spans="2:54">
      <c r="B244" s="6" t="s">
        <v>2863</v>
      </c>
      <c r="C244" s="47"/>
      <c r="D244" s="90">
        <f>(D188+D210)*INDEX(Inflation!$D$126:$BD$166, MATCH($B244, Inflation!$B$126:$B$166,0), MATCH(D$234, Inflation!$D$125:$BD$125,0))</f>
        <v>6933.8513829480835</v>
      </c>
      <c r="E244" s="90">
        <f>(E188+E210)*INDEX(Inflation!$D$126:$BD$166, MATCH($B244, Inflation!$B$126:$B$166,0), MATCH(E$234, Inflation!$D$125:$BD$125,0))</f>
        <v>7313.2754331920978</v>
      </c>
      <c r="F244" s="90">
        <f>(F188+F210)*INDEX(Inflation!$D$126:$BD$166, MATCH($B244, Inflation!$B$126:$B$166,0), MATCH(F$234, Inflation!$D$125:$BD$125,0))</f>
        <v>7669.3617398392153</v>
      </c>
      <c r="G244" s="90">
        <f>(G188+G210)*INDEX(Inflation!$D$126:$BD$166, MATCH($B244, Inflation!$B$126:$B$166,0), MATCH(G$234, Inflation!$D$125:$BD$125,0))</f>
        <v>8012.1877891330796</v>
      </c>
      <c r="H244" s="90">
        <f>(H188+H210)*INDEX(Inflation!$D$126:$BD$166, MATCH($B244, Inflation!$B$126:$B$166,0), MATCH(H$234, Inflation!$D$125:$BD$125,0))</f>
        <v>6507.7911218316549</v>
      </c>
      <c r="I244" s="90">
        <f>(I188+I210)*INDEX(Inflation!$D$126:$BD$166, MATCH($B244, Inflation!$B$126:$B$166,0), MATCH(I$234, Inflation!$D$125:$BD$125,0))</f>
        <v>6017.9849413762822</v>
      </c>
      <c r="J244" s="90">
        <f>(J188+J210)*INDEX(Inflation!$D$126:$BD$166, MATCH($B244, Inflation!$B$126:$B$166,0), MATCH(J$234, Inflation!$D$125:$BD$125,0))</f>
        <v>5804.6126959346248</v>
      </c>
      <c r="K244" s="90">
        <f>(K188+K210)*INDEX(Inflation!$D$126:$BD$166, MATCH($B244, Inflation!$B$126:$B$166,0), MATCH(K$234, Inflation!$D$125:$BD$125,0))</f>
        <v>5772.4166082921365</v>
      </c>
      <c r="L244" s="90">
        <f>(L188+L210)*INDEX(Inflation!$D$126:$BD$166, MATCH($B244, Inflation!$B$126:$B$166,0), MATCH(L$234, Inflation!$D$125:$BD$125,0))</f>
        <v>5869.5829526822863</v>
      </c>
      <c r="M244" s="90">
        <f>(M188+M210)*INDEX(Inflation!$D$126:$BD$166, MATCH($B244, Inflation!$B$126:$B$166,0), MATCH(M$234, Inflation!$D$125:$BD$125,0))</f>
        <v>6048.1516502178602</v>
      </c>
      <c r="N244" s="90">
        <f>(N188+N210)*INDEX(Inflation!$D$126:$BD$166, MATCH($B244, Inflation!$B$126:$B$166,0), MATCH(N$234, Inflation!$D$125:$BD$125,0))</f>
        <v>6280.0187601848238</v>
      </c>
      <c r="O244" s="90">
        <f>(O188+O210)*INDEX(Inflation!$D$126:$BD$166, MATCH($B244, Inflation!$B$126:$B$166,0), MATCH(O$234, Inflation!$D$125:$BD$125,0))</f>
        <v>6544.9878615793295</v>
      </c>
      <c r="P244" s="90">
        <f>(P188+P210)*INDEX(Inflation!$D$126:$BD$166, MATCH($B244, Inflation!$B$126:$B$166,0), MATCH(P$234, Inflation!$D$125:$BD$125,0))</f>
        <v>6833.9135650896396</v>
      </c>
      <c r="Q244" s="90">
        <f>(Q188+Q210)*INDEX(Inflation!$D$126:$BD$166, MATCH($B244, Inflation!$B$126:$B$166,0), MATCH(Q$234, Inflation!$D$125:$BD$125,0))</f>
        <v>7140.4708119896441</v>
      </c>
      <c r="R244" s="90">
        <f>(R188+R210)*INDEX(Inflation!$D$126:$BD$166, MATCH($B244, Inflation!$B$126:$B$166,0), MATCH(R$234, Inflation!$D$125:$BD$125,0))</f>
        <v>7462.6536214226508</v>
      </c>
      <c r="S244" s="90">
        <f>(S188+S210)*INDEX(Inflation!$D$126:$BD$166, MATCH($B244, Inflation!$B$126:$B$166,0), MATCH(S$234, Inflation!$D$125:$BD$125,0))</f>
        <v>7656.0135566315685</v>
      </c>
      <c r="T244" s="90">
        <f>(T188+T210)*INDEX(Inflation!$D$126:$BD$166, MATCH($B244, Inflation!$B$126:$B$166,0), MATCH(T$234, Inflation!$D$125:$BD$125,0))</f>
        <v>7873.6048085977836</v>
      </c>
      <c r="U244" s="90">
        <f>(U188+U210)*INDEX(Inflation!$D$126:$BD$166, MATCH($B244, Inflation!$B$126:$B$166,0), MATCH(U$234, Inflation!$D$125:$BD$125,0))</f>
        <v>8109.6470830446842</v>
      </c>
      <c r="V244" s="90">
        <f>(V188+V210)*INDEX(Inflation!$D$126:$BD$166, MATCH($B244, Inflation!$B$126:$B$166,0), MATCH(V$234, Inflation!$D$125:$BD$125,0))</f>
        <v>8363.6327632161338</v>
      </c>
      <c r="W244" s="90">
        <f>(W188+W210)*INDEX(Inflation!$D$126:$BD$166, MATCH($B244, Inflation!$B$126:$B$166,0), MATCH(W$234, Inflation!$D$125:$BD$125,0))</f>
        <v>8627.6164844161613</v>
      </c>
      <c r="X244" s="90">
        <f>(X188+X210)*INDEX(Inflation!$D$126:$BD$166, MATCH($B244, Inflation!$B$126:$B$166,0), MATCH(X$234, Inflation!$D$125:$BD$125,0))</f>
        <v>8899.0132877979686</v>
      </c>
      <c r="Y244" s="90">
        <f>(Y188+Y210)*INDEX(Inflation!$D$126:$BD$166, MATCH($B244, Inflation!$B$126:$B$166,0), MATCH(Y$234, Inflation!$D$125:$BD$125,0))</f>
        <v>9179.0003438576332</v>
      </c>
      <c r="Z244" s="90">
        <f>(Z188+Z210)*INDEX(Inflation!$D$126:$BD$166, MATCH($B244, Inflation!$B$126:$B$166,0), MATCH(Z$234, Inflation!$D$125:$BD$125,0))</f>
        <v>9465.7928109153854</v>
      </c>
      <c r="AA244" s="90">
        <f>(AA188+AA210)*INDEX(Inflation!$D$126:$BD$166, MATCH($B244, Inflation!$B$126:$B$166,0), MATCH(AA$234, Inflation!$D$125:$BD$125,0))</f>
        <v>9758.3048042387782</v>
      </c>
      <c r="AB244" s="90">
        <f>(AB188+AB210)*INDEX(Inflation!$D$126:$BD$166, MATCH($B244, Inflation!$B$126:$B$166,0), MATCH(AB$234, Inflation!$D$125:$BD$125,0))</f>
        <v>10055.866391453466</v>
      </c>
      <c r="AC244" s="90">
        <f>(AC188+AC210)*INDEX(Inflation!$D$126:$BD$166, MATCH($B244, Inflation!$B$126:$B$166,0), MATCH(AC$234, Inflation!$D$125:$BD$125,0))</f>
        <v>10359.053121536008</v>
      </c>
      <c r="AD244" s="90">
        <f>(AD188+AD210)*INDEX(Inflation!$D$126:$BD$166, MATCH($B244, Inflation!$B$126:$B$166,0), MATCH(AD$234, Inflation!$D$125:$BD$125,0))</f>
        <v>10666.69888887898</v>
      </c>
      <c r="AE244" s="90">
        <f>(AE188+AE210)*INDEX(Inflation!$D$126:$BD$166, MATCH($B244, Inflation!$B$126:$B$166,0), MATCH(AE$234, Inflation!$D$125:$BD$125,0))</f>
        <v>10977.760595540651</v>
      </c>
      <c r="AF244" s="90">
        <f>(AF188+AF210)*INDEX(Inflation!$D$126:$BD$166, MATCH($B244, Inflation!$B$126:$B$166,0), MATCH(AF$234, Inflation!$D$125:$BD$125,0))</f>
        <v>11291.457637915382</v>
      </c>
      <c r="AG244" s="90">
        <f>(AG188+AG210)*INDEX(Inflation!$D$126:$BD$166, MATCH($B244, Inflation!$B$126:$B$166,0), MATCH(AG$234, Inflation!$D$125:$BD$125,0))</f>
        <v>11607.802226238622</v>
      </c>
      <c r="AH244" s="90">
        <f>(AH188+AH210)*INDEX(Inflation!$D$126:$BD$166, MATCH($B244, Inflation!$B$126:$B$166,0), MATCH(AH$234, Inflation!$D$125:$BD$125,0))</f>
        <v>11928.704379225414</v>
      </c>
      <c r="AI244" s="90">
        <f>(AI188+AI210)*INDEX(Inflation!$D$126:$BD$166, MATCH($B244, Inflation!$B$126:$B$166,0), MATCH(AI$234, Inflation!$D$125:$BD$125,0))</f>
        <v>12254.406174414311</v>
      </c>
      <c r="AJ244" s="90">
        <f>(AJ188+AJ210)*INDEX(Inflation!$D$126:$BD$166, MATCH($B244, Inflation!$B$126:$B$166,0), MATCH(AJ$234, Inflation!$D$125:$BD$125,0))</f>
        <v>12586.128845381254</v>
      </c>
      <c r="AK244" s="90">
        <f>(AK188+AK210)*INDEX(Inflation!$D$126:$BD$166, MATCH($B244, Inflation!$B$126:$B$166,0), MATCH(AK$234, Inflation!$D$125:$BD$125,0))</f>
        <v>12922.731259797811</v>
      </c>
      <c r="AL244" s="90">
        <f>(AL188+AL210)*INDEX(Inflation!$D$126:$BD$166, MATCH($B244, Inflation!$B$126:$B$166,0), MATCH(AL$234, Inflation!$D$125:$BD$125,0))</f>
        <v>13262.087712977813</v>
      </c>
      <c r="AM244" s="90">
        <f>(AM188+AM210)*INDEX(Inflation!$D$126:$BD$166, MATCH($B244, Inflation!$B$126:$B$166,0), MATCH(AM$234, Inflation!$D$125:$BD$125,0))</f>
        <v>13602.957378132412</v>
      </c>
      <c r="AN244" s="90">
        <f>(AN188+AN210)*INDEX(Inflation!$D$126:$BD$166, MATCH($B244, Inflation!$B$126:$B$166,0), MATCH(AN$234, Inflation!$D$125:$BD$125,0))</f>
        <v>13944.229398769772</v>
      </c>
      <c r="AO244" s="90">
        <f>(AO188+AO210)*INDEX(Inflation!$D$126:$BD$166, MATCH($B244, Inflation!$B$126:$B$166,0), MATCH(AO$234, Inflation!$D$125:$BD$125,0))</f>
        <v>14285.108066773</v>
      </c>
      <c r="AP244" s="90">
        <f>(AP188+AP210)*INDEX(Inflation!$D$126:$BD$166, MATCH($B244, Inflation!$B$126:$B$166,0), MATCH(AP$234, Inflation!$D$125:$BD$125,0))</f>
        <v>14624.87922119936</v>
      </c>
      <c r="AQ244" s="90">
        <f>(AQ188+AQ210)*INDEX(Inflation!$D$126:$BD$166, MATCH($B244, Inflation!$B$126:$B$166,0), MATCH(AQ$234, Inflation!$D$125:$BD$125,0))</f>
        <v>14967.251651016108</v>
      </c>
      <c r="AR244" s="90">
        <f>(AR188+AR210)*INDEX(Inflation!$D$126:$BD$166, MATCH($B244, Inflation!$B$126:$B$166,0), MATCH(AR$234, Inflation!$D$125:$BD$125,0))</f>
        <v>15315.752669666914</v>
      </c>
      <c r="AS244" s="90">
        <f>(AS188+AS210)*INDEX(Inflation!$D$126:$BD$166, MATCH($B244, Inflation!$B$126:$B$166,0), MATCH(AS$234, Inflation!$D$125:$BD$125,0))</f>
        <v>15673.02092063533</v>
      </c>
      <c r="AT244" s="90">
        <f>(AT188+AT210)*INDEX(Inflation!$D$126:$BD$166, MATCH($B244, Inflation!$B$126:$B$166,0), MATCH(AT$234, Inflation!$D$125:$BD$125,0))</f>
        <v>16023.408762204566</v>
      </c>
      <c r="AU244" s="90" t="e">
        <f>(AU188+AU210)*INDEX(Inflation!$D$126:$BD$166, MATCH($B244, Inflation!$B$126:$B$166,0), MATCH(AU$234, Inflation!$D$125:$BD$125,0))</f>
        <v>#N/A</v>
      </c>
      <c r="AV244" s="90" t="e">
        <f>(AV188+AV210)*INDEX(Inflation!$D$126:$BD$166, MATCH($B244, Inflation!$B$126:$B$166,0), MATCH(AV$234, Inflation!$D$125:$BD$125,0))</f>
        <v>#N/A</v>
      </c>
      <c r="AW244" s="90" t="e">
        <f>(AW188+AW210)*INDEX(Inflation!$D$126:$BD$166, MATCH($B244, Inflation!$B$126:$B$166,0), MATCH(AW$234, Inflation!$D$125:$BD$125,0))</f>
        <v>#N/A</v>
      </c>
      <c r="AX244" s="90" t="e">
        <f>(AX188+AX210)*INDEX(Inflation!$D$126:$BD$166, MATCH($B244, Inflation!$B$126:$B$166,0), MATCH(AX$234, Inflation!$D$125:$BD$125,0))</f>
        <v>#N/A</v>
      </c>
      <c r="AY244" s="90" t="e">
        <f>(AY188+AY210)*INDEX(Inflation!$D$126:$BD$166, MATCH($B244, Inflation!$B$126:$B$166,0), MATCH(AY$234, Inflation!$D$125:$BD$125,0))</f>
        <v>#N/A</v>
      </c>
      <c r="AZ244" s="90" t="e">
        <f>(AZ188+AZ210)*INDEX(Inflation!$D$126:$BD$166, MATCH($B244, Inflation!$B$126:$B$166,0), MATCH(AZ$234, Inflation!$D$125:$BD$125,0))</f>
        <v>#N/A</v>
      </c>
      <c r="BA244" s="90" t="e">
        <f>(BA188+BA210)*INDEX(Inflation!$D$126:$BD$166, MATCH($B244, Inflation!$B$126:$B$166,0), MATCH(BA$234, Inflation!$D$125:$BD$125,0))</f>
        <v>#N/A</v>
      </c>
      <c r="BB244" s="90" t="e">
        <f>(BB188+BB210)*INDEX(Inflation!$D$126:$BD$166, MATCH($B244, Inflation!$B$126:$B$166,0), MATCH(BB$234, Inflation!$D$125:$BD$125,0))</f>
        <v>#N/A</v>
      </c>
    </row>
    <row r="245" spans="2:54">
      <c r="B245" s="6" t="s">
        <v>2862</v>
      </c>
      <c r="C245" s="47"/>
      <c r="D245" s="90">
        <f>(D189+D211)*INDEX(Inflation!$D$126:$BD$166, MATCH($B245, Inflation!$B$126:$B$166,0), MATCH(D$234, Inflation!$D$125:$BD$125,0))</f>
        <v>8997.4256554840322</v>
      </c>
      <c r="E245" s="90">
        <f>(E189+E211)*INDEX(Inflation!$D$126:$BD$166, MATCH($B245, Inflation!$B$126:$B$166,0), MATCH(E$234, Inflation!$D$125:$BD$125,0))</f>
        <v>9489.7695918378686</v>
      </c>
      <c r="F245" s="90">
        <f>(F189+F211)*INDEX(Inflation!$D$126:$BD$166, MATCH($B245, Inflation!$B$126:$B$166,0), MATCH(F$234, Inflation!$D$125:$BD$125,0))</f>
        <v>9951.8302698143762</v>
      </c>
      <c r="G245" s="90">
        <f>(G189+G211)*INDEX(Inflation!$D$126:$BD$166, MATCH($B245, Inflation!$B$126:$B$166,0), MATCH(G$234, Inflation!$D$125:$BD$125,0))</f>
        <v>10396.68432291255</v>
      </c>
      <c r="H245" s="90">
        <f>(H189+H211)*INDEX(Inflation!$D$126:$BD$166, MATCH($B245, Inflation!$B$126:$B$166,0), MATCH(H$234, Inflation!$D$125:$BD$125,0))</f>
        <v>8444.5661676705931</v>
      </c>
      <c r="I245" s="90">
        <f>(I189+I211)*INDEX(Inflation!$D$126:$BD$166, MATCH($B245, Inflation!$B$126:$B$166,0), MATCH(I$234, Inflation!$D$125:$BD$125,0))</f>
        <v>7808.9894223885094</v>
      </c>
      <c r="J245" s="90">
        <f>(J189+J211)*INDEX(Inflation!$D$126:$BD$166, MATCH($B245, Inflation!$B$126:$B$166,0), MATCH(J$234, Inflation!$D$125:$BD$125,0))</f>
        <v>7532.1157472436653</v>
      </c>
      <c r="K245" s="90">
        <f>(K189+K211)*INDEX(Inflation!$D$126:$BD$166, MATCH($B245, Inflation!$B$126:$B$166,0), MATCH(K$234, Inflation!$D$125:$BD$125,0))</f>
        <v>7490.3378248507606</v>
      </c>
      <c r="L245" s="90">
        <f>(L189+L211)*INDEX(Inflation!$D$126:$BD$166, MATCH($B245, Inflation!$B$126:$B$166,0), MATCH(L$234, Inflation!$D$125:$BD$125,0))</f>
        <v>7616.4217155461265</v>
      </c>
      <c r="M245" s="90">
        <f>(M189+M211)*INDEX(Inflation!$D$126:$BD$166, MATCH($B245, Inflation!$B$126:$B$166,0), MATCH(M$234, Inflation!$D$125:$BD$125,0))</f>
        <v>7848.1340052591813</v>
      </c>
      <c r="N245" s="90">
        <f>(N189+N211)*INDEX(Inflation!$D$126:$BD$166, MATCH($B245, Inflation!$B$126:$B$166,0), MATCH(N$234, Inflation!$D$125:$BD$125,0))</f>
        <v>8149.00677692114</v>
      </c>
      <c r="O245" s="90">
        <f>(O189+O211)*INDEX(Inflation!$D$126:$BD$166, MATCH($B245, Inflation!$B$126:$B$166,0), MATCH(O$234, Inflation!$D$125:$BD$125,0))</f>
        <v>8492.8329795796471</v>
      </c>
      <c r="P245" s="90">
        <f>(P189+P211)*INDEX(Inflation!$D$126:$BD$166, MATCH($B245, Inflation!$B$126:$B$166,0), MATCH(P$234, Inflation!$D$125:$BD$125,0))</f>
        <v>8867.7454767937379</v>
      </c>
      <c r="Q245" s="90">
        <f>(Q189+Q211)*INDEX(Inflation!$D$126:$BD$166, MATCH($B245, Inflation!$B$126:$B$166,0), MATCH(Q$234, Inflation!$D$125:$BD$125,0))</f>
        <v>9265.5368175363092</v>
      </c>
      <c r="R245" s="90">
        <f>(R189+R211)*INDEX(Inflation!$D$126:$BD$166, MATCH($B245, Inflation!$B$126:$B$166,0), MATCH(R$234, Inflation!$D$125:$BD$125,0))</f>
        <v>9683.6040236603549</v>
      </c>
      <c r="S245" s="90">
        <f>(S189+S211)*INDEX(Inflation!$D$126:$BD$166, MATCH($B245, Inflation!$B$126:$B$166,0), MATCH(S$234, Inflation!$D$125:$BD$125,0))</f>
        <v>9934.5095515852627</v>
      </c>
      <c r="T245" s="90">
        <f>(T189+T211)*INDEX(Inflation!$D$126:$BD$166, MATCH($B245, Inflation!$B$126:$B$166,0), MATCH(T$234, Inflation!$D$125:$BD$125,0))</f>
        <v>10216.857846165716</v>
      </c>
      <c r="U245" s="90">
        <f>(U189+U211)*INDEX(Inflation!$D$126:$BD$166, MATCH($B245, Inflation!$B$126:$B$166,0), MATCH(U$234, Inflation!$D$125:$BD$125,0))</f>
        <v>10523.148347446171</v>
      </c>
      <c r="V245" s="90">
        <f>(V189+V211)*INDEX(Inflation!$D$126:$BD$166, MATCH($B245, Inflation!$B$126:$B$166,0), MATCH(V$234, Inflation!$D$125:$BD$125,0))</f>
        <v>10852.722367523964</v>
      </c>
      <c r="W245" s="90">
        <f>(W189+W211)*INDEX(Inflation!$D$126:$BD$166, MATCH($B245, Inflation!$B$126:$B$166,0), MATCH(W$234, Inflation!$D$125:$BD$125,0))</f>
        <v>11195.269932301077</v>
      </c>
      <c r="X245" s="90">
        <f>(X189+X211)*INDEX(Inflation!$D$126:$BD$166, MATCH($B245, Inflation!$B$126:$B$166,0), MATCH(X$234, Inflation!$D$125:$BD$125,0))</f>
        <v>11547.436776772094</v>
      </c>
      <c r="Y245" s="90">
        <f>(Y189+Y211)*INDEX(Inflation!$D$126:$BD$166, MATCH($B245, Inflation!$B$126:$B$166,0), MATCH(Y$234, Inflation!$D$125:$BD$125,0))</f>
        <v>11910.750407576163</v>
      </c>
      <c r="Z245" s="90">
        <f>(Z189+Z211)*INDEX(Inflation!$D$126:$BD$166, MATCH($B245, Inflation!$B$126:$B$166,0), MATCH(Z$234, Inflation!$D$125:$BD$125,0))</f>
        <v>12282.894798679026</v>
      </c>
      <c r="AA245" s="90">
        <f>(AA189+AA211)*INDEX(Inflation!$D$126:$BD$166, MATCH($B245, Inflation!$B$126:$B$166,0), MATCH(AA$234, Inflation!$D$125:$BD$125,0))</f>
        <v>12662.460896639677</v>
      </c>
      <c r="AB245" s="90">
        <f>(AB189+AB211)*INDEX(Inflation!$D$126:$BD$166, MATCH($B245, Inflation!$B$126:$B$166,0), MATCH(AB$234, Inflation!$D$125:$BD$125,0))</f>
        <v>13048.579391402351</v>
      </c>
      <c r="AC245" s="90">
        <f>(AC189+AC211)*INDEX(Inflation!$D$126:$BD$166, MATCH($B245, Inflation!$B$126:$B$166,0), MATCH(AC$234, Inflation!$D$125:$BD$125,0))</f>
        <v>13441.997120307746</v>
      </c>
      <c r="AD245" s="90">
        <f>(AD189+AD211)*INDEX(Inflation!$D$126:$BD$166, MATCH($B245, Inflation!$B$126:$B$166,0), MATCH(AD$234, Inflation!$D$125:$BD$125,0))</f>
        <v>13841.200934612149</v>
      </c>
      <c r="AE245" s="90">
        <f>(AE189+AE211)*INDEX(Inflation!$D$126:$BD$166, MATCH($B245, Inflation!$B$126:$B$166,0), MATCH(AE$234, Inflation!$D$125:$BD$125,0))</f>
        <v>14244.837301385043</v>
      </c>
      <c r="AF245" s="90">
        <f>(AF189+AF211)*INDEX(Inflation!$D$126:$BD$166, MATCH($B245, Inflation!$B$126:$B$166,0), MATCH(AF$234, Inflation!$D$125:$BD$125,0))</f>
        <v>14651.893302621662</v>
      </c>
      <c r="AG245" s="90">
        <f>(AG189+AG211)*INDEX(Inflation!$D$126:$BD$166, MATCH($B245, Inflation!$B$126:$B$166,0), MATCH(AG$234, Inflation!$D$125:$BD$125,0))</f>
        <v>15062.38478242937</v>
      </c>
      <c r="AH245" s="90">
        <f>(AH189+AH211)*INDEX(Inflation!$D$126:$BD$166, MATCH($B245, Inflation!$B$126:$B$166,0), MATCH(AH$234, Inflation!$D$125:$BD$125,0))</f>
        <v>15478.790197648381</v>
      </c>
      <c r="AI245" s="90">
        <f>(AI189+AI211)*INDEX(Inflation!$D$126:$BD$166, MATCH($B245, Inflation!$B$126:$B$166,0), MATCH(AI$234, Inflation!$D$125:$BD$125,0))</f>
        <v>15901.423670191001</v>
      </c>
      <c r="AJ245" s="90">
        <f>(AJ189+AJ211)*INDEX(Inflation!$D$126:$BD$166, MATCH($B245, Inflation!$B$126:$B$166,0), MATCH(AJ$234, Inflation!$D$125:$BD$125,0))</f>
        <v>16331.869883330724</v>
      </c>
      <c r="AK245" s="90">
        <f>(AK189+AK211)*INDEX(Inflation!$D$126:$BD$166, MATCH($B245, Inflation!$B$126:$B$166,0), MATCH(AK$234, Inflation!$D$125:$BD$125,0))</f>
        <v>16768.648093867127</v>
      </c>
      <c r="AL245" s="90">
        <f>(AL189+AL211)*INDEX(Inflation!$D$126:$BD$166, MATCH($B245, Inflation!$B$126:$B$166,0), MATCH(AL$234, Inflation!$D$125:$BD$125,0))</f>
        <v>17208.99996897432</v>
      </c>
      <c r="AM245" s="90">
        <f>(AM189+AM211)*INDEX(Inflation!$D$126:$BD$166, MATCH($B245, Inflation!$B$126:$B$166,0), MATCH(AM$234, Inflation!$D$125:$BD$125,0))</f>
        <v>17651.315401055916</v>
      </c>
      <c r="AN245" s="90">
        <f>(AN189+AN211)*INDEX(Inflation!$D$126:$BD$166, MATCH($B245, Inflation!$B$126:$B$166,0), MATCH(AN$234, Inflation!$D$125:$BD$125,0))</f>
        <v>18094.15293309946</v>
      </c>
      <c r="AO245" s="90">
        <f>(AO189+AO211)*INDEX(Inflation!$D$126:$BD$166, MATCH($B245, Inflation!$B$126:$B$166,0), MATCH(AO$234, Inflation!$D$125:$BD$125,0))</f>
        <v>18536.480047355471</v>
      </c>
      <c r="AP245" s="90">
        <f>(AP189+AP211)*INDEX(Inflation!$D$126:$BD$166, MATCH($B245, Inflation!$B$126:$B$166,0), MATCH(AP$234, Inflation!$D$125:$BD$125,0))</f>
        <v>18977.370042394472</v>
      </c>
      <c r="AQ245" s="90">
        <f>(AQ189+AQ211)*INDEX(Inflation!$D$126:$BD$166, MATCH($B245, Inflation!$B$126:$B$166,0), MATCH(AQ$234, Inflation!$D$125:$BD$125,0))</f>
        <v>19421.635474927276</v>
      </c>
      <c r="AR245" s="90">
        <f>(AR189+AR211)*INDEX(Inflation!$D$126:$BD$166, MATCH($B245, Inflation!$B$126:$B$166,0), MATCH(AR$234, Inflation!$D$125:$BD$125,0))</f>
        <v>19873.853417452305</v>
      </c>
      <c r="AS245" s="90">
        <f>(AS189+AS211)*INDEX(Inflation!$D$126:$BD$166, MATCH($B245, Inflation!$B$126:$B$166,0), MATCH(AS$234, Inflation!$D$125:$BD$125,0))</f>
        <v>20337.447796624936</v>
      </c>
      <c r="AT245" s="90">
        <f>(AT189+AT211)*INDEX(Inflation!$D$126:$BD$166, MATCH($B245, Inflation!$B$126:$B$166,0), MATCH(AT$234, Inflation!$D$125:$BD$125,0))</f>
        <v>20792.114096923448</v>
      </c>
      <c r="AU245" s="90" t="e">
        <f>(AU189+AU211)*INDEX(Inflation!$D$126:$BD$166, MATCH($B245, Inflation!$B$126:$B$166,0), MATCH(AU$234, Inflation!$D$125:$BD$125,0))</f>
        <v>#N/A</v>
      </c>
      <c r="AV245" s="90" t="e">
        <f>(AV189+AV211)*INDEX(Inflation!$D$126:$BD$166, MATCH($B245, Inflation!$B$126:$B$166,0), MATCH(AV$234, Inflation!$D$125:$BD$125,0))</f>
        <v>#N/A</v>
      </c>
      <c r="AW245" s="90" t="e">
        <f>(AW189+AW211)*INDEX(Inflation!$D$126:$BD$166, MATCH($B245, Inflation!$B$126:$B$166,0), MATCH(AW$234, Inflation!$D$125:$BD$125,0))</f>
        <v>#N/A</v>
      </c>
      <c r="AX245" s="90" t="e">
        <f>(AX189+AX211)*INDEX(Inflation!$D$126:$BD$166, MATCH($B245, Inflation!$B$126:$B$166,0), MATCH(AX$234, Inflation!$D$125:$BD$125,0))</f>
        <v>#N/A</v>
      </c>
      <c r="AY245" s="90" t="e">
        <f>(AY189+AY211)*INDEX(Inflation!$D$126:$BD$166, MATCH($B245, Inflation!$B$126:$B$166,0), MATCH(AY$234, Inflation!$D$125:$BD$125,0))</f>
        <v>#N/A</v>
      </c>
      <c r="AZ245" s="90" t="e">
        <f>(AZ189+AZ211)*INDEX(Inflation!$D$126:$BD$166, MATCH($B245, Inflation!$B$126:$B$166,0), MATCH(AZ$234, Inflation!$D$125:$BD$125,0))</f>
        <v>#N/A</v>
      </c>
      <c r="BA245" s="90" t="e">
        <f>(BA189+BA211)*INDEX(Inflation!$D$126:$BD$166, MATCH($B245, Inflation!$B$126:$B$166,0), MATCH(BA$234, Inflation!$D$125:$BD$125,0))</f>
        <v>#N/A</v>
      </c>
      <c r="BB245" s="90" t="e">
        <f>(BB189+BB211)*INDEX(Inflation!$D$126:$BD$166, MATCH($B245, Inflation!$B$126:$B$166,0), MATCH(BB$234, Inflation!$D$125:$BD$125,0))</f>
        <v>#N/A</v>
      </c>
    </row>
    <row r="246" spans="2:54">
      <c r="B246" s="6" t="s">
        <v>131</v>
      </c>
      <c r="C246" s="47"/>
      <c r="D246" s="90">
        <f>(D190+D212)*INDEX(Inflation!$D$126:$BD$166, MATCH($B246, Inflation!$B$126:$B$166,0), MATCH(D$234, Inflation!$D$125:$BD$125,0))</f>
        <v>1747.8563805090146</v>
      </c>
      <c r="E246" s="90">
        <f>(E190+E212)*INDEX(Inflation!$D$126:$BD$166, MATCH($B246, Inflation!$B$126:$B$166,0), MATCH(E$234, Inflation!$D$125:$BD$125,0))</f>
        <v>1841.9432869540124</v>
      </c>
      <c r="F246" s="90">
        <f>(F190+F212)*INDEX(Inflation!$D$126:$BD$166, MATCH($B246, Inflation!$B$126:$B$166,0), MATCH(F$234, Inflation!$D$125:$BD$125,0))</f>
        <v>1930.0339358617452</v>
      </c>
      <c r="G246" s="90">
        <f>(G190+G212)*INDEX(Inflation!$D$126:$BD$166, MATCH($B246, Inflation!$B$126:$B$166,0), MATCH(G$234, Inflation!$D$125:$BD$125,0))</f>
        <v>2014.6718044124727</v>
      </c>
      <c r="H246" s="90">
        <f>(H190+H212)*INDEX(Inflation!$D$126:$BD$166, MATCH($B246, Inflation!$B$126:$B$166,0), MATCH(H$234, Inflation!$D$125:$BD$125,0))</f>
        <v>14855.98354836609</v>
      </c>
      <c r="I246" s="90">
        <f>(I190+I212)*INDEX(Inflation!$D$126:$BD$166, MATCH($B246, Inflation!$B$126:$B$166,0), MATCH(I$234, Inflation!$D$125:$BD$125,0))</f>
        <v>13444.178217591269</v>
      </c>
      <c r="J246" s="90">
        <f>(J190+J212)*INDEX(Inflation!$D$126:$BD$166, MATCH($B246, Inflation!$B$126:$B$166,0), MATCH(J$234, Inflation!$D$125:$BD$125,0))</f>
        <v>12687.937181827816</v>
      </c>
      <c r="K246" s="90">
        <f>(K190+K212)*INDEX(Inflation!$D$126:$BD$166, MATCH($B246, Inflation!$B$126:$B$166,0), MATCH(K$234, Inflation!$D$125:$BD$125,0))</f>
        <v>12356.604813054173</v>
      </c>
      <c r="L246" s="90">
        <f>(L190+L212)*INDEX(Inflation!$D$126:$BD$166, MATCH($B246, Inflation!$B$126:$B$166,0), MATCH(L$234, Inflation!$D$125:$BD$125,0))</f>
        <v>12323.352718317739</v>
      </c>
      <c r="M246" s="90">
        <f>(M190+M212)*INDEX(Inflation!$D$126:$BD$166, MATCH($B246, Inflation!$B$126:$B$166,0), MATCH(M$234, Inflation!$D$125:$BD$125,0))</f>
        <v>12472.490517824159</v>
      </c>
      <c r="N246" s="90">
        <f>(N190+N212)*INDEX(Inflation!$D$126:$BD$166, MATCH($B246, Inflation!$B$126:$B$166,0), MATCH(N$234, Inflation!$D$125:$BD$125,0))</f>
        <v>12735.978578745233</v>
      </c>
      <c r="O246" s="90">
        <f>(O190+O212)*INDEX(Inflation!$D$126:$BD$166, MATCH($B246, Inflation!$B$126:$B$166,0), MATCH(O$234, Inflation!$D$125:$BD$125,0))</f>
        <v>13082.243219792292</v>
      </c>
      <c r="P246" s="90">
        <f>(P190+P212)*INDEX(Inflation!$D$126:$BD$166, MATCH($B246, Inflation!$B$126:$B$166,0), MATCH(P$234, Inflation!$D$125:$BD$125,0))</f>
        <v>13472.677506148348</v>
      </c>
      <c r="Q246" s="90">
        <f>(Q190+Q212)*INDEX(Inflation!$D$126:$BD$166, MATCH($B246, Inflation!$B$126:$B$166,0), MATCH(Q$234, Inflation!$D$125:$BD$125,0))</f>
        <v>13891.663196824948</v>
      </c>
      <c r="R246" s="90">
        <f>(R190+R212)*INDEX(Inflation!$D$126:$BD$166, MATCH($B246, Inflation!$B$126:$B$166,0), MATCH(R$234, Inflation!$D$125:$BD$125,0))</f>
        <v>14333.789412601354</v>
      </c>
      <c r="S246" s="90">
        <f>(S190+S212)*INDEX(Inflation!$D$126:$BD$166, MATCH($B246, Inflation!$B$126:$B$166,0), MATCH(S$234, Inflation!$D$125:$BD$125,0))</f>
        <v>14794.06104542062</v>
      </c>
      <c r="T246" s="90">
        <f>(T190+T212)*INDEX(Inflation!$D$126:$BD$166, MATCH($B246, Inflation!$B$126:$B$166,0), MATCH(T$234, Inflation!$D$125:$BD$125,0))</f>
        <v>15268.278569282651</v>
      </c>
      <c r="U246" s="90">
        <f>(U190+U212)*INDEX(Inflation!$D$126:$BD$166, MATCH($B246, Inflation!$B$126:$B$166,0), MATCH(U$234, Inflation!$D$125:$BD$125,0))</f>
        <v>15757.458652369192</v>
      </c>
      <c r="V246" s="90">
        <f>(V190+V212)*INDEX(Inflation!$D$126:$BD$166, MATCH($B246, Inflation!$B$126:$B$166,0), MATCH(V$234, Inflation!$D$125:$BD$125,0))</f>
        <v>16269.563512283257</v>
      </c>
      <c r="W246" s="90">
        <f>(W190+W212)*INDEX(Inflation!$D$126:$BD$166, MATCH($B246, Inflation!$B$126:$B$166,0), MATCH(W$234, Inflation!$D$125:$BD$125,0))</f>
        <v>16792.558492069209</v>
      </c>
      <c r="X246" s="90">
        <f>(X190+X212)*INDEX(Inflation!$D$126:$BD$166, MATCH($B246, Inflation!$B$126:$B$166,0), MATCH(X$234, Inflation!$D$125:$BD$125,0))</f>
        <v>17324.342815388809</v>
      </c>
      <c r="Y246" s="90">
        <f>(Y190+Y212)*INDEX(Inflation!$D$126:$BD$166, MATCH($B246, Inflation!$B$126:$B$166,0), MATCH(Y$234, Inflation!$D$125:$BD$125,0))</f>
        <v>17869.962636984579</v>
      </c>
      <c r="Z246" s="90">
        <f>(Z190+Z212)*INDEX(Inflation!$D$126:$BD$166, MATCH($B246, Inflation!$B$126:$B$166,0), MATCH(Z$234, Inflation!$D$125:$BD$125,0))</f>
        <v>18426.882496050217</v>
      </c>
      <c r="AA246" s="90">
        <f>(AA190+AA212)*INDEX(Inflation!$D$126:$BD$166, MATCH($B246, Inflation!$B$126:$B$166,0), MATCH(AA$234, Inflation!$D$125:$BD$125,0))</f>
        <v>18993.345230052288</v>
      </c>
      <c r="AB246" s="90">
        <f>(AB190+AB212)*INDEX(Inflation!$D$126:$BD$166, MATCH($B246, Inflation!$B$126:$B$166,0), MATCH(AB$234, Inflation!$D$125:$BD$125,0))</f>
        <v>19568.229987506667</v>
      </c>
      <c r="AC246" s="90">
        <f>(AC190+AC212)*INDEX(Inflation!$D$126:$BD$166, MATCH($B246, Inflation!$B$126:$B$166,0), MATCH(AC$234, Inflation!$D$125:$BD$125,0))</f>
        <v>20153.174183925181</v>
      </c>
      <c r="AD246" s="90">
        <f>(AD190+AD212)*INDEX(Inflation!$D$126:$BD$166, MATCH($B246, Inflation!$B$126:$B$166,0), MATCH(AD$234, Inflation!$D$125:$BD$125,0))</f>
        <v>20745.680131673213</v>
      </c>
      <c r="AE246" s="90">
        <f>(AE190+AE212)*INDEX(Inflation!$D$126:$BD$166, MATCH($B246, Inflation!$B$126:$B$166,0), MATCH(AE$234, Inflation!$D$125:$BD$125,0))</f>
        <v>21343.485654295091</v>
      </c>
      <c r="AF246" s="90">
        <f>(AF190+AF212)*INDEX(Inflation!$D$126:$BD$166, MATCH($B246, Inflation!$B$126:$B$166,0), MATCH(AF$234, Inflation!$D$125:$BD$125,0))</f>
        <v>21945.000369596331</v>
      </c>
      <c r="AG246" s="90">
        <f>(AG190+AG212)*INDEX(Inflation!$D$126:$BD$166, MATCH($B246, Inflation!$B$126:$B$166,0), MATCH(AG$234, Inflation!$D$125:$BD$125,0))</f>
        <v>22550.672130747385</v>
      </c>
      <c r="AH246" s="90">
        <f>(AH190+AH212)*INDEX(Inflation!$D$126:$BD$166, MATCH($B246, Inflation!$B$126:$B$166,0), MATCH(AH$234, Inflation!$D$125:$BD$125,0))</f>
        <v>23165.017309264611</v>
      </c>
      <c r="AI246" s="90">
        <f>(AI190+AI212)*INDEX(Inflation!$D$126:$BD$166, MATCH($B246, Inflation!$B$126:$B$166,0), MATCH(AI$234, Inflation!$D$125:$BD$125,0))</f>
        <v>23788.594640905336</v>
      </c>
      <c r="AJ246" s="90">
        <f>(AJ190+AJ212)*INDEX(Inflation!$D$126:$BD$166, MATCH($B246, Inflation!$B$126:$B$166,0), MATCH(AJ$234, Inflation!$D$125:$BD$125,0))</f>
        <v>24424.314752164591</v>
      </c>
      <c r="AK246" s="90">
        <f>(AK190+AK212)*INDEX(Inflation!$D$126:$BD$166, MATCH($B246, Inflation!$B$126:$B$166,0), MATCH(AK$234, Inflation!$D$125:$BD$125,0))</f>
        <v>25069.559140378467</v>
      </c>
      <c r="AL246" s="90">
        <f>(AL190+AL212)*INDEX(Inflation!$D$126:$BD$166, MATCH($B246, Inflation!$B$126:$B$166,0), MATCH(AL$234, Inflation!$D$125:$BD$125,0))</f>
        <v>25719.461819941498</v>
      </c>
      <c r="AM246" s="90">
        <f>(AM190+AM212)*INDEX(Inflation!$D$126:$BD$166, MATCH($B246, Inflation!$B$126:$B$166,0), MATCH(AM$234, Inflation!$D$125:$BD$125,0))</f>
        <v>26371.253514258522</v>
      </c>
      <c r="AN246" s="90">
        <f>(AN190+AN212)*INDEX(Inflation!$D$126:$BD$166, MATCH($B246, Inflation!$B$126:$B$166,0), MATCH(AN$234, Inflation!$D$125:$BD$125,0))</f>
        <v>27022.556252162893</v>
      </c>
      <c r="AO246" s="90">
        <f>(AO190+AO212)*INDEX(Inflation!$D$126:$BD$166, MATCH($B246, Inflation!$B$126:$B$166,0), MATCH(AO$234, Inflation!$D$125:$BD$125,0))</f>
        <v>27671.705385333589</v>
      </c>
      <c r="AP246" s="90">
        <f>(AP190+AP212)*INDEX(Inflation!$D$126:$BD$166, MATCH($B246, Inflation!$B$126:$B$166,0), MATCH(AP$234, Inflation!$D$125:$BD$125,0))</f>
        <v>28317.205588056979</v>
      </c>
      <c r="AQ246" s="90">
        <f>(AQ190+AQ212)*INDEX(Inflation!$D$126:$BD$166, MATCH($B246, Inflation!$B$126:$B$166,0), MATCH(AQ$234, Inflation!$D$125:$BD$125,0))</f>
        <v>28967.695343928597</v>
      </c>
      <c r="AR246" s="90">
        <f>(AR190+AR212)*INDEX(Inflation!$D$126:$BD$166, MATCH($B246, Inflation!$B$126:$B$166,0), MATCH(AR$234, Inflation!$D$125:$BD$125,0))</f>
        <v>29631.242847547004</v>
      </c>
      <c r="AS246" s="90">
        <f>(AS190+AS212)*INDEX(Inflation!$D$126:$BD$166, MATCH($B246, Inflation!$B$126:$B$166,0), MATCH(AS$234, Inflation!$D$125:$BD$125,0))</f>
        <v>30313.8280500978</v>
      </c>
      <c r="AT246" s="90">
        <f>(AT190+AT212)*INDEX(Inflation!$D$126:$BD$166, MATCH($B246, Inflation!$B$126:$B$166,0), MATCH(AT$234, Inflation!$D$125:$BD$125,0))</f>
        <v>30979.406661167341</v>
      </c>
      <c r="AU246" s="90" t="e">
        <f>(AU190+AU212)*INDEX(Inflation!$D$126:$BD$166, MATCH($B246, Inflation!$B$126:$B$166,0), MATCH(AU$234, Inflation!$D$125:$BD$125,0))</f>
        <v>#N/A</v>
      </c>
      <c r="AV246" s="90" t="e">
        <f>(AV190+AV212)*INDEX(Inflation!$D$126:$BD$166, MATCH($B246, Inflation!$B$126:$B$166,0), MATCH(AV$234, Inflation!$D$125:$BD$125,0))</f>
        <v>#N/A</v>
      </c>
      <c r="AW246" s="90" t="e">
        <f>(AW190+AW212)*INDEX(Inflation!$D$126:$BD$166, MATCH($B246, Inflation!$B$126:$B$166,0), MATCH(AW$234, Inflation!$D$125:$BD$125,0))</f>
        <v>#N/A</v>
      </c>
      <c r="AX246" s="90" t="e">
        <f>(AX190+AX212)*INDEX(Inflation!$D$126:$BD$166, MATCH($B246, Inflation!$B$126:$B$166,0), MATCH(AX$234, Inflation!$D$125:$BD$125,0))</f>
        <v>#N/A</v>
      </c>
      <c r="AY246" s="90" t="e">
        <f>(AY190+AY212)*INDEX(Inflation!$D$126:$BD$166, MATCH($B246, Inflation!$B$126:$B$166,0), MATCH(AY$234, Inflation!$D$125:$BD$125,0))</f>
        <v>#N/A</v>
      </c>
      <c r="AZ246" s="90" t="e">
        <f>(AZ190+AZ212)*INDEX(Inflation!$D$126:$BD$166, MATCH($B246, Inflation!$B$126:$B$166,0), MATCH(AZ$234, Inflation!$D$125:$BD$125,0))</f>
        <v>#N/A</v>
      </c>
      <c r="BA246" s="90" t="e">
        <f>(BA190+BA212)*INDEX(Inflation!$D$126:$BD$166, MATCH($B246, Inflation!$B$126:$B$166,0), MATCH(BA$234, Inflation!$D$125:$BD$125,0))</f>
        <v>#N/A</v>
      </c>
      <c r="BB246" s="90" t="e">
        <f>(BB190+BB212)*INDEX(Inflation!$D$126:$BD$166, MATCH($B246, Inflation!$B$126:$B$166,0), MATCH(BB$234, Inflation!$D$125:$BD$125,0))</f>
        <v>#N/A</v>
      </c>
    </row>
    <row r="247" spans="2:54" ht="29">
      <c r="B247" s="6" t="s">
        <v>2869</v>
      </c>
      <c r="C247" s="47"/>
      <c r="D247" s="90">
        <f>(D191+D213)*INDEX(Inflation!$D$126:$BD$166, MATCH($B247, Inflation!$B$126:$B$166,0), MATCH(D$234, Inflation!$D$125:$BD$125,0))</f>
        <v>37466.563223176592</v>
      </c>
      <c r="E247" s="90">
        <f>(E191+E213)*INDEX(Inflation!$D$126:$BD$166, MATCH($B247, Inflation!$B$126:$B$166,0), MATCH(E$234, Inflation!$D$125:$BD$125,0))</f>
        <v>39483.38398036491</v>
      </c>
      <c r="F247" s="90">
        <f>(F191+F213)*INDEX(Inflation!$D$126:$BD$166, MATCH($B247, Inflation!$B$126:$B$166,0), MATCH(F$234, Inflation!$D$125:$BD$125,0))</f>
        <v>41371.670628785687</v>
      </c>
      <c r="G247" s="90">
        <f>(G191+G213)*INDEX(Inflation!$D$126:$BD$166, MATCH($B247, Inflation!$B$126:$B$166,0), MATCH(G$234, Inflation!$D$125:$BD$125,0))</f>
        <v>43185.944437831276</v>
      </c>
      <c r="H247" s="90">
        <f>(H191+H213)*INDEX(Inflation!$D$126:$BD$166, MATCH($B247, Inflation!$B$126:$B$166,0), MATCH(H$234, Inflation!$D$125:$BD$125,0))</f>
        <v>12527.33274864431</v>
      </c>
      <c r="I247" s="90">
        <f>(I191+I213)*INDEX(Inflation!$D$126:$BD$166, MATCH($B247, Inflation!$B$126:$B$166,0), MATCH(I$234, Inflation!$D$125:$BD$125,0))</f>
        <v>11336.825563620452</v>
      </c>
      <c r="J247" s="90">
        <f>(J191+J213)*INDEX(Inflation!$D$126:$BD$166, MATCH($B247, Inflation!$B$126:$B$166,0), MATCH(J$234, Inflation!$D$125:$BD$125,0))</f>
        <v>10699.124056860897</v>
      </c>
      <c r="K247" s="90">
        <f>(K191+K213)*INDEX(Inflation!$D$126:$BD$166, MATCH($B247, Inflation!$B$126:$B$166,0), MATCH(K$234, Inflation!$D$125:$BD$125,0))</f>
        <v>10419.7274877606</v>
      </c>
      <c r="L247" s="90">
        <f>(L191+L213)*INDEX(Inflation!$D$126:$BD$166, MATCH($B247, Inflation!$B$126:$B$166,0), MATCH(L$234, Inflation!$D$125:$BD$125,0))</f>
        <v>10391.687603763923</v>
      </c>
      <c r="M247" s="90">
        <f>(M191+M213)*INDEX(Inflation!$D$126:$BD$166, MATCH($B247, Inflation!$B$126:$B$166,0), MATCH(M$234, Inflation!$D$125:$BD$125,0))</f>
        <v>10517.448300370441</v>
      </c>
      <c r="N247" s="90">
        <f>(N191+N213)*INDEX(Inflation!$D$126:$BD$166, MATCH($B247, Inflation!$B$126:$B$166,0), MATCH(N$234, Inflation!$D$125:$BD$125,0))</f>
        <v>10739.635044432662</v>
      </c>
      <c r="O247" s="90">
        <f>(O191+O213)*INDEX(Inflation!$D$126:$BD$166, MATCH($B247, Inflation!$B$126:$B$166,0), MATCH(O$234, Inflation!$D$125:$BD$125,0))</f>
        <v>11031.62327687544</v>
      </c>
      <c r="P247" s="90">
        <f>(P191+P213)*INDEX(Inflation!$D$126:$BD$166, MATCH($B247, Inflation!$B$126:$B$166,0), MATCH(P$234, Inflation!$D$125:$BD$125,0))</f>
        <v>11360.857635929353</v>
      </c>
      <c r="Q247" s="90">
        <f>(Q191+Q213)*INDEX(Inflation!$D$126:$BD$166, MATCH($B247, Inflation!$B$126:$B$166,0), MATCH(Q$234, Inflation!$D$125:$BD$125,0))</f>
        <v>11714.168013996081</v>
      </c>
      <c r="R247" s="90">
        <f>(R191+R213)*INDEX(Inflation!$D$126:$BD$166, MATCH($B247, Inflation!$B$126:$B$166,0), MATCH(R$234, Inflation!$D$125:$BD$125,0))</f>
        <v>12086.991678205048</v>
      </c>
      <c r="S247" s="90">
        <f>(S191+S213)*INDEX(Inflation!$D$126:$BD$166, MATCH($B247, Inflation!$B$126:$B$166,0), MATCH(S$234, Inflation!$D$125:$BD$125,0))</f>
        <v>12475.116495408613</v>
      </c>
      <c r="T247" s="90">
        <f>(T191+T213)*INDEX(Inflation!$D$126:$BD$166, MATCH($B247, Inflation!$B$126:$B$166,0), MATCH(T$234, Inflation!$D$125:$BD$125,0))</f>
        <v>12875.001208347139</v>
      </c>
      <c r="U247" s="90">
        <f>(U191+U213)*INDEX(Inflation!$D$126:$BD$166, MATCH($B247, Inflation!$B$126:$B$166,0), MATCH(U$234, Inflation!$D$125:$BD$125,0))</f>
        <v>13287.503124149847</v>
      </c>
      <c r="V247" s="90">
        <f>(V191+V213)*INDEX(Inflation!$D$126:$BD$166, MATCH($B247, Inflation!$B$126:$B$166,0), MATCH(V$234, Inflation!$D$125:$BD$125,0))</f>
        <v>13719.336396006624</v>
      </c>
      <c r="W247" s="90">
        <f>(W191+W213)*INDEX(Inflation!$D$126:$BD$166, MATCH($B247, Inflation!$B$126:$B$166,0), MATCH(W$234, Inflation!$D$125:$BD$125,0))</f>
        <v>14160.352779494055</v>
      </c>
      <c r="X247" s="90">
        <f>(X191+X213)*INDEX(Inflation!$D$126:$BD$166, MATCH($B247, Inflation!$B$126:$B$166,0), MATCH(X$234, Inflation!$D$125:$BD$125,0))</f>
        <v>14608.780791483199</v>
      </c>
      <c r="Y247" s="90">
        <f>(Y191+Y213)*INDEX(Inflation!$D$126:$BD$166, MATCH($B247, Inflation!$B$126:$B$166,0), MATCH(Y$234, Inflation!$D$125:$BD$125,0))</f>
        <v>15068.875610323917</v>
      </c>
      <c r="Z247" s="90">
        <f>(Z191+Z213)*INDEX(Inflation!$D$126:$BD$166, MATCH($B247, Inflation!$B$126:$B$166,0), MATCH(Z$234, Inflation!$D$125:$BD$125,0))</f>
        <v>15538.499204489155</v>
      </c>
      <c r="AA247" s="90">
        <f>(AA191+AA213)*INDEX(Inflation!$D$126:$BD$166, MATCH($B247, Inflation!$B$126:$B$166,0), MATCH(AA$234, Inflation!$D$125:$BD$125,0))</f>
        <v>16016.16984376037</v>
      </c>
      <c r="AB247" s="90">
        <f>(AB191+AB213)*INDEX(Inflation!$D$126:$BD$166, MATCH($B247, Inflation!$B$126:$B$166,0), MATCH(AB$234, Inflation!$D$125:$BD$125,0))</f>
        <v>16500.942368265947</v>
      </c>
      <c r="AC247" s="90">
        <f>(AC191+AC213)*INDEX(Inflation!$D$126:$BD$166, MATCH($B247, Inflation!$B$126:$B$166,0), MATCH(AC$234, Inflation!$D$125:$BD$125,0))</f>
        <v>16994.197531349986</v>
      </c>
      <c r="AD247" s="90">
        <f>(AD191+AD213)*INDEX(Inflation!$D$126:$BD$166, MATCH($B247, Inflation!$B$126:$B$166,0), MATCH(AD$234, Inflation!$D$125:$BD$125,0))</f>
        <v>17493.829153775063</v>
      </c>
      <c r="AE247" s="90">
        <f>(AE191+AE213)*INDEX(Inflation!$D$126:$BD$166, MATCH($B247, Inflation!$B$126:$B$166,0), MATCH(AE$234, Inflation!$D$125:$BD$125,0))</f>
        <v>17997.929651495739</v>
      </c>
      <c r="AF247" s="90">
        <f>(AF191+AF213)*INDEX(Inflation!$D$126:$BD$166, MATCH($B247, Inflation!$B$126:$B$166,0), MATCH(AF$234, Inflation!$D$125:$BD$125,0))</f>
        <v>18505.157932090693</v>
      </c>
      <c r="AG247" s="90">
        <f>(AG191+AG213)*INDEX(Inflation!$D$126:$BD$166, MATCH($B247, Inflation!$B$126:$B$166,0), MATCH(AG$234, Inflation!$D$125:$BD$125,0))</f>
        <v>19015.891648488159</v>
      </c>
      <c r="AH247" s="90">
        <f>(AH191+AH213)*INDEX(Inflation!$D$126:$BD$166, MATCH($B247, Inflation!$B$126:$B$166,0), MATCH(AH$234, Inflation!$D$125:$BD$125,0))</f>
        <v>19533.939238454495</v>
      </c>
      <c r="AI247" s="90">
        <f>(AI191+AI213)*INDEX(Inflation!$D$126:$BD$166, MATCH($B247, Inflation!$B$126:$B$166,0), MATCH(AI$234, Inflation!$D$125:$BD$125,0))</f>
        <v>20059.771856843079</v>
      </c>
      <c r="AJ247" s="90">
        <f>(AJ191+AJ213)*INDEX(Inflation!$D$126:$BD$166, MATCH($B247, Inflation!$B$126:$B$166,0), MATCH(AJ$234, Inflation!$D$125:$BD$125,0))</f>
        <v>20595.843894269765</v>
      </c>
      <c r="AK247" s="90">
        <f>(AK191+AK213)*INDEX(Inflation!$D$126:$BD$166, MATCH($B247, Inflation!$B$126:$B$166,0), MATCH(AK$234, Inflation!$D$125:$BD$125,0))</f>
        <v>21139.947294023441</v>
      </c>
      <c r="AL247" s="90">
        <f>(AL191+AL213)*INDEX(Inflation!$D$126:$BD$166, MATCH($B247, Inflation!$B$126:$B$166,0), MATCH(AL$234, Inflation!$D$125:$BD$125,0))</f>
        <v>21687.978805677682</v>
      </c>
      <c r="AM247" s="90">
        <f>(AM191+AM213)*INDEX(Inflation!$D$126:$BD$166, MATCH($B247, Inflation!$B$126:$B$166,0), MATCH(AM$234, Inflation!$D$125:$BD$125,0))</f>
        <v>22237.603232153979</v>
      </c>
      <c r="AN247" s="90">
        <f>(AN191+AN213)*INDEX(Inflation!$D$126:$BD$166, MATCH($B247, Inflation!$B$126:$B$166,0), MATCH(AN$234, Inflation!$D$125:$BD$125,0))</f>
        <v>22786.815345324936</v>
      </c>
      <c r="AO247" s="90">
        <f>(AO191+AO213)*INDEX(Inflation!$D$126:$BD$166, MATCH($B247, Inflation!$B$126:$B$166,0), MATCH(AO$234, Inflation!$D$125:$BD$125,0))</f>
        <v>23334.211427734957</v>
      </c>
      <c r="AP247" s="90">
        <f>(AP191+AP213)*INDEX(Inflation!$D$126:$BD$166, MATCH($B247, Inflation!$B$126:$B$166,0), MATCH(AP$234, Inflation!$D$125:$BD$125,0))</f>
        <v>23878.530543497753</v>
      </c>
      <c r="AQ247" s="90">
        <f>(AQ191+AQ213)*INDEX(Inflation!$D$126:$BD$166, MATCH($B247, Inflation!$B$126:$B$166,0), MATCH(AQ$234, Inflation!$D$125:$BD$125,0))</f>
        <v>24427.057108222198</v>
      </c>
      <c r="AR247" s="90">
        <f>(AR191+AR213)*INDEX(Inflation!$D$126:$BD$166, MATCH($B247, Inflation!$B$126:$B$166,0), MATCH(AR$234, Inflation!$D$125:$BD$125,0))</f>
        <v>24986.594640375319</v>
      </c>
      <c r="AS247" s="90">
        <f>(AS191+AS213)*INDEX(Inflation!$D$126:$BD$166, MATCH($B247, Inflation!$B$126:$B$166,0), MATCH(AS$234, Inflation!$D$125:$BD$125,0))</f>
        <v>25562.185743705199</v>
      </c>
      <c r="AT247" s="90">
        <f>(AT191+AT213)*INDEX(Inflation!$D$126:$BD$166, MATCH($B247, Inflation!$B$126:$B$166,0), MATCH(AT$234, Inflation!$D$125:$BD$125,0))</f>
        <v>26123.436010582725</v>
      </c>
      <c r="AU247" s="90" t="e">
        <f>(AU191+AU213)*INDEX(Inflation!$D$126:$BD$166, MATCH($B247, Inflation!$B$126:$B$166,0), MATCH(AU$234, Inflation!$D$125:$BD$125,0))</f>
        <v>#N/A</v>
      </c>
      <c r="AV247" s="90" t="e">
        <f>(AV191+AV213)*INDEX(Inflation!$D$126:$BD$166, MATCH($B247, Inflation!$B$126:$B$166,0), MATCH(AV$234, Inflation!$D$125:$BD$125,0))</f>
        <v>#N/A</v>
      </c>
      <c r="AW247" s="90" t="e">
        <f>(AW191+AW213)*INDEX(Inflation!$D$126:$BD$166, MATCH($B247, Inflation!$B$126:$B$166,0), MATCH(AW$234, Inflation!$D$125:$BD$125,0))</f>
        <v>#N/A</v>
      </c>
      <c r="AX247" s="90" t="e">
        <f>(AX191+AX213)*INDEX(Inflation!$D$126:$BD$166, MATCH($B247, Inflation!$B$126:$B$166,0), MATCH(AX$234, Inflation!$D$125:$BD$125,0))</f>
        <v>#N/A</v>
      </c>
      <c r="AY247" s="90" t="e">
        <f>(AY191+AY213)*INDEX(Inflation!$D$126:$BD$166, MATCH($B247, Inflation!$B$126:$B$166,0), MATCH(AY$234, Inflation!$D$125:$BD$125,0))</f>
        <v>#N/A</v>
      </c>
      <c r="AZ247" s="90" t="e">
        <f>(AZ191+AZ213)*INDEX(Inflation!$D$126:$BD$166, MATCH($B247, Inflation!$B$126:$B$166,0), MATCH(AZ$234, Inflation!$D$125:$BD$125,0))</f>
        <v>#N/A</v>
      </c>
      <c r="BA247" s="90" t="e">
        <f>(BA191+BA213)*INDEX(Inflation!$D$126:$BD$166, MATCH($B247, Inflation!$B$126:$B$166,0), MATCH(BA$234, Inflation!$D$125:$BD$125,0))</f>
        <v>#N/A</v>
      </c>
      <c r="BB247" s="90" t="e">
        <f>(BB191+BB213)*INDEX(Inflation!$D$126:$BD$166, MATCH($B247, Inflation!$B$126:$B$166,0), MATCH(BB$234, Inflation!$D$125:$BD$125,0))</f>
        <v>#N/A</v>
      </c>
    </row>
    <row r="248" spans="2:54" ht="29">
      <c r="B248" s="6" t="s">
        <v>2870</v>
      </c>
      <c r="C248" s="47"/>
      <c r="D248" s="90">
        <f>(D192+D214)*INDEX(Inflation!$D$126:$BD$166, MATCH($B248, Inflation!$B$126:$B$166,0), MATCH(D$234, Inflation!$D$125:$BD$125,0))</f>
        <v>44366.5489669503</v>
      </c>
      <c r="E248" s="90">
        <f>(E192+E214)*INDEX(Inflation!$D$126:$BD$166, MATCH($B248, Inflation!$B$126:$B$166,0), MATCH(E$234, Inflation!$D$125:$BD$125,0))</f>
        <v>46754.795157249551</v>
      </c>
      <c r="F248" s="90">
        <f>(F192+F214)*INDEX(Inflation!$D$126:$BD$166, MATCH($B248, Inflation!$B$126:$B$166,0), MATCH(F$234, Inflation!$D$125:$BD$125,0))</f>
        <v>48990.835905149659</v>
      </c>
      <c r="G248" s="90">
        <f>(G192+G214)*INDEX(Inflation!$D$126:$BD$166, MATCH($B248, Inflation!$B$126:$B$166,0), MATCH(G$234, Inflation!$D$125:$BD$125,0))</f>
        <v>51139.233325777888</v>
      </c>
      <c r="H248" s="90">
        <f>(H192+H214)*INDEX(Inflation!$D$126:$BD$166, MATCH($B248, Inflation!$B$126:$B$166,0), MATCH(H$234, Inflation!$D$125:$BD$125,0))</f>
        <v>25372.934186830233</v>
      </c>
      <c r="I248" s="90">
        <f>(I192+I214)*INDEX(Inflation!$D$126:$BD$166, MATCH($B248, Inflation!$B$126:$B$166,0), MATCH(I$234, Inflation!$D$125:$BD$125,0))</f>
        <v>22961.673860259296</v>
      </c>
      <c r="J248" s="90">
        <f>(J192+J214)*INDEX(Inflation!$D$126:$BD$166, MATCH($B248, Inflation!$B$126:$B$166,0), MATCH(J$234, Inflation!$D$125:$BD$125,0))</f>
        <v>21670.069439230116</v>
      </c>
      <c r="K248" s="90">
        <f>(K192+K214)*INDEX(Inflation!$D$126:$BD$166, MATCH($B248, Inflation!$B$126:$B$166,0), MATCH(K$234, Inflation!$D$125:$BD$125,0))</f>
        <v>21104.177967992935</v>
      </c>
      <c r="L248" s="90">
        <f>(L192+L214)*INDEX(Inflation!$D$126:$BD$166, MATCH($B248, Inflation!$B$126:$B$166,0), MATCH(L$234, Inflation!$D$125:$BD$125,0))</f>
        <v>21047.385820332369</v>
      </c>
      <c r="M248" s="90">
        <f>(M192+M214)*INDEX(Inflation!$D$126:$BD$166, MATCH($B248, Inflation!$B$126:$B$166,0), MATCH(M$234, Inflation!$D$125:$BD$125,0))</f>
        <v>21302.102282512435</v>
      </c>
      <c r="N248" s="90">
        <f>(N192+N214)*INDEX(Inflation!$D$126:$BD$166, MATCH($B248, Inflation!$B$126:$B$166,0), MATCH(N$234, Inflation!$D$125:$BD$125,0))</f>
        <v>21752.120634175266</v>
      </c>
      <c r="O248" s="90">
        <f>(O192+O214)*INDEX(Inflation!$D$126:$BD$166, MATCH($B248, Inflation!$B$126:$B$166,0), MATCH(O$234, Inflation!$D$125:$BD$125,0))</f>
        <v>22343.515335166288</v>
      </c>
      <c r="P248" s="90">
        <f>(P192+P214)*INDEX(Inflation!$D$126:$BD$166, MATCH($B248, Inflation!$B$126:$B$166,0), MATCH(P$234, Inflation!$D$125:$BD$125,0))</f>
        <v>23010.34856231292</v>
      </c>
      <c r="Q248" s="90">
        <f>(Q192+Q214)*INDEX(Inflation!$D$126:$BD$166, MATCH($B248, Inflation!$B$126:$B$166,0), MATCH(Q$234, Inflation!$D$125:$BD$125,0))</f>
        <v>23725.945501428418</v>
      </c>
      <c r="R248" s="90">
        <f>(R192+R214)*INDEX(Inflation!$D$126:$BD$166, MATCH($B248, Inflation!$B$126:$B$166,0), MATCH(R$234, Inflation!$D$125:$BD$125,0))</f>
        <v>24481.064766244843</v>
      </c>
      <c r="S248" s="90">
        <f>(S192+S214)*INDEX(Inflation!$D$126:$BD$166, MATCH($B248, Inflation!$B$126:$B$166,0), MATCH(S$234, Inflation!$D$125:$BD$125,0))</f>
        <v>25267.175077256361</v>
      </c>
      <c r="T248" s="90">
        <f>(T192+T214)*INDEX(Inflation!$D$126:$BD$166, MATCH($B248, Inflation!$B$126:$B$166,0), MATCH(T$234, Inflation!$D$125:$BD$125,0))</f>
        <v>26077.103950967066</v>
      </c>
      <c r="U248" s="90">
        <f>(U192+U214)*INDEX(Inflation!$D$126:$BD$166, MATCH($B248, Inflation!$B$126:$B$166,0), MATCH(U$234, Inflation!$D$125:$BD$125,0))</f>
        <v>26912.587782330625</v>
      </c>
      <c r="V248" s="90">
        <f>(V192+V214)*INDEX(Inflation!$D$126:$BD$166, MATCH($B248, Inflation!$B$126:$B$166,0), MATCH(V$234, Inflation!$D$125:$BD$125,0))</f>
        <v>27787.225457113494</v>
      </c>
      <c r="W248" s="90">
        <f>(W192+W214)*INDEX(Inflation!$D$126:$BD$166, MATCH($B248, Inflation!$B$126:$B$166,0), MATCH(W$234, Inflation!$D$125:$BD$125,0))</f>
        <v>28680.462660759367</v>
      </c>
      <c r="X248" s="90">
        <f>(X192+X214)*INDEX(Inflation!$D$126:$BD$166, MATCH($B248, Inflation!$B$126:$B$166,0), MATCH(X$234, Inflation!$D$125:$BD$125,0))</f>
        <v>29588.711420812706</v>
      </c>
      <c r="Y248" s="90">
        <f>(Y192+Y214)*INDEX(Inflation!$D$126:$BD$166, MATCH($B248, Inflation!$B$126:$B$166,0), MATCH(Y$234, Inflation!$D$125:$BD$125,0))</f>
        <v>30520.590200787676</v>
      </c>
      <c r="Z248" s="90">
        <f>(Z192+Z214)*INDEX(Inflation!$D$126:$BD$166, MATCH($B248, Inflation!$B$126:$B$166,0), MATCH(Z$234, Inflation!$D$125:$BD$125,0))</f>
        <v>31471.76861892514</v>
      </c>
      <c r="AA248" s="90">
        <f>(AA192+AA214)*INDEX(Inflation!$D$126:$BD$166, MATCH($B248, Inflation!$B$126:$B$166,0), MATCH(AA$234, Inflation!$D$125:$BD$125,0))</f>
        <v>32439.245570036011</v>
      </c>
      <c r="AB248" s="90">
        <f>(AB192+AB214)*INDEX(Inflation!$D$126:$BD$166, MATCH($B248, Inflation!$B$126:$B$166,0), MATCH(AB$234, Inflation!$D$125:$BD$125,0))</f>
        <v>33421.106721700118</v>
      </c>
      <c r="AC248" s="90">
        <f>(AC192+AC214)*INDEX(Inflation!$D$126:$BD$166, MATCH($B248, Inflation!$B$126:$B$166,0), MATCH(AC$234, Inflation!$D$125:$BD$125,0))</f>
        <v>34420.148659945109</v>
      </c>
      <c r="AD248" s="90">
        <f>(AD192+AD214)*INDEX(Inflation!$D$126:$BD$166, MATCH($B248, Inflation!$B$126:$B$166,0), MATCH(AD$234, Inflation!$D$125:$BD$125,0))</f>
        <v>35432.105516828524</v>
      </c>
      <c r="AE248" s="90">
        <f>(AE192+AE214)*INDEX(Inflation!$D$126:$BD$166, MATCH($B248, Inflation!$B$126:$B$166,0), MATCH(AE$234, Inflation!$D$125:$BD$125,0))</f>
        <v>36453.113660289804</v>
      </c>
      <c r="AF248" s="90">
        <f>(AF192+AF214)*INDEX(Inflation!$D$126:$BD$166, MATCH($B248, Inflation!$B$126:$B$166,0), MATCH(AF$234, Inflation!$D$125:$BD$125,0))</f>
        <v>37480.456833770026</v>
      </c>
      <c r="AG248" s="90">
        <f>(AG192+AG214)*INDEX(Inflation!$D$126:$BD$166, MATCH($B248, Inflation!$B$126:$B$166,0), MATCH(AG$234, Inflation!$D$125:$BD$125,0))</f>
        <v>38514.899937754031</v>
      </c>
      <c r="AH248" s="90">
        <f>(AH192+AH214)*INDEX(Inflation!$D$126:$BD$166, MATCH($B248, Inflation!$B$126:$B$166,0), MATCH(AH$234, Inflation!$D$125:$BD$125,0))</f>
        <v>39564.156604723648</v>
      </c>
      <c r="AI248" s="90">
        <f>(AI192+AI214)*INDEX(Inflation!$D$126:$BD$166, MATCH($B248, Inflation!$B$126:$B$166,0), MATCH(AI$234, Inflation!$D$125:$BD$125,0))</f>
        <v>40629.181114518527</v>
      </c>
      <c r="AJ248" s="90">
        <f>(AJ192+AJ214)*INDEX(Inflation!$D$126:$BD$166, MATCH($B248, Inflation!$B$126:$B$166,0), MATCH(AJ$234, Inflation!$D$125:$BD$125,0))</f>
        <v>41714.944604476048</v>
      </c>
      <c r="AK248" s="90">
        <f>(AK192+AK214)*INDEX(Inflation!$D$126:$BD$166, MATCH($B248, Inflation!$B$126:$B$166,0), MATCH(AK$234, Inflation!$D$125:$BD$125,0))</f>
        <v>42816.974863413212</v>
      </c>
      <c r="AL248" s="90">
        <f>(AL192+AL214)*INDEX(Inflation!$D$126:$BD$166, MATCH($B248, Inflation!$B$126:$B$166,0), MATCH(AL$234, Inflation!$D$125:$BD$125,0))</f>
        <v>43926.961143534732</v>
      </c>
      <c r="AM248" s="90">
        <f>(AM192+AM214)*INDEX(Inflation!$D$126:$BD$166, MATCH($B248, Inflation!$B$126:$B$166,0), MATCH(AM$234, Inflation!$D$125:$BD$125,0))</f>
        <v>45040.173722801985</v>
      </c>
      <c r="AN248" s="90">
        <f>(AN192+AN214)*INDEX(Inflation!$D$126:$BD$166, MATCH($B248, Inflation!$B$126:$B$166,0), MATCH(AN$234, Inflation!$D$125:$BD$125,0))</f>
        <v>46152.551200250615</v>
      </c>
      <c r="AO248" s="90">
        <f>(AO192+AO214)*INDEX(Inflation!$D$126:$BD$166, MATCH($B248, Inflation!$B$126:$B$166,0), MATCH(AO$234, Inflation!$D$125:$BD$125,0))</f>
        <v>47261.250478205155</v>
      </c>
      <c r="AP248" s="90">
        <f>(AP192+AP214)*INDEX(Inflation!$D$126:$BD$166, MATCH($B248, Inflation!$B$126:$B$166,0), MATCH(AP$234, Inflation!$D$125:$BD$125,0))</f>
        <v>48363.717649628983</v>
      </c>
      <c r="AQ248" s="90">
        <f>(AQ192+AQ214)*INDEX(Inflation!$D$126:$BD$166, MATCH($B248, Inflation!$B$126:$B$166,0), MATCH(AQ$234, Inflation!$D$125:$BD$125,0))</f>
        <v>49474.706613180519</v>
      </c>
      <c r="AR248" s="90">
        <f>(AR192+AR214)*INDEX(Inflation!$D$126:$BD$166, MATCH($B248, Inflation!$B$126:$B$166,0), MATCH(AR$234, Inflation!$D$125:$BD$125,0))</f>
        <v>50607.997255589515</v>
      </c>
      <c r="AS248" s="90">
        <f>(AS192+AS214)*INDEX(Inflation!$D$126:$BD$166, MATCH($B248, Inflation!$B$126:$B$166,0), MATCH(AS$234, Inflation!$D$125:$BD$125,0))</f>
        <v>51773.802896450659</v>
      </c>
      <c r="AT248" s="90">
        <f>(AT192+AT214)*INDEX(Inflation!$D$126:$BD$166, MATCH($B248, Inflation!$B$126:$B$166,0), MATCH(AT$234, Inflation!$D$125:$BD$125,0))</f>
        <v>52910.562521947606</v>
      </c>
      <c r="AU248" s="90" t="e">
        <f>(AU192+AU214)*INDEX(Inflation!$D$126:$BD$166, MATCH($B248, Inflation!$B$126:$B$166,0), MATCH(AU$234, Inflation!$D$125:$BD$125,0))</f>
        <v>#N/A</v>
      </c>
      <c r="AV248" s="90" t="e">
        <f>(AV192+AV214)*INDEX(Inflation!$D$126:$BD$166, MATCH($B248, Inflation!$B$126:$B$166,0), MATCH(AV$234, Inflation!$D$125:$BD$125,0))</f>
        <v>#N/A</v>
      </c>
      <c r="AW248" s="90" t="e">
        <f>(AW192+AW214)*INDEX(Inflation!$D$126:$BD$166, MATCH($B248, Inflation!$B$126:$B$166,0), MATCH(AW$234, Inflation!$D$125:$BD$125,0))</f>
        <v>#N/A</v>
      </c>
      <c r="AX248" s="90" t="e">
        <f>(AX192+AX214)*INDEX(Inflation!$D$126:$BD$166, MATCH($B248, Inflation!$B$126:$B$166,0), MATCH(AX$234, Inflation!$D$125:$BD$125,0))</f>
        <v>#N/A</v>
      </c>
      <c r="AY248" s="90" t="e">
        <f>(AY192+AY214)*INDEX(Inflation!$D$126:$BD$166, MATCH($B248, Inflation!$B$126:$B$166,0), MATCH(AY$234, Inflation!$D$125:$BD$125,0))</f>
        <v>#N/A</v>
      </c>
      <c r="AZ248" s="90" t="e">
        <f>(AZ192+AZ214)*INDEX(Inflation!$D$126:$BD$166, MATCH($B248, Inflation!$B$126:$B$166,0), MATCH(AZ$234, Inflation!$D$125:$BD$125,0))</f>
        <v>#N/A</v>
      </c>
      <c r="BA248" s="90" t="e">
        <f>(BA192+BA214)*INDEX(Inflation!$D$126:$BD$166, MATCH($B248, Inflation!$B$126:$B$166,0), MATCH(BA$234, Inflation!$D$125:$BD$125,0))</f>
        <v>#N/A</v>
      </c>
      <c r="BB248" s="90" t="e">
        <f>(BB192+BB214)*INDEX(Inflation!$D$126:$BD$166, MATCH($B248, Inflation!$B$126:$B$166,0), MATCH(BB$234, Inflation!$D$125:$BD$125,0))</f>
        <v>#N/A</v>
      </c>
    </row>
    <row r="249" spans="2:54">
      <c r="B249" s="6" t="s">
        <v>102</v>
      </c>
      <c r="C249" s="47"/>
      <c r="D249" s="90">
        <f>(D193+D215)*INDEX(Inflation!$D$126:$BD$166, MATCH($B249, Inflation!$B$126:$B$166,0), MATCH(D$234, Inflation!$D$125:$BD$125,0))</f>
        <v>2662.7865751745026</v>
      </c>
      <c r="E249" s="90">
        <f>(E193+E215)*INDEX(Inflation!$D$126:$BD$166, MATCH($B249, Inflation!$B$126:$B$166,0), MATCH(E$234, Inflation!$D$125:$BD$125,0))</f>
        <v>3281.6128096704515</v>
      </c>
      <c r="F249" s="90">
        <f>(F193+F215)*INDEX(Inflation!$D$126:$BD$166, MATCH($B249, Inflation!$B$126:$B$166,0), MATCH(F$234, Inflation!$D$125:$BD$125,0))</f>
        <v>3925.9337849064436</v>
      </c>
      <c r="G249" s="90">
        <f>(G193+G215)*INDEX(Inflation!$D$126:$BD$166, MATCH($B249, Inflation!$B$126:$B$166,0), MATCH(G$234, Inflation!$D$125:$BD$125,0))</f>
        <v>4598.6511203077043</v>
      </c>
      <c r="H249" s="90">
        <f>(H193+H215)*INDEX(Inflation!$D$126:$BD$166, MATCH($B249, Inflation!$B$126:$B$166,0), MATCH(H$234, Inflation!$D$125:$BD$125,0))</f>
        <v>26196.732801883649</v>
      </c>
      <c r="I249" s="90">
        <f>(I193+I215)*INDEX(Inflation!$D$126:$BD$166, MATCH($B249, Inflation!$B$126:$B$166,0), MATCH(I$234, Inflation!$D$125:$BD$125,0))</f>
        <v>33612.293732345453</v>
      </c>
      <c r="J249" s="90">
        <f>(J193+J215)*INDEX(Inflation!$D$126:$BD$166, MATCH($B249, Inflation!$B$126:$B$166,0), MATCH(J$234, Inflation!$D$125:$BD$125,0))</f>
        <v>41356.818430344661</v>
      </c>
      <c r="K249" s="90">
        <f>(K193+K215)*INDEX(Inflation!$D$126:$BD$166, MATCH($B249, Inflation!$B$126:$B$166,0), MATCH(K$234, Inflation!$D$125:$BD$125,0))</f>
        <v>49468.824079446829</v>
      </c>
      <c r="L249" s="90">
        <f>(L193+L215)*INDEX(Inflation!$D$126:$BD$166, MATCH($B249, Inflation!$B$126:$B$166,0), MATCH(L$234, Inflation!$D$125:$BD$125,0))</f>
        <v>58012.972490384243</v>
      </c>
      <c r="M249" s="90">
        <f>(M193+M215)*INDEX(Inflation!$D$126:$BD$166, MATCH($B249, Inflation!$B$126:$B$166,0), MATCH(M$234, Inflation!$D$125:$BD$125,0))</f>
        <v>66994.611769915704</v>
      </c>
      <c r="N249" s="90">
        <f>(N193+N215)*INDEX(Inflation!$D$126:$BD$166, MATCH($B249, Inflation!$B$126:$B$166,0), MATCH(N$234, Inflation!$D$125:$BD$125,0))</f>
        <v>76424.760733610223</v>
      </c>
      <c r="O249" s="90">
        <f>(O193+O215)*INDEX(Inflation!$D$126:$BD$166, MATCH($B249, Inflation!$B$126:$B$166,0), MATCH(O$234, Inflation!$D$125:$BD$125,0))</f>
        <v>85757.651123995878</v>
      </c>
      <c r="P249" s="90">
        <f>(P193+P215)*INDEX(Inflation!$D$126:$BD$166, MATCH($B249, Inflation!$B$126:$B$166,0), MATCH(P$234, Inflation!$D$125:$BD$125,0))</f>
        <v>95523.196852109249</v>
      </c>
      <c r="Q249" s="90">
        <f>(Q193+Q215)*INDEX(Inflation!$D$126:$BD$166, MATCH($B249, Inflation!$B$126:$B$166,0), MATCH(Q$234, Inflation!$D$125:$BD$125,0))</f>
        <v>105733.63583113467</v>
      </c>
      <c r="R249" s="90">
        <f>(R193+R215)*INDEX(Inflation!$D$126:$BD$166, MATCH($B249, Inflation!$B$126:$B$166,0), MATCH(R$234, Inflation!$D$125:$BD$125,0))</f>
        <v>116407.47575632305</v>
      </c>
      <c r="S249" s="90">
        <f>(S193+S215)*INDEX(Inflation!$D$126:$BD$166, MATCH($B249, Inflation!$B$126:$B$166,0), MATCH(S$234, Inflation!$D$125:$BD$125,0))</f>
        <v>116582.67375199407</v>
      </c>
      <c r="T249" s="90">
        <f>(T193+T215)*INDEX(Inflation!$D$126:$BD$166, MATCH($B249, Inflation!$B$126:$B$166,0), MATCH(T$234, Inflation!$D$125:$BD$125,0))</f>
        <v>118177.77013884491</v>
      </c>
      <c r="U249" s="90">
        <f>(U193+U215)*INDEX(Inflation!$D$126:$BD$166, MATCH($B249, Inflation!$B$126:$B$166,0), MATCH(U$234, Inflation!$D$125:$BD$125,0))</f>
        <v>120715.21762900616</v>
      </c>
      <c r="V249" s="90">
        <f>(V193+V215)*INDEX(Inflation!$D$126:$BD$166, MATCH($B249, Inflation!$B$126:$B$166,0), MATCH(V$234, Inflation!$D$125:$BD$125,0))</f>
        <v>123901.42315187662</v>
      </c>
      <c r="W249" s="90">
        <f>(W193+W215)*INDEX(Inflation!$D$126:$BD$166, MATCH($B249, Inflation!$B$126:$B$166,0), MATCH(W$234, Inflation!$D$125:$BD$125,0))</f>
        <v>127509.32226532383</v>
      </c>
      <c r="X249" s="90">
        <f>(X193+X215)*INDEX(Inflation!$D$126:$BD$166, MATCH($B249, Inflation!$B$126:$B$166,0), MATCH(X$234, Inflation!$D$125:$BD$125,0))</f>
        <v>131407.03838106082</v>
      </c>
      <c r="Y249" s="90">
        <f>(Y193+Y215)*INDEX(Inflation!$D$126:$BD$166, MATCH($B249, Inflation!$B$126:$B$166,0), MATCH(Y$234, Inflation!$D$125:$BD$125,0))</f>
        <v>135523.90839902745</v>
      </c>
      <c r="Z249" s="90">
        <f>(Z193+Z215)*INDEX(Inflation!$D$126:$BD$166, MATCH($B249, Inflation!$B$126:$B$166,0), MATCH(Z$234, Inflation!$D$125:$BD$125,0))</f>
        <v>139803.55474613653</v>
      </c>
      <c r="AA249" s="90">
        <f>(AA193+AA215)*INDEX(Inflation!$D$126:$BD$166, MATCH($B249, Inflation!$B$126:$B$166,0), MATCH(AA$234, Inflation!$D$125:$BD$125,0))</f>
        <v>144218.53753868127</v>
      </c>
      <c r="AB249" s="90">
        <f>(AB193+AB215)*INDEX(Inflation!$D$126:$BD$166, MATCH($B249, Inflation!$B$126:$B$166,0), MATCH(AB$234, Inflation!$D$125:$BD$125,0))</f>
        <v>148753.10340655621</v>
      </c>
      <c r="AC249" s="90">
        <f>(AC193+AC215)*INDEX(Inflation!$D$126:$BD$166, MATCH($B249, Inflation!$B$126:$B$166,0), MATCH(AC$234, Inflation!$D$125:$BD$125,0))</f>
        <v>153399.2269480321</v>
      </c>
      <c r="AD249" s="90">
        <f>(AD193+AD215)*INDEX(Inflation!$D$126:$BD$166, MATCH($B249, Inflation!$B$126:$B$166,0), MATCH(AD$234, Inflation!$D$125:$BD$125,0))</f>
        <v>158146.96234957664</v>
      </c>
      <c r="AE249" s="90">
        <f>(AE193+AE215)*INDEX(Inflation!$D$126:$BD$166, MATCH($B249, Inflation!$B$126:$B$166,0), MATCH(AE$234, Inflation!$D$125:$BD$125,0))</f>
        <v>162988.30665841413</v>
      </c>
      <c r="AF249" s="90">
        <f>(AF193+AF215)*INDEX(Inflation!$D$126:$BD$166, MATCH($B249, Inflation!$B$126:$B$166,0), MATCH(AF$234, Inflation!$D$125:$BD$125,0))</f>
        <v>167913.9938304289</v>
      </c>
      <c r="AG249" s="90">
        <f>(AG193+AG215)*INDEX(Inflation!$D$126:$BD$166, MATCH($B249, Inflation!$B$126:$B$166,0), MATCH(AG$234, Inflation!$D$125:$BD$125,0))</f>
        <v>172910.6485166956</v>
      </c>
      <c r="AH249" s="90">
        <f>(AH193+AH215)*INDEX(Inflation!$D$126:$BD$166, MATCH($B249, Inflation!$B$126:$B$166,0), MATCH(AH$234, Inflation!$D$125:$BD$125,0))</f>
        <v>177980.96710324878</v>
      </c>
      <c r="AI249" s="90">
        <f>(AI193+AI215)*INDEX(Inflation!$D$126:$BD$166, MATCH($B249, Inflation!$B$126:$B$166,0), MATCH(AI$234, Inflation!$D$125:$BD$125,0))</f>
        <v>183125.72839620133</v>
      </c>
      <c r="AJ249" s="90">
        <f>(AJ193+AJ215)*INDEX(Inflation!$D$126:$BD$166, MATCH($B249, Inflation!$B$126:$B$166,0), MATCH(AJ$234, Inflation!$D$125:$BD$125,0))</f>
        <v>188345.92330553968</v>
      </c>
      <c r="AK249" s="90">
        <f>(AK193+AK215)*INDEX(Inflation!$D$126:$BD$166, MATCH($B249, Inflation!$B$126:$B$166,0), MATCH(AK$234, Inflation!$D$125:$BD$125,0))</f>
        <v>193637.39062802555</v>
      </c>
      <c r="AL249" s="90">
        <f>(AL193+AL215)*INDEX(Inflation!$D$126:$BD$166, MATCH($B249, Inflation!$B$126:$B$166,0), MATCH(AL$234, Inflation!$D$125:$BD$125,0))</f>
        <v>198992.00267244966</v>
      </c>
      <c r="AM249" s="90">
        <f>(AM193+AM215)*INDEX(Inflation!$D$126:$BD$166, MATCH($B249, Inflation!$B$126:$B$166,0), MATCH(AM$234, Inflation!$D$125:$BD$125,0))</f>
        <v>204402.74176322852</v>
      </c>
      <c r="AN249" s="90">
        <f>(AN193+AN215)*INDEX(Inflation!$D$126:$BD$166, MATCH($B249, Inflation!$B$126:$B$166,0), MATCH(AN$234, Inflation!$D$125:$BD$125,0))</f>
        <v>209860.08926069507</v>
      </c>
      <c r="AO249" s="90">
        <f>(AO193+AO215)*INDEX(Inflation!$D$126:$BD$166, MATCH($B249, Inflation!$B$126:$B$166,0), MATCH(AO$234, Inflation!$D$125:$BD$125,0))</f>
        <v>215355.99004949589</v>
      </c>
      <c r="AP249" s="90">
        <f>(AP193+AP215)*INDEX(Inflation!$D$126:$BD$166, MATCH($B249, Inflation!$B$126:$B$166,0), MATCH(AP$234, Inflation!$D$125:$BD$125,0))</f>
        <v>220883.25534673015</v>
      </c>
      <c r="AQ249" s="90">
        <f>(AQ193+AQ215)*INDEX(Inflation!$D$126:$BD$166, MATCH($B249, Inflation!$B$126:$B$166,0), MATCH(AQ$234, Inflation!$D$125:$BD$125,0))</f>
        <v>226451.31478735557</v>
      </c>
      <c r="AR249" s="90">
        <f>(AR193+AR215)*INDEX(Inflation!$D$126:$BD$166, MATCH($B249, Inflation!$B$126:$B$166,0), MATCH(AR$234, Inflation!$D$125:$BD$125,0))</f>
        <v>232073.8545065957</v>
      </c>
      <c r="AS249" s="90">
        <f>(AS193+AS215)*INDEX(Inflation!$D$126:$BD$166, MATCH($B249, Inflation!$B$126:$B$166,0), MATCH(AS$234, Inflation!$D$125:$BD$125,0))</f>
        <v>237762.88805692221</v>
      </c>
      <c r="AT249" s="90">
        <f>(AT193+AT215)*INDEX(Inflation!$D$126:$BD$166, MATCH($B249, Inflation!$B$126:$B$166,0), MATCH(AT$234, Inflation!$D$125:$BD$125,0))</f>
        <v>243465.7788018896</v>
      </c>
      <c r="AU249" s="90" t="e">
        <f>(AU193+AU215)*INDEX(Inflation!$D$126:$BD$166, MATCH($B249, Inflation!$B$126:$B$166,0), MATCH(AU$234, Inflation!$D$125:$BD$125,0))</f>
        <v>#N/A</v>
      </c>
      <c r="AV249" s="90" t="e">
        <f>(AV193+AV215)*INDEX(Inflation!$D$126:$BD$166, MATCH($B249, Inflation!$B$126:$B$166,0), MATCH(AV$234, Inflation!$D$125:$BD$125,0))</f>
        <v>#N/A</v>
      </c>
      <c r="AW249" s="90" t="e">
        <f>(AW193+AW215)*INDEX(Inflation!$D$126:$BD$166, MATCH($B249, Inflation!$B$126:$B$166,0), MATCH(AW$234, Inflation!$D$125:$BD$125,0))</f>
        <v>#N/A</v>
      </c>
      <c r="AX249" s="90" t="e">
        <f>(AX193+AX215)*INDEX(Inflation!$D$126:$BD$166, MATCH($B249, Inflation!$B$126:$B$166,0), MATCH(AX$234, Inflation!$D$125:$BD$125,0))</f>
        <v>#N/A</v>
      </c>
      <c r="AY249" s="90" t="e">
        <f>(AY193+AY215)*INDEX(Inflation!$D$126:$BD$166, MATCH($B249, Inflation!$B$126:$B$166,0), MATCH(AY$234, Inflation!$D$125:$BD$125,0))</f>
        <v>#N/A</v>
      </c>
      <c r="AZ249" s="90" t="e">
        <f>(AZ193+AZ215)*INDEX(Inflation!$D$126:$BD$166, MATCH($B249, Inflation!$B$126:$B$166,0), MATCH(AZ$234, Inflation!$D$125:$BD$125,0))</f>
        <v>#N/A</v>
      </c>
      <c r="BA249" s="90" t="e">
        <f>(BA193+BA215)*INDEX(Inflation!$D$126:$BD$166, MATCH($B249, Inflation!$B$126:$B$166,0), MATCH(BA$234, Inflation!$D$125:$BD$125,0))</f>
        <v>#N/A</v>
      </c>
      <c r="BB249" s="90" t="e">
        <f>(BB193+BB215)*INDEX(Inflation!$D$126:$BD$166, MATCH($B249, Inflation!$B$126:$B$166,0), MATCH(BB$234, Inflation!$D$125:$BD$125,0))</f>
        <v>#N/A</v>
      </c>
    </row>
    <row r="250" spans="2:54">
      <c r="B250" s="6" t="s">
        <v>2831</v>
      </c>
      <c r="C250" s="47"/>
      <c r="D250" s="90">
        <f>(D194+D216)*INDEX(Inflation!$D$126:$BD$166, MATCH($B250, Inflation!$B$126:$B$166,0), MATCH(D$234, Inflation!$D$125:$BD$125,0))</f>
        <v>182075.44756446945</v>
      </c>
      <c r="E250" s="90">
        <f>(E194+E216)*INDEX(Inflation!$D$126:$BD$166, MATCH($B250, Inflation!$B$126:$B$166,0), MATCH(E$234, Inflation!$D$125:$BD$125,0))</f>
        <v>192826.62756274123</v>
      </c>
      <c r="F250" s="90">
        <f>(F194+F216)*INDEX(Inflation!$D$126:$BD$166, MATCH($B250, Inflation!$B$126:$B$166,0), MATCH(F$234, Inflation!$D$125:$BD$125,0))</f>
        <v>203043.3046608631</v>
      </c>
      <c r="G250" s="90">
        <f>(G194+G216)*INDEX(Inflation!$D$126:$BD$166, MATCH($B250, Inflation!$B$126:$B$166,0), MATCH(G$234, Inflation!$D$125:$BD$125,0))</f>
        <v>212986.50745936306</v>
      </c>
      <c r="H250" s="90">
        <f>(H194+H216)*INDEX(Inflation!$D$126:$BD$166, MATCH($B250, Inflation!$B$126:$B$166,0), MATCH(H$234, Inflation!$D$125:$BD$125,0))</f>
        <v>213424.3056653385</v>
      </c>
      <c r="I250" s="90">
        <f>(I194+I216)*INDEX(Inflation!$D$126:$BD$166, MATCH($B250, Inflation!$B$126:$B$166,0), MATCH(I$234, Inflation!$D$125:$BD$125,0))</f>
        <v>201301.02167040083</v>
      </c>
      <c r="J250" s="90">
        <f>(J194+J216)*INDEX(Inflation!$D$126:$BD$166, MATCH($B250, Inflation!$B$126:$B$166,0), MATCH(J$234, Inflation!$D$125:$BD$125,0))</f>
        <v>197949.27447258375</v>
      </c>
      <c r="K250" s="90">
        <f>(K194+K216)*INDEX(Inflation!$D$126:$BD$166, MATCH($B250, Inflation!$B$126:$B$166,0), MATCH(K$234, Inflation!$D$125:$BD$125,0))</f>
        <v>200453.73613344482</v>
      </c>
      <c r="L250" s="90">
        <f>(L194+L216)*INDEX(Inflation!$D$126:$BD$166, MATCH($B250, Inflation!$B$126:$B$166,0), MATCH(L$234, Inflation!$D$125:$BD$125,0))</f>
        <v>207249.64916404409</v>
      </c>
      <c r="M250" s="90">
        <f>(M194+M216)*INDEX(Inflation!$D$126:$BD$166, MATCH($B250, Inflation!$B$126:$B$166,0), MATCH(M$234, Inflation!$D$125:$BD$125,0))</f>
        <v>216851.25855729159</v>
      </c>
      <c r="N250" s="90">
        <f>(N194+N216)*INDEX(Inflation!$D$126:$BD$166, MATCH($B250, Inflation!$B$126:$B$166,0), MATCH(N$234, Inflation!$D$125:$BD$125,0))</f>
        <v>228390.36011609671</v>
      </c>
      <c r="O250" s="90">
        <f>(O194+O216)*INDEX(Inflation!$D$126:$BD$166, MATCH($B250, Inflation!$B$126:$B$166,0), MATCH(O$234, Inflation!$D$125:$BD$125,0))</f>
        <v>241046.29838883891</v>
      </c>
      <c r="P250" s="90">
        <f>(P194+P216)*INDEX(Inflation!$D$126:$BD$166, MATCH($B250, Inflation!$B$126:$B$166,0), MATCH(P$234, Inflation!$D$125:$BD$125,0))</f>
        <v>254720.64723124815</v>
      </c>
      <c r="Q250" s="90">
        <f>(Q194+Q216)*INDEX(Inflation!$D$126:$BD$166, MATCH($B250, Inflation!$B$126:$B$166,0), MATCH(Q$234, Inflation!$D$125:$BD$125,0))</f>
        <v>269223.04191375466</v>
      </c>
      <c r="R250" s="90">
        <f>(R194+R216)*INDEX(Inflation!$D$126:$BD$166, MATCH($B250, Inflation!$B$126:$B$166,0), MATCH(R$234, Inflation!$D$125:$BD$125,0))</f>
        <v>284503.28894715384</v>
      </c>
      <c r="S250" s="90">
        <f>(S194+S216)*INDEX(Inflation!$D$126:$BD$166, MATCH($B250, Inflation!$B$126:$B$166,0), MATCH(S$234, Inflation!$D$125:$BD$125,0))</f>
        <v>291956.8729036951</v>
      </c>
      <c r="T250" s="90">
        <f>(T194+T216)*INDEX(Inflation!$D$126:$BD$166, MATCH($B250, Inflation!$B$126:$B$166,0), MATCH(T$234, Inflation!$D$125:$BD$125,0))</f>
        <v>300763.26722357713</v>
      </c>
      <c r="U250" s="90">
        <f>(U194+U216)*INDEX(Inflation!$D$126:$BD$166, MATCH($B250, Inflation!$B$126:$B$166,0), MATCH(U$234, Inflation!$D$125:$BD$125,0))</f>
        <v>310576.21042106446</v>
      </c>
      <c r="V250" s="90">
        <f>(V194+V216)*INDEX(Inflation!$D$126:$BD$166, MATCH($B250, Inflation!$B$126:$B$166,0), MATCH(V$234, Inflation!$D$125:$BD$125,0))</f>
        <v>321284.62882023503</v>
      </c>
      <c r="W250" s="90">
        <f>(W194+W216)*INDEX(Inflation!$D$126:$BD$166, MATCH($B250, Inflation!$B$126:$B$166,0), MATCH(W$234, Inflation!$D$125:$BD$125,0))</f>
        <v>332552.46863172879</v>
      </c>
      <c r="X250" s="90">
        <f>(X194+X216)*INDEX(Inflation!$D$126:$BD$166, MATCH($B250, Inflation!$B$126:$B$166,0), MATCH(X$234, Inflation!$D$125:$BD$125,0))</f>
        <v>344251.74063659232</v>
      </c>
      <c r="Y250" s="90">
        <f>(Y194+Y216)*INDEX(Inflation!$D$126:$BD$166, MATCH($B250, Inflation!$B$126:$B$166,0), MATCH(Y$234, Inflation!$D$125:$BD$125,0))</f>
        <v>356400.63028311438</v>
      </c>
      <c r="Z250" s="90">
        <f>(Z194+Z216)*INDEX(Inflation!$D$126:$BD$166, MATCH($B250, Inflation!$B$126:$B$166,0), MATCH(Z$234, Inflation!$D$125:$BD$125,0))</f>
        <v>368923.21933449939</v>
      </c>
      <c r="AA250" s="90">
        <f>(AA194+AA216)*INDEX(Inflation!$D$126:$BD$166, MATCH($B250, Inflation!$B$126:$B$166,0), MATCH(AA$234, Inflation!$D$125:$BD$125,0))</f>
        <v>381776.55865867919</v>
      </c>
      <c r="AB250" s="90">
        <f>(AB194+AB216)*INDEX(Inflation!$D$126:$BD$166, MATCH($B250, Inflation!$B$126:$B$166,0), MATCH(AB$234, Inflation!$D$125:$BD$125,0))</f>
        <v>394935.39297665743</v>
      </c>
      <c r="AC250" s="90">
        <f>(AC194+AC216)*INDEX(Inflation!$D$126:$BD$166, MATCH($B250, Inflation!$B$126:$B$166,0), MATCH(AC$234, Inflation!$D$125:$BD$125,0))</f>
        <v>408419.22995173576</v>
      </c>
      <c r="AD250" s="90">
        <f>(AD194+AD216)*INDEX(Inflation!$D$126:$BD$166, MATCH($B250, Inflation!$B$126:$B$166,0), MATCH(AD$234, Inflation!$D$125:$BD$125,0))</f>
        <v>422187.73201532761</v>
      </c>
      <c r="AE250" s="90">
        <f>(AE194+AE216)*INDEX(Inflation!$D$126:$BD$166, MATCH($B250, Inflation!$B$126:$B$166,0), MATCH(AE$234, Inflation!$D$125:$BD$125,0))</f>
        <v>436204.86636205332</v>
      </c>
      <c r="AF250" s="90">
        <f>(AF194+AF216)*INDEX(Inflation!$D$126:$BD$166, MATCH($B250, Inflation!$B$126:$B$166,0), MATCH(AF$234, Inflation!$D$125:$BD$125,0))</f>
        <v>450442.59210980148</v>
      </c>
      <c r="AG250" s="90">
        <f>(AG194+AG216)*INDEX(Inflation!$D$126:$BD$166, MATCH($B250, Inflation!$B$126:$B$166,0), MATCH(AG$234, Inflation!$D$125:$BD$125,0))</f>
        <v>464898.24354251032</v>
      </c>
      <c r="AH250" s="90">
        <f>(AH194+AH216)*INDEX(Inflation!$D$126:$BD$166, MATCH($B250, Inflation!$B$126:$B$166,0), MATCH(AH$234, Inflation!$D$125:$BD$125,0))</f>
        <v>479640.82176355581</v>
      </c>
      <c r="AI250" s="90">
        <f>(AI194+AI216)*INDEX(Inflation!$D$126:$BD$166, MATCH($B250, Inflation!$B$126:$B$166,0), MATCH(AI$234, Inflation!$D$125:$BD$125,0))</f>
        <v>494681.66177175113</v>
      </c>
      <c r="AJ250" s="90">
        <f>(AJ194+AJ216)*INDEX(Inflation!$D$126:$BD$166, MATCH($B250, Inflation!$B$126:$B$166,0), MATCH(AJ$234, Inflation!$D$125:$BD$125,0))</f>
        <v>510066.47809591028</v>
      </c>
      <c r="AK250" s="90">
        <f>(AK194+AK216)*INDEX(Inflation!$D$126:$BD$166, MATCH($B250, Inflation!$B$126:$B$166,0), MATCH(AK$234, Inflation!$D$125:$BD$125,0))</f>
        <v>525756.99069166684</v>
      </c>
      <c r="AL250" s="90">
        <f>(AL194+AL216)*INDEX(Inflation!$D$126:$BD$166, MATCH($B250, Inflation!$B$126:$B$166,0), MATCH(AL$234, Inflation!$D$125:$BD$125,0))</f>
        <v>541678.21774797188</v>
      </c>
      <c r="AM250" s="90">
        <f>(AM194+AM216)*INDEX(Inflation!$D$126:$BD$166, MATCH($B250, Inflation!$B$126:$B$166,0), MATCH(AM$234, Inflation!$D$125:$BD$125,0))</f>
        <v>557785.66992174671</v>
      </c>
      <c r="AN250" s="90">
        <f>(AN194+AN216)*INDEX(Inflation!$D$126:$BD$166, MATCH($B250, Inflation!$B$126:$B$166,0), MATCH(AN$234, Inflation!$D$125:$BD$125,0))</f>
        <v>574037.82128046418</v>
      </c>
      <c r="AO250" s="90">
        <f>(AO194+AO216)*INDEX(Inflation!$D$126:$BD$166, MATCH($B250, Inflation!$B$126:$B$166,0), MATCH(AO$234, Inflation!$D$125:$BD$125,0))</f>
        <v>590404.27520926087</v>
      </c>
      <c r="AP250" s="90">
        <f>(AP194+AP216)*INDEX(Inflation!$D$126:$BD$166, MATCH($B250, Inflation!$B$126:$B$166,0), MATCH(AP$234, Inflation!$D$125:$BD$125,0))</f>
        <v>606857.41565526463</v>
      </c>
      <c r="AQ250" s="90">
        <f>(AQ194+AQ216)*INDEX(Inflation!$D$126:$BD$166, MATCH($B250, Inflation!$B$126:$B$166,0), MATCH(AQ$234, Inflation!$D$125:$BD$125,0))</f>
        <v>623533.98359050602</v>
      </c>
      <c r="AR250" s="90">
        <f>(AR194+AR216)*INDEX(Inflation!$D$126:$BD$166, MATCH($B250, Inflation!$B$126:$B$166,0), MATCH(AR$234, Inflation!$D$125:$BD$125,0))</f>
        <v>640567.88981202652</v>
      </c>
      <c r="AS250" s="90">
        <f>(AS194+AS216)*INDEX(Inflation!$D$126:$BD$166, MATCH($B250, Inflation!$B$126:$B$166,0), MATCH(AS$234, Inflation!$D$125:$BD$125,0))</f>
        <v>658062.32317560853</v>
      </c>
      <c r="AT250" s="90">
        <f>(AT194+AT216)*INDEX(Inflation!$D$126:$BD$166, MATCH($B250, Inflation!$B$126:$B$166,0), MATCH(AT$234, Inflation!$D$125:$BD$125,0))</f>
        <v>675434.67638368823</v>
      </c>
      <c r="AU250" s="90" t="e">
        <f>(AU194+AU216)*INDEX(Inflation!$D$126:$BD$166, MATCH($B250, Inflation!$B$126:$B$166,0), MATCH(AU$234, Inflation!$D$125:$BD$125,0))</f>
        <v>#N/A</v>
      </c>
      <c r="AV250" s="90" t="e">
        <f>(AV194+AV216)*INDEX(Inflation!$D$126:$BD$166, MATCH($B250, Inflation!$B$126:$B$166,0), MATCH(AV$234, Inflation!$D$125:$BD$125,0))</f>
        <v>#N/A</v>
      </c>
      <c r="AW250" s="90" t="e">
        <f>(AW194+AW216)*INDEX(Inflation!$D$126:$BD$166, MATCH($B250, Inflation!$B$126:$B$166,0), MATCH(AW$234, Inflation!$D$125:$BD$125,0))</f>
        <v>#N/A</v>
      </c>
      <c r="AX250" s="90" t="e">
        <f>(AX194+AX216)*INDEX(Inflation!$D$126:$BD$166, MATCH($B250, Inflation!$B$126:$B$166,0), MATCH(AX$234, Inflation!$D$125:$BD$125,0))</f>
        <v>#N/A</v>
      </c>
      <c r="AY250" s="90" t="e">
        <f>(AY194+AY216)*INDEX(Inflation!$D$126:$BD$166, MATCH($B250, Inflation!$B$126:$B$166,0), MATCH(AY$234, Inflation!$D$125:$BD$125,0))</f>
        <v>#N/A</v>
      </c>
      <c r="AZ250" s="90" t="e">
        <f>(AZ194+AZ216)*INDEX(Inflation!$D$126:$BD$166, MATCH($B250, Inflation!$B$126:$B$166,0), MATCH(AZ$234, Inflation!$D$125:$BD$125,0))</f>
        <v>#N/A</v>
      </c>
      <c r="BA250" s="90" t="e">
        <f>(BA194+BA216)*INDEX(Inflation!$D$126:$BD$166, MATCH($B250, Inflation!$B$126:$B$166,0), MATCH(BA$234, Inflation!$D$125:$BD$125,0))</f>
        <v>#N/A</v>
      </c>
      <c r="BB250" s="90" t="e">
        <f>(BB194+BB216)*INDEX(Inflation!$D$126:$BD$166, MATCH($B250, Inflation!$B$126:$B$166,0), MATCH(BB$234, Inflation!$D$125:$BD$125,0))</f>
        <v>#N/A</v>
      </c>
    </row>
    <row r="251" spans="2:54">
      <c r="B251" s="6" t="s">
        <v>2832</v>
      </c>
      <c r="C251" s="47"/>
      <c r="D251" s="90">
        <f>(D195+D217)*INDEX(Inflation!$D$126:$BD$166, MATCH($B251, Inflation!$B$126:$B$166,0), MATCH(D$234, Inflation!$D$125:$BD$125,0))</f>
        <v>74049.455846046461</v>
      </c>
      <c r="E251" s="90">
        <f>(E195+E217)*INDEX(Inflation!$D$126:$BD$166, MATCH($B251, Inflation!$B$126:$B$166,0), MATCH(E$234, Inflation!$D$125:$BD$125,0))</f>
        <v>78480.330742360049</v>
      </c>
      <c r="F251" s="90">
        <f>(F195+F217)*INDEX(Inflation!$D$126:$BD$166, MATCH($B251, Inflation!$B$126:$B$166,0), MATCH(F$234, Inflation!$D$125:$BD$125,0))</f>
        <v>82698.530418335082</v>
      </c>
      <c r="G251" s="90">
        <f>(G195+G217)*INDEX(Inflation!$D$126:$BD$166, MATCH($B251, Inflation!$B$126:$B$166,0), MATCH(G$234, Inflation!$D$125:$BD$125,0))</f>
        <v>86810.144062715117</v>
      </c>
      <c r="H251" s="90">
        <f>(H195+H217)*INDEX(Inflation!$D$126:$BD$166, MATCH($B251, Inflation!$B$126:$B$166,0), MATCH(H$234, Inflation!$D$125:$BD$125,0))</f>
        <v>18106.818194626736</v>
      </c>
      <c r="I251" s="90">
        <f>(I195+I217)*INDEX(Inflation!$D$126:$BD$166, MATCH($B251, Inflation!$B$126:$B$166,0), MATCH(I$234, Inflation!$D$125:$BD$125,0))</f>
        <v>17260.141710264932</v>
      </c>
      <c r="J251" s="90">
        <f>(J195+J217)*INDEX(Inflation!$D$126:$BD$166, MATCH($B251, Inflation!$B$126:$B$166,0), MATCH(J$234, Inflation!$D$125:$BD$125,0))</f>
        <v>17143.753526669461</v>
      </c>
      <c r="K251" s="90">
        <f>(K195+K217)*INDEX(Inflation!$D$126:$BD$166, MATCH($B251, Inflation!$B$126:$B$166,0), MATCH(K$234, Inflation!$D$125:$BD$125,0))</f>
        <v>17518.391522613354</v>
      </c>
      <c r="L251" s="90">
        <f>(L195+L217)*INDEX(Inflation!$D$126:$BD$166, MATCH($B251, Inflation!$B$126:$B$166,0), MATCH(L$234, Inflation!$D$125:$BD$125,0))</f>
        <v>18256.583152726031</v>
      </c>
      <c r="M251" s="90">
        <f>(M195+M217)*INDEX(Inflation!$D$126:$BD$166, MATCH($B251, Inflation!$B$126:$B$166,0), MATCH(M$234, Inflation!$D$125:$BD$125,0))</f>
        <v>19236.166355844322</v>
      </c>
      <c r="N251" s="90">
        <f>(N195+N217)*INDEX(Inflation!$D$126:$BD$166, MATCH($B251, Inflation!$B$126:$B$166,0), MATCH(N$234, Inflation!$D$125:$BD$125,0))</f>
        <v>20385.964246795302</v>
      </c>
      <c r="O251" s="90">
        <f>(O195+O217)*INDEX(Inflation!$D$126:$BD$166, MATCH($B251, Inflation!$B$126:$B$166,0), MATCH(O$234, Inflation!$D$125:$BD$125,0))</f>
        <v>21627.209997012877</v>
      </c>
      <c r="P251" s="90">
        <f>(P195+P217)*INDEX(Inflation!$D$126:$BD$166, MATCH($B251, Inflation!$B$126:$B$166,0), MATCH(P$234, Inflation!$D$125:$BD$125,0))</f>
        <v>22962.778067291198</v>
      </c>
      <c r="Q251" s="90">
        <f>(Q195+Q217)*INDEX(Inflation!$D$126:$BD$166, MATCH($B251, Inflation!$B$126:$B$166,0), MATCH(Q$234, Inflation!$D$125:$BD$125,0))</f>
        <v>24377.352091674908</v>
      </c>
      <c r="R251" s="90">
        <f>(R195+R217)*INDEX(Inflation!$D$126:$BD$166, MATCH($B251, Inflation!$B$126:$B$166,0), MATCH(R$234, Inflation!$D$125:$BD$125,0))</f>
        <v>25867.296889376012</v>
      </c>
      <c r="S251" s="90">
        <f>(S195+S217)*INDEX(Inflation!$D$126:$BD$166, MATCH($B251, Inflation!$B$126:$B$166,0), MATCH(S$234, Inflation!$D$125:$BD$125,0))</f>
        <v>26493.979471426053</v>
      </c>
      <c r="T251" s="90">
        <f>(T195+T217)*INDEX(Inflation!$D$126:$BD$166, MATCH($B251, Inflation!$B$126:$B$166,0), MATCH(T$234, Inflation!$D$125:$BD$125,0))</f>
        <v>27262.055878153045</v>
      </c>
      <c r="U251" s="90">
        <f>(U195+U217)*INDEX(Inflation!$D$126:$BD$166, MATCH($B251, Inflation!$B$126:$B$166,0), MATCH(U$234, Inflation!$D$125:$BD$125,0))</f>
        <v>28133.244943032671</v>
      </c>
      <c r="V251" s="90">
        <f>(V195+V217)*INDEX(Inflation!$D$126:$BD$166, MATCH($B251, Inflation!$B$126:$B$166,0), MATCH(V$234, Inflation!$D$125:$BD$125,0))</f>
        <v>29092.392496546337</v>
      </c>
      <c r="W251" s="90">
        <f>(W195+W217)*INDEX(Inflation!$D$126:$BD$166, MATCH($B251, Inflation!$B$126:$B$166,0), MATCH(W$234, Inflation!$D$125:$BD$125,0))</f>
        <v>30107.139046877564</v>
      </c>
      <c r="X251" s="90">
        <f>(X195+X217)*INDEX(Inflation!$D$126:$BD$166, MATCH($B251, Inflation!$B$126:$B$166,0), MATCH(X$234, Inflation!$D$125:$BD$125,0))</f>
        <v>31164.226712135263</v>
      </c>
      <c r="Y251" s="90">
        <f>(Y195+Y217)*INDEX(Inflation!$D$126:$BD$166, MATCH($B251, Inflation!$B$126:$B$166,0), MATCH(Y$234, Inflation!$D$125:$BD$125,0))</f>
        <v>32263.709799724162</v>
      </c>
      <c r="Z251" s="90">
        <f>(Z195+Z217)*INDEX(Inflation!$D$126:$BD$166, MATCH($B251, Inflation!$B$126:$B$166,0), MATCH(Z$234, Inflation!$D$125:$BD$125,0))</f>
        <v>33398.177140867738</v>
      </c>
      <c r="AA251" s="90">
        <f>(AA195+AA217)*INDEX(Inflation!$D$126:$BD$166, MATCH($B251, Inflation!$B$126:$B$166,0), MATCH(AA$234, Inflation!$D$125:$BD$125,0))</f>
        <v>34563.541001649617</v>
      </c>
      <c r="AB251" s="90">
        <f>(AB195+AB217)*INDEX(Inflation!$D$126:$BD$166, MATCH($B251, Inflation!$B$126:$B$166,0), MATCH(AB$234, Inflation!$D$125:$BD$125,0))</f>
        <v>35757.416081345844</v>
      </c>
      <c r="AC251" s="90">
        <f>(AC195+AC217)*INDEX(Inflation!$D$126:$BD$166, MATCH($B251, Inflation!$B$126:$B$166,0), MATCH(AC$234, Inflation!$D$125:$BD$125,0))</f>
        <v>36981.267553355516</v>
      </c>
      <c r="AD251" s="90">
        <f>(AD195+AD217)*INDEX(Inflation!$D$126:$BD$166, MATCH($B251, Inflation!$B$126:$B$166,0), MATCH(AD$234, Inflation!$D$125:$BD$125,0))</f>
        <v>38231.586951922742</v>
      </c>
      <c r="AE251" s="90">
        <f>(AE195+AE217)*INDEX(Inflation!$D$126:$BD$166, MATCH($B251, Inflation!$B$126:$B$166,0), MATCH(AE$234, Inflation!$D$125:$BD$125,0))</f>
        <v>39505.259993341126</v>
      </c>
      <c r="AF251" s="90">
        <f>(AF195+AF217)*INDEX(Inflation!$D$126:$BD$166, MATCH($B251, Inflation!$B$126:$B$166,0), MATCH(AF$234, Inflation!$D$125:$BD$125,0))</f>
        <v>40799.800436520709</v>
      </c>
      <c r="AG251" s="90">
        <f>(AG195+AG217)*INDEX(Inflation!$D$126:$BD$166, MATCH($B251, Inflation!$B$126:$B$166,0), MATCH(AG$234, Inflation!$D$125:$BD$125,0))</f>
        <v>42114.718433584429</v>
      </c>
      <c r="AH251" s="90">
        <f>(AH195+AH217)*INDEX(Inflation!$D$126:$BD$166, MATCH($B251, Inflation!$B$126:$B$166,0), MATCH(AH$234, Inflation!$D$125:$BD$125,0))</f>
        <v>43455.779506667524</v>
      </c>
      <c r="AI251" s="90">
        <f>(AI195+AI217)*INDEX(Inflation!$D$126:$BD$166, MATCH($B251, Inflation!$B$126:$B$166,0), MATCH(AI$234, Inflation!$D$125:$BD$125,0))</f>
        <v>44823.957718801539</v>
      </c>
      <c r="AJ251" s="90">
        <f>(AJ195+AJ217)*INDEX(Inflation!$D$126:$BD$166, MATCH($B251, Inflation!$B$126:$B$166,0), MATCH(AJ$234, Inflation!$D$125:$BD$125,0))</f>
        <v>46223.064040976278</v>
      </c>
      <c r="AK251" s="90">
        <f>(AK195+AK217)*INDEX(Inflation!$D$126:$BD$166, MATCH($B251, Inflation!$B$126:$B$166,0), MATCH(AK$234, Inflation!$D$125:$BD$125,0))</f>
        <v>47649.87593395188</v>
      </c>
      <c r="AL251" s="90">
        <f>(AL195+AL217)*INDEX(Inflation!$D$126:$BD$166, MATCH($B251, Inflation!$B$126:$B$166,0), MATCH(AL$234, Inflation!$D$125:$BD$125,0))</f>
        <v>49098.057277491353</v>
      </c>
      <c r="AM251" s="90">
        <f>(AM195+AM217)*INDEX(Inflation!$D$126:$BD$166, MATCH($B251, Inflation!$B$126:$B$166,0), MATCH(AM$234, Inflation!$D$125:$BD$125,0))</f>
        <v>50563.806052499895</v>
      </c>
      <c r="AN251" s="90">
        <f>(AN195+AN217)*INDEX(Inflation!$D$126:$BD$166, MATCH($B251, Inflation!$B$126:$B$166,0), MATCH(AN$234, Inflation!$D$125:$BD$125,0))</f>
        <v>52043.505360576382</v>
      </c>
      <c r="AO251" s="90">
        <f>(AO195+AO217)*INDEX(Inflation!$D$126:$BD$166, MATCH($B251, Inflation!$B$126:$B$166,0), MATCH(AO$234, Inflation!$D$125:$BD$125,0))</f>
        <v>53534.485235125452</v>
      </c>
      <c r="AP251" s="90">
        <f>(AP195+AP217)*INDEX(Inflation!$D$126:$BD$166, MATCH($B251, Inflation!$B$126:$B$166,0), MATCH(AP$234, Inflation!$D$125:$BD$125,0))</f>
        <v>55034.321918278802</v>
      </c>
      <c r="AQ251" s="90">
        <f>(AQ195+AQ217)*INDEX(Inflation!$D$126:$BD$166, MATCH($B251, Inflation!$B$126:$B$166,0), MATCH(AQ$234, Inflation!$D$125:$BD$125,0))</f>
        <v>56554.50823391087</v>
      </c>
      <c r="AR251" s="90">
        <f>(AR195+AR217)*INDEX(Inflation!$D$126:$BD$166, MATCH($B251, Inflation!$B$126:$B$166,0), MATCH(AR$234, Inflation!$D$125:$BD$125,0))</f>
        <v>58106.405231817502</v>
      </c>
      <c r="AS251" s="90">
        <f>(AS195+AS217)*INDEX(Inflation!$D$126:$BD$166, MATCH($B251, Inflation!$B$126:$B$166,0), MATCH(AS$234, Inflation!$D$125:$BD$125,0))</f>
        <v>59698.809623643167</v>
      </c>
      <c r="AT251" s="90">
        <f>(AT195+AT217)*INDEX(Inflation!$D$126:$BD$166, MATCH($B251, Inflation!$B$126:$B$166,0), MATCH(AT$234, Inflation!$D$125:$BD$125,0))</f>
        <v>61282.535245521496</v>
      </c>
      <c r="AU251" s="90" t="e">
        <f>(AU195+AU217)*INDEX(Inflation!$D$126:$BD$166, MATCH($B251, Inflation!$B$126:$B$166,0), MATCH(AU$234, Inflation!$D$125:$BD$125,0))</f>
        <v>#N/A</v>
      </c>
      <c r="AV251" s="90" t="e">
        <f>(AV195+AV217)*INDEX(Inflation!$D$126:$BD$166, MATCH($B251, Inflation!$B$126:$B$166,0), MATCH(AV$234, Inflation!$D$125:$BD$125,0))</f>
        <v>#N/A</v>
      </c>
      <c r="AW251" s="90" t="e">
        <f>(AW195+AW217)*INDEX(Inflation!$D$126:$BD$166, MATCH($B251, Inflation!$B$126:$B$166,0), MATCH(AW$234, Inflation!$D$125:$BD$125,0))</f>
        <v>#N/A</v>
      </c>
      <c r="AX251" s="90" t="e">
        <f>(AX195+AX217)*INDEX(Inflation!$D$126:$BD$166, MATCH($B251, Inflation!$B$126:$B$166,0), MATCH(AX$234, Inflation!$D$125:$BD$125,0))</f>
        <v>#N/A</v>
      </c>
      <c r="AY251" s="90" t="e">
        <f>(AY195+AY217)*INDEX(Inflation!$D$126:$BD$166, MATCH($B251, Inflation!$B$126:$B$166,0), MATCH(AY$234, Inflation!$D$125:$BD$125,0))</f>
        <v>#N/A</v>
      </c>
      <c r="AZ251" s="90" t="e">
        <f>(AZ195+AZ217)*INDEX(Inflation!$D$126:$BD$166, MATCH($B251, Inflation!$B$126:$B$166,0), MATCH(AZ$234, Inflation!$D$125:$BD$125,0))</f>
        <v>#N/A</v>
      </c>
      <c r="BA251" s="90" t="e">
        <f>(BA195+BA217)*INDEX(Inflation!$D$126:$BD$166, MATCH($B251, Inflation!$B$126:$B$166,0), MATCH(BA$234, Inflation!$D$125:$BD$125,0))</f>
        <v>#N/A</v>
      </c>
      <c r="BB251" s="90" t="e">
        <f>(BB195+BB217)*INDEX(Inflation!$D$126:$BD$166, MATCH($B251, Inflation!$B$126:$B$166,0), MATCH(BB$234, Inflation!$D$125:$BD$125,0))</f>
        <v>#N/A</v>
      </c>
    </row>
    <row r="252" spans="2:54">
      <c r="B252" s="6" t="s">
        <v>2871</v>
      </c>
      <c r="C252" s="47"/>
      <c r="D252" s="90">
        <f>(D196+D218)*INDEX(Inflation!$D$126:$BD$166, MATCH($B252, Inflation!$B$126:$B$166,0), MATCH(D$234, Inflation!$D$125:$BD$125,0))</f>
        <v>5042.0752259749761</v>
      </c>
      <c r="E252" s="90">
        <f>(E196+E218)*INDEX(Inflation!$D$126:$BD$166, MATCH($B252, Inflation!$B$126:$B$166,0), MATCH(E$234, Inflation!$D$125:$BD$125,0))</f>
        <v>5313.4895511821742</v>
      </c>
      <c r="F252" s="90">
        <f>(F196+F218)*INDEX(Inflation!$D$126:$BD$166, MATCH($B252, Inflation!$B$126:$B$166,0), MATCH(F$234, Inflation!$D$125:$BD$125,0))</f>
        <v>5567.6063558869128</v>
      </c>
      <c r="G252" s="90">
        <f>(G196+G218)*INDEX(Inflation!$D$126:$BD$166, MATCH($B252, Inflation!$B$126:$B$166,0), MATCH(G$234, Inflation!$D$125:$BD$125,0))</f>
        <v>5811.7628580788551</v>
      </c>
      <c r="H252" s="90">
        <f>(H196+H218)*INDEX(Inflation!$D$126:$BD$166, MATCH($B252, Inflation!$B$126:$B$166,0), MATCH(H$234, Inflation!$D$125:$BD$125,0))</f>
        <v>2883.5292771815539</v>
      </c>
      <c r="I252" s="90">
        <f>(I196+I218)*INDEX(Inflation!$D$126:$BD$166, MATCH($B252, Inflation!$B$126:$B$166,0), MATCH(I$234, Inflation!$D$125:$BD$125,0))</f>
        <v>2609.499490347418</v>
      </c>
      <c r="J252" s="90">
        <f>(J196+J218)*INDEX(Inflation!$D$126:$BD$166, MATCH($B252, Inflation!$B$126:$B$166,0), MATCH(J$234, Inflation!$D$125:$BD$125,0))</f>
        <v>2462.7139772825594</v>
      </c>
      <c r="K252" s="90">
        <f>(K196+K218)*INDEX(Inflation!$D$126:$BD$166, MATCH($B252, Inflation!$B$126:$B$166,0), MATCH(K$234, Inflation!$D$125:$BD$125,0))</f>
        <v>2398.4027465433601</v>
      </c>
      <c r="L252" s="90">
        <f>(L196+L218)*INDEX(Inflation!$D$126:$BD$166, MATCH($B252, Inflation!$B$126:$B$166,0), MATCH(L$234, Inflation!$D$125:$BD$125,0))</f>
        <v>2391.948553296043</v>
      </c>
      <c r="M252" s="90">
        <f>(M196+M218)*INDEX(Inflation!$D$126:$BD$166, MATCH($B252, Inflation!$B$126:$B$166,0), MATCH(M$234, Inflation!$D$125:$BD$125,0))</f>
        <v>2420.8960282182602</v>
      </c>
      <c r="N252" s="90">
        <f>(N196+N218)*INDEX(Inflation!$D$126:$BD$166, MATCH($B252, Inflation!$B$126:$B$166,0), MATCH(N$234, Inflation!$D$125:$BD$125,0))</f>
        <v>2472.0387570305352</v>
      </c>
      <c r="O252" s="90">
        <f>(O196+O218)*INDEX(Inflation!$D$126:$BD$166, MATCH($B252, Inflation!$B$126:$B$166,0), MATCH(O$234, Inflation!$D$125:$BD$125,0))</f>
        <v>2539.248324600484</v>
      </c>
      <c r="P252" s="90">
        <f>(P196+P218)*INDEX(Inflation!$D$126:$BD$166, MATCH($B252, Inflation!$B$126:$B$166,0), MATCH(P$234, Inflation!$D$125:$BD$125,0))</f>
        <v>2615.0311693955027</v>
      </c>
      <c r="Q252" s="90">
        <f>(Q196+Q218)*INDEX(Inflation!$D$126:$BD$166, MATCH($B252, Inflation!$B$126:$B$166,0), MATCH(Q$234, Inflation!$D$125:$BD$125,0))</f>
        <v>2696.3558088482018</v>
      </c>
      <c r="R252" s="90">
        <f>(R196+R218)*INDEX(Inflation!$D$126:$BD$166, MATCH($B252, Inflation!$B$126:$B$166,0), MATCH(R$234, Inflation!$D$125:$BD$125,0))</f>
        <v>2782.1719975408032</v>
      </c>
      <c r="S252" s="90">
        <f>(S196+S218)*INDEX(Inflation!$D$126:$BD$166, MATCH($B252, Inflation!$B$126:$B$166,0), MATCH(S$234, Inflation!$D$125:$BD$125,0))</f>
        <v>2871.5101907590147</v>
      </c>
      <c r="T252" s="90">
        <f>(T196+T218)*INDEX(Inflation!$D$126:$BD$166, MATCH($B252, Inflation!$B$126:$B$166,0), MATCH(T$234, Inflation!$D$125:$BD$125,0))</f>
        <v>2963.5552653484456</v>
      </c>
      <c r="U252" s="90">
        <f>(U196+U218)*INDEX(Inflation!$D$126:$BD$166, MATCH($B252, Inflation!$B$126:$B$166,0), MATCH(U$234, Inflation!$D$125:$BD$125,0))</f>
        <v>3058.5045554309108</v>
      </c>
      <c r="V252" s="90">
        <f>(V196+V218)*INDEX(Inflation!$D$126:$BD$166, MATCH($B252, Inflation!$B$126:$B$166,0), MATCH(V$234, Inflation!$D$125:$BD$125,0))</f>
        <v>3157.9035182623934</v>
      </c>
      <c r="W252" s="90">
        <f>(W196+W218)*INDEX(Inflation!$D$126:$BD$166, MATCH($B252, Inflation!$B$126:$B$166,0), MATCH(W$234, Inflation!$D$125:$BD$125,0))</f>
        <v>3259.4162408042575</v>
      </c>
      <c r="X252" s="90">
        <f>(X196+X218)*INDEX(Inflation!$D$126:$BD$166, MATCH($B252, Inflation!$B$126:$B$166,0), MATCH(X$234, Inflation!$D$125:$BD$125,0))</f>
        <v>3362.6349647915285</v>
      </c>
      <c r="Y252" s="90">
        <f>(Y196+Y218)*INDEX(Inflation!$D$126:$BD$166, MATCH($B252, Inflation!$B$126:$B$166,0), MATCH(Y$234, Inflation!$D$125:$BD$125,0))</f>
        <v>3468.5391430413106</v>
      </c>
      <c r="Z252" s="90">
        <f>(Z196+Z218)*INDEX(Inflation!$D$126:$BD$166, MATCH($B252, Inflation!$B$126:$B$166,0), MATCH(Z$234, Inflation!$D$125:$BD$125,0))</f>
        <v>3576.6366455345869</v>
      </c>
      <c r="AA252" s="90">
        <f>(AA196+AA218)*INDEX(Inflation!$D$126:$BD$166, MATCH($B252, Inflation!$B$126:$B$166,0), MATCH(AA$234, Inflation!$D$125:$BD$125,0))</f>
        <v>3686.5864090497016</v>
      </c>
      <c r="AB252" s="90">
        <f>(AB196+AB218)*INDEX(Inflation!$D$126:$BD$166, MATCH($B252, Inflation!$B$126:$B$166,0), MATCH(AB$234, Inflation!$D$125:$BD$125,0))</f>
        <v>3798.1708776059709</v>
      </c>
      <c r="AC252" s="90">
        <f>(AC196+AC218)*INDEX(Inflation!$D$126:$BD$166, MATCH($B252, Inflation!$B$126:$B$166,0), MATCH(AC$234, Inflation!$D$125:$BD$125,0))</f>
        <v>3911.707871666235</v>
      </c>
      <c r="AD252" s="90">
        <f>(AD196+AD218)*INDEX(Inflation!$D$126:$BD$166, MATCH($B252, Inflation!$B$126:$B$166,0), MATCH(AD$234, Inflation!$D$125:$BD$125,0))</f>
        <v>4026.7125929405502</v>
      </c>
      <c r="AE252" s="90">
        <f>(AE196+AE218)*INDEX(Inflation!$D$126:$BD$166, MATCH($B252, Inflation!$B$126:$B$166,0), MATCH(AE$234, Inflation!$D$125:$BD$125,0))</f>
        <v>4142.7459555872529</v>
      </c>
      <c r="AF252" s="90">
        <f>(AF196+AF218)*INDEX(Inflation!$D$126:$BD$166, MATCH($B252, Inflation!$B$126:$B$166,0), MATCH(AF$234, Inflation!$D$125:$BD$125,0))</f>
        <v>4259.4992682561697</v>
      </c>
      <c r="AG252" s="90">
        <f>(AG196+AG218)*INDEX(Inflation!$D$126:$BD$166, MATCH($B252, Inflation!$B$126:$B$166,0), MATCH(AG$234, Inflation!$D$125:$BD$125,0))</f>
        <v>4377.0594587312889</v>
      </c>
      <c r="AH252" s="90">
        <f>(AH196+AH218)*INDEX(Inflation!$D$126:$BD$166, MATCH($B252, Inflation!$B$126:$B$166,0), MATCH(AH$234, Inflation!$D$125:$BD$125,0))</f>
        <v>4496.3031495163796</v>
      </c>
      <c r="AI252" s="90">
        <f>(AI196+AI218)*INDEX(Inflation!$D$126:$BD$166, MATCH($B252, Inflation!$B$126:$B$166,0), MATCH(AI$234, Inflation!$D$125:$BD$125,0))</f>
        <v>4617.3387905776908</v>
      </c>
      <c r="AJ252" s="90">
        <f>(AJ196+AJ218)*INDEX(Inflation!$D$126:$BD$166, MATCH($B252, Inflation!$B$126:$B$166,0), MATCH(AJ$234, Inflation!$D$125:$BD$125,0))</f>
        <v>4740.7313311618373</v>
      </c>
      <c r="AK252" s="90">
        <f>(AK196+AK218)*INDEX(Inflation!$D$126:$BD$166, MATCH($B252, Inflation!$B$126:$B$166,0), MATCH(AK$234, Inflation!$D$125:$BD$125,0))</f>
        <v>4865.9725229209953</v>
      </c>
      <c r="AL252" s="90">
        <f>(AL196+AL218)*INDEX(Inflation!$D$126:$BD$166, MATCH($B252, Inflation!$B$126:$B$166,0), MATCH(AL$234, Inflation!$D$125:$BD$125,0))</f>
        <v>4992.1178836598219</v>
      </c>
      <c r="AM252" s="90">
        <f>(AM196+AM218)*INDEX(Inflation!$D$126:$BD$166, MATCH($B252, Inflation!$B$126:$B$166,0), MATCH(AM$234, Inflation!$D$125:$BD$125,0))</f>
        <v>5118.6298999842902</v>
      </c>
      <c r="AN252" s="90">
        <f>(AN196+AN218)*INDEX(Inflation!$D$126:$BD$166, MATCH($B252, Inflation!$B$126:$B$166,0), MATCH(AN$234, Inflation!$D$125:$BD$125,0))</f>
        <v>5245.0470104328488</v>
      </c>
      <c r="AO252" s="90">
        <f>(AO196+AO218)*INDEX(Inflation!$D$126:$BD$166, MATCH($B252, Inflation!$B$126:$B$166,0), MATCH(AO$234, Inflation!$D$125:$BD$125,0))</f>
        <v>5371.0461086857949</v>
      </c>
      <c r="AP252" s="90">
        <f>(AP196+AP218)*INDEX(Inflation!$D$126:$BD$166, MATCH($B252, Inflation!$B$126:$B$166,0), MATCH(AP$234, Inflation!$D$125:$BD$125,0))</f>
        <v>5496.336953746285</v>
      </c>
      <c r="AQ252" s="90">
        <f>(AQ196+AQ218)*INDEX(Inflation!$D$126:$BD$166, MATCH($B252, Inflation!$B$126:$B$166,0), MATCH(AQ$234, Inflation!$D$125:$BD$125,0))</f>
        <v>5622.5962653196866</v>
      </c>
      <c r="AR252" s="90">
        <f>(AR196+AR218)*INDEX(Inflation!$D$126:$BD$166, MATCH($B252, Inflation!$B$126:$B$166,0), MATCH(AR$234, Inflation!$D$125:$BD$125,0))</f>
        <v>5751.3900706746235</v>
      </c>
      <c r="AS252" s="90">
        <f>(AS196+AS218)*INDEX(Inflation!$D$126:$BD$166, MATCH($B252, Inflation!$B$126:$B$166,0), MATCH(AS$234, Inflation!$D$125:$BD$125,0))</f>
        <v>5883.8790714410925</v>
      </c>
      <c r="AT252" s="90">
        <f>(AT196+AT218)*INDEX(Inflation!$D$126:$BD$166, MATCH($B252, Inflation!$B$126:$B$166,0), MATCH(AT$234, Inflation!$D$125:$BD$125,0))</f>
        <v>6013.0671124103446</v>
      </c>
      <c r="AU252" s="90" t="e">
        <f>(AU196+AU218)*INDEX(Inflation!$D$126:$BD$166, MATCH($B252, Inflation!$B$126:$B$166,0), MATCH(AU$234, Inflation!$D$125:$BD$125,0))</f>
        <v>#N/A</v>
      </c>
      <c r="AV252" s="90" t="e">
        <f>(AV196+AV218)*INDEX(Inflation!$D$126:$BD$166, MATCH($B252, Inflation!$B$126:$B$166,0), MATCH(AV$234, Inflation!$D$125:$BD$125,0))</f>
        <v>#N/A</v>
      </c>
      <c r="AW252" s="90" t="e">
        <f>(AW196+AW218)*INDEX(Inflation!$D$126:$BD$166, MATCH($B252, Inflation!$B$126:$B$166,0), MATCH(AW$234, Inflation!$D$125:$BD$125,0))</f>
        <v>#N/A</v>
      </c>
      <c r="AX252" s="90" t="e">
        <f>(AX196+AX218)*INDEX(Inflation!$D$126:$BD$166, MATCH($B252, Inflation!$B$126:$B$166,0), MATCH(AX$234, Inflation!$D$125:$BD$125,0))</f>
        <v>#N/A</v>
      </c>
      <c r="AY252" s="90" t="e">
        <f>(AY196+AY218)*INDEX(Inflation!$D$126:$BD$166, MATCH($B252, Inflation!$B$126:$B$166,0), MATCH(AY$234, Inflation!$D$125:$BD$125,0))</f>
        <v>#N/A</v>
      </c>
      <c r="AZ252" s="90" t="e">
        <f>(AZ196+AZ218)*INDEX(Inflation!$D$126:$BD$166, MATCH($B252, Inflation!$B$126:$B$166,0), MATCH(AZ$234, Inflation!$D$125:$BD$125,0))</f>
        <v>#N/A</v>
      </c>
      <c r="BA252" s="90" t="e">
        <f>(BA196+BA218)*INDEX(Inflation!$D$126:$BD$166, MATCH($B252, Inflation!$B$126:$B$166,0), MATCH(BA$234, Inflation!$D$125:$BD$125,0))</f>
        <v>#N/A</v>
      </c>
      <c r="BB252" s="90" t="e">
        <f>(BB196+BB218)*INDEX(Inflation!$D$126:$BD$166, MATCH($B252, Inflation!$B$126:$B$166,0), MATCH(BB$234, Inflation!$D$125:$BD$125,0))</f>
        <v>#N/A</v>
      </c>
    </row>
    <row r="253" spans="2:54">
      <c r="C253" s="47"/>
    </row>
    <row r="254" spans="2:54" s="9" customFormat="1" ht="15" customHeight="1">
      <c r="B254" s="91" t="s">
        <v>2520</v>
      </c>
      <c r="C254" s="47"/>
      <c r="D254" s="92">
        <f>SUM(D235:D252)</f>
        <v>1130977.0239964989</v>
      </c>
      <c r="E254" s="92">
        <f t="shared" ref="E254:AF254" si="77">SUM(E235:E252)</f>
        <v>1198095.5030719512</v>
      </c>
      <c r="F254" s="92">
        <f t="shared" si="77"/>
        <v>1262006.6628994222</v>
      </c>
      <c r="G254" s="92">
        <f t="shared" si="77"/>
        <v>1324338.9683280014</v>
      </c>
      <c r="H254" s="92">
        <f t="shared" si="77"/>
        <v>1380835.1548930227</v>
      </c>
      <c r="I254" s="92">
        <f t="shared" si="77"/>
        <v>1272986.1519019313</v>
      </c>
      <c r="J254" s="92">
        <f t="shared" si="77"/>
        <v>1224114.7833222845</v>
      </c>
      <c r="K254" s="92">
        <f t="shared" si="77"/>
        <v>1214069.0927439444</v>
      </c>
      <c r="L254" s="92">
        <f t="shared" si="77"/>
        <v>1231884.8371521158</v>
      </c>
      <c r="M254" s="92">
        <f t="shared" si="77"/>
        <v>1267327.4119768955</v>
      </c>
      <c r="N254" s="92">
        <f t="shared" si="77"/>
        <v>1314383.4602356958</v>
      </c>
      <c r="O254" s="92">
        <f t="shared" si="77"/>
        <v>1369257.6444317841</v>
      </c>
      <c r="P254" s="92">
        <f t="shared" si="77"/>
        <v>1429476.5847152271</v>
      </c>
      <c r="Q254" s="92">
        <f t="shared" si="77"/>
        <v>1493677.4391429797</v>
      </c>
      <c r="R254" s="92">
        <f t="shared" si="77"/>
        <v>1561440.4119791423</v>
      </c>
      <c r="S254" s="92">
        <f t="shared" si="77"/>
        <v>1611574.5686352327</v>
      </c>
      <c r="T254" s="92">
        <f t="shared" si="77"/>
        <v>1666236.7296518474</v>
      </c>
      <c r="U254" s="92">
        <f t="shared" si="77"/>
        <v>1724661.3040596449</v>
      </c>
      <c r="V254" s="92">
        <f t="shared" si="77"/>
        <v>1787091.9701811126</v>
      </c>
      <c r="W254" s="92">
        <f t="shared" si="77"/>
        <v>1851995.6263573703</v>
      </c>
      <c r="X254" s="92">
        <f t="shared" si="77"/>
        <v>1918953.4217790507</v>
      </c>
      <c r="Y254" s="92">
        <f t="shared" si="77"/>
        <v>1988350.4215908172</v>
      </c>
      <c r="Z254" s="92">
        <f t="shared" si="77"/>
        <v>2059871.6997019819</v>
      </c>
      <c r="AA254" s="92">
        <f t="shared" si="77"/>
        <v>2133329.4300548434</v>
      </c>
      <c r="AB254" s="92">
        <f t="shared" si="77"/>
        <v>2208617.9957315484</v>
      </c>
      <c r="AC254" s="92">
        <f t="shared" si="77"/>
        <v>2285917.6196471793</v>
      </c>
      <c r="AD254" s="92">
        <f t="shared" si="77"/>
        <v>2364998.6404063399</v>
      </c>
      <c r="AE254" s="92">
        <f t="shared" si="77"/>
        <v>2445654.3499687416</v>
      </c>
      <c r="AF254" s="92">
        <f t="shared" si="77"/>
        <v>2527739.0278100641</v>
      </c>
      <c r="AG254" s="92">
        <f t="shared" ref="AG254:AP254" si="78">SUM(AG235:AG252)</f>
        <v>2611301.9550382718</v>
      </c>
      <c r="AH254" s="92">
        <f t="shared" si="78"/>
        <v>2696838.2369652661</v>
      </c>
      <c r="AI254" s="92">
        <f t="shared" si="78"/>
        <v>2784446.7024878147</v>
      </c>
      <c r="AJ254" s="92">
        <f t="shared" si="78"/>
        <v>2874470.5687504131</v>
      </c>
      <c r="AK254" s="92">
        <f t="shared" si="78"/>
        <v>2966680.4417014206</v>
      </c>
      <c r="AL254" s="92">
        <f t="shared" si="78"/>
        <v>3060600.8785609379</v>
      </c>
      <c r="AM254" s="92">
        <f t="shared" si="78"/>
        <v>3155966.8899403787</v>
      </c>
      <c r="AN254" s="92">
        <f t="shared" si="78"/>
        <v>3252543.7174885934</v>
      </c>
      <c r="AO254" s="92">
        <f t="shared" si="78"/>
        <v>3350169.6050849929</v>
      </c>
      <c r="AP254" s="92">
        <f t="shared" si="78"/>
        <v>3448698.8365921993</v>
      </c>
      <c r="AQ254" s="92">
        <f t="shared" ref="AQ254:BB254" si="79">SUM(AQ235:AQ252)</f>
        <v>3549100.215158374</v>
      </c>
      <c r="AR254" s="92">
        <f t="shared" si="79"/>
        <v>3652313.8444708004</v>
      </c>
      <c r="AS254" s="92">
        <f t="shared" si="79"/>
        <v>3759073.9900697735</v>
      </c>
      <c r="AT254" s="92">
        <f t="shared" si="79"/>
        <v>3865418.0288637597</v>
      </c>
      <c r="AU254" s="92" t="e">
        <f t="shared" si="79"/>
        <v>#N/A</v>
      </c>
      <c r="AV254" s="92" t="e">
        <f t="shared" si="79"/>
        <v>#N/A</v>
      </c>
      <c r="AW254" s="92" t="e">
        <f t="shared" si="79"/>
        <v>#N/A</v>
      </c>
      <c r="AX254" s="92" t="e">
        <f t="shared" si="79"/>
        <v>#N/A</v>
      </c>
      <c r="AY254" s="92" t="e">
        <f t="shared" si="79"/>
        <v>#N/A</v>
      </c>
      <c r="AZ254" s="92" t="e">
        <f t="shared" si="79"/>
        <v>#N/A</v>
      </c>
      <c r="BA254" s="92" t="e">
        <f t="shared" si="79"/>
        <v>#N/A</v>
      </c>
      <c r="BB254" s="92" t="e">
        <f t="shared" si="79"/>
        <v>#N/A</v>
      </c>
    </row>
    <row r="255" spans="2:54" s="9" customFormat="1" ht="15" customHeight="1">
      <c r="C255"/>
    </row>
    <row r="256" spans="2:54" s="4" customFormat="1" ht="15" customHeight="1">
      <c r="B256" s="86" t="s">
        <v>180</v>
      </c>
      <c r="C256"/>
      <c r="D256" s="90" t="s">
        <v>181</v>
      </c>
      <c r="E256" s="137">
        <f>E254/D254-1</f>
        <v>5.9345572590217444E-2</v>
      </c>
      <c r="F256" s="137">
        <f t="shared" ref="F256:AF256" si="80">F254/E254-1</f>
        <v>5.3343961031153908E-2</v>
      </c>
      <c r="G256" s="137">
        <f t="shared" si="80"/>
        <v>4.9391423406095702E-2</v>
      </c>
      <c r="H256" s="137">
        <f t="shared" si="80"/>
        <v>4.2659914052328052E-2</v>
      </c>
      <c r="I256" s="137">
        <f t="shared" si="80"/>
        <v>-7.8104183985268527E-2</v>
      </c>
      <c r="J256" s="137">
        <f t="shared" si="80"/>
        <v>-3.83911235064337E-2</v>
      </c>
      <c r="K256" s="137">
        <f t="shared" si="80"/>
        <v>-8.2064939621722122E-3</v>
      </c>
      <c r="L256" s="137">
        <f t="shared" si="80"/>
        <v>1.4674407341929374E-2</v>
      </c>
      <c r="M256" s="137">
        <f t="shared" si="80"/>
        <v>2.87710131303478E-2</v>
      </c>
      <c r="N256" s="137">
        <f t="shared" si="80"/>
        <v>3.7130143176969499E-2</v>
      </c>
      <c r="O256" s="137">
        <f t="shared" si="80"/>
        <v>4.1748991718328687E-2</v>
      </c>
      <c r="P256" s="137">
        <f t="shared" si="80"/>
        <v>4.3979261703105399E-2</v>
      </c>
      <c r="Q256" s="137">
        <f t="shared" si="80"/>
        <v>4.4912141348955492E-2</v>
      </c>
      <c r="R256" s="137">
        <f t="shared" si="80"/>
        <v>4.5366537018221686E-2</v>
      </c>
      <c r="S256" s="137">
        <f t="shared" si="80"/>
        <v>3.2107633612828534E-2</v>
      </c>
      <c r="T256" s="137">
        <f t="shared" si="80"/>
        <v>3.3918480770583015E-2</v>
      </c>
      <c r="U256" s="137">
        <f t="shared" si="80"/>
        <v>3.5063789777341592E-2</v>
      </c>
      <c r="V256" s="137">
        <f t="shared" si="80"/>
        <v>3.6198797975297126E-2</v>
      </c>
      <c r="W256" s="137">
        <f t="shared" si="80"/>
        <v>3.6318027980216439E-2</v>
      </c>
      <c r="X256" s="137">
        <f t="shared" si="80"/>
        <v>3.6154402563777888E-2</v>
      </c>
      <c r="Y256" s="137">
        <f t="shared" si="80"/>
        <v>3.6163983463146643E-2</v>
      </c>
      <c r="Z256" s="137">
        <f t="shared" si="80"/>
        <v>3.5970157641499911E-2</v>
      </c>
      <c r="AA256" s="137">
        <f t="shared" si="80"/>
        <v>3.5661313451458732E-2</v>
      </c>
      <c r="AB256" s="137">
        <f t="shared" si="80"/>
        <v>3.5291579732610545E-2</v>
      </c>
      <c r="AC256" s="137">
        <f t="shared" si="80"/>
        <v>3.4999091769161828E-2</v>
      </c>
      <c r="AD256" s="137">
        <f t="shared" si="80"/>
        <v>3.4594869071163714E-2</v>
      </c>
      <c r="AE256" s="137">
        <f t="shared" si="80"/>
        <v>3.4103913712417278E-2</v>
      </c>
      <c r="AF256" s="137">
        <f t="shared" si="80"/>
        <v>3.3563482853728566E-2</v>
      </c>
      <c r="AG256" s="137">
        <f t="shared" ref="AG256" si="81">AG254/AF254-1</f>
        <v>3.305836809451157E-2</v>
      </c>
      <c r="AH256" s="137">
        <f t="shared" ref="AH256" si="82">AH254/AG254-1</f>
        <v>3.2756181935206463E-2</v>
      </c>
      <c r="AI256" s="137">
        <f t="shared" ref="AI256" si="83">AI254/AH254-1</f>
        <v>3.2485621244058738E-2</v>
      </c>
      <c r="AJ256" s="137">
        <f t="shared" ref="AJ256" si="84">AJ254/AI254-1</f>
        <v>3.2330971241850248E-2</v>
      </c>
      <c r="AK256" s="137">
        <f t="shared" ref="AK256" si="85">AK254/AJ254-1</f>
        <v>3.2078906617956093E-2</v>
      </c>
      <c r="AL256" s="137">
        <f t="shared" ref="AL256" si="86">AL254/AK254-1</f>
        <v>3.1658427223679286E-2</v>
      </c>
      <c r="AM256" s="137">
        <f t="shared" ref="AM256" si="87">AM254/AL254-1</f>
        <v>3.1159244593918167E-2</v>
      </c>
      <c r="AN256" s="137">
        <f t="shared" ref="AN256" si="88">AN254/AM254-1</f>
        <v>3.0601343713729356E-2</v>
      </c>
      <c r="AO256" s="137">
        <f t="shared" ref="AO256" si="89">AO254/AN254-1</f>
        <v>3.0015242246084206E-2</v>
      </c>
      <c r="AP256" s="137">
        <f t="shared" ref="AP256" si="90">AP254/AO254-1</f>
        <v>2.9410221905677769E-2</v>
      </c>
      <c r="AQ256" s="137">
        <f t="shared" ref="AQ256" si="91">AQ254/AP254-1</f>
        <v>2.9112828728583784E-2</v>
      </c>
      <c r="AR256" s="137">
        <f t="shared" ref="AR256" si="92">AR254/AQ254-1</f>
        <v>2.9081632823890313E-2</v>
      </c>
      <c r="AS256" s="137">
        <f t="shared" ref="AS256" si="93">AS254/AR254-1</f>
        <v>2.9230824662178634E-2</v>
      </c>
      <c r="AT256" s="137">
        <f t="shared" ref="AT256" si="94">AT254/AS254-1</f>
        <v>2.8289956269792027E-2</v>
      </c>
      <c r="AU256" s="137" t="e">
        <f t="shared" ref="AU256" si="95">AU254/AT254-1</f>
        <v>#N/A</v>
      </c>
      <c r="AV256" s="137" t="e">
        <f t="shared" ref="AV256" si="96">AV254/AU254-1</f>
        <v>#N/A</v>
      </c>
      <c r="AW256" s="137" t="e">
        <f t="shared" ref="AW256" si="97">AW254/AV254-1</f>
        <v>#N/A</v>
      </c>
      <c r="AX256" s="137" t="e">
        <f t="shared" ref="AX256" si="98">AX254/AW254-1</f>
        <v>#N/A</v>
      </c>
      <c r="AY256" s="137" t="e">
        <f t="shared" ref="AY256" si="99">AY254/AX254-1</f>
        <v>#N/A</v>
      </c>
      <c r="AZ256" s="137" t="e">
        <f t="shared" ref="AZ256" si="100">AZ254/AY254-1</f>
        <v>#N/A</v>
      </c>
      <c r="BA256" s="137" t="e">
        <f t="shared" ref="BA256" si="101">BA254/AZ254-1</f>
        <v>#N/A</v>
      </c>
      <c r="BB256" s="137" t="e">
        <f t="shared" ref="BB256" si="102">BB254/BA254-1</f>
        <v>#N/A</v>
      </c>
    </row>
    <row r="257" spans="1:42">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row>
    <row r="258" spans="1:42">
      <c r="A258" s="81"/>
      <c r="B258" s="81"/>
      <c r="C258" s="81"/>
      <c r="D258" s="81"/>
      <c r="E258" s="81"/>
    </row>
  </sheetData>
  <pageMargins left="0.7" right="0.7" top="0.75" bottom="0.75" header="0.3" footer="0.3"/>
  <pageSetup paperSize="9" orientation="portrait"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39997558519241921"/>
    <pageSetUpPr autoPageBreaks="0"/>
  </sheetPr>
  <dimension ref="A1:BB258"/>
  <sheetViews>
    <sheetView showGridLines="0" workbookViewId="0"/>
  </sheetViews>
  <sheetFormatPr defaultRowHeight="14.5"/>
  <cols>
    <col min="1" max="1" width="3.08984375" customWidth="1"/>
    <col min="2" max="2" width="21.36328125" customWidth="1"/>
    <col min="3" max="3" width="15" customWidth="1"/>
    <col min="4" max="4" width="17.08984375" customWidth="1"/>
    <col min="5" max="5" width="14.54296875" customWidth="1"/>
    <col min="6" max="6" width="16.08984375" customWidth="1"/>
    <col min="7" max="7" width="14.36328125" customWidth="1"/>
    <col min="8" max="8" width="15" customWidth="1"/>
    <col min="9" max="9" width="16" customWidth="1"/>
    <col min="10" max="10" width="17.54296875" customWidth="1"/>
    <col min="11" max="11" width="16.54296875" customWidth="1"/>
    <col min="12" max="13" width="16" customWidth="1"/>
    <col min="14" max="14" width="25.36328125" customWidth="1"/>
    <col min="15" max="15" width="18.54296875" customWidth="1"/>
    <col min="16" max="31" width="16" bestFit="1" customWidth="1"/>
    <col min="32" max="37" width="13.90625" customWidth="1"/>
    <col min="38" max="54" width="15.36328125" customWidth="1"/>
  </cols>
  <sheetData>
    <row r="1" spans="1:53" s="782" customFormat="1" ht="18.5">
      <c r="A1" s="780" t="s">
        <v>3536</v>
      </c>
    </row>
    <row r="2" spans="1:53" s="782" customFormat="1">
      <c r="A2" s="782" t="s">
        <v>3537</v>
      </c>
    </row>
    <row r="3" spans="1:53" s="782" customFormat="1"/>
    <row r="4" spans="1:53" s="783" customFormat="1"/>
    <row r="6" spans="1:53">
      <c r="B6" s="63"/>
      <c r="C6" s="38"/>
      <c r="D6" s="38"/>
      <c r="E6" s="38"/>
      <c r="F6" s="38"/>
      <c r="G6" s="38"/>
      <c r="H6" s="38"/>
      <c r="I6" s="38"/>
      <c r="J6" s="38"/>
      <c r="K6" s="38"/>
      <c r="L6" s="38"/>
      <c r="M6" s="38"/>
      <c r="N6" s="38"/>
      <c r="O6" s="38"/>
      <c r="P6" s="38"/>
      <c r="Q6" s="38"/>
      <c r="R6" s="38"/>
      <c r="S6" s="38"/>
      <c r="T6" s="38"/>
      <c r="U6" s="38"/>
      <c r="V6" s="38"/>
      <c r="W6" s="38"/>
      <c r="X6" s="38"/>
      <c r="Y6" s="38"/>
      <c r="Z6" s="38"/>
      <c r="AA6" s="38"/>
      <c r="AB6" s="38"/>
      <c r="AC6" s="38"/>
      <c r="AD6" s="38"/>
      <c r="AE6" s="38"/>
    </row>
    <row r="7" spans="1:53" s="588" customFormat="1">
      <c r="A7" s="593" t="s">
        <v>10</v>
      </c>
      <c r="B7" s="639" t="s">
        <v>163</v>
      </c>
      <c r="C7" s="640"/>
      <c r="D7" s="640"/>
      <c r="E7" s="640"/>
      <c r="F7" s="640"/>
      <c r="G7" s="640"/>
      <c r="H7" s="640"/>
      <c r="I7" s="640"/>
      <c r="J7" s="640"/>
      <c r="K7" s="640"/>
      <c r="L7" s="640"/>
      <c r="M7" s="640"/>
      <c r="N7" s="640"/>
      <c r="O7" s="640"/>
      <c r="P7" s="640"/>
      <c r="Q7" s="640"/>
      <c r="R7" s="640"/>
      <c r="S7" s="640"/>
      <c r="T7" s="640"/>
      <c r="U7" s="640"/>
      <c r="V7" s="640"/>
      <c r="W7" s="640"/>
      <c r="X7" s="640"/>
      <c r="Y7" s="640"/>
      <c r="Z7" s="640"/>
      <c r="AA7" s="640"/>
      <c r="AB7" s="640"/>
      <c r="AC7" s="640"/>
      <c r="AD7" s="640"/>
      <c r="AE7" s="640"/>
    </row>
    <row r="8" spans="1:53">
      <c r="B8" s="63"/>
      <c r="C8" s="38"/>
      <c r="D8" s="38"/>
      <c r="E8" s="75"/>
      <c r="F8" s="38"/>
      <c r="G8" s="38"/>
      <c r="H8" s="38"/>
      <c r="I8" s="38"/>
      <c r="J8" s="38"/>
      <c r="K8" s="38"/>
      <c r="L8" s="38"/>
      <c r="M8" s="38"/>
      <c r="N8" s="38"/>
      <c r="O8" s="38"/>
      <c r="P8" s="38"/>
      <c r="Q8" s="38"/>
      <c r="R8" s="38"/>
      <c r="S8" s="38"/>
      <c r="T8" s="38"/>
      <c r="U8" s="38"/>
      <c r="V8" s="38"/>
      <c r="W8" s="38"/>
      <c r="X8" s="38"/>
      <c r="Y8" s="38"/>
      <c r="Z8" s="38"/>
      <c r="AA8" s="38"/>
      <c r="AB8" s="38"/>
      <c r="AC8" s="38"/>
      <c r="AD8" s="38"/>
      <c r="AE8" s="38"/>
    </row>
    <row r="9" spans="1:53">
      <c r="C9" s="72"/>
      <c r="D9" s="69"/>
      <c r="E9" s="75"/>
      <c r="F9" s="38"/>
      <c r="G9" s="38"/>
      <c r="H9" s="38"/>
      <c r="I9" s="38"/>
      <c r="J9" s="38"/>
      <c r="K9" s="38"/>
      <c r="L9" s="38"/>
      <c r="M9" s="38"/>
      <c r="N9" s="38"/>
      <c r="O9" s="38"/>
      <c r="P9" s="38"/>
      <c r="Q9" s="38"/>
      <c r="R9" s="38"/>
      <c r="S9" s="38"/>
      <c r="T9" s="38"/>
      <c r="U9" s="38"/>
      <c r="V9" s="38"/>
      <c r="W9" s="38"/>
      <c r="X9" s="38"/>
      <c r="Y9" s="38"/>
      <c r="Z9" s="38"/>
      <c r="AA9" s="38"/>
      <c r="AB9" s="38"/>
      <c r="AC9" s="38"/>
      <c r="AD9" s="38"/>
      <c r="AE9" s="38"/>
    </row>
    <row r="10" spans="1:53" s="4" customFormat="1">
      <c r="B10" s="67"/>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row>
    <row r="11" spans="1:53" s="4" customFormat="1">
      <c r="C11" s="34">
        <f>'Prevalence projection'!C$21</f>
        <v>2020</v>
      </c>
      <c r="D11" s="34">
        <f>'Prevalence projection'!D$21</f>
        <v>2021</v>
      </c>
      <c r="E11" s="34">
        <f>'Prevalence projection'!E$21</f>
        <v>2022</v>
      </c>
      <c r="F11" s="34">
        <f>'Prevalence projection'!F$21</f>
        <v>2023</v>
      </c>
      <c r="G11" s="34">
        <f>'Prevalence projection'!G$21</f>
        <v>2024</v>
      </c>
      <c r="H11" s="34">
        <f>'Prevalence projection'!H$21</f>
        <v>2025</v>
      </c>
      <c r="I11" s="34">
        <f>'Prevalence projection'!I$21</f>
        <v>2026</v>
      </c>
      <c r="J11" s="34">
        <f>'Prevalence projection'!J$21</f>
        <v>2027</v>
      </c>
      <c r="K11" s="34">
        <f>'Prevalence projection'!K$21</f>
        <v>2028</v>
      </c>
      <c r="L11" s="34">
        <f>'Prevalence projection'!L$21</f>
        <v>2029</v>
      </c>
      <c r="M11" s="34">
        <f>'Prevalence projection'!M$21</f>
        <v>2030</v>
      </c>
      <c r="N11" s="34">
        <f>'Prevalence projection'!N$21</f>
        <v>2031</v>
      </c>
      <c r="O11" s="34">
        <f>'Prevalence projection'!O$21</f>
        <v>2032</v>
      </c>
      <c r="P11" s="34">
        <f>'Prevalence projection'!P$21</f>
        <v>2033</v>
      </c>
      <c r="Q11" s="34">
        <f>'Prevalence projection'!Q$21</f>
        <v>2034</v>
      </c>
      <c r="R11" s="34">
        <f>'Prevalence projection'!R$21</f>
        <v>2035</v>
      </c>
      <c r="S11" s="34">
        <f>'Prevalence projection'!S$21</f>
        <v>2036</v>
      </c>
      <c r="T11" s="34">
        <f>'Prevalence projection'!T$21</f>
        <v>2037</v>
      </c>
      <c r="U11" s="34">
        <f>'Prevalence projection'!U$21</f>
        <v>2038</v>
      </c>
      <c r="V11" s="34">
        <f>'Prevalence projection'!V$21</f>
        <v>2039</v>
      </c>
      <c r="W11" s="34">
        <f>'Prevalence projection'!W$21</f>
        <v>2040</v>
      </c>
      <c r="X11" s="34">
        <f>'Prevalence projection'!X$21</f>
        <v>2041</v>
      </c>
      <c r="Y11" s="34">
        <f>'Prevalence projection'!Y$21</f>
        <v>2042</v>
      </c>
      <c r="Z11" s="34">
        <f>'Prevalence projection'!Z$21</f>
        <v>2043</v>
      </c>
      <c r="AA11" s="34">
        <f>'Prevalence projection'!AA$21</f>
        <v>2044</v>
      </c>
      <c r="AB11" s="34">
        <f>'Prevalence projection'!AB$21</f>
        <v>2045</v>
      </c>
      <c r="AC11" s="34">
        <f>'Prevalence projection'!AC$21</f>
        <v>2046</v>
      </c>
      <c r="AD11" s="34">
        <f>'Prevalence projection'!AD$21</f>
        <v>2047</v>
      </c>
      <c r="AE11" s="34">
        <f>'Prevalence projection'!AE$21</f>
        <v>2048</v>
      </c>
      <c r="AF11" s="34">
        <f>'Prevalence projection'!AF$21</f>
        <v>2049</v>
      </c>
      <c r="AG11" s="34">
        <f>'Prevalence projection'!AG$21</f>
        <v>2050</v>
      </c>
      <c r="AH11" s="34">
        <f>'Prevalence projection'!AH$21</f>
        <v>2051</v>
      </c>
      <c r="AI11" s="34">
        <f>'Prevalence projection'!AI$21</f>
        <v>2052</v>
      </c>
      <c r="AJ11" s="34">
        <f>'Prevalence projection'!AJ$21</f>
        <v>2053</v>
      </c>
      <c r="AK11" s="34">
        <f>'Prevalence projection'!AK$21</f>
        <v>2054</v>
      </c>
      <c r="AL11" s="34">
        <f>'Prevalence projection'!AL$21</f>
        <v>2055</v>
      </c>
      <c r="AM11" s="34">
        <f>'Prevalence projection'!AM$21</f>
        <v>2056</v>
      </c>
      <c r="AN11" s="34">
        <f>'Prevalence projection'!AN$21</f>
        <v>2057</v>
      </c>
      <c r="AO11" s="34">
        <f>'Prevalence projection'!AO$21</f>
        <v>2058</v>
      </c>
      <c r="AP11" s="34">
        <f>'Prevalence projection'!AP$21</f>
        <v>2059</v>
      </c>
      <c r="AQ11" s="34">
        <f>'Prevalence projection'!AQ$21</f>
        <v>2060</v>
      </c>
      <c r="AR11" s="34">
        <f>'Prevalence projection'!AR$21</f>
        <v>2061</v>
      </c>
      <c r="AS11" s="34">
        <f>'Prevalence projection'!AS$21</f>
        <v>2062</v>
      </c>
      <c r="AT11" s="34">
        <f>'Prevalence projection'!AT$21</f>
        <v>2063</v>
      </c>
      <c r="AU11" s="34">
        <f>'Prevalence projection'!AU$21</f>
        <v>2064</v>
      </c>
      <c r="AV11" s="34">
        <f>'Prevalence projection'!AV$21</f>
        <v>2065</v>
      </c>
      <c r="AW11" s="34">
        <f>'Prevalence projection'!AW$21</f>
        <v>2066</v>
      </c>
      <c r="AX11" s="34">
        <f>'Prevalence projection'!AX$21</f>
        <v>2067</v>
      </c>
      <c r="AY11" s="34">
        <f>'Prevalence projection'!AY$21</f>
        <v>2068</v>
      </c>
      <c r="AZ11" s="34">
        <f>'Prevalence projection'!AZ$21</f>
        <v>2069</v>
      </c>
      <c r="BA11" s="34">
        <f>'Prevalence projection'!BA$21</f>
        <v>2070</v>
      </c>
    </row>
    <row r="12" spans="1:53" s="4" customFormat="1">
      <c r="B12" s="12" t="s">
        <v>2519</v>
      </c>
      <c r="C12" s="39">
        <f>'Prevalence projection'!C34</f>
        <v>283.5</v>
      </c>
      <c r="D12" s="39">
        <f>'Prevalence projection'!D34</f>
        <v>293.19015912843923</v>
      </c>
      <c r="E12" s="39">
        <f>'Prevalence projection'!E34</f>
        <v>301.48374143342193</v>
      </c>
      <c r="F12" s="39">
        <f>'Prevalence projection'!F34</f>
        <v>308.83682243526221</v>
      </c>
      <c r="G12" s="39">
        <f>'Prevalence projection'!G34</f>
        <v>315.66336153104555</v>
      </c>
      <c r="H12" s="39">
        <f>'Prevalence projection'!H34</f>
        <v>322.19175345226876</v>
      </c>
      <c r="I12" s="39">
        <f>'Prevalence projection'!I34</f>
        <v>328.42933957913374</v>
      </c>
      <c r="J12" s="39">
        <f>'Prevalence projection'!J34</f>
        <v>334.48368644395077</v>
      </c>
      <c r="K12" s="39">
        <f>'Prevalence projection'!K34</f>
        <v>340.99506544330711</v>
      </c>
      <c r="L12" s="39">
        <f>'Prevalence projection'!L34</f>
        <v>347.54433910494078</v>
      </c>
      <c r="M12" s="39">
        <f>'Prevalence projection'!M34</f>
        <v>353.9335530451695</v>
      </c>
      <c r="N12" s="39">
        <f>'Prevalence projection'!N34</f>
        <v>360.08149765896474</v>
      </c>
      <c r="O12" s="39">
        <f>'Prevalence projection'!O34</f>
        <v>365.94273719361729</v>
      </c>
      <c r="P12" s="39">
        <f>'Prevalence projection'!P34</f>
        <v>371.63357254034554</v>
      </c>
      <c r="Q12" s="39">
        <f>'Prevalence projection'!Q34</f>
        <v>377.28462221783354</v>
      </c>
      <c r="R12" s="39">
        <f>'Prevalence projection'!R34</f>
        <v>382.91124507394051</v>
      </c>
      <c r="S12" s="39">
        <f>'Prevalence projection'!S34</f>
        <v>388.40785027493911</v>
      </c>
      <c r="T12" s="39">
        <f>'Prevalence projection'!T34</f>
        <v>393.79137790071479</v>
      </c>
      <c r="U12" s="39">
        <f>'Prevalence projection'!U34</f>
        <v>399.30705953387786</v>
      </c>
      <c r="V12" s="39">
        <f>'Prevalence projection'!V34</f>
        <v>404.74467173140539</v>
      </c>
      <c r="W12" s="39">
        <f>'Prevalence projection'!W34</f>
        <v>410.04642242123879</v>
      </c>
      <c r="X12" s="39">
        <f>'Prevalence projection'!X34</f>
        <v>415.20473751024616</v>
      </c>
      <c r="Y12" s="39">
        <f>'Prevalence projection'!Y34</f>
        <v>420.31948942780423</v>
      </c>
      <c r="Z12" s="39">
        <f>'Prevalence projection'!Z34</f>
        <v>425.36743791398737</v>
      </c>
      <c r="AA12" s="39">
        <f>'Prevalence projection'!AA34</f>
        <v>430.30770230249254</v>
      </c>
      <c r="AB12" s="39">
        <f>'Prevalence projection'!AB34</f>
        <v>435.10950561269595</v>
      </c>
      <c r="AC12" s="39">
        <f>'Prevalence projection'!AC34</f>
        <v>439.74266739692985</v>
      </c>
      <c r="AD12" s="39">
        <f>'Prevalence projection'!AD34</f>
        <v>444.18569541933527</v>
      </c>
      <c r="AE12" s="39">
        <f>'Prevalence projection'!AE34</f>
        <v>448.41940089072472</v>
      </c>
      <c r="AF12" s="39">
        <f>'Prevalence projection'!AF34</f>
        <v>452.46367760839098</v>
      </c>
      <c r="AG12" s="39">
        <f>'Prevalence projection'!AG34</f>
        <v>456.41100265391947</v>
      </c>
      <c r="AH12" s="39">
        <f>'Prevalence projection'!AH34</f>
        <v>460.27011631298654</v>
      </c>
      <c r="AI12" s="39">
        <f>'Prevalence projection'!AI34</f>
        <v>464.07389002202655</v>
      </c>
      <c r="AJ12" s="39">
        <f>'Prevalence projection'!AJ34</f>
        <v>467.71828530869021</v>
      </c>
      <c r="AK12" s="39">
        <f>'Prevalence projection'!AK34</f>
        <v>471.12633268040184</v>
      </c>
      <c r="AL12" s="39">
        <f>'Prevalence projection'!AL34</f>
        <v>474.24785259532592</v>
      </c>
      <c r="AM12" s="39">
        <f>'Prevalence projection'!AM34</f>
        <v>477.11785402259244</v>
      </c>
      <c r="AN12" s="39">
        <f>'Prevalence projection'!AN34</f>
        <v>479.74524078913566</v>
      </c>
      <c r="AO12" s="39">
        <f>'Prevalence projection'!AO34</f>
        <v>482.11835741990541</v>
      </c>
      <c r="AP12" s="39">
        <f>'Prevalence projection'!AP34</f>
        <v>484.34999220145539</v>
      </c>
      <c r="AQ12" s="39">
        <f>'Prevalence projection'!AQ34</f>
        <v>486.56341593324072</v>
      </c>
      <c r="AR12" s="39">
        <f>'Prevalence projection'!AR34</f>
        <v>488.85460170855845</v>
      </c>
      <c r="AS12" s="39">
        <f>'Prevalence projection'!AS34</f>
        <v>490.58043739381657</v>
      </c>
      <c r="AT12" s="39">
        <f>'Prevalence projection'!AT34</f>
        <v>491.88042312373727</v>
      </c>
      <c r="AU12" s="39">
        <f>'Prevalence projection'!AU34</f>
        <v>492.8596373748</v>
      </c>
      <c r="AV12" s="39">
        <f>'Prevalence projection'!AV34</f>
        <v>493.59723050941307</v>
      </c>
      <c r="AW12" s="39">
        <f>'Prevalence projection'!AW34</f>
        <v>494.15282253806032</v>
      </c>
      <c r="AX12" s="39">
        <f>'Prevalence projection'!AX34</f>
        <v>494.57132223363885</v>
      </c>
      <c r="AY12" s="39">
        <f>'Prevalence projection'!AY34</f>
        <v>494.88655712933343</v>
      </c>
      <c r="AZ12" s="39">
        <f>'Prevalence projection'!AZ34</f>
        <v>495.12400781451532</v>
      </c>
      <c r="BA12" s="39">
        <f>'Prevalence projection'!BA34</f>
        <v>495.30286754312863</v>
      </c>
    </row>
    <row r="13" spans="1:53" s="4" customFormat="1">
      <c r="B13" s="12" t="s">
        <v>97</v>
      </c>
      <c r="C13" s="39">
        <f>'Prevalence projection'!C35</f>
        <v>133.245</v>
      </c>
      <c r="D13" s="39">
        <f>'Prevalence projection'!D35</f>
        <v>137.79937479036644</v>
      </c>
      <c r="E13" s="39">
        <f>'Prevalence projection'!E35</f>
        <v>141.69735847370831</v>
      </c>
      <c r="F13" s="39">
        <f>'Prevalence projection'!F35</f>
        <v>145.15330654457324</v>
      </c>
      <c r="G13" s="39">
        <f>'Prevalence projection'!G35</f>
        <v>148.36177991959141</v>
      </c>
      <c r="H13" s="39">
        <f>'Prevalence projection'!H35</f>
        <v>151.4301241225663</v>
      </c>
      <c r="I13" s="39">
        <f>'Prevalence projection'!I35</f>
        <v>154.36178960219286</v>
      </c>
      <c r="J13" s="39">
        <f>'Prevalence projection'!J35</f>
        <v>157.20733262865684</v>
      </c>
      <c r="K13" s="39">
        <f>'Prevalence projection'!K35</f>
        <v>160.26768075835435</v>
      </c>
      <c r="L13" s="39">
        <f>'Prevalence projection'!L35</f>
        <v>163.34583937932214</v>
      </c>
      <c r="M13" s="39">
        <f>'Prevalence projection'!M35</f>
        <v>166.34876993122967</v>
      </c>
      <c r="N13" s="39">
        <f>'Prevalence projection'!N35</f>
        <v>169.23830389971343</v>
      </c>
      <c r="O13" s="39">
        <f>'Prevalence projection'!O35</f>
        <v>171.99308648100012</v>
      </c>
      <c r="P13" s="39">
        <f>'Prevalence projection'!P35</f>
        <v>174.66777909396239</v>
      </c>
      <c r="Q13" s="39">
        <f>'Prevalence projection'!Q35</f>
        <v>177.32377244238177</v>
      </c>
      <c r="R13" s="39">
        <f>'Prevalence projection'!R35</f>
        <v>179.96828518475203</v>
      </c>
      <c r="S13" s="39">
        <f>'Prevalence projection'!S35</f>
        <v>182.55168962922136</v>
      </c>
      <c r="T13" s="39">
        <f>'Prevalence projection'!T35</f>
        <v>185.08194761333596</v>
      </c>
      <c r="U13" s="39">
        <f>'Prevalence projection'!U35</f>
        <v>187.67431798092258</v>
      </c>
      <c r="V13" s="39">
        <f>'Prevalence projection'!V35</f>
        <v>190.22999571376053</v>
      </c>
      <c r="W13" s="39">
        <f>'Prevalence projection'!W35</f>
        <v>192.72181853798222</v>
      </c>
      <c r="X13" s="39">
        <f>'Prevalence projection'!X35</f>
        <v>195.14622662981569</v>
      </c>
      <c r="Y13" s="39">
        <f>'Prevalence projection'!Y35</f>
        <v>197.55016003106797</v>
      </c>
      <c r="Z13" s="39">
        <f>'Prevalence projection'!Z35</f>
        <v>199.92269581957405</v>
      </c>
      <c r="AA13" s="39">
        <f>'Prevalence projection'!AA35</f>
        <v>202.24462008217148</v>
      </c>
      <c r="AB13" s="39">
        <f>'Prevalence projection'!AB35</f>
        <v>204.5014676379671</v>
      </c>
      <c r="AC13" s="39">
        <f>'Prevalence projection'!AC35</f>
        <v>206.679053676557</v>
      </c>
      <c r="AD13" s="39">
        <f>'Prevalence projection'!AD35</f>
        <v>208.76727684708757</v>
      </c>
      <c r="AE13" s="39">
        <f>'Prevalence projection'!AE35</f>
        <v>210.7571184186406</v>
      </c>
      <c r="AF13" s="39">
        <f>'Prevalence projection'!AF35</f>
        <v>212.65792847594375</v>
      </c>
      <c r="AG13" s="39">
        <f>'Prevalence projection'!AG35</f>
        <v>214.51317124734214</v>
      </c>
      <c r="AH13" s="39">
        <f>'Prevalence projection'!AH35</f>
        <v>216.32695466710368</v>
      </c>
      <c r="AI13" s="39">
        <f>'Prevalence projection'!AI35</f>
        <v>218.11472831035246</v>
      </c>
      <c r="AJ13" s="39">
        <f>'Prevalence projection'!AJ35</f>
        <v>219.82759409508438</v>
      </c>
      <c r="AK13" s="39">
        <f>'Prevalence projection'!AK35</f>
        <v>221.42937635978885</v>
      </c>
      <c r="AL13" s="39">
        <f>'Prevalence projection'!AL35</f>
        <v>222.89649071980318</v>
      </c>
      <c r="AM13" s="39">
        <f>'Prevalence projection'!AM35</f>
        <v>224.24539139061844</v>
      </c>
      <c r="AN13" s="39">
        <f>'Prevalence projection'!AN35</f>
        <v>225.48026317089375</v>
      </c>
      <c r="AO13" s="39">
        <f>'Prevalence projection'!AO35</f>
        <v>226.59562798735553</v>
      </c>
      <c r="AP13" s="39">
        <f>'Prevalence projection'!AP35</f>
        <v>227.64449633468402</v>
      </c>
      <c r="AQ13" s="39">
        <f>'Prevalence projection'!AQ35</f>
        <v>228.68480548862311</v>
      </c>
      <c r="AR13" s="39">
        <f>'Prevalence projection'!AR35</f>
        <v>229.76166280302246</v>
      </c>
      <c r="AS13" s="39">
        <f>'Prevalence projection'!AS35</f>
        <v>230.57280557509378</v>
      </c>
      <c r="AT13" s="39">
        <f>'Prevalence projection'!AT35</f>
        <v>231.18379886815652</v>
      </c>
      <c r="AU13" s="39">
        <f>'Prevalence projection'!AU35</f>
        <v>231.64402956615598</v>
      </c>
      <c r="AV13" s="39">
        <f>'Prevalence projection'!AV35</f>
        <v>231.99069833942411</v>
      </c>
      <c r="AW13" s="39">
        <f>'Prevalence projection'!AW35</f>
        <v>232.25182659288834</v>
      </c>
      <c r="AX13" s="39">
        <f>'Prevalence projection'!AX35</f>
        <v>232.44852144981024</v>
      </c>
      <c r="AY13" s="39">
        <f>'Prevalence projection'!AY35</f>
        <v>232.59668185078669</v>
      </c>
      <c r="AZ13" s="39">
        <f>'Prevalence projection'!AZ35</f>
        <v>232.70828367282218</v>
      </c>
      <c r="BA13" s="39">
        <f>'Prevalence projection'!BA35</f>
        <v>232.79234774527043</v>
      </c>
    </row>
    <row r="14" spans="1:53" s="4" customFormat="1">
      <c r="B14" s="12" t="s">
        <v>98</v>
      </c>
      <c r="C14" s="39">
        <f>'Prevalence projection'!C36</f>
        <v>150.255</v>
      </c>
      <c r="D14" s="39">
        <f>'Prevalence projection'!D36</f>
        <v>155.39078433807279</v>
      </c>
      <c r="E14" s="39">
        <f>'Prevalence projection'!E36</f>
        <v>159.78638295971362</v>
      </c>
      <c r="F14" s="39">
        <f>'Prevalence projection'!F36</f>
        <v>163.68351589068897</v>
      </c>
      <c r="G14" s="39">
        <f>'Prevalence projection'!G36</f>
        <v>167.30158161145414</v>
      </c>
      <c r="H14" s="39">
        <f>'Prevalence projection'!H36</f>
        <v>170.76162932970246</v>
      </c>
      <c r="I14" s="39">
        <f>'Prevalence projection'!I36</f>
        <v>174.06754997694088</v>
      </c>
      <c r="J14" s="39">
        <f>'Prevalence projection'!J36</f>
        <v>177.27635381529393</v>
      </c>
      <c r="K14" s="39">
        <f>'Prevalence projection'!K36</f>
        <v>180.72738468495277</v>
      </c>
      <c r="L14" s="39">
        <f>'Prevalence projection'!L36</f>
        <v>184.19849972561863</v>
      </c>
      <c r="M14" s="39">
        <f>'Prevalence projection'!M36</f>
        <v>187.58478311393984</v>
      </c>
      <c r="N14" s="39">
        <f>'Prevalence projection'!N36</f>
        <v>190.84319375925131</v>
      </c>
      <c r="O14" s="39">
        <f>'Prevalence projection'!O36</f>
        <v>193.94965071261717</v>
      </c>
      <c r="P14" s="39">
        <f>'Prevalence projection'!P36</f>
        <v>196.96579344638315</v>
      </c>
      <c r="Q14" s="39">
        <f>'Prevalence projection'!Q36</f>
        <v>199.96084977545178</v>
      </c>
      <c r="R14" s="39">
        <f>'Prevalence projection'!R36</f>
        <v>202.94295988918847</v>
      </c>
      <c r="S14" s="39">
        <f>'Prevalence projection'!S36</f>
        <v>205.85616064571775</v>
      </c>
      <c r="T14" s="39">
        <f>'Prevalence projection'!T36</f>
        <v>208.70943028737884</v>
      </c>
      <c r="U14" s="39">
        <f>'Prevalence projection'!U36</f>
        <v>211.63274155295528</v>
      </c>
      <c r="V14" s="39">
        <f>'Prevalence projection'!V36</f>
        <v>214.51467601764486</v>
      </c>
      <c r="W14" s="39">
        <f>'Prevalence projection'!W36</f>
        <v>217.32460388325657</v>
      </c>
      <c r="X14" s="39">
        <f>'Prevalence projection'!X36</f>
        <v>220.05851088043048</v>
      </c>
      <c r="Y14" s="39">
        <f>'Prevalence projection'!Y36</f>
        <v>222.76932939673625</v>
      </c>
      <c r="Z14" s="39">
        <f>'Prevalence projection'!Z36</f>
        <v>225.44474209441333</v>
      </c>
      <c r="AA14" s="39">
        <f>'Prevalence projection'!AA36</f>
        <v>228.06308222032106</v>
      </c>
      <c r="AB14" s="39">
        <f>'Prevalence projection'!AB36</f>
        <v>230.60803797472886</v>
      </c>
      <c r="AC14" s="39">
        <f>'Prevalence projection'!AC36</f>
        <v>233.06361372037284</v>
      </c>
      <c r="AD14" s="39">
        <f>'Prevalence projection'!AD36</f>
        <v>235.4184185722477</v>
      </c>
      <c r="AE14" s="39">
        <f>'Prevalence projection'!AE36</f>
        <v>237.66228247208412</v>
      </c>
      <c r="AF14" s="39">
        <f>'Prevalence projection'!AF36</f>
        <v>239.80574913244723</v>
      </c>
      <c r="AG14" s="39">
        <f>'Prevalence projection'!AG36</f>
        <v>241.89783140657732</v>
      </c>
      <c r="AH14" s="39">
        <f>'Prevalence projection'!AH36</f>
        <v>243.94316164588287</v>
      </c>
      <c r="AI14" s="39">
        <f>'Prevalence projection'!AI36</f>
        <v>245.95916171167408</v>
      </c>
      <c r="AJ14" s="39">
        <f>'Prevalence projection'!AJ36</f>
        <v>247.89069121360583</v>
      </c>
      <c r="AK14" s="39">
        <f>'Prevalence projection'!AK36</f>
        <v>249.696956320613</v>
      </c>
      <c r="AL14" s="39">
        <f>'Prevalence projection'!AL36</f>
        <v>251.35136187552274</v>
      </c>
      <c r="AM14" s="39">
        <f>'Prevalence projection'!AM36</f>
        <v>252.872462631974</v>
      </c>
      <c r="AN14" s="39">
        <f>'Prevalence projection'!AN36</f>
        <v>254.26497761824191</v>
      </c>
      <c r="AO14" s="39">
        <f>'Prevalence projection'!AO36</f>
        <v>255.52272943254988</v>
      </c>
      <c r="AP14" s="39">
        <f>'Prevalence projection'!AP36</f>
        <v>256.70549586677134</v>
      </c>
      <c r="AQ14" s="39">
        <f>'Prevalence projection'!AQ36</f>
        <v>257.87861044461761</v>
      </c>
      <c r="AR14" s="39">
        <f>'Prevalence projection'!AR36</f>
        <v>259.09293890553602</v>
      </c>
      <c r="AS14" s="39">
        <f>'Prevalence projection'!AS36</f>
        <v>260.00763181872276</v>
      </c>
      <c r="AT14" s="39">
        <f>'Prevalence projection'!AT36</f>
        <v>260.69662425558079</v>
      </c>
      <c r="AU14" s="39">
        <f>'Prevalence projection'!AU36</f>
        <v>261.21560780864399</v>
      </c>
      <c r="AV14" s="39">
        <f>'Prevalence projection'!AV36</f>
        <v>261.60653216998895</v>
      </c>
      <c r="AW14" s="39">
        <f>'Prevalence projection'!AW36</f>
        <v>261.90099594517199</v>
      </c>
      <c r="AX14" s="39">
        <f>'Prevalence projection'!AX36</f>
        <v>262.12280078382861</v>
      </c>
      <c r="AY14" s="39">
        <f>'Prevalence projection'!AY36</f>
        <v>262.28987527854673</v>
      </c>
      <c r="AZ14" s="39">
        <f>'Prevalence projection'!AZ36</f>
        <v>262.41572414169315</v>
      </c>
      <c r="BA14" s="39">
        <f>'Prevalence projection'!BA36</f>
        <v>262.51051979785819</v>
      </c>
    </row>
    <row r="15" spans="1:53" s="4" customFormat="1">
      <c r="C15" s="75" t="b">
        <f t="shared" ref="C15:AE15" si="0">C14/C12=$D$18</f>
        <v>1</v>
      </c>
      <c r="D15" s="75" t="b">
        <f t="shared" si="0"/>
        <v>1</v>
      </c>
      <c r="E15" s="75" t="b">
        <f t="shared" si="0"/>
        <v>1</v>
      </c>
      <c r="F15" s="75" t="b">
        <f t="shared" si="0"/>
        <v>1</v>
      </c>
      <c r="G15" s="75" t="b">
        <f t="shared" si="0"/>
        <v>1</v>
      </c>
      <c r="H15" s="75" t="b">
        <f t="shared" si="0"/>
        <v>1</v>
      </c>
      <c r="I15" s="75" t="b">
        <f t="shared" si="0"/>
        <v>1</v>
      </c>
      <c r="J15" s="75" t="b">
        <f t="shared" si="0"/>
        <v>1</v>
      </c>
      <c r="K15" s="75" t="b">
        <f t="shared" si="0"/>
        <v>1</v>
      </c>
      <c r="L15" s="75" t="b">
        <f t="shared" si="0"/>
        <v>1</v>
      </c>
      <c r="M15" s="75" t="b">
        <f t="shared" si="0"/>
        <v>1</v>
      </c>
      <c r="N15" s="75" t="b">
        <f t="shared" si="0"/>
        <v>1</v>
      </c>
      <c r="O15" s="75" t="b">
        <f t="shared" si="0"/>
        <v>1</v>
      </c>
      <c r="P15" s="75" t="b">
        <f t="shared" si="0"/>
        <v>1</v>
      </c>
      <c r="Q15" s="75" t="b">
        <f t="shared" si="0"/>
        <v>1</v>
      </c>
      <c r="R15" s="75" t="b">
        <f t="shared" si="0"/>
        <v>1</v>
      </c>
      <c r="S15" s="75" t="b">
        <f t="shared" si="0"/>
        <v>1</v>
      </c>
      <c r="T15" s="75" t="b">
        <f t="shared" si="0"/>
        <v>1</v>
      </c>
      <c r="U15" s="75" t="b">
        <f t="shared" si="0"/>
        <v>1</v>
      </c>
      <c r="V15" s="75" t="b">
        <f t="shared" si="0"/>
        <v>1</v>
      </c>
      <c r="W15" s="75" t="b">
        <f t="shared" si="0"/>
        <v>1</v>
      </c>
      <c r="X15" s="75" t="b">
        <f t="shared" si="0"/>
        <v>1</v>
      </c>
      <c r="Y15" s="75" t="b">
        <f t="shared" si="0"/>
        <v>1</v>
      </c>
      <c r="Z15" s="75" t="b">
        <f t="shared" si="0"/>
        <v>1</v>
      </c>
      <c r="AA15" s="75" t="b">
        <f t="shared" si="0"/>
        <v>1</v>
      </c>
      <c r="AB15" s="75" t="b">
        <f t="shared" si="0"/>
        <v>1</v>
      </c>
      <c r="AC15" s="75" t="b">
        <f t="shared" si="0"/>
        <v>1</v>
      </c>
      <c r="AD15" s="75" t="b">
        <f t="shared" si="0"/>
        <v>1</v>
      </c>
      <c r="AE15" s="75" t="b">
        <f t="shared" si="0"/>
        <v>1</v>
      </c>
      <c r="AF15" s="75" t="b">
        <f t="shared" ref="AF15:AO15" si="1">AF14/AF12=$D$18</f>
        <v>1</v>
      </c>
      <c r="AG15" s="75" t="b">
        <f t="shared" si="1"/>
        <v>1</v>
      </c>
      <c r="AH15" s="75" t="b">
        <f t="shared" si="1"/>
        <v>1</v>
      </c>
      <c r="AI15" s="75" t="b">
        <f t="shared" si="1"/>
        <v>1</v>
      </c>
      <c r="AJ15" s="75" t="b">
        <f t="shared" si="1"/>
        <v>1</v>
      </c>
      <c r="AK15" s="75" t="b">
        <f t="shared" si="1"/>
        <v>1</v>
      </c>
      <c r="AL15" s="75" t="b">
        <f t="shared" si="1"/>
        <v>1</v>
      </c>
      <c r="AM15" s="75" t="b">
        <f t="shared" si="1"/>
        <v>1</v>
      </c>
      <c r="AN15" s="75" t="b">
        <f t="shared" si="1"/>
        <v>1</v>
      </c>
      <c r="AO15" s="75" t="b">
        <f t="shared" si="1"/>
        <v>1</v>
      </c>
      <c r="AP15" s="75" t="b">
        <f t="shared" ref="AP15:BA15" si="2">AP14/AP12=$D$18</f>
        <v>1</v>
      </c>
      <c r="AQ15" s="75" t="b">
        <f t="shared" si="2"/>
        <v>1</v>
      </c>
      <c r="AR15" s="75" t="b">
        <f t="shared" si="2"/>
        <v>1</v>
      </c>
      <c r="AS15" s="75" t="b">
        <f t="shared" si="2"/>
        <v>1</v>
      </c>
      <c r="AT15" s="75" t="b">
        <f t="shared" si="2"/>
        <v>1</v>
      </c>
      <c r="AU15" s="75" t="b">
        <f t="shared" si="2"/>
        <v>1</v>
      </c>
      <c r="AV15" s="75" t="b">
        <f t="shared" si="2"/>
        <v>1</v>
      </c>
      <c r="AW15" s="75" t="b">
        <f t="shared" si="2"/>
        <v>1</v>
      </c>
      <c r="AX15" s="75" t="b">
        <f t="shared" si="2"/>
        <v>1</v>
      </c>
      <c r="AY15" s="75" t="b">
        <f t="shared" si="2"/>
        <v>1</v>
      </c>
      <c r="AZ15" s="75" t="b">
        <f t="shared" si="2"/>
        <v>1</v>
      </c>
      <c r="BA15" s="75" t="b">
        <f t="shared" si="2"/>
        <v>1</v>
      </c>
    </row>
    <row r="16" spans="1:53" s="4" customFormat="1">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75"/>
      <c r="AE16" s="75"/>
    </row>
    <row r="17" spans="1:31" ht="21.65" customHeight="1">
      <c r="B17" s="65"/>
      <c r="C17" s="59" t="s">
        <v>152</v>
      </c>
      <c r="D17" s="98" t="s">
        <v>153</v>
      </c>
      <c r="E17" s="75"/>
      <c r="G17" s="38"/>
      <c r="H17" s="38"/>
      <c r="I17" s="73"/>
      <c r="J17" s="74"/>
      <c r="K17" s="38"/>
      <c r="L17" s="38"/>
      <c r="M17" s="38"/>
      <c r="N17" s="38"/>
      <c r="O17" s="38"/>
      <c r="P17" s="38"/>
      <c r="Q17" s="38"/>
      <c r="R17" s="38"/>
      <c r="S17" s="38"/>
      <c r="T17" s="38"/>
      <c r="U17" s="38"/>
      <c r="V17" s="38"/>
      <c r="W17" s="38"/>
      <c r="X17" s="38"/>
      <c r="Y17" s="38"/>
      <c r="Z17" s="38"/>
      <c r="AA17" s="38"/>
      <c r="AB17" s="38"/>
      <c r="AC17" s="38"/>
      <c r="AD17" s="38"/>
      <c r="AE17" s="38"/>
    </row>
    <row r="18" spans="1:31">
      <c r="B18" s="12" t="s">
        <v>2518</v>
      </c>
      <c r="C18" s="24">
        <f>Epidemiology!C104</f>
        <v>0.47</v>
      </c>
      <c r="D18" s="24">
        <f>1-C18</f>
        <v>0.53</v>
      </c>
      <c r="E18" s="75"/>
      <c r="G18" s="38"/>
      <c r="H18" s="71"/>
      <c r="I18" s="71"/>
      <c r="J18" s="70"/>
      <c r="K18" s="38"/>
      <c r="L18" s="38"/>
      <c r="M18" s="38"/>
      <c r="N18" s="38"/>
      <c r="O18" s="38"/>
      <c r="P18" s="38"/>
      <c r="Q18" s="38"/>
      <c r="R18" s="38"/>
      <c r="S18" s="38"/>
      <c r="T18" s="38"/>
      <c r="U18" s="38"/>
      <c r="V18" s="38"/>
      <c r="W18" s="38"/>
      <c r="X18" s="38"/>
      <c r="Y18" s="38"/>
      <c r="Z18" s="38"/>
      <c r="AA18" s="38"/>
      <c r="AB18" s="38"/>
      <c r="AC18" s="38"/>
      <c r="AD18" s="38"/>
      <c r="AE18" s="38"/>
    </row>
    <row r="19" spans="1:31">
      <c r="E19" s="75"/>
      <c r="G19" s="38"/>
      <c r="H19" s="71"/>
      <c r="I19" s="71"/>
      <c r="J19" s="38"/>
      <c r="K19" s="38"/>
      <c r="L19" s="38"/>
      <c r="M19" s="38"/>
      <c r="N19" s="38"/>
      <c r="O19" s="38"/>
      <c r="P19" s="38"/>
      <c r="Q19" s="38"/>
      <c r="R19" s="38"/>
      <c r="S19" s="38"/>
      <c r="T19" s="38"/>
      <c r="U19" s="38"/>
      <c r="V19" s="38"/>
      <c r="W19" s="38"/>
      <c r="X19" s="38"/>
      <c r="Y19" s="38"/>
      <c r="Z19" s="38"/>
      <c r="AA19" s="38"/>
      <c r="AB19" s="38"/>
      <c r="AC19" s="38"/>
      <c r="AD19" s="38"/>
      <c r="AE19" s="38"/>
    </row>
    <row r="20" spans="1:31" s="4" customFormat="1">
      <c r="C20" s="75"/>
      <c r="D20" s="75"/>
      <c r="E20" s="75"/>
      <c r="F20" s="75"/>
      <c r="G20" s="75"/>
      <c r="H20" s="75"/>
      <c r="I20" s="75"/>
      <c r="J20" s="75"/>
      <c r="K20" s="75"/>
      <c r="L20" s="75"/>
      <c r="M20" s="75"/>
      <c r="N20" s="75"/>
      <c r="O20" s="75"/>
      <c r="P20" s="75"/>
      <c r="Q20" s="75"/>
      <c r="R20" s="75"/>
      <c r="S20" s="75"/>
      <c r="T20" s="75"/>
      <c r="U20" s="75"/>
      <c r="V20" s="75"/>
      <c r="W20" s="75"/>
      <c r="X20" s="75"/>
      <c r="Y20" s="75"/>
      <c r="Z20" s="75"/>
      <c r="AA20" s="75"/>
      <c r="AB20" s="75"/>
      <c r="AC20" s="75"/>
      <c r="AD20" s="75"/>
      <c r="AE20" s="75"/>
    </row>
    <row r="21" spans="1:31" s="4" customFormat="1">
      <c r="C21" s="38"/>
      <c r="D21" s="38"/>
      <c r="E21" s="38"/>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row>
    <row r="22" spans="1:31" s="588" customFormat="1">
      <c r="A22" s="593" t="s">
        <v>10</v>
      </c>
      <c r="B22" s="639" t="s">
        <v>2928</v>
      </c>
      <c r="J22" s="641"/>
    </row>
    <row r="23" spans="1:31">
      <c r="B23" s="66"/>
      <c r="J23" s="60"/>
    </row>
    <row r="24" spans="1:31">
      <c r="B24" s="108"/>
    </row>
    <row r="25" spans="1:31">
      <c r="A25" s="9"/>
      <c r="B25" s="372" t="s">
        <v>2880</v>
      </c>
    </row>
    <row r="26" spans="1:31">
      <c r="B26" s="7" t="s">
        <v>9</v>
      </c>
      <c r="C26" s="34" t="s">
        <v>2519</v>
      </c>
      <c r="E26" s="34" t="s">
        <v>97</v>
      </c>
      <c r="F26" s="34" t="s">
        <v>98</v>
      </c>
      <c r="H26" s="34" t="s">
        <v>155</v>
      </c>
      <c r="J26" s="79" t="s">
        <v>124</v>
      </c>
      <c r="L26" s="78"/>
    </row>
    <row r="27" spans="1:31" ht="16.25" customHeight="1">
      <c r="B27" s="100" t="s">
        <v>11</v>
      </c>
      <c r="C27" s="101">
        <f>INDEX('Resource costs'!$D$32:$N$32, MATCH(B27, 'Resource costs'!$D$27:$N$27,0))</f>
        <v>3.2763394287648202</v>
      </c>
      <c r="E27" s="101">
        <f t="shared" ref="E27:E33" si="3">C27/((H27*$D$18)+$C$18)</f>
        <v>1.8645834147442064</v>
      </c>
      <c r="F27" s="101">
        <f t="shared" ref="F27:F33" si="4">E27*H27</f>
        <v>4.5282740072359307</v>
      </c>
      <c r="H27" s="82">
        <f>INDEX('Resource costs'!$F$81:$F$94, MATCH(B27,'Resource costs'!$B$81:$B$94,0))</f>
        <v>2.4285714285714288</v>
      </c>
      <c r="J27" s="78" t="b">
        <f t="shared" ref="J27:J33" si="5">E27*$C$18+F27*$D$18=C27</f>
        <v>1</v>
      </c>
      <c r="L27" s="80"/>
      <c r="M27" s="81"/>
    </row>
    <row r="28" spans="1:31" ht="16.25" customHeight="1">
      <c r="B28" s="104" t="s">
        <v>14</v>
      </c>
      <c r="C28" s="105">
        <f>INDEX('Resource costs'!$D$32:$N$32, MATCH(B28, 'Resource costs'!$D$27:$N$27,0))</f>
        <v>1.5999985598508005E-2</v>
      </c>
      <c r="D28" s="106"/>
      <c r="E28" s="105">
        <f t="shared" si="3"/>
        <v>1.6739304898177512E-2</v>
      </c>
      <c r="F28" s="105">
        <f t="shared" si="4"/>
        <v>1.5344362823329384E-2</v>
      </c>
      <c r="G28" s="106"/>
      <c r="H28" s="107">
        <f>'Resource costs'!E65</f>
        <v>0.91666666666666663</v>
      </c>
      <c r="I28" s="108" t="s">
        <v>162</v>
      </c>
      <c r="J28" s="78" t="b">
        <f t="shared" si="5"/>
        <v>1</v>
      </c>
      <c r="L28" s="80"/>
      <c r="M28" s="81"/>
    </row>
    <row r="29" spans="1:31" ht="16.25" customHeight="1">
      <c r="B29" s="104" t="s">
        <v>15</v>
      </c>
      <c r="C29" s="105">
        <f>INDEX('Resource costs'!$D$32:$N$32, MATCH(B29, 'Resource costs'!$D$27:$N$27,0))</f>
        <v>0.15846886937486723</v>
      </c>
      <c r="D29" s="106"/>
      <c r="E29" s="105">
        <f t="shared" si="3"/>
        <v>0.10544763531171852</v>
      </c>
      <c r="F29" s="105">
        <f t="shared" si="4"/>
        <v>0.20548769958181046</v>
      </c>
      <c r="G29" s="106"/>
      <c r="H29" s="107">
        <f>'Resource costs'!E66</f>
        <v>1.9487179487179487</v>
      </c>
      <c r="I29" s="108" t="s">
        <v>162</v>
      </c>
      <c r="J29" s="78" t="b">
        <f t="shared" si="5"/>
        <v>1</v>
      </c>
      <c r="L29" s="80"/>
      <c r="M29" s="81"/>
    </row>
    <row r="30" spans="1:31" ht="16.25" customHeight="1">
      <c r="B30" s="100" t="s">
        <v>16</v>
      </c>
      <c r="C30" s="101">
        <f>INDEX('Resource costs'!$D$32:$N$32, MATCH(B30, 'Resource costs'!$D$27:$N$27,0))</f>
        <v>1.6428292451097934</v>
      </c>
      <c r="E30" s="101">
        <f t="shared" si="3"/>
        <v>0.28471910660481686</v>
      </c>
      <c r="F30" s="101">
        <f t="shared" si="4"/>
        <v>2.8471910660481687</v>
      </c>
      <c r="H30" s="82">
        <f>INDEX('Resource costs'!$F$81:$F$94, MATCH(B30,'Resource costs'!$B$81:$B$94,0))</f>
        <v>10</v>
      </c>
      <c r="J30" s="78" t="b">
        <f t="shared" si="5"/>
        <v>1</v>
      </c>
      <c r="L30" s="80"/>
      <c r="M30" s="81"/>
    </row>
    <row r="31" spans="1:31" ht="16.25" customHeight="1">
      <c r="B31" s="100" t="s">
        <v>103</v>
      </c>
      <c r="C31" s="101">
        <f>INDEX('Resource costs'!$D$32:$N$32, MATCH(B31, 'Resource costs'!$D$27:$N$27,0))</f>
        <v>0.38399994239403207</v>
      </c>
      <c r="E31" s="101">
        <f t="shared" si="3"/>
        <v>0.25098035450590328</v>
      </c>
      <c r="F31" s="101">
        <f t="shared" si="4"/>
        <v>0.50196070901180656</v>
      </c>
      <c r="H31" s="82">
        <f>INDEX('Resource costs'!$F$81:$F$94, MATCH(B31,'Resource costs'!$B$81:$B$94,0))</f>
        <v>2</v>
      </c>
      <c r="J31" s="78" t="b">
        <f t="shared" si="5"/>
        <v>1</v>
      </c>
      <c r="L31" s="80"/>
      <c r="M31" s="81"/>
    </row>
    <row r="32" spans="1:31" ht="16.25" customHeight="1">
      <c r="B32" s="100" t="s">
        <v>104</v>
      </c>
      <c r="C32" s="101">
        <f>INDEX('Resource costs'!$D$32:$N$32, MATCH(B32, 'Resource costs'!$D$27:$N$27,0))</f>
        <v>19.189988082765375</v>
      </c>
      <c r="E32" s="101">
        <f t="shared" si="3"/>
        <v>26.108827323490306</v>
      </c>
      <c r="F32" s="101">
        <f t="shared" si="4"/>
        <v>13.054413661745153</v>
      </c>
      <c r="H32" s="82">
        <f>INDEX('Resource costs'!$F$81:$F$94, MATCH(B32,'Resource costs'!$B$81:$B$94,0))</f>
        <v>0.5</v>
      </c>
      <c r="J32" s="78" t="b">
        <f t="shared" si="5"/>
        <v>1</v>
      </c>
      <c r="L32" s="80"/>
      <c r="M32" s="81"/>
    </row>
    <row r="33" spans="2:13" s="106" customFormat="1" ht="16.25" customHeight="1">
      <c r="B33" s="104" t="s">
        <v>17</v>
      </c>
      <c r="C33" s="105">
        <f>INDEX('Resource costs'!$D$32:$N$32, MATCH(B33, 'Resource costs'!$D$27:$N$27,0))</f>
        <v>130.47751747080997</v>
      </c>
      <c r="E33" s="105">
        <f t="shared" si="3"/>
        <v>92.70472860948172</v>
      </c>
      <c r="F33" s="105">
        <f t="shared" si="4"/>
        <v>163.97414155538411</v>
      </c>
      <c r="H33" s="107">
        <f>'Resource costs'!E67</f>
        <v>1.7687786158797194</v>
      </c>
      <c r="I33" s="108" t="s">
        <v>162</v>
      </c>
      <c r="J33" s="78" t="b">
        <f t="shared" si="5"/>
        <v>1</v>
      </c>
      <c r="L33" s="109"/>
      <c r="M33" s="109"/>
    </row>
    <row r="34" spans="2:13" ht="16.25" customHeight="1">
      <c r="B34" s="100" t="s">
        <v>19</v>
      </c>
      <c r="C34" s="101">
        <f>INDEX('Resource costs'!$D$32:$N$32, MATCH(B34, 'Resource costs'!$D$27:$N$27,0))</f>
        <v>55.373736719124103</v>
      </c>
      <c r="E34" s="143" t="s">
        <v>6</v>
      </c>
      <c r="F34" s="143" t="s">
        <v>6</v>
      </c>
      <c r="H34" s="143" t="s">
        <v>6</v>
      </c>
      <c r="I34" s="110" t="s">
        <v>157</v>
      </c>
      <c r="J34" s="78"/>
      <c r="L34" s="80"/>
      <c r="M34" s="81"/>
    </row>
    <row r="35" spans="2:13">
      <c r="J35" s="78"/>
    </row>
    <row r="36" spans="2:13">
      <c r="B36" s="371" t="s">
        <v>156</v>
      </c>
      <c r="J36" s="78"/>
    </row>
    <row r="37" spans="2:13" ht="29">
      <c r="B37" s="6" t="s">
        <v>106</v>
      </c>
      <c r="C37" s="102">
        <f>C$34*('Resource costs'!C91/SUM('Resource costs'!C$91:C$92))</f>
        <v>33.656391564070802</v>
      </c>
      <c r="E37" s="102">
        <f>C37/((H37*$D$18)+$C$18)</f>
        <v>14.271037317512276</v>
      </c>
      <c r="F37" s="102">
        <f>E37*H37</f>
        <v>50.847177405358543</v>
      </c>
      <c r="H37" s="82">
        <f>INDEX('Resource costs'!$F$81:$F$94, MATCH(B37,'Resource costs'!$B$81:$B$94,0))</f>
        <v>3.5629629629629624</v>
      </c>
      <c r="I37" s="146"/>
      <c r="J37" s="78" t="b">
        <f>E37*$C$18+F37*$D$18=C37</f>
        <v>1</v>
      </c>
    </row>
    <row r="38" spans="2:13" ht="29">
      <c r="B38" s="6" t="s">
        <v>107</v>
      </c>
      <c r="C38" s="102">
        <f>C$34*('Resource costs'!C92/SUM('Resource costs'!C$91:C$92))</f>
        <v>21.717345155053302</v>
      </c>
      <c r="E38" s="102">
        <f>C38/((H38*$D$18)+$C$18)</f>
        <v>9.0656572340471975</v>
      </c>
      <c r="F38" s="102">
        <f>E38*H38</f>
        <v>32.936766518964376</v>
      </c>
      <c r="H38" s="82">
        <f>INDEX('Resource costs'!$F$81:$F$94, MATCH(B38,'Resource costs'!$B$81:$B$94,0))</f>
        <v>3.6331360946745561</v>
      </c>
      <c r="J38" s="78" t="b">
        <f>E38*$C$18+F38*$D$18=C38</f>
        <v>1</v>
      </c>
    </row>
    <row r="39" spans="2:13">
      <c r="C39" s="78" t="b">
        <f>SUM(C37:C38)=C34</f>
        <v>1</v>
      </c>
      <c r="E39" s="78"/>
      <c r="F39" s="78"/>
      <c r="G39" s="78"/>
      <c r="H39" s="78"/>
      <c r="J39" s="78"/>
    </row>
    <row r="40" spans="2:13">
      <c r="B40" s="52"/>
      <c r="C40" s="78"/>
      <c r="E40" s="111"/>
      <c r="F40" s="111"/>
      <c r="H40" s="112"/>
      <c r="J40" s="78"/>
    </row>
    <row r="41" spans="2:13">
      <c r="B41" s="52"/>
      <c r="C41" s="78"/>
      <c r="E41" s="111"/>
      <c r="F41" s="111"/>
      <c r="H41" s="112"/>
      <c r="J41" s="78"/>
    </row>
    <row r="42" spans="2:13">
      <c r="B42" s="370" t="s">
        <v>2881</v>
      </c>
      <c r="C42" s="78"/>
      <c r="H42" s="112"/>
      <c r="J42" s="78"/>
    </row>
    <row r="43" spans="2:13">
      <c r="B43" s="7" t="s">
        <v>125</v>
      </c>
      <c r="E43" s="344" t="s">
        <v>97</v>
      </c>
      <c r="F43" s="344" t="s">
        <v>2797</v>
      </c>
      <c r="H43" s="112"/>
      <c r="J43" s="78"/>
    </row>
    <row r="44" spans="2:13">
      <c r="B44" s="6" t="s">
        <v>2863</v>
      </c>
      <c r="E44" s="368">
        <f>'VLU Care Pathways'!I179</f>
        <v>15.852504801717325</v>
      </c>
      <c r="F44" s="368">
        <f>'VLU Care Pathways'!J179</f>
        <v>59.940119760479043</v>
      </c>
      <c r="H44" s="112"/>
      <c r="J44" s="78"/>
    </row>
    <row r="45" spans="2:13">
      <c r="B45" s="6" t="s">
        <v>2862</v>
      </c>
      <c r="E45" s="368">
        <f>'VLU Care Pathways'!I180</f>
        <v>31.70500960343465</v>
      </c>
      <c r="F45" s="368">
        <f>'VLU Care Pathways'!J180</f>
        <v>119.88023952095809</v>
      </c>
      <c r="H45" s="112"/>
      <c r="J45" s="78"/>
    </row>
    <row r="46" spans="2:13">
      <c r="B46" s="6" t="s">
        <v>131</v>
      </c>
      <c r="E46" s="368">
        <f>'VLU Care Pathways'!I181</f>
        <v>0.90400537771703959</v>
      </c>
      <c r="F46" s="368">
        <f>'VLU Care Pathways'!J181</f>
        <v>3.4223060727859345</v>
      </c>
      <c r="H46" s="112"/>
      <c r="J46" s="78"/>
    </row>
    <row r="47" spans="2:13" ht="29">
      <c r="B47" s="6" t="s">
        <v>2869</v>
      </c>
      <c r="E47" s="368">
        <f>'VLU Care Pathways'!I182</f>
        <v>6.2921703762286771</v>
      </c>
      <c r="F47" s="368">
        <f>'VLU Care Pathways'!J182</f>
        <v>23.820359281437128</v>
      </c>
      <c r="H47" s="112"/>
      <c r="J47" s="78"/>
    </row>
    <row r="48" spans="2:13" ht="29">
      <c r="B48" s="6" t="s">
        <v>2870</v>
      </c>
      <c r="E48" s="368">
        <f>'VLU Care Pathways'!I183</f>
        <v>8.63706342806762</v>
      </c>
      <c r="F48" s="368">
        <f>'VLU Care Pathways'!J183</f>
        <v>32.697454406255979</v>
      </c>
      <c r="H48" s="112"/>
      <c r="J48" s="78"/>
    </row>
    <row r="49" spans="1:10">
      <c r="B49" s="6" t="s">
        <v>102</v>
      </c>
      <c r="E49" s="368">
        <f>'VLU Care Pathways'!I184</f>
        <v>0.1891988023608164</v>
      </c>
      <c r="F49" s="368">
        <f>'VLU Care Pathways'!J184</f>
        <v>0.57038434546432237</v>
      </c>
      <c r="H49" s="112"/>
      <c r="J49" s="78"/>
    </row>
    <row r="50" spans="1:10">
      <c r="B50" s="6" t="s">
        <v>2831</v>
      </c>
      <c r="E50" s="368">
        <f>'VLU Care Pathways'!I185</f>
        <v>396.22276105323613</v>
      </c>
      <c r="F50" s="368">
        <f>'VLU Care Pathways'!J185</f>
        <v>1497.3605381018783</v>
      </c>
      <c r="H50" s="112"/>
      <c r="J50" s="78"/>
    </row>
    <row r="51" spans="1:10">
      <c r="B51" s="6" t="s">
        <v>2832</v>
      </c>
      <c r="E51" s="368">
        <f>'VLU Care Pathways'!I186</f>
        <v>163.97467619426442</v>
      </c>
      <c r="F51" s="368">
        <f>'VLU Care Pathways'!J186</f>
        <v>619.01085500232409</v>
      </c>
      <c r="H51" s="112"/>
      <c r="J51" s="78"/>
    </row>
    <row r="52" spans="1:10">
      <c r="B52" s="6" t="s">
        <v>2871</v>
      </c>
      <c r="E52" s="368">
        <f>'VLU Care Pathways'!I187</f>
        <v>8.63706342806762</v>
      </c>
      <c r="F52" s="368">
        <f>'VLU Care Pathways'!J187</f>
        <v>32.697454406255979</v>
      </c>
      <c r="H52" s="112"/>
      <c r="J52" s="78"/>
    </row>
    <row r="53" spans="1:10">
      <c r="B53" s="52"/>
      <c r="C53" s="78"/>
      <c r="E53" s="111"/>
      <c r="F53" s="111"/>
      <c r="H53" s="112"/>
      <c r="J53" s="78"/>
    </row>
    <row r="54" spans="1:10">
      <c r="B54" s="52"/>
      <c r="C54" s="111"/>
      <c r="E54" s="111"/>
      <c r="F54" s="111"/>
      <c r="H54" s="112"/>
      <c r="J54" s="78"/>
    </row>
    <row r="55" spans="1:10">
      <c r="A55" s="9"/>
      <c r="B55" s="114" t="s">
        <v>2925</v>
      </c>
      <c r="C55" s="111"/>
      <c r="E55" s="111"/>
      <c r="F55" s="111"/>
      <c r="H55" s="112"/>
      <c r="J55" s="78"/>
    </row>
    <row r="56" spans="1:10">
      <c r="B56" s="369"/>
      <c r="C56" s="111"/>
      <c r="E56" s="111"/>
      <c r="F56" s="111"/>
      <c r="H56" s="112"/>
      <c r="J56" s="78"/>
    </row>
    <row r="57" spans="1:10">
      <c r="B57" s="7" t="s">
        <v>9</v>
      </c>
      <c r="C57" s="7" t="s">
        <v>97</v>
      </c>
      <c r="D57" s="7" t="s">
        <v>2797</v>
      </c>
      <c r="E57" s="111"/>
      <c r="H57" s="112"/>
      <c r="J57" s="78"/>
    </row>
    <row r="58" spans="1:10">
      <c r="B58" s="6" t="s">
        <v>11</v>
      </c>
      <c r="C58" s="68">
        <f t="shared" ref="C58:C75" si="6">INDEX(E$27:E$52, MATCH($B58, $B$27:$B$52,0))</f>
        <v>1.8645834147442064</v>
      </c>
      <c r="D58" s="68">
        <f t="shared" ref="D58:D75" si="7">INDEX(F$27:F$52, MATCH($B58, $B$27:$B$52,0))</f>
        <v>4.5282740072359307</v>
      </c>
      <c r="E58" s="78"/>
      <c r="H58" s="112"/>
      <c r="J58" s="78"/>
    </row>
    <row r="59" spans="1:10">
      <c r="B59" s="6" t="s">
        <v>14</v>
      </c>
      <c r="C59" s="68">
        <f t="shared" si="6"/>
        <v>1.6739304898177512E-2</v>
      </c>
      <c r="D59" s="68">
        <f t="shared" si="7"/>
        <v>1.5344362823329384E-2</v>
      </c>
      <c r="E59" s="78"/>
      <c r="H59" s="112"/>
      <c r="J59" s="78"/>
    </row>
    <row r="60" spans="1:10">
      <c r="B60" s="6" t="s">
        <v>15</v>
      </c>
      <c r="C60" s="68">
        <f t="shared" si="6"/>
        <v>0.10544763531171852</v>
      </c>
      <c r="D60" s="68">
        <f t="shared" si="7"/>
        <v>0.20548769958181046</v>
      </c>
      <c r="E60" s="78"/>
      <c r="H60" s="112"/>
      <c r="J60" s="78"/>
    </row>
    <row r="61" spans="1:10" ht="29">
      <c r="B61" s="6" t="s">
        <v>16</v>
      </c>
      <c r="C61" s="68">
        <f t="shared" si="6"/>
        <v>0.28471910660481686</v>
      </c>
      <c r="D61" s="68">
        <f t="shared" si="7"/>
        <v>2.8471910660481687</v>
      </c>
      <c r="E61" s="78"/>
      <c r="H61" s="112"/>
      <c r="J61" s="78"/>
    </row>
    <row r="62" spans="1:10">
      <c r="B62" s="6" t="s">
        <v>103</v>
      </c>
      <c r="C62" s="68">
        <f t="shared" si="6"/>
        <v>0.25098035450590328</v>
      </c>
      <c r="D62" s="68">
        <f t="shared" si="7"/>
        <v>0.50196070901180656</v>
      </c>
      <c r="E62" s="78"/>
      <c r="H62" s="112"/>
      <c r="J62" s="78"/>
    </row>
    <row r="63" spans="1:10">
      <c r="B63" s="6" t="s">
        <v>104</v>
      </c>
      <c r="C63" s="68">
        <f t="shared" si="6"/>
        <v>26.108827323490306</v>
      </c>
      <c r="D63" s="68">
        <f t="shared" si="7"/>
        <v>13.054413661745153</v>
      </c>
      <c r="E63" s="78"/>
      <c r="H63" s="112"/>
      <c r="J63" s="78"/>
    </row>
    <row r="64" spans="1:10">
      <c r="B64" s="6" t="s">
        <v>17</v>
      </c>
      <c r="C64" s="68">
        <f t="shared" si="6"/>
        <v>92.70472860948172</v>
      </c>
      <c r="D64" s="68">
        <f t="shared" si="7"/>
        <v>163.97414155538411</v>
      </c>
      <c r="E64" s="78"/>
      <c r="H64" s="112"/>
      <c r="J64" s="78"/>
    </row>
    <row r="65" spans="1:10" ht="29">
      <c r="B65" s="6" t="s">
        <v>106</v>
      </c>
      <c r="C65" s="68">
        <f t="shared" si="6"/>
        <v>14.271037317512276</v>
      </c>
      <c r="D65" s="68">
        <f t="shared" si="7"/>
        <v>50.847177405358543</v>
      </c>
      <c r="E65" s="78"/>
      <c r="H65" s="112"/>
      <c r="J65" s="78"/>
    </row>
    <row r="66" spans="1:10" ht="29">
      <c r="B66" s="6" t="s">
        <v>107</v>
      </c>
      <c r="C66" s="68">
        <f t="shared" si="6"/>
        <v>9.0656572340471975</v>
      </c>
      <c r="D66" s="68">
        <f t="shared" si="7"/>
        <v>32.936766518964376</v>
      </c>
      <c r="E66" s="78"/>
      <c r="H66" s="112"/>
      <c r="J66" s="78"/>
    </row>
    <row r="67" spans="1:10">
      <c r="B67" s="6" t="s">
        <v>2863</v>
      </c>
      <c r="C67" s="68">
        <f t="shared" si="6"/>
        <v>15.852504801717325</v>
      </c>
      <c r="D67" s="68">
        <f t="shared" si="7"/>
        <v>59.940119760479043</v>
      </c>
      <c r="H67" s="112"/>
      <c r="J67" s="78"/>
    </row>
    <row r="68" spans="1:10">
      <c r="B68" s="6" t="s">
        <v>2862</v>
      </c>
      <c r="C68" s="68">
        <f t="shared" si="6"/>
        <v>31.70500960343465</v>
      </c>
      <c r="D68" s="68">
        <f t="shared" si="7"/>
        <v>119.88023952095809</v>
      </c>
      <c r="H68" s="112"/>
      <c r="J68" s="78"/>
    </row>
    <row r="69" spans="1:10">
      <c r="B69" s="6" t="s">
        <v>131</v>
      </c>
      <c r="C69" s="68">
        <f t="shared" si="6"/>
        <v>0.90400537771703959</v>
      </c>
      <c r="D69" s="68">
        <f t="shared" si="7"/>
        <v>3.4223060727859345</v>
      </c>
      <c r="H69" s="112"/>
      <c r="J69" s="78"/>
    </row>
    <row r="70" spans="1:10" ht="29">
      <c r="B70" s="6" t="s">
        <v>2869</v>
      </c>
      <c r="C70" s="68">
        <f t="shared" si="6"/>
        <v>6.2921703762286771</v>
      </c>
      <c r="D70" s="68">
        <f t="shared" si="7"/>
        <v>23.820359281437128</v>
      </c>
      <c r="H70" s="112"/>
      <c r="J70" s="78"/>
    </row>
    <row r="71" spans="1:10" ht="29">
      <c r="B71" s="6" t="s">
        <v>2870</v>
      </c>
      <c r="C71" s="68">
        <f t="shared" si="6"/>
        <v>8.63706342806762</v>
      </c>
      <c r="D71" s="68">
        <f t="shared" si="7"/>
        <v>32.697454406255979</v>
      </c>
      <c r="H71" s="112"/>
      <c r="J71" s="78"/>
    </row>
    <row r="72" spans="1:10">
      <c r="B72" s="6" t="s">
        <v>102</v>
      </c>
      <c r="C72" s="68">
        <f t="shared" si="6"/>
        <v>0.1891988023608164</v>
      </c>
      <c r="D72" s="68">
        <f t="shared" si="7"/>
        <v>0.57038434546432237</v>
      </c>
      <c r="H72" s="112"/>
      <c r="J72" s="78"/>
    </row>
    <row r="73" spans="1:10">
      <c r="B73" s="6" t="s">
        <v>2831</v>
      </c>
      <c r="C73" s="68">
        <f t="shared" si="6"/>
        <v>396.22276105323613</v>
      </c>
      <c r="D73" s="68">
        <f t="shared" si="7"/>
        <v>1497.3605381018783</v>
      </c>
      <c r="H73" s="112"/>
      <c r="J73" s="78"/>
    </row>
    <row r="74" spans="1:10">
      <c r="B74" s="6" t="s">
        <v>2832</v>
      </c>
      <c r="C74" s="68">
        <f t="shared" si="6"/>
        <v>163.97467619426442</v>
      </c>
      <c r="D74" s="68">
        <f t="shared" si="7"/>
        <v>619.01085500232409</v>
      </c>
      <c r="H74" s="112"/>
      <c r="J74" s="78"/>
    </row>
    <row r="75" spans="1:10">
      <c r="B75" s="6" t="s">
        <v>2871</v>
      </c>
      <c r="C75" s="68">
        <f t="shared" si="6"/>
        <v>8.63706342806762</v>
      </c>
      <c r="D75" s="68">
        <f t="shared" si="7"/>
        <v>32.697454406255979</v>
      </c>
      <c r="E75" s="111"/>
      <c r="H75" s="112"/>
      <c r="J75" s="78"/>
    </row>
    <row r="76" spans="1:10">
      <c r="C76" s="373" t="b">
        <f>SUM(C58:C75)=SUM(E27:E33,E37:E38,E44:E52)</f>
        <v>1</v>
      </c>
      <c r="D76" s="373" t="b">
        <f>SUM(D58:D75)=SUM(F27:F33,F37:F38,F44:F52)</f>
        <v>1</v>
      </c>
      <c r="H76" s="112"/>
      <c r="J76" s="78"/>
    </row>
    <row r="77" spans="1:10">
      <c r="C77" s="373"/>
      <c r="D77" s="373"/>
      <c r="H77" s="112"/>
      <c r="J77" s="78"/>
    </row>
    <row r="79" spans="1:10" s="588" customFormat="1">
      <c r="A79" s="593" t="s">
        <v>10</v>
      </c>
      <c r="B79" s="608" t="s">
        <v>2929</v>
      </c>
      <c r="C79" s="642"/>
      <c r="E79" s="643"/>
      <c r="F79" s="643"/>
      <c r="H79" s="644"/>
      <c r="J79" s="642"/>
    </row>
    <row r="80" spans="1:10">
      <c r="B80" s="410" t="s">
        <v>2930</v>
      </c>
      <c r="C80" s="78"/>
      <c r="E80" s="111"/>
      <c r="F80" s="111"/>
      <c r="H80" s="112"/>
      <c r="J80" s="78"/>
    </row>
    <row r="81" spans="2:53">
      <c r="B81" s="410"/>
      <c r="C81" s="78"/>
      <c r="E81" s="111"/>
      <c r="F81" s="111"/>
      <c r="H81" s="112"/>
      <c r="J81" s="78"/>
    </row>
    <row r="82" spans="2:53">
      <c r="B82" s="392"/>
      <c r="C82" s="78"/>
      <c r="E82" s="111"/>
      <c r="F82" s="111"/>
      <c r="H82" s="112"/>
      <c r="J82" s="78"/>
    </row>
    <row r="83" spans="2:53">
      <c r="B83" s="52"/>
      <c r="C83" s="34">
        <f>'Prevalence projection'!C$21</f>
        <v>2020</v>
      </c>
      <c r="D83" s="34">
        <f>'Prevalence projection'!D$21</f>
        <v>2021</v>
      </c>
      <c r="E83" s="34">
        <f>'Prevalence projection'!E$21</f>
        <v>2022</v>
      </c>
      <c r="F83" s="34">
        <f>'Prevalence projection'!F$21</f>
        <v>2023</v>
      </c>
      <c r="G83" s="34">
        <f>'Prevalence projection'!G$21</f>
        <v>2024</v>
      </c>
      <c r="H83" s="34">
        <f>'Prevalence projection'!H$21</f>
        <v>2025</v>
      </c>
      <c r="I83" s="34">
        <f>'Prevalence projection'!I$21</f>
        <v>2026</v>
      </c>
      <c r="J83" s="34">
        <f>'Prevalence projection'!J$21</f>
        <v>2027</v>
      </c>
      <c r="K83" s="34">
        <f>'Prevalence projection'!K$21</f>
        <v>2028</v>
      </c>
      <c r="L83" s="34">
        <f>'Prevalence projection'!L$21</f>
        <v>2029</v>
      </c>
      <c r="M83" s="34">
        <f>'Prevalence projection'!M$21</f>
        <v>2030</v>
      </c>
      <c r="N83" s="34">
        <f>'Prevalence projection'!N$21</f>
        <v>2031</v>
      </c>
      <c r="O83" s="34">
        <f>'Prevalence projection'!O$21</f>
        <v>2032</v>
      </c>
      <c r="P83" s="34">
        <f>'Prevalence projection'!P$21</f>
        <v>2033</v>
      </c>
      <c r="Q83" s="34">
        <f>'Prevalence projection'!Q$21</f>
        <v>2034</v>
      </c>
      <c r="R83" s="34">
        <f>'Prevalence projection'!R$21</f>
        <v>2035</v>
      </c>
      <c r="S83" s="34">
        <f>'Prevalence projection'!S$21</f>
        <v>2036</v>
      </c>
      <c r="T83" s="34">
        <f>'Prevalence projection'!T$21</f>
        <v>2037</v>
      </c>
      <c r="U83" s="34">
        <f>'Prevalence projection'!U$21</f>
        <v>2038</v>
      </c>
      <c r="V83" s="34">
        <f>'Prevalence projection'!V$21</f>
        <v>2039</v>
      </c>
      <c r="W83" s="34">
        <f>'Prevalence projection'!W$21</f>
        <v>2040</v>
      </c>
      <c r="X83" s="34">
        <f>'Prevalence projection'!X$21</f>
        <v>2041</v>
      </c>
      <c r="Y83" s="34">
        <f>'Prevalence projection'!Y$21</f>
        <v>2042</v>
      </c>
      <c r="Z83" s="34">
        <f>'Prevalence projection'!Z$21</f>
        <v>2043</v>
      </c>
      <c r="AA83" s="34">
        <f>'Prevalence projection'!AA$21</f>
        <v>2044</v>
      </c>
      <c r="AB83" s="34">
        <f>'Prevalence projection'!AB$21</f>
        <v>2045</v>
      </c>
      <c r="AC83" s="34">
        <f>'Prevalence projection'!AC$21</f>
        <v>2046</v>
      </c>
      <c r="AD83" s="34">
        <f>'Prevalence projection'!AD$21</f>
        <v>2047</v>
      </c>
      <c r="AE83" s="34">
        <f>'Prevalence projection'!AE$21</f>
        <v>2048</v>
      </c>
      <c r="AF83" s="34">
        <f>'Prevalence projection'!AF$21</f>
        <v>2049</v>
      </c>
      <c r="AG83" s="34">
        <f>'Prevalence projection'!AG$21</f>
        <v>2050</v>
      </c>
      <c r="AH83" s="34">
        <f>'Prevalence projection'!AH$21</f>
        <v>2051</v>
      </c>
      <c r="AI83" s="34">
        <f>'Prevalence projection'!AI$21</f>
        <v>2052</v>
      </c>
      <c r="AJ83" s="34">
        <f>'Prevalence projection'!AJ$21</f>
        <v>2053</v>
      </c>
      <c r="AK83" s="34">
        <f>'Prevalence projection'!AK$21</f>
        <v>2054</v>
      </c>
      <c r="AL83" s="34">
        <f>'Prevalence projection'!AL$21</f>
        <v>2055</v>
      </c>
      <c r="AM83" s="34">
        <f>'Prevalence projection'!AM$21</f>
        <v>2056</v>
      </c>
      <c r="AN83" s="34">
        <f>'Prevalence projection'!AN$21</f>
        <v>2057</v>
      </c>
      <c r="AO83" s="34">
        <f>'Prevalence projection'!AO$21</f>
        <v>2058</v>
      </c>
      <c r="AP83" s="34">
        <f>'Prevalence projection'!AP$21</f>
        <v>2059</v>
      </c>
      <c r="AQ83" s="34">
        <f>'Prevalence projection'!AQ$21</f>
        <v>2060</v>
      </c>
      <c r="AR83" s="34">
        <f>'Prevalence projection'!AR$21</f>
        <v>2061</v>
      </c>
      <c r="AS83" s="34">
        <f>'Prevalence projection'!AS$21</f>
        <v>2062</v>
      </c>
      <c r="AT83" s="34">
        <f>'Prevalence projection'!AT$21</f>
        <v>2063</v>
      </c>
      <c r="AU83" s="34">
        <f>'Prevalence projection'!AU$21</f>
        <v>2064</v>
      </c>
      <c r="AV83" s="34">
        <f>'Prevalence projection'!AV$21</f>
        <v>2065</v>
      </c>
      <c r="AW83" s="34">
        <f>'Prevalence projection'!AW$21</f>
        <v>2066</v>
      </c>
      <c r="AX83" s="34">
        <f>'Prevalence projection'!AX$21</f>
        <v>2067</v>
      </c>
      <c r="AY83" s="34">
        <f>'Prevalence projection'!AY$21</f>
        <v>2068</v>
      </c>
      <c r="AZ83" s="34">
        <f>'Prevalence projection'!AZ$21</f>
        <v>2069</v>
      </c>
      <c r="BA83" s="34">
        <f>'Prevalence projection'!BA$21</f>
        <v>2070</v>
      </c>
    </row>
    <row r="84" spans="2:53" ht="29">
      <c r="B84" s="411" t="s">
        <v>2908</v>
      </c>
      <c r="C84" s="397">
        <f>'Wound maintenance vols'!C101</f>
        <v>0</v>
      </c>
      <c r="D84" s="397">
        <f>'Wound maintenance vols'!D101</f>
        <v>4.8590541916167656</v>
      </c>
      <c r="E84" s="397">
        <f>'Wound maintenance vols'!E101</f>
        <v>9.884193068702583</v>
      </c>
      <c r="F84" s="397">
        <f>'Wound maintenance vols'!F101</f>
        <v>15.051479973522245</v>
      </c>
      <c r="G84" s="397">
        <f>'Wound maintenance vols'!G101</f>
        <v>20.344795164279436</v>
      </c>
      <c r="H84" s="397">
        <f>'Wound maintenance vols'!H101</f>
        <v>25.755113964939984</v>
      </c>
      <c r="I84" s="397">
        <f>'Wound maintenance vols'!I101</f>
        <v>31.27732627575692</v>
      </c>
      <c r="J84" s="397">
        <f>'Wound maintenance vols'!J101</f>
        <v>36.906447824723116</v>
      </c>
      <c r="K84" s="397">
        <f>'Wound maintenance vols'!K101</f>
        <v>42.639337978666347</v>
      </c>
      <c r="L84" s="397">
        <f>'Wound maintenance vols'!L101</f>
        <v>48.483830049435078</v>
      </c>
      <c r="M84" s="397">
        <f>'Wound maintenance vols'!M101</f>
        <v>54.440573533387607</v>
      </c>
      <c r="N84" s="397">
        <f>'Wound maintenance vols'!N101</f>
        <v>55.647770891957599</v>
      </c>
      <c r="O84" s="397">
        <f>'Wound maintenance vols'!O101</f>
        <v>56.794256390615814</v>
      </c>
      <c r="P84" s="397">
        <f>'Wound maintenance vols'!P101</f>
        <v>57.899052699384718</v>
      </c>
      <c r="Q84" s="397">
        <f>'Wound maintenance vols'!Q101</f>
        <v>58.975358913910355</v>
      </c>
      <c r="R84" s="397">
        <f>'Wound maintenance vols'!R101</f>
        <v>60.031517802915104</v>
      </c>
      <c r="S84" s="397">
        <f>'Wound maintenance vols'!S101</f>
        <v>61.072220802128939</v>
      </c>
      <c r="T84" s="397">
        <f>'Wound maintenance vols'!T101</f>
        <v>62.100223743234352</v>
      </c>
      <c r="U84" s="397">
        <f>'Wound maintenance vols'!U101</f>
        <v>63.116729163933122</v>
      </c>
      <c r="V84" s="397">
        <f>'Wound maintenance vols'!V101</f>
        <v>64.116168808756115</v>
      </c>
      <c r="W84" s="397">
        <f>'Wound maintenance vols'!W101</f>
        <v>65.096555108616769</v>
      </c>
      <c r="X84" s="397">
        <f>'Wound maintenance vols'!X101</f>
        <v>66.058302809306142</v>
      </c>
      <c r="Y84" s="397">
        <f>'Wound maintenance vols'!Y101</f>
        <v>67.003088734014668</v>
      </c>
      <c r="Z84" s="397">
        <f>'Wound maintenance vols'!Z101</f>
        <v>67.935080218565034</v>
      </c>
      <c r="AA84" s="397">
        <f>'Wound maintenance vols'!AA101</f>
        <v>68.856052930295434</v>
      </c>
      <c r="AB84" s="397">
        <f>'Wound maintenance vols'!AB101</f>
        <v>69.764843122668594</v>
      </c>
      <c r="AC84" s="397">
        <f>'Wound maintenance vols'!AC101</f>
        <v>70.659496303148117</v>
      </c>
      <c r="AD84" s="397">
        <f>'Wound maintenance vols'!AD101</f>
        <v>71.539350477089883</v>
      </c>
      <c r="AE84" s="397">
        <f>'Wound maintenance vols'!AE101</f>
        <v>72.403084938368607</v>
      </c>
      <c r="AF84" s="397">
        <f>'Wound maintenance vols'!AF101</f>
        <v>73.244846942354854</v>
      </c>
      <c r="AG84" s="397">
        <f>'Wound maintenance vols'!AG101</f>
        <v>74.062727843682381</v>
      </c>
      <c r="AH84" s="397">
        <f>'Wound maintenance vols'!AH101</f>
        <v>74.85739453829315</v>
      </c>
      <c r="AI84" s="397">
        <f>'Wound maintenance vols'!AI101</f>
        <v>75.62979354276672</v>
      </c>
      <c r="AJ84" s="397">
        <f>'Wound maintenance vols'!AJ101</f>
        <v>76.379723008759797</v>
      </c>
      <c r="AK84" s="397">
        <f>'Wound maintenance vols'!AK101</f>
        <v>77.105596245273915</v>
      </c>
      <c r="AL84" s="397">
        <f>'Wound maintenance vols'!AL101</f>
        <v>77.805208016116367</v>
      </c>
      <c r="AM84" s="397">
        <f>'Wound maintenance vols'!AM101</f>
        <v>78.476020534489891</v>
      </c>
      <c r="AN84" s="397">
        <f>'Wound maintenance vols'!AN101</f>
        <v>79.116613328972733</v>
      </c>
      <c r="AO84" s="397">
        <f>'Wound maintenance vols'!AO101</f>
        <v>79.726086902098373</v>
      </c>
      <c r="AP84" s="397">
        <f>'Wound maintenance vols'!AP101</f>
        <v>80.303670873795824</v>
      </c>
      <c r="AQ84" s="397">
        <f>'Wound maintenance vols'!AQ101</f>
        <v>80.850187031039709</v>
      </c>
      <c r="AR84" s="397">
        <f>'Wound maintenance vols'!AR101</f>
        <v>81.366984950377429</v>
      </c>
      <c r="AS84" s="397">
        <f>'Wound maintenance vols'!AS101</f>
        <v>81.85690933689088</v>
      </c>
      <c r="AT84" s="397">
        <f>'Wound maintenance vols'!AT101</f>
        <v>82.311218861096108</v>
      </c>
      <c r="AU84" s="397">
        <f>'Wound maintenance vols'!AU101</f>
        <v>82.725346328569216</v>
      </c>
      <c r="AV84" s="397">
        <f>'Wound maintenance vols'!AV101</f>
        <v>83.097844759867272</v>
      </c>
      <c r="AW84" s="397">
        <f>'Wound maintenance vols'!AW101</f>
        <v>83.42948382815166</v>
      </c>
      <c r="AX84" s="397">
        <f>'Wound maintenance vols'!AX101</f>
        <v>83.721455028042826</v>
      </c>
      <c r="AY84" s="397">
        <f>'Wound maintenance vols'!AY101</f>
        <v>83.975566961687136</v>
      </c>
      <c r="AZ84" s="397">
        <f>'Wound maintenance vols'!AZ101</f>
        <v>84.19440778820389</v>
      </c>
      <c r="BA84" s="397">
        <f>'Wound maintenance vols'!BA101</f>
        <v>84.379069254606648</v>
      </c>
    </row>
    <row r="85" spans="2:53">
      <c r="B85" s="408"/>
      <c r="C85" s="409"/>
      <c r="D85" s="409"/>
      <c r="E85" s="409"/>
      <c r="F85" s="409"/>
      <c r="G85" s="409"/>
      <c r="H85" s="409"/>
      <c r="I85" s="409"/>
      <c r="J85" s="409"/>
      <c r="K85" s="409"/>
      <c r="L85" s="409"/>
      <c r="M85" s="409"/>
      <c r="N85" s="409"/>
      <c r="O85" s="409"/>
      <c r="P85" s="409"/>
      <c r="Q85" s="409"/>
      <c r="R85" s="409"/>
      <c r="S85" s="409"/>
      <c r="T85" s="409"/>
      <c r="U85" s="409"/>
      <c r="V85" s="409"/>
      <c r="W85" s="409"/>
      <c r="X85" s="409"/>
      <c r="Y85" s="409"/>
      <c r="Z85" s="409"/>
      <c r="AA85" s="409"/>
      <c r="AB85" s="409"/>
      <c r="AC85" s="409"/>
      <c r="AD85" s="409"/>
      <c r="AE85" s="409"/>
    </row>
    <row r="86" spans="2:53">
      <c r="B86" s="52"/>
      <c r="C86" s="78"/>
      <c r="E86" s="111"/>
      <c r="F86" s="111"/>
      <c r="H86" s="112"/>
      <c r="J86" s="78"/>
    </row>
    <row r="87" spans="2:53">
      <c r="B87" s="114" t="s">
        <v>2926</v>
      </c>
      <c r="C87" s="78"/>
      <c r="E87" s="111"/>
      <c r="F87" s="111"/>
      <c r="H87" s="112"/>
      <c r="J87" s="78"/>
    </row>
    <row r="88" spans="2:53">
      <c r="B88" s="114"/>
      <c r="C88" s="78"/>
      <c r="E88" s="111"/>
      <c r="F88" s="111"/>
      <c r="H88" s="112"/>
      <c r="J88" s="78"/>
    </row>
    <row r="89" spans="2:53">
      <c r="B89" s="7" t="s">
        <v>125</v>
      </c>
      <c r="C89" s="344" t="s">
        <v>20</v>
      </c>
      <c r="E89" s="111"/>
      <c r="F89" s="111"/>
      <c r="H89" s="112"/>
      <c r="J89" s="78"/>
    </row>
    <row r="90" spans="2:53">
      <c r="B90" s="6" t="s">
        <v>2863</v>
      </c>
      <c r="C90" s="368">
        <f>SUMIFS('VLU Care Pathways'!$J$105:$J$111, 'VLU Care Pathways'!$K$105:$K$111, B90)</f>
        <v>2</v>
      </c>
      <c r="E90" s="111"/>
      <c r="F90" s="111"/>
      <c r="H90" s="112"/>
      <c r="J90" s="78"/>
    </row>
    <row r="91" spans="2:53">
      <c r="B91" s="6" t="s">
        <v>2862</v>
      </c>
      <c r="C91" s="368">
        <f>SUMIFS('VLU Care Pathways'!$J$105:$J$111, 'VLU Care Pathways'!$K$105:$K$111, B91)</f>
        <v>4</v>
      </c>
      <c r="E91" s="111"/>
      <c r="F91" s="111"/>
      <c r="H91" s="112"/>
      <c r="J91" s="78"/>
    </row>
    <row r="92" spans="2:53">
      <c r="B92" s="6" t="s">
        <v>131</v>
      </c>
      <c r="C92" s="368">
        <f>SUMIFS('VLU Care Pathways'!$J$105:$J$111, 'VLU Care Pathways'!$K$105:$K$111, B92)</f>
        <v>0</v>
      </c>
      <c r="E92" s="111"/>
      <c r="F92" s="111"/>
      <c r="H92" s="112"/>
      <c r="J92" s="78"/>
    </row>
    <row r="93" spans="2:53" ht="29">
      <c r="B93" s="6" t="s">
        <v>2869</v>
      </c>
      <c r="C93" s="368">
        <f>SUMIFS('VLU Care Pathways'!$J$105:$J$111, 'VLU Care Pathways'!$K$105:$K$111, B93)</f>
        <v>0</v>
      </c>
      <c r="E93" s="111"/>
      <c r="F93" s="111"/>
      <c r="H93" s="112"/>
      <c r="J93" s="78"/>
    </row>
    <row r="94" spans="2:53" ht="29">
      <c r="B94" s="6" t="s">
        <v>2870</v>
      </c>
      <c r="C94" s="368">
        <f>SUMIFS('VLU Care Pathways'!$J$105:$J$111, 'VLU Care Pathways'!$K$105:$K$111, B94)</f>
        <v>0</v>
      </c>
      <c r="E94" s="111"/>
      <c r="F94" s="111"/>
      <c r="H94" s="112"/>
      <c r="J94" s="78"/>
    </row>
    <row r="95" spans="2:53">
      <c r="B95" s="6" t="s">
        <v>102</v>
      </c>
      <c r="C95" s="368">
        <f>SUMIFS('VLU Care Pathways'!$J$105:$J$111, 'VLU Care Pathways'!$K$105:$K$111, B95)</f>
        <v>4</v>
      </c>
      <c r="E95" s="111"/>
      <c r="F95" s="111"/>
      <c r="H95" s="112"/>
      <c r="J95" s="78"/>
    </row>
    <row r="96" spans="2:53">
      <c r="B96" s="6" t="s">
        <v>2831</v>
      </c>
      <c r="C96" s="368">
        <f>SUMIFS('VLU Care Pathways'!$J$105:$J$111, 'VLU Care Pathways'!$K$105:$K$111, B96)</f>
        <v>72</v>
      </c>
      <c r="E96" s="111"/>
      <c r="F96" s="111"/>
      <c r="H96" s="112"/>
      <c r="J96" s="78"/>
    </row>
    <row r="97" spans="2:54">
      <c r="B97" s="6" t="s">
        <v>2832</v>
      </c>
      <c r="C97" s="368">
        <f>SUMIFS('VLU Care Pathways'!$J$105:$J$111, 'VLU Care Pathways'!$K$105:$K$111, B97)</f>
        <v>48</v>
      </c>
      <c r="E97" s="111"/>
      <c r="F97" s="111"/>
      <c r="H97" s="112"/>
      <c r="J97" s="78"/>
    </row>
    <row r="98" spans="2:54">
      <c r="B98" s="6" t="s">
        <v>2871</v>
      </c>
      <c r="C98" s="368">
        <f>SUMIFS('VLU Care Pathways'!$J$105:$J$111, 'VLU Care Pathways'!$K$105:$K$111, B98)</f>
        <v>0</v>
      </c>
      <c r="E98" s="111"/>
      <c r="F98" s="111"/>
      <c r="H98" s="112"/>
      <c r="J98" s="78"/>
    </row>
    <row r="99" spans="2:54">
      <c r="B99" s="52"/>
      <c r="C99" s="52"/>
      <c r="D99" s="111"/>
      <c r="E99" s="111"/>
      <c r="F99" s="111"/>
      <c r="H99" s="112"/>
      <c r="J99" s="78"/>
    </row>
    <row r="100" spans="2:54">
      <c r="B100" s="52"/>
      <c r="C100" s="52"/>
      <c r="F100" s="111"/>
      <c r="H100" s="112"/>
      <c r="J100" s="78"/>
    </row>
    <row r="101" spans="2:54">
      <c r="B101" s="114" t="s">
        <v>2927</v>
      </c>
      <c r="C101" s="52"/>
      <c r="D101" s="52"/>
      <c r="F101" s="111"/>
      <c r="H101" s="112"/>
      <c r="J101" s="78"/>
    </row>
    <row r="102" spans="2:54">
      <c r="B102" s="7" t="s">
        <v>9</v>
      </c>
      <c r="D102" s="34">
        <f>'Prevalence projection'!C$21</f>
        <v>2020</v>
      </c>
      <c r="E102" s="34">
        <f>'Prevalence projection'!D$21</f>
        <v>2021</v>
      </c>
      <c r="F102" s="34">
        <f>'Prevalence projection'!E$21</f>
        <v>2022</v>
      </c>
      <c r="G102" s="34">
        <f>'Prevalence projection'!F$21</f>
        <v>2023</v>
      </c>
      <c r="H102" s="34">
        <f>'Prevalence projection'!G$21</f>
        <v>2024</v>
      </c>
      <c r="I102" s="34">
        <f>'Prevalence projection'!H$21</f>
        <v>2025</v>
      </c>
      <c r="J102" s="34">
        <f>'Prevalence projection'!I$21</f>
        <v>2026</v>
      </c>
      <c r="K102" s="34">
        <f>'Prevalence projection'!J$21</f>
        <v>2027</v>
      </c>
      <c r="L102" s="34">
        <f>'Prevalence projection'!K$21</f>
        <v>2028</v>
      </c>
      <c r="M102" s="34">
        <f>'Prevalence projection'!L$21</f>
        <v>2029</v>
      </c>
      <c r="N102" s="34">
        <f>'Prevalence projection'!M$21</f>
        <v>2030</v>
      </c>
      <c r="O102" s="34">
        <f>'Prevalence projection'!N$21</f>
        <v>2031</v>
      </c>
      <c r="P102" s="34">
        <f>'Prevalence projection'!O$21</f>
        <v>2032</v>
      </c>
      <c r="Q102" s="34">
        <f>'Prevalence projection'!P$21</f>
        <v>2033</v>
      </c>
      <c r="R102" s="34">
        <f>'Prevalence projection'!Q$21</f>
        <v>2034</v>
      </c>
      <c r="S102" s="34">
        <f>'Prevalence projection'!R$21</f>
        <v>2035</v>
      </c>
      <c r="T102" s="34">
        <f>'Prevalence projection'!S$21</f>
        <v>2036</v>
      </c>
      <c r="U102" s="34">
        <f>'Prevalence projection'!T$21</f>
        <v>2037</v>
      </c>
      <c r="V102" s="34">
        <f>'Prevalence projection'!U$21</f>
        <v>2038</v>
      </c>
      <c r="W102" s="34">
        <f>'Prevalence projection'!V$21</f>
        <v>2039</v>
      </c>
      <c r="X102" s="34">
        <f>'Prevalence projection'!W$21</f>
        <v>2040</v>
      </c>
      <c r="Y102" s="34">
        <f>'Prevalence projection'!X$21</f>
        <v>2041</v>
      </c>
      <c r="Z102" s="34">
        <f>'Prevalence projection'!Y$21</f>
        <v>2042</v>
      </c>
      <c r="AA102" s="34">
        <f>'Prevalence projection'!Z$21</f>
        <v>2043</v>
      </c>
      <c r="AB102" s="34">
        <f>'Prevalence projection'!AA$21</f>
        <v>2044</v>
      </c>
      <c r="AC102" s="34">
        <f>'Prevalence projection'!AB$21</f>
        <v>2045</v>
      </c>
      <c r="AD102" s="34">
        <f>'Prevalence projection'!AC$21</f>
        <v>2046</v>
      </c>
      <c r="AE102" s="34">
        <f>'Prevalence projection'!AD$21</f>
        <v>2047</v>
      </c>
      <c r="AF102" s="34">
        <f>'Prevalence projection'!AE$21</f>
        <v>2048</v>
      </c>
      <c r="AG102" s="34">
        <f>'Prevalence projection'!AF$21</f>
        <v>2049</v>
      </c>
      <c r="AH102" s="34">
        <f>'Prevalence projection'!AG$21</f>
        <v>2050</v>
      </c>
      <c r="AI102" s="34">
        <f>'Prevalence projection'!AH$21</f>
        <v>2051</v>
      </c>
      <c r="AJ102" s="34">
        <f>'Prevalence projection'!AI$21</f>
        <v>2052</v>
      </c>
      <c r="AK102" s="34">
        <f>'Prevalence projection'!AJ$21</f>
        <v>2053</v>
      </c>
      <c r="AL102" s="34">
        <f>'Prevalence projection'!AK$21</f>
        <v>2054</v>
      </c>
      <c r="AM102" s="34">
        <f>'Prevalence projection'!AL$21</f>
        <v>2055</v>
      </c>
      <c r="AN102" s="34">
        <f>'Prevalence projection'!AM$21</f>
        <v>2056</v>
      </c>
      <c r="AO102" s="34">
        <f>'Prevalence projection'!AN$21</f>
        <v>2057</v>
      </c>
      <c r="AP102" s="34">
        <f>'Prevalence projection'!AO$21</f>
        <v>2058</v>
      </c>
      <c r="AQ102" s="34">
        <f>'Prevalence projection'!AP$21</f>
        <v>2059</v>
      </c>
      <c r="AR102" s="34">
        <f>'Prevalence projection'!AQ$21</f>
        <v>2060</v>
      </c>
      <c r="AS102" s="34">
        <f>'Prevalence projection'!AR$21</f>
        <v>2061</v>
      </c>
      <c r="AT102" s="34">
        <f>'Prevalence projection'!AS$21</f>
        <v>2062</v>
      </c>
      <c r="AU102" s="34">
        <f>'Prevalence projection'!AT$21</f>
        <v>2063</v>
      </c>
      <c r="AV102" s="34">
        <f>'Prevalence projection'!AU$21</f>
        <v>2064</v>
      </c>
      <c r="AW102" s="34">
        <f>'Prevalence projection'!AV$21</f>
        <v>2065</v>
      </c>
      <c r="AX102" s="34">
        <f>'Prevalence projection'!AW$21</f>
        <v>2066</v>
      </c>
      <c r="AY102" s="34">
        <f>'Prevalence projection'!AX$21</f>
        <v>2067</v>
      </c>
      <c r="AZ102" s="34">
        <f>'Prevalence projection'!AY$21</f>
        <v>2068</v>
      </c>
      <c r="BA102" s="34">
        <f>'Prevalence projection'!AZ$21</f>
        <v>2069</v>
      </c>
      <c r="BB102" s="34">
        <f>'Prevalence projection'!BA$21</f>
        <v>2070</v>
      </c>
    </row>
    <row r="103" spans="2:54">
      <c r="B103" s="6" t="s">
        <v>11</v>
      </c>
      <c r="D103" s="89">
        <f>SUMIFS($C$90:$C$98,$B$90:$B$98,$B103)*C$84</f>
        <v>0</v>
      </c>
      <c r="E103" s="89">
        <f t="shared" ref="E103:AF112" si="8">SUMIFS($C$90:$C$98,$B$90:$B$98,$B103)*D$84</f>
        <v>0</v>
      </c>
      <c r="F103" s="89">
        <f t="shared" si="8"/>
        <v>0</v>
      </c>
      <c r="G103" s="89">
        <f t="shared" si="8"/>
        <v>0</v>
      </c>
      <c r="H103" s="89">
        <f t="shared" si="8"/>
        <v>0</v>
      </c>
      <c r="I103" s="89">
        <f t="shared" si="8"/>
        <v>0</v>
      </c>
      <c r="J103" s="89">
        <f t="shared" si="8"/>
        <v>0</v>
      </c>
      <c r="K103" s="89">
        <f t="shared" si="8"/>
        <v>0</v>
      </c>
      <c r="L103" s="89">
        <f t="shared" si="8"/>
        <v>0</v>
      </c>
      <c r="M103" s="89">
        <f t="shared" si="8"/>
        <v>0</v>
      </c>
      <c r="N103" s="89">
        <f t="shared" si="8"/>
        <v>0</v>
      </c>
      <c r="O103" s="89">
        <f t="shared" si="8"/>
        <v>0</v>
      </c>
      <c r="P103" s="89">
        <f t="shared" si="8"/>
        <v>0</v>
      </c>
      <c r="Q103" s="89">
        <f t="shared" si="8"/>
        <v>0</v>
      </c>
      <c r="R103" s="89">
        <f t="shared" si="8"/>
        <v>0</v>
      </c>
      <c r="S103" s="89">
        <f t="shared" si="8"/>
        <v>0</v>
      </c>
      <c r="T103" s="89">
        <f t="shared" si="8"/>
        <v>0</v>
      </c>
      <c r="U103" s="89">
        <f t="shared" si="8"/>
        <v>0</v>
      </c>
      <c r="V103" s="89">
        <f t="shared" si="8"/>
        <v>0</v>
      </c>
      <c r="W103" s="89">
        <f t="shared" si="8"/>
        <v>0</v>
      </c>
      <c r="X103" s="89">
        <f t="shared" si="8"/>
        <v>0</v>
      </c>
      <c r="Y103" s="89">
        <f t="shared" si="8"/>
        <v>0</v>
      </c>
      <c r="Z103" s="89">
        <f t="shared" si="8"/>
        <v>0</v>
      </c>
      <c r="AA103" s="89">
        <f t="shared" si="8"/>
        <v>0</v>
      </c>
      <c r="AB103" s="89">
        <f t="shared" si="8"/>
        <v>0</v>
      </c>
      <c r="AC103" s="89">
        <f t="shared" si="8"/>
        <v>0</v>
      </c>
      <c r="AD103" s="89">
        <f t="shared" si="8"/>
        <v>0</v>
      </c>
      <c r="AE103" s="89">
        <f t="shared" si="8"/>
        <v>0</v>
      </c>
      <c r="AF103" s="89">
        <f t="shared" si="8"/>
        <v>0</v>
      </c>
      <c r="AG103" s="89">
        <f t="shared" ref="AG103:AP118" si="9">SUMIFS($C$90:$C$98,$B$90:$B$98,$B103)*AF$84</f>
        <v>0</v>
      </c>
      <c r="AH103" s="89">
        <f t="shared" si="9"/>
        <v>0</v>
      </c>
      <c r="AI103" s="89">
        <f t="shared" si="9"/>
        <v>0</v>
      </c>
      <c r="AJ103" s="89">
        <f t="shared" si="9"/>
        <v>0</v>
      </c>
      <c r="AK103" s="89">
        <f t="shared" si="9"/>
        <v>0</v>
      </c>
      <c r="AL103" s="89">
        <f t="shared" si="9"/>
        <v>0</v>
      </c>
      <c r="AM103" s="89">
        <f t="shared" si="9"/>
        <v>0</v>
      </c>
      <c r="AN103" s="89">
        <f t="shared" si="9"/>
        <v>0</v>
      </c>
      <c r="AO103" s="89">
        <f t="shared" si="9"/>
        <v>0</v>
      </c>
      <c r="AP103" s="89">
        <f t="shared" si="9"/>
        <v>0</v>
      </c>
      <c r="AQ103" s="89">
        <f t="shared" ref="AQ103:AQ120" si="10">SUMIFS($C$90:$C$98,$B$90:$B$98,$B103)*AP$84</f>
        <v>0</v>
      </c>
      <c r="AR103" s="89">
        <f t="shared" ref="AR103:AR120" si="11">SUMIFS($C$90:$C$98,$B$90:$B$98,$B103)*AQ$84</f>
        <v>0</v>
      </c>
      <c r="AS103" s="89">
        <f t="shared" ref="AS103:AS120" si="12">SUMIFS($C$90:$C$98,$B$90:$B$98,$B103)*AR$84</f>
        <v>0</v>
      </c>
      <c r="AT103" s="89">
        <f t="shared" ref="AT103:AT120" si="13">SUMIFS($C$90:$C$98,$B$90:$B$98,$B103)*AS$84</f>
        <v>0</v>
      </c>
      <c r="AU103" s="89">
        <f t="shared" ref="AU103:AU120" si="14">SUMIFS($C$90:$C$98,$B$90:$B$98,$B103)*AT$84</f>
        <v>0</v>
      </c>
      <c r="AV103" s="89">
        <f t="shared" ref="AV103:AV120" si="15">SUMIFS($C$90:$C$98,$B$90:$B$98,$B103)*AU$84</f>
        <v>0</v>
      </c>
      <c r="AW103" s="89">
        <f t="shared" ref="AW103:AW120" si="16">SUMIFS($C$90:$C$98,$B$90:$B$98,$B103)*AV$84</f>
        <v>0</v>
      </c>
      <c r="AX103" s="89">
        <f t="shared" ref="AX103:AX120" si="17">SUMIFS($C$90:$C$98,$B$90:$B$98,$B103)*AW$84</f>
        <v>0</v>
      </c>
      <c r="AY103" s="89">
        <f t="shared" ref="AY103:AY120" si="18">SUMIFS($C$90:$C$98,$B$90:$B$98,$B103)*AX$84</f>
        <v>0</v>
      </c>
      <c r="AZ103" s="89">
        <f t="shared" ref="AZ103:AZ120" si="19">SUMIFS($C$90:$C$98,$B$90:$B$98,$B103)*AY$84</f>
        <v>0</v>
      </c>
      <c r="BA103" s="89">
        <f t="shared" ref="BA103:BA120" si="20">SUMIFS($C$90:$C$98,$B$90:$B$98,$B103)*AZ$84</f>
        <v>0</v>
      </c>
      <c r="BB103" s="89">
        <f t="shared" ref="BB103:BB120" si="21">SUMIFS($C$90:$C$98,$B$90:$B$98,$B103)*BA$84</f>
        <v>0</v>
      </c>
    </row>
    <row r="104" spans="2:54">
      <c r="B104" s="6" t="s">
        <v>14</v>
      </c>
      <c r="C104" s="52"/>
      <c r="D104" s="89">
        <f t="shared" ref="D104:S120" si="22">SUMIFS($C$90:$C$98,$B$90:$B$98,$B104)*C$84</f>
        <v>0</v>
      </c>
      <c r="E104" s="89">
        <f t="shared" si="22"/>
        <v>0</v>
      </c>
      <c r="F104" s="89">
        <f t="shared" si="22"/>
        <v>0</v>
      </c>
      <c r="G104" s="89">
        <f t="shared" si="22"/>
        <v>0</v>
      </c>
      <c r="H104" s="89">
        <f t="shared" si="22"/>
        <v>0</v>
      </c>
      <c r="I104" s="89">
        <f t="shared" si="22"/>
        <v>0</v>
      </c>
      <c r="J104" s="89">
        <f t="shared" si="22"/>
        <v>0</v>
      </c>
      <c r="K104" s="89">
        <f t="shared" si="22"/>
        <v>0</v>
      </c>
      <c r="L104" s="89">
        <f t="shared" si="22"/>
        <v>0</v>
      </c>
      <c r="M104" s="89">
        <f t="shared" si="22"/>
        <v>0</v>
      </c>
      <c r="N104" s="89">
        <f t="shared" si="22"/>
        <v>0</v>
      </c>
      <c r="O104" s="89">
        <f t="shared" si="22"/>
        <v>0</v>
      </c>
      <c r="P104" s="89">
        <f t="shared" si="22"/>
        <v>0</v>
      </c>
      <c r="Q104" s="89">
        <f t="shared" si="22"/>
        <v>0</v>
      </c>
      <c r="R104" s="89">
        <f t="shared" si="22"/>
        <v>0</v>
      </c>
      <c r="S104" s="89">
        <f t="shared" si="22"/>
        <v>0</v>
      </c>
      <c r="T104" s="89">
        <f t="shared" si="8"/>
        <v>0</v>
      </c>
      <c r="U104" s="89">
        <f t="shared" si="8"/>
        <v>0</v>
      </c>
      <c r="V104" s="89">
        <f t="shared" si="8"/>
        <v>0</v>
      </c>
      <c r="W104" s="89">
        <f t="shared" si="8"/>
        <v>0</v>
      </c>
      <c r="X104" s="89">
        <f t="shared" si="8"/>
        <v>0</v>
      </c>
      <c r="Y104" s="89">
        <f t="shared" si="8"/>
        <v>0</v>
      </c>
      <c r="Z104" s="89">
        <f t="shared" si="8"/>
        <v>0</v>
      </c>
      <c r="AA104" s="89">
        <f t="shared" si="8"/>
        <v>0</v>
      </c>
      <c r="AB104" s="89">
        <f t="shared" si="8"/>
        <v>0</v>
      </c>
      <c r="AC104" s="89">
        <f t="shared" si="8"/>
        <v>0</v>
      </c>
      <c r="AD104" s="89">
        <f t="shared" si="8"/>
        <v>0</v>
      </c>
      <c r="AE104" s="89">
        <f t="shared" si="8"/>
        <v>0</v>
      </c>
      <c r="AF104" s="89">
        <f t="shared" si="8"/>
        <v>0</v>
      </c>
      <c r="AG104" s="89">
        <f t="shared" si="9"/>
        <v>0</v>
      </c>
      <c r="AH104" s="89">
        <f t="shared" si="9"/>
        <v>0</v>
      </c>
      <c r="AI104" s="89">
        <f t="shared" si="9"/>
        <v>0</v>
      </c>
      <c r="AJ104" s="89">
        <f t="shared" si="9"/>
        <v>0</v>
      </c>
      <c r="AK104" s="89">
        <f t="shared" si="9"/>
        <v>0</v>
      </c>
      <c r="AL104" s="89">
        <f t="shared" si="9"/>
        <v>0</v>
      </c>
      <c r="AM104" s="89">
        <f t="shared" si="9"/>
        <v>0</v>
      </c>
      <c r="AN104" s="89">
        <f t="shared" si="9"/>
        <v>0</v>
      </c>
      <c r="AO104" s="89">
        <f t="shared" si="9"/>
        <v>0</v>
      </c>
      <c r="AP104" s="89">
        <f t="shared" si="9"/>
        <v>0</v>
      </c>
      <c r="AQ104" s="89">
        <f t="shared" si="10"/>
        <v>0</v>
      </c>
      <c r="AR104" s="89">
        <f t="shared" si="11"/>
        <v>0</v>
      </c>
      <c r="AS104" s="89">
        <f t="shared" si="12"/>
        <v>0</v>
      </c>
      <c r="AT104" s="89">
        <f t="shared" si="13"/>
        <v>0</v>
      </c>
      <c r="AU104" s="89">
        <f t="shared" si="14"/>
        <v>0</v>
      </c>
      <c r="AV104" s="89">
        <f t="shared" si="15"/>
        <v>0</v>
      </c>
      <c r="AW104" s="89">
        <f t="shared" si="16"/>
        <v>0</v>
      </c>
      <c r="AX104" s="89">
        <f t="shared" si="17"/>
        <v>0</v>
      </c>
      <c r="AY104" s="89">
        <f t="shared" si="18"/>
        <v>0</v>
      </c>
      <c r="AZ104" s="89">
        <f t="shared" si="19"/>
        <v>0</v>
      </c>
      <c r="BA104" s="89">
        <f t="shared" si="20"/>
        <v>0</v>
      </c>
      <c r="BB104" s="89">
        <f t="shared" si="21"/>
        <v>0</v>
      </c>
    </row>
    <row r="105" spans="2:54">
      <c r="B105" s="6" t="s">
        <v>15</v>
      </c>
      <c r="C105" s="52"/>
      <c r="D105" s="89">
        <f t="shared" si="22"/>
        <v>0</v>
      </c>
      <c r="E105" s="89">
        <f t="shared" si="8"/>
        <v>0</v>
      </c>
      <c r="F105" s="89">
        <f t="shared" si="8"/>
        <v>0</v>
      </c>
      <c r="G105" s="89">
        <f t="shared" si="8"/>
        <v>0</v>
      </c>
      <c r="H105" s="89">
        <f t="shared" si="8"/>
        <v>0</v>
      </c>
      <c r="I105" s="89">
        <f t="shared" si="8"/>
        <v>0</v>
      </c>
      <c r="J105" s="89">
        <f t="shared" si="8"/>
        <v>0</v>
      </c>
      <c r="K105" s="89">
        <f t="shared" si="8"/>
        <v>0</v>
      </c>
      <c r="L105" s="89">
        <f t="shared" si="8"/>
        <v>0</v>
      </c>
      <c r="M105" s="89">
        <f t="shared" si="8"/>
        <v>0</v>
      </c>
      <c r="N105" s="89">
        <f t="shared" si="8"/>
        <v>0</v>
      </c>
      <c r="O105" s="89">
        <f t="shared" si="8"/>
        <v>0</v>
      </c>
      <c r="P105" s="89">
        <f t="shared" si="8"/>
        <v>0</v>
      </c>
      <c r="Q105" s="89">
        <f t="shared" si="8"/>
        <v>0</v>
      </c>
      <c r="R105" s="89">
        <f t="shared" si="8"/>
        <v>0</v>
      </c>
      <c r="S105" s="89">
        <f t="shared" si="8"/>
        <v>0</v>
      </c>
      <c r="T105" s="89">
        <f t="shared" si="8"/>
        <v>0</v>
      </c>
      <c r="U105" s="89">
        <f t="shared" si="8"/>
        <v>0</v>
      </c>
      <c r="V105" s="89">
        <f t="shared" si="8"/>
        <v>0</v>
      </c>
      <c r="W105" s="89">
        <f t="shared" si="8"/>
        <v>0</v>
      </c>
      <c r="X105" s="89">
        <f t="shared" si="8"/>
        <v>0</v>
      </c>
      <c r="Y105" s="89">
        <f t="shared" si="8"/>
        <v>0</v>
      </c>
      <c r="Z105" s="89">
        <f t="shared" si="8"/>
        <v>0</v>
      </c>
      <c r="AA105" s="89">
        <f t="shared" si="8"/>
        <v>0</v>
      </c>
      <c r="AB105" s="89">
        <f t="shared" si="8"/>
        <v>0</v>
      </c>
      <c r="AC105" s="89">
        <f t="shared" si="8"/>
        <v>0</v>
      </c>
      <c r="AD105" s="89">
        <f t="shared" si="8"/>
        <v>0</v>
      </c>
      <c r="AE105" s="89">
        <f t="shared" si="8"/>
        <v>0</v>
      </c>
      <c r="AF105" s="89">
        <f t="shared" si="8"/>
        <v>0</v>
      </c>
      <c r="AG105" s="89">
        <f t="shared" si="9"/>
        <v>0</v>
      </c>
      <c r="AH105" s="89">
        <f t="shared" si="9"/>
        <v>0</v>
      </c>
      <c r="AI105" s="89">
        <f t="shared" si="9"/>
        <v>0</v>
      </c>
      <c r="AJ105" s="89">
        <f t="shared" si="9"/>
        <v>0</v>
      </c>
      <c r="AK105" s="89">
        <f t="shared" si="9"/>
        <v>0</v>
      </c>
      <c r="AL105" s="89">
        <f t="shared" si="9"/>
        <v>0</v>
      </c>
      <c r="AM105" s="89">
        <f t="shared" si="9"/>
        <v>0</v>
      </c>
      <c r="AN105" s="89">
        <f t="shared" si="9"/>
        <v>0</v>
      </c>
      <c r="AO105" s="89">
        <f t="shared" si="9"/>
        <v>0</v>
      </c>
      <c r="AP105" s="89">
        <f t="shared" si="9"/>
        <v>0</v>
      </c>
      <c r="AQ105" s="89">
        <f t="shared" si="10"/>
        <v>0</v>
      </c>
      <c r="AR105" s="89">
        <f t="shared" si="11"/>
        <v>0</v>
      </c>
      <c r="AS105" s="89">
        <f t="shared" si="12"/>
        <v>0</v>
      </c>
      <c r="AT105" s="89">
        <f t="shared" si="13"/>
        <v>0</v>
      </c>
      <c r="AU105" s="89">
        <f t="shared" si="14"/>
        <v>0</v>
      </c>
      <c r="AV105" s="89">
        <f t="shared" si="15"/>
        <v>0</v>
      </c>
      <c r="AW105" s="89">
        <f t="shared" si="16"/>
        <v>0</v>
      </c>
      <c r="AX105" s="89">
        <f t="shared" si="17"/>
        <v>0</v>
      </c>
      <c r="AY105" s="89">
        <f t="shared" si="18"/>
        <v>0</v>
      </c>
      <c r="AZ105" s="89">
        <f t="shared" si="19"/>
        <v>0</v>
      </c>
      <c r="BA105" s="89">
        <f t="shared" si="20"/>
        <v>0</v>
      </c>
      <c r="BB105" s="89">
        <f t="shared" si="21"/>
        <v>0</v>
      </c>
    </row>
    <row r="106" spans="2:54" ht="29">
      <c r="B106" s="6" t="s">
        <v>16</v>
      </c>
      <c r="C106" s="52"/>
      <c r="D106" s="89">
        <f t="shared" si="22"/>
        <v>0</v>
      </c>
      <c r="E106" s="89">
        <f t="shared" si="8"/>
        <v>0</v>
      </c>
      <c r="F106" s="89">
        <f t="shared" si="8"/>
        <v>0</v>
      </c>
      <c r="G106" s="89">
        <f t="shared" si="8"/>
        <v>0</v>
      </c>
      <c r="H106" s="89">
        <f t="shared" si="8"/>
        <v>0</v>
      </c>
      <c r="I106" s="89">
        <f t="shared" si="8"/>
        <v>0</v>
      </c>
      <c r="J106" s="89">
        <f t="shared" si="8"/>
        <v>0</v>
      </c>
      <c r="K106" s="89">
        <f t="shared" si="8"/>
        <v>0</v>
      </c>
      <c r="L106" s="89">
        <f t="shared" si="8"/>
        <v>0</v>
      </c>
      <c r="M106" s="89">
        <f t="shared" si="8"/>
        <v>0</v>
      </c>
      <c r="N106" s="89">
        <f t="shared" si="8"/>
        <v>0</v>
      </c>
      <c r="O106" s="89">
        <f t="shared" si="8"/>
        <v>0</v>
      </c>
      <c r="P106" s="89">
        <f t="shared" si="8"/>
        <v>0</v>
      </c>
      <c r="Q106" s="89">
        <f t="shared" si="8"/>
        <v>0</v>
      </c>
      <c r="R106" s="89">
        <f t="shared" si="8"/>
        <v>0</v>
      </c>
      <c r="S106" s="89">
        <f t="shared" si="8"/>
        <v>0</v>
      </c>
      <c r="T106" s="89">
        <f t="shared" si="8"/>
        <v>0</v>
      </c>
      <c r="U106" s="89">
        <f t="shared" si="8"/>
        <v>0</v>
      </c>
      <c r="V106" s="89">
        <f t="shared" si="8"/>
        <v>0</v>
      </c>
      <c r="W106" s="89">
        <f t="shared" si="8"/>
        <v>0</v>
      </c>
      <c r="X106" s="89">
        <f t="shared" si="8"/>
        <v>0</v>
      </c>
      <c r="Y106" s="89">
        <f t="shared" si="8"/>
        <v>0</v>
      </c>
      <c r="Z106" s="89">
        <f t="shared" si="8"/>
        <v>0</v>
      </c>
      <c r="AA106" s="89">
        <f t="shared" si="8"/>
        <v>0</v>
      </c>
      <c r="AB106" s="89">
        <f t="shared" si="8"/>
        <v>0</v>
      </c>
      <c r="AC106" s="89">
        <f t="shared" si="8"/>
        <v>0</v>
      </c>
      <c r="AD106" s="89">
        <f t="shared" si="8"/>
        <v>0</v>
      </c>
      <c r="AE106" s="89">
        <f t="shared" si="8"/>
        <v>0</v>
      </c>
      <c r="AF106" s="89">
        <f t="shared" si="8"/>
        <v>0</v>
      </c>
      <c r="AG106" s="89">
        <f t="shared" si="9"/>
        <v>0</v>
      </c>
      <c r="AH106" s="89">
        <f t="shared" si="9"/>
        <v>0</v>
      </c>
      <c r="AI106" s="89">
        <f t="shared" si="9"/>
        <v>0</v>
      </c>
      <c r="AJ106" s="89">
        <f t="shared" si="9"/>
        <v>0</v>
      </c>
      <c r="AK106" s="89">
        <f t="shared" si="9"/>
        <v>0</v>
      </c>
      <c r="AL106" s="89">
        <f t="shared" si="9"/>
        <v>0</v>
      </c>
      <c r="AM106" s="89">
        <f t="shared" si="9"/>
        <v>0</v>
      </c>
      <c r="AN106" s="89">
        <f t="shared" si="9"/>
        <v>0</v>
      </c>
      <c r="AO106" s="89">
        <f t="shared" si="9"/>
        <v>0</v>
      </c>
      <c r="AP106" s="89">
        <f t="shared" si="9"/>
        <v>0</v>
      </c>
      <c r="AQ106" s="89">
        <f t="shared" si="10"/>
        <v>0</v>
      </c>
      <c r="AR106" s="89">
        <f t="shared" si="11"/>
        <v>0</v>
      </c>
      <c r="AS106" s="89">
        <f t="shared" si="12"/>
        <v>0</v>
      </c>
      <c r="AT106" s="89">
        <f t="shared" si="13"/>
        <v>0</v>
      </c>
      <c r="AU106" s="89">
        <f t="shared" si="14"/>
        <v>0</v>
      </c>
      <c r="AV106" s="89">
        <f t="shared" si="15"/>
        <v>0</v>
      </c>
      <c r="AW106" s="89">
        <f t="shared" si="16"/>
        <v>0</v>
      </c>
      <c r="AX106" s="89">
        <f t="shared" si="17"/>
        <v>0</v>
      </c>
      <c r="AY106" s="89">
        <f t="shared" si="18"/>
        <v>0</v>
      </c>
      <c r="AZ106" s="89">
        <f t="shared" si="19"/>
        <v>0</v>
      </c>
      <c r="BA106" s="89">
        <f t="shared" si="20"/>
        <v>0</v>
      </c>
      <c r="BB106" s="89">
        <f t="shared" si="21"/>
        <v>0</v>
      </c>
    </row>
    <row r="107" spans="2:54">
      <c r="B107" s="6" t="s">
        <v>103</v>
      </c>
      <c r="C107" s="52"/>
      <c r="D107" s="89">
        <f t="shared" si="22"/>
        <v>0</v>
      </c>
      <c r="E107" s="89">
        <f t="shared" si="8"/>
        <v>0</v>
      </c>
      <c r="F107" s="89">
        <f t="shared" si="8"/>
        <v>0</v>
      </c>
      <c r="G107" s="89">
        <f t="shared" si="8"/>
        <v>0</v>
      </c>
      <c r="H107" s="89">
        <f t="shared" si="8"/>
        <v>0</v>
      </c>
      <c r="I107" s="89">
        <f t="shared" si="8"/>
        <v>0</v>
      </c>
      <c r="J107" s="89">
        <f t="shared" si="8"/>
        <v>0</v>
      </c>
      <c r="K107" s="89">
        <f t="shared" si="8"/>
        <v>0</v>
      </c>
      <c r="L107" s="89">
        <f t="shared" si="8"/>
        <v>0</v>
      </c>
      <c r="M107" s="89">
        <f t="shared" si="8"/>
        <v>0</v>
      </c>
      <c r="N107" s="89">
        <f t="shared" si="8"/>
        <v>0</v>
      </c>
      <c r="O107" s="89">
        <f t="shared" si="8"/>
        <v>0</v>
      </c>
      <c r="P107" s="89">
        <f t="shared" si="8"/>
        <v>0</v>
      </c>
      <c r="Q107" s="89">
        <f t="shared" si="8"/>
        <v>0</v>
      </c>
      <c r="R107" s="89">
        <f t="shared" si="8"/>
        <v>0</v>
      </c>
      <c r="S107" s="89">
        <f t="shared" si="8"/>
        <v>0</v>
      </c>
      <c r="T107" s="89">
        <f t="shared" si="8"/>
        <v>0</v>
      </c>
      <c r="U107" s="89">
        <f t="shared" si="8"/>
        <v>0</v>
      </c>
      <c r="V107" s="89">
        <f t="shared" si="8"/>
        <v>0</v>
      </c>
      <c r="W107" s="89">
        <f t="shared" si="8"/>
        <v>0</v>
      </c>
      <c r="X107" s="89">
        <f t="shared" si="8"/>
        <v>0</v>
      </c>
      <c r="Y107" s="89">
        <f t="shared" si="8"/>
        <v>0</v>
      </c>
      <c r="Z107" s="89">
        <f t="shared" si="8"/>
        <v>0</v>
      </c>
      <c r="AA107" s="89">
        <f t="shared" si="8"/>
        <v>0</v>
      </c>
      <c r="AB107" s="89">
        <f t="shared" si="8"/>
        <v>0</v>
      </c>
      <c r="AC107" s="89">
        <f t="shared" si="8"/>
        <v>0</v>
      </c>
      <c r="AD107" s="89">
        <f t="shared" si="8"/>
        <v>0</v>
      </c>
      <c r="AE107" s="89">
        <f t="shared" si="8"/>
        <v>0</v>
      </c>
      <c r="AF107" s="89">
        <f t="shared" si="8"/>
        <v>0</v>
      </c>
      <c r="AG107" s="89">
        <f t="shared" si="9"/>
        <v>0</v>
      </c>
      <c r="AH107" s="89">
        <f t="shared" si="9"/>
        <v>0</v>
      </c>
      <c r="AI107" s="89">
        <f t="shared" si="9"/>
        <v>0</v>
      </c>
      <c r="AJ107" s="89">
        <f t="shared" si="9"/>
        <v>0</v>
      </c>
      <c r="AK107" s="89">
        <f t="shared" si="9"/>
        <v>0</v>
      </c>
      <c r="AL107" s="89">
        <f t="shared" si="9"/>
        <v>0</v>
      </c>
      <c r="AM107" s="89">
        <f t="shared" si="9"/>
        <v>0</v>
      </c>
      <c r="AN107" s="89">
        <f t="shared" si="9"/>
        <v>0</v>
      </c>
      <c r="AO107" s="89">
        <f t="shared" si="9"/>
        <v>0</v>
      </c>
      <c r="AP107" s="89">
        <f t="shared" si="9"/>
        <v>0</v>
      </c>
      <c r="AQ107" s="89">
        <f t="shared" si="10"/>
        <v>0</v>
      </c>
      <c r="AR107" s="89">
        <f t="shared" si="11"/>
        <v>0</v>
      </c>
      <c r="AS107" s="89">
        <f t="shared" si="12"/>
        <v>0</v>
      </c>
      <c r="AT107" s="89">
        <f t="shared" si="13"/>
        <v>0</v>
      </c>
      <c r="AU107" s="89">
        <f t="shared" si="14"/>
        <v>0</v>
      </c>
      <c r="AV107" s="89">
        <f t="shared" si="15"/>
        <v>0</v>
      </c>
      <c r="AW107" s="89">
        <f t="shared" si="16"/>
        <v>0</v>
      </c>
      <c r="AX107" s="89">
        <f t="shared" si="17"/>
        <v>0</v>
      </c>
      <c r="AY107" s="89">
        <f t="shared" si="18"/>
        <v>0</v>
      </c>
      <c r="AZ107" s="89">
        <f t="shared" si="19"/>
        <v>0</v>
      </c>
      <c r="BA107" s="89">
        <f t="shared" si="20"/>
        <v>0</v>
      </c>
      <c r="BB107" s="89">
        <f t="shared" si="21"/>
        <v>0</v>
      </c>
    </row>
    <row r="108" spans="2:54">
      <c r="B108" s="6" t="s">
        <v>104</v>
      </c>
      <c r="C108" s="52"/>
      <c r="D108" s="89">
        <f t="shared" si="22"/>
        <v>0</v>
      </c>
      <c r="E108" s="89">
        <f t="shared" si="8"/>
        <v>0</v>
      </c>
      <c r="F108" s="89">
        <f t="shared" si="8"/>
        <v>0</v>
      </c>
      <c r="G108" s="89">
        <f t="shared" si="8"/>
        <v>0</v>
      </c>
      <c r="H108" s="89">
        <f t="shared" si="8"/>
        <v>0</v>
      </c>
      <c r="I108" s="89">
        <f t="shared" si="8"/>
        <v>0</v>
      </c>
      <c r="J108" s="89">
        <f t="shared" si="8"/>
        <v>0</v>
      </c>
      <c r="K108" s="89">
        <f t="shared" si="8"/>
        <v>0</v>
      </c>
      <c r="L108" s="89">
        <f t="shared" si="8"/>
        <v>0</v>
      </c>
      <c r="M108" s="89">
        <f t="shared" si="8"/>
        <v>0</v>
      </c>
      <c r="N108" s="89">
        <f t="shared" si="8"/>
        <v>0</v>
      </c>
      <c r="O108" s="89">
        <f t="shared" si="8"/>
        <v>0</v>
      </c>
      <c r="P108" s="89">
        <f t="shared" si="8"/>
        <v>0</v>
      </c>
      <c r="Q108" s="89">
        <f t="shared" si="8"/>
        <v>0</v>
      </c>
      <c r="R108" s="89">
        <f t="shared" si="8"/>
        <v>0</v>
      </c>
      <c r="S108" s="89">
        <f t="shared" si="8"/>
        <v>0</v>
      </c>
      <c r="T108" s="89">
        <f t="shared" si="8"/>
        <v>0</v>
      </c>
      <c r="U108" s="89">
        <f t="shared" si="8"/>
        <v>0</v>
      </c>
      <c r="V108" s="89">
        <f t="shared" si="8"/>
        <v>0</v>
      </c>
      <c r="W108" s="89">
        <f t="shared" si="8"/>
        <v>0</v>
      </c>
      <c r="X108" s="89">
        <f t="shared" si="8"/>
        <v>0</v>
      </c>
      <c r="Y108" s="89">
        <f t="shared" si="8"/>
        <v>0</v>
      </c>
      <c r="Z108" s="89">
        <f t="shared" si="8"/>
        <v>0</v>
      </c>
      <c r="AA108" s="89">
        <f t="shared" si="8"/>
        <v>0</v>
      </c>
      <c r="AB108" s="89">
        <f t="shared" si="8"/>
        <v>0</v>
      </c>
      <c r="AC108" s="89">
        <f t="shared" si="8"/>
        <v>0</v>
      </c>
      <c r="AD108" s="89">
        <f t="shared" si="8"/>
        <v>0</v>
      </c>
      <c r="AE108" s="89">
        <f t="shared" si="8"/>
        <v>0</v>
      </c>
      <c r="AF108" s="89">
        <f t="shared" si="8"/>
        <v>0</v>
      </c>
      <c r="AG108" s="89">
        <f t="shared" si="9"/>
        <v>0</v>
      </c>
      <c r="AH108" s="89">
        <f t="shared" si="9"/>
        <v>0</v>
      </c>
      <c r="AI108" s="89">
        <f t="shared" si="9"/>
        <v>0</v>
      </c>
      <c r="AJ108" s="89">
        <f t="shared" si="9"/>
        <v>0</v>
      </c>
      <c r="AK108" s="89">
        <f t="shared" si="9"/>
        <v>0</v>
      </c>
      <c r="AL108" s="89">
        <f t="shared" si="9"/>
        <v>0</v>
      </c>
      <c r="AM108" s="89">
        <f t="shared" si="9"/>
        <v>0</v>
      </c>
      <c r="AN108" s="89">
        <f t="shared" si="9"/>
        <v>0</v>
      </c>
      <c r="AO108" s="89">
        <f t="shared" si="9"/>
        <v>0</v>
      </c>
      <c r="AP108" s="89">
        <f t="shared" si="9"/>
        <v>0</v>
      </c>
      <c r="AQ108" s="89">
        <f t="shared" si="10"/>
        <v>0</v>
      </c>
      <c r="AR108" s="89">
        <f t="shared" si="11"/>
        <v>0</v>
      </c>
      <c r="AS108" s="89">
        <f t="shared" si="12"/>
        <v>0</v>
      </c>
      <c r="AT108" s="89">
        <f t="shared" si="13"/>
        <v>0</v>
      </c>
      <c r="AU108" s="89">
        <f t="shared" si="14"/>
        <v>0</v>
      </c>
      <c r="AV108" s="89">
        <f t="shared" si="15"/>
        <v>0</v>
      </c>
      <c r="AW108" s="89">
        <f t="shared" si="16"/>
        <v>0</v>
      </c>
      <c r="AX108" s="89">
        <f t="shared" si="17"/>
        <v>0</v>
      </c>
      <c r="AY108" s="89">
        <f t="shared" si="18"/>
        <v>0</v>
      </c>
      <c r="AZ108" s="89">
        <f t="shared" si="19"/>
        <v>0</v>
      </c>
      <c r="BA108" s="89">
        <f t="shared" si="20"/>
        <v>0</v>
      </c>
      <c r="BB108" s="89">
        <f t="shared" si="21"/>
        <v>0</v>
      </c>
    </row>
    <row r="109" spans="2:54">
      <c r="B109" s="6" t="s">
        <v>17</v>
      </c>
      <c r="C109" s="52"/>
      <c r="D109" s="89">
        <f t="shared" si="22"/>
        <v>0</v>
      </c>
      <c r="E109" s="89">
        <f t="shared" si="8"/>
        <v>0</v>
      </c>
      <c r="F109" s="89">
        <f t="shared" si="8"/>
        <v>0</v>
      </c>
      <c r="G109" s="89">
        <f t="shared" si="8"/>
        <v>0</v>
      </c>
      <c r="H109" s="89">
        <f t="shared" si="8"/>
        <v>0</v>
      </c>
      <c r="I109" s="89">
        <f t="shared" si="8"/>
        <v>0</v>
      </c>
      <c r="J109" s="89">
        <f t="shared" si="8"/>
        <v>0</v>
      </c>
      <c r="K109" s="89">
        <f t="shared" si="8"/>
        <v>0</v>
      </c>
      <c r="L109" s="89">
        <f t="shared" si="8"/>
        <v>0</v>
      </c>
      <c r="M109" s="89">
        <f t="shared" si="8"/>
        <v>0</v>
      </c>
      <c r="N109" s="89">
        <f t="shared" si="8"/>
        <v>0</v>
      </c>
      <c r="O109" s="89">
        <f t="shared" si="8"/>
        <v>0</v>
      </c>
      <c r="P109" s="89">
        <f t="shared" si="8"/>
        <v>0</v>
      </c>
      <c r="Q109" s="89">
        <f t="shared" si="8"/>
        <v>0</v>
      </c>
      <c r="R109" s="89">
        <f t="shared" si="8"/>
        <v>0</v>
      </c>
      <c r="S109" s="89">
        <f t="shared" si="8"/>
        <v>0</v>
      </c>
      <c r="T109" s="89">
        <f t="shared" si="8"/>
        <v>0</v>
      </c>
      <c r="U109" s="89">
        <f t="shared" si="8"/>
        <v>0</v>
      </c>
      <c r="V109" s="89">
        <f t="shared" si="8"/>
        <v>0</v>
      </c>
      <c r="W109" s="89">
        <f t="shared" si="8"/>
        <v>0</v>
      </c>
      <c r="X109" s="89">
        <f t="shared" si="8"/>
        <v>0</v>
      </c>
      <c r="Y109" s="89">
        <f t="shared" si="8"/>
        <v>0</v>
      </c>
      <c r="Z109" s="89">
        <f t="shared" si="8"/>
        <v>0</v>
      </c>
      <c r="AA109" s="89">
        <f t="shared" si="8"/>
        <v>0</v>
      </c>
      <c r="AB109" s="89">
        <f t="shared" si="8"/>
        <v>0</v>
      </c>
      <c r="AC109" s="89">
        <f t="shared" si="8"/>
        <v>0</v>
      </c>
      <c r="AD109" s="89">
        <f t="shared" si="8"/>
        <v>0</v>
      </c>
      <c r="AE109" s="89">
        <f t="shared" si="8"/>
        <v>0</v>
      </c>
      <c r="AF109" s="89">
        <f t="shared" si="8"/>
        <v>0</v>
      </c>
      <c r="AG109" s="89">
        <f t="shared" si="9"/>
        <v>0</v>
      </c>
      <c r="AH109" s="89">
        <f t="shared" si="9"/>
        <v>0</v>
      </c>
      <c r="AI109" s="89">
        <f t="shared" si="9"/>
        <v>0</v>
      </c>
      <c r="AJ109" s="89">
        <f t="shared" si="9"/>
        <v>0</v>
      </c>
      <c r="AK109" s="89">
        <f t="shared" si="9"/>
        <v>0</v>
      </c>
      <c r="AL109" s="89">
        <f t="shared" si="9"/>
        <v>0</v>
      </c>
      <c r="AM109" s="89">
        <f t="shared" si="9"/>
        <v>0</v>
      </c>
      <c r="AN109" s="89">
        <f t="shared" si="9"/>
        <v>0</v>
      </c>
      <c r="AO109" s="89">
        <f t="shared" si="9"/>
        <v>0</v>
      </c>
      <c r="AP109" s="89">
        <f t="shared" si="9"/>
        <v>0</v>
      </c>
      <c r="AQ109" s="89">
        <f t="shared" si="10"/>
        <v>0</v>
      </c>
      <c r="AR109" s="89">
        <f t="shared" si="11"/>
        <v>0</v>
      </c>
      <c r="AS109" s="89">
        <f t="shared" si="12"/>
        <v>0</v>
      </c>
      <c r="AT109" s="89">
        <f t="shared" si="13"/>
        <v>0</v>
      </c>
      <c r="AU109" s="89">
        <f t="shared" si="14"/>
        <v>0</v>
      </c>
      <c r="AV109" s="89">
        <f t="shared" si="15"/>
        <v>0</v>
      </c>
      <c r="AW109" s="89">
        <f t="shared" si="16"/>
        <v>0</v>
      </c>
      <c r="AX109" s="89">
        <f t="shared" si="17"/>
        <v>0</v>
      </c>
      <c r="AY109" s="89">
        <f t="shared" si="18"/>
        <v>0</v>
      </c>
      <c r="AZ109" s="89">
        <f t="shared" si="19"/>
        <v>0</v>
      </c>
      <c r="BA109" s="89">
        <f t="shared" si="20"/>
        <v>0</v>
      </c>
      <c r="BB109" s="89">
        <f t="shared" si="21"/>
        <v>0</v>
      </c>
    </row>
    <row r="110" spans="2:54" ht="29">
      <c r="B110" s="6" t="s">
        <v>106</v>
      </c>
      <c r="C110" s="52"/>
      <c r="D110" s="89">
        <f t="shared" si="22"/>
        <v>0</v>
      </c>
      <c r="E110" s="89">
        <f t="shared" si="8"/>
        <v>0</v>
      </c>
      <c r="F110" s="89">
        <f t="shared" si="8"/>
        <v>0</v>
      </c>
      <c r="G110" s="89">
        <f t="shared" si="8"/>
        <v>0</v>
      </c>
      <c r="H110" s="89">
        <f t="shared" si="8"/>
        <v>0</v>
      </c>
      <c r="I110" s="89">
        <f t="shared" si="8"/>
        <v>0</v>
      </c>
      <c r="J110" s="89">
        <f t="shared" si="8"/>
        <v>0</v>
      </c>
      <c r="K110" s="89">
        <f t="shared" si="8"/>
        <v>0</v>
      </c>
      <c r="L110" s="89">
        <f t="shared" si="8"/>
        <v>0</v>
      </c>
      <c r="M110" s="89">
        <f t="shared" si="8"/>
        <v>0</v>
      </c>
      <c r="N110" s="89">
        <f t="shared" si="8"/>
        <v>0</v>
      </c>
      <c r="O110" s="89">
        <f t="shared" si="8"/>
        <v>0</v>
      </c>
      <c r="P110" s="89">
        <f t="shared" si="8"/>
        <v>0</v>
      </c>
      <c r="Q110" s="89">
        <f t="shared" si="8"/>
        <v>0</v>
      </c>
      <c r="R110" s="89">
        <f t="shared" si="8"/>
        <v>0</v>
      </c>
      <c r="S110" s="89">
        <f t="shared" si="8"/>
        <v>0</v>
      </c>
      <c r="T110" s="89">
        <f t="shared" si="8"/>
        <v>0</v>
      </c>
      <c r="U110" s="89">
        <f t="shared" si="8"/>
        <v>0</v>
      </c>
      <c r="V110" s="89">
        <f t="shared" si="8"/>
        <v>0</v>
      </c>
      <c r="W110" s="89">
        <f t="shared" si="8"/>
        <v>0</v>
      </c>
      <c r="X110" s="89">
        <f t="shared" si="8"/>
        <v>0</v>
      </c>
      <c r="Y110" s="89">
        <f t="shared" si="8"/>
        <v>0</v>
      </c>
      <c r="Z110" s="89">
        <f t="shared" si="8"/>
        <v>0</v>
      </c>
      <c r="AA110" s="89">
        <f t="shared" si="8"/>
        <v>0</v>
      </c>
      <c r="AB110" s="89">
        <f t="shared" si="8"/>
        <v>0</v>
      </c>
      <c r="AC110" s="89">
        <f t="shared" si="8"/>
        <v>0</v>
      </c>
      <c r="AD110" s="89">
        <f t="shared" si="8"/>
        <v>0</v>
      </c>
      <c r="AE110" s="89">
        <f t="shared" si="8"/>
        <v>0</v>
      </c>
      <c r="AF110" s="89">
        <f t="shared" si="8"/>
        <v>0</v>
      </c>
      <c r="AG110" s="89">
        <f t="shared" si="9"/>
        <v>0</v>
      </c>
      <c r="AH110" s="89">
        <f t="shared" si="9"/>
        <v>0</v>
      </c>
      <c r="AI110" s="89">
        <f t="shared" si="9"/>
        <v>0</v>
      </c>
      <c r="AJ110" s="89">
        <f t="shared" si="9"/>
        <v>0</v>
      </c>
      <c r="AK110" s="89">
        <f t="shared" si="9"/>
        <v>0</v>
      </c>
      <c r="AL110" s="89">
        <f t="shared" si="9"/>
        <v>0</v>
      </c>
      <c r="AM110" s="89">
        <f t="shared" si="9"/>
        <v>0</v>
      </c>
      <c r="AN110" s="89">
        <f t="shared" si="9"/>
        <v>0</v>
      </c>
      <c r="AO110" s="89">
        <f t="shared" si="9"/>
        <v>0</v>
      </c>
      <c r="AP110" s="89">
        <f t="shared" si="9"/>
        <v>0</v>
      </c>
      <c r="AQ110" s="89">
        <f t="shared" si="10"/>
        <v>0</v>
      </c>
      <c r="AR110" s="89">
        <f t="shared" si="11"/>
        <v>0</v>
      </c>
      <c r="AS110" s="89">
        <f t="shared" si="12"/>
        <v>0</v>
      </c>
      <c r="AT110" s="89">
        <f t="shared" si="13"/>
        <v>0</v>
      </c>
      <c r="AU110" s="89">
        <f t="shared" si="14"/>
        <v>0</v>
      </c>
      <c r="AV110" s="89">
        <f t="shared" si="15"/>
        <v>0</v>
      </c>
      <c r="AW110" s="89">
        <f t="shared" si="16"/>
        <v>0</v>
      </c>
      <c r="AX110" s="89">
        <f t="shared" si="17"/>
        <v>0</v>
      </c>
      <c r="AY110" s="89">
        <f t="shared" si="18"/>
        <v>0</v>
      </c>
      <c r="AZ110" s="89">
        <f t="shared" si="19"/>
        <v>0</v>
      </c>
      <c r="BA110" s="89">
        <f t="shared" si="20"/>
        <v>0</v>
      </c>
      <c r="BB110" s="89">
        <f t="shared" si="21"/>
        <v>0</v>
      </c>
    </row>
    <row r="111" spans="2:54" ht="29">
      <c r="B111" s="6" t="s">
        <v>107</v>
      </c>
      <c r="C111" s="52"/>
      <c r="D111" s="89">
        <f t="shared" si="22"/>
        <v>0</v>
      </c>
      <c r="E111" s="89">
        <f t="shared" si="8"/>
        <v>0</v>
      </c>
      <c r="F111" s="89">
        <f t="shared" si="8"/>
        <v>0</v>
      </c>
      <c r="G111" s="89">
        <f t="shared" si="8"/>
        <v>0</v>
      </c>
      <c r="H111" s="89">
        <f t="shared" si="8"/>
        <v>0</v>
      </c>
      <c r="I111" s="89">
        <f t="shared" si="8"/>
        <v>0</v>
      </c>
      <c r="J111" s="89">
        <f t="shared" si="8"/>
        <v>0</v>
      </c>
      <c r="K111" s="89">
        <f t="shared" si="8"/>
        <v>0</v>
      </c>
      <c r="L111" s="89">
        <f t="shared" si="8"/>
        <v>0</v>
      </c>
      <c r="M111" s="89">
        <f t="shared" si="8"/>
        <v>0</v>
      </c>
      <c r="N111" s="89">
        <f t="shared" si="8"/>
        <v>0</v>
      </c>
      <c r="O111" s="89">
        <f t="shared" si="8"/>
        <v>0</v>
      </c>
      <c r="P111" s="89">
        <f t="shared" si="8"/>
        <v>0</v>
      </c>
      <c r="Q111" s="89">
        <f t="shared" si="8"/>
        <v>0</v>
      </c>
      <c r="R111" s="89">
        <f t="shared" si="8"/>
        <v>0</v>
      </c>
      <c r="S111" s="89">
        <f t="shared" si="8"/>
        <v>0</v>
      </c>
      <c r="T111" s="89">
        <f t="shared" si="8"/>
        <v>0</v>
      </c>
      <c r="U111" s="89">
        <f t="shared" si="8"/>
        <v>0</v>
      </c>
      <c r="V111" s="89">
        <f t="shared" si="8"/>
        <v>0</v>
      </c>
      <c r="W111" s="89">
        <f t="shared" si="8"/>
        <v>0</v>
      </c>
      <c r="X111" s="89">
        <f t="shared" si="8"/>
        <v>0</v>
      </c>
      <c r="Y111" s="89">
        <f t="shared" si="8"/>
        <v>0</v>
      </c>
      <c r="Z111" s="89">
        <f t="shared" si="8"/>
        <v>0</v>
      </c>
      <c r="AA111" s="89">
        <f t="shared" si="8"/>
        <v>0</v>
      </c>
      <c r="AB111" s="89">
        <f t="shared" si="8"/>
        <v>0</v>
      </c>
      <c r="AC111" s="89">
        <f t="shared" si="8"/>
        <v>0</v>
      </c>
      <c r="AD111" s="89">
        <f t="shared" si="8"/>
        <v>0</v>
      </c>
      <c r="AE111" s="89">
        <f t="shared" si="8"/>
        <v>0</v>
      </c>
      <c r="AF111" s="89">
        <f t="shared" si="8"/>
        <v>0</v>
      </c>
      <c r="AG111" s="89">
        <f t="shared" si="9"/>
        <v>0</v>
      </c>
      <c r="AH111" s="89">
        <f t="shared" si="9"/>
        <v>0</v>
      </c>
      <c r="AI111" s="89">
        <f t="shared" si="9"/>
        <v>0</v>
      </c>
      <c r="AJ111" s="89">
        <f t="shared" si="9"/>
        <v>0</v>
      </c>
      <c r="AK111" s="89">
        <f t="shared" si="9"/>
        <v>0</v>
      </c>
      <c r="AL111" s="89">
        <f t="shared" si="9"/>
        <v>0</v>
      </c>
      <c r="AM111" s="89">
        <f t="shared" si="9"/>
        <v>0</v>
      </c>
      <c r="AN111" s="89">
        <f t="shared" si="9"/>
        <v>0</v>
      </c>
      <c r="AO111" s="89">
        <f t="shared" si="9"/>
        <v>0</v>
      </c>
      <c r="AP111" s="89">
        <f t="shared" si="9"/>
        <v>0</v>
      </c>
      <c r="AQ111" s="89">
        <f t="shared" si="10"/>
        <v>0</v>
      </c>
      <c r="AR111" s="89">
        <f t="shared" si="11"/>
        <v>0</v>
      </c>
      <c r="AS111" s="89">
        <f t="shared" si="12"/>
        <v>0</v>
      </c>
      <c r="AT111" s="89">
        <f t="shared" si="13"/>
        <v>0</v>
      </c>
      <c r="AU111" s="89">
        <f t="shared" si="14"/>
        <v>0</v>
      </c>
      <c r="AV111" s="89">
        <f t="shared" si="15"/>
        <v>0</v>
      </c>
      <c r="AW111" s="89">
        <f t="shared" si="16"/>
        <v>0</v>
      </c>
      <c r="AX111" s="89">
        <f t="shared" si="17"/>
        <v>0</v>
      </c>
      <c r="AY111" s="89">
        <f t="shared" si="18"/>
        <v>0</v>
      </c>
      <c r="AZ111" s="89">
        <f t="shared" si="19"/>
        <v>0</v>
      </c>
      <c r="BA111" s="89">
        <f t="shared" si="20"/>
        <v>0</v>
      </c>
      <c r="BB111" s="89">
        <f t="shared" si="21"/>
        <v>0</v>
      </c>
    </row>
    <row r="112" spans="2:54">
      <c r="B112" s="6" t="s">
        <v>2863</v>
      </c>
      <c r="D112" s="89">
        <f t="shared" si="22"/>
        <v>0</v>
      </c>
      <c r="E112" s="89">
        <f t="shared" si="8"/>
        <v>9.7181083832335311</v>
      </c>
      <c r="F112" s="89">
        <f t="shared" si="8"/>
        <v>19.768386137405166</v>
      </c>
      <c r="G112" s="89">
        <f t="shared" si="8"/>
        <v>30.102959947044489</v>
      </c>
      <c r="H112" s="89">
        <f t="shared" si="8"/>
        <v>40.689590328558872</v>
      </c>
      <c r="I112" s="89">
        <f t="shared" si="8"/>
        <v>51.510227929879967</v>
      </c>
      <c r="J112" s="89">
        <f t="shared" si="8"/>
        <v>62.55465255151384</v>
      </c>
      <c r="K112" s="89">
        <f t="shared" si="8"/>
        <v>73.812895649446233</v>
      </c>
      <c r="L112" s="89">
        <f t="shared" si="8"/>
        <v>85.278675957332695</v>
      </c>
      <c r="M112" s="89">
        <f t="shared" si="8"/>
        <v>96.967660098870155</v>
      </c>
      <c r="N112" s="89">
        <f t="shared" si="8"/>
        <v>108.88114706677521</v>
      </c>
      <c r="O112" s="89">
        <f t="shared" si="8"/>
        <v>111.2955417839152</v>
      </c>
      <c r="P112" s="89">
        <f t="shared" si="8"/>
        <v>113.58851278123163</v>
      </c>
      <c r="Q112" s="89">
        <f t="shared" si="8"/>
        <v>115.79810539876944</v>
      </c>
      <c r="R112" s="89">
        <f t="shared" si="8"/>
        <v>117.95071782782071</v>
      </c>
      <c r="S112" s="89">
        <f t="shared" si="8"/>
        <v>120.06303560583021</v>
      </c>
      <c r="T112" s="89">
        <f t="shared" si="8"/>
        <v>122.14444160425788</v>
      </c>
      <c r="U112" s="89">
        <f t="shared" si="8"/>
        <v>124.2004474864687</v>
      </c>
      <c r="V112" s="89">
        <f t="shared" si="8"/>
        <v>126.23345832786624</v>
      </c>
      <c r="W112" s="89">
        <f t="shared" ref="E112:AF120" si="23">SUMIFS($C$90:$C$98,$B$90:$B$98,$B112)*V$84</f>
        <v>128.23233761751223</v>
      </c>
      <c r="X112" s="89">
        <f t="shared" si="23"/>
        <v>130.19311021723354</v>
      </c>
      <c r="Y112" s="89">
        <f t="shared" si="23"/>
        <v>132.11660561861228</v>
      </c>
      <c r="Z112" s="89">
        <f t="shared" si="23"/>
        <v>134.00617746802934</v>
      </c>
      <c r="AA112" s="89">
        <f t="shared" si="23"/>
        <v>135.87016043713007</v>
      </c>
      <c r="AB112" s="89">
        <f t="shared" si="23"/>
        <v>137.71210586059087</v>
      </c>
      <c r="AC112" s="89">
        <f t="shared" si="23"/>
        <v>139.52968624533719</v>
      </c>
      <c r="AD112" s="89">
        <f t="shared" si="23"/>
        <v>141.31899260629623</v>
      </c>
      <c r="AE112" s="89">
        <f t="shared" si="23"/>
        <v>143.07870095417977</v>
      </c>
      <c r="AF112" s="89">
        <f t="shared" si="23"/>
        <v>144.80616987673721</v>
      </c>
      <c r="AG112" s="89">
        <f t="shared" si="9"/>
        <v>146.48969388470971</v>
      </c>
      <c r="AH112" s="89">
        <f t="shared" si="9"/>
        <v>148.12545568736476</v>
      </c>
      <c r="AI112" s="89">
        <f t="shared" si="9"/>
        <v>149.7147890765863</v>
      </c>
      <c r="AJ112" s="89">
        <f t="shared" si="9"/>
        <v>151.25958708553344</v>
      </c>
      <c r="AK112" s="89">
        <f t="shared" si="9"/>
        <v>152.75944601751959</v>
      </c>
      <c r="AL112" s="89">
        <f t="shared" si="9"/>
        <v>154.21119249054783</v>
      </c>
      <c r="AM112" s="89">
        <f t="shared" si="9"/>
        <v>155.61041603223273</v>
      </c>
      <c r="AN112" s="89">
        <f t="shared" si="9"/>
        <v>156.95204106897978</v>
      </c>
      <c r="AO112" s="89">
        <f t="shared" si="9"/>
        <v>158.23322665794547</v>
      </c>
      <c r="AP112" s="89">
        <f t="shared" si="9"/>
        <v>159.45217380419675</v>
      </c>
      <c r="AQ112" s="89">
        <f t="shared" si="10"/>
        <v>160.60734174759165</v>
      </c>
      <c r="AR112" s="89">
        <f t="shared" si="11"/>
        <v>161.70037406207942</v>
      </c>
      <c r="AS112" s="89">
        <f t="shared" si="12"/>
        <v>162.73396990075486</v>
      </c>
      <c r="AT112" s="89">
        <f t="shared" si="13"/>
        <v>163.71381867378176</v>
      </c>
      <c r="AU112" s="89">
        <f t="shared" si="14"/>
        <v>164.62243772219222</v>
      </c>
      <c r="AV112" s="89">
        <f t="shared" si="15"/>
        <v>165.45069265713843</v>
      </c>
      <c r="AW112" s="89">
        <f t="shared" si="16"/>
        <v>166.19568951973454</v>
      </c>
      <c r="AX112" s="89">
        <f t="shared" si="17"/>
        <v>166.85896765630332</v>
      </c>
      <c r="AY112" s="89">
        <f t="shared" si="18"/>
        <v>167.44291005608565</v>
      </c>
      <c r="AZ112" s="89">
        <f t="shared" si="19"/>
        <v>167.95113392337427</v>
      </c>
      <c r="BA112" s="89">
        <f t="shared" si="20"/>
        <v>168.38881557640778</v>
      </c>
      <c r="BB112" s="89">
        <f t="shared" si="21"/>
        <v>168.7581385092133</v>
      </c>
    </row>
    <row r="113" spans="1:54">
      <c r="B113" s="6" t="s">
        <v>2862</v>
      </c>
      <c r="C113" s="52"/>
      <c r="D113" s="89">
        <f t="shared" si="22"/>
        <v>0</v>
      </c>
      <c r="E113" s="89">
        <f t="shared" si="23"/>
        <v>19.436216766467062</v>
      </c>
      <c r="F113" s="89">
        <f t="shared" si="23"/>
        <v>39.536772274810332</v>
      </c>
      <c r="G113" s="89">
        <f t="shared" si="23"/>
        <v>60.205919894088979</v>
      </c>
      <c r="H113" s="89">
        <f t="shared" si="23"/>
        <v>81.379180657117743</v>
      </c>
      <c r="I113" s="89">
        <f t="shared" si="23"/>
        <v>103.02045585975993</v>
      </c>
      <c r="J113" s="89">
        <f t="shared" si="23"/>
        <v>125.10930510302768</v>
      </c>
      <c r="K113" s="89">
        <f t="shared" si="23"/>
        <v>147.62579129889247</v>
      </c>
      <c r="L113" s="89">
        <f t="shared" si="23"/>
        <v>170.55735191466539</v>
      </c>
      <c r="M113" s="89">
        <f t="shared" si="23"/>
        <v>193.93532019774031</v>
      </c>
      <c r="N113" s="89">
        <f t="shared" si="23"/>
        <v>217.76229413355043</v>
      </c>
      <c r="O113" s="89">
        <f t="shared" si="23"/>
        <v>222.5910835678304</v>
      </c>
      <c r="P113" s="89">
        <f t="shared" si="23"/>
        <v>227.17702556246326</v>
      </c>
      <c r="Q113" s="89">
        <f t="shared" si="23"/>
        <v>231.59621079753887</v>
      </c>
      <c r="R113" s="89">
        <f t="shared" si="23"/>
        <v>235.90143565564142</v>
      </c>
      <c r="S113" s="89">
        <f t="shared" si="23"/>
        <v>240.12607121166042</v>
      </c>
      <c r="T113" s="89">
        <f t="shared" si="23"/>
        <v>244.28888320851576</v>
      </c>
      <c r="U113" s="89">
        <f t="shared" si="23"/>
        <v>248.40089497293741</v>
      </c>
      <c r="V113" s="89">
        <f t="shared" si="23"/>
        <v>252.46691665573249</v>
      </c>
      <c r="W113" s="89">
        <f t="shared" si="23"/>
        <v>256.46467523502446</v>
      </c>
      <c r="X113" s="89">
        <f t="shared" si="23"/>
        <v>260.38622043446708</v>
      </c>
      <c r="Y113" s="89">
        <f t="shared" si="23"/>
        <v>264.23321123722457</v>
      </c>
      <c r="Z113" s="89">
        <f t="shared" si="23"/>
        <v>268.01235493605867</v>
      </c>
      <c r="AA113" s="89">
        <f t="shared" si="23"/>
        <v>271.74032087426014</v>
      </c>
      <c r="AB113" s="89">
        <f t="shared" si="23"/>
        <v>275.42421172118173</v>
      </c>
      <c r="AC113" s="89">
        <f t="shared" si="23"/>
        <v>279.05937249067438</v>
      </c>
      <c r="AD113" s="89">
        <f t="shared" si="23"/>
        <v>282.63798521259247</v>
      </c>
      <c r="AE113" s="89">
        <f t="shared" si="23"/>
        <v>286.15740190835953</v>
      </c>
      <c r="AF113" s="89">
        <f t="shared" si="23"/>
        <v>289.61233975347443</v>
      </c>
      <c r="AG113" s="89">
        <f t="shared" si="9"/>
        <v>292.97938776941942</v>
      </c>
      <c r="AH113" s="89">
        <f t="shared" si="9"/>
        <v>296.25091137472953</v>
      </c>
      <c r="AI113" s="89">
        <f t="shared" si="9"/>
        <v>299.4295781531726</v>
      </c>
      <c r="AJ113" s="89">
        <f t="shared" si="9"/>
        <v>302.51917417106688</v>
      </c>
      <c r="AK113" s="89">
        <f t="shared" si="9"/>
        <v>305.51889203503919</v>
      </c>
      <c r="AL113" s="89">
        <f t="shared" si="9"/>
        <v>308.42238498109566</v>
      </c>
      <c r="AM113" s="89">
        <f t="shared" si="9"/>
        <v>311.22083206446547</v>
      </c>
      <c r="AN113" s="89">
        <f t="shared" si="9"/>
        <v>313.90408213795956</v>
      </c>
      <c r="AO113" s="89">
        <f t="shared" si="9"/>
        <v>316.46645331589093</v>
      </c>
      <c r="AP113" s="89">
        <f t="shared" si="9"/>
        <v>318.90434760839349</v>
      </c>
      <c r="AQ113" s="89">
        <f t="shared" si="10"/>
        <v>321.21468349518329</v>
      </c>
      <c r="AR113" s="89">
        <f t="shared" si="11"/>
        <v>323.40074812415884</v>
      </c>
      <c r="AS113" s="89">
        <f t="shared" si="12"/>
        <v>325.46793980150971</v>
      </c>
      <c r="AT113" s="89">
        <f t="shared" si="13"/>
        <v>327.42763734756352</v>
      </c>
      <c r="AU113" s="89">
        <f t="shared" si="14"/>
        <v>329.24487544438443</v>
      </c>
      <c r="AV113" s="89">
        <f t="shared" si="15"/>
        <v>330.90138531427687</v>
      </c>
      <c r="AW113" s="89">
        <f t="shared" si="16"/>
        <v>332.39137903946909</v>
      </c>
      <c r="AX113" s="89">
        <f t="shared" si="17"/>
        <v>333.71793531260664</v>
      </c>
      <c r="AY113" s="89">
        <f t="shared" si="18"/>
        <v>334.8858201121713</v>
      </c>
      <c r="AZ113" s="89">
        <f t="shared" si="19"/>
        <v>335.90226784674854</v>
      </c>
      <c r="BA113" s="89">
        <f t="shared" si="20"/>
        <v>336.77763115281556</v>
      </c>
      <c r="BB113" s="89">
        <f t="shared" si="21"/>
        <v>337.51627701842659</v>
      </c>
    </row>
    <row r="114" spans="1:54">
      <c r="B114" s="6" t="s">
        <v>131</v>
      </c>
      <c r="C114" s="52"/>
      <c r="D114" s="89">
        <f t="shared" si="22"/>
        <v>0</v>
      </c>
      <c r="E114" s="89">
        <f t="shared" si="23"/>
        <v>0</v>
      </c>
      <c r="F114" s="89">
        <f t="shared" si="23"/>
        <v>0</v>
      </c>
      <c r="G114" s="89">
        <f t="shared" si="23"/>
        <v>0</v>
      </c>
      <c r="H114" s="89">
        <f t="shared" si="23"/>
        <v>0</v>
      </c>
      <c r="I114" s="89">
        <f t="shared" si="23"/>
        <v>0</v>
      </c>
      <c r="J114" s="89">
        <f t="shared" si="23"/>
        <v>0</v>
      </c>
      <c r="K114" s="89">
        <f t="shared" si="23"/>
        <v>0</v>
      </c>
      <c r="L114" s="89">
        <f t="shared" si="23"/>
        <v>0</v>
      </c>
      <c r="M114" s="89">
        <f t="shared" si="23"/>
        <v>0</v>
      </c>
      <c r="N114" s="89">
        <f t="shared" si="23"/>
        <v>0</v>
      </c>
      <c r="O114" s="89">
        <f t="shared" si="23"/>
        <v>0</v>
      </c>
      <c r="P114" s="89">
        <f t="shared" si="23"/>
        <v>0</v>
      </c>
      <c r="Q114" s="89">
        <f t="shared" si="23"/>
        <v>0</v>
      </c>
      <c r="R114" s="89">
        <f t="shared" si="23"/>
        <v>0</v>
      </c>
      <c r="S114" s="89">
        <f t="shared" si="23"/>
        <v>0</v>
      </c>
      <c r="T114" s="89">
        <f t="shared" si="23"/>
        <v>0</v>
      </c>
      <c r="U114" s="89">
        <f t="shared" si="23"/>
        <v>0</v>
      </c>
      <c r="V114" s="89">
        <f t="shared" si="23"/>
        <v>0</v>
      </c>
      <c r="W114" s="89">
        <f t="shared" si="23"/>
        <v>0</v>
      </c>
      <c r="X114" s="89">
        <f t="shared" si="23"/>
        <v>0</v>
      </c>
      <c r="Y114" s="89">
        <f t="shared" si="23"/>
        <v>0</v>
      </c>
      <c r="Z114" s="89">
        <f t="shared" si="23"/>
        <v>0</v>
      </c>
      <c r="AA114" s="89">
        <f t="shared" si="23"/>
        <v>0</v>
      </c>
      <c r="AB114" s="89">
        <f t="shared" si="23"/>
        <v>0</v>
      </c>
      <c r="AC114" s="89">
        <f t="shared" si="23"/>
        <v>0</v>
      </c>
      <c r="AD114" s="89">
        <f t="shared" si="23"/>
        <v>0</v>
      </c>
      <c r="AE114" s="89">
        <f t="shared" si="23"/>
        <v>0</v>
      </c>
      <c r="AF114" s="89">
        <f t="shared" si="23"/>
        <v>0</v>
      </c>
      <c r="AG114" s="89">
        <f t="shared" si="9"/>
        <v>0</v>
      </c>
      <c r="AH114" s="89">
        <f t="shared" si="9"/>
        <v>0</v>
      </c>
      <c r="AI114" s="89">
        <f t="shared" si="9"/>
        <v>0</v>
      </c>
      <c r="AJ114" s="89">
        <f t="shared" si="9"/>
        <v>0</v>
      </c>
      <c r="AK114" s="89">
        <f t="shared" si="9"/>
        <v>0</v>
      </c>
      <c r="AL114" s="89">
        <f t="shared" si="9"/>
        <v>0</v>
      </c>
      <c r="AM114" s="89">
        <f t="shared" si="9"/>
        <v>0</v>
      </c>
      <c r="AN114" s="89">
        <f t="shared" si="9"/>
        <v>0</v>
      </c>
      <c r="AO114" s="89">
        <f t="shared" si="9"/>
        <v>0</v>
      </c>
      <c r="AP114" s="89">
        <f t="shared" si="9"/>
        <v>0</v>
      </c>
      <c r="AQ114" s="89">
        <f t="shared" si="10"/>
        <v>0</v>
      </c>
      <c r="AR114" s="89">
        <f t="shared" si="11"/>
        <v>0</v>
      </c>
      <c r="AS114" s="89">
        <f t="shared" si="12"/>
        <v>0</v>
      </c>
      <c r="AT114" s="89">
        <f t="shared" si="13"/>
        <v>0</v>
      </c>
      <c r="AU114" s="89">
        <f t="shared" si="14"/>
        <v>0</v>
      </c>
      <c r="AV114" s="89">
        <f t="shared" si="15"/>
        <v>0</v>
      </c>
      <c r="AW114" s="89">
        <f t="shared" si="16"/>
        <v>0</v>
      </c>
      <c r="AX114" s="89">
        <f t="shared" si="17"/>
        <v>0</v>
      </c>
      <c r="AY114" s="89">
        <f t="shared" si="18"/>
        <v>0</v>
      </c>
      <c r="AZ114" s="89">
        <f t="shared" si="19"/>
        <v>0</v>
      </c>
      <c r="BA114" s="89">
        <f t="shared" si="20"/>
        <v>0</v>
      </c>
      <c r="BB114" s="89">
        <f t="shared" si="21"/>
        <v>0</v>
      </c>
    </row>
    <row r="115" spans="1:54" ht="29">
      <c r="B115" s="6" t="s">
        <v>2869</v>
      </c>
      <c r="C115" s="52"/>
      <c r="D115" s="89">
        <f t="shared" si="22"/>
        <v>0</v>
      </c>
      <c r="E115" s="89">
        <f t="shared" si="23"/>
        <v>0</v>
      </c>
      <c r="F115" s="89">
        <f t="shared" si="23"/>
        <v>0</v>
      </c>
      <c r="G115" s="89">
        <f t="shared" si="23"/>
        <v>0</v>
      </c>
      <c r="H115" s="89">
        <f t="shared" si="23"/>
        <v>0</v>
      </c>
      <c r="I115" s="89">
        <f t="shared" si="23"/>
        <v>0</v>
      </c>
      <c r="J115" s="89">
        <f t="shared" si="23"/>
        <v>0</v>
      </c>
      <c r="K115" s="89">
        <f t="shared" si="23"/>
        <v>0</v>
      </c>
      <c r="L115" s="89">
        <f t="shared" si="23"/>
        <v>0</v>
      </c>
      <c r="M115" s="89">
        <f t="shared" si="23"/>
        <v>0</v>
      </c>
      <c r="N115" s="89">
        <f t="shared" si="23"/>
        <v>0</v>
      </c>
      <c r="O115" s="89">
        <f t="shared" si="23"/>
        <v>0</v>
      </c>
      <c r="P115" s="89">
        <f t="shared" si="23"/>
        <v>0</v>
      </c>
      <c r="Q115" s="89">
        <f t="shared" si="23"/>
        <v>0</v>
      </c>
      <c r="R115" s="89">
        <f t="shared" si="23"/>
        <v>0</v>
      </c>
      <c r="S115" s="89">
        <f t="shared" si="23"/>
        <v>0</v>
      </c>
      <c r="T115" s="89">
        <f t="shared" si="23"/>
        <v>0</v>
      </c>
      <c r="U115" s="89">
        <f t="shared" si="23"/>
        <v>0</v>
      </c>
      <c r="V115" s="89">
        <f t="shared" si="23"/>
        <v>0</v>
      </c>
      <c r="W115" s="89">
        <f t="shared" si="23"/>
        <v>0</v>
      </c>
      <c r="X115" s="89">
        <f t="shared" si="23"/>
        <v>0</v>
      </c>
      <c r="Y115" s="89">
        <f t="shared" si="23"/>
        <v>0</v>
      </c>
      <c r="Z115" s="89">
        <f t="shared" si="23"/>
        <v>0</v>
      </c>
      <c r="AA115" s="89">
        <f t="shared" si="23"/>
        <v>0</v>
      </c>
      <c r="AB115" s="89">
        <f t="shared" si="23"/>
        <v>0</v>
      </c>
      <c r="AC115" s="89">
        <f t="shared" si="23"/>
        <v>0</v>
      </c>
      <c r="AD115" s="89">
        <f t="shared" si="23"/>
        <v>0</v>
      </c>
      <c r="AE115" s="89">
        <f t="shared" si="23"/>
        <v>0</v>
      </c>
      <c r="AF115" s="89">
        <f t="shared" si="23"/>
        <v>0</v>
      </c>
      <c r="AG115" s="89">
        <f t="shared" si="9"/>
        <v>0</v>
      </c>
      <c r="AH115" s="89">
        <f t="shared" si="9"/>
        <v>0</v>
      </c>
      <c r="AI115" s="89">
        <f t="shared" si="9"/>
        <v>0</v>
      </c>
      <c r="AJ115" s="89">
        <f t="shared" si="9"/>
        <v>0</v>
      </c>
      <c r="AK115" s="89">
        <f t="shared" si="9"/>
        <v>0</v>
      </c>
      <c r="AL115" s="89">
        <f t="shared" si="9"/>
        <v>0</v>
      </c>
      <c r="AM115" s="89">
        <f t="shared" si="9"/>
        <v>0</v>
      </c>
      <c r="AN115" s="89">
        <f t="shared" si="9"/>
        <v>0</v>
      </c>
      <c r="AO115" s="89">
        <f t="shared" si="9"/>
        <v>0</v>
      </c>
      <c r="AP115" s="89">
        <f t="shared" si="9"/>
        <v>0</v>
      </c>
      <c r="AQ115" s="89">
        <f t="shared" si="10"/>
        <v>0</v>
      </c>
      <c r="AR115" s="89">
        <f t="shared" si="11"/>
        <v>0</v>
      </c>
      <c r="AS115" s="89">
        <f t="shared" si="12"/>
        <v>0</v>
      </c>
      <c r="AT115" s="89">
        <f t="shared" si="13"/>
        <v>0</v>
      </c>
      <c r="AU115" s="89">
        <f t="shared" si="14"/>
        <v>0</v>
      </c>
      <c r="AV115" s="89">
        <f t="shared" si="15"/>
        <v>0</v>
      </c>
      <c r="AW115" s="89">
        <f t="shared" si="16"/>
        <v>0</v>
      </c>
      <c r="AX115" s="89">
        <f t="shared" si="17"/>
        <v>0</v>
      </c>
      <c r="AY115" s="89">
        <f t="shared" si="18"/>
        <v>0</v>
      </c>
      <c r="AZ115" s="89">
        <f t="shared" si="19"/>
        <v>0</v>
      </c>
      <c r="BA115" s="89">
        <f t="shared" si="20"/>
        <v>0</v>
      </c>
      <c r="BB115" s="89">
        <f t="shared" si="21"/>
        <v>0</v>
      </c>
    </row>
    <row r="116" spans="1:54" ht="29">
      <c r="B116" s="6" t="s">
        <v>2870</v>
      </c>
      <c r="C116" s="52"/>
      <c r="D116" s="89">
        <f t="shared" si="22"/>
        <v>0</v>
      </c>
      <c r="E116" s="89">
        <f t="shared" si="23"/>
        <v>0</v>
      </c>
      <c r="F116" s="89">
        <f t="shared" si="23"/>
        <v>0</v>
      </c>
      <c r="G116" s="89">
        <f t="shared" si="23"/>
        <v>0</v>
      </c>
      <c r="H116" s="89">
        <f t="shared" si="23"/>
        <v>0</v>
      </c>
      <c r="I116" s="89">
        <f t="shared" si="23"/>
        <v>0</v>
      </c>
      <c r="J116" s="89">
        <f t="shared" si="23"/>
        <v>0</v>
      </c>
      <c r="K116" s="89">
        <f t="shared" si="23"/>
        <v>0</v>
      </c>
      <c r="L116" s="89">
        <f t="shared" si="23"/>
        <v>0</v>
      </c>
      <c r="M116" s="89">
        <f t="shared" si="23"/>
        <v>0</v>
      </c>
      <c r="N116" s="89">
        <f t="shared" si="23"/>
        <v>0</v>
      </c>
      <c r="O116" s="89">
        <f t="shared" si="23"/>
        <v>0</v>
      </c>
      <c r="P116" s="89">
        <f t="shared" si="23"/>
        <v>0</v>
      </c>
      <c r="Q116" s="89">
        <f t="shared" si="23"/>
        <v>0</v>
      </c>
      <c r="R116" s="89">
        <f t="shared" si="23"/>
        <v>0</v>
      </c>
      <c r="S116" s="89">
        <f t="shared" si="23"/>
        <v>0</v>
      </c>
      <c r="T116" s="89">
        <f t="shared" si="23"/>
        <v>0</v>
      </c>
      <c r="U116" s="89">
        <f t="shared" si="23"/>
        <v>0</v>
      </c>
      <c r="V116" s="89">
        <f t="shared" si="23"/>
        <v>0</v>
      </c>
      <c r="W116" s="89">
        <f t="shared" si="23"/>
        <v>0</v>
      </c>
      <c r="X116" s="89">
        <f t="shared" si="23"/>
        <v>0</v>
      </c>
      <c r="Y116" s="89">
        <f t="shared" si="23"/>
        <v>0</v>
      </c>
      <c r="Z116" s="89">
        <f t="shared" si="23"/>
        <v>0</v>
      </c>
      <c r="AA116" s="89">
        <f t="shared" si="23"/>
        <v>0</v>
      </c>
      <c r="AB116" s="89">
        <f t="shared" si="23"/>
        <v>0</v>
      </c>
      <c r="AC116" s="89">
        <f t="shared" si="23"/>
        <v>0</v>
      </c>
      <c r="AD116" s="89">
        <f t="shared" si="23"/>
        <v>0</v>
      </c>
      <c r="AE116" s="89">
        <f t="shared" si="23"/>
        <v>0</v>
      </c>
      <c r="AF116" s="89">
        <f t="shared" si="23"/>
        <v>0</v>
      </c>
      <c r="AG116" s="89">
        <f t="shared" si="9"/>
        <v>0</v>
      </c>
      <c r="AH116" s="89">
        <f t="shared" si="9"/>
        <v>0</v>
      </c>
      <c r="AI116" s="89">
        <f t="shared" si="9"/>
        <v>0</v>
      </c>
      <c r="AJ116" s="89">
        <f t="shared" si="9"/>
        <v>0</v>
      </c>
      <c r="AK116" s="89">
        <f t="shared" si="9"/>
        <v>0</v>
      </c>
      <c r="AL116" s="89">
        <f t="shared" si="9"/>
        <v>0</v>
      </c>
      <c r="AM116" s="89">
        <f t="shared" si="9"/>
        <v>0</v>
      </c>
      <c r="AN116" s="89">
        <f t="shared" si="9"/>
        <v>0</v>
      </c>
      <c r="AO116" s="89">
        <f t="shared" si="9"/>
        <v>0</v>
      </c>
      <c r="AP116" s="89">
        <f t="shared" si="9"/>
        <v>0</v>
      </c>
      <c r="AQ116" s="89">
        <f t="shared" si="10"/>
        <v>0</v>
      </c>
      <c r="AR116" s="89">
        <f t="shared" si="11"/>
        <v>0</v>
      </c>
      <c r="AS116" s="89">
        <f t="shared" si="12"/>
        <v>0</v>
      </c>
      <c r="AT116" s="89">
        <f t="shared" si="13"/>
        <v>0</v>
      </c>
      <c r="AU116" s="89">
        <f t="shared" si="14"/>
        <v>0</v>
      </c>
      <c r="AV116" s="89">
        <f t="shared" si="15"/>
        <v>0</v>
      </c>
      <c r="AW116" s="89">
        <f t="shared" si="16"/>
        <v>0</v>
      </c>
      <c r="AX116" s="89">
        <f t="shared" si="17"/>
        <v>0</v>
      </c>
      <c r="AY116" s="89">
        <f t="shared" si="18"/>
        <v>0</v>
      </c>
      <c r="AZ116" s="89">
        <f t="shared" si="19"/>
        <v>0</v>
      </c>
      <c r="BA116" s="89">
        <f t="shared" si="20"/>
        <v>0</v>
      </c>
      <c r="BB116" s="89">
        <f t="shared" si="21"/>
        <v>0</v>
      </c>
    </row>
    <row r="117" spans="1:54">
      <c r="B117" s="6" t="s">
        <v>102</v>
      </c>
      <c r="C117" s="52"/>
      <c r="D117" s="89">
        <f t="shared" si="22"/>
        <v>0</v>
      </c>
      <c r="E117" s="89">
        <f t="shared" si="23"/>
        <v>19.436216766467062</v>
      </c>
      <c r="F117" s="89">
        <f t="shared" si="23"/>
        <v>39.536772274810332</v>
      </c>
      <c r="G117" s="89">
        <f t="shared" si="23"/>
        <v>60.205919894088979</v>
      </c>
      <c r="H117" s="89">
        <f t="shared" si="23"/>
        <v>81.379180657117743</v>
      </c>
      <c r="I117" s="89">
        <f t="shared" si="23"/>
        <v>103.02045585975993</v>
      </c>
      <c r="J117" s="89">
        <f t="shared" si="23"/>
        <v>125.10930510302768</v>
      </c>
      <c r="K117" s="89">
        <f t="shared" si="23"/>
        <v>147.62579129889247</v>
      </c>
      <c r="L117" s="89">
        <f t="shared" si="23"/>
        <v>170.55735191466539</v>
      </c>
      <c r="M117" s="89">
        <f t="shared" si="23"/>
        <v>193.93532019774031</v>
      </c>
      <c r="N117" s="89">
        <f t="shared" si="23"/>
        <v>217.76229413355043</v>
      </c>
      <c r="O117" s="89">
        <f t="shared" si="23"/>
        <v>222.5910835678304</v>
      </c>
      <c r="P117" s="89">
        <f t="shared" si="23"/>
        <v>227.17702556246326</v>
      </c>
      <c r="Q117" s="89">
        <f t="shared" si="23"/>
        <v>231.59621079753887</v>
      </c>
      <c r="R117" s="89">
        <f t="shared" si="23"/>
        <v>235.90143565564142</v>
      </c>
      <c r="S117" s="89">
        <f t="shared" si="23"/>
        <v>240.12607121166042</v>
      </c>
      <c r="T117" s="89">
        <f t="shared" si="23"/>
        <v>244.28888320851576</v>
      </c>
      <c r="U117" s="89">
        <f t="shared" si="23"/>
        <v>248.40089497293741</v>
      </c>
      <c r="V117" s="89">
        <f t="shared" si="23"/>
        <v>252.46691665573249</v>
      </c>
      <c r="W117" s="89">
        <f t="shared" si="23"/>
        <v>256.46467523502446</v>
      </c>
      <c r="X117" s="89">
        <f t="shared" si="23"/>
        <v>260.38622043446708</v>
      </c>
      <c r="Y117" s="89">
        <f t="shared" si="23"/>
        <v>264.23321123722457</v>
      </c>
      <c r="Z117" s="89">
        <f t="shared" si="23"/>
        <v>268.01235493605867</v>
      </c>
      <c r="AA117" s="89">
        <f t="shared" si="23"/>
        <v>271.74032087426014</v>
      </c>
      <c r="AB117" s="89">
        <f t="shared" si="23"/>
        <v>275.42421172118173</v>
      </c>
      <c r="AC117" s="89">
        <f t="shared" si="23"/>
        <v>279.05937249067438</v>
      </c>
      <c r="AD117" s="89">
        <f t="shared" si="23"/>
        <v>282.63798521259247</v>
      </c>
      <c r="AE117" s="89">
        <f t="shared" si="23"/>
        <v>286.15740190835953</v>
      </c>
      <c r="AF117" s="89">
        <f t="shared" si="23"/>
        <v>289.61233975347443</v>
      </c>
      <c r="AG117" s="89">
        <f t="shared" si="9"/>
        <v>292.97938776941942</v>
      </c>
      <c r="AH117" s="89">
        <f t="shared" si="9"/>
        <v>296.25091137472953</v>
      </c>
      <c r="AI117" s="89">
        <f t="shared" si="9"/>
        <v>299.4295781531726</v>
      </c>
      <c r="AJ117" s="89">
        <f t="shared" si="9"/>
        <v>302.51917417106688</v>
      </c>
      <c r="AK117" s="89">
        <f t="shared" si="9"/>
        <v>305.51889203503919</v>
      </c>
      <c r="AL117" s="89">
        <f t="shared" si="9"/>
        <v>308.42238498109566</v>
      </c>
      <c r="AM117" s="89">
        <f t="shared" si="9"/>
        <v>311.22083206446547</v>
      </c>
      <c r="AN117" s="89">
        <f t="shared" si="9"/>
        <v>313.90408213795956</v>
      </c>
      <c r="AO117" s="89">
        <f t="shared" si="9"/>
        <v>316.46645331589093</v>
      </c>
      <c r="AP117" s="89">
        <f t="shared" si="9"/>
        <v>318.90434760839349</v>
      </c>
      <c r="AQ117" s="89">
        <f t="shared" si="10"/>
        <v>321.21468349518329</v>
      </c>
      <c r="AR117" s="89">
        <f t="shared" si="11"/>
        <v>323.40074812415884</v>
      </c>
      <c r="AS117" s="89">
        <f t="shared" si="12"/>
        <v>325.46793980150971</v>
      </c>
      <c r="AT117" s="89">
        <f t="shared" si="13"/>
        <v>327.42763734756352</v>
      </c>
      <c r="AU117" s="89">
        <f t="shared" si="14"/>
        <v>329.24487544438443</v>
      </c>
      <c r="AV117" s="89">
        <f t="shared" si="15"/>
        <v>330.90138531427687</v>
      </c>
      <c r="AW117" s="89">
        <f t="shared" si="16"/>
        <v>332.39137903946909</v>
      </c>
      <c r="AX117" s="89">
        <f t="shared" si="17"/>
        <v>333.71793531260664</v>
      </c>
      <c r="AY117" s="89">
        <f t="shared" si="18"/>
        <v>334.8858201121713</v>
      </c>
      <c r="AZ117" s="89">
        <f t="shared" si="19"/>
        <v>335.90226784674854</v>
      </c>
      <c r="BA117" s="89">
        <f t="shared" si="20"/>
        <v>336.77763115281556</v>
      </c>
      <c r="BB117" s="89">
        <f t="shared" si="21"/>
        <v>337.51627701842659</v>
      </c>
    </row>
    <row r="118" spans="1:54">
      <c r="B118" s="6" t="s">
        <v>2831</v>
      </c>
      <c r="C118" s="52"/>
      <c r="D118" s="89">
        <f t="shared" si="22"/>
        <v>0</v>
      </c>
      <c r="E118" s="89">
        <f t="shared" si="23"/>
        <v>349.85190179640711</v>
      </c>
      <c r="F118" s="89">
        <f t="shared" si="23"/>
        <v>711.661900946586</v>
      </c>
      <c r="G118" s="89">
        <f t="shared" si="23"/>
        <v>1083.7065580936016</v>
      </c>
      <c r="H118" s="89">
        <f t="shared" si="23"/>
        <v>1464.8252518281195</v>
      </c>
      <c r="I118" s="89">
        <f t="shared" si="23"/>
        <v>1854.3682054756789</v>
      </c>
      <c r="J118" s="89">
        <f t="shared" si="23"/>
        <v>2251.9674918544983</v>
      </c>
      <c r="K118" s="89">
        <f t="shared" si="23"/>
        <v>2657.2642433800643</v>
      </c>
      <c r="L118" s="89">
        <f t="shared" si="23"/>
        <v>3070.0323344639769</v>
      </c>
      <c r="M118" s="89">
        <f t="shared" si="23"/>
        <v>3490.8357635593256</v>
      </c>
      <c r="N118" s="89">
        <f t="shared" si="23"/>
        <v>3919.7212944039075</v>
      </c>
      <c r="O118" s="89">
        <f t="shared" si="23"/>
        <v>4006.6395042209469</v>
      </c>
      <c r="P118" s="89">
        <f t="shared" si="23"/>
        <v>4089.1864601243387</v>
      </c>
      <c r="Q118" s="89">
        <f t="shared" si="23"/>
        <v>4168.7317943557</v>
      </c>
      <c r="R118" s="89">
        <f t="shared" si="23"/>
        <v>4246.2258418015454</v>
      </c>
      <c r="S118" s="89">
        <f t="shared" si="23"/>
        <v>4322.2692818098876</v>
      </c>
      <c r="T118" s="89">
        <f t="shared" si="23"/>
        <v>4397.1998977532839</v>
      </c>
      <c r="U118" s="89">
        <f t="shared" si="23"/>
        <v>4471.2161095128731</v>
      </c>
      <c r="V118" s="89">
        <f t="shared" si="23"/>
        <v>4544.404499803185</v>
      </c>
      <c r="W118" s="89">
        <f t="shared" si="23"/>
        <v>4616.3641542304404</v>
      </c>
      <c r="X118" s="89">
        <f t="shared" si="23"/>
        <v>4686.9519678204069</v>
      </c>
      <c r="Y118" s="89">
        <f t="shared" si="23"/>
        <v>4756.1978022700423</v>
      </c>
      <c r="Z118" s="89">
        <f t="shared" si="23"/>
        <v>4824.2223888490562</v>
      </c>
      <c r="AA118" s="89">
        <f t="shared" si="23"/>
        <v>4891.3257757366828</v>
      </c>
      <c r="AB118" s="89">
        <f t="shared" si="23"/>
        <v>4957.6358109812709</v>
      </c>
      <c r="AC118" s="89">
        <f t="shared" si="23"/>
        <v>5023.0687048321388</v>
      </c>
      <c r="AD118" s="89">
        <f t="shared" si="23"/>
        <v>5087.4837338266643</v>
      </c>
      <c r="AE118" s="89">
        <f t="shared" si="23"/>
        <v>5150.8332343504717</v>
      </c>
      <c r="AF118" s="89">
        <f t="shared" si="23"/>
        <v>5213.0221155625395</v>
      </c>
      <c r="AG118" s="89">
        <f t="shared" si="9"/>
        <v>5273.6289798495491</v>
      </c>
      <c r="AH118" s="89">
        <f t="shared" si="9"/>
        <v>5332.5164047451317</v>
      </c>
      <c r="AI118" s="89">
        <f t="shared" si="9"/>
        <v>5389.7324067571071</v>
      </c>
      <c r="AJ118" s="89">
        <f t="shared" si="9"/>
        <v>5445.3451350792038</v>
      </c>
      <c r="AK118" s="89">
        <f t="shared" si="9"/>
        <v>5499.3400566307055</v>
      </c>
      <c r="AL118" s="89">
        <f t="shared" si="9"/>
        <v>5551.6029296597217</v>
      </c>
      <c r="AM118" s="89">
        <f t="shared" si="9"/>
        <v>5601.9749771603783</v>
      </c>
      <c r="AN118" s="89">
        <f t="shared" si="9"/>
        <v>5650.2734784832719</v>
      </c>
      <c r="AO118" s="89">
        <f t="shared" si="9"/>
        <v>5696.3961596860372</v>
      </c>
      <c r="AP118" s="89">
        <f t="shared" si="9"/>
        <v>5740.2782569510828</v>
      </c>
      <c r="AQ118" s="89">
        <f t="shared" si="10"/>
        <v>5781.8643029132991</v>
      </c>
      <c r="AR118" s="89">
        <f t="shared" si="11"/>
        <v>5821.213466234859</v>
      </c>
      <c r="AS118" s="89">
        <f t="shared" si="12"/>
        <v>5858.4229164271746</v>
      </c>
      <c r="AT118" s="89">
        <f t="shared" si="13"/>
        <v>5893.6974722561436</v>
      </c>
      <c r="AU118" s="89">
        <f t="shared" si="14"/>
        <v>5926.4077579989198</v>
      </c>
      <c r="AV118" s="89">
        <f t="shared" si="15"/>
        <v>5956.2249356569837</v>
      </c>
      <c r="AW118" s="89">
        <f t="shared" si="16"/>
        <v>5983.0448227104434</v>
      </c>
      <c r="AX118" s="89">
        <f t="shared" si="17"/>
        <v>6006.9228356269196</v>
      </c>
      <c r="AY118" s="89">
        <f t="shared" si="18"/>
        <v>6027.9447620190831</v>
      </c>
      <c r="AZ118" s="89">
        <f t="shared" si="19"/>
        <v>6046.2408212414739</v>
      </c>
      <c r="BA118" s="89">
        <f t="shared" si="20"/>
        <v>6061.9973607506799</v>
      </c>
      <c r="BB118" s="89">
        <f t="shared" si="21"/>
        <v>6075.2929863316785</v>
      </c>
    </row>
    <row r="119" spans="1:54">
      <c r="B119" s="6" t="s">
        <v>2832</v>
      </c>
      <c r="C119" s="52"/>
      <c r="D119" s="89">
        <f t="shared" si="22"/>
        <v>0</v>
      </c>
      <c r="E119" s="89">
        <f t="shared" si="23"/>
        <v>233.23460119760475</v>
      </c>
      <c r="F119" s="89">
        <f t="shared" si="23"/>
        <v>474.44126729772398</v>
      </c>
      <c r="G119" s="89">
        <f t="shared" si="23"/>
        <v>722.47103872906769</v>
      </c>
      <c r="H119" s="89">
        <f t="shared" si="23"/>
        <v>976.55016788541298</v>
      </c>
      <c r="I119" s="89">
        <f t="shared" si="23"/>
        <v>1236.2454703171193</v>
      </c>
      <c r="J119" s="89">
        <f t="shared" si="23"/>
        <v>1501.3116612363322</v>
      </c>
      <c r="K119" s="89">
        <f t="shared" si="23"/>
        <v>1771.5094955867096</v>
      </c>
      <c r="L119" s="89">
        <f t="shared" si="23"/>
        <v>2046.6882229759847</v>
      </c>
      <c r="M119" s="89">
        <f t="shared" si="23"/>
        <v>2327.2238423728836</v>
      </c>
      <c r="N119" s="89">
        <f t="shared" si="23"/>
        <v>2613.1475296026051</v>
      </c>
      <c r="O119" s="89">
        <f t="shared" si="23"/>
        <v>2671.0930028139646</v>
      </c>
      <c r="P119" s="89">
        <f t="shared" si="23"/>
        <v>2726.1243067495589</v>
      </c>
      <c r="Q119" s="89">
        <f t="shared" si="23"/>
        <v>2779.1545295704664</v>
      </c>
      <c r="R119" s="89">
        <f t="shared" si="23"/>
        <v>2830.8172278676971</v>
      </c>
      <c r="S119" s="89">
        <f t="shared" si="23"/>
        <v>2881.5128545399248</v>
      </c>
      <c r="T119" s="89">
        <f t="shared" si="23"/>
        <v>2931.4665985021893</v>
      </c>
      <c r="U119" s="89">
        <f t="shared" si="23"/>
        <v>2980.8107396752489</v>
      </c>
      <c r="V119" s="89">
        <f t="shared" si="23"/>
        <v>3029.60299986879</v>
      </c>
      <c r="W119" s="89">
        <f t="shared" si="23"/>
        <v>3077.5761028202933</v>
      </c>
      <c r="X119" s="89">
        <f t="shared" si="23"/>
        <v>3124.6346452136049</v>
      </c>
      <c r="Y119" s="89">
        <f t="shared" si="23"/>
        <v>3170.7985348466946</v>
      </c>
      <c r="Z119" s="89">
        <f t="shared" si="23"/>
        <v>3216.1482592327038</v>
      </c>
      <c r="AA119" s="89">
        <f t="shared" si="23"/>
        <v>3260.8838504911218</v>
      </c>
      <c r="AB119" s="89">
        <f t="shared" si="23"/>
        <v>3305.0905406541806</v>
      </c>
      <c r="AC119" s="89">
        <f t="shared" si="23"/>
        <v>3348.7124698880925</v>
      </c>
      <c r="AD119" s="89">
        <f t="shared" si="23"/>
        <v>3391.6558225511098</v>
      </c>
      <c r="AE119" s="89">
        <f t="shared" si="23"/>
        <v>3433.8888229003142</v>
      </c>
      <c r="AF119" s="89">
        <f t="shared" si="23"/>
        <v>3475.3480770416932</v>
      </c>
      <c r="AG119" s="89">
        <f t="shared" ref="AG119:AG120" si="24">SUMIFS($C$90:$C$98,$B$90:$B$98,$B119)*AF$84</f>
        <v>3515.752653233033</v>
      </c>
      <c r="AH119" s="89">
        <f t="shared" ref="AH119:AH120" si="25">SUMIFS($C$90:$C$98,$B$90:$B$98,$B119)*AG$84</f>
        <v>3555.0109364967543</v>
      </c>
      <c r="AI119" s="89">
        <f t="shared" ref="AI119:AI120" si="26">SUMIFS($C$90:$C$98,$B$90:$B$98,$B119)*AH$84</f>
        <v>3593.1549378380714</v>
      </c>
      <c r="AJ119" s="89">
        <f t="shared" ref="AJ119:AJ120" si="27">SUMIFS($C$90:$C$98,$B$90:$B$98,$B119)*AI$84</f>
        <v>3630.2300900528026</v>
      </c>
      <c r="AK119" s="89">
        <f t="shared" ref="AK119:AK120" si="28">SUMIFS($C$90:$C$98,$B$90:$B$98,$B119)*AJ$84</f>
        <v>3666.22670442047</v>
      </c>
      <c r="AL119" s="89">
        <f t="shared" ref="AL119:AL120" si="29">SUMIFS($C$90:$C$98,$B$90:$B$98,$B119)*AK$84</f>
        <v>3701.0686197731479</v>
      </c>
      <c r="AM119" s="89">
        <f t="shared" ref="AM119:AM120" si="30">SUMIFS($C$90:$C$98,$B$90:$B$98,$B119)*AL$84</f>
        <v>3734.6499847735859</v>
      </c>
      <c r="AN119" s="89">
        <f t="shared" ref="AN119:AN120" si="31">SUMIFS($C$90:$C$98,$B$90:$B$98,$B119)*AM$84</f>
        <v>3766.8489856555148</v>
      </c>
      <c r="AO119" s="89">
        <f t="shared" ref="AO119:AO120" si="32">SUMIFS($C$90:$C$98,$B$90:$B$98,$B119)*AN$84</f>
        <v>3797.5974397906912</v>
      </c>
      <c r="AP119" s="89">
        <f t="shared" ref="AP119:AP120" si="33">SUMIFS($C$90:$C$98,$B$90:$B$98,$B119)*AO$84</f>
        <v>3826.8521713007221</v>
      </c>
      <c r="AQ119" s="89">
        <f t="shared" si="10"/>
        <v>3854.5762019421995</v>
      </c>
      <c r="AR119" s="89">
        <f t="shared" si="11"/>
        <v>3880.8089774899063</v>
      </c>
      <c r="AS119" s="89">
        <f t="shared" si="12"/>
        <v>3905.6152776181166</v>
      </c>
      <c r="AT119" s="89">
        <f t="shared" si="13"/>
        <v>3929.1316481707622</v>
      </c>
      <c r="AU119" s="89">
        <f t="shared" si="14"/>
        <v>3950.9385053326132</v>
      </c>
      <c r="AV119" s="89">
        <f t="shared" si="15"/>
        <v>3970.8166237713222</v>
      </c>
      <c r="AW119" s="89">
        <f t="shared" si="16"/>
        <v>3988.6965484736293</v>
      </c>
      <c r="AX119" s="89">
        <f t="shared" si="17"/>
        <v>4004.6152237512797</v>
      </c>
      <c r="AY119" s="89">
        <f t="shared" si="18"/>
        <v>4018.6298413460554</v>
      </c>
      <c r="AZ119" s="89">
        <f t="shared" si="19"/>
        <v>4030.8272141609823</v>
      </c>
      <c r="BA119" s="89">
        <f t="shared" si="20"/>
        <v>4041.3315738337869</v>
      </c>
      <c r="BB119" s="89">
        <f t="shared" si="21"/>
        <v>4050.1953242211193</v>
      </c>
    </row>
    <row r="120" spans="1:54">
      <c r="B120" s="6" t="s">
        <v>2871</v>
      </c>
      <c r="C120" s="52"/>
      <c r="D120" s="89">
        <f t="shared" si="22"/>
        <v>0</v>
      </c>
      <c r="E120" s="89">
        <f t="shared" si="23"/>
        <v>0</v>
      </c>
      <c r="F120" s="89">
        <f t="shared" si="23"/>
        <v>0</v>
      </c>
      <c r="G120" s="89">
        <f t="shared" si="23"/>
        <v>0</v>
      </c>
      <c r="H120" s="89">
        <f t="shared" si="23"/>
        <v>0</v>
      </c>
      <c r="I120" s="89">
        <f t="shared" si="23"/>
        <v>0</v>
      </c>
      <c r="J120" s="89">
        <f t="shared" si="23"/>
        <v>0</v>
      </c>
      <c r="K120" s="89">
        <f t="shared" si="23"/>
        <v>0</v>
      </c>
      <c r="L120" s="89">
        <f t="shared" si="23"/>
        <v>0</v>
      </c>
      <c r="M120" s="89">
        <f t="shared" si="23"/>
        <v>0</v>
      </c>
      <c r="N120" s="89">
        <f t="shared" si="23"/>
        <v>0</v>
      </c>
      <c r="O120" s="89">
        <f t="shared" si="23"/>
        <v>0</v>
      </c>
      <c r="P120" s="89">
        <f t="shared" si="23"/>
        <v>0</v>
      </c>
      <c r="Q120" s="89">
        <f t="shared" si="23"/>
        <v>0</v>
      </c>
      <c r="R120" s="89">
        <f t="shared" si="23"/>
        <v>0</v>
      </c>
      <c r="S120" s="89">
        <f t="shared" si="23"/>
        <v>0</v>
      </c>
      <c r="T120" s="89">
        <f t="shared" si="23"/>
        <v>0</v>
      </c>
      <c r="U120" s="89">
        <f t="shared" si="23"/>
        <v>0</v>
      </c>
      <c r="V120" s="89">
        <f t="shared" si="23"/>
        <v>0</v>
      </c>
      <c r="W120" s="89">
        <f t="shared" si="23"/>
        <v>0</v>
      </c>
      <c r="X120" s="89">
        <f t="shared" si="23"/>
        <v>0</v>
      </c>
      <c r="Y120" s="89">
        <f t="shared" si="23"/>
        <v>0</v>
      </c>
      <c r="Z120" s="89">
        <f t="shared" si="23"/>
        <v>0</v>
      </c>
      <c r="AA120" s="89">
        <f t="shared" si="23"/>
        <v>0</v>
      </c>
      <c r="AB120" s="89">
        <f t="shared" si="23"/>
        <v>0</v>
      </c>
      <c r="AC120" s="89">
        <f t="shared" si="23"/>
        <v>0</v>
      </c>
      <c r="AD120" s="89">
        <f t="shared" si="23"/>
        <v>0</v>
      </c>
      <c r="AE120" s="89">
        <f t="shared" si="23"/>
        <v>0</v>
      </c>
      <c r="AF120" s="89">
        <f t="shared" si="23"/>
        <v>0</v>
      </c>
      <c r="AG120" s="89">
        <f t="shared" si="24"/>
        <v>0</v>
      </c>
      <c r="AH120" s="89">
        <f t="shared" si="25"/>
        <v>0</v>
      </c>
      <c r="AI120" s="89">
        <f t="shared" si="26"/>
        <v>0</v>
      </c>
      <c r="AJ120" s="89">
        <f t="shared" si="27"/>
        <v>0</v>
      </c>
      <c r="AK120" s="89">
        <f t="shared" si="28"/>
        <v>0</v>
      </c>
      <c r="AL120" s="89">
        <f t="shared" si="29"/>
        <v>0</v>
      </c>
      <c r="AM120" s="89">
        <f t="shared" si="30"/>
        <v>0</v>
      </c>
      <c r="AN120" s="89">
        <f t="shared" si="31"/>
        <v>0</v>
      </c>
      <c r="AO120" s="89">
        <f t="shared" si="32"/>
        <v>0</v>
      </c>
      <c r="AP120" s="89">
        <f t="shared" si="33"/>
        <v>0</v>
      </c>
      <c r="AQ120" s="89">
        <f t="shared" si="10"/>
        <v>0</v>
      </c>
      <c r="AR120" s="89">
        <f t="shared" si="11"/>
        <v>0</v>
      </c>
      <c r="AS120" s="89">
        <f t="shared" si="12"/>
        <v>0</v>
      </c>
      <c r="AT120" s="89">
        <f t="shared" si="13"/>
        <v>0</v>
      </c>
      <c r="AU120" s="89">
        <f t="shared" si="14"/>
        <v>0</v>
      </c>
      <c r="AV120" s="89">
        <f t="shared" si="15"/>
        <v>0</v>
      </c>
      <c r="AW120" s="89">
        <f t="shared" si="16"/>
        <v>0</v>
      </c>
      <c r="AX120" s="89">
        <f t="shared" si="17"/>
        <v>0</v>
      </c>
      <c r="AY120" s="89">
        <f t="shared" si="18"/>
        <v>0</v>
      </c>
      <c r="AZ120" s="89">
        <f t="shared" si="19"/>
        <v>0</v>
      </c>
      <c r="BA120" s="89">
        <f t="shared" si="20"/>
        <v>0</v>
      </c>
      <c r="BB120" s="89">
        <f t="shared" si="21"/>
        <v>0</v>
      </c>
    </row>
    <row r="121" spans="1:54">
      <c r="B121" s="52"/>
      <c r="C121" s="52"/>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row>
    <row r="122" spans="1:54">
      <c r="B122" s="52"/>
      <c r="C122" s="52"/>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row>
    <row r="123" spans="1:54">
      <c r="A123" s="9"/>
      <c r="B123" s="9"/>
    </row>
    <row r="124" spans="1:54" s="588" customFormat="1">
      <c r="A124" s="593" t="s">
        <v>10</v>
      </c>
      <c r="B124" s="593" t="s">
        <v>2916</v>
      </c>
    </row>
    <row r="126" spans="1:54">
      <c r="B126" s="9" t="s">
        <v>97</v>
      </c>
    </row>
    <row r="128" spans="1:54">
      <c r="B128" s="7" t="s">
        <v>9</v>
      </c>
      <c r="D128" s="34">
        <f>'Prevalence projection'!C$21</f>
        <v>2020</v>
      </c>
      <c r="E128" s="34">
        <f>'Prevalence projection'!D$21</f>
        <v>2021</v>
      </c>
      <c r="F128" s="34">
        <f>'Prevalence projection'!E$21</f>
        <v>2022</v>
      </c>
      <c r="G128" s="34">
        <f>'Prevalence projection'!F$21</f>
        <v>2023</v>
      </c>
      <c r="H128" s="34">
        <f>'Prevalence projection'!G$21</f>
        <v>2024</v>
      </c>
      <c r="I128" s="34">
        <f>'Prevalence projection'!H$21</f>
        <v>2025</v>
      </c>
      <c r="J128" s="34">
        <f>'Prevalence projection'!I$21</f>
        <v>2026</v>
      </c>
      <c r="K128" s="34">
        <f>'Prevalence projection'!J$21</f>
        <v>2027</v>
      </c>
      <c r="L128" s="34">
        <f>'Prevalence projection'!K$21</f>
        <v>2028</v>
      </c>
      <c r="M128" s="34">
        <f>'Prevalence projection'!L$21</f>
        <v>2029</v>
      </c>
      <c r="N128" s="34">
        <f>'Prevalence projection'!M$21</f>
        <v>2030</v>
      </c>
      <c r="O128" s="34">
        <f>'Prevalence projection'!N$21</f>
        <v>2031</v>
      </c>
      <c r="P128" s="34">
        <f>'Prevalence projection'!O$21</f>
        <v>2032</v>
      </c>
      <c r="Q128" s="34">
        <f>'Prevalence projection'!P$21</f>
        <v>2033</v>
      </c>
      <c r="R128" s="34">
        <f>'Prevalence projection'!Q$21</f>
        <v>2034</v>
      </c>
      <c r="S128" s="34">
        <f>'Prevalence projection'!R$21</f>
        <v>2035</v>
      </c>
      <c r="T128" s="34">
        <f>'Prevalence projection'!S$21</f>
        <v>2036</v>
      </c>
      <c r="U128" s="34">
        <f>'Prevalence projection'!T$21</f>
        <v>2037</v>
      </c>
      <c r="V128" s="34">
        <f>'Prevalence projection'!U$21</f>
        <v>2038</v>
      </c>
      <c r="W128" s="34">
        <f>'Prevalence projection'!V$21</f>
        <v>2039</v>
      </c>
      <c r="X128" s="34">
        <f>'Prevalence projection'!W$21</f>
        <v>2040</v>
      </c>
      <c r="Y128" s="34">
        <f>'Prevalence projection'!X$21</f>
        <v>2041</v>
      </c>
      <c r="Z128" s="34">
        <f>'Prevalence projection'!Y$21</f>
        <v>2042</v>
      </c>
      <c r="AA128" s="34">
        <f>'Prevalence projection'!Z$21</f>
        <v>2043</v>
      </c>
      <c r="AB128" s="34">
        <f>'Prevalence projection'!AA$21</f>
        <v>2044</v>
      </c>
      <c r="AC128" s="34">
        <f>'Prevalence projection'!AB$21</f>
        <v>2045</v>
      </c>
      <c r="AD128" s="34">
        <f>'Prevalence projection'!AC$21</f>
        <v>2046</v>
      </c>
      <c r="AE128" s="34">
        <f>'Prevalence projection'!AD$21</f>
        <v>2047</v>
      </c>
      <c r="AF128" s="34">
        <f>'Prevalence projection'!AE$21</f>
        <v>2048</v>
      </c>
      <c r="AG128" s="34">
        <f>'Prevalence projection'!AF$21</f>
        <v>2049</v>
      </c>
      <c r="AH128" s="34">
        <f>'Prevalence projection'!AG$21</f>
        <v>2050</v>
      </c>
      <c r="AI128" s="34">
        <f>'Prevalence projection'!AH$21</f>
        <v>2051</v>
      </c>
      <c r="AJ128" s="34">
        <f>'Prevalence projection'!AI$21</f>
        <v>2052</v>
      </c>
      <c r="AK128" s="34">
        <f>'Prevalence projection'!AJ$21</f>
        <v>2053</v>
      </c>
      <c r="AL128" s="34">
        <f>'Prevalence projection'!AK$21</f>
        <v>2054</v>
      </c>
      <c r="AM128" s="34">
        <f>'Prevalence projection'!AL$21</f>
        <v>2055</v>
      </c>
      <c r="AN128" s="34">
        <f>'Prevalence projection'!AM$21</f>
        <v>2056</v>
      </c>
      <c r="AO128" s="34">
        <f>'Prevalence projection'!AN$21</f>
        <v>2057</v>
      </c>
      <c r="AP128" s="34">
        <f>'Prevalence projection'!AO$21</f>
        <v>2058</v>
      </c>
      <c r="AQ128" s="34">
        <f>'Prevalence projection'!AP$21</f>
        <v>2059</v>
      </c>
      <c r="AR128" s="34">
        <f>'Prevalence projection'!AQ$21</f>
        <v>2060</v>
      </c>
      <c r="AS128" s="34">
        <f>'Prevalence projection'!AR$21</f>
        <v>2061</v>
      </c>
      <c r="AT128" s="34">
        <f>'Prevalence projection'!AS$21</f>
        <v>2062</v>
      </c>
      <c r="AU128" s="34">
        <f>'Prevalence projection'!AT$21</f>
        <v>2063</v>
      </c>
      <c r="AV128" s="34">
        <f>'Prevalence projection'!AU$21</f>
        <v>2064</v>
      </c>
      <c r="AW128" s="34">
        <f>'Prevalence projection'!AV$21</f>
        <v>2065</v>
      </c>
      <c r="AX128" s="34">
        <f>'Prevalence projection'!AW$21</f>
        <v>2066</v>
      </c>
      <c r="AY128" s="34">
        <f>'Prevalence projection'!AX$21</f>
        <v>2067</v>
      </c>
      <c r="AZ128" s="34">
        <f>'Prevalence projection'!AY$21</f>
        <v>2068</v>
      </c>
      <c r="BA128" s="34">
        <f>'Prevalence projection'!AZ$21</f>
        <v>2069</v>
      </c>
      <c r="BB128" s="34">
        <f>'Prevalence projection'!BA$21</f>
        <v>2070</v>
      </c>
    </row>
    <row r="129" spans="2:54">
      <c r="B129" s="6" t="s">
        <v>11</v>
      </c>
      <c r="D129" s="89">
        <f t="shared" ref="D129:AF129" si="34">(INDEX($C$58:$C$75,MATCH($B129,$B$58:$B$75,0))*C$13)+D103</f>
        <v>248.44641709759179</v>
      </c>
      <c r="E129" s="89">
        <f t="shared" si="34"/>
        <v>256.93842879623816</v>
      </c>
      <c r="F129" s="89">
        <f t="shared" si="34"/>
        <v>264.20654452314096</v>
      </c>
      <c r="G129" s="89">
        <f t="shared" si="34"/>
        <v>270.65044797829296</v>
      </c>
      <c r="H129" s="89">
        <f t="shared" si="34"/>
        <v>276.6329142200002</v>
      </c>
      <c r="I129" s="89">
        <f t="shared" si="34"/>
        <v>282.35409793159369</v>
      </c>
      <c r="J129" s="89">
        <f t="shared" si="34"/>
        <v>287.82043276248351</v>
      </c>
      <c r="K129" s="89">
        <f t="shared" si="34"/>
        <v>293.12618509556927</v>
      </c>
      <c r="L129" s="89">
        <f t="shared" si="34"/>
        <v>298.8324594615467</v>
      </c>
      <c r="M129" s="89">
        <f t="shared" si="34"/>
        <v>304.57194297415515</v>
      </c>
      <c r="N129" s="89">
        <f t="shared" si="34"/>
        <v>310.17115747687058</v>
      </c>
      <c r="O129" s="89">
        <f t="shared" si="34"/>
        <v>315.55893459084541</v>
      </c>
      <c r="P129" s="89">
        <f t="shared" si="34"/>
        <v>320.69545650313881</v>
      </c>
      <c r="Q129" s="89">
        <f t="shared" si="34"/>
        <v>325.68264398880711</v>
      </c>
      <c r="R129" s="89">
        <f t="shared" si="34"/>
        <v>330.63496513594077</v>
      </c>
      <c r="S129" s="89">
        <f t="shared" si="34"/>
        <v>335.56587973544413</v>
      </c>
      <c r="T129" s="89">
        <f t="shared" si="34"/>
        <v>340.38285281617812</v>
      </c>
      <c r="U129" s="89">
        <f t="shared" si="34"/>
        <v>345.10072988838226</v>
      </c>
      <c r="V129" s="89">
        <f t="shared" si="34"/>
        <v>349.93442068065866</v>
      </c>
      <c r="W129" s="89">
        <f t="shared" si="34"/>
        <v>354.69969499473933</v>
      </c>
      <c r="X129" s="89">
        <f t="shared" si="34"/>
        <v>359.34590650526417</v>
      </c>
      <c r="Y129" s="89">
        <f t="shared" si="34"/>
        <v>363.86641762386853</v>
      </c>
      <c r="Z129" s="89">
        <f t="shared" si="34"/>
        <v>368.34875197399316</v>
      </c>
      <c r="AA129" s="89">
        <f t="shared" si="34"/>
        <v>372.77254285612867</v>
      </c>
      <c r="AB129" s="89">
        <f t="shared" si="34"/>
        <v>377.10196432646001</v>
      </c>
      <c r="AC129" s="89">
        <f t="shared" si="34"/>
        <v>381.3100448486025</v>
      </c>
      <c r="AD129" s="89">
        <f t="shared" si="34"/>
        <v>385.3703356603358</v>
      </c>
      <c r="AE129" s="89">
        <f t="shared" si="34"/>
        <v>389.26400195039167</v>
      </c>
      <c r="AF129" s="89">
        <f t="shared" si="34"/>
        <v>392.97422754267797</v>
      </c>
      <c r="AG129" s="89">
        <f t="shared" ref="AG129:AG146" si="35">(INDEX($C$58:$C$75,MATCH($B129,$B$58:$B$75,0))*AF$13)+AG103</f>
        <v>396.51844645010442</v>
      </c>
      <c r="AH129" s="89">
        <f t="shared" ref="AH129:AH146" si="36">(INDEX($C$58:$C$75,MATCH($B129,$B$58:$B$75,0))*AG$13)+AH103</f>
        <v>399.97770135197794</v>
      </c>
      <c r="AI129" s="89">
        <f t="shared" ref="AI129:AI146" si="37">(INDEX($C$58:$C$75,MATCH($B129,$B$58:$B$75,0))*AH$13)+AI103</f>
        <v>403.35965183440334</v>
      </c>
      <c r="AJ129" s="89">
        <f t="shared" ref="AJ129:AJ146" si="38">(INDEX($C$58:$C$75,MATCH($B129,$B$58:$B$75,0))*AI$13)+AJ103</f>
        <v>406.69310491892185</v>
      </c>
      <c r="AK129" s="89">
        <f t="shared" ref="AK129:AK146" si="39">(INDEX($C$58:$C$75,MATCH($B129,$B$58:$B$75,0))*AJ$13)+AK103</f>
        <v>409.88688605281578</v>
      </c>
      <c r="AL129" s="89">
        <f t="shared" ref="AL129:AL146" si="40">(INDEX($C$58:$C$75,MATCH($B129,$B$58:$B$75,0))*AK$13)+AL103</f>
        <v>412.87354269761516</v>
      </c>
      <c r="AM129" s="89">
        <f t="shared" ref="AM129:AM146" si="41">(INDEX($C$58:$C$75,MATCH($B129,$B$58:$B$75,0))*AL$13)+AM103</f>
        <v>415.60909980083096</v>
      </c>
      <c r="AN129" s="89">
        <f t="shared" ref="AN129:AN146" si="42">(INDEX($C$58:$C$75,MATCH($B129,$B$58:$B$75,0))*AM$13)+AN103</f>
        <v>418.12423761977038</v>
      </c>
      <c r="AO129" s="89">
        <f t="shared" ref="AO129:AO146" si="43">(INDEX($C$58:$C$75,MATCH($B129,$B$58:$B$75,0))*AN$13)+AO103</f>
        <v>420.42675906060737</v>
      </c>
      <c r="AP129" s="89">
        <f t="shared" ref="AP129:AP146" si="44">(INDEX($C$58:$C$75,MATCH($B129,$B$58:$B$75,0))*AO$13)+AP103</f>
        <v>422.50644979877126</v>
      </c>
      <c r="AQ129" s="89">
        <f t="shared" ref="AQ129:AQ146" si="45">(INDEX($C$58:$C$75,MATCH($B129,$B$58:$B$75,0))*AP$13)+AQ103</f>
        <v>424.46215232345014</v>
      </c>
      <c r="AR129" s="89">
        <f t="shared" ref="AR129:AR146" si="46">(INDEX($C$58:$C$75,MATCH($B129,$B$58:$B$75,0))*AQ$13)+AR103</f>
        <v>426.40189551809152</v>
      </c>
      <c r="AS129" s="89">
        <f t="shared" ref="AS129:AS146" si="47">(INDEX($C$58:$C$75,MATCH($B129,$B$58:$B$75,0))*AR$13)+AS103</f>
        <v>428.4097858065665</v>
      </c>
      <c r="AT129" s="89">
        <f t="shared" ref="AT129:AT146" si="48">(INDEX($C$58:$C$75,MATCH($B129,$B$58:$B$75,0))*AS$13)+AT103</f>
        <v>429.92222916636035</v>
      </c>
      <c r="AU129" s="89">
        <f t="shared" ref="AU129:AU146" si="49">(INDEX($C$58:$C$75,MATCH($B129,$B$58:$B$75,0))*AT$13)+AU103</f>
        <v>431.0614771271251</v>
      </c>
      <c r="AV129" s="89">
        <f t="shared" ref="AV129:AV146" si="50">(INDEX($C$58:$C$75,MATCH($B129,$B$58:$B$75,0))*AU$13)+AV103</f>
        <v>431.91961565357104</v>
      </c>
      <c r="AW129" s="89">
        <f t="shared" ref="AW129:AW146" si="51">(INDEX($C$58:$C$75,MATCH($B129,$B$58:$B$75,0))*AV$13)+AW103</f>
        <v>432.5660084986165</v>
      </c>
      <c r="AX129" s="89">
        <f t="shared" ref="AX129:AX146" si="52">(INDEX($C$58:$C$75,MATCH($B129,$B$58:$B$75,0))*AW$13)+AX103</f>
        <v>433.05290390914701</v>
      </c>
      <c r="AY129" s="89">
        <f t="shared" ref="AY129:AY146" si="53">(INDEX($C$58:$C$75,MATCH($B129,$B$58:$B$75,0))*AX$13)+AY103</f>
        <v>433.41965787712911</v>
      </c>
      <c r="AZ129" s="89">
        <f t="shared" ref="AZ129:AZ146" si="54">(INDEX($C$58:$C$75,MATCH($B129,$B$58:$B$75,0))*AY$13)+AZ103</f>
        <v>433.69591530351164</v>
      </c>
      <c r="BA129" s="89">
        <f t="shared" ref="BA129:BA146" si="55">(INDEX($C$58:$C$75,MATCH($B129,$B$58:$B$75,0))*AZ$13)+BA103</f>
        <v>433.90400620993421</v>
      </c>
      <c r="BB129" s="89">
        <f t="shared" ref="BB129:BB146" si="56">(INDEX($C$58:$C$75,MATCH($B129,$B$58:$B$75,0))*BA$13)+BB103</f>
        <v>434.06075068519709</v>
      </c>
    </row>
    <row r="130" spans="2:54">
      <c r="B130" s="6" t="s">
        <v>14</v>
      </c>
      <c r="C130" s="52"/>
      <c r="D130" s="89">
        <f t="shared" ref="D130:AF130" si="57">(INDEX($C$58:$C$75,MATCH($B130,$B$58:$B$75,0))*C$13)+D104</f>
        <v>2.2304286811576626</v>
      </c>
      <c r="E130" s="89">
        <f t="shared" si="57"/>
        <v>2.3066657493941798</v>
      </c>
      <c r="F130" s="89">
        <f t="shared" si="57"/>
        <v>2.3719152867577602</v>
      </c>
      <c r="G130" s="89">
        <f t="shared" si="57"/>
        <v>2.4297654552282366</v>
      </c>
      <c r="H130" s="89">
        <f t="shared" si="57"/>
        <v>2.4834730693103504</v>
      </c>
      <c r="I130" s="89">
        <f t="shared" si="57"/>
        <v>2.5348350184565027</v>
      </c>
      <c r="J130" s="89">
        <f t="shared" si="57"/>
        <v>2.5839090607794333</v>
      </c>
      <c r="K130" s="89">
        <f t="shared" si="57"/>
        <v>2.6315414731002966</v>
      </c>
      <c r="L130" s="89">
        <f t="shared" si="57"/>
        <v>2.6827695735378705</v>
      </c>
      <c r="M130" s="89">
        <f t="shared" si="57"/>
        <v>2.734295809219204</v>
      </c>
      <c r="N130" s="89">
        <f t="shared" si="57"/>
        <v>2.7845627793156367</v>
      </c>
      <c r="O130" s="89">
        <f t="shared" si="57"/>
        <v>2.8329315694277271</v>
      </c>
      <c r="P130" s="89">
        <f t="shared" si="57"/>
        <v>2.8790447149840737</v>
      </c>
      <c r="Q130" s="89">
        <f t="shared" si="57"/>
        <v>2.9238172101413524</v>
      </c>
      <c r="R130" s="89">
        <f t="shared" si="57"/>
        <v>2.9682766926080757</v>
      </c>
      <c r="S130" s="89">
        <f t="shared" si="57"/>
        <v>3.0125439977097268</v>
      </c>
      <c r="T130" s="89">
        <f t="shared" si="57"/>
        <v>3.0557883923810061</v>
      </c>
      <c r="U130" s="89">
        <f t="shared" si="57"/>
        <v>3.0981431522481482</v>
      </c>
      <c r="V130" s="89">
        <f t="shared" si="57"/>
        <v>3.1415376302401814</v>
      </c>
      <c r="W130" s="89">
        <f t="shared" si="57"/>
        <v>3.1843178990316385</v>
      </c>
      <c r="X130" s="89">
        <f t="shared" si="57"/>
        <v>3.2260292810385232</v>
      </c>
      <c r="Y130" s="89">
        <f t="shared" si="57"/>
        <v>3.2666121872853324</v>
      </c>
      <c r="Z130" s="89">
        <f t="shared" si="57"/>
        <v>3.3068523614438075</v>
      </c>
      <c r="AA130" s="89">
        <f t="shared" si="57"/>
        <v>3.3465669613894486</v>
      </c>
      <c r="AB130" s="89">
        <f t="shared" si="57"/>
        <v>3.3854343595715428</v>
      </c>
      <c r="AC130" s="89">
        <f t="shared" si="57"/>
        <v>3.4232124189167124</v>
      </c>
      <c r="AD130" s="89">
        <f t="shared" si="57"/>
        <v>3.4596636955586835</v>
      </c>
      <c r="AE130" s="89">
        <f t="shared" si="57"/>
        <v>3.4946190999056337</v>
      </c>
      <c r="AF130" s="89">
        <f t="shared" si="57"/>
        <v>3.5279276646709286</v>
      </c>
      <c r="AG130" s="89">
        <f t="shared" si="35"/>
        <v>3.5597459037736483</v>
      </c>
      <c r="AH130" s="89">
        <f t="shared" si="36"/>
        <v>3.5908013781842256</v>
      </c>
      <c r="AI130" s="89">
        <f t="shared" si="37"/>
        <v>3.621162851866873</v>
      </c>
      <c r="AJ130" s="89">
        <f t="shared" si="38"/>
        <v>3.6510889399701401</v>
      </c>
      <c r="AK130" s="89">
        <f t="shared" si="39"/>
        <v>3.6797611225904236</v>
      </c>
      <c r="AL130" s="89">
        <f t="shared" si="40"/>
        <v>3.7065738442998053</v>
      </c>
      <c r="AM130" s="89">
        <f t="shared" si="41"/>
        <v>3.7311323188925796</v>
      </c>
      <c r="AN130" s="89">
        <f t="shared" si="42"/>
        <v>3.7537119784987123</v>
      </c>
      <c r="AO130" s="89">
        <f t="shared" si="43"/>
        <v>3.774382873738896</v>
      </c>
      <c r="AP130" s="89">
        <f t="shared" si="44"/>
        <v>3.7930533054743494</v>
      </c>
      <c r="AQ130" s="89">
        <f t="shared" si="45"/>
        <v>3.8106106325383289</v>
      </c>
      <c r="AR130" s="89">
        <f t="shared" si="46"/>
        <v>3.8280246846544803</v>
      </c>
      <c r="AS130" s="89">
        <f t="shared" si="47"/>
        <v>3.8460505275720438</v>
      </c>
      <c r="AT130" s="89">
        <f t="shared" si="48"/>
        <v>3.8596284937496983</v>
      </c>
      <c r="AU130" s="89">
        <f t="shared" si="49"/>
        <v>3.8698560967730171</v>
      </c>
      <c r="AV130" s="89">
        <f t="shared" si="50"/>
        <v>3.8775600387503313</v>
      </c>
      <c r="AW130" s="89">
        <f t="shared" si="51"/>
        <v>3.8833630330447435</v>
      </c>
      <c r="AX130" s="89">
        <f t="shared" si="52"/>
        <v>3.8877341384970099</v>
      </c>
      <c r="AY130" s="89">
        <f t="shared" si="53"/>
        <v>3.8910266736789292</v>
      </c>
      <c r="AZ130" s="89">
        <f t="shared" si="54"/>
        <v>3.8935067758047102</v>
      </c>
      <c r="BA130" s="89">
        <f t="shared" si="55"/>
        <v>3.8953749127309543</v>
      </c>
      <c r="BB130" s="89">
        <f t="shared" si="56"/>
        <v>3.896782086870648</v>
      </c>
    </row>
    <row r="131" spans="2:54">
      <c r="B131" s="6" t="s">
        <v>15</v>
      </c>
      <c r="C131" s="52"/>
      <c r="D131" s="89">
        <f t="shared" ref="D131:AF131" si="58">(INDEX($C$58:$C$75,MATCH($B131,$B$58:$B$75,0))*C$13)+D105</f>
        <v>14.050370167109936</v>
      </c>
      <c r="E131" s="89">
        <f t="shared" si="58"/>
        <v>14.530618219077381</v>
      </c>
      <c r="F131" s="89">
        <f t="shared" si="58"/>
        <v>14.941651380969441</v>
      </c>
      <c r="G131" s="89">
        <f t="shared" si="58"/>
        <v>15.306072932802245</v>
      </c>
      <c r="H131" s="89">
        <f t="shared" si="58"/>
        <v>15.64439886315852</v>
      </c>
      <c r="I131" s="89">
        <f t="shared" si="58"/>
        <v>15.96794850368464</v>
      </c>
      <c r="J131" s="89">
        <f t="shared" si="58"/>
        <v>16.277085696036256</v>
      </c>
      <c r="K131" s="89">
        <f t="shared" si="58"/>
        <v>16.577141479354633</v>
      </c>
      <c r="L131" s="89">
        <f t="shared" si="58"/>
        <v>16.899847952861876</v>
      </c>
      <c r="M131" s="89">
        <f t="shared" si="58"/>
        <v>17.224432500557313</v>
      </c>
      <c r="N131" s="89">
        <f t="shared" si="58"/>
        <v>17.541084426261275</v>
      </c>
      <c r="O131" s="89">
        <f t="shared" si="58"/>
        <v>17.845778950390773</v>
      </c>
      <c r="P131" s="89">
        <f t="shared" si="58"/>
        <v>18.136264259385367</v>
      </c>
      <c r="Q131" s="89">
        <f t="shared" si="58"/>
        <v>18.418304270607958</v>
      </c>
      <c r="R131" s="89">
        <f t="shared" si="58"/>
        <v>18.698372488602434</v>
      </c>
      <c r="S131" s="89">
        <f t="shared" si="58"/>
        <v>18.977230103837087</v>
      </c>
      <c r="T131" s="89">
        <f t="shared" si="58"/>
        <v>19.249643993560163</v>
      </c>
      <c r="U131" s="89">
        <f t="shared" si="58"/>
        <v>19.516453714713641</v>
      </c>
      <c r="V131" s="89">
        <f t="shared" si="58"/>
        <v>19.789813039827823</v>
      </c>
      <c r="W131" s="89">
        <f t="shared" si="58"/>
        <v>20.059303213374399</v>
      </c>
      <c r="X131" s="89">
        <f t="shared" si="58"/>
        <v>20.322060037804341</v>
      </c>
      <c r="Y131" s="89">
        <f t="shared" si="58"/>
        <v>20.57770813811878</v>
      </c>
      <c r="Z131" s="89">
        <f t="shared" si="58"/>
        <v>20.831197230727689</v>
      </c>
      <c r="AA131" s="89">
        <f t="shared" si="58"/>
        <v>21.081375519318076</v>
      </c>
      <c r="AB131" s="89">
        <f t="shared" si="58"/>
        <v>21.326216942181883</v>
      </c>
      <c r="AC131" s="89">
        <f t="shared" si="58"/>
        <v>21.564196180199563</v>
      </c>
      <c r="AD131" s="89">
        <f t="shared" si="58"/>
        <v>21.793817478656681</v>
      </c>
      <c r="AE131" s="89">
        <f t="shared" si="58"/>
        <v>22.014015673992269</v>
      </c>
      <c r="AF131" s="89">
        <f t="shared" si="58"/>
        <v>22.223839762357489</v>
      </c>
      <c r="AG131" s="89">
        <f t="shared" si="35"/>
        <v>22.42427568807684</v>
      </c>
      <c r="AH131" s="89">
        <f t="shared" si="36"/>
        <v>22.619906651249959</v>
      </c>
      <c r="AI131" s="89">
        <f t="shared" si="37"/>
        <v>22.811165823831413</v>
      </c>
      <c r="AJ131" s="89">
        <f t="shared" si="38"/>
        <v>22.999682326984615</v>
      </c>
      <c r="AK131" s="89">
        <f t="shared" si="39"/>
        <v>23.180299973590945</v>
      </c>
      <c r="AL131" s="89">
        <f t="shared" si="40"/>
        <v>23.349204125688281</v>
      </c>
      <c r="AM131" s="89">
        <f t="shared" si="41"/>
        <v>23.503907865683658</v>
      </c>
      <c r="AN131" s="89">
        <f t="shared" si="42"/>
        <v>23.646146251691519</v>
      </c>
      <c r="AO131" s="89">
        <f t="shared" si="43"/>
        <v>23.776360560834721</v>
      </c>
      <c r="AP131" s="89">
        <f t="shared" si="44"/>
        <v>23.893973143240505</v>
      </c>
      <c r="AQ131" s="89">
        <f t="shared" si="45"/>
        <v>24.004573830219606</v>
      </c>
      <c r="AR131" s="89">
        <f t="shared" si="46"/>
        <v>24.114271970495615</v>
      </c>
      <c r="AS131" s="89">
        <f t="shared" si="47"/>
        <v>24.227824027867154</v>
      </c>
      <c r="AT131" s="89">
        <f t="shared" si="48"/>
        <v>24.313357115082269</v>
      </c>
      <c r="AU131" s="89">
        <f t="shared" si="49"/>
        <v>24.377784913027053</v>
      </c>
      <c r="AV131" s="89">
        <f t="shared" si="50"/>
        <v>24.426315151828959</v>
      </c>
      <c r="AW131" s="89">
        <f t="shared" si="51"/>
        <v>24.462870554206496</v>
      </c>
      <c r="AX131" s="89">
        <f t="shared" si="52"/>
        <v>24.490405911047379</v>
      </c>
      <c r="AY131" s="89">
        <f t="shared" si="53"/>
        <v>24.511146918587773</v>
      </c>
      <c r="AZ131" s="89">
        <f t="shared" si="54"/>
        <v>24.526770082517576</v>
      </c>
      <c r="BA131" s="89">
        <f t="shared" si="55"/>
        <v>24.538538230747694</v>
      </c>
      <c r="BB131" s="89">
        <f t="shared" si="56"/>
        <v>24.547402588402036</v>
      </c>
    </row>
    <row r="132" spans="2:54" ht="29">
      <c r="B132" s="6" t="s">
        <v>16</v>
      </c>
      <c r="C132" s="52"/>
      <c r="D132" s="89">
        <f t="shared" ref="D132:AF132" si="59">(INDEX($C$58:$C$75,MATCH($B132,$B$58:$B$75,0))*C$13)+D106</f>
        <v>37.937397359558823</v>
      </c>
      <c r="E132" s="89">
        <f t="shared" si="59"/>
        <v>39.234114881015458</v>
      </c>
      <c r="F132" s="89">
        <f t="shared" si="59"/>
        <v>40.343945312896707</v>
      </c>
      <c r="G132" s="89">
        <f t="shared" si="59"/>
        <v>41.327919760106006</v>
      </c>
      <c r="H132" s="89">
        <f t="shared" si="59"/>
        <v>42.241433433006527</v>
      </c>
      <c r="I132" s="89">
        <f t="shared" si="59"/>
        <v>43.115049653233605</v>
      </c>
      <c r="J132" s="89">
        <f t="shared" si="59"/>
        <v>43.949750829457059</v>
      </c>
      <c r="K132" s="89">
        <f t="shared" si="59"/>
        <v>44.759931297757454</v>
      </c>
      <c r="L132" s="89">
        <f t="shared" si="59"/>
        <v>45.631270883144644</v>
      </c>
      <c r="M132" s="89">
        <f t="shared" si="59"/>
        <v>46.507681455694517</v>
      </c>
      <c r="N132" s="89">
        <f t="shared" si="59"/>
        <v>47.362673159629935</v>
      </c>
      <c r="O132" s="89">
        <f t="shared" si="59"/>
        <v>48.185378689640899</v>
      </c>
      <c r="P132" s="89">
        <f t="shared" si="59"/>
        <v>48.969717925075358</v>
      </c>
      <c r="Q132" s="89">
        <f t="shared" si="59"/>
        <v>49.731254016280481</v>
      </c>
      <c r="R132" s="89">
        <f t="shared" si="59"/>
        <v>50.487466069590781</v>
      </c>
      <c r="S132" s="89">
        <f t="shared" si="59"/>
        <v>51.240409375003495</v>
      </c>
      <c r="T132" s="89">
        <f t="shared" si="59"/>
        <v>51.975953980431719</v>
      </c>
      <c r="U132" s="89">
        <f t="shared" si="59"/>
        <v>52.696366773148533</v>
      </c>
      <c r="V132" s="89">
        <f t="shared" si="59"/>
        <v>53.434464148196597</v>
      </c>
      <c r="W132" s="89">
        <f t="shared" si="59"/>
        <v>54.16211442906004</v>
      </c>
      <c r="X132" s="89">
        <f t="shared" si="59"/>
        <v>54.871583997389926</v>
      </c>
      <c r="Y132" s="89">
        <f t="shared" si="59"/>
        <v>55.561859303342246</v>
      </c>
      <c r="Z132" s="89">
        <f t="shared" si="59"/>
        <v>56.246305073684276</v>
      </c>
      <c r="AA132" s="89">
        <f t="shared" si="59"/>
        <v>56.92181134377568</v>
      </c>
      <c r="AB132" s="89">
        <f t="shared" si="59"/>
        <v>57.582907545426465</v>
      </c>
      <c r="AC132" s="89">
        <f t="shared" si="59"/>
        <v>58.225475165255858</v>
      </c>
      <c r="AD132" s="89">
        <f t="shared" si="59"/>
        <v>58.845475516718302</v>
      </c>
      <c r="AE132" s="89">
        <f t="shared" si="59"/>
        <v>59.440032552223244</v>
      </c>
      <c r="AF132" s="89">
        <f t="shared" si="59"/>
        <v>60.006578466760942</v>
      </c>
      <c r="AG132" s="89">
        <f t="shared" si="35"/>
        <v>60.547775408101749</v>
      </c>
      <c r="AH132" s="89">
        <f t="shared" si="36"/>
        <v>61.07599847250934</v>
      </c>
      <c r="AI132" s="89">
        <f t="shared" si="37"/>
        <v>61.592417267358478</v>
      </c>
      <c r="AJ132" s="89">
        <f t="shared" si="38"/>
        <v>62.10143058187591</v>
      </c>
      <c r="AK132" s="89">
        <f t="shared" si="39"/>
        <v>62.589116197838742</v>
      </c>
      <c r="AL132" s="89">
        <f t="shared" si="40"/>
        <v>63.045174213220832</v>
      </c>
      <c r="AM132" s="89">
        <f t="shared" si="41"/>
        <v>63.462889703091214</v>
      </c>
      <c r="AN132" s="89">
        <f t="shared" si="42"/>
        <v>63.84694749698437</v>
      </c>
      <c r="AO132" s="89">
        <f t="shared" si="43"/>
        <v>64.198539087035854</v>
      </c>
      <c r="AP132" s="89">
        <f t="shared" si="44"/>
        <v>64.516104761117305</v>
      </c>
      <c r="AQ132" s="89">
        <f t="shared" si="45"/>
        <v>64.814737619914737</v>
      </c>
      <c r="AR132" s="89">
        <f t="shared" si="46"/>
        <v>65.110933512817098</v>
      </c>
      <c r="AS132" s="89">
        <f t="shared" si="47"/>
        <v>65.417535365313739</v>
      </c>
      <c r="AT132" s="89">
        <f t="shared" si="48"/>
        <v>65.648483210706843</v>
      </c>
      <c r="AU132" s="89">
        <f t="shared" si="49"/>
        <v>65.822444675249201</v>
      </c>
      <c r="AV132" s="89">
        <f t="shared" si="50"/>
        <v>65.953481148415719</v>
      </c>
      <c r="AW132" s="89">
        <f t="shared" si="51"/>
        <v>66.052184371828403</v>
      </c>
      <c r="AX132" s="89">
        <f t="shared" si="52"/>
        <v>66.126532574864015</v>
      </c>
      <c r="AY132" s="89">
        <f t="shared" si="53"/>
        <v>66.182535358800578</v>
      </c>
      <c r="AZ132" s="89">
        <f t="shared" si="54"/>
        <v>66.224719455800809</v>
      </c>
      <c r="BA132" s="89">
        <f t="shared" si="55"/>
        <v>66.256494626866214</v>
      </c>
      <c r="BB132" s="89">
        <f t="shared" si="56"/>
        <v>66.280429274471246</v>
      </c>
    </row>
    <row r="133" spans="2:54">
      <c r="B133" s="6" t="s">
        <v>103</v>
      </c>
      <c r="C133" s="52"/>
      <c r="D133" s="89">
        <f t="shared" ref="D133:AF133" si="60">(INDEX($C$58:$C$75,MATCH($B133,$B$58:$B$75,0))*C$13)+D107</f>
        <v>33.441877336139086</v>
      </c>
      <c r="E133" s="89">
        <f t="shared" si="60"/>
        <v>34.584935935578002</v>
      </c>
      <c r="F133" s="89">
        <f t="shared" si="60"/>
        <v>35.563253262281371</v>
      </c>
      <c r="G133" s="89">
        <f t="shared" si="60"/>
        <v>36.430628334261044</v>
      </c>
      <c r="H133" s="89">
        <f t="shared" si="60"/>
        <v>37.235892119345856</v>
      </c>
      <c r="I133" s="89">
        <f t="shared" si="60"/>
        <v>38.005986235154623</v>
      </c>
      <c r="J133" s="89">
        <f t="shared" si="60"/>
        <v>38.741776676524019</v>
      </c>
      <c r="K133" s="89">
        <f t="shared" si="60"/>
        <v>39.455952074067753</v>
      </c>
      <c r="L133" s="89">
        <f t="shared" si="60"/>
        <v>40.224039332570705</v>
      </c>
      <c r="M133" s="89">
        <f t="shared" si="60"/>
        <v>40.996596674486611</v>
      </c>
      <c r="N133" s="89">
        <f t="shared" si="60"/>
        <v>41.750273248960966</v>
      </c>
      <c r="O133" s="89">
        <f t="shared" si="60"/>
        <v>42.475489508727868</v>
      </c>
      <c r="P133" s="89">
        <f t="shared" si="60"/>
        <v>43.166885817565891</v>
      </c>
      <c r="Q133" s="89">
        <f t="shared" si="60"/>
        <v>43.838181117761486</v>
      </c>
      <c r="R133" s="89">
        <f t="shared" si="60"/>
        <v>44.504783269913098</v>
      </c>
      <c r="S133" s="89">
        <f t="shared" si="60"/>
        <v>45.168504015488566</v>
      </c>
      <c r="T133" s="89">
        <f t="shared" si="60"/>
        <v>45.816887778793607</v>
      </c>
      <c r="U133" s="89">
        <f t="shared" si="60"/>
        <v>46.451932824638078</v>
      </c>
      <c r="V133" s="89">
        <f t="shared" si="60"/>
        <v>47.102566858505568</v>
      </c>
      <c r="W133" s="89">
        <f t="shared" si="60"/>
        <v>47.743991761896076</v>
      </c>
      <c r="X133" s="89">
        <f t="shared" si="60"/>
        <v>48.36939033768514</v>
      </c>
      <c r="Y133" s="89">
        <f t="shared" si="60"/>
        <v>48.977869140040482</v>
      </c>
      <c r="Z133" s="89">
        <f t="shared" si="60"/>
        <v>49.581209197295365</v>
      </c>
      <c r="AA133" s="89">
        <f t="shared" si="60"/>
        <v>50.176669070572565</v>
      </c>
      <c r="AB133" s="89">
        <f t="shared" si="60"/>
        <v>50.759426445135126</v>
      </c>
      <c r="AC133" s="89">
        <f t="shared" si="60"/>
        <v>51.325850844754491</v>
      </c>
      <c r="AD133" s="89">
        <f t="shared" si="60"/>
        <v>51.87238216068689</v>
      </c>
      <c r="AE133" s="89">
        <f t="shared" si="60"/>
        <v>52.396485152314092</v>
      </c>
      <c r="AF133" s="89">
        <f t="shared" si="60"/>
        <v>52.895896295353054</v>
      </c>
      <c r="AG133" s="89">
        <f t="shared" si="35"/>
        <v>53.372962277383387</v>
      </c>
      <c r="AH133" s="89">
        <f t="shared" si="36"/>
        <v>53.838591765843468</v>
      </c>
      <c r="AI133" s="89">
        <f t="shared" si="37"/>
        <v>54.293815771532152</v>
      </c>
      <c r="AJ133" s="89">
        <f t="shared" si="38"/>
        <v>54.742511834291037</v>
      </c>
      <c r="AK133" s="89">
        <f t="shared" si="39"/>
        <v>55.172407496164091</v>
      </c>
      <c r="AL133" s="89">
        <f t="shared" si="40"/>
        <v>55.574423376800887</v>
      </c>
      <c r="AM133" s="89">
        <f t="shared" si="41"/>
        <v>55.942640258977981</v>
      </c>
      <c r="AN133" s="89">
        <f t="shared" si="42"/>
        <v>56.281187827532449</v>
      </c>
      <c r="AO133" s="89">
        <f t="shared" si="43"/>
        <v>56.591116384715278</v>
      </c>
      <c r="AP133" s="89">
        <f t="shared" si="44"/>
        <v>56.871051041754271</v>
      </c>
      <c r="AQ133" s="89">
        <f t="shared" si="45"/>
        <v>57.134296391396795</v>
      </c>
      <c r="AR133" s="89">
        <f t="shared" si="46"/>
        <v>57.395393551648162</v>
      </c>
      <c r="AS133" s="89">
        <f t="shared" si="47"/>
        <v>57.665663582168385</v>
      </c>
      <c r="AT133" s="89">
        <f t="shared" si="48"/>
        <v>57.869244482657749</v>
      </c>
      <c r="AU133" s="89">
        <f t="shared" si="49"/>
        <v>58.022591795951364</v>
      </c>
      <c r="AV133" s="89">
        <f t="shared" si="50"/>
        <v>58.138100659689769</v>
      </c>
      <c r="AW133" s="89">
        <f t="shared" si="51"/>
        <v>58.22510771130073</v>
      </c>
      <c r="AX133" s="89">
        <f t="shared" si="52"/>
        <v>58.290645772926688</v>
      </c>
      <c r="AY133" s="89">
        <f t="shared" si="53"/>
        <v>58.340012317846437</v>
      </c>
      <c r="AZ133" s="89">
        <f t="shared" si="54"/>
        <v>58.377197667807245</v>
      </c>
      <c r="BA133" s="89">
        <f t="shared" si="55"/>
        <v>58.405207532665216</v>
      </c>
      <c r="BB133" s="89">
        <f t="shared" si="56"/>
        <v>58.426305963369487</v>
      </c>
    </row>
    <row r="134" spans="2:54">
      <c r="B134" s="6" t="s">
        <v>104</v>
      </c>
      <c r="C134" s="52"/>
      <c r="D134" s="89">
        <f t="shared" ref="D134:AF134" si="61">(INDEX($C$58:$C$75,MATCH($B134,$B$58:$B$75,0))*C$13)+D108</f>
        <v>3478.8706967184662</v>
      </c>
      <c r="E134" s="89">
        <f t="shared" si="61"/>
        <v>3597.7800816866006</v>
      </c>
      <c r="F134" s="89">
        <f t="shared" si="61"/>
        <v>3699.551864584756</v>
      </c>
      <c r="G134" s="89">
        <f t="shared" si="61"/>
        <v>3789.782616005918</v>
      </c>
      <c r="H134" s="89">
        <f t="shared" si="61"/>
        <v>3873.5520933262837</v>
      </c>
      <c r="I134" s="89">
        <f t="shared" si="61"/>
        <v>3953.6629622907876</v>
      </c>
      <c r="J134" s="89">
        <f t="shared" si="61"/>
        <v>4030.2053100685948</v>
      </c>
      <c r="K134" s="89">
        <f t="shared" si="61"/>
        <v>4104.4991015881051</v>
      </c>
      <c r="L134" s="89">
        <f t="shared" si="61"/>
        <v>4184.4012024561434</v>
      </c>
      <c r="M134" s="89">
        <f t="shared" si="61"/>
        <v>4264.7683143653048</v>
      </c>
      <c r="N134" s="89">
        <f t="shared" si="61"/>
        <v>4343.1713096094918</v>
      </c>
      <c r="O134" s="89">
        <f t="shared" si="61"/>
        <v>4418.6136530379945</v>
      </c>
      <c r="P134" s="89">
        <f t="shared" si="61"/>
        <v>4490.5377957665669</v>
      </c>
      <c r="Q134" s="89">
        <f t="shared" si="61"/>
        <v>4560.3708833418141</v>
      </c>
      <c r="R134" s="89">
        <f t="shared" si="61"/>
        <v>4629.7157550480342</v>
      </c>
      <c r="S134" s="89">
        <f t="shared" si="61"/>
        <v>4698.7608815933499</v>
      </c>
      <c r="T134" s="89">
        <f t="shared" si="61"/>
        <v>4766.2105421407368</v>
      </c>
      <c r="U134" s="89">
        <f t="shared" si="61"/>
        <v>4832.2726109318673</v>
      </c>
      <c r="V134" s="89">
        <f t="shared" si="61"/>
        <v>4899.9563612177199</v>
      </c>
      <c r="W134" s="89">
        <f t="shared" si="61"/>
        <v>4966.6821098388746</v>
      </c>
      <c r="X134" s="89">
        <f t="shared" si="61"/>
        <v>5031.7406816772109</v>
      </c>
      <c r="Y134" s="89">
        <f t="shared" si="61"/>
        <v>5095.0391339085636</v>
      </c>
      <c r="Z134" s="89">
        <f t="shared" si="61"/>
        <v>5157.8030159790305</v>
      </c>
      <c r="AA134" s="89">
        <f t="shared" si="61"/>
        <v>5219.7471431999356</v>
      </c>
      <c r="AB134" s="89">
        <f t="shared" si="61"/>
        <v>5280.3698628303155</v>
      </c>
      <c r="AC134" s="89">
        <f t="shared" si="61"/>
        <v>5339.293505960024</v>
      </c>
      <c r="AD134" s="89">
        <f t="shared" si="61"/>
        <v>5396.1477238236112</v>
      </c>
      <c r="AE134" s="89">
        <f t="shared" si="61"/>
        <v>5450.6687819959052</v>
      </c>
      <c r="AF134" s="89">
        <f t="shared" si="61"/>
        <v>5502.6212119886859</v>
      </c>
      <c r="AG134" s="89">
        <f t="shared" si="35"/>
        <v>5552.249133549567</v>
      </c>
      <c r="AH134" s="89">
        <f t="shared" si="36"/>
        <v>5600.6873467111618</v>
      </c>
      <c r="AI134" s="89">
        <f t="shared" si="37"/>
        <v>5648.0431048199252</v>
      </c>
      <c r="AJ134" s="89">
        <f t="shared" si="38"/>
        <v>5694.7197781649948</v>
      </c>
      <c r="AK134" s="89">
        <f t="shared" si="39"/>
        <v>5739.4406951668752</v>
      </c>
      <c r="AL134" s="89">
        <f t="shared" si="40"/>
        <v>5781.2613517258733</v>
      </c>
      <c r="AM134" s="89">
        <f t="shared" si="41"/>
        <v>5819.565987215301</v>
      </c>
      <c r="AN134" s="89">
        <f t="shared" si="42"/>
        <v>5854.7842019061563</v>
      </c>
      <c r="AO134" s="89">
        <f t="shared" si="43"/>
        <v>5887.0252559840155</v>
      </c>
      <c r="AP134" s="89">
        <f t="shared" si="44"/>
        <v>5916.1461233797127</v>
      </c>
      <c r="AQ134" s="89">
        <f t="shared" si="45"/>
        <v>5943.5308459451871</v>
      </c>
      <c r="AR134" s="89">
        <f t="shared" si="46"/>
        <v>5970.6920980084287</v>
      </c>
      <c r="AS134" s="89">
        <f t="shared" si="47"/>
        <v>5998.8075796821195</v>
      </c>
      <c r="AT134" s="89">
        <f t="shared" si="48"/>
        <v>6019.9855662528262</v>
      </c>
      <c r="AU134" s="89">
        <f t="shared" si="49"/>
        <v>6035.9378846372119</v>
      </c>
      <c r="AV134" s="89">
        <f t="shared" si="50"/>
        <v>6047.9539684602496</v>
      </c>
      <c r="AW134" s="89">
        <f t="shared" si="51"/>
        <v>6057.0050835999537</v>
      </c>
      <c r="AX134" s="89">
        <f t="shared" si="52"/>
        <v>6063.8228360789353</v>
      </c>
      <c r="AY134" s="89">
        <f t="shared" si="53"/>
        <v>6068.9583081337287</v>
      </c>
      <c r="AZ134" s="89">
        <f t="shared" si="54"/>
        <v>6072.8266024590012</v>
      </c>
      <c r="BA134" s="89">
        <f t="shared" si="55"/>
        <v>6075.7403951595124</v>
      </c>
      <c r="BB134" s="89">
        <f t="shared" si="56"/>
        <v>6077.9352095111735</v>
      </c>
    </row>
    <row r="135" spans="2:54">
      <c r="B135" s="6" t="s">
        <v>17</v>
      </c>
      <c r="C135" s="52"/>
      <c r="D135" s="89">
        <f t="shared" ref="D135:AF135" si="62">(INDEX($C$58:$C$75,MATCH($B135,$B$58:$B$75,0))*C$13)+D109</f>
        <v>12352.441563570392</v>
      </c>
      <c r="E135" s="89">
        <f t="shared" si="62"/>
        <v>12774.653642497178</v>
      </c>
      <c r="F135" s="89">
        <f t="shared" si="62"/>
        <v>13136.015161985573</v>
      </c>
      <c r="G135" s="89">
        <f t="shared" si="62"/>
        <v>13456.397889983569</v>
      </c>
      <c r="H135" s="89">
        <f t="shared" si="62"/>
        <v>13753.838543465377</v>
      </c>
      <c r="I135" s="89">
        <f t="shared" si="62"/>
        <v>14038.288560082639</v>
      </c>
      <c r="J135" s="89">
        <f t="shared" si="62"/>
        <v>14310.067812745207</v>
      </c>
      <c r="K135" s="89">
        <f t="shared" si="62"/>
        <v>14573.863106760153</v>
      </c>
      <c r="L135" s="89">
        <f t="shared" si="62"/>
        <v>14857.571849574295</v>
      </c>
      <c r="M135" s="89">
        <f t="shared" si="62"/>
        <v>15142.931709148052</v>
      </c>
      <c r="N135" s="89">
        <f t="shared" si="62"/>
        <v>15421.31757099576</v>
      </c>
      <c r="O135" s="89">
        <f t="shared" si="62"/>
        <v>15689.191033351924</v>
      </c>
      <c r="P135" s="89">
        <f t="shared" si="62"/>
        <v>15944.572404928236</v>
      </c>
      <c r="Q135" s="89">
        <f t="shared" si="62"/>
        <v>16192.529057726688</v>
      </c>
      <c r="R135" s="89">
        <f t="shared" si="62"/>
        <v>16438.752200280494</v>
      </c>
      <c r="S135" s="89">
        <f t="shared" si="62"/>
        <v>16683.911036366248</v>
      </c>
      <c r="T135" s="89">
        <f t="shared" si="62"/>
        <v>16923.404844279303</v>
      </c>
      <c r="U135" s="89">
        <f t="shared" si="62"/>
        <v>17157.971724008621</v>
      </c>
      <c r="V135" s="89">
        <f t="shared" si="62"/>
        <v>17398.296715391003</v>
      </c>
      <c r="W135" s="89">
        <f t="shared" si="62"/>
        <v>17635.220126027041</v>
      </c>
      <c r="X135" s="89">
        <f t="shared" si="62"/>
        <v>17866.223884689425</v>
      </c>
      <c r="Y135" s="89">
        <f t="shared" si="62"/>
        <v>18090.977978881478</v>
      </c>
      <c r="Z135" s="89">
        <f t="shared" si="62"/>
        <v>18313.833972439839</v>
      </c>
      <c r="AA135" s="89">
        <f t="shared" si="62"/>
        <v>18533.779258829578</v>
      </c>
      <c r="AB135" s="89">
        <f t="shared" si="62"/>
        <v>18749.032617445442</v>
      </c>
      <c r="AC135" s="89">
        <f t="shared" si="62"/>
        <v>18958.253057618447</v>
      </c>
      <c r="AD135" s="89">
        <f t="shared" si="62"/>
        <v>19160.125580349722</v>
      </c>
      <c r="AE135" s="89">
        <f t="shared" si="62"/>
        <v>19353.71374264979</v>
      </c>
      <c r="AF135" s="89">
        <f t="shared" si="62"/>
        <v>19538.181465516478</v>
      </c>
      <c r="AG135" s="89">
        <f t="shared" si="35"/>
        <v>19714.395546016938</v>
      </c>
      <c r="AH135" s="89">
        <f t="shared" si="36"/>
        <v>19886.385323644132</v>
      </c>
      <c r="AI135" s="89">
        <f t="shared" si="37"/>
        <v>20054.531623329502</v>
      </c>
      <c r="AJ135" s="89">
        <f t="shared" si="38"/>
        <v>20220.266693742065</v>
      </c>
      <c r="AK135" s="89">
        <f t="shared" si="39"/>
        <v>20379.057451460103</v>
      </c>
      <c r="AL135" s="89">
        <f t="shared" si="40"/>
        <v>20527.550241601013</v>
      </c>
      <c r="AM135" s="89">
        <f t="shared" si="41"/>
        <v>20663.558680185215</v>
      </c>
      <c r="AN135" s="89">
        <f t="shared" si="42"/>
        <v>20788.608150794291</v>
      </c>
      <c r="AO135" s="89">
        <f t="shared" si="43"/>
        <v>20903.08660405222</v>
      </c>
      <c r="AP135" s="89">
        <f t="shared" si="44"/>
        <v>21006.486196662874</v>
      </c>
      <c r="AQ135" s="89">
        <f t="shared" si="45"/>
        <v>21103.721252149036</v>
      </c>
      <c r="AR135" s="89">
        <f t="shared" si="46"/>
        <v>21200.162829934921</v>
      </c>
      <c r="AS135" s="89">
        <f t="shared" si="47"/>
        <v>21299.992595017447</v>
      </c>
      <c r="AT135" s="89">
        <f t="shared" si="48"/>
        <v>21375.189365565864</v>
      </c>
      <c r="AU135" s="89">
        <f t="shared" si="49"/>
        <v>21431.831332981455</v>
      </c>
      <c r="AV135" s="89">
        <f t="shared" si="50"/>
        <v>21474.496894937249</v>
      </c>
      <c r="AW135" s="89">
        <f t="shared" si="51"/>
        <v>21506.634729480455</v>
      </c>
      <c r="AX135" s="89">
        <f t="shared" si="52"/>
        <v>21530.842553350121</v>
      </c>
      <c r="AY135" s="89">
        <f t="shared" si="53"/>
        <v>21549.07709667995</v>
      </c>
      <c r="AZ135" s="89">
        <f t="shared" si="54"/>
        <v>21562.812266443143</v>
      </c>
      <c r="BA135" s="89">
        <f t="shared" si="55"/>
        <v>21573.158283067267</v>
      </c>
      <c r="BB135" s="89">
        <f t="shared" si="56"/>
        <v>21580.95142008939</v>
      </c>
    </row>
    <row r="136" spans="2:54" ht="29">
      <c r="B136" s="6" t="s">
        <v>106</v>
      </c>
      <c r="C136" s="52"/>
      <c r="D136" s="89">
        <f t="shared" ref="D136:AF136" si="63">(INDEX($C$58:$C$75,MATCH($B136,$B$58:$B$75,0))*C$13)+D110</f>
        <v>1901.5443673719233</v>
      </c>
      <c r="E136" s="89">
        <f t="shared" si="63"/>
        <v>1966.5400199631799</v>
      </c>
      <c r="F136" s="89">
        <f t="shared" si="63"/>
        <v>2022.1682905712055</v>
      </c>
      <c r="G136" s="89">
        <f t="shared" si="63"/>
        <v>2071.4882544579036</v>
      </c>
      <c r="H136" s="89">
        <f t="shared" si="63"/>
        <v>2117.2764977250326</v>
      </c>
      <c r="I136" s="89">
        <f t="shared" si="63"/>
        <v>2161.0649523486595</v>
      </c>
      <c r="J136" s="89">
        <f t="shared" si="63"/>
        <v>2202.9028598108725</v>
      </c>
      <c r="K136" s="89">
        <f t="shared" si="63"/>
        <v>2243.5117105301269</v>
      </c>
      <c r="L136" s="89">
        <f t="shared" si="63"/>
        <v>2287.186052893619</v>
      </c>
      <c r="M136" s="89">
        <f t="shared" si="63"/>
        <v>2331.1145694426727</v>
      </c>
      <c r="N136" s="89">
        <f t="shared" si="63"/>
        <v>2373.9695034108427</v>
      </c>
      <c r="O136" s="89">
        <f t="shared" si="63"/>
        <v>2415.2061505052939</v>
      </c>
      <c r="P136" s="89">
        <f t="shared" si="63"/>
        <v>2454.519755524469</v>
      </c>
      <c r="Q136" s="89">
        <f t="shared" si="63"/>
        <v>2492.6903936169278</v>
      </c>
      <c r="R136" s="89">
        <f t="shared" si="63"/>
        <v>2530.5941738072852</v>
      </c>
      <c r="S136" s="89">
        <f t="shared" si="63"/>
        <v>2568.334113840288</v>
      </c>
      <c r="T136" s="89">
        <f t="shared" si="63"/>
        <v>2605.2019750735367</v>
      </c>
      <c r="U136" s="89">
        <f t="shared" si="63"/>
        <v>2641.3113811877697</v>
      </c>
      <c r="V136" s="89">
        <f t="shared" si="63"/>
        <v>2678.3071954444113</v>
      </c>
      <c r="W136" s="89">
        <f t="shared" si="63"/>
        <v>2714.7793677412769</v>
      </c>
      <c r="X136" s="89">
        <f t="shared" si="63"/>
        <v>2750.3402642543733</v>
      </c>
      <c r="Y136" s="89">
        <f t="shared" si="63"/>
        <v>2784.9390826058075</v>
      </c>
      <c r="Z136" s="89">
        <f t="shared" si="63"/>
        <v>2819.2457058838932</v>
      </c>
      <c r="AA136" s="89">
        <f t="shared" si="63"/>
        <v>2853.1042526587967</v>
      </c>
      <c r="AB136" s="89">
        <f t="shared" si="63"/>
        <v>2886.2405204587617</v>
      </c>
      <c r="AC136" s="89">
        <f t="shared" si="63"/>
        <v>2918.4480761474574</v>
      </c>
      <c r="AD136" s="89">
        <f t="shared" si="63"/>
        <v>2949.5244877662676</v>
      </c>
      <c r="AE136" s="89">
        <f t="shared" si="63"/>
        <v>2979.3255985602032</v>
      </c>
      <c r="AF136" s="89">
        <f t="shared" si="63"/>
        <v>3007.7227018837739</v>
      </c>
      <c r="AG136" s="89">
        <f t="shared" si="35"/>
        <v>3034.8492331450498</v>
      </c>
      <c r="AH136" s="89">
        <f t="shared" si="36"/>
        <v>3061.3254719687211</v>
      </c>
      <c r="AI136" s="89">
        <f t="shared" si="37"/>
        <v>3087.2100428380231</v>
      </c>
      <c r="AJ136" s="89">
        <f t="shared" si="38"/>
        <v>3112.7234272160913</v>
      </c>
      <c r="AK136" s="89">
        <f t="shared" si="39"/>
        <v>3137.1677987498902</v>
      </c>
      <c r="AL136" s="89">
        <f t="shared" si="40"/>
        <v>3160.0268932240174</v>
      </c>
      <c r="AM136" s="89">
        <f t="shared" si="41"/>
        <v>3180.9641370048398</v>
      </c>
      <c r="AN136" s="89">
        <f t="shared" si="42"/>
        <v>3200.2143488156617</v>
      </c>
      <c r="AO136" s="89">
        <f t="shared" si="43"/>
        <v>3217.8372500743135</v>
      </c>
      <c r="AP136" s="89">
        <f t="shared" si="44"/>
        <v>3233.7546629926796</v>
      </c>
      <c r="AQ136" s="89">
        <f t="shared" si="45"/>
        <v>3248.7231023185623</v>
      </c>
      <c r="AR136" s="89">
        <f t="shared" si="46"/>
        <v>3263.5693930761768</v>
      </c>
      <c r="AS136" s="89">
        <f t="shared" si="47"/>
        <v>3278.9372639956055</v>
      </c>
      <c r="AT136" s="89">
        <f t="shared" si="48"/>
        <v>3290.5131127656659</v>
      </c>
      <c r="AU136" s="89">
        <f t="shared" si="49"/>
        <v>3299.2326208517138</v>
      </c>
      <c r="AV136" s="89">
        <f t="shared" si="50"/>
        <v>3305.800590317529</v>
      </c>
      <c r="AW136" s="89">
        <f t="shared" si="51"/>
        <v>3310.7479133176548</v>
      </c>
      <c r="AX136" s="89">
        <f t="shared" si="52"/>
        <v>3314.4744843674994</v>
      </c>
      <c r="AY136" s="89">
        <f t="shared" si="53"/>
        <v>3317.2815240107948</v>
      </c>
      <c r="AZ136" s="89">
        <f t="shared" si="54"/>
        <v>3319.3959266221073</v>
      </c>
      <c r="BA136" s="89">
        <f t="shared" si="55"/>
        <v>3320.9886003890779</v>
      </c>
      <c r="BB136" s="89">
        <f t="shared" si="56"/>
        <v>3322.1882819040488</v>
      </c>
    </row>
    <row r="137" spans="2:54" ht="29">
      <c r="B137" s="6" t="s">
        <v>107</v>
      </c>
      <c r="C137" s="52"/>
      <c r="D137" s="89">
        <f t="shared" ref="D137:AF137" si="64">(INDEX($C$58:$C$75,MATCH($B137,$B$58:$B$75,0))*C$13)+D111</f>
        <v>1207.9534981506188</v>
      </c>
      <c r="E137" s="89">
        <f t="shared" si="64"/>
        <v>1249.2418989154667</v>
      </c>
      <c r="F137" s="89">
        <f t="shared" si="64"/>
        <v>1284.5796828925527</v>
      </c>
      <c r="G137" s="89">
        <f t="shared" si="64"/>
        <v>1315.9101235216808</v>
      </c>
      <c r="H137" s="89">
        <f t="shared" si="64"/>
        <v>1344.9970433841622</v>
      </c>
      <c r="I137" s="89">
        <f t="shared" si="64"/>
        <v>1372.8136002044082</v>
      </c>
      <c r="J137" s="89">
        <f t="shared" si="64"/>
        <v>1399.3910745675912</v>
      </c>
      <c r="K137" s="89">
        <f t="shared" si="64"/>
        <v>1425.187792290247</v>
      </c>
      <c r="L137" s="89">
        <f t="shared" si="64"/>
        <v>1452.9318594509418</v>
      </c>
      <c r="M137" s="89">
        <f t="shared" si="64"/>
        <v>1480.8373904206633</v>
      </c>
      <c r="N137" s="89">
        <f t="shared" si="64"/>
        <v>1508.0609295019051</v>
      </c>
      <c r="O137" s="89">
        <f t="shared" si="64"/>
        <v>1534.2564540263152</v>
      </c>
      <c r="P137" s="89">
        <f t="shared" si="64"/>
        <v>1559.2303686625839</v>
      </c>
      <c r="Q137" s="89">
        <f t="shared" si="64"/>
        <v>1583.478215098138</v>
      </c>
      <c r="R137" s="89">
        <f t="shared" si="64"/>
        <v>1607.5565404108174</v>
      </c>
      <c r="S137" s="89">
        <f t="shared" si="64"/>
        <v>1631.5307864842164</v>
      </c>
      <c r="T137" s="89">
        <f t="shared" si="64"/>
        <v>1654.9510456746893</v>
      </c>
      <c r="U137" s="89">
        <f t="shared" si="64"/>
        <v>1677.8894972723836</v>
      </c>
      <c r="V137" s="89">
        <f t="shared" si="64"/>
        <v>1701.3910384486248</v>
      </c>
      <c r="W137" s="89">
        <f t="shared" si="64"/>
        <v>1724.5599367752204</v>
      </c>
      <c r="X137" s="89">
        <f t="shared" si="64"/>
        <v>1747.1499483875898</v>
      </c>
      <c r="Y137" s="89">
        <f t="shared" si="64"/>
        <v>1769.1288011436025</v>
      </c>
      <c r="Z137" s="89">
        <f t="shared" si="64"/>
        <v>1790.9220373728328</v>
      </c>
      <c r="AA137" s="89">
        <f t="shared" si="64"/>
        <v>1812.430633606939</v>
      </c>
      <c r="AB137" s="89">
        <f t="shared" si="64"/>
        <v>1833.480403095065</v>
      </c>
      <c r="AC137" s="89">
        <f t="shared" si="64"/>
        <v>1853.9402094654054</v>
      </c>
      <c r="AD137" s="89">
        <f t="shared" si="64"/>
        <v>1873.6814580889081</v>
      </c>
      <c r="AE137" s="89">
        <f t="shared" si="64"/>
        <v>1892.6125735811333</v>
      </c>
      <c r="AF137" s="89">
        <f t="shared" si="64"/>
        <v>1910.651795218891</v>
      </c>
      <c r="AG137" s="89">
        <f t="shared" si="35"/>
        <v>1927.8838876654308</v>
      </c>
      <c r="AH137" s="89">
        <f t="shared" si="36"/>
        <v>1944.7028827168726</v>
      </c>
      <c r="AI137" s="89">
        <f t="shared" si="37"/>
        <v>1961.1460214972285</v>
      </c>
      <c r="AJ137" s="89">
        <f t="shared" si="38"/>
        <v>1977.353364558986</v>
      </c>
      <c r="AK137" s="89">
        <f t="shared" si="39"/>
        <v>1992.8816186512927</v>
      </c>
      <c r="AL137" s="89">
        <f t="shared" si="40"/>
        <v>2007.4028276266793</v>
      </c>
      <c r="AM137" s="89">
        <f t="shared" si="41"/>
        <v>2020.7031835377177</v>
      </c>
      <c r="AN137" s="89">
        <f t="shared" si="42"/>
        <v>2032.9318546621053</v>
      </c>
      <c r="AO137" s="89">
        <f t="shared" si="43"/>
        <v>2044.1267789500787</v>
      </c>
      <c r="AP137" s="89">
        <f t="shared" si="44"/>
        <v>2054.2382940670373</v>
      </c>
      <c r="AQ137" s="89">
        <f t="shared" si="45"/>
        <v>2063.746974987559</v>
      </c>
      <c r="AR137" s="89">
        <f t="shared" si="46"/>
        <v>2073.1780611946124</v>
      </c>
      <c r="AS137" s="89">
        <f t="shared" si="47"/>
        <v>2082.9404804969336</v>
      </c>
      <c r="AT137" s="89">
        <f t="shared" si="48"/>
        <v>2090.2940228364068</v>
      </c>
      <c r="AU137" s="89">
        <f t="shared" si="49"/>
        <v>2095.8330786036154</v>
      </c>
      <c r="AV137" s="89">
        <f t="shared" si="50"/>
        <v>2100.005372360265</v>
      </c>
      <c r="AW137" s="89">
        <f t="shared" si="51"/>
        <v>2103.1481526324615</v>
      </c>
      <c r="AX137" s="89">
        <f t="shared" si="52"/>
        <v>2105.5154518724935</v>
      </c>
      <c r="AY137" s="89">
        <f t="shared" si="53"/>
        <v>2107.2986200250475</v>
      </c>
      <c r="AZ137" s="89">
        <f t="shared" si="54"/>
        <v>2108.641791435959</v>
      </c>
      <c r="BA137" s="89">
        <f t="shared" si="55"/>
        <v>2109.6535353012277</v>
      </c>
      <c r="BB137" s="89">
        <f t="shared" si="56"/>
        <v>2110.4156313677418</v>
      </c>
    </row>
    <row r="138" spans="2:54">
      <c r="B138" s="6" t="s">
        <v>2863</v>
      </c>
      <c r="D138" s="89">
        <f t="shared" ref="D138:AF138" si="65">(INDEX($C$58:$C$75,MATCH($B138,$B$58:$B$75,0))*C$13)+D112</f>
        <v>2112.2670023048249</v>
      </c>
      <c r="E138" s="89">
        <f t="shared" si="65"/>
        <v>2194.1833589211628</v>
      </c>
      <c r="F138" s="89">
        <f t="shared" si="65"/>
        <v>2266.0264417325275</v>
      </c>
      <c r="G138" s="89">
        <f t="shared" si="65"/>
        <v>2331.1464489300383</v>
      </c>
      <c r="H138" s="89">
        <f t="shared" si="65"/>
        <v>2392.595418895211</v>
      </c>
      <c r="I138" s="89">
        <f t="shared" si="65"/>
        <v>2452.0569977075124</v>
      </c>
      <c r="J138" s="89">
        <f t="shared" si="65"/>
        <v>2509.5756634219556</v>
      </c>
      <c r="K138" s="89">
        <f t="shared" si="65"/>
        <v>2565.9428910104016</v>
      </c>
      <c r="L138" s="89">
        <f t="shared" si="65"/>
        <v>2625.9228547392445</v>
      </c>
      <c r="M138" s="89">
        <f t="shared" si="65"/>
        <v>2686.4083632001211</v>
      </c>
      <c r="N138" s="89">
        <f t="shared" si="65"/>
        <v>2745.9258211613642</v>
      </c>
      <c r="O138" s="89">
        <f t="shared" si="65"/>
        <v>2794.1465669886184</v>
      </c>
      <c r="P138" s="89">
        <f t="shared" si="65"/>
        <v>2840.1097420834694</v>
      </c>
      <c r="Q138" s="89">
        <f t="shared" si="65"/>
        <v>2884.7199121911094</v>
      </c>
      <c r="R138" s="89">
        <f t="shared" si="65"/>
        <v>2928.9766719293079</v>
      </c>
      <c r="S138" s="89">
        <f t="shared" si="65"/>
        <v>2973.0111406539445</v>
      </c>
      <c r="T138" s="89">
        <f t="shared" si="65"/>
        <v>3016.0459780131</v>
      </c>
      <c r="U138" s="89">
        <f t="shared" si="65"/>
        <v>3058.2129107380715</v>
      </c>
      <c r="V138" s="89">
        <f t="shared" si="65"/>
        <v>3101.3414852794654</v>
      </c>
      <c r="W138" s="89">
        <f t="shared" si="65"/>
        <v>3143.8542581005672</v>
      </c>
      <c r="X138" s="89">
        <f t="shared" si="65"/>
        <v>3185.3166639862916</v>
      </c>
      <c r="Y138" s="89">
        <f t="shared" si="65"/>
        <v>3225.6731003047826</v>
      </c>
      <c r="Z138" s="89">
        <f t="shared" si="65"/>
        <v>3265.6710379405604</v>
      </c>
      <c r="AA138" s="89">
        <f t="shared" si="65"/>
        <v>3305.1456558891996</v>
      </c>
      <c r="AB138" s="89">
        <f t="shared" si="65"/>
        <v>3343.7959168347102</v>
      </c>
      <c r="AC138" s="89">
        <f t="shared" si="65"/>
        <v>3381.3901839344508</v>
      </c>
      <c r="AD138" s="89">
        <f t="shared" si="65"/>
        <v>3417.6996834283091</v>
      </c>
      <c r="AE138" s="89">
        <f t="shared" si="65"/>
        <v>3452.5629596140857</v>
      </c>
      <c r="AF138" s="89">
        <f t="shared" si="65"/>
        <v>3485.8344016043443</v>
      </c>
      <c r="AG138" s="89">
        <f t="shared" si="35"/>
        <v>3517.6505261728676</v>
      </c>
      <c r="AH138" s="89">
        <f t="shared" si="36"/>
        <v>3548.6965329174668</v>
      </c>
      <c r="AI138" s="89">
        <f t="shared" si="37"/>
        <v>3579.0388766777337</v>
      </c>
      <c r="AJ138" s="89">
        <f t="shared" si="38"/>
        <v>3608.9243649506657</v>
      </c>
      <c r="AK138" s="89">
        <f t="shared" si="39"/>
        <v>3637.5774369598116</v>
      </c>
      <c r="AL138" s="89">
        <f t="shared" si="40"/>
        <v>3664.4214444753734</v>
      </c>
      <c r="AM138" s="89">
        <f t="shared" si="41"/>
        <v>3689.0781054538543</v>
      </c>
      <c r="AN138" s="89">
        <f t="shared" si="42"/>
        <v>3711.8031848517394</v>
      </c>
      <c r="AO138" s="89">
        <f t="shared" si="43"/>
        <v>3732.6601812670251</v>
      </c>
      <c r="AP138" s="89">
        <f t="shared" si="44"/>
        <v>3751.560454521903</v>
      </c>
      <c r="AQ138" s="89">
        <f t="shared" si="45"/>
        <v>3769.3428129776921</v>
      </c>
      <c r="AR138" s="89">
        <f t="shared" si="46"/>
        <v>3786.9273511502697</v>
      </c>
      <c r="AS138" s="89">
        <f t="shared" si="47"/>
        <v>3805.0318327362252</v>
      </c>
      <c r="AT138" s="89">
        <f t="shared" si="48"/>
        <v>3818.870326198391</v>
      </c>
      <c r="AU138" s="89">
        <f t="shared" si="49"/>
        <v>3829.4647193588953</v>
      </c>
      <c r="AV138" s="89">
        <f t="shared" si="50"/>
        <v>3837.588783643776</v>
      </c>
      <c r="AW138" s="89">
        <f t="shared" si="51"/>
        <v>3843.8293488992108</v>
      </c>
      <c r="AX138" s="89">
        <f t="shared" si="52"/>
        <v>3848.6321639276853</v>
      </c>
      <c r="AY138" s="89">
        <f t="shared" si="53"/>
        <v>3852.3342124912951</v>
      </c>
      <c r="AZ138" s="89">
        <f t="shared" si="54"/>
        <v>3855.1911498264872</v>
      </c>
      <c r="BA138" s="89">
        <f t="shared" si="55"/>
        <v>3857.397999899219</v>
      </c>
      <c r="BB138" s="89">
        <f t="shared" si="56"/>
        <v>3859.0999489441624</v>
      </c>
    </row>
    <row r="139" spans="2:54">
      <c r="B139" s="6" t="s">
        <v>2862</v>
      </c>
      <c r="C139" s="52"/>
      <c r="D139" s="89">
        <f t="shared" ref="D139:AF139" si="66">(INDEX($C$58:$C$75,MATCH($B139,$B$58:$B$75,0))*C$13)+D113</f>
        <v>4224.5340046096499</v>
      </c>
      <c r="E139" s="89">
        <f t="shared" si="66"/>
        <v>4388.3667178423257</v>
      </c>
      <c r="F139" s="89">
        <f t="shared" si="66"/>
        <v>4532.0528834650549</v>
      </c>
      <c r="G139" s="89">
        <f t="shared" si="66"/>
        <v>4662.2928978600767</v>
      </c>
      <c r="H139" s="89">
        <f t="shared" si="66"/>
        <v>4785.1908377904219</v>
      </c>
      <c r="I139" s="89">
        <f t="shared" si="66"/>
        <v>4904.1139954150249</v>
      </c>
      <c r="J139" s="89">
        <f t="shared" si="66"/>
        <v>5019.1513268439112</v>
      </c>
      <c r="K139" s="89">
        <f t="shared" si="66"/>
        <v>5131.8857820208032</v>
      </c>
      <c r="L139" s="89">
        <f t="shared" si="66"/>
        <v>5251.845709478489</v>
      </c>
      <c r="M139" s="89">
        <f t="shared" si="66"/>
        <v>5372.8167264002423</v>
      </c>
      <c r="N139" s="89">
        <f t="shared" si="66"/>
        <v>5491.8516423227284</v>
      </c>
      <c r="O139" s="89">
        <f t="shared" si="66"/>
        <v>5588.2931339772367</v>
      </c>
      <c r="P139" s="89">
        <f t="shared" si="66"/>
        <v>5680.2194841669389</v>
      </c>
      <c r="Q139" s="89">
        <f t="shared" si="66"/>
        <v>5769.4398243822188</v>
      </c>
      <c r="R139" s="89">
        <f t="shared" si="66"/>
        <v>5857.9533438586159</v>
      </c>
      <c r="S139" s="89">
        <f t="shared" si="66"/>
        <v>5946.022281307889</v>
      </c>
      <c r="T139" s="89">
        <f t="shared" si="66"/>
        <v>6032.0919560262</v>
      </c>
      <c r="U139" s="89">
        <f t="shared" si="66"/>
        <v>6116.425821476143</v>
      </c>
      <c r="V139" s="89">
        <f t="shared" si="66"/>
        <v>6202.6829705589307</v>
      </c>
      <c r="W139" s="89">
        <f t="shared" si="66"/>
        <v>6287.7085162011344</v>
      </c>
      <c r="X139" s="89">
        <f t="shared" si="66"/>
        <v>6370.6333279725832</v>
      </c>
      <c r="Y139" s="89">
        <f t="shared" si="66"/>
        <v>6451.3462006095651</v>
      </c>
      <c r="Z139" s="89">
        <f t="shared" si="66"/>
        <v>6531.3420758811208</v>
      </c>
      <c r="AA139" s="89">
        <f t="shared" si="66"/>
        <v>6610.2913117783992</v>
      </c>
      <c r="AB139" s="89">
        <f t="shared" si="66"/>
        <v>6687.5918336694203</v>
      </c>
      <c r="AC139" s="89">
        <f t="shared" si="66"/>
        <v>6762.7803678689015</v>
      </c>
      <c r="AD139" s="89">
        <f t="shared" si="66"/>
        <v>6835.3993668566181</v>
      </c>
      <c r="AE139" s="89">
        <f t="shared" si="66"/>
        <v>6905.1259192281714</v>
      </c>
      <c r="AF139" s="89">
        <f t="shared" si="66"/>
        <v>6971.6688032086886</v>
      </c>
      <c r="AG139" s="89">
        <f t="shared" si="35"/>
        <v>7035.3010523457351</v>
      </c>
      <c r="AH139" s="89">
        <f t="shared" si="36"/>
        <v>7097.3930658349336</v>
      </c>
      <c r="AI139" s="89">
        <f t="shared" si="37"/>
        <v>7158.0777533554674</v>
      </c>
      <c r="AJ139" s="89">
        <f t="shared" si="38"/>
        <v>7217.8487299013314</v>
      </c>
      <c r="AK139" s="89">
        <f t="shared" si="39"/>
        <v>7275.1548739196232</v>
      </c>
      <c r="AL139" s="89">
        <f t="shared" si="40"/>
        <v>7328.8428889507468</v>
      </c>
      <c r="AM139" s="89">
        <f t="shared" si="41"/>
        <v>7378.1562109077086</v>
      </c>
      <c r="AN139" s="89">
        <f t="shared" si="42"/>
        <v>7423.6063697034788</v>
      </c>
      <c r="AO139" s="89">
        <f t="shared" si="43"/>
        <v>7465.3203625340502</v>
      </c>
      <c r="AP139" s="89">
        <f t="shared" si="44"/>
        <v>7503.120909043806</v>
      </c>
      <c r="AQ139" s="89">
        <f t="shared" si="45"/>
        <v>7538.6856259553842</v>
      </c>
      <c r="AR139" s="89">
        <f t="shared" si="46"/>
        <v>7573.8547023005394</v>
      </c>
      <c r="AS139" s="89">
        <f t="shared" si="47"/>
        <v>7610.0636654724503</v>
      </c>
      <c r="AT139" s="89">
        <f t="shared" si="48"/>
        <v>7637.740652396782</v>
      </c>
      <c r="AU139" s="89">
        <f t="shared" si="49"/>
        <v>7658.9294387177906</v>
      </c>
      <c r="AV139" s="89">
        <f t="shared" si="50"/>
        <v>7675.1775672875519</v>
      </c>
      <c r="AW139" s="89">
        <f t="shared" si="51"/>
        <v>7687.6586977984216</v>
      </c>
      <c r="AX139" s="89">
        <f t="shared" si="52"/>
        <v>7697.2643278553705</v>
      </c>
      <c r="AY139" s="89">
        <f t="shared" si="53"/>
        <v>7704.6684249825903</v>
      </c>
      <c r="AZ139" s="89">
        <f t="shared" si="54"/>
        <v>7710.3822996529743</v>
      </c>
      <c r="BA139" s="89">
        <f t="shared" si="55"/>
        <v>7714.7959997984381</v>
      </c>
      <c r="BB139" s="89">
        <f t="shared" si="56"/>
        <v>7718.1998978883248</v>
      </c>
    </row>
    <row r="140" spans="2:54">
      <c r="B140" s="6" t="s">
        <v>131</v>
      </c>
      <c r="C140" s="52"/>
      <c r="D140" s="89">
        <f t="shared" ref="D140:AF140" si="67">(INDEX($C$58:$C$75,MATCH($B140,$B$58:$B$75,0))*C$13)+D114</f>
        <v>120.45419655390694</v>
      </c>
      <c r="E140" s="89">
        <f t="shared" si="67"/>
        <v>124.57137585653712</v>
      </c>
      <c r="F140" s="89">
        <f t="shared" si="67"/>
        <v>128.09517406853143</v>
      </c>
      <c r="G140" s="89">
        <f t="shared" si="67"/>
        <v>131.21936970970415</v>
      </c>
      <c r="H140" s="89">
        <f t="shared" si="67"/>
        <v>134.11984689498254</v>
      </c>
      <c r="I140" s="89">
        <f t="shared" si="67"/>
        <v>136.89364655515874</v>
      </c>
      <c r="J140" s="89">
        <f t="shared" si="67"/>
        <v>139.54388791440854</v>
      </c>
      <c r="K140" s="89">
        <f t="shared" si="67"/>
        <v>142.11627411285721</v>
      </c>
      <c r="L140" s="89">
        <f t="shared" si="67"/>
        <v>144.88284527979005</v>
      </c>
      <c r="M140" s="89">
        <f t="shared" si="67"/>
        <v>147.665517226611</v>
      </c>
      <c r="N140" s="89">
        <f t="shared" si="67"/>
        <v>150.38018259444618</v>
      </c>
      <c r="O140" s="89">
        <f t="shared" si="67"/>
        <v>152.99233684105158</v>
      </c>
      <c r="P140" s="89">
        <f t="shared" si="67"/>
        <v>155.48267510897597</v>
      </c>
      <c r="Q140" s="89">
        <f t="shared" si="67"/>
        <v>157.90061161483391</v>
      </c>
      <c r="R140" s="89">
        <f t="shared" si="67"/>
        <v>160.30164388498571</v>
      </c>
      <c r="S140" s="89">
        <f t="shared" si="67"/>
        <v>162.69229762552968</v>
      </c>
      <c r="T140" s="89">
        <f t="shared" si="67"/>
        <v>165.02770913614802</v>
      </c>
      <c r="U140" s="89">
        <f t="shared" si="67"/>
        <v>167.31507596079911</v>
      </c>
      <c r="V140" s="89">
        <f t="shared" si="67"/>
        <v>169.65859271413171</v>
      </c>
      <c r="W140" s="89">
        <f t="shared" si="67"/>
        <v>171.96893912832891</v>
      </c>
      <c r="X140" s="89">
        <f t="shared" si="67"/>
        <v>174.22156036174337</v>
      </c>
      <c r="Y140" s="89">
        <f t="shared" si="67"/>
        <v>176.41323831454153</v>
      </c>
      <c r="Z140" s="89">
        <f t="shared" si="67"/>
        <v>178.58640703694724</v>
      </c>
      <c r="AA140" s="89">
        <f t="shared" si="67"/>
        <v>180.73119214858283</v>
      </c>
      <c r="AB140" s="89">
        <f t="shared" si="67"/>
        <v>182.83022416862261</v>
      </c>
      <c r="AC140" s="89">
        <f t="shared" si="67"/>
        <v>184.8704264957494</v>
      </c>
      <c r="AD140" s="89">
        <f t="shared" si="67"/>
        <v>186.83897598507622</v>
      </c>
      <c r="AE140" s="89">
        <f t="shared" si="67"/>
        <v>188.72674096110919</v>
      </c>
      <c r="AF140" s="89">
        <f t="shared" si="67"/>
        <v>190.52556844259803</v>
      </c>
      <c r="AG140" s="89">
        <f t="shared" si="35"/>
        <v>192.24391095641872</v>
      </c>
      <c r="AH140" s="89">
        <f t="shared" si="36"/>
        <v>193.92106039873354</v>
      </c>
      <c r="AI140" s="89">
        <f t="shared" si="37"/>
        <v>195.56073036421196</v>
      </c>
      <c r="AJ140" s="89">
        <f t="shared" si="38"/>
        <v>197.17688735184964</v>
      </c>
      <c r="AK140" s="89">
        <f t="shared" si="39"/>
        <v>198.7253272325548</v>
      </c>
      <c r="AL140" s="89">
        <f t="shared" si="40"/>
        <v>200.17334701377945</v>
      </c>
      <c r="AM140" s="89">
        <f t="shared" si="41"/>
        <v>201.49962628495828</v>
      </c>
      <c r="AN140" s="89">
        <f t="shared" si="42"/>
        <v>202.71903974538139</v>
      </c>
      <c r="AO140" s="89">
        <f t="shared" si="43"/>
        <v>203.83537047554128</v>
      </c>
      <c r="AP140" s="89">
        <f t="shared" si="44"/>
        <v>204.84366626773911</v>
      </c>
      <c r="AQ140" s="89">
        <f t="shared" si="45"/>
        <v>205.79184889424127</v>
      </c>
      <c r="AR140" s="89">
        <f t="shared" si="46"/>
        <v>206.73229396389047</v>
      </c>
      <c r="AS140" s="89">
        <f t="shared" si="47"/>
        <v>207.7057787671414</v>
      </c>
      <c r="AT140" s="89">
        <f t="shared" si="48"/>
        <v>208.43905619519018</v>
      </c>
      <c r="AU140" s="89">
        <f t="shared" si="49"/>
        <v>208.99139741786794</v>
      </c>
      <c r="AV140" s="89">
        <f t="shared" si="50"/>
        <v>209.40744844384992</v>
      </c>
      <c r="AW140" s="89">
        <f t="shared" si="51"/>
        <v>209.72083887917088</v>
      </c>
      <c r="AX140" s="89">
        <f t="shared" si="52"/>
        <v>209.9569002245764</v>
      </c>
      <c r="AY140" s="89">
        <f t="shared" si="53"/>
        <v>210.1347134330031</v>
      </c>
      <c r="AZ140" s="89">
        <f t="shared" si="54"/>
        <v>210.26865123225051</v>
      </c>
      <c r="BA140" s="89">
        <f t="shared" si="55"/>
        <v>210.36953987953362</v>
      </c>
      <c r="BB140" s="89">
        <f t="shared" si="56"/>
        <v>210.44553425309962</v>
      </c>
    </row>
    <row r="141" spans="2:54" ht="29">
      <c r="B141" s="6" t="s">
        <v>2869</v>
      </c>
      <c r="C141" s="52"/>
      <c r="D141" s="89">
        <f t="shared" ref="D141:AF141" si="68">(INDEX($C$58:$C$75,MATCH($B141,$B$58:$B$75,0))*C$13)+D115</f>
        <v>838.40024178059014</v>
      </c>
      <c r="E141" s="89">
        <f t="shared" si="68"/>
        <v>867.05714391877655</v>
      </c>
      <c r="F141" s="89">
        <f t="shared" si="68"/>
        <v>891.58392137812291</v>
      </c>
      <c r="G141" s="89">
        <f t="shared" si="68"/>
        <v>913.32933545140395</v>
      </c>
      <c r="H141" s="89">
        <f t="shared" si="68"/>
        <v>933.51759657461173</v>
      </c>
      <c r="I141" s="89">
        <f t="shared" si="68"/>
        <v>952.82414107264322</v>
      </c>
      <c r="J141" s="89">
        <f t="shared" si="68"/>
        <v>971.27067975656178</v>
      </c>
      <c r="K141" s="89">
        <f t="shared" si="68"/>
        <v>989.17532129196252</v>
      </c>
      <c r="L141" s="89">
        <f t="shared" si="68"/>
        <v>1008.431553134592</v>
      </c>
      <c r="M141" s="89">
        <f t="shared" si="68"/>
        <v>1027.7998516227785</v>
      </c>
      <c r="N141" s="89">
        <f t="shared" si="68"/>
        <v>1046.6948022833631</v>
      </c>
      <c r="O141" s="89">
        <f t="shared" si="68"/>
        <v>1064.876242320963</v>
      </c>
      <c r="P141" s="89">
        <f t="shared" si="68"/>
        <v>1082.209803671886</v>
      </c>
      <c r="Q141" s="89">
        <f t="shared" si="68"/>
        <v>1099.0394252966848</v>
      </c>
      <c r="R141" s="89">
        <f t="shared" si="68"/>
        <v>1115.7513879630696</v>
      </c>
      <c r="S141" s="89">
        <f t="shared" si="68"/>
        <v>1132.3911127001711</v>
      </c>
      <c r="T141" s="89">
        <f t="shared" si="68"/>
        <v>1148.6463336154784</v>
      </c>
      <c r="U141" s="89">
        <f t="shared" si="68"/>
        <v>1164.5671479473403</v>
      </c>
      <c r="V141" s="89">
        <f t="shared" si="68"/>
        <v>1180.878783978482</v>
      </c>
      <c r="W141" s="89">
        <f t="shared" si="68"/>
        <v>1196.9595437002322</v>
      </c>
      <c r="X141" s="89">
        <f t="shared" si="68"/>
        <v>1212.6385174576103</v>
      </c>
      <c r="Y141" s="89">
        <f t="shared" si="68"/>
        <v>1227.893306232934</v>
      </c>
      <c r="Z141" s="89">
        <f t="shared" si="68"/>
        <v>1243.0192647667204</v>
      </c>
      <c r="AA141" s="89">
        <f t="shared" si="68"/>
        <v>1257.9476641717006</v>
      </c>
      <c r="AB141" s="89">
        <f t="shared" si="68"/>
        <v>1272.5576072326628</v>
      </c>
      <c r="AC141" s="89">
        <f t="shared" si="68"/>
        <v>1286.758076566904</v>
      </c>
      <c r="AD141" s="89">
        <f t="shared" si="68"/>
        <v>1300.4598189306087</v>
      </c>
      <c r="AE141" s="89">
        <f t="shared" si="68"/>
        <v>1313.5992749031755</v>
      </c>
      <c r="AF141" s="89">
        <f t="shared" si="68"/>
        <v>1326.1196970930896</v>
      </c>
      <c r="AG141" s="89">
        <f t="shared" si="35"/>
        <v>1338.0799178264901</v>
      </c>
      <c r="AH141" s="89">
        <f t="shared" si="36"/>
        <v>1349.7534214333955</v>
      </c>
      <c r="AI141" s="89">
        <f t="shared" si="37"/>
        <v>1361.1660557361138</v>
      </c>
      <c r="AJ141" s="89">
        <f t="shared" si="38"/>
        <v>1372.4150320935662</v>
      </c>
      <c r="AK141" s="89">
        <f t="shared" si="39"/>
        <v>1383.192675442712</v>
      </c>
      <c r="AL141" s="89">
        <f t="shared" si="40"/>
        <v>1393.2713623578538</v>
      </c>
      <c r="AM141" s="89">
        <f t="shared" si="41"/>
        <v>1402.5026958724759</v>
      </c>
      <c r="AN141" s="89">
        <f t="shared" si="42"/>
        <v>1410.9902087138546</v>
      </c>
      <c r="AO141" s="89">
        <f t="shared" si="43"/>
        <v>1418.7602323481437</v>
      </c>
      <c r="AP141" s="89">
        <f t="shared" si="44"/>
        <v>1425.7782978049722</v>
      </c>
      <c r="AQ141" s="89">
        <f t="shared" si="45"/>
        <v>1432.3779561485965</v>
      </c>
      <c r="AR141" s="89">
        <f t="shared" si="46"/>
        <v>1438.9237585891315</v>
      </c>
      <c r="AS141" s="89">
        <f t="shared" si="47"/>
        <v>1445.6995282822204</v>
      </c>
      <c r="AT141" s="89">
        <f t="shared" si="48"/>
        <v>1450.8033768035395</v>
      </c>
      <c r="AU141" s="89">
        <f t="shared" si="49"/>
        <v>1454.6478507022232</v>
      </c>
      <c r="AV141" s="89">
        <f t="shared" si="50"/>
        <v>1457.5437006664065</v>
      </c>
      <c r="AW141" s="89">
        <f t="shared" si="51"/>
        <v>1459.7249996519279</v>
      </c>
      <c r="AX141" s="89">
        <f t="shared" si="52"/>
        <v>1461.3680631127718</v>
      </c>
      <c r="AY141" s="89">
        <f t="shared" si="53"/>
        <v>1462.6057006646522</v>
      </c>
      <c r="AZ141" s="89">
        <f t="shared" si="54"/>
        <v>1463.5379511506064</v>
      </c>
      <c r="BA141" s="89">
        <f t="shared" si="55"/>
        <v>1464.2401688291513</v>
      </c>
      <c r="BB141" s="89">
        <f t="shared" si="56"/>
        <v>1464.7691142955152</v>
      </c>
    </row>
    <row r="142" spans="2:54" ht="29">
      <c r="B142" s="6" t="s">
        <v>2870</v>
      </c>
      <c r="C142" s="52"/>
      <c r="D142" s="89">
        <f t="shared" ref="D142:AF142" si="69">(INDEX($C$58:$C$75,MATCH($B142,$B$58:$B$75,0))*C$13)+D116</f>
        <v>1150.84551647287</v>
      </c>
      <c r="E142" s="89">
        <f t="shared" si="69"/>
        <v>1190.1819404124572</v>
      </c>
      <c r="F142" s="89">
        <f t="shared" si="69"/>
        <v>1223.8490727270535</v>
      </c>
      <c r="G142" s="89">
        <f t="shared" si="69"/>
        <v>1253.6983154192219</v>
      </c>
      <c r="H142" s="89">
        <f t="shared" si="69"/>
        <v>1281.41010346652</v>
      </c>
      <c r="I142" s="89">
        <f t="shared" si="69"/>
        <v>1307.9115869667576</v>
      </c>
      <c r="J142" s="89">
        <f t="shared" si="69"/>
        <v>1333.2325676641685</v>
      </c>
      <c r="K142" s="89">
        <f t="shared" si="69"/>
        <v>1357.8097032710334</v>
      </c>
      <c r="L142" s="89">
        <f t="shared" si="69"/>
        <v>1384.242124179199</v>
      </c>
      <c r="M142" s="89">
        <f t="shared" si="69"/>
        <v>1410.828375430151</v>
      </c>
      <c r="N142" s="89">
        <f t="shared" si="69"/>
        <v>1436.7648770770584</v>
      </c>
      <c r="O142" s="89">
        <f t="shared" si="69"/>
        <v>1461.7219652404085</v>
      </c>
      <c r="P142" s="89">
        <f t="shared" si="69"/>
        <v>1485.5151971255175</v>
      </c>
      <c r="Q142" s="89">
        <f t="shared" si="69"/>
        <v>1508.6166868742566</v>
      </c>
      <c r="R142" s="89">
        <f t="shared" si="69"/>
        <v>1531.5566698890805</v>
      </c>
      <c r="S142" s="89">
        <f t="shared" si="69"/>
        <v>1554.3974941812655</v>
      </c>
      <c r="T142" s="89">
        <f t="shared" si="69"/>
        <v>1576.7105222284988</v>
      </c>
      <c r="U142" s="89">
        <f t="shared" si="69"/>
        <v>1598.5645209266711</v>
      </c>
      <c r="V142" s="89">
        <f t="shared" si="69"/>
        <v>1620.9549882205597</v>
      </c>
      <c r="W142" s="89">
        <f t="shared" si="69"/>
        <v>1643.0285389007811</v>
      </c>
      <c r="X142" s="89">
        <f t="shared" si="69"/>
        <v>1664.5505706850904</v>
      </c>
      <c r="Y142" s="89">
        <f t="shared" si="69"/>
        <v>1685.4903371497765</v>
      </c>
      <c r="Z142" s="89">
        <f t="shared" si="69"/>
        <v>1706.253262413243</v>
      </c>
      <c r="AA142" s="89">
        <f t="shared" si="69"/>
        <v>1726.7450045039302</v>
      </c>
      <c r="AB142" s="89">
        <f t="shared" si="69"/>
        <v>1746.7996116351535</v>
      </c>
      <c r="AC142" s="89">
        <f t="shared" si="69"/>
        <v>1766.2921471220395</v>
      </c>
      <c r="AD142" s="89">
        <f t="shared" si="69"/>
        <v>1785.100095857415</v>
      </c>
      <c r="AE142" s="89">
        <f t="shared" si="69"/>
        <v>1803.1362118332481</v>
      </c>
      <c r="AF142" s="89">
        <f t="shared" si="69"/>
        <v>1820.3225996985573</v>
      </c>
      <c r="AG142" s="89">
        <f t="shared" si="35"/>
        <v>1836.7400167281935</v>
      </c>
      <c r="AH142" s="89">
        <f t="shared" si="36"/>
        <v>1852.7638662192253</v>
      </c>
      <c r="AI142" s="89">
        <f t="shared" si="37"/>
        <v>1868.4296286604831</v>
      </c>
      <c r="AJ142" s="89">
        <f t="shared" si="38"/>
        <v>1883.8707430122504</v>
      </c>
      <c r="AK142" s="89">
        <f t="shared" si="39"/>
        <v>1898.6648734387468</v>
      </c>
      <c r="AL142" s="89">
        <f t="shared" si="40"/>
        <v>1912.4995684569531</v>
      </c>
      <c r="AM142" s="89">
        <f t="shared" si="41"/>
        <v>1925.1711282406256</v>
      </c>
      <c r="AN142" s="89">
        <f t="shared" si="42"/>
        <v>1936.82166889262</v>
      </c>
      <c r="AO142" s="89">
        <f t="shared" si="43"/>
        <v>1947.4873347843886</v>
      </c>
      <c r="AP142" s="89">
        <f t="shared" si="44"/>
        <v>1957.1208114496042</v>
      </c>
      <c r="AQ142" s="89">
        <f t="shared" si="45"/>
        <v>1966.1799538931728</v>
      </c>
      <c r="AR142" s="89">
        <f t="shared" si="46"/>
        <v>1975.1651700405439</v>
      </c>
      <c r="AS142" s="89">
        <f t="shared" si="47"/>
        <v>1984.4660549679897</v>
      </c>
      <c r="AT142" s="89">
        <f t="shared" si="48"/>
        <v>1991.4719465395883</v>
      </c>
      <c r="AU142" s="89">
        <f t="shared" si="49"/>
        <v>1996.7491343658951</v>
      </c>
      <c r="AV142" s="89">
        <f t="shared" si="50"/>
        <v>2000.7241760960603</v>
      </c>
      <c r="AW142" s="89">
        <f t="shared" si="51"/>
        <v>2003.7183762793074</v>
      </c>
      <c r="AX142" s="89">
        <f t="shared" si="52"/>
        <v>2005.9737575673385</v>
      </c>
      <c r="AY142" s="89">
        <f t="shared" si="53"/>
        <v>2007.6726235225478</v>
      </c>
      <c r="AZ142" s="89">
        <f t="shared" si="54"/>
        <v>2008.9522943033094</v>
      </c>
      <c r="BA142" s="89">
        <f t="shared" si="55"/>
        <v>2009.9162063189176</v>
      </c>
      <c r="BB142" s="89">
        <f t="shared" si="56"/>
        <v>2010.642273044675</v>
      </c>
    </row>
    <row r="143" spans="2:54">
      <c r="B143" s="6" t="s">
        <v>102</v>
      </c>
      <c r="C143" s="52"/>
      <c r="D143" s="89">
        <f t="shared" ref="D143:AF143" si="70">(INDEX($C$58:$C$75,MATCH($B143,$B$58:$B$75,0))*C$13)+D117</f>
        <v>25.209794420566983</v>
      </c>
      <c r="E143" s="89">
        <f t="shared" si="70"/>
        <v>45.507693442873673</v>
      </c>
      <c r="F143" s="89">
        <f t="shared" si="70"/>
        <v>66.345742795727219</v>
      </c>
      <c r="G143" s="89">
        <f t="shared" si="70"/>
        <v>87.668751651034682</v>
      </c>
      <c r="H143" s="89">
        <f t="shared" si="70"/>
        <v>109.44905173402346</v>
      </c>
      <c r="I143" s="89">
        <f t="shared" si="70"/>
        <v>131.67085398509926</v>
      </c>
      <c r="J143" s="89">
        <f t="shared" si="70"/>
        <v>154.31437082603489</v>
      </c>
      <c r="K143" s="89">
        <f t="shared" si="70"/>
        <v>177.36923035457284</v>
      </c>
      <c r="L143" s="89">
        <f t="shared" si="70"/>
        <v>200.87980517129168</v>
      </c>
      <c r="M143" s="89">
        <f t="shared" si="70"/>
        <v>224.84015737893034</v>
      </c>
      <c r="N143" s="89">
        <f t="shared" si="70"/>
        <v>249.23528217873405</v>
      </c>
      <c r="O143" s="89">
        <f t="shared" si="70"/>
        <v>254.61076797923207</v>
      </c>
      <c r="P143" s="89">
        <f t="shared" si="70"/>
        <v>259.71791153900881</v>
      </c>
      <c r="Q143" s="89">
        <f t="shared" si="70"/>
        <v>264.64314541314019</v>
      </c>
      <c r="R143" s="89">
        <f t="shared" si="70"/>
        <v>269.45088103184202</v>
      </c>
      <c r="S143" s="89">
        <f t="shared" si="70"/>
        <v>274.17585523154537</v>
      </c>
      <c r="T143" s="89">
        <f t="shared" si="70"/>
        <v>278.82744425530791</v>
      </c>
      <c r="U143" s="89">
        <f t="shared" si="70"/>
        <v>283.41817779998792</v>
      </c>
      <c r="V143" s="89">
        <f t="shared" si="70"/>
        <v>287.9746728516061</v>
      </c>
      <c r="W143" s="89">
        <f t="shared" si="70"/>
        <v>292.45596259717121</v>
      </c>
      <c r="X143" s="89">
        <f t="shared" si="70"/>
        <v>296.8489576906519</v>
      </c>
      <c r="Y143" s="89">
        <f t="shared" si="70"/>
        <v>301.15464360081813</v>
      </c>
      <c r="Z143" s="89">
        <f t="shared" si="70"/>
        <v>305.38860862012433</v>
      </c>
      <c r="AA143" s="89">
        <f t="shared" si="70"/>
        <v>309.56545548806935</v>
      </c>
      <c r="AB143" s="89">
        <f t="shared" si="70"/>
        <v>313.68865162464692</v>
      </c>
      <c r="AC143" s="89">
        <f t="shared" si="70"/>
        <v>317.75080524880701</v>
      </c>
      <c r="AD143" s="89">
        <f t="shared" si="70"/>
        <v>321.74141464126393</v>
      </c>
      <c r="AE143" s="89">
        <f t="shared" si="70"/>
        <v>325.65592065995747</v>
      </c>
      <c r="AF143" s="89">
        <f t="shared" si="70"/>
        <v>329.48733414729799</v>
      </c>
      <c r="AG143" s="89">
        <f t="shared" si="35"/>
        <v>333.21401314960013</v>
      </c>
      <c r="AH143" s="89">
        <f t="shared" si="36"/>
        <v>336.8365464653474</v>
      </c>
      <c r="AI143" s="89">
        <f t="shared" si="37"/>
        <v>340.35837889455127</v>
      </c>
      <c r="AJ143" s="89">
        <f t="shared" si="38"/>
        <v>343.7862195446404</v>
      </c>
      <c r="AK143" s="89">
        <f t="shared" si="39"/>
        <v>347.11000956368883</v>
      </c>
      <c r="AL143" s="89">
        <f t="shared" si="40"/>
        <v>350.31655779587015</v>
      </c>
      <c r="AM143" s="89">
        <f t="shared" si="41"/>
        <v>353.39258115908103</v>
      </c>
      <c r="AN143" s="89">
        <f t="shared" si="42"/>
        <v>356.33104162399712</v>
      </c>
      <c r="AO143" s="89">
        <f t="shared" si="43"/>
        <v>359.12704906382572</v>
      </c>
      <c r="AP143" s="89">
        <f t="shared" si="44"/>
        <v>361.77596904379823</v>
      </c>
      <c r="AQ143" s="89">
        <f t="shared" si="45"/>
        <v>364.28474956573677</v>
      </c>
      <c r="AR143" s="89">
        <f t="shared" si="46"/>
        <v>366.66763944072261</v>
      </c>
      <c r="AS143" s="89">
        <f t="shared" si="47"/>
        <v>368.93857123227133</v>
      </c>
      <c r="AT143" s="89">
        <f t="shared" si="48"/>
        <v>371.05173601934462</v>
      </c>
      <c r="AU143" s="89">
        <f t="shared" si="49"/>
        <v>372.98457331546354</v>
      </c>
      <c r="AV143" s="89">
        <f t="shared" si="50"/>
        <v>374.72815828222713</v>
      </c>
      <c r="AW143" s="89">
        <f t="shared" si="51"/>
        <v>376.28374132413757</v>
      </c>
      <c r="AX143" s="89">
        <f t="shared" si="52"/>
        <v>377.65970275009312</v>
      </c>
      <c r="AY143" s="89">
        <f t="shared" si="53"/>
        <v>378.86480198101793</v>
      </c>
      <c r="AZ143" s="89">
        <f t="shared" si="54"/>
        <v>379.90928148601722</v>
      </c>
      <c r="BA143" s="89">
        <f t="shared" si="55"/>
        <v>380.80575972315467</v>
      </c>
      <c r="BB143" s="89">
        <f t="shared" si="56"/>
        <v>381.56031041059447</v>
      </c>
    </row>
    <row r="144" spans="2:54">
      <c r="B144" s="6" t="s">
        <v>2831</v>
      </c>
      <c r="C144" s="52"/>
      <c r="D144" s="89">
        <f t="shared" ref="D144:AF144" si="71">(INDEX($C$58:$C$75,MATCH($B144,$B$58:$B$75,0))*C$13)+D118</f>
        <v>52794.701796538451</v>
      </c>
      <c r="E144" s="89">
        <f t="shared" si="71"/>
        <v>54949.100652645102</v>
      </c>
      <c r="F144" s="89">
        <f t="shared" si="71"/>
        <v>56855.380509349459</v>
      </c>
      <c r="G144" s="89">
        <f t="shared" si="71"/>
        <v>58596.750453191184</v>
      </c>
      <c r="H144" s="89">
        <f t="shared" si="71"/>
        <v>60249.139326341196</v>
      </c>
      <c r="I144" s="89">
        <f t="shared" si="71"/>
        <v>61854.430091953152</v>
      </c>
      <c r="J144" s="89">
        <f t="shared" si="71"/>
        <v>63413.621969154068</v>
      </c>
      <c r="K144" s="89">
        <f t="shared" si="71"/>
        <v>64946.387635320978</v>
      </c>
      <c r="L144" s="89">
        <f t="shared" si="71"/>
        <v>66571.735312137738</v>
      </c>
      <c r="M144" s="89">
        <f t="shared" si="71"/>
        <v>68212.175248992775</v>
      </c>
      <c r="N144" s="89">
        <f t="shared" si="71"/>
        <v>69830.890214365267</v>
      </c>
      <c r="O144" s="89">
        <f t="shared" si="71"/>
        <v>71062.70755133206</v>
      </c>
      <c r="P144" s="89">
        <f t="shared" si="71"/>
        <v>72236.762067694232</v>
      </c>
      <c r="Q144" s="89">
        <f t="shared" si="71"/>
        <v>73376.081494002196</v>
      </c>
      <c r="R144" s="89">
        <f t="shared" si="71"/>
        <v>74505.940559297786</v>
      </c>
      <c r="S144" s="89">
        <f t="shared" si="71"/>
        <v>75629.800139728555</v>
      </c>
      <c r="T144" s="89">
        <f t="shared" si="71"/>
        <v>76728.334397576778</v>
      </c>
      <c r="U144" s="89">
        <f t="shared" si="71"/>
        <v>77804.896413979252</v>
      </c>
      <c r="V144" s="89">
        <f t="shared" si="71"/>
        <v>78905.240948987339</v>
      </c>
      <c r="W144" s="89">
        <f t="shared" si="71"/>
        <v>79989.818291081916</v>
      </c>
      <c r="X144" s="89">
        <f t="shared" si="71"/>
        <v>81047.723024140476</v>
      </c>
      <c r="Y144" s="89">
        <f t="shared" si="71"/>
        <v>82077.574526656157</v>
      </c>
      <c r="Z144" s="89">
        <f t="shared" si="71"/>
        <v>83098.092242867453</v>
      </c>
      <c r="AA144" s="89">
        <f t="shared" si="71"/>
        <v>84105.248310574578</v>
      </c>
      <c r="AB144" s="89">
        <f t="shared" si="71"/>
        <v>85091.55758810202</v>
      </c>
      <c r="AC144" s="89">
        <f t="shared" si="71"/>
        <v>86051.204851786475</v>
      </c>
      <c r="AD144" s="89">
        <f t="shared" si="71"/>
        <v>86978.429033422071</v>
      </c>
      <c r="AE144" s="89">
        <f t="shared" si="71"/>
        <v>87869.180084268854</v>
      </c>
      <c r="AF144" s="89">
        <f t="shared" si="71"/>
        <v>88719.789487020156</v>
      </c>
      <c r="AG144" s="89">
        <f t="shared" si="35"/>
        <v>89533.54056044959</v>
      </c>
      <c r="AH144" s="89">
        <f t="shared" si="36"/>
        <v>90327.517398652693</v>
      </c>
      <c r="AI144" s="89">
        <f t="shared" si="37"/>
        <v>91103.395675195163</v>
      </c>
      <c r="AJ144" s="89">
        <f t="shared" si="38"/>
        <v>91867.365012583497</v>
      </c>
      <c r="AK144" s="89">
        <f t="shared" si="39"/>
        <v>92600.036344675114</v>
      </c>
      <c r="AL144" s="89">
        <f t="shared" si="40"/>
        <v>93286.961809231434</v>
      </c>
      <c r="AM144" s="89">
        <f t="shared" si="41"/>
        <v>93918.637959237822</v>
      </c>
      <c r="AN144" s="89">
        <f t="shared" si="42"/>
        <v>94501.401608737695</v>
      </c>
      <c r="AO144" s="89">
        <f t="shared" si="43"/>
        <v>95036.80859626786</v>
      </c>
      <c r="AP144" s="89">
        <f t="shared" si="44"/>
        <v>95522.623620693048</v>
      </c>
      <c r="AQ144" s="89">
        <f t="shared" si="45"/>
        <v>95979.795179215085</v>
      </c>
      <c r="AR144" s="89">
        <f t="shared" si="46"/>
        <v>96431.338507859356</v>
      </c>
      <c r="AS144" s="89">
        <f t="shared" si="47"/>
        <v>96895.22333642334</v>
      </c>
      <c r="AT144" s="89">
        <f t="shared" si="48"/>
        <v>97251.891121010791</v>
      </c>
      <c r="AU144" s="89">
        <f t="shared" si="49"/>
        <v>97526.690856315909</v>
      </c>
      <c r="AV144" s="89">
        <f t="shared" si="50"/>
        <v>97738.861911856773</v>
      </c>
      <c r="AW144" s="89">
        <f t="shared" si="51"/>
        <v>97903.03985742548</v>
      </c>
      <c r="AX144" s="89">
        <f t="shared" si="52"/>
        <v>98030.38282791854</v>
      </c>
      <c r="AY144" s="89">
        <f t="shared" si="53"/>
        <v>98129.339733605273</v>
      </c>
      <c r="AZ144" s="89">
        <f t="shared" si="54"/>
        <v>98206.340315981317</v>
      </c>
      <c r="BA144" s="89">
        <f t="shared" si="55"/>
        <v>98266.316037555996</v>
      </c>
      <c r="BB144" s="89">
        <f t="shared" si="56"/>
        <v>98312.919762027814</v>
      </c>
    </row>
    <row r="145" spans="2:54">
      <c r="B145" s="6" t="s">
        <v>2832</v>
      </c>
      <c r="C145" s="52"/>
      <c r="D145" s="89">
        <f t="shared" ref="D145:AF145" si="72">(INDEX($C$58:$C$75,MATCH($B145,$B$58:$B$75,0))*C$13)+D119</f>
        <v>21848.805729504762</v>
      </c>
      <c r="E145" s="89">
        <f t="shared" si="72"/>
        <v>22828.842462220025</v>
      </c>
      <c r="F145" s="89">
        <f t="shared" si="72"/>
        <v>23709.219740606652</v>
      </c>
      <c r="G145" s="89">
        <f t="shared" si="72"/>
        <v>24523.937477902269</v>
      </c>
      <c r="H145" s="89">
        <f t="shared" si="72"/>
        <v>25304.124989805136</v>
      </c>
      <c r="I145" s="89">
        <f t="shared" si="72"/>
        <v>26066.951039372198</v>
      </c>
      <c r="J145" s="89">
        <f t="shared" si="72"/>
        <v>26812.73612802308</v>
      </c>
      <c r="K145" s="89">
        <f t="shared" si="72"/>
        <v>27549.530958734736</v>
      </c>
      <c r="L145" s="89">
        <f t="shared" si="72"/>
        <v>28326.52927973288</v>
      </c>
      <c r="M145" s="89">
        <f t="shared" si="72"/>
        <v>29111.804962277558</v>
      </c>
      <c r="N145" s="89">
        <f t="shared" si="72"/>
        <v>29890.133214390178</v>
      </c>
      <c r="O145" s="89">
        <f t="shared" si="72"/>
        <v>30421.889084435992</v>
      </c>
      <c r="P145" s="89">
        <f t="shared" si="72"/>
        <v>30928.634970123672</v>
      </c>
      <c r="Q145" s="89">
        <f t="shared" si="72"/>
        <v>31420.24704807426</v>
      </c>
      <c r="R145" s="89">
        <f t="shared" si="72"/>
        <v>31907.425395652677</v>
      </c>
      <c r="S145" s="89">
        <f t="shared" si="72"/>
        <v>32391.754142946673</v>
      </c>
      <c r="T145" s="89">
        <f t="shared" si="72"/>
        <v>32865.320794169616</v>
      </c>
      <c r="U145" s="89">
        <f t="shared" si="72"/>
        <v>33329.563168975823</v>
      </c>
      <c r="V145" s="89">
        <f t="shared" si="72"/>
        <v>33803.438520769989</v>
      </c>
      <c r="W145" s="89">
        <f t="shared" si="72"/>
        <v>34270.478052420483</v>
      </c>
      <c r="X145" s="89">
        <f t="shared" si="72"/>
        <v>34726.132435549021</v>
      </c>
      <c r="Y145" s="89">
        <f t="shared" si="72"/>
        <v>35169.837857003266</v>
      </c>
      <c r="Z145" s="89">
        <f t="shared" si="72"/>
        <v>35609.371782452188</v>
      </c>
      <c r="AA145" s="89">
        <f t="shared" si="72"/>
        <v>36043.143161390195</v>
      </c>
      <c r="AB145" s="89">
        <f t="shared" si="72"/>
        <v>36468.086630660277</v>
      </c>
      <c r="AC145" s="89">
        <f t="shared" si="72"/>
        <v>36881.774407075594</v>
      </c>
      <c r="AD145" s="89">
        <f t="shared" si="72"/>
        <v>37281.786725301543</v>
      </c>
      <c r="AE145" s="89">
        <f t="shared" si="72"/>
        <v>37666.435443859853</v>
      </c>
      <c r="AF145" s="89">
        <f t="shared" si="72"/>
        <v>38034.178325374531</v>
      </c>
      <c r="AG145" s="89">
        <f t="shared" si="35"/>
        <v>38386.267615218952</v>
      </c>
      <c r="AH145" s="89">
        <f t="shared" si="36"/>
        <v>38729.73873118448</v>
      </c>
      <c r="AI145" s="89">
        <f t="shared" si="37"/>
        <v>39065.29728146772</v>
      </c>
      <c r="AJ145" s="89">
        <f t="shared" si="38"/>
        <v>39395.522037942806</v>
      </c>
      <c r="AK145" s="89">
        <f t="shared" si="39"/>
        <v>39712.385264726123</v>
      </c>
      <c r="AL145" s="89">
        <f t="shared" si="40"/>
        <v>40009.878908267434</v>
      </c>
      <c r="AM145" s="89">
        <f t="shared" si="41"/>
        <v>40284.029875391177</v>
      </c>
      <c r="AN145" s="89">
        <f t="shared" si="42"/>
        <v>40537.414426988267</v>
      </c>
      <c r="AO145" s="89">
        <f t="shared" si="43"/>
        <v>40770.650581435519</v>
      </c>
      <c r="AP145" s="89">
        <f t="shared" si="44"/>
        <v>40982.796897563341</v>
      </c>
      <c r="AQ145" s="89">
        <f t="shared" si="45"/>
        <v>41182.508775828421</v>
      </c>
      <c r="AR145" s="89">
        <f t="shared" si="46"/>
        <v>41379.325908035222</v>
      </c>
      <c r="AS145" s="89">
        <f t="shared" si="47"/>
        <v>41580.709537599498</v>
      </c>
      <c r="AT145" s="89">
        <f t="shared" si="48"/>
        <v>41737.23278154985</v>
      </c>
      <c r="AU145" s="89">
        <f t="shared" si="49"/>
        <v>41859.22706609853</v>
      </c>
      <c r="AV145" s="89">
        <f t="shared" si="50"/>
        <v>41954.571364216361</v>
      </c>
      <c r="AW145" s="89">
        <f t="shared" si="51"/>
        <v>42029.296188761975</v>
      </c>
      <c r="AX145" s="89">
        <f t="shared" si="52"/>
        <v>42088.033284846591</v>
      </c>
      <c r="AY145" s="89">
        <f t="shared" si="53"/>
        <v>42134.300877914218</v>
      </c>
      <c r="AZ145" s="89">
        <f t="shared" si="54"/>
        <v>42170.792804504075</v>
      </c>
      <c r="BA145" s="89">
        <f t="shared" si="55"/>
        <v>42199.597036807827</v>
      </c>
      <c r="BB145" s="89">
        <f t="shared" si="56"/>
        <v>42222.245166254434</v>
      </c>
    </row>
    <row r="146" spans="2:54">
      <c r="B146" s="6" t="s">
        <v>2871</v>
      </c>
      <c r="C146" s="52"/>
      <c r="D146" s="89">
        <f t="shared" ref="D146:AF146" si="73">(INDEX($C$58:$C$75,MATCH($B146,$B$58:$B$75,0))*C$13)+D120</f>
        <v>1150.84551647287</v>
      </c>
      <c r="E146" s="89">
        <f t="shared" si="73"/>
        <v>1190.1819404124572</v>
      </c>
      <c r="F146" s="89">
        <f t="shared" si="73"/>
        <v>1223.8490727270535</v>
      </c>
      <c r="G146" s="89">
        <f t="shared" si="73"/>
        <v>1253.6983154192219</v>
      </c>
      <c r="H146" s="89">
        <f t="shared" si="73"/>
        <v>1281.41010346652</v>
      </c>
      <c r="I146" s="89">
        <f t="shared" si="73"/>
        <v>1307.9115869667576</v>
      </c>
      <c r="J146" s="89">
        <f t="shared" si="73"/>
        <v>1333.2325676641685</v>
      </c>
      <c r="K146" s="89">
        <f t="shared" si="73"/>
        <v>1357.8097032710334</v>
      </c>
      <c r="L146" s="89">
        <f t="shared" si="73"/>
        <v>1384.242124179199</v>
      </c>
      <c r="M146" s="89">
        <f t="shared" si="73"/>
        <v>1410.828375430151</v>
      </c>
      <c r="N146" s="89">
        <f t="shared" si="73"/>
        <v>1436.7648770770584</v>
      </c>
      <c r="O146" s="89">
        <f t="shared" si="73"/>
        <v>1461.7219652404085</v>
      </c>
      <c r="P146" s="89">
        <f t="shared" si="73"/>
        <v>1485.5151971255175</v>
      </c>
      <c r="Q146" s="89">
        <f t="shared" si="73"/>
        <v>1508.6166868742566</v>
      </c>
      <c r="R146" s="89">
        <f t="shared" si="73"/>
        <v>1531.5566698890805</v>
      </c>
      <c r="S146" s="89">
        <f t="shared" si="73"/>
        <v>1554.3974941812655</v>
      </c>
      <c r="T146" s="89">
        <f t="shared" si="73"/>
        <v>1576.7105222284988</v>
      </c>
      <c r="U146" s="89">
        <f t="shared" si="73"/>
        <v>1598.5645209266711</v>
      </c>
      <c r="V146" s="89">
        <f t="shared" si="73"/>
        <v>1620.9549882205597</v>
      </c>
      <c r="W146" s="89">
        <f t="shared" si="73"/>
        <v>1643.0285389007811</v>
      </c>
      <c r="X146" s="89">
        <f t="shared" si="73"/>
        <v>1664.5505706850904</v>
      </c>
      <c r="Y146" s="89">
        <f t="shared" si="73"/>
        <v>1685.4903371497765</v>
      </c>
      <c r="Z146" s="89">
        <f t="shared" si="73"/>
        <v>1706.253262413243</v>
      </c>
      <c r="AA146" s="89">
        <f t="shared" si="73"/>
        <v>1726.7450045039302</v>
      </c>
      <c r="AB146" s="89">
        <f t="shared" si="73"/>
        <v>1746.7996116351535</v>
      </c>
      <c r="AC146" s="89">
        <f t="shared" si="73"/>
        <v>1766.2921471220395</v>
      </c>
      <c r="AD146" s="89">
        <f t="shared" si="73"/>
        <v>1785.100095857415</v>
      </c>
      <c r="AE146" s="89">
        <f t="shared" si="73"/>
        <v>1803.1362118332481</v>
      </c>
      <c r="AF146" s="89">
        <f t="shared" si="73"/>
        <v>1820.3225996985573</v>
      </c>
      <c r="AG146" s="89">
        <f t="shared" si="35"/>
        <v>1836.7400167281935</v>
      </c>
      <c r="AH146" s="89">
        <f t="shared" si="36"/>
        <v>1852.7638662192253</v>
      </c>
      <c r="AI146" s="89">
        <f t="shared" si="37"/>
        <v>1868.4296286604831</v>
      </c>
      <c r="AJ146" s="89">
        <f t="shared" si="38"/>
        <v>1883.8707430122504</v>
      </c>
      <c r="AK146" s="89">
        <f t="shared" si="39"/>
        <v>1898.6648734387468</v>
      </c>
      <c r="AL146" s="89">
        <f t="shared" si="40"/>
        <v>1912.4995684569531</v>
      </c>
      <c r="AM146" s="89">
        <f t="shared" si="41"/>
        <v>1925.1711282406256</v>
      </c>
      <c r="AN146" s="89">
        <f t="shared" si="42"/>
        <v>1936.82166889262</v>
      </c>
      <c r="AO146" s="89">
        <f t="shared" si="43"/>
        <v>1947.4873347843886</v>
      </c>
      <c r="AP146" s="89">
        <f t="shared" si="44"/>
        <v>1957.1208114496042</v>
      </c>
      <c r="AQ146" s="89">
        <f t="shared" si="45"/>
        <v>1966.1799538931728</v>
      </c>
      <c r="AR146" s="89">
        <f t="shared" si="46"/>
        <v>1975.1651700405439</v>
      </c>
      <c r="AS146" s="89">
        <f t="shared" si="47"/>
        <v>1984.4660549679897</v>
      </c>
      <c r="AT146" s="89">
        <f t="shared" si="48"/>
        <v>1991.4719465395883</v>
      </c>
      <c r="AU146" s="89">
        <f t="shared" si="49"/>
        <v>1996.7491343658951</v>
      </c>
      <c r="AV146" s="89">
        <f t="shared" si="50"/>
        <v>2000.7241760960603</v>
      </c>
      <c r="AW146" s="89">
        <f t="shared" si="51"/>
        <v>2003.7183762793074</v>
      </c>
      <c r="AX146" s="89">
        <f t="shared" si="52"/>
        <v>2005.9737575673385</v>
      </c>
      <c r="AY146" s="89">
        <f t="shared" si="53"/>
        <v>2007.6726235225478</v>
      </c>
      <c r="AZ146" s="89">
        <f t="shared" si="54"/>
        <v>2008.9522943033094</v>
      </c>
      <c r="BA146" s="89">
        <f t="shared" si="55"/>
        <v>2009.9162063189176</v>
      </c>
      <c r="BB146" s="89">
        <f t="shared" si="56"/>
        <v>2010.642273044675</v>
      </c>
    </row>
    <row r="147" spans="2:54">
      <c r="B147" s="52"/>
      <c r="C147" s="52"/>
      <c r="D147" s="116" t="b">
        <f t="shared" ref="D147:AF147" si="74">(SUM(D129:D146) - SUM(D103:D120))/C13=SUM($C$58:$C$75)</f>
        <v>1</v>
      </c>
      <c r="E147" s="116" t="b">
        <f t="shared" si="74"/>
        <v>1</v>
      </c>
      <c r="F147" s="116" t="b">
        <f t="shared" si="74"/>
        <v>1</v>
      </c>
      <c r="G147" s="116" t="b">
        <f t="shared" si="74"/>
        <v>1</v>
      </c>
      <c r="H147" s="116" t="b">
        <f t="shared" si="74"/>
        <v>1</v>
      </c>
      <c r="I147" s="116" t="b">
        <f t="shared" si="74"/>
        <v>1</v>
      </c>
      <c r="J147" s="116" t="b">
        <f t="shared" si="74"/>
        <v>1</v>
      </c>
      <c r="K147" s="116" t="b">
        <f t="shared" si="74"/>
        <v>1</v>
      </c>
      <c r="L147" s="116" t="b">
        <f t="shared" si="74"/>
        <v>1</v>
      </c>
      <c r="M147" s="116" t="b">
        <f t="shared" si="74"/>
        <v>1</v>
      </c>
      <c r="N147" s="116" t="b">
        <f t="shared" si="74"/>
        <v>1</v>
      </c>
      <c r="O147" s="116" t="b">
        <f t="shared" si="74"/>
        <v>1</v>
      </c>
      <c r="P147" s="116" t="b">
        <f t="shared" si="74"/>
        <v>1</v>
      </c>
      <c r="Q147" s="116" t="b">
        <f t="shared" si="74"/>
        <v>1</v>
      </c>
      <c r="R147" s="116" t="b">
        <f t="shared" si="74"/>
        <v>1</v>
      </c>
      <c r="S147" s="116" t="b">
        <f t="shared" si="74"/>
        <v>1</v>
      </c>
      <c r="T147" s="116" t="b">
        <f t="shared" si="74"/>
        <v>1</v>
      </c>
      <c r="U147" s="116" t="b">
        <f t="shared" si="74"/>
        <v>1</v>
      </c>
      <c r="V147" s="116" t="b">
        <f t="shared" si="74"/>
        <v>1</v>
      </c>
      <c r="W147" s="116" t="b">
        <f t="shared" si="74"/>
        <v>1</v>
      </c>
      <c r="X147" s="116" t="b">
        <f t="shared" si="74"/>
        <v>1</v>
      </c>
      <c r="Y147" s="116" t="b">
        <f t="shared" si="74"/>
        <v>1</v>
      </c>
      <c r="Z147" s="116" t="b">
        <f t="shared" si="74"/>
        <v>1</v>
      </c>
      <c r="AA147" s="116" t="b">
        <f t="shared" si="74"/>
        <v>1</v>
      </c>
      <c r="AB147" s="116" t="b">
        <f t="shared" si="74"/>
        <v>1</v>
      </c>
      <c r="AC147" s="116" t="b">
        <f t="shared" si="74"/>
        <v>1</v>
      </c>
      <c r="AD147" s="116" t="b">
        <f t="shared" si="74"/>
        <v>0</v>
      </c>
      <c r="AE147" s="116" t="b">
        <f t="shared" si="74"/>
        <v>1</v>
      </c>
      <c r="AF147" s="116" t="b">
        <f t="shared" si="74"/>
        <v>1</v>
      </c>
      <c r="AG147" s="116" t="b">
        <f t="shared" ref="AG147" si="75">(SUM(AG129:AG146) - SUM(AG103:AG120))/AF13=SUM($C$58:$C$75)</f>
        <v>1</v>
      </c>
      <c r="AH147" s="116" t="b">
        <f t="shared" ref="AH147" si="76">(SUM(AH129:AH146) - SUM(AH103:AH120))/AG13=SUM($C$58:$C$75)</f>
        <v>1</v>
      </c>
      <c r="AI147" s="116" t="b">
        <f t="shared" ref="AI147" si="77">(SUM(AI129:AI146) - SUM(AI103:AI120))/AH13=SUM($C$58:$C$75)</f>
        <v>1</v>
      </c>
      <c r="AJ147" s="116" t="b">
        <f t="shared" ref="AJ147" si="78">(SUM(AJ129:AJ146) - SUM(AJ103:AJ120))/AI13=SUM($C$58:$C$75)</f>
        <v>1</v>
      </c>
      <c r="AK147" s="116" t="b">
        <f t="shared" ref="AK147" si="79">(SUM(AK129:AK146) - SUM(AK103:AK120))/AJ13=SUM($C$58:$C$75)</f>
        <v>1</v>
      </c>
      <c r="AL147" s="116" t="b">
        <f t="shared" ref="AL147" si="80">(SUM(AL129:AL146) - SUM(AL103:AL120))/AK13=SUM($C$58:$C$75)</f>
        <v>1</v>
      </c>
      <c r="AM147" s="116" t="b">
        <f t="shared" ref="AM147" si="81">(SUM(AM129:AM146) - SUM(AM103:AM120))/AL13=SUM($C$58:$C$75)</f>
        <v>1</v>
      </c>
      <c r="AN147" s="116" t="b">
        <f t="shared" ref="AN147" si="82">(SUM(AN129:AN146) - SUM(AN103:AN120))/AM13=SUM($C$58:$C$75)</f>
        <v>1</v>
      </c>
      <c r="AO147" s="116" t="b">
        <f t="shared" ref="AO147" si="83">(SUM(AO129:AO146) - SUM(AO103:AO120))/AN13=SUM($C$58:$C$75)</f>
        <v>1</v>
      </c>
      <c r="AP147" s="116" t="b">
        <f t="shared" ref="AP147" si="84">(SUM(AP129:AP146) - SUM(AP103:AP120))/AO13=SUM($C$58:$C$75)</f>
        <v>1</v>
      </c>
      <c r="AQ147" s="116" t="b">
        <f t="shared" ref="AQ147" si="85">(SUM(AQ129:AQ146) - SUM(AQ103:AQ120))/AP13=SUM($C$58:$C$75)</f>
        <v>0</v>
      </c>
      <c r="AR147" s="116" t="b">
        <f t="shared" ref="AR147" si="86">(SUM(AR129:AR146) - SUM(AR103:AR120))/AQ13=SUM($C$58:$C$75)</f>
        <v>1</v>
      </c>
      <c r="AS147" s="116" t="b">
        <f t="shared" ref="AS147" si="87">(SUM(AS129:AS146) - SUM(AS103:AS120))/AR13=SUM($C$58:$C$75)</f>
        <v>1</v>
      </c>
      <c r="AT147" s="116" t="b">
        <f t="shared" ref="AT147" si="88">(SUM(AT129:AT146) - SUM(AT103:AT120))/AS13=SUM($C$58:$C$75)</f>
        <v>1</v>
      </c>
      <c r="AU147" s="116" t="b">
        <f t="shared" ref="AU147" si="89">(SUM(AU129:AU146) - SUM(AU103:AU120))/AT13=SUM($C$58:$C$75)</f>
        <v>1</v>
      </c>
      <c r="AV147" s="116" t="b">
        <f t="shared" ref="AV147" si="90">(SUM(AV129:AV146) - SUM(AV103:AV120))/AU13=SUM($C$58:$C$75)</f>
        <v>1</v>
      </c>
      <c r="AW147" s="116" t="b">
        <f t="shared" ref="AW147" si="91">(SUM(AW129:AW146) - SUM(AW103:AW120))/AV13=SUM($C$58:$C$75)</f>
        <v>1</v>
      </c>
      <c r="AX147" s="116" t="b">
        <f t="shared" ref="AX147" si="92">(SUM(AX129:AX146) - SUM(AX103:AX120))/AW13=SUM($C$58:$C$75)</f>
        <v>1</v>
      </c>
      <c r="AY147" s="116" t="b">
        <f t="shared" ref="AY147" si="93">(SUM(AY129:AY146) - SUM(AY103:AY120))/AX13=SUM($C$58:$C$75)</f>
        <v>1</v>
      </c>
      <c r="AZ147" s="116" t="b">
        <f t="shared" ref="AZ147" si="94">(SUM(AZ129:AZ146) - SUM(AZ103:AZ120))/AY13=SUM($C$58:$C$75)</f>
        <v>1</v>
      </c>
      <c r="BA147" s="116" t="b">
        <f t="shared" ref="BA147" si="95">(SUM(BA129:BA146) - SUM(BA103:BA120))/AZ13=SUM($C$58:$C$75)</f>
        <v>1</v>
      </c>
      <c r="BB147" s="116" t="b">
        <f t="shared" ref="BB147" si="96">(SUM(BB129:BB146) - SUM(BB103:BB120))/BA13=SUM($C$58:$C$75)</f>
        <v>1</v>
      </c>
    </row>
    <row r="148" spans="2:54">
      <c r="B148" s="113" t="s">
        <v>98</v>
      </c>
      <c r="C148" s="113"/>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row>
    <row r="149" spans="2:54" ht="15" customHeight="1">
      <c r="B149" s="52"/>
      <c r="C149" s="52"/>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row>
    <row r="150" spans="2:54">
      <c r="B150" s="7" t="s">
        <v>9</v>
      </c>
      <c r="C150" s="52"/>
      <c r="D150" s="34">
        <f>'Prevalence projection'!C$21</f>
        <v>2020</v>
      </c>
      <c r="E150" s="34">
        <f>'Prevalence projection'!D$21</f>
        <v>2021</v>
      </c>
      <c r="F150" s="34">
        <f>'Prevalence projection'!E$21</f>
        <v>2022</v>
      </c>
      <c r="G150" s="34">
        <f>'Prevalence projection'!F$21</f>
        <v>2023</v>
      </c>
      <c r="H150" s="34">
        <f>'Prevalence projection'!G$21</f>
        <v>2024</v>
      </c>
      <c r="I150" s="34">
        <f>'Prevalence projection'!H$21</f>
        <v>2025</v>
      </c>
      <c r="J150" s="34">
        <f>'Prevalence projection'!I$21</f>
        <v>2026</v>
      </c>
      <c r="K150" s="34">
        <f>'Prevalence projection'!J$21</f>
        <v>2027</v>
      </c>
      <c r="L150" s="34">
        <f>'Prevalence projection'!K$21</f>
        <v>2028</v>
      </c>
      <c r="M150" s="34">
        <f>'Prevalence projection'!L$21</f>
        <v>2029</v>
      </c>
      <c r="N150" s="34">
        <f>'Prevalence projection'!M$21</f>
        <v>2030</v>
      </c>
      <c r="O150" s="34">
        <f>'Prevalence projection'!N$21</f>
        <v>2031</v>
      </c>
      <c r="P150" s="34">
        <f>'Prevalence projection'!O$21</f>
        <v>2032</v>
      </c>
      <c r="Q150" s="34">
        <f>'Prevalence projection'!P$21</f>
        <v>2033</v>
      </c>
      <c r="R150" s="34">
        <f>'Prevalence projection'!Q$21</f>
        <v>2034</v>
      </c>
      <c r="S150" s="34">
        <f>'Prevalence projection'!R$21</f>
        <v>2035</v>
      </c>
      <c r="T150" s="34">
        <f>'Prevalence projection'!S$21</f>
        <v>2036</v>
      </c>
      <c r="U150" s="34">
        <f>'Prevalence projection'!T$21</f>
        <v>2037</v>
      </c>
      <c r="V150" s="34">
        <f>'Prevalence projection'!U$21</f>
        <v>2038</v>
      </c>
      <c r="W150" s="34">
        <f>'Prevalence projection'!V$21</f>
        <v>2039</v>
      </c>
      <c r="X150" s="34">
        <f>'Prevalence projection'!W$21</f>
        <v>2040</v>
      </c>
      <c r="Y150" s="34">
        <f>'Prevalence projection'!X$21</f>
        <v>2041</v>
      </c>
      <c r="Z150" s="34">
        <f>'Prevalence projection'!Y$21</f>
        <v>2042</v>
      </c>
      <c r="AA150" s="34">
        <f>'Prevalence projection'!Z$21</f>
        <v>2043</v>
      </c>
      <c r="AB150" s="34">
        <f>'Prevalence projection'!AA$21</f>
        <v>2044</v>
      </c>
      <c r="AC150" s="34">
        <f>'Prevalence projection'!AB$21</f>
        <v>2045</v>
      </c>
      <c r="AD150" s="34">
        <f>'Prevalence projection'!AC$21</f>
        <v>2046</v>
      </c>
      <c r="AE150" s="34">
        <f>'Prevalence projection'!AD$21</f>
        <v>2047</v>
      </c>
      <c r="AF150" s="34">
        <f>'Prevalence projection'!AE$21</f>
        <v>2048</v>
      </c>
      <c r="AG150" s="34">
        <f>'Prevalence projection'!AF$21</f>
        <v>2049</v>
      </c>
      <c r="AH150" s="34">
        <f>'Prevalence projection'!AG$21</f>
        <v>2050</v>
      </c>
      <c r="AI150" s="34">
        <f>'Prevalence projection'!AH$21</f>
        <v>2051</v>
      </c>
      <c r="AJ150" s="34">
        <f>'Prevalence projection'!AI$21</f>
        <v>2052</v>
      </c>
      <c r="AK150" s="34">
        <f>'Prevalence projection'!AJ$21</f>
        <v>2053</v>
      </c>
      <c r="AL150" s="34">
        <f>'Prevalence projection'!AK$21</f>
        <v>2054</v>
      </c>
      <c r="AM150" s="34">
        <f>'Prevalence projection'!AL$21</f>
        <v>2055</v>
      </c>
      <c r="AN150" s="34">
        <f>'Prevalence projection'!AM$21</f>
        <v>2056</v>
      </c>
      <c r="AO150" s="34">
        <f>'Prevalence projection'!AN$21</f>
        <v>2057</v>
      </c>
      <c r="AP150" s="34">
        <f>'Prevalence projection'!AO$21</f>
        <v>2058</v>
      </c>
      <c r="AQ150" s="34">
        <f>'Prevalence projection'!AP$21</f>
        <v>2059</v>
      </c>
      <c r="AR150" s="34">
        <f>'Prevalence projection'!AQ$21</f>
        <v>2060</v>
      </c>
      <c r="AS150" s="34">
        <f>'Prevalence projection'!AR$21</f>
        <v>2061</v>
      </c>
      <c r="AT150" s="34">
        <f>'Prevalence projection'!AS$21</f>
        <v>2062</v>
      </c>
      <c r="AU150" s="34">
        <f>'Prevalence projection'!AT$21</f>
        <v>2063</v>
      </c>
      <c r="AV150" s="34">
        <f>'Prevalence projection'!AU$21</f>
        <v>2064</v>
      </c>
      <c r="AW150" s="34">
        <f>'Prevalence projection'!AV$21</f>
        <v>2065</v>
      </c>
      <c r="AX150" s="34">
        <f>'Prevalence projection'!AW$21</f>
        <v>2066</v>
      </c>
      <c r="AY150" s="34">
        <f>'Prevalence projection'!AX$21</f>
        <v>2067</v>
      </c>
      <c r="AZ150" s="34">
        <f>'Prevalence projection'!AY$21</f>
        <v>2068</v>
      </c>
      <c r="BA150" s="34">
        <f>'Prevalence projection'!AZ$21</f>
        <v>2069</v>
      </c>
      <c r="BB150" s="34">
        <f>'Prevalence projection'!BA$21</f>
        <v>2070</v>
      </c>
    </row>
    <row r="151" spans="2:54">
      <c r="B151" s="6" t="s">
        <v>11</v>
      </c>
      <c r="C151" s="52"/>
      <c r="D151" s="89">
        <f t="shared" ref="D151:AF151" si="97">INDEX($D$58:$D$75,MATCH($B151,$B$58:$B$75,0))*C$14</f>
        <v>680.39581095723474</v>
      </c>
      <c r="E151" s="89">
        <f t="shared" si="97"/>
        <v>703.65204968209912</v>
      </c>
      <c r="F151" s="89">
        <f t="shared" si="97"/>
        <v>723.55652466671745</v>
      </c>
      <c r="G151" s="89">
        <f t="shared" si="97"/>
        <v>741.20381042079623</v>
      </c>
      <c r="H151" s="89">
        <f t="shared" si="97"/>
        <v>757.58740338060852</v>
      </c>
      <c r="I151" s="89">
        <f t="shared" si="97"/>
        <v>773.25544752694839</v>
      </c>
      <c r="J151" s="89">
        <f t="shared" si="97"/>
        <v>788.22556206382274</v>
      </c>
      <c r="K151" s="89">
        <f t="shared" si="97"/>
        <v>802.75590507935567</v>
      </c>
      <c r="L151" s="89">
        <f t="shared" si="97"/>
        <v>818.38311846460067</v>
      </c>
      <c r="M151" s="89">
        <f t="shared" si="97"/>
        <v>834.1012784793736</v>
      </c>
      <c r="N151" s="89">
        <f t="shared" si="97"/>
        <v>849.43529752784332</v>
      </c>
      <c r="O151" s="89">
        <f t="shared" si="97"/>
        <v>864.19027375790802</v>
      </c>
      <c r="P151" s="89">
        <f t="shared" si="97"/>
        <v>878.25716203443199</v>
      </c>
      <c r="Q151" s="89">
        <f t="shared" si="97"/>
        <v>891.91508277785806</v>
      </c>
      <c r="R151" s="89">
        <f t="shared" si="97"/>
        <v>905.47751850298698</v>
      </c>
      <c r="S151" s="89">
        <f t="shared" si="97"/>
        <v>918.98133021773617</v>
      </c>
      <c r="T151" s="89">
        <f t="shared" si="97"/>
        <v>932.17310148138779</v>
      </c>
      <c r="U151" s="89">
        <f t="shared" si="97"/>
        <v>945.09348823535709</v>
      </c>
      <c r="V151" s="89">
        <f t="shared" si="97"/>
        <v>958.33104265432689</v>
      </c>
      <c r="W151" s="89">
        <f t="shared" si="97"/>
        <v>971.38123158133806</v>
      </c>
      <c r="X151" s="89">
        <f t="shared" si="97"/>
        <v>984.1053548973955</v>
      </c>
      <c r="Y151" s="89">
        <f t="shared" si="97"/>
        <v>996.4852348908986</v>
      </c>
      <c r="Z151" s="89">
        <f t="shared" si="97"/>
        <v>1008.7605639166198</v>
      </c>
      <c r="AA151" s="89">
        <f t="shared" si="97"/>
        <v>1020.8755656941399</v>
      </c>
      <c r="AB151" s="89">
        <f t="shared" si="97"/>
        <v>1032.7321272283907</v>
      </c>
      <c r="AC151" s="89">
        <f t="shared" si="97"/>
        <v>1044.2563842206412</v>
      </c>
      <c r="AD151" s="89">
        <f t="shared" si="97"/>
        <v>1055.3759040424397</v>
      </c>
      <c r="AE151" s="89">
        <f t="shared" si="97"/>
        <v>1066.0391056452977</v>
      </c>
      <c r="AF151" s="89">
        <f t="shared" si="97"/>
        <v>1076.1999362187021</v>
      </c>
      <c r="AG151" s="89">
        <f t="shared" ref="AG151:AG168" si="98">INDEX($D$58:$D$75,MATCH($B151,$B$58:$B$75,0))*AF$14</f>
        <v>1085.906140582201</v>
      </c>
      <c r="AH151" s="89">
        <f t="shared" ref="AH151:AH168" si="99">INDEX($D$58:$D$75,MATCH($B151,$B$58:$B$75,0))*AG$14</f>
        <v>1095.3796623651435</v>
      </c>
      <c r="AI151" s="89">
        <f t="shared" ref="AI151:AI168" si="100">INDEX($D$58:$D$75,MATCH($B151,$B$58:$B$75,0))*AH$14</f>
        <v>1104.6414781240044</v>
      </c>
      <c r="AJ151" s="89">
        <f t="shared" ref="AJ151:AJ168" si="101">INDEX($D$58:$D$75,MATCH($B151,$B$58:$B$75,0))*AI$14</f>
        <v>1113.7704788205126</v>
      </c>
      <c r="AK151" s="89">
        <f t="shared" ref="AK151:AK168" si="102">INDEX($D$58:$D$75,MATCH($B151,$B$58:$B$75,0))*AJ$14</f>
        <v>1122.5169736583196</v>
      </c>
      <c r="AL151" s="89">
        <f t="shared" ref="AL151:AL168" si="103">INDEX($D$58:$D$75,MATCH($B151,$B$58:$B$75,0))*AK$14</f>
        <v>1130.6962369925573</v>
      </c>
      <c r="AM151" s="89">
        <f t="shared" ref="AM151:AM168" si="104">INDEX($D$58:$D$75,MATCH($B151,$B$58:$B$75,0))*AL$14</f>
        <v>1138.1878386642818</v>
      </c>
      <c r="AN151" s="89">
        <f t="shared" ref="AN151:AN168" si="105">INDEX($D$58:$D$75,MATCH($B151,$B$58:$B$75,0))*AM$14</f>
        <v>1145.0757996821071</v>
      </c>
      <c r="AO151" s="89">
        <f t="shared" ref="AO151:AO168" si="106">INDEX($D$58:$D$75,MATCH($B151,$B$58:$B$75,0))*AN$14</f>
        <v>1151.3814890991105</v>
      </c>
      <c r="AP151" s="89">
        <f t="shared" ref="AP151:AP168" si="107">INDEX($D$58:$D$75,MATCH($B151,$B$58:$B$75,0))*AO$14</f>
        <v>1157.0769339473952</v>
      </c>
      <c r="AQ151" s="89">
        <f t="shared" ref="AQ151:AQ168" si="108">INDEX($D$58:$D$75,MATCH($B151,$B$58:$B$75,0))*AP$14</f>
        <v>1162.4328244481112</v>
      </c>
      <c r="AR151" s="89">
        <f t="shared" ref="AR151:AR168" si="109">INDEX($D$58:$D$75,MATCH($B151,$B$58:$B$75,0))*AQ$14</f>
        <v>1167.745008698482</v>
      </c>
      <c r="AS151" s="89">
        <f t="shared" ref="AS151:AS168" si="110">INDEX($D$58:$D$75,MATCH($B151,$B$58:$B$75,0))*AR$14</f>
        <v>1173.2438207043058</v>
      </c>
      <c r="AT151" s="89">
        <f t="shared" ref="AT151:AT168" si="111">INDEX($D$58:$D$75,MATCH($B151,$B$58:$B$75,0))*AS$14</f>
        <v>1177.3858008476923</v>
      </c>
      <c r="AU151" s="89">
        <f t="shared" ref="AU151:AU168" si="112">INDEX($D$58:$D$75,MATCH($B151,$B$58:$B$75,0))*AT$14</f>
        <v>1180.5057473906986</v>
      </c>
      <c r="AV151" s="89">
        <f t="shared" ref="AV151:AV168" si="113">INDEX($D$58:$D$75,MATCH($B151,$B$58:$B$75,0))*AU$14</f>
        <v>1182.8558471242177</v>
      </c>
      <c r="AW151" s="89">
        <f t="shared" ref="AW151:AW168" si="114">INDEX($D$58:$D$75,MATCH($B151,$B$58:$B$75,0))*AV$14</f>
        <v>1184.6260597484913</v>
      </c>
      <c r="AX151" s="89">
        <f t="shared" ref="AX151:AX168" si="115">INDEX($D$58:$D$75,MATCH($B151,$B$58:$B$75,0))*AW$14</f>
        <v>1185.9594724077251</v>
      </c>
      <c r="AY151" s="89">
        <f t="shared" ref="AY151:AY168" si="116">INDEX($D$58:$D$75,MATCH($B151,$B$58:$B$75,0))*AX$14</f>
        <v>1186.963865493293</v>
      </c>
      <c r="AZ151" s="89">
        <f t="shared" ref="AZ151:AZ168" si="117">INDEX($D$58:$D$75,MATCH($B151,$B$58:$B$75,0))*AY$14</f>
        <v>1187.7204245849973</v>
      </c>
      <c r="BA151" s="89">
        <f t="shared" ref="BA151:BA168" si="118">INDEX($D$58:$D$75,MATCH($B151,$B$58:$B$75,0))*AZ$14</f>
        <v>1188.2903027208233</v>
      </c>
      <c r="BB151" s="89">
        <f t="shared" ref="BB151:BB168" si="119">INDEX($D$58:$D$75,MATCH($B151,$B$58:$B$75,0))*BA$14</f>
        <v>1188.7195634266345</v>
      </c>
    </row>
    <row r="152" spans="2:54">
      <c r="B152" s="6" t="s">
        <v>14</v>
      </c>
      <c r="C152" s="52"/>
      <c r="D152" s="89">
        <f t="shared" ref="D152:AF152" si="120">INDEX($D$58:$D$75,MATCH($B152,$B$58:$B$75,0))*C$14</f>
        <v>2.3055672360193564</v>
      </c>
      <c r="E152" s="89">
        <f t="shared" si="120"/>
        <v>2.3843725742851181</v>
      </c>
      <c r="F152" s="89">
        <f t="shared" si="120"/>
        <v>2.4518202343613016</v>
      </c>
      <c r="G152" s="89">
        <f t="shared" si="120"/>
        <v>2.5116192560249324</v>
      </c>
      <c r="H152" s="89">
        <f t="shared" si="120"/>
        <v>2.5671361691630037</v>
      </c>
      <c r="I152" s="89">
        <f t="shared" si="120"/>
        <v>2.620228396737839</v>
      </c>
      <c r="J152" s="89">
        <f t="shared" si="120"/>
        <v>2.6709556426142012</v>
      </c>
      <c r="K152" s="89">
        <f t="shared" si="120"/>
        <v>2.7201926929387823</v>
      </c>
      <c r="L152" s="89">
        <f t="shared" si="120"/>
        <v>2.7731465627173377</v>
      </c>
      <c r="M152" s="89">
        <f t="shared" si="120"/>
        <v>2.8264086113028304</v>
      </c>
      <c r="N152" s="89">
        <f t="shared" si="120"/>
        <v>2.8783689722358439</v>
      </c>
      <c r="O152" s="89">
        <f t="shared" si="120"/>
        <v>2.9283672074049019</v>
      </c>
      <c r="P152" s="89">
        <f t="shared" si="120"/>
        <v>2.9760338099924022</v>
      </c>
      <c r="Q152" s="89">
        <f t="shared" si="120"/>
        <v>3.0223145984262558</v>
      </c>
      <c r="R152" s="89">
        <f t="shared" si="120"/>
        <v>3.068271829415794</v>
      </c>
      <c r="S152" s="89">
        <f t="shared" si="120"/>
        <v>3.1140304089800899</v>
      </c>
      <c r="T152" s="89">
        <f t="shared" si="120"/>
        <v>3.158731618365473</v>
      </c>
      <c r="U152" s="89">
        <f t="shared" si="120"/>
        <v>3.2025132229799116</v>
      </c>
      <c r="V152" s="89">
        <f t="shared" si="120"/>
        <v>3.2473695716844428</v>
      </c>
      <c r="W152" s="89">
        <f t="shared" si="120"/>
        <v>3.2915910197436973</v>
      </c>
      <c r="X152" s="89">
        <f t="shared" si="120"/>
        <v>3.3347075724210269</v>
      </c>
      <c r="Y152" s="89">
        <f t="shared" si="120"/>
        <v>3.3766576333109022</v>
      </c>
      <c r="Z152" s="89">
        <f t="shared" si="120"/>
        <v>3.4182534161732976</v>
      </c>
      <c r="AA152" s="89">
        <f t="shared" si="120"/>
        <v>3.4593059193085969</v>
      </c>
      <c r="AB152" s="89">
        <f t="shared" si="120"/>
        <v>3.4994826801954071</v>
      </c>
      <c r="AC152" s="89">
        <f t="shared" si="120"/>
        <v>3.5385334046603605</v>
      </c>
      <c r="AD152" s="89">
        <f t="shared" si="120"/>
        <v>3.5762126498416893</v>
      </c>
      <c r="AE152" s="89">
        <f t="shared" si="120"/>
        <v>3.6123456298669936</v>
      </c>
      <c r="AF152" s="89">
        <f t="shared" si="120"/>
        <v>3.6467762916722544</v>
      </c>
      <c r="AG152" s="89">
        <f t="shared" si="98"/>
        <v>3.6796664218085762</v>
      </c>
      <c r="AH152" s="89">
        <f t="shared" si="99"/>
        <v>3.711768091279084</v>
      </c>
      <c r="AI152" s="89">
        <f t="shared" si="100"/>
        <v>3.7431523805645157</v>
      </c>
      <c r="AJ152" s="89">
        <f t="shared" si="101"/>
        <v>3.7740866170258718</v>
      </c>
      <c r="AK152" s="89">
        <f t="shared" si="102"/>
        <v>3.8037247065074773</v>
      </c>
      <c r="AL152" s="89">
        <f t="shared" si="103"/>
        <v>3.8314406936645153</v>
      </c>
      <c r="AM152" s="89">
        <f t="shared" si="104"/>
        <v>3.8568264927559817</v>
      </c>
      <c r="AN152" s="89">
        <f t="shared" si="105"/>
        <v>3.8801668146538106</v>
      </c>
      <c r="AO152" s="89">
        <f t="shared" si="106"/>
        <v>3.9015340698400292</v>
      </c>
      <c r="AP152" s="89">
        <f t="shared" si="107"/>
        <v>3.9208334700204714</v>
      </c>
      <c r="AQ152" s="89">
        <f t="shared" si="108"/>
        <v>3.9389822673224213</v>
      </c>
      <c r="AR152" s="89">
        <f t="shared" si="109"/>
        <v>3.9569829630382309</v>
      </c>
      <c r="AS152" s="89">
        <f t="shared" si="110"/>
        <v>3.9756160595292585</v>
      </c>
      <c r="AT152" s="89">
        <f t="shared" si="111"/>
        <v>3.9896514394611238</v>
      </c>
      <c r="AU152" s="89">
        <f t="shared" si="112"/>
        <v>4.0002235893948033</v>
      </c>
      <c r="AV152" s="89">
        <f t="shared" si="113"/>
        <v>4.0081870613323458</v>
      </c>
      <c r="AW152" s="89">
        <f t="shared" si="114"/>
        <v>4.0141855465693013</v>
      </c>
      <c r="AX152" s="89">
        <f t="shared" si="115"/>
        <v>4.0187039055740366</v>
      </c>
      <c r="AY152" s="89">
        <f t="shared" si="116"/>
        <v>4.0221073594943544</v>
      </c>
      <c r="AZ152" s="89">
        <f t="shared" si="117"/>
        <v>4.0246710111598336</v>
      </c>
      <c r="BA152" s="89">
        <f t="shared" si="118"/>
        <v>4.0266020817768551</v>
      </c>
      <c r="BB152" s="89">
        <f t="shared" si="119"/>
        <v>4.0280566607191277</v>
      </c>
    </row>
    <row r="153" spans="2:54">
      <c r="B153" s="6" t="s">
        <v>15</v>
      </c>
      <c r="C153" s="52"/>
      <c r="D153" s="89">
        <f t="shared" ref="D153:AF153" si="121">INDEX($D$58:$D$75,MATCH($B153,$B$58:$B$75,0))*C$14</f>
        <v>30.87555430066493</v>
      </c>
      <c r="E153" s="89">
        <f t="shared" si="121"/>
        <v>31.930894809843799</v>
      </c>
      <c r="F153" s="89">
        <f t="shared" si="121"/>
        <v>32.83413625888975</v>
      </c>
      <c r="G153" s="89">
        <f t="shared" si="121"/>
        <v>33.634949139840394</v>
      </c>
      <c r="H153" s="89">
        <f t="shared" si="121"/>
        <v>34.378417141736236</v>
      </c>
      <c r="I153" s="89">
        <f t="shared" si="121"/>
        <v>35.089414387802371</v>
      </c>
      <c r="J153" s="89">
        <f t="shared" si="121"/>
        <v>35.768740416603407</v>
      </c>
      <c r="K153" s="89">
        <f t="shared" si="121"/>
        <v>36.428110135755858</v>
      </c>
      <c r="L153" s="89">
        <f t="shared" si="121"/>
        <v>37.137254530347867</v>
      </c>
      <c r="M153" s="89">
        <f t="shared" si="121"/>
        <v>37.850525975038117</v>
      </c>
      <c r="N153" s="89">
        <f t="shared" si="121"/>
        <v>38.546365558636339</v>
      </c>
      <c r="O153" s="89">
        <f t="shared" si="121"/>
        <v>39.215928866434275</v>
      </c>
      <c r="P153" s="89">
        <f t="shared" si="121"/>
        <v>39.854267559631346</v>
      </c>
      <c r="Q153" s="89">
        <f t="shared" si="121"/>
        <v>40.474047791603311</v>
      </c>
      <c r="R153" s="89">
        <f t="shared" si="121"/>
        <v>41.089495026781563</v>
      </c>
      <c r="S153" s="89">
        <f t="shared" si="121"/>
        <v>41.702281973952971</v>
      </c>
      <c r="T153" s="89">
        <f t="shared" si="121"/>
        <v>42.300908895832158</v>
      </c>
      <c r="U153" s="89">
        <f t="shared" si="121"/>
        <v>42.887220710783716</v>
      </c>
      <c r="V153" s="89">
        <f t="shared" si="121"/>
        <v>43.487925217908611</v>
      </c>
      <c r="W153" s="89">
        <f t="shared" si="121"/>
        <v>44.080127301403209</v>
      </c>
      <c r="X153" s="89">
        <f t="shared" si="121"/>
        <v>44.657532914498582</v>
      </c>
      <c r="Y153" s="89">
        <f t="shared" si="121"/>
        <v>45.219317174218467</v>
      </c>
      <c r="Z153" s="89">
        <f t="shared" si="121"/>
        <v>45.776357035117918</v>
      </c>
      <c r="AA153" s="89">
        <f t="shared" si="121"/>
        <v>46.326121435795542</v>
      </c>
      <c r="AB153" s="89">
        <f t="shared" si="121"/>
        <v>46.864158124991071</v>
      </c>
      <c r="AC153" s="89">
        <f t="shared" si="121"/>
        <v>47.38711522850182</v>
      </c>
      <c r="AD153" s="89">
        <f t="shared" si="121"/>
        <v>47.891705839623093</v>
      </c>
      <c r="AE153" s="89">
        <f t="shared" si="121"/>
        <v>48.37558927159894</v>
      </c>
      <c r="AF153" s="89">
        <f t="shared" si="121"/>
        <v>48.836675702550998</v>
      </c>
      <c r="AG153" s="89">
        <f t="shared" si="98"/>
        <v>49.277131735719323</v>
      </c>
      <c r="AH153" s="89">
        <f t="shared" si="99"/>
        <v>49.707028909566198</v>
      </c>
      <c r="AI153" s="89">
        <f t="shared" si="100"/>
        <v>50.127319115326209</v>
      </c>
      <c r="AJ153" s="89">
        <f t="shared" si="101"/>
        <v>50.54158233120242</v>
      </c>
      <c r="AK153" s="89">
        <f t="shared" si="102"/>
        <v>50.938487885228774</v>
      </c>
      <c r="AL153" s="89">
        <f t="shared" si="103"/>
        <v>51.309653146902569</v>
      </c>
      <c r="AM153" s="89">
        <f t="shared" si="104"/>
        <v>51.64961313855634</v>
      </c>
      <c r="AN153" s="89">
        <f t="shared" si="105"/>
        <v>51.962180633831665</v>
      </c>
      <c r="AO153" s="89">
        <f t="shared" si="106"/>
        <v>52.248325334993055</v>
      </c>
      <c r="AP153" s="89">
        <f t="shared" si="107"/>
        <v>52.506777861960046</v>
      </c>
      <c r="AQ153" s="89">
        <f t="shared" si="108"/>
        <v>52.749821815670799</v>
      </c>
      <c r="AR153" s="89">
        <f t="shared" si="109"/>
        <v>52.99088243161831</v>
      </c>
      <c r="AS153" s="89">
        <f t="shared" si="110"/>
        <v>53.240411993589156</v>
      </c>
      <c r="AT153" s="89">
        <f t="shared" si="111"/>
        <v>53.428370136143684</v>
      </c>
      <c r="AU153" s="89">
        <f t="shared" si="112"/>
        <v>53.569949607022906</v>
      </c>
      <c r="AV153" s="89">
        <f t="shared" si="113"/>
        <v>53.676594343462661</v>
      </c>
      <c r="AW153" s="89">
        <f t="shared" si="114"/>
        <v>53.75692449118592</v>
      </c>
      <c r="AX153" s="89">
        <f t="shared" si="115"/>
        <v>53.81743317495846</v>
      </c>
      <c r="AY153" s="89">
        <f t="shared" si="116"/>
        <v>53.863011341010122</v>
      </c>
      <c r="AZ153" s="89">
        <f t="shared" si="117"/>
        <v>53.897343094588543</v>
      </c>
      <c r="BA153" s="89">
        <f t="shared" si="118"/>
        <v>53.923203487971485</v>
      </c>
      <c r="BB153" s="89">
        <f t="shared" si="119"/>
        <v>53.942682829287193</v>
      </c>
    </row>
    <row r="154" spans="2:54" ht="29">
      <c r="B154" s="6" t="s">
        <v>16</v>
      </c>
      <c r="C154" s="52"/>
      <c r="D154" s="89">
        <f t="shared" ref="D154:AF154" si="122">INDEX($D$58:$D$75,MATCH($B154,$B$58:$B$75,0))*C$14</f>
        <v>427.80469362906757</v>
      </c>
      <c r="E154" s="89">
        <f t="shared" si="122"/>
        <v>442.42725291357857</v>
      </c>
      <c r="F154" s="89">
        <f t="shared" si="122"/>
        <v>454.94236203904796</v>
      </c>
      <c r="G154" s="89">
        <f t="shared" si="122"/>
        <v>466.03824410332311</v>
      </c>
      <c r="H154" s="89">
        <f t="shared" si="122"/>
        <v>476.33956849986083</v>
      </c>
      <c r="I154" s="89">
        <f t="shared" si="122"/>
        <v>486.19098545135779</v>
      </c>
      <c r="J154" s="89">
        <f t="shared" si="122"/>
        <v>495.60357318323918</v>
      </c>
      <c r="K154" s="89">
        <f t="shared" si="122"/>
        <v>504.73965080449909</v>
      </c>
      <c r="L154" s="89">
        <f t="shared" si="122"/>
        <v>514.56539506524814</v>
      </c>
      <c r="M154" s="89">
        <f t="shared" si="122"/>
        <v>524.44832279825744</v>
      </c>
      <c r="N154" s="89">
        <f t="shared" si="122"/>
        <v>534.08971860859288</v>
      </c>
      <c r="O154" s="89">
        <f t="shared" si="122"/>
        <v>543.36703628743999</v>
      </c>
      <c r="P154" s="89">
        <f t="shared" si="122"/>
        <v>552.21171277212648</v>
      </c>
      <c r="Q154" s="89">
        <f t="shared" si="122"/>
        <v>560.79924741763102</v>
      </c>
      <c r="R154" s="89">
        <f t="shared" si="122"/>
        <v>569.32674504006627</v>
      </c>
      <c r="S154" s="89">
        <f t="shared" si="122"/>
        <v>577.8173823138693</v>
      </c>
      <c r="T154" s="89">
        <f t="shared" si="122"/>
        <v>586.11182148146418</v>
      </c>
      <c r="U154" s="89">
        <f t="shared" si="122"/>
        <v>594.23562531422806</v>
      </c>
      <c r="V154" s="89">
        <f t="shared" si="122"/>
        <v>602.55885103285527</v>
      </c>
      <c r="W154" s="89">
        <f t="shared" si="122"/>
        <v>610.7642690936558</v>
      </c>
      <c r="X154" s="89">
        <f t="shared" si="122"/>
        <v>618.76467060886523</v>
      </c>
      <c r="Y154" s="89">
        <f t="shared" si="122"/>
        <v>626.54862618662537</v>
      </c>
      <c r="Z154" s="89">
        <f t="shared" si="122"/>
        <v>634.2668444479292</v>
      </c>
      <c r="AA154" s="89">
        <f t="shared" si="122"/>
        <v>641.88425557874712</v>
      </c>
      <c r="AB154" s="89">
        <f t="shared" si="122"/>
        <v>649.33917019310707</v>
      </c>
      <c r="AC154" s="89">
        <f t="shared" si="122"/>
        <v>656.58514548054484</v>
      </c>
      <c r="AD154" s="89">
        <f t="shared" si="122"/>
        <v>663.57663880554696</v>
      </c>
      <c r="AE154" s="89">
        <f t="shared" si="122"/>
        <v>670.28121814209192</v>
      </c>
      <c r="AF154" s="89">
        <f t="shared" si="122"/>
        <v>676.66992739113414</v>
      </c>
      <c r="AG154" s="89">
        <f t="shared" si="98"/>
        <v>682.7727865168921</v>
      </c>
      <c r="AH154" s="89">
        <f t="shared" si="99"/>
        <v>688.7293444772331</v>
      </c>
      <c r="AI154" s="89">
        <f t="shared" si="100"/>
        <v>694.55279046170199</v>
      </c>
      <c r="AJ154" s="89">
        <f t="shared" si="101"/>
        <v>700.29272783817521</v>
      </c>
      <c r="AK154" s="89">
        <f t="shared" si="102"/>
        <v>705.79216137988385</v>
      </c>
      <c r="AL154" s="89">
        <f t="shared" si="103"/>
        <v>710.93494325546919</v>
      </c>
      <c r="AM154" s="89">
        <f t="shared" si="104"/>
        <v>715.64535197102862</v>
      </c>
      <c r="AN154" s="89">
        <f t="shared" si="105"/>
        <v>719.97621645535583</v>
      </c>
      <c r="AO154" s="89">
        <f t="shared" si="106"/>
        <v>723.94097268359599</v>
      </c>
      <c r="AP154" s="89">
        <f t="shared" si="107"/>
        <v>727.52203241259951</v>
      </c>
      <c r="AQ154" s="89">
        <f t="shared" si="108"/>
        <v>730.88959443733643</v>
      </c>
      <c r="AR154" s="89">
        <f t="shared" si="109"/>
        <v>734.22967578283124</v>
      </c>
      <c r="AS154" s="89">
        <f t="shared" si="110"/>
        <v>737.68710092800609</v>
      </c>
      <c r="AT154" s="89">
        <f t="shared" si="111"/>
        <v>740.29140641860897</v>
      </c>
      <c r="AU154" s="89">
        <f t="shared" si="112"/>
        <v>742.25309952940597</v>
      </c>
      <c r="AV154" s="89">
        <f t="shared" si="113"/>
        <v>743.73074486511348</v>
      </c>
      <c r="AW154" s="89">
        <f t="shared" si="114"/>
        <v>744.84378121423538</v>
      </c>
      <c r="AX154" s="89">
        <f t="shared" si="115"/>
        <v>745.68217584421132</v>
      </c>
      <c r="AY154" s="89">
        <f t="shared" si="116"/>
        <v>746.31369659924076</v>
      </c>
      <c r="AZ154" s="89">
        <f t="shared" si="117"/>
        <v>746.78938960796665</v>
      </c>
      <c r="BA154" s="89">
        <f t="shared" si="118"/>
        <v>747.14770536678952</v>
      </c>
      <c r="BB154" s="89">
        <f t="shared" si="119"/>
        <v>747.41760671212273</v>
      </c>
    </row>
    <row r="155" spans="2:54">
      <c r="B155" s="6" t="s">
        <v>103</v>
      </c>
      <c r="C155" s="52"/>
      <c r="D155" s="89">
        <f t="shared" ref="D155:AF155" si="123">INDEX($D$58:$D$75,MATCH($B155,$B$58:$B$75,0))*C$14</f>
        <v>75.422106332568987</v>
      </c>
      <c r="E155" s="89">
        <f t="shared" si="123"/>
        <v>78.000068280239745</v>
      </c>
      <c r="F155" s="89">
        <f t="shared" si="123"/>
        <v>80.206486080889889</v>
      </c>
      <c r="G155" s="89">
        <f t="shared" si="123"/>
        <v>82.162693690035539</v>
      </c>
      <c r="H155" s="89">
        <f t="shared" si="123"/>
        <v>83.978820524482146</v>
      </c>
      <c r="I155" s="89">
        <f t="shared" si="123"/>
        <v>85.715628530348752</v>
      </c>
      <c r="J155" s="89">
        <f t="shared" si="123"/>
        <v>87.375070802373315</v>
      </c>
      <c r="K155" s="89">
        <f t="shared" si="123"/>
        <v>88.985764252152819</v>
      </c>
      <c r="L155" s="89">
        <f t="shared" si="123"/>
        <v>90.718046154308396</v>
      </c>
      <c r="M155" s="89">
        <f t="shared" si="123"/>
        <v>92.460409521182584</v>
      </c>
      <c r="N155" s="89">
        <f t="shared" si="123"/>
        <v>94.160190731699203</v>
      </c>
      <c r="O155" s="89">
        <f t="shared" si="123"/>
        <v>95.79578484947136</v>
      </c>
      <c r="P155" s="89">
        <f t="shared" si="123"/>
        <v>97.355104184297545</v>
      </c>
      <c r="Q155" s="89">
        <f t="shared" si="123"/>
        <v>98.869089329419523</v>
      </c>
      <c r="R155" s="89">
        <f t="shared" si="123"/>
        <v>100.37248992788912</v>
      </c>
      <c r="S155" s="89">
        <f t="shared" si="123"/>
        <v>101.86939203493166</v>
      </c>
      <c r="T155" s="89">
        <f t="shared" si="123"/>
        <v>103.33170435217284</v>
      </c>
      <c r="U155" s="89">
        <f t="shared" si="123"/>
        <v>104.7639336045029</v>
      </c>
      <c r="V155" s="89">
        <f t="shared" si="123"/>
        <v>106.23132100003384</v>
      </c>
      <c r="W155" s="89">
        <f t="shared" si="123"/>
        <v>107.67793886725499</v>
      </c>
      <c r="X155" s="89">
        <f t="shared" si="123"/>
        <v>109.08841225094947</v>
      </c>
      <c r="Y155" s="89">
        <f t="shared" si="123"/>
        <v>110.46072614562323</v>
      </c>
      <c r="Z155" s="89">
        <f t="shared" si="123"/>
        <v>111.82145053007041</v>
      </c>
      <c r="AA155" s="89">
        <f t="shared" si="123"/>
        <v>113.16440258469558</v>
      </c>
      <c r="AB155" s="89">
        <f t="shared" si="123"/>
        <v>114.4787064507303</v>
      </c>
      <c r="AC155" s="89">
        <f t="shared" si="123"/>
        <v>115.75617424561651</v>
      </c>
      <c r="AD155" s="89">
        <f t="shared" si="123"/>
        <v>116.98877678793215</v>
      </c>
      <c r="AE155" s="89">
        <f t="shared" si="123"/>
        <v>118.1707963009637</v>
      </c>
      <c r="AF155" s="89">
        <f t="shared" si="123"/>
        <v>119.2971278150516</v>
      </c>
      <c r="AG155" s="89">
        <f t="shared" si="98"/>
        <v>120.37306385963063</v>
      </c>
      <c r="AH155" s="89">
        <f t="shared" si="99"/>
        <v>121.423206961264</v>
      </c>
      <c r="AI155" s="89">
        <f t="shared" si="100"/>
        <v>122.4498823783491</v>
      </c>
      <c r="AJ155" s="89">
        <f t="shared" si="101"/>
        <v>123.4618352007415</v>
      </c>
      <c r="AK155" s="89">
        <f t="shared" si="102"/>
        <v>124.43138711900839</v>
      </c>
      <c r="AL155" s="89">
        <f t="shared" si="103"/>
        <v>125.33806123278499</v>
      </c>
      <c r="AM155" s="89">
        <f t="shared" si="104"/>
        <v>126.16850781812056</v>
      </c>
      <c r="AN155" s="89">
        <f t="shared" si="105"/>
        <v>126.93204063230723</v>
      </c>
      <c r="AO155" s="89">
        <f t="shared" si="106"/>
        <v>127.63102844212384</v>
      </c>
      <c r="AP155" s="89">
        <f t="shared" si="107"/>
        <v>128.26237043459474</v>
      </c>
      <c r="AQ155" s="89">
        <f t="shared" si="108"/>
        <v>128.85607271251192</v>
      </c>
      <c r="AR155" s="89">
        <f t="shared" si="109"/>
        <v>129.44493013775971</v>
      </c>
      <c r="AS155" s="89">
        <f t="shared" si="110"/>
        <v>130.05447531297554</v>
      </c>
      <c r="AT155" s="89">
        <f t="shared" si="111"/>
        <v>130.51361521620683</v>
      </c>
      <c r="AU155" s="89">
        <f t="shared" si="112"/>
        <v>130.85946234831587</v>
      </c>
      <c r="AV155" s="89">
        <f t="shared" si="113"/>
        <v>131.11997170057694</v>
      </c>
      <c r="AW155" s="89">
        <f t="shared" si="114"/>
        <v>131.31620037016765</v>
      </c>
      <c r="AX155" s="89">
        <f t="shared" si="115"/>
        <v>131.46400961553681</v>
      </c>
      <c r="AY155" s="89">
        <f t="shared" si="116"/>
        <v>131.57534692961113</v>
      </c>
      <c r="AZ155" s="89">
        <f t="shared" si="117"/>
        <v>131.65921176143763</v>
      </c>
      <c r="BA155" s="89">
        <f t="shared" si="118"/>
        <v>131.72238294601092</v>
      </c>
      <c r="BB155" s="89">
        <f t="shared" si="119"/>
        <v>131.76996664079078</v>
      </c>
    </row>
    <row r="156" spans="2:54">
      <c r="B156" s="6" t="s">
        <v>104</v>
      </c>
      <c r="C156" s="52"/>
      <c r="D156" s="89">
        <f t="shared" ref="D156:AF156" si="124">INDEX($D$58:$D$75,MATCH($B156,$B$58:$B$75,0))*C$14</f>
        <v>1961.490924745518</v>
      </c>
      <c r="E156" s="89">
        <f t="shared" si="124"/>
        <v>2028.5355779722322</v>
      </c>
      <c r="F156" s="89">
        <f t="shared" si="124"/>
        <v>2085.9175406701283</v>
      </c>
      <c r="G156" s="89">
        <f t="shared" si="124"/>
        <v>2136.7923260458897</v>
      </c>
      <c r="H156" s="89">
        <f t="shared" si="124"/>
        <v>2184.0240526201387</v>
      </c>
      <c r="I156" s="89">
        <f t="shared" si="124"/>
        <v>2229.1929468235298</v>
      </c>
      <c r="J156" s="89">
        <f t="shared" si="124"/>
        <v>2272.3498024854844</v>
      </c>
      <c r="K156" s="89">
        <f t="shared" si="124"/>
        <v>2314.2388551507406</v>
      </c>
      <c r="L156" s="89">
        <f t="shared" si="124"/>
        <v>2359.290039682719</v>
      </c>
      <c r="M156" s="89">
        <f t="shared" si="124"/>
        <v>2404.6034112910766</v>
      </c>
      <c r="N156" s="89">
        <f t="shared" si="124"/>
        <v>2448.8093554181178</v>
      </c>
      <c r="O156" s="89">
        <f t="shared" si="124"/>
        <v>2491.3459958618478</v>
      </c>
      <c r="P156" s="89">
        <f t="shared" si="124"/>
        <v>2531.89896995349</v>
      </c>
      <c r="Q156" s="89">
        <f t="shared" si="124"/>
        <v>2571.2729448629379</v>
      </c>
      <c r="R156" s="89">
        <f t="shared" si="124"/>
        <v>2610.3716491228279</v>
      </c>
      <c r="S156" s="89">
        <f t="shared" si="124"/>
        <v>2649.3013481324206</v>
      </c>
      <c r="T156" s="89">
        <f t="shared" si="124"/>
        <v>2687.3314758878628</v>
      </c>
      <c r="U156" s="89">
        <f t="shared" si="124"/>
        <v>2724.5792380786061</v>
      </c>
      <c r="V156" s="89">
        <f t="shared" si="124"/>
        <v>2762.7413526014807</v>
      </c>
      <c r="W156" s="89">
        <f t="shared" si="124"/>
        <v>2800.3633172495784</v>
      </c>
      <c r="X156" s="89">
        <f t="shared" si="124"/>
        <v>2837.0452779669386</v>
      </c>
      <c r="Y156" s="89">
        <f t="shared" si="124"/>
        <v>2872.7348308207861</v>
      </c>
      <c r="Z156" s="89">
        <f t="shared" si="124"/>
        <v>2908.1229770945597</v>
      </c>
      <c r="AA156" s="89">
        <f t="shared" si="124"/>
        <v>2943.0489211659219</v>
      </c>
      <c r="AB156" s="89">
        <f t="shared" si="124"/>
        <v>2977.2298162766674</v>
      </c>
      <c r="AC156" s="89">
        <f t="shared" si="124"/>
        <v>3010.4527214455456</v>
      </c>
      <c r="AD156" s="89">
        <f t="shared" si="124"/>
        <v>3042.5088230069305</v>
      </c>
      <c r="AE156" s="89">
        <f t="shared" si="124"/>
        <v>3073.2494196359894</v>
      </c>
      <c r="AF156" s="89">
        <f t="shared" si="124"/>
        <v>3102.5417471851106</v>
      </c>
      <c r="AG156" s="89">
        <f t="shared" si="98"/>
        <v>3130.5234476396499</v>
      </c>
      <c r="AH156" s="89">
        <f t="shared" si="99"/>
        <v>3157.8343550605487</v>
      </c>
      <c r="AI156" s="89">
        <f t="shared" si="100"/>
        <v>3184.5349420793195</v>
      </c>
      <c r="AJ156" s="89">
        <f t="shared" si="101"/>
        <v>3210.8526408802636</v>
      </c>
      <c r="AK156" s="89">
        <f t="shared" si="102"/>
        <v>3236.0676259983452</v>
      </c>
      <c r="AL156" s="89">
        <f t="shared" si="103"/>
        <v>3259.6473578879932</v>
      </c>
      <c r="AM156" s="89">
        <f t="shared" si="104"/>
        <v>3281.2446523660738</v>
      </c>
      <c r="AN156" s="89">
        <f t="shared" si="105"/>
        <v>3301.1017308619821</v>
      </c>
      <c r="AO156" s="89">
        <f t="shared" si="106"/>
        <v>3319.2801975229027</v>
      </c>
      <c r="AP156" s="89">
        <f t="shared" si="107"/>
        <v>3335.6994099906897</v>
      </c>
      <c r="AQ156" s="89">
        <f t="shared" si="108"/>
        <v>3351.139732288244</v>
      </c>
      <c r="AR156" s="89">
        <f t="shared" si="109"/>
        <v>3366.4540552600724</v>
      </c>
      <c r="AS156" s="89">
        <f t="shared" si="110"/>
        <v>3382.3064013101316</v>
      </c>
      <c r="AT156" s="89">
        <f t="shared" si="111"/>
        <v>3394.2471809723384</v>
      </c>
      <c r="AU156" s="89">
        <f t="shared" si="112"/>
        <v>3403.2415732528966</v>
      </c>
      <c r="AV156" s="89">
        <f t="shared" si="113"/>
        <v>3410.0165992382263</v>
      </c>
      <c r="AW156" s="89">
        <f t="shared" si="114"/>
        <v>3415.1198875616765</v>
      </c>
      <c r="AX156" s="89">
        <f t="shared" si="115"/>
        <v>3418.9639394913152</v>
      </c>
      <c r="AY156" s="89">
        <f t="shared" si="116"/>
        <v>3421.8594716073153</v>
      </c>
      <c r="AZ156" s="89">
        <f t="shared" si="117"/>
        <v>3424.0405311736927</v>
      </c>
      <c r="BA156" s="89">
        <f t="shared" si="118"/>
        <v>3425.6834142920666</v>
      </c>
      <c r="BB156" s="89">
        <f t="shared" si="119"/>
        <v>3426.9209160009814</v>
      </c>
    </row>
    <row r="157" spans="2:54">
      <c r="B157" s="6" t="s">
        <v>17</v>
      </c>
      <c r="C157" s="52"/>
      <c r="D157" s="89">
        <f t="shared" ref="D157:AF157" si="125">INDEX($D$58:$D$75,MATCH($B157,$B$58:$B$75,0))*C$14</f>
        <v>24637.934639404237</v>
      </c>
      <c r="E157" s="89">
        <f t="shared" si="125"/>
        <v>25480.070467453312</v>
      </c>
      <c r="F157" s="89">
        <f t="shared" si="125"/>
        <v>26200.834978058898</v>
      </c>
      <c r="G157" s="89">
        <f t="shared" si="125"/>
        <v>26839.864004942796</v>
      </c>
      <c r="H157" s="89">
        <f t="shared" si="125"/>
        <v>27433.13322559623</v>
      </c>
      <c r="I157" s="89">
        <f t="shared" si="125"/>
        <v>28000.491579936661</v>
      </c>
      <c r="J157" s="89">
        <f t="shared" si="125"/>
        <v>28542.577080117801</v>
      </c>
      <c r="K157" s="89">
        <f t="shared" si="125"/>
        <v>29068.737934931363</v>
      </c>
      <c r="L157" s="89">
        <f t="shared" si="125"/>
        <v>29634.617759264802</v>
      </c>
      <c r="M157" s="89">
        <f t="shared" si="125"/>
        <v>30203.790868297969</v>
      </c>
      <c r="N157" s="89">
        <f t="shared" si="125"/>
        <v>30759.053779961196</v>
      </c>
      <c r="O157" s="89">
        <f t="shared" si="125"/>
        <v>31293.34886836107</v>
      </c>
      <c r="P157" s="89">
        <f t="shared" si="125"/>
        <v>31802.727480567992</v>
      </c>
      <c r="Q157" s="89">
        <f t="shared" si="125"/>
        <v>32297.296896145777</v>
      </c>
      <c r="R157" s="89">
        <f t="shared" si="125"/>
        <v>32788.408686614828</v>
      </c>
      <c r="S157" s="89">
        <f t="shared" si="125"/>
        <v>33277.397632538428</v>
      </c>
      <c r="T157" s="89">
        <f t="shared" si="125"/>
        <v>33755.087225768817</v>
      </c>
      <c r="U157" s="89">
        <f t="shared" si="125"/>
        <v>34222.949665886226</v>
      </c>
      <c r="V157" s="89">
        <f t="shared" si="125"/>
        <v>34702.297121158306</v>
      </c>
      <c r="W157" s="89">
        <f t="shared" si="125"/>
        <v>35174.859851024659</v>
      </c>
      <c r="X157" s="89">
        <f t="shared" si="125"/>
        <v>35635.61536062089</v>
      </c>
      <c r="Y157" s="89">
        <f t="shared" si="125"/>
        <v>36083.905413574743</v>
      </c>
      <c r="Z157" s="89">
        <f t="shared" si="125"/>
        <v>36528.409552698424</v>
      </c>
      <c r="AA157" s="89">
        <f t="shared" si="125"/>
        <v>36967.108053106393</v>
      </c>
      <c r="AB157" s="89">
        <f t="shared" si="125"/>
        <v>37396.448127552132</v>
      </c>
      <c r="AC157" s="89">
        <f t="shared" si="125"/>
        <v>37813.755062677585</v>
      </c>
      <c r="AD157" s="89">
        <f t="shared" si="125"/>
        <v>38216.405987593775</v>
      </c>
      <c r="AE157" s="89">
        <f t="shared" si="125"/>
        <v>38602.533091710415</v>
      </c>
      <c r="AF157" s="89">
        <f t="shared" si="125"/>
        <v>38970.468748453204</v>
      </c>
      <c r="AG157" s="89">
        <f t="shared" si="98"/>
        <v>39321.941854038829</v>
      </c>
      <c r="AH157" s="89">
        <f t="shared" si="99"/>
        <v>39664.989249002552</v>
      </c>
      <c r="AI157" s="89">
        <f t="shared" si="100"/>
        <v>40000.370519189943</v>
      </c>
      <c r="AJ157" s="89">
        <f t="shared" si="101"/>
        <v>40330.942399353655</v>
      </c>
      <c r="AK157" s="89">
        <f t="shared" si="102"/>
        <v>40647.663291321813</v>
      </c>
      <c r="AL157" s="89">
        <f t="shared" si="103"/>
        <v>40943.844061664757</v>
      </c>
      <c r="AM157" s="89">
        <f t="shared" si="104"/>
        <v>41215.123792315542</v>
      </c>
      <c r="AN157" s="89">
        <f t="shared" si="105"/>
        <v>41464.54498307388</v>
      </c>
      <c r="AO157" s="89">
        <f t="shared" si="106"/>
        <v>41692.881432550173</v>
      </c>
      <c r="AP157" s="89">
        <f t="shared" si="107"/>
        <v>41899.120206591047</v>
      </c>
      <c r="AQ157" s="89">
        <f t="shared" si="108"/>
        <v>42093.063317303036</v>
      </c>
      <c r="AR157" s="89">
        <f t="shared" si="109"/>
        <v>42285.42377315148</v>
      </c>
      <c r="AS157" s="89">
        <f t="shared" si="110"/>
        <v>42484.542240096853</v>
      </c>
      <c r="AT157" s="89">
        <f t="shared" si="111"/>
        <v>42634.52822532344</v>
      </c>
      <c r="AU157" s="89">
        <f t="shared" si="112"/>
        <v>42747.505168695388</v>
      </c>
      <c r="AV157" s="89">
        <f t="shared" si="113"/>
        <v>42832.605051290288</v>
      </c>
      <c r="AW157" s="89">
        <f t="shared" si="114"/>
        <v>42896.706537854916</v>
      </c>
      <c r="AX157" s="89">
        <f t="shared" si="115"/>
        <v>42944.990982609714</v>
      </c>
      <c r="AY157" s="89">
        <f t="shared" si="116"/>
        <v>42981.361240621263</v>
      </c>
      <c r="AZ157" s="89">
        <f t="shared" si="117"/>
        <v>43008.757137468463</v>
      </c>
      <c r="BA157" s="89">
        <f t="shared" si="118"/>
        <v>43029.393096768617</v>
      </c>
      <c r="BB157" s="89">
        <f t="shared" si="119"/>
        <v>43044.93713311146</v>
      </c>
    </row>
    <row r="158" spans="2:54" ht="29">
      <c r="B158" s="6" t="s">
        <v>106</v>
      </c>
      <c r="C158" s="52"/>
      <c r="D158" s="89">
        <f t="shared" ref="D158:AF158" si="126">INDEX($D$58:$D$75,MATCH($B158,$B$58:$B$75,0))*C$14</f>
        <v>7640.0426410421478</v>
      </c>
      <c r="E158" s="89">
        <f t="shared" si="126"/>
        <v>7901.182778395797</v>
      </c>
      <c r="F158" s="89">
        <f t="shared" si="126"/>
        <v>8124.6865613131176</v>
      </c>
      <c r="G158" s="89">
        <f t="shared" si="126"/>
        <v>8322.8447708266867</v>
      </c>
      <c r="H158" s="89">
        <f t="shared" si="126"/>
        <v>8506.8132003946794</v>
      </c>
      <c r="I158" s="89">
        <f t="shared" si="126"/>
        <v>8682.7468605554568</v>
      </c>
      <c r="J158" s="89">
        <f t="shared" si="126"/>
        <v>8850.8435941936277</v>
      </c>
      <c r="K158" s="89">
        <f t="shared" si="126"/>
        <v>9014.0022122213595</v>
      </c>
      <c r="L158" s="89">
        <f t="shared" si="126"/>
        <v>9189.4773910822714</v>
      </c>
      <c r="M158" s="89">
        <f t="shared" si="126"/>
        <v>9365.973793349418</v>
      </c>
      <c r="N158" s="89">
        <f t="shared" si="126"/>
        <v>9538.1567455402037</v>
      </c>
      <c r="O158" s="89">
        <f t="shared" si="126"/>
        <v>9703.8377296818653</v>
      </c>
      <c r="P158" s="89">
        <f t="shared" si="126"/>
        <v>9861.7922974917692</v>
      </c>
      <c r="Q158" s="89">
        <f t="shared" si="126"/>
        <v>10015.15464215545</v>
      </c>
      <c r="R158" s="89">
        <f t="shared" si="126"/>
        <v>10167.444802658645</v>
      </c>
      <c r="S158" s="89">
        <f t="shared" si="126"/>
        <v>10319.07668465413</v>
      </c>
      <c r="T158" s="89">
        <f t="shared" si="126"/>
        <v>10467.204720338797</v>
      </c>
      <c r="U158" s="89">
        <f t="shared" si="126"/>
        <v>10612.285427993664</v>
      </c>
      <c r="V158" s="89">
        <f t="shared" si="126"/>
        <v>10760.927554525511</v>
      </c>
      <c r="W158" s="89">
        <f t="shared" si="126"/>
        <v>10907.4657875222</v>
      </c>
      <c r="X158" s="89">
        <f t="shared" si="126"/>
        <v>11050.342688201219</v>
      </c>
      <c r="Y158" s="89">
        <f t="shared" si="126"/>
        <v>11189.354142296272</v>
      </c>
      <c r="Z158" s="89">
        <f t="shared" si="126"/>
        <v>11327.191612308603</v>
      </c>
      <c r="AA158" s="89">
        <f t="shared" si="126"/>
        <v>11463.228796379937</v>
      </c>
      <c r="AB158" s="89">
        <f t="shared" si="126"/>
        <v>11596.364001269538</v>
      </c>
      <c r="AC158" s="89">
        <f t="shared" si="126"/>
        <v>11725.767818002698</v>
      </c>
      <c r="AD158" s="89">
        <f t="shared" si="126"/>
        <v>11850.626913573753</v>
      </c>
      <c r="AE158" s="89">
        <f t="shared" si="126"/>
        <v>11970.362093632033</v>
      </c>
      <c r="AF158" s="89">
        <f t="shared" si="126"/>
        <v>12084.456239420495</v>
      </c>
      <c r="AG158" s="89">
        <f t="shared" si="98"/>
        <v>12193.445468962451</v>
      </c>
      <c r="AH158" s="89">
        <f t="shared" si="99"/>
        <v>12299.821947501749</v>
      </c>
      <c r="AI158" s="89">
        <f t="shared" si="100"/>
        <v>12403.821217032262</v>
      </c>
      <c r="AJ158" s="89">
        <f t="shared" si="101"/>
        <v>12506.329130026763</v>
      </c>
      <c r="AK158" s="89">
        <f t="shared" si="102"/>
        <v>12604.541953275169</v>
      </c>
      <c r="AL158" s="89">
        <f t="shared" si="103"/>
        <v>12696.385435612272</v>
      </c>
      <c r="AM158" s="89">
        <f t="shared" si="104"/>
        <v>12780.507288363178</v>
      </c>
      <c r="AN158" s="89">
        <f t="shared" si="105"/>
        <v>12857.850968377881</v>
      </c>
      <c r="AO158" s="89">
        <f t="shared" si="106"/>
        <v>12928.656424924266</v>
      </c>
      <c r="AP158" s="89">
        <f t="shared" si="107"/>
        <v>12992.609554558294</v>
      </c>
      <c r="AQ158" s="89">
        <f t="shared" si="108"/>
        <v>13052.749889268256</v>
      </c>
      <c r="AR158" s="89">
        <f t="shared" si="109"/>
        <v>13112.399454324817</v>
      </c>
      <c r="AS158" s="89">
        <f t="shared" si="110"/>
        <v>13174.144629005512</v>
      </c>
      <c r="AT158" s="89">
        <f t="shared" si="111"/>
        <v>13220.654181833743</v>
      </c>
      <c r="AU158" s="89">
        <f t="shared" si="112"/>
        <v>13255.687502501614</v>
      </c>
      <c r="AV158" s="89">
        <f t="shared" si="113"/>
        <v>13282.076351294681</v>
      </c>
      <c r="AW158" s="89">
        <f t="shared" si="114"/>
        <v>13301.953751648065</v>
      </c>
      <c r="AX158" s="89">
        <f t="shared" si="115"/>
        <v>13316.926403464249</v>
      </c>
      <c r="AY158" s="89">
        <f t="shared" si="116"/>
        <v>13328.204553444788</v>
      </c>
      <c r="AZ158" s="89">
        <f t="shared" si="117"/>
        <v>13336.699819917632</v>
      </c>
      <c r="BA158" s="89">
        <f t="shared" si="118"/>
        <v>13343.098879388301</v>
      </c>
      <c r="BB158" s="89">
        <f t="shared" si="119"/>
        <v>13347.918970934581</v>
      </c>
    </row>
    <row r="159" spans="2:54" ht="29">
      <c r="B159" s="6" t="s">
        <v>107</v>
      </c>
      <c r="C159" s="52"/>
      <c r="D159" s="89">
        <f t="shared" ref="D159:AF159" si="127">INDEX($D$58:$D$75,MATCH($B159,$B$58:$B$75,0))*C$14</f>
        <v>4948.9138533069918</v>
      </c>
      <c r="E159" s="89">
        <f t="shared" si="127"/>
        <v>5118.06998294185</v>
      </c>
      <c r="F159" s="89">
        <f t="shared" si="127"/>
        <v>5262.846788453915</v>
      </c>
      <c r="G159" s="89">
        <f t="shared" si="127"/>
        <v>5391.2057458948175</v>
      </c>
      <c r="H159" s="89">
        <f t="shared" si="127"/>
        <v>5510.3731317899292</v>
      </c>
      <c r="I159" s="89">
        <f t="shared" si="127"/>
        <v>5624.3359156303495</v>
      </c>
      <c r="J159" s="89">
        <f t="shared" si="127"/>
        <v>5733.222252118665</v>
      </c>
      <c r="K159" s="89">
        <f t="shared" si="127"/>
        <v>5838.9098749476561</v>
      </c>
      <c r="L159" s="89">
        <f t="shared" si="127"/>
        <v>5952.5756729513478</v>
      </c>
      <c r="M159" s="89">
        <f t="shared" si="127"/>
        <v>6066.9029786062247</v>
      </c>
      <c r="N159" s="89">
        <f t="shared" si="127"/>
        <v>6178.4362039344078</v>
      </c>
      <c r="O159" s="89">
        <f t="shared" si="127"/>
        <v>6285.7577145819396</v>
      </c>
      <c r="P159" s="89">
        <f t="shared" si="127"/>
        <v>6388.0743619561645</v>
      </c>
      <c r="Q159" s="89">
        <f t="shared" si="127"/>
        <v>6487.4163509660857</v>
      </c>
      <c r="R159" s="89">
        <f t="shared" si="127"/>
        <v>6586.0638219877656</v>
      </c>
      <c r="S159" s="89">
        <f t="shared" si="127"/>
        <v>6684.2848865377528</v>
      </c>
      <c r="T159" s="89">
        <f t="shared" si="127"/>
        <v>6780.2362996784286</v>
      </c>
      <c r="U159" s="89">
        <f t="shared" si="127"/>
        <v>6874.2137756814691</v>
      </c>
      <c r="V159" s="89">
        <f t="shared" si="127"/>
        <v>6970.4981962980182</v>
      </c>
      <c r="W159" s="89">
        <f t="shared" si="127"/>
        <v>7065.4197988844553</v>
      </c>
      <c r="X159" s="89">
        <f t="shared" si="127"/>
        <v>7157.9697369292408</v>
      </c>
      <c r="Y159" s="89">
        <f t="shared" si="127"/>
        <v>7248.01579337972</v>
      </c>
      <c r="Z159" s="89">
        <f t="shared" si="127"/>
        <v>7337.3013899265688</v>
      </c>
      <c r="AA159" s="89">
        <f t="shared" si="127"/>
        <v>7425.4208332918315</v>
      </c>
      <c r="AB159" s="89">
        <f t="shared" si="127"/>
        <v>7511.6604906860903</v>
      </c>
      <c r="AC159" s="89">
        <f t="shared" si="127"/>
        <v>7595.4831041701145</v>
      </c>
      <c r="AD159" s="89">
        <f t="shared" si="127"/>
        <v>7676.3618291740222</v>
      </c>
      <c r="AE159" s="89">
        <f t="shared" si="127"/>
        <v>7753.9214867779492</v>
      </c>
      <c r="AF159" s="89">
        <f t="shared" si="127"/>
        <v>7827.8271081471939</v>
      </c>
      <c r="AG159" s="89">
        <f t="shared" si="98"/>
        <v>7898.4259690807585</v>
      </c>
      <c r="AH159" s="89">
        <f t="shared" si="99"/>
        <v>7967.332394482245</v>
      </c>
      <c r="AI159" s="89">
        <f t="shared" si="100"/>
        <v>8034.6989590284293</v>
      </c>
      <c r="AJ159" s="89">
        <f t="shared" si="101"/>
        <v>8101.0994824976115</v>
      </c>
      <c r="AK159" s="89">
        <f t="shared" si="102"/>
        <v>8164.7178187272293</v>
      </c>
      <c r="AL159" s="89">
        <f t="shared" si="103"/>
        <v>8224.2103508280761</v>
      </c>
      <c r="AM159" s="89">
        <f t="shared" si="104"/>
        <v>8278.7011203178172</v>
      </c>
      <c r="AN159" s="89">
        <f t="shared" si="105"/>
        <v>8328.8012607848723</v>
      </c>
      <c r="AO159" s="89">
        <f t="shared" si="106"/>
        <v>8374.6662017617364</v>
      </c>
      <c r="AP159" s="89">
        <f t="shared" si="107"/>
        <v>8416.0924796084018</v>
      </c>
      <c r="AQ159" s="89">
        <f t="shared" si="108"/>
        <v>8455.0489814988232</v>
      </c>
      <c r="AR159" s="89">
        <f t="shared" si="109"/>
        <v>8493.6875824493382</v>
      </c>
      <c r="AS159" s="89">
        <f t="shared" si="110"/>
        <v>8533.683635443942</v>
      </c>
      <c r="AT159" s="89">
        <f t="shared" si="111"/>
        <v>8563.8106623621243</v>
      </c>
      <c r="AU159" s="89">
        <f t="shared" si="112"/>
        <v>8586.5038453882498</v>
      </c>
      <c r="AV159" s="89">
        <f t="shared" si="113"/>
        <v>8603.5974855026743</v>
      </c>
      <c r="AW159" s="89">
        <f t="shared" si="114"/>
        <v>8616.4732699188698</v>
      </c>
      <c r="AX159" s="89">
        <f t="shared" si="115"/>
        <v>8626.1719545303658</v>
      </c>
      <c r="AY159" s="89">
        <f t="shared" si="116"/>
        <v>8633.4774887139756</v>
      </c>
      <c r="AZ159" s="89">
        <f t="shared" si="117"/>
        <v>8638.9803823377806</v>
      </c>
      <c r="BA159" s="89">
        <f t="shared" si="118"/>
        <v>8643.1254369599101</v>
      </c>
      <c r="BB159" s="89">
        <f t="shared" si="119"/>
        <v>8646.2476993540313</v>
      </c>
    </row>
    <row r="160" spans="2:54">
      <c r="B160" s="6" t="s">
        <v>2863</v>
      </c>
      <c r="C160" s="52"/>
      <c r="D160" s="89">
        <f t="shared" ref="D160:AF160" si="128">INDEX($D$58:$D$75,MATCH($B160,$B$58:$B$75,0))*C$14</f>
        <v>9006.3026946107784</v>
      </c>
      <c r="E160" s="89">
        <f t="shared" si="128"/>
        <v>9314.142222898854</v>
      </c>
      <c r="F160" s="89">
        <f t="shared" si="128"/>
        <v>9577.6149306990028</v>
      </c>
      <c r="G160" s="89">
        <f t="shared" si="128"/>
        <v>9811.2095453041711</v>
      </c>
      <c r="H160" s="89">
        <f t="shared" si="128"/>
        <v>10028.07683790812</v>
      </c>
      <c r="I160" s="89">
        <f t="shared" si="128"/>
        <v>10235.472512516895</v>
      </c>
      <c r="J160" s="89">
        <f t="shared" si="128"/>
        <v>10433.629792031008</v>
      </c>
      <c r="K160" s="89">
        <f t="shared" si="128"/>
        <v>10625.965878389774</v>
      </c>
      <c r="L160" s="89">
        <f t="shared" si="128"/>
        <v>10832.821082014234</v>
      </c>
      <c r="M160" s="89">
        <f t="shared" si="128"/>
        <v>11040.880133254146</v>
      </c>
      <c r="N160" s="89">
        <f t="shared" si="128"/>
        <v>11243.854365093041</v>
      </c>
      <c r="O160" s="89">
        <f t="shared" si="128"/>
        <v>11439.163889401831</v>
      </c>
      <c r="P160" s="89">
        <f t="shared" si="128"/>
        <v>11625.365291217353</v>
      </c>
      <c r="Q160" s="89">
        <f t="shared" si="128"/>
        <v>11806.153247893984</v>
      </c>
      <c r="R160" s="89">
        <f t="shared" si="128"/>
        <v>11985.677282947738</v>
      </c>
      <c r="S160" s="89">
        <f t="shared" si="128"/>
        <v>12164.425320304052</v>
      </c>
      <c r="T160" s="89">
        <f t="shared" si="128"/>
        <v>12339.042922536735</v>
      </c>
      <c r="U160" s="89">
        <f t="shared" si="128"/>
        <v>12510.06824656684</v>
      </c>
      <c r="V160" s="89">
        <f t="shared" si="128"/>
        <v>12685.29187392265</v>
      </c>
      <c r="W160" s="89">
        <f t="shared" si="128"/>
        <v>12858.035370877995</v>
      </c>
      <c r="X160" s="89">
        <f t="shared" si="128"/>
        <v>13026.462783661067</v>
      </c>
      <c r="Y160" s="89">
        <f t="shared" si="128"/>
        <v>13190.333496485684</v>
      </c>
      <c r="Z160" s="89">
        <f t="shared" si="128"/>
        <v>13352.820283001976</v>
      </c>
      <c r="AA160" s="89">
        <f t="shared" si="128"/>
        <v>13513.184840509446</v>
      </c>
      <c r="AB160" s="89">
        <f t="shared" si="128"/>
        <v>13670.128461230022</v>
      </c>
      <c r="AC160" s="89">
        <f t="shared" si="128"/>
        <v>13822.673413934346</v>
      </c>
      <c r="AD160" s="89">
        <f t="shared" si="128"/>
        <v>13969.860918209175</v>
      </c>
      <c r="AE160" s="89">
        <f t="shared" si="128"/>
        <v>14111.008203043111</v>
      </c>
      <c r="AF160" s="89">
        <f t="shared" si="128"/>
        <v>14245.505673925521</v>
      </c>
      <c r="AG160" s="89">
        <f t="shared" si="98"/>
        <v>14373.985322250281</v>
      </c>
      <c r="AH160" s="89">
        <f t="shared" si="99"/>
        <v>14499.384984310413</v>
      </c>
      <c r="AI160" s="89">
        <f t="shared" si="100"/>
        <v>14621.982323804117</v>
      </c>
      <c r="AJ160" s="89">
        <f t="shared" si="101"/>
        <v>14742.821609184775</v>
      </c>
      <c r="AK160" s="89">
        <f t="shared" si="102"/>
        <v>14858.597718851464</v>
      </c>
      <c r="AL160" s="89">
        <f t="shared" si="103"/>
        <v>14966.865465684648</v>
      </c>
      <c r="AM160" s="89">
        <f t="shared" si="104"/>
        <v>15066.030732778339</v>
      </c>
      <c r="AN160" s="89">
        <f t="shared" si="105"/>
        <v>15157.205694287783</v>
      </c>
      <c r="AO160" s="89">
        <f t="shared" si="106"/>
        <v>15240.673209332943</v>
      </c>
      <c r="AP160" s="89">
        <f t="shared" si="107"/>
        <v>15316.063003711522</v>
      </c>
      <c r="AQ160" s="89">
        <f t="shared" si="108"/>
        <v>15386.958165427432</v>
      </c>
      <c r="AR160" s="89">
        <f t="shared" si="109"/>
        <v>15457.2747937163</v>
      </c>
      <c r="AS160" s="89">
        <f t="shared" si="110"/>
        <v>15530.061787092309</v>
      </c>
      <c r="AT160" s="89">
        <f t="shared" si="111"/>
        <v>15584.888589852784</v>
      </c>
      <c r="AU160" s="89">
        <f t="shared" si="112"/>
        <v>15626.186879032119</v>
      </c>
      <c r="AV160" s="89">
        <f t="shared" si="113"/>
        <v>15657.294815356445</v>
      </c>
      <c r="AW160" s="89">
        <f t="shared" si="114"/>
        <v>15680.72686839275</v>
      </c>
      <c r="AX160" s="89">
        <f t="shared" si="115"/>
        <v>15698.377062342344</v>
      </c>
      <c r="AY160" s="89">
        <f t="shared" si="116"/>
        <v>15711.672070934877</v>
      </c>
      <c r="AZ160" s="89">
        <f t="shared" si="117"/>
        <v>15721.686536157202</v>
      </c>
      <c r="BA160" s="89">
        <f t="shared" si="118"/>
        <v>15729.229932085918</v>
      </c>
      <c r="BB160" s="89">
        <f t="shared" si="119"/>
        <v>15734.911995069226</v>
      </c>
    </row>
    <row r="161" spans="1:54">
      <c r="B161" s="6" t="s">
        <v>2862</v>
      </c>
      <c r="C161" s="52"/>
      <c r="D161" s="89">
        <f t="shared" ref="D161:AF161" si="129">INDEX($D$58:$D$75,MATCH($B161,$B$58:$B$75,0))*C$14</f>
        <v>18012.605389221557</v>
      </c>
      <c r="E161" s="89">
        <f t="shared" si="129"/>
        <v>18628.284445797708</v>
      </c>
      <c r="F161" s="89">
        <f t="shared" si="129"/>
        <v>19155.229861398006</v>
      </c>
      <c r="G161" s="89">
        <f t="shared" si="129"/>
        <v>19622.419090608342</v>
      </c>
      <c r="H161" s="89">
        <f t="shared" si="129"/>
        <v>20056.15367581624</v>
      </c>
      <c r="I161" s="89">
        <f t="shared" si="129"/>
        <v>20470.94502503379</v>
      </c>
      <c r="J161" s="89">
        <f t="shared" si="129"/>
        <v>20867.259584062016</v>
      </c>
      <c r="K161" s="89">
        <f t="shared" si="129"/>
        <v>21251.931756779548</v>
      </c>
      <c r="L161" s="89">
        <f t="shared" si="129"/>
        <v>21665.642164028468</v>
      </c>
      <c r="M161" s="89">
        <f t="shared" si="129"/>
        <v>22081.760266508292</v>
      </c>
      <c r="N161" s="89">
        <f t="shared" si="129"/>
        <v>22487.708730186081</v>
      </c>
      <c r="O161" s="89">
        <f t="shared" si="129"/>
        <v>22878.327778803661</v>
      </c>
      <c r="P161" s="89">
        <f t="shared" si="129"/>
        <v>23250.730582434706</v>
      </c>
      <c r="Q161" s="89">
        <f t="shared" si="129"/>
        <v>23612.306495787969</v>
      </c>
      <c r="R161" s="89">
        <f t="shared" si="129"/>
        <v>23971.354565895475</v>
      </c>
      <c r="S161" s="89">
        <f t="shared" si="129"/>
        <v>24328.850640608103</v>
      </c>
      <c r="T161" s="89">
        <f t="shared" si="129"/>
        <v>24678.08584507347</v>
      </c>
      <c r="U161" s="89">
        <f t="shared" si="129"/>
        <v>25020.136493133679</v>
      </c>
      <c r="V161" s="89">
        <f t="shared" si="129"/>
        <v>25370.5837478453</v>
      </c>
      <c r="W161" s="89">
        <f t="shared" si="129"/>
        <v>25716.07074175599</v>
      </c>
      <c r="X161" s="89">
        <f t="shared" si="129"/>
        <v>26052.925567322134</v>
      </c>
      <c r="Y161" s="89">
        <f t="shared" si="129"/>
        <v>26380.666992971368</v>
      </c>
      <c r="Z161" s="89">
        <f t="shared" si="129"/>
        <v>26705.640566003953</v>
      </c>
      <c r="AA161" s="89">
        <f t="shared" si="129"/>
        <v>27026.369681018892</v>
      </c>
      <c r="AB161" s="89">
        <f t="shared" si="129"/>
        <v>27340.256922460045</v>
      </c>
      <c r="AC161" s="89">
        <f t="shared" si="129"/>
        <v>27645.346827868692</v>
      </c>
      <c r="AD161" s="89">
        <f t="shared" si="129"/>
        <v>27939.72183641835</v>
      </c>
      <c r="AE161" s="89">
        <f t="shared" si="129"/>
        <v>28222.016406086223</v>
      </c>
      <c r="AF161" s="89">
        <f t="shared" si="129"/>
        <v>28491.011347851043</v>
      </c>
      <c r="AG161" s="89">
        <f t="shared" si="98"/>
        <v>28747.970644500561</v>
      </c>
      <c r="AH161" s="89">
        <f t="shared" si="99"/>
        <v>28998.769968620825</v>
      </c>
      <c r="AI161" s="89">
        <f t="shared" si="100"/>
        <v>29243.964647608234</v>
      </c>
      <c r="AJ161" s="89">
        <f t="shared" si="101"/>
        <v>29485.643218369551</v>
      </c>
      <c r="AK161" s="89">
        <f t="shared" si="102"/>
        <v>29717.195437702929</v>
      </c>
      <c r="AL161" s="89">
        <f t="shared" si="103"/>
        <v>29933.730931369297</v>
      </c>
      <c r="AM161" s="89">
        <f t="shared" si="104"/>
        <v>30132.061465556679</v>
      </c>
      <c r="AN161" s="89">
        <f t="shared" si="105"/>
        <v>30314.411388575565</v>
      </c>
      <c r="AO161" s="89">
        <f t="shared" si="106"/>
        <v>30481.346418665886</v>
      </c>
      <c r="AP161" s="89">
        <f t="shared" si="107"/>
        <v>30632.126007423045</v>
      </c>
      <c r="AQ161" s="89">
        <f t="shared" si="108"/>
        <v>30773.916330854863</v>
      </c>
      <c r="AR161" s="89">
        <f t="shared" si="109"/>
        <v>30914.549587432601</v>
      </c>
      <c r="AS161" s="89">
        <f t="shared" si="110"/>
        <v>31060.123574184618</v>
      </c>
      <c r="AT161" s="89">
        <f t="shared" si="111"/>
        <v>31169.777179705568</v>
      </c>
      <c r="AU161" s="89">
        <f t="shared" si="112"/>
        <v>31252.373758064237</v>
      </c>
      <c r="AV161" s="89">
        <f t="shared" si="113"/>
        <v>31314.58963071289</v>
      </c>
      <c r="AW161" s="89">
        <f t="shared" si="114"/>
        <v>31361.453736785501</v>
      </c>
      <c r="AX161" s="89">
        <f t="shared" si="115"/>
        <v>31396.754124684689</v>
      </c>
      <c r="AY161" s="89">
        <f t="shared" si="116"/>
        <v>31423.344141869755</v>
      </c>
      <c r="AZ161" s="89">
        <f t="shared" si="117"/>
        <v>31443.373072314404</v>
      </c>
      <c r="BA161" s="89">
        <f t="shared" si="118"/>
        <v>31458.459864171837</v>
      </c>
      <c r="BB161" s="89">
        <f t="shared" si="119"/>
        <v>31469.823990138451</v>
      </c>
    </row>
    <row r="162" spans="1:54">
      <c r="B162" s="6" t="s">
        <v>131</v>
      </c>
      <c r="C162" s="52"/>
      <c r="D162" s="89">
        <f t="shared" ref="D162:AF162" si="130">INDEX($D$58:$D$75,MATCH($B162,$B$58:$B$75,0))*C$14</f>
        <v>514.2185989664506</v>
      </c>
      <c r="E162" s="89">
        <f t="shared" si="130"/>
        <v>531.79482489515601</v>
      </c>
      <c r="F162" s="89">
        <f t="shared" si="130"/>
        <v>546.83790875152692</v>
      </c>
      <c r="G162" s="89">
        <f t="shared" si="130"/>
        <v>560.17509044765791</v>
      </c>
      <c r="H162" s="89">
        <f t="shared" si="130"/>
        <v>572.55721873557115</v>
      </c>
      <c r="I162" s="89">
        <f t="shared" si="130"/>
        <v>584.3985610538615</v>
      </c>
      <c r="J162" s="89">
        <f t="shared" si="130"/>
        <v>595.71243336105397</v>
      </c>
      <c r="K162" s="89">
        <f t="shared" si="130"/>
        <v>606.69394222342839</v>
      </c>
      <c r="L162" s="89">
        <f t="shared" si="130"/>
        <v>618.50442612603354</v>
      </c>
      <c r="M162" s="89">
        <f t="shared" si="130"/>
        <v>630.38364420904293</v>
      </c>
      <c r="N162" s="89">
        <f t="shared" si="130"/>
        <v>641.97254241306871</v>
      </c>
      <c r="O162" s="89">
        <f t="shared" si="130"/>
        <v>653.12382095214855</v>
      </c>
      <c r="P162" s="89">
        <f t="shared" si="130"/>
        <v>663.75506744850054</v>
      </c>
      <c r="Q162" s="89">
        <f t="shared" si="130"/>
        <v>674.0772310426571</v>
      </c>
      <c r="R162" s="89">
        <f t="shared" si="130"/>
        <v>684.32723050596462</v>
      </c>
      <c r="S162" s="89">
        <f t="shared" si="130"/>
        <v>694.53292405792206</v>
      </c>
      <c r="T162" s="89">
        <f t="shared" si="130"/>
        <v>704.50278869823671</v>
      </c>
      <c r="U162" s="89">
        <f t="shared" si="130"/>
        <v>714.26755072018921</v>
      </c>
      <c r="V162" s="89">
        <f t="shared" si="130"/>
        <v>724.27201661701508</v>
      </c>
      <c r="W162" s="89">
        <f t="shared" si="130"/>
        <v>734.13487843689325</v>
      </c>
      <c r="X162" s="89">
        <f t="shared" si="130"/>
        <v>743.75131163546666</v>
      </c>
      <c r="Y162" s="89">
        <f t="shared" si="130"/>
        <v>753.1075781543268</v>
      </c>
      <c r="Z162" s="89">
        <f t="shared" si="130"/>
        <v>762.38482882490064</v>
      </c>
      <c r="AA162" s="89">
        <f t="shared" si="130"/>
        <v>771.54090994736953</v>
      </c>
      <c r="AB162" s="89">
        <f t="shared" si="130"/>
        <v>780.50167126088263</v>
      </c>
      <c r="AC162" s="89">
        <f t="shared" si="130"/>
        <v>789.21128879416392</v>
      </c>
      <c r="AD162" s="89">
        <f t="shared" si="130"/>
        <v>797.61502058066719</v>
      </c>
      <c r="AE162" s="89">
        <f t="shared" si="130"/>
        <v>805.67388352546436</v>
      </c>
      <c r="AF162" s="89">
        <f t="shared" si="130"/>
        <v>813.35307257637965</v>
      </c>
      <c r="AG162" s="89">
        <f t="shared" si="98"/>
        <v>820.68867154495445</v>
      </c>
      <c r="AH162" s="89">
        <f t="shared" si="99"/>
        <v>827.84841741647767</v>
      </c>
      <c r="AI162" s="89">
        <f t="shared" si="100"/>
        <v>834.84816351530583</v>
      </c>
      <c r="AJ162" s="89">
        <f t="shared" si="101"/>
        <v>841.74753278319997</v>
      </c>
      <c r="AK162" s="89">
        <f t="shared" si="102"/>
        <v>848.35781792742614</v>
      </c>
      <c r="AL162" s="89">
        <f t="shared" si="103"/>
        <v>854.53940997219809</v>
      </c>
      <c r="AM162" s="89">
        <f t="shared" si="104"/>
        <v>860.20129214961651</v>
      </c>
      <c r="AN162" s="89">
        <f t="shared" si="105"/>
        <v>865.40696450573887</v>
      </c>
      <c r="AO162" s="89">
        <f t="shared" si="106"/>
        <v>870.172576999689</v>
      </c>
      <c r="AP162" s="89">
        <f t="shared" si="107"/>
        <v>874.47698867185272</v>
      </c>
      <c r="AQ162" s="89">
        <f t="shared" si="108"/>
        <v>878.52477742237613</v>
      </c>
      <c r="AR162" s="89">
        <f t="shared" si="109"/>
        <v>882.53953456621309</v>
      </c>
      <c r="AS162" s="89">
        <f t="shared" si="110"/>
        <v>886.695338232371</v>
      </c>
      <c r="AT162" s="89">
        <f t="shared" si="111"/>
        <v>889.82569734390427</v>
      </c>
      <c r="AU162" s="89">
        <f t="shared" si="112"/>
        <v>892.18364034466708</v>
      </c>
      <c r="AV162" s="89">
        <f t="shared" si="113"/>
        <v>893.95976090999136</v>
      </c>
      <c r="AW162" s="89">
        <f t="shared" si="114"/>
        <v>895.29762372582206</v>
      </c>
      <c r="AX162" s="89">
        <f t="shared" si="115"/>
        <v>896.30536889184646</v>
      </c>
      <c r="AY162" s="89">
        <f t="shared" si="116"/>
        <v>897.06445293815432</v>
      </c>
      <c r="AZ162" s="89">
        <f t="shared" si="117"/>
        <v>897.6362329960358</v>
      </c>
      <c r="BA162" s="89">
        <f t="shared" si="118"/>
        <v>898.06692632463501</v>
      </c>
      <c r="BB162" s="89">
        <f t="shared" si="119"/>
        <v>898.39134607440235</v>
      </c>
    </row>
    <row r="163" spans="1:54" ht="29">
      <c r="B163" s="6" t="s">
        <v>2869</v>
      </c>
      <c r="C163" s="52"/>
      <c r="D163" s="89">
        <f t="shared" ref="D163:AF163" si="131">INDEX($D$58:$D$75,MATCH($B163,$B$58:$B$75,0))*C$14</f>
        <v>3579.1280838323355</v>
      </c>
      <c r="E163" s="89">
        <f t="shared" si="131"/>
        <v>3701.4643119572074</v>
      </c>
      <c r="F163" s="89">
        <f t="shared" si="131"/>
        <v>3806.1690503816817</v>
      </c>
      <c r="G163" s="89">
        <f t="shared" si="131"/>
        <v>3899.0001569650344</v>
      </c>
      <c r="H163" s="89">
        <f t="shared" si="131"/>
        <v>3985.1837823375126</v>
      </c>
      <c r="I163" s="89">
        <f t="shared" si="131"/>
        <v>4067.6033621171046</v>
      </c>
      <c r="J163" s="89">
        <f t="shared" si="131"/>
        <v>4146.3515796902448</v>
      </c>
      <c r="K163" s="89">
        <f t="shared" si="131"/>
        <v>4222.7864399834689</v>
      </c>
      <c r="L163" s="89">
        <f t="shared" si="131"/>
        <v>4304.991235190073</v>
      </c>
      <c r="M163" s="89">
        <f t="shared" si="131"/>
        <v>4387.6744425659344</v>
      </c>
      <c r="N163" s="89">
        <f t="shared" si="131"/>
        <v>4468.3369295045077</v>
      </c>
      <c r="O163" s="89">
        <f t="shared" si="131"/>
        <v>4545.9534417622863</v>
      </c>
      <c r="P163" s="89">
        <f t="shared" si="131"/>
        <v>4619.9503624837798</v>
      </c>
      <c r="Q163" s="89">
        <f t="shared" si="131"/>
        <v>4691.7959660461811</v>
      </c>
      <c r="R163" s="89">
        <f t="shared" si="131"/>
        <v>4763.1392838727379</v>
      </c>
      <c r="S163" s="89">
        <f t="shared" si="131"/>
        <v>4834.1742181987529</v>
      </c>
      <c r="T163" s="89">
        <f t="shared" si="131"/>
        <v>4903.5677068782352</v>
      </c>
      <c r="U163" s="89">
        <f t="shared" si="131"/>
        <v>4971.5336148694196</v>
      </c>
      <c r="V163" s="89">
        <f t="shared" si="131"/>
        <v>5041.1679395069232</v>
      </c>
      <c r="W163" s="89">
        <f t="shared" si="131"/>
        <v>5109.8166538813848</v>
      </c>
      <c r="X163" s="89">
        <f t="shared" si="131"/>
        <v>5176.7501451951775</v>
      </c>
      <c r="Y163" s="89">
        <f t="shared" si="131"/>
        <v>5241.8727921098953</v>
      </c>
      <c r="Z163" s="89">
        <f t="shared" si="131"/>
        <v>5306.4454631150711</v>
      </c>
      <c r="AA163" s="89">
        <f t="shared" si="131"/>
        <v>5370.1747547998584</v>
      </c>
      <c r="AB163" s="89">
        <f t="shared" si="131"/>
        <v>5432.5445573199841</v>
      </c>
      <c r="AC163" s="89">
        <f t="shared" si="131"/>
        <v>5493.1663177453383</v>
      </c>
      <c r="AD163" s="89">
        <f t="shared" si="131"/>
        <v>5551.6590142493606</v>
      </c>
      <c r="AE163" s="89">
        <f t="shared" si="131"/>
        <v>5607.7513118586912</v>
      </c>
      <c r="AF163" s="89">
        <f t="shared" si="131"/>
        <v>5661.2009561314417</v>
      </c>
      <c r="AG163" s="89">
        <f t="shared" si="98"/>
        <v>5712.2591020890732</v>
      </c>
      <c r="AH163" s="89">
        <f t="shared" si="99"/>
        <v>5762.0932535051779</v>
      </c>
      <c r="AI163" s="89">
        <f t="shared" si="100"/>
        <v>5810.8137546546232</v>
      </c>
      <c r="AJ163" s="89">
        <f t="shared" si="101"/>
        <v>5858.8356005331716</v>
      </c>
      <c r="AK163" s="89">
        <f t="shared" si="102"/>
        <v>5904.8453272318811</v>
      </c>
      <c r="AL163" s="89">
        <f t="shared" si="103"/>
        <v>5947.8712110383149</v>
      </c>
      <c r="AM163" s="89">
        <f t="shared" si="104"/>
        <v>5987.2797457534707</v>
      </c>
      <c r="AN163" s="89">
        <f t="shared" si="105"/>
        <v>6023.5129122754051</v>
      </c>
      <c r="AO163" s="89">
        <f t="shared" si="106"/>
        <v>6056.6831195530922</v>
      </c>
      <c r="AP163" s="89">
        <f t="shared" si="107"/>
        <v>6086.6432196567876</v>
      </c>
      <c r="AQ163" s="89">
        <f t="shared" si="108"/>
        <v>6114.817141065967</v>
      </c>
      <c r="AR163" s="89">
        <f t="shared" si="109"/>
        <v>6142.7611517885562</v>
      </c>
      <c r="AS163" s="89">
        <f t="shared" si="110"/>
        <v>6171.6868920133074</v>
      </c>
      <c r="AT163" s="89">
        <f t="shared" si="111"/>
        <v>6193.4752058375998</v>
      </c>
      <c r="AU163" s="89">
        <f t="shared" si="112"/>
        <v>6209.887253225751</v>
      </c>
      <c r="AV163" s="89">
        <f t="shared" si="113"/>
        <v>6222.2496279208735</v>
      </c>
      <c r="AW163" s="89">
        <f t="shared" si="114"/>
        <v>6231.5615866599765</v>
      </c>
      <c r="AX163" s="89">
        <f t="shared" si="115"/>
        <v>6238.5758195802055</v>
      </c>
      <c r="AY163" s="89">
        <f t="shared" si="116"/>
        <v>6243.8592905273672</v>
      </c>
      <c r="AZ163" s="89">
        <f t="shared" si="117"/>
        <v>6247.8390650183173</v>
      </c>
      <c r="BA163" s="89">
        <f t="shared" si="118"/>
        <v>6250.8368301536257</v>
      </c>
      <c r="BB163" s="89">
        <f t="shared" si="119"/>
        <v>6253.0948967417962</v>
      </c>
    </row>
    <row r="164" spans="1:54" ht="29">
      <c r="B164" s="6" t="s">
        <v>2870</v>
      </c>
      <c r="C164" s="52"/>
      <c r="D164" s="89">
        <f t="shared" ref="D164:AF164" si="132">INDEX($D$58:$D$75,MATCH($B164,$B$58:$B$75,0))*C$14</f>
        <v>4912.9560118119916</v>
      </c>
      <c r="E164" s="89">
        <f t="shared" si="132"/>
        <v>5080.8830860464905</v>
      </c>
      <c r="F164" s="89">
        <f t="shared" si="132"/>
        <v>5224.6079715657934</v>
      </c>
      <c r="G164" s="89">
        <f t="shared" si="132"/>
        <v>5352.0342978914787</v>
      </c>
      <c r="H164" s="89">
        <f t="shared" si="132"/>
        <v>5470.3358368350355</v>
      </c>
      <c r="I164" s="89">
        <f t="shared" si="132"/>
        <v>5583.4705893459295</v>
      </c>
      <c r="J164" s="89">
        <f t="shared" si="132"/>
        <v>5691.5657789797087</v>
      </c>
      <c r="K164" s="89">
        <f t="shared" si="132"/>
        <v>5796.485496182876</v>
      </c>
      <c r="L164" s="89">
        <f t="shared" si="132"/>
        <v>5909.3254206981283</v>
      </c>
      <c r="M164" s="89">
        <f t="shared" si="132"/>
        <v>6022.8220464791693</v>
      </c>
      <c r="N164" s="89">
        <f t="shared" si="132"/>
        <v>6133.5448931754645</v>
      </c>
      <c r="O164" s="89">
        <f t="shared" si="132"/>
        <v>6240.0866266873954</v>
      </c>
      <c r="P164" s="89">
        <f t="shared" si="132"/>
        <v>6341.6598612850721</v>
      </c>
      <c r="Q164" s="89">
        <f t="shared" si="132"/>
        <v>6440.2800508051459</v>
      </c>
      <c r="R164" s="89">
        <f t="shared" si="132"/>
        <v>6538.2107685690353</v>
      </c>
      <c r="S164" s="89">
        <f t="shared" si="132"/>
        <v>6635.7181780473757</v>
      </c>
      <c r="T164" s="89">
        <f t="shared" si="132"/>
        <v>6730.9724269602621</v>
      </c>
      <c r="U164" s="89">
        <f t="shared" si="132"/>
        <v>6824.2670809772299</v>
      </c>
      <c r="V164" s="89">
        <f t="shared" si="132"/>
        <v>6919.85191779871</v>
      </c>
      <c r="W164" s="89">
        <f t="shared" si="132"/>
        <v>7014.0838385597153</v>
      </c>
      <c r="X164" s="89">
        <f t="shared" si="132"/>
        <v>7105.9613268304229</v>
      </c>
      <c r="Y164" s="89">
        <f t="shared" si="132"/>
        <v>7195.353126221461</v>
      </c>
      <c r="Z164" s="89">
        <f t="shared" si="132"/>
        <v>7283.9899910620034</v>
      </c>
      <c r="AA164" s="89">
        <f t="shared" si="132"/>
        <v>7371.4691757622177</v>
      </c>
      <c r="AB164" s="89">
        <f t="shared" si="132"/>
        <v>7457.0822326491561</v>
      </c>
      <c r="AC164" s="89">
        <f t="shared" si="132"/>
        <v>7540.2958073948439</v>
      </c>
      <c r="AD164" s="89">
        <f t="shared" si="132"/>
        <v>7620.5868833791465</v>
      </c>
      <c r="AE164" s="89">
        <f t="shared" si="132"/>
        <v>7697.5830076589546</v>
      </c>
      <c r="AF164" s="89">
        <f t="shared" si="132"/>
        <v>7770.9516452176995</v>
      </c>
      <c r="AG164" s="89">
        <f t="shared" si="98"/>
        <v>7841.0375486162529</v>
      </c>
      <c r="AH164" s="89">
        <f t="shared" si="99"/>
        <v>7909.4433133887578</v>
      </c>
      <c r="AI164" s="89">
        <f t="shared" si="100"/>
        <v>7976.3204056341874</v>
      </c>
      <c r="AJ164" s="89">
        <f t="shared" si="101"/>
        <v>8042.2384758684047</v>
      </c>
      <c r="AK164" s="89">
        <f t="shared" si="102"/>
        <v>8105.394573692156</v>
      </c>
      <c r="AL164" s="89">
        <f t="shared" si="103"/>
        <v>8164.4548446741337</v>
      </c>
      <c r="AM164" s="89">
        <f t="shared" si="104"/>
        <v>8218.5496948752516</v>
      </c>
      <c r="AN164" s="89">
        <f t="shared" si="105"/>
        <v>8268.2858175066394</v>
      </c>
      <c r="AO164" s="89">
        <f t="shared" si="106"/>
        <v>8313.8175127801624</v>
      </c>
      <c r="AP164" s="89">
        <f t="shared" si="107"/>
        <v>8354.9427953828817</v>
      </c>
      <c r="AQ164" s="89">
        <f t="shared" si="108"/>
        <v>8393.6162469390893</v>
      </c>
      <c r="AR164" s="89">
        <f t="shared" si="109"/>
        <v>8431.9741073615314</v>
      </c>
      <c r="AS164" s="89">
        <f t="shared" si="110"/>
        <v>8471.6795568466296</v>
      </c>
      <c r="AT164" s="89">
        <f t="shared" si="111"/>
        <v>8501.5876866712788</v>
      </c>
      <c r="AU164" s="89">
        <f t="shared" si="112"/>
        <v>8524.1159854616999</v>
      </c>
      <c r="AV164" s="89">
        <f t="shared" si="113"/>
        <v>8541.0854265255803</v>
      </c>
      <c r="AW164" s="89">
        <f t="shared" si="114"/>
        <v>8553.8676580069514</v>
      </c>
      <c r="AX164" s="89">
        <f t="shared" si="115"/>
        <v>8563.4958738702935</v>
      </c>
      <c r="AY164" s="89">
        <f t="shared" si="116"/>
        <v>8570.748327469355</v>
      </c>
      <c r="AZ164" s="89">
        <f t="shared" si="117"/>
        <v>8576.2112381428487</v>
      </c>
      <c r="BA164" s="89">
        <f t="shared" si="118"/>
        <v>8580.3261756076572</v>
      </c>
      <c r="BB164" s="89">
        <f t="shared" si="119"/>
        <v>8583.4257522530261</v>
      </c>
    </row>
    <row r="165" spans="1:54">
      <c r="B165" s="6" t="s">
        <v>102</v>
      </c>
      <c r="C165" s="52"/>
      <c r="D165" s="89">
        <f t="shared" ref="D165:AF165" si="133">INDEX($D$58:$D$75,MATCH($B165,$B$58:$B$75,0))*C$14</f>
        <v>85.703099827741752</v>
      </c>
      <c r="E165" s="89">
        <f t="shared" si="133"/>
        <v>88.632470815859321</v>
      </c>
      <c r="F165" s="89">
        <f t="shared" si="133"/>
        <v>91.139651458587807</v>
      </c>
      <c r="G165" s="89">
        <f t="shared" si="133"/>
        <v>93.362515074609632</v>
      </c>
      <c r="H165" s="89">
        <f t="shared" si="133"/>
        <v>95.426203122595183</v>
      </c>
      <c r="I165" s="89">
        <f t="shared" si="133"/>
        <v>97.399760175643564</v>
      </c>
      <c r="J165" s="89">
        <f t="shared" si="133"/>
        <v>99.285405560175647</v>
      </c>
      <c r="K165" s="89">
        <f t="shared" si="133"/>
        <v>101.11565703723805</v>
      </c>
      <c r="L165" s="89">
        <f t="shared" si="133"/>
        <v>103.08407102100558</v>
      </c>
      <c r="M165" s="89">
        <f t="shared" si="133"/>
        <v>105.06394070150715</v>
      </c>
      <c r="N165" s="89">
        <f t="shared" si="133"/>
        <v>106.99542373551145</v>
      </c>
      <c r="O165" s="89">
        <f t="shared" si="133"/>
        <v>108.85397015869141</v>
      </c>
      <c r="P165" s="89">
        <f t="shared" si="133"/>
        <v>110.62584457475009</v>
      </c>
      <c r="Q165" s="89">
        <f t="shared" si="133"/>
        <v>112.34620517377617</v>
      </c>
      <c r="R165" s="89">
        <f t="shared" si="133"/>
        <v>114.05453841766075</v>
      </c>
      <c r="S165" s="89">
        <f t="shared" si="133"/>
        <v>115.755487342987</v>
      </c>
      <c r="T165" s="89">
        <f t="shared" si="133"/>
        <v>117.41713144970612</v>
      </c>
      <c r="U165" s="89">
        <f t="shared" si="133"/>
        <v>119.04459178669819</v>
      </c>
      <c r="V165" s="89">
        <f t="shared" si="133"/>
        <v>120.7120027695025</v>
      </c>
      <c r="W165" s="89">
        <f t="shared" si="133"/>
        <v>122.35581307281554</v>
      </c>
      <c r="X165" s="89">
        <f t="shared" si="133"/>
        <v>123.95855193924443</v>
      </c>
      <c r="Y165" s="89">
        <f t="shared" si="133"/>
        <v>125.5179296923878</v>
      </c>
      <c r="Z165" s="89">
        <f t="shared" si="133"/>
        <v>127.06413813748344</v>
      </c>
      <c r="AA165" s="89">
        <f t="shared" si="133"/>
        <v>128.59015165789492</v>
      </c>
      <c r="AB165" s="89">
        <f t="shared" si="133"/>
        <v>130.08361187681376</v>
      </c>
      <c r="AC165" s="89">
        <f t="shared" si="133"/>
        <v>131.53521479902733</v>
      </c>
      <c r="AD165" s="89">
        <f t="shared" si="133"/>
        <v>132.93583676344451</v>
      </c>
      <c r="AE165" s="89">
        <f t="shared" si="133"/>
        <v>134.27898058757739</v>
      </c>
      <c r="AF165" s="89">
        <f t="shared" si="133"/>
        <v>135.5588454293966</v>
      </c>
      <c r="AG165" s="89">
        <f t="shared" si="98"/>
        <v>136.78144525749241</v>
      </c>
      <c r="AH165" s="89">
        <f t="shared" si="99"/>
        <v>137.97473623607962</v>
      </c>
      <c r="AI165" s="89">
        <f t="shared" si="100"/>
        <v>139.14136058588429</v>
      </c>
      <c r="AJ165" s="89">
        <f t="shared" si="101"/>
        <v>140.29125546386663</v>
      </c>
      <c r="AK165" s="89">
        <f t="shared" si="102"/>
        <v>141.392969654571</v>
      </c>
      <c r="AL165" s="89">
        <f t="shared" si="103"/>
        <v>142.42323499536633</v>
      </c>
      <c r="AM165" s="89">
        <f t="shared" si="104"/>
        <v>143.36688202493607</v>
      </c>
      <c r="AN165" s="89">
        <f t="shared" si="105"/>
        <v>144.23449408428982</v>
      </c>
      <c r="AO165" s="89">
        <f t="shared" si="106"/>
        <v>145.02876283328149</v>
      </c>
      <c r="AP165" s="89">
        <f t="shared" si="107"/>
        <v>145.74616477864211</v>
      </c>
      <c r="AQ165" s="89">
        <f t="shared" si="108"/>
        <v>146.42079623706269</v>
      </c>
      <c r="AR165" s="89">
        <f t="shared" si="109"/>
        <v>147.08992242770219</v>
      </c>
      <c r="AS165" s="89">
        <f t="shared" si="110"/>
        <v>147.78255637206183</v>
      </c>
      <c r="AT165" s="89">
        <f t="shared" si="111"/>
        <v>148.30428289065071</v>
      </c>
      <c r="AU165" s="89">
        <f t="shared" si="112"/>
        <v>148.69727339077784</v>
      </c>
      <c r="AV165" s="89">
        <f t="shared" si="113"/>
        <v>148.99329348499853</v>
      </c>
      <c r="AW165" s="89">
        <f t="shared" si="114"/>
        <v>149.21627062097033</v>
      </c>
      <c r="AX165" s="89">
        <f t="shared" si="115"/>
        <v>149.38422814864106</v>
      </c>
      <c r="AY165" s="89">
        <f t="shared" si="116"/>
        <v>149.51074215635904</v>
      </c>
      <c r="AZ165" s="89">
        <f t="shared" si="117"/>
        <v>149.60603883267262</v>
      </c>
      <c r="BA165" s="89">
        <f t="shared" si="118"/>
        <v>149.67782105410583</v>
      </c>
      <c r="BB165" s="89">
        <f t="shared" si="119"/>
        <v>149.73189101240038</v>
      </c>
    </row>
    <row r="166" spans="1:54">
      <c r="B166" s="6" t="s">
        <v>2831</v>
      </c>
      <c r="C166" s="52"/>
      <c r="D166" s="89">
        <f t="shared" ref="D166:AF166" si="134">INDEX($D$58:$D$75,MATCH($B166,$B$58:$B$75,0))*C$14</f>
        <v>224985.90765249773</v>
      </c>
      <c r="E166" s="89">
        <f t="shared" si="134"/>
        <v>232676.0284525296</v>
      </c>
      <c r="F166" s="89">
        <f t="shared" si="134"/>
        <v>239257.82436990959</v>
      </c>
      <c r="G166" s="89">
        <f t="shared" si="134"/>
        <v>245093.23743248938</v>
      </c>
      <c r="H166" s="89">
        <f t="shared" si="134"/>
        <v>250510.78626702228</v>
      </c>
      <c r="I166" s="89">
        <f t="shared" si="134"/>
        <v>255691.72518027676</v>
      </c>
      <c r="J166" s="89">
        <f t="shared" si="134"/>
        <v>260641.8802995478</v>
      </c>
      <c r="K166" s="89">
        <f t="shared" si="134"/>
        <v>265446.61654160748</v>
      </c>
      <c r="L166" s="89">
        <f t="shared" si="134"/>
        <v>270614.05398160603</v>
      </c>
      <c r="M166" s="89">
        <f t="shared" si="134"/>
        <v>275811.56466671103</v>
      </c>
      <c r="N166" s="89">
        <f t="shared" si="134"/>
        <v>280882.0517832131</v>
      </c>
      <c r="O166" s="89">
        <f t="shared" si="134"/>
        <v>285761.06730043358</v>
      </c>
      <c r="P166" s="89">
        <f t="shared" si="134"/>
        <v>290412.55335571582</v>
      </c>
      <c r="Q166" s="89">
        <f t="shared" si="134"/>
        <v>294928.80646253971</v>
      </c>
      <c r="R166" s="89">
        <f t="shared" si="134"/>
        <v>299413.48561907932</v>
      </c>
      <c r="S166" s="89">
        <f t="shared" si="134"/>
        <v>303878.77962366317</v>
      </c>
      <c r="T166" s="89">
        <f t="shared" si="134"/>
        <v>308240.89147605863</v>
      </c>
      <c r="U166" s="89">
        <f t="shared" si="134"/>
        <v>312513.26484204602</v>
      </c>
      <c r="V166" s="89">
        <f t="shared" si="134"/>
        <v>316890.51577170886</v>
      </c>
      <c r="W166" s="89">
        <f t="shared" si="134"/>
        <v>321205.8107125308</v>
      </c>
      <c r="X166" s="89">
        <f t="shared" si="134"/>
        <v>325413.28581341059</v>
      </c>
      <c r="Y166" s="89">
        <f t="shared" si="134"/>
        <v>329506.93026581942</v>
      </c>
      <c r="Z166" s="89">
        <f t="shared" si="134"/>
        <v>333566.00293809158</v>
      </c>
      <c r="AA166" s="89">
        <f t="shared" si="134"/>
        <v>337572.0603347299</v>
      </c>
      <c r="AB166" s="89">
        <f t="shared" si="134"/>
        <v>341492.65951459284</v>
      </c>
      <c r="AC166" s="89">
        <f t="shared" si="134"/>
        <v>345303.37583245838</v>
      </c>
      <c r="AD166" s="89">
        <f t="shared" si="134"/>
        <v>348980.25805230578</v>
      </c>
      <c r="AE166" s="89">
        <f t="shared" si="134"/>
        <v>352506.24991243402</v>
      </c>
      <c r="AF166" s="89">
        <f t="shared" si="134"/>
        <v>355866.12316892046</v>
      </c>
      <c r="AG166" s="89">
        <f t="shared" si="98"/>
        <v>359075.66556088522</v>
      </c>
      <c r="AH166" s="89">
        <f t="shared" si="99"/>
        <v>362208.26700063009</v>
      </c>
      <c r="AI166" s="89">
        <f t="shared" si="100"/>
        <v>365270.86378835264</v>
      </c>
      <c r="AJ166" s="89">
        <f t="shared" si="101"/>
        <v>368289.54273167922</v>
      </c>
      <c r="AK166" s="89">
        <f t="shared" si="102"/>
        <v>371181.7387860514</v>
      </c>
      <c r="AL166" s="89">
        <f t="shared" si="103"/>
        <v>373886.3688786343</v>
      </c>
      <c r="AM166" s="89">
        <f t="shared" si="104"/>
        <v>376363.61047057266</v>
      </c>
      <c r="AN166" s="89">
        <f t="shared" si="105"/>
        <v>378641.2467177597</v>
      </c>
      <c r="AO166" s="89">
        <f t="shared" si="106"/>
        <v>380726.34370691277</v>
      </c>
      <c r="AP166" s="89">
        <f t="shared" si="107"/>
        <v>382609.65164038353</v>
      </c>
      <c r="AQ166" s="89">
        <f t="shared" si="108"/>
        <v>384380.67942477827</v>
      </c>
      <c r="AR166" s="89">
        <f t="shared" si="109"/>
        <v>386137.25490031729</v>
      </c>
      <c r="AS166" s="89">
        <f t="shared" si="110"/>
        <v>387955.54241799051</v>
      </c>
      <c r="AT166" s="89">
        <f t="shared" si="111"/>
        <v>389325.16749067779</v>
      </c>
      <c r="AU166" s="89">
        <f t="shared" si="112"/>
        <v>390356.83757667965</v>
      </c>
      <c r="AV166" s="89">
        <f t="shared" si="113"/>
        <v>391133.94306896039</v>
      </c>
      <c r="AW166" s="89">
        <f t="shared" si="114"/>
        <v>391719.29778102098</v>
      </c>
      <c r="AX166" s="89">
        <f t="shared" si="115"/>
        <v>392160.2162178806</v>
      </c>
      <c r="AY166" s="89">
        <f t="shared" si="116"/>
        <v>392492.33803044504</v>
      </c>
      <c r="AZ166" s="89">
        <f t="shared" si="117"/>
        <v>392742.50878575927</v>
      </c>
      <c r="BA166" s="89">
        <f t="shared" si="118"/>
        <v>392930.94990719971</v>
      </c>
      <c r="BB166" s="89">
        <f t="shared" si="119"/>
        <v>393072.89318192471</v>
      </c>
    </row>
    <row r="167" spans="1:54">
      <c r="B167" s="6" t="s">
        <v>2832</v>
      </c>
      <c r="C167" s="52"/>
      <c r="D167" s="89">
        <f t="shared" ref="D167:AF167" si="135">INDEX($D$58:$D$75,MATCH($B167,$B$58:$B$75,0))*C$14</f>
        <v>93009.476018374204</v>
      </c>
      <c r="E167" s="89">
        <f t="shared" si="135"/>
        <v>96188.58227259219</v>
      </c>
      <c r="F167" s="89">
        <f t="shared" si="135"/>
        <v>98909.505533621123</v>
      </c>
      <c r="G167" s="89">
        <f t="shared" si="135"/>
        <v>101321.87312128188</v>
      </c>
      <c r="H167" s="89">
        <f t="shared" si="135"/>
        <v>103561.49507654733</v>
      </c>
      <c r="I167" s="89">
        <f t="shared" si="135"/>
        <v>105703.30217296907</v>
      </c>
      <c r="J167" s="89">
        <f t="shared" si="135"/>
        <v>107749.70293938596</v>
      </c>
      <c r="K167" s="89">
        <f t="shared" si="135"/>
        <v>109735.98734689961</v>
      </c>
      <c r="L167" s="89">
        <f t="shared" si="135"/>
        <v>111872.21291616655</v>
      </c>
      <c r="M167" s="89">
        <f t="shared" si="135"/>
        <v>114020.87080530055</v>
      </c>
      <c r="N167" s="89">
        <f t="shared" si="135"/>
        <v>116117.01698078543</v>
      </c>
      <c r="O167" s="89">
        <f t="shared" si="135"/>
        <v>118134.00854028836</v>
      </c>
      <c r="P167" s="89">
        <f t="shared" si="135"/>
        <v>120056.93911501927</v>
      </c>
      <c r="Q167" s="89">
        <f t="shared" si="135"/>
        <v>121923.9642074568</v>
      </c>
      <c r="R167" s="89">
        <f t="shared" si="135"/>
        <v>123777.93658649368</v>
      </c>
      <c r="S167" s="89">
        <f t="shared" si="135"/>
        <v>125623.89511770892</v>
      </c>
      <c r="T167" s="89">
        <f t="shared" si="135"/>
        <v>127427.19800880153</v>
      </c>
      <c r="U167" s="89">
        <f t="shared" si="135"/>
        <v>129193.40288923834</v>
      </c>
      <c r="V167" s="89">
        <f t="shared" si="135"/>
        <v>131002.96429518073</v>
      </c>
      <c r="W167" s="89">
        <f t="shared" si="135"/>
        <v>132786.91301222888</v>
      </c>
      <c r="X167" s="89">
        <f t="shared" si="135"/>
        <v>134526.28886281606</v>
      </c>
      <c r="Y167" s="89">
        <f t="shared" si="135"/>
        <v>136218.6069706335</v>
      </c>
      <c r="Z167" s="89">
        <f t="shared" si="135"/>
        <v>137896.63305816808</v>
      </c>
      <c r="AA167" s="89">
        <f t="shared" si="135"/>
        <v>139552.74255964125</v>
      </c>
      <c r="AB167" s="89">
        <f t="shared" si="135"/>
        <v>141173.52351966628</v>
      </c>
      <c r="AC167" s="89">
        <f t="shared" si="135"/>
        <v>142748.87875714534</v>
      </c>
      <c r="AD167" s="89">
        <f t="shared" si="135"/>
        <v>144268.90679897938</v>
      </c>
      <c r="AE167" s="89">
        <f t="shared" si="135"/>
        <v>145726.55656370206</v>
      </c>
      <c r="AF167" s="89">
        <f t="shared" si="135"/>
        <v>147115.53267484866</v>
      </c>
      <c r="AG167" s="89">
        <f t="shared" si="98"/>
        <v>148442.361804949</v>
      </c>
      <c r="AH167" s="89">
        <f t="shared" si="99"/>
        <v>149737.38344219347</v>
      </c>
      <c r="AI167" s="89">
        <f t="shared" si="100"/>
        <v>151003.4650623881</v>
      </c>
      <c r="AJ167" s="89">
        <f t="shared" si="101"/>
        <v>152251.39098679827</v>
      </c>
      <c r="AK167" s="89">
        <f t="shared" si="102"/>
        <v>153447.02871525125</v>
      </c>
      <c r="AL167" s="89">
        <f t="shared" si="103"/>
        <v>154565.12642350062</v>
      </c>
      <c r="AM167" s="89">
        <f t="shared" si="104"/>
        <v>155589.22142056591</v>
      </c>
      <c r="AN167" s="89">
        <f t="shared" si="105"/>
        <v>156530.79930036148</v>
      </c>
      <c r="AO167" s="89">
        <f t="shared" si="106"/>
        <v>157392.78119261473</v>
      </c>
      <c r="AP167" s="89">
        <f t="shared" si="107"/>
        <v>158171.34321857023</v>
      </c>
      <c r="AQ167" s="89">
        <f t="shared" si="108"/>
        <v>158903.48848028571</v>
      </c>
      <c r="AR167" s="89">
        <f t="shared" si="109"/>
        <v>159629.65913813401</v>
      </c>
      <c r="AS167" s="89">
        <f t="shared" si="110"/>
        <v>160381.34163698077</v>
      </c>
      <c r="AT167" s="89">
        <f t="shared" si="111"/>
        <v>160947.54647923706</v>
      </c>
      <c r="AU167" s="89">
        <f t="shared" si="112"/>
        <v>161374.0402766667</v>
      </c>
      <c r="AV167" s="89">
        <f t="shared" si="113"/>
        <v>161695.2967295805</v>
      </c>
      <c r="AW167" s="89">
        <f t="shared" si="114"/>
        <v>161937.28315273786</v>
      </c>
      <c r="AX167" s="89">
        <f t="shared" si="115"/>
        <v>162119.55942598113</v>
      </c>
      <c r="AY167" s="89">
        <f t="shared" si="116"/>
        <v>162256.85902880161</v>
      </c>
      <c r="AZ167" s="89">
        <f t="shared" si="117"/>
        <v>162360.27995462617</v>
      </c>
      <c r="BA167" s="89">
        <f t="shared" si="118"/>
        <v>162438.18176700349</v>
      </c>
      <c r="BB167" s="89">
        <f t="shared" si="119"/>
        <v>162496.86130717673</v>
      </c>
    </row>
    <row r="168" spans="1:54">
      <c r="B168" s="6" t="s">
        <v>2871</v>
      </c>
      <c r="C168" s="52"/>
      <c r="D168" s="89">
        <f t="shared" ref="D168:AF168" si="136">INDEX($D$58:$D$75,MATCH($B168,$B$58:$B$75,0))*C$14</f>
        <v>4912.9560118119916</v>
      </c>
      <c r="E168" s="89">
        <f t="shared" si="136"/>
        <v>5080.8830860464905</v>
      </c>
      <c r="F168" s="89">
        <f t="shared" si="136"/>
        <v>5224.6079715657934</v>
      </c>
      <c r="G168" s="89">
        <f t="shared" si="136"/>
        <v>5352.0342978914787</v>
      </c>
      <c r="H168" s="89">
        <f t="shared" si="136"/>
        <v>5470.3358368350355</v>
      </c>
      <c r="I168" s="89">
        <f t="shared" si="136"/>
        <v>5583.4705893459295</v>
      </c>
      <c r="J168" s="89">
        <f t="shared" si="136"/>
        <v>5691.5657789797087</v>
      </c>
      <c r="K168" s="89">
        <f t="shared" si="136"/>
        <v>5796.485496182876</v>
      </c>
      <c r="L168" s="89">
        <f t="shared" si="136"/>
        <v>5909.3254206981283</v>
      </c>
      <c r="M168" s="89">
        <f t="shared" si="136"/>
        <v>6022.8220464791693</v>
      </c>
      <c r="N168" s="89">
        <f t="shared" si="136"/>
        <v>6133.5448931754645</v>
      </c>
      <c r="O168" s="89">
        <f t="shared" si="136"/>
        <v>6240.0866266873954</v>
      </c>
      <c r="P168" s="89">
        <f t="shared" si="136"/>
        <v>6341.6598612850721</v>
      </c>
      <c r="Q168" s="89">
        <f t="shared" si="136"/>
        <v>6440.2800508051459</v>
      </c>
      <c r="R168" s="89">
        <f t="shared" si="136"/>
        <v>6538.2107685690353</v>
      </c>
      <c r="S168" s="89">
        <f t="shared" si="136"/>
        <v>6635.7181780473757</v>
      </c>
      <c r="T168" s="89">
        <f t="shared" si="136"/>
        <v>6730.9724269602621</v>
      </c>
      <c r="U168" s="89">
        <f t="shared" si="136"/>
        <v>6824.2670809772299</v>
      </c>
      <c r="V168" s="89">
        <f t="shared" si="136"/>
        <v>6919.85191779871</v>
      </c>
      <c r="W168" s="89">
        <f t="shared" si="136"/>
        <v>7014.0838385597153</v>
      </c>
      <c r="X168" s="89">
        <f t="shared" si="136"/>
        <v>7105.9613268304229</v>
      </c>
      <c r="Y168" s="89">
        <f t="shared" si="136"/>
        <v>7195.353126221461</v>
      </c>
      <c r="Z168" s="89">
        <f t="shared" si="136"/>
        <v>7283.9899910620034</v>
      </c>
      <c r="AA168" s="89">
        <f t="shared" si="136"/>
        <v>7371.4691757622177</v>
      </c>
      <c r="AB168" s="89">
        <f t="shared" si="136"/>
        <v>7457.0822326491561</v>
      </c>
      <c r="AC168" s="89">
        <f t="shared" si="136"/>
        <v>7540.2958073948439</v>
      </c>
      <c r="AD168" s="89">
        <f t="shared" si="136"/>
        <v>7620.5868833791465</v>
      </c>
      <c r="AE168" s="89">
        <f t="shared" si="136"/>
        <v>7697.5830076589546</v>
      </c>
      <c r="AF168" s="89">
        <f t="shared" si="136"/>
        <v>7770.9516452176995</v>
      </c>
      <c r="AG168" s="89">
        <f t="shared" si="98"/>
        <v>7841.0375486162529</v>
      </c>
      <c r="AH168" s="89">
        <f t="shared" si="99"/>
        <v>7909.4433133887578</v>
      </c>
      <c r="AI168" s="89">
        <f t="shared" si="100"/>
        <v>7976.3204056341874</v>
      </c>
      <c r="AJ168" s="89">
        <f t="shared" si="101"/>
        <v>8042.2384758684047</v>
      </c>
      <c r="AK168" s="89">
        <f t="shared" si="102"/>
        <v>8105.394573692156</v>
      </c>
      <c r="AL168" s="89">
        <f t="shared" si="103"/>
        <v>8164.4548446741337</v>
      </c>
      <c r="AM168" s="89">
        <f t="shared" si="104"/>
        <v>8218.5496948752516</v>
      </c>
      <c r="AN168" s="89">
        <f t="shared" si="105"/>
        <v>8268.2858175066394</v>
      </c>
      <c r="AO168" s="89">
        <f t="shared" si="106"/>
        <v>8313.8175127801624</v>
      </c>
      <c r="AP168" s="89">
        <f t="shared" si="107"/>
        <v>8354.9427953828817</v>
      </c>
      <c r="AQ168" s="89">
        <f t="shared" si="108"/>
        <v>8393.6162469390893</v>
      </c>
      <c r="AR168" s="89">
        <f t="shared" si="109"/>
        <v>8431.9741073615314</v>
      </c>
      <c r="AS168" s="89">
        <f t="shared" si="110"/>
        <v>8471.6795568466296</v>
      </c>
      <c r="AT168" s="89">
        <f t="shared" si="111"/>
        <v>8501.5876866712788</v>
      </c>
      <c r="AU168" s="89">
        <f t="shared" si="112"/>
        <v>8524.1159854616999</v>
      </c>
      <c r="AV168" s="89">
        <f t="shared" si="113"/>
        <v>8541.0854265255803</v>
      </c>
      <c r="AW168" s="89">
        <f t="shared" si="114"/>
        <v>8553.8676580069514</v>
      </c>
      <c r="AX168" s="89">
        <f t="shared" si="115"/>
        <v>8563.4958738702935</v>
      </c>
      <c r="AY168" s="89">
        <f t="shared" si="116"/>
        <v>8570.748327469355</v>
      </c>
      <c r="AZ168" s="89">
        <f t="shared" si="117"/>
        <v>8576.2112381428487</v>
      </c>
      <c r="BA168" s="89">
        <f t="shared" si="118"/>
        <v>8580.3261756076572</v>
      </c>
      <c r="BB168" s="89">
        <f t="shared" si="119"/>
        <v>8583.4257522530261</v>
      </c>
    </row>
    <row r="169" spans="1:54">
      <c r="B169" s="142"/>
      <c r="C169" s="52"/>
      <c r="D169" s="116" t="b">
        <f t="shared" ref="D169:AF169" si="137">SUM(D151:D168)/C14=SUM($D$58:$D$75)</f>
        <v>1</v>
      </c>
      <c r="E169" s="116" t="b">
        <f t="shared" si="137"/>
        <v>1</v>
      </c>
      <c r="F169" s="116" t="b">
        <f t="shared" si="137"/>
        <v>1</v>
      </c>
      <c r="G169" s="116" t="b">
        <f t="shared" si="137"/>
        <v>1</v>
      </c>
      <c r="H169" s="116" t="b">
        <f t="shared" si="137"/>
        <v>1</v>
      </c>
      <c r="I169" s="116" t="b">
        <f t="shared" si="137"/>
        <v>1</v>
      </c>
      <c r="J169" s="116" t="b">
        <f t="shared" si="137"/>
        <v>1</v>
      </c>
      <c r="K169" s="116" t="b">
        <f t="shared" si="137"/>
        <v>1</v>
      </c>
      <c r="L169" s="116" t="b">
        <f t="shared" si="137"/>
        <v>1</v>
      </c>
      <c r="M169" s="116" t="b">
        <f t="shared" si="137"/>
        <v>1</v>
      </c>
      <c r="N169" s="116" t="b">
        <f t="shared" si="137"/>
        <v>1</v>
      </c>
      <c r="O169" s="116" t="b">
        <f t="shared" si="137"/>
        <v>1</v>
      </c>
      <c r="P169" s="116" t="b">
        <f t="shared" si="137"/>
        <v>1</v>
      </c>
      <c r="Q169" s="116" t="b">
        <f t="shared" si="137"/>
        <v>1</v>
      </c>
      <c r="R169" s="116" t="b">
        <f t="shared" si="137"/>
        <v>1</v>
      </c>
      <c r="S169" s="116" t="b">
        <f t="shared" si="137"/>
        <v>1</v>
      </c>
      <c r="T169" s="116" t="b">
        <f t="shared" si="137"/>
        <v>1</v>
      </c>
      <c r="U169" s="116" t="b">
        <f t="shared" si="137"/>
        <v>1</v>
      </c>
      <c r="V169" s="116" t="b">
        <f t="shared" si="137"/>
        <v>1</v>
      </c>
      <c r="W169" s="116" t="b">
        <f t="shared" si="137"/>
        <v>1</v>
      </c>
      <c r="X169" s="116" t="b">
        <f t="shared" si="137"/>
        <v>1</v>
      </c>
      <c r="Y169" s="116" t="b">
        <f t="shared" si="137"/>
        <v>1</v>
      </c>
      <c r="Z169" s="116" t="b">
        <f t="shared" si="137"/>
        <v>1</v>
      </c>
      <c r="AA169" s="116" t="b">
        <f t="shared" si="137"/>
        <v>1</v>
      </c>
      <c r="AB169" s="116" t="b">
        <f t="shared" si="137"/>
        <v>1</v>
      </c>
      <c r="AC169" s="116" t="b">
        <f t="shared" si="137"/>
        <v>1</v>
      </c>
      <c r="AD169" s="116" t="b">
        <f t="shared" si="137"/>
        <v>1</v>
      </c>
      <c r="AE169" s="116" t="b">
        <f t="shared" si="137"/>
        <v>1</v>
      </c>
      <c r="AF169" s="116" t="b">
        <f t="shared" si="137"/>
        <v>1</v>
      </c>
      <c r="AG169" s="116" t="b">
        <f t="shared" ref="AG169" si="138">SUM(AG151:AG168)/AF14=SUM($D$58:$D$75)</f>
        <v>1</v>
      </c>
      <c r="AH169" s="116" t="b">
        <f t="shared" ref="AH169" si="139">SUM(AH151:AH168)/AG14=SUM($D$58:$D$75)</f>
        <v>1</v>
      </c>
      <c r="AI169" s="116" t="b">
        <f t="shared" ref="AI169" si="140">SUM(AI151:AI168)/AH14=SUM($D$58:$D$75)</f>
        <v>1</v>
      </c>
      <c r="AJ169" s="116" t="b">
        <f t="shared" ref="AJ169" si="141">SUM(AJ151:AJ168)/AI14=SUM($D$58:$D$75)</f>
        <v>1</v>
      </c>
      <c r="AK169" s="116" t="b">
        <f t="shared" ref="AK169" si="142">SUM(AK151:AK168)/AJ14=SUM($D$58:$D$75)</f>
        <v>1</v>
      </c>
      <c r="AL169" s="116" t="b">
        <f t="shared" ref="AL169" si="143">SUM(AL151:AL168)/AK14=SUM($D$58:$D$75)</f>
        <v>1</v>
      </c>
      <c r="AM169" s="116" t="b">
        <f t="shared" ref="AM169" si="144">SUM(AM151:AM168)/AL14=SUM($D$58:$D$75)</f>
        <v>1</v>
      </c>
      <c r="AN169" s="116" t="b">
        <f t="shared" ref="AN169" si="145">SUM(AN151:AN168)/AM14=SUM($D$58:$D$75)</f>
        <v>1</v>
      </c>
      <c r="AO169" s="116" t="b">
        <f t="shared" ref="AO169" si="146">SUM(AO151:AO168)/AN14=SUM($D$58:$D$75)</f>
        <v>1</v>
      </c>
      <c r="AP169" s="116" t="b">
        <f t="shared" ref="AP169" si="147">SUM(AP151:AP168)/AO14=SUM($D$58:$D$75)</f>
        <v>1</v>
      </c>
      <c r="AQ169" s="116" t="b">
        <f t="shared" ref="AQ169" si="148">SUM(AQ151:AQ168)/AP14=SUM($D$58:$D$75)</f>
        <v>1</v>
      </c>
      <c r="AR169" s="116" t="b">
        <f t="shared" ref="AR169" si="149">SUM(AR151:AR168)/AQ14=SUM($D$58:$D$75)</f>
        <v>1</v>
      </c>
      <c r="AS169" s="116" t="b">
        <f t="shared" ref="AS169" si="150">SUM(AS151:AS168)/AR14=SUM($D$58:$D$75)</f>
        <v>1</v>
      </c>
      <c r="AT169" s="116" t="b">
        <f t="shared" ref="AT169" si="151">SUM(AT151:AT168)/AS14=SUM($D$58:$D$75)</f>
        <v>1</v>
      </c>
      <c r="AU169" s="116" t="b">
        <f t="shared" ref="AU169" si="152">SUM(AU151:AU168)/AT14=SUM($D$58:$D$75)</f>
        <v>1</v>
      </c>
      <c r="AV169" s="116" t="b">
        <f t="shared" ref="AV169" si="153">SUM(AV151:AV168)/AU14=SUM($D$58:$D$75)</f>
        <v>1</v>
      </c>
      <c r="AW169" s="116" t="b">
        <f t="shared" ref="AW169" si="154">SUM(AW151:AW168)/AV14=SUM($D$58:$D$75)</f>
        <v>1</v>
      </c>
      <c r="AX169" s="116" t="b">
        <f t="shared" ref="AX169" si="155">SUM(AX151:AX168)/AW14=SUM($D$58:$D$75)</f>
        <v>1</v>
      </c>
      <c r="AY169" s="116" t="b">
        <f t="shared" ref="AY169" si="156">SUM(AY151:AY168)/AX14=SUM($D$58:$D$75)</f>
        <v>1</v>
      </c>
      <c r="AZ169" s="116" t="b">
        <f t="shared" ref="AZ169" si="157">SUM(AZ151:AZ168)/AY14=SUM($D$58:$D$75)</f>
        <v>1</v>
      </c>
      <c r="BA169" s="116" t="b">
        <f t="shared" ref="BA169" si="158">SUM(BA151:BA168)/AZ14=SUM($D$58:$D$75)</f>
        <v>1</v>
      </c>
      <c r="BB169" s="116" t="b">
        <f t="shared" ref="BB169" si="159">SUM(BB151:BB168)/BA14=SUM($D$58:$D$75)</f>
        <v>1</v>
      </c>
    </row>
    <row r="171" spans="1:54" s="588" customFormat="1">
      <c r="A171" s="593" t="s">
        <v>10</v>
      </c>
      <c r="B171" s="593" t="s">
        <v>2891</v>
      </c>
      <c r="C171" s="593"/>
      <c r="D171" s="645"/>
    </row>
    <row r="172" spans="1:54">
      <c r="D172" s="23"/>
    </row>
    <row r="174" spans="1:54">
      <c r="B174" s="9" t="s">
        <v>97</v>
      </c>
      <c r="C174" s="9"/>
    </row>
    <row r="176" spans="1:54">
      <c r="B176" s="7" t="s">
        <v>9</v>
      </c>
      <c r="D176" s="34">
        <f>'Prevalence projection'!C$21</f>
        <v>2020</v>
      </c>
      <c r="E176" s="34">
        <f>'Prevalence projection'!D$21</f>
        <v>2021</v>
      </c>
      <c r="F176" s="34">
        <f>'Prevalence projection'!E$21</f>
        <v>2022</v>
      </c>
      <c r="G176" s="34">
        <f>'Prevalence projection'!F$21</f>
        <v>2023</v>
      </c>
      <c r="H176" s="34">
        <f>'Prevalence projection'!G$21</f>
        <v>2024</v>
      </c>
      <c r="I176" s="34">
        <f>'Prevalence projection'!H$21</f>
        <v>2025</v>
      </c>
      <c r="J176" s="34">
        <f>'Prevalence projection'!I$21</f>
        <v>2026</v>
      </c>
      <c r="K176" s="34">
        <f>'Prevalence projection'!J$21</f>
        <v>2027</v>
      </c>
      <c r="L176" s="34">
        <f>'Prevalence projection'!K$21</f>
        <v>2028</v>
      </c>
      <c r="M176" s="34">
        <f>'Prevalence projection'!L$21</f>
        <v>2029</v>
      </c>
      <c r="N176" s="34">
        <f>'Prevalence projection'!M$21</f>
        <v>2030</v>
      </c>
      <c r="O176" s="34">
        <f>'Prevalence projection'!N$21</f>
        <v>2031</v>
      </c>
      <c r="P176" s="34">
        <f>'Prevalence projection'!O$21</f>
        <v>2032</v>
      </c>
      <c r="Q176" s="34">
        <f>'Prevalence projection'!P$21</f>
        <v>2033</v>
      </c>
      <c r="R176" s="34">
        <f>'Prevalence projection'!Q$21</f>
        <v>2034</v>
      </c>
      <c r="S176" s="34">
        <f>'Prevalence projection'!R$21</f>
        <v>2035</v>
      </c>
      <c r="T176" s="34">
        <f>'Prevalence projection'!S$21</f>
        <v>2036</v>
      </c>
      <c r="U176" s="34">
        <f>'Prevalence projection'!T$21</f>
        <v>2037</v>
      </c>
      <c r="V176" s="34">
        <f>'Prevalence projection'!U$21</f>
        <v>2038</v>
      </c>
      <c r="W176" s="34">
        <f>'Prevalence projection'!V$21</f>
        <v>2039</v>
      </c>
      <c r="X176" s="34">
        <f>'Prevalence projection'!W$21</f>
        <v>2040</v>
      </c>
      <c r="Y176" s="34">
        <f>'Prevalence projection'!X$21</f>
        <v>2041</v>
      </c>
      <c r="Z176" s="34">
        <f>'Prevalence projection'!Y$21</f>
        <v>2042</v>
      </c>
      <c r="AA176" s="34">
        <f>'Prevalence projection'!Z$21</f>
        <v>2043</v>
      </c>
      <c r="AB176" s="34">
        <f>'Prevalence projection'!AA$21</f>
        <v>2044</v>
      </c>
      <c r="AC176" s="34">
        <f>'Prevalence projection'!AB$21</f>
        <v>2045</v>
      </c>
      <c r="AD176" s="34">
        <f>'Prevalence projection'!AC$21</f>
        <v>2046</v>
      </c>
      <c r="AE176" s="34">
        <f>'Prevalence projection'!AD$21</f>
        <v>2047</v>
      </c>
      <c r="AF176" s="34">
        <f>'Prevalence projection'!AE$21</f>
        <v>2048</v>
      </c>
      <c r="AG176" s="34">
        <f>'Prevalence projection'!AF$21</f>
        <v>2049</v>
      </c>
      <c r="AH176" s="34">
        <f>'Prevalence projection'!AG$21</f>
        <v>2050</v>
      </c>
      <c r="AI176" s="34">
        <f>'Prevalence projection'!AH$21</f>
        <v>2051</v>
      </c>
      <c r="AJ176" s="34">
        <f>'Prevalence projection'!AI$21</f>
        <v>2052</v>
      </c>
      <c r="AK176" s="34">
        <f>'Prevalence projection'!AJ$21</f>
        <v>2053</v>
      </c>
      <c r="AL176" s="34">
        <f>'Prevalence projection'!AK$21</f>
        <v>2054</v>
      </c>
      <c r="AM176" s="34">
        <f>'Prevalence projection'!AL$21</f>
        <v>2055</v>
      </c>
      <c r="AN176" s="34">
        <f>'Prevalence projection'!AM$21</f>
        <v>2056</v>
      </c>
      <c r="AO176" s="34">
        <f>'Prevalence projection'!AN$21</f>
        <v>2057</v>
      </c>
      <c r="AP176" s="34">
        <f>'Prevalence projection'!AO$21</f>
        <v>2058</v>
      </c>
      <c r="AQ176" s="34">
        <f>'Prevalence projection'!AP$21</f>
        <v>2059</v>
      </c>
      <c r="AR176" s="34">
        <f>'Prevalence projection'!AQ$21</f>
        <v>2060</v>
      </c>
      <c r="AS176" s="34">
        <f>'Prevalence projection'!AR$21</f>
        <v>2061</v>
      </c>
      <c r="AT176" s="34">
        <f>'Prevalence projection'!AS$21</f>
        <v>2062</v>
      </c>
      <c r="AU176" s="34">
        <f>'Prevalence projection'!AT$21</f>
        <v>2063</v>
      </c>
      <c r="AV176" s="34">
        <f>'Prevalence projection'!AU$21</f>
        <v>2064</v>
      </c>
      <c r="AW176" s="34">
        <f>'Prevalence projection'!AV$21</f>
        <v>2065</v>
      </c>
      <c r="AX176" s="34">
        <f>'Prevalence projection'!AW$21</f>
        <v>2066</v>
      </c>
      <c r="AY176" s="34">
        <f>'Prevalence projection'!AX$21</f>
        <v>2067</v>
      </c>
      <c r="AZ176" s="34">
        <f>'Prevalence projection'!AY$21</f>
        <v>2068</v>
      </c>
      <c r="BA176" s="34">
        <f>'Prevalence projection'!AZ$21</f>
        <v>2069</v>
      </c>
      <c r="BB176" s="34">
        <f>'Prevalence projection'!BA$21</f>
        <v>2070</v>
      </c>
    </row>
    <row r="177" spans="2:54">
      <c r="B177" s="6" t="s">
        <v>11</v>
      </c>
      <c r="D177" s="90">
        <f>INDEX(D$129:D$146,MATCH($B177,$B$129:$B$146,0))*INDEX('Resource costs'!$C$121:$C$142, MATCH($B177, 'Resource costs'!$B$121:$B$142,0))</f>
        <v>23892.627801606097</v>
      </c>
      <c r="E177" s="90">
        <f>INDEX(E$129:E$146,MATCH($B177,$B$129:$B$146,0))*INDEX('Resource costs'!$C$121:$C$142, MATCH($B177, 'Resource costs'!$B$121:$B$142,0))</f>
        <v>24709.288702467238</v>
      </c>
      <c r="F177" s="90">
        <f>INDEX(F$129:F$146,MATCH($B177,$B$129:$B$146,0))*INDEX('Resource costs'!$C$121:$C$142, MATCH($B177, 'Resource costs'!$B$121:$B$142,0))</f>
        <v>25408.249814124869</v>
      </c>
      <c r="G177" s="90">
        <f>INDEX(G$129:G$146,MATCH($B177,$B$129:$B$146,0))*INDEX('Resource costs'!$C$121:$C$142, MATCH($B177, 'Resource costs'!$B$121:$B$142,0))</f>
        <v>26027.947971345438</v>
      </c>
      <c r="H177" s="90">
        <f>INDEX(H$129:H$146,MATCH($B177,$B$129:$B$146,0))*INDEX('Resource costs'!$C$121:$C$142, MATCH($B177, 'Resource costs'!$B$121:$B$142,0))</f>
        <v>26603.270573774586</v>
      </c>
      <c r="I177" s="90">
        <f>INDEX(I$129:I$146,MATCH($B177,$B$129:$B$146,0))*INDEX('Resource costs'!$C$121:$C$142, MATCH($B177, 'Resource costs'!$B$121:$B$142,0))</f>
        <v>27153.466123392915</v>
      </c>
      <c r="J177" s="90">
        <f>INDEX(J$129:J$146,MATCH($B177,$B$129:$B$146,0))*INDEX('Resource costs'!$C$121:$C$142, MATCH($B177, 'Resource costs'!$B$121:$B$142,0))</f>
        <v>27679.153332245292</v>
      </c>
      <c r="K177" s="90">
        <f>INDEX(K$129:K$146,MATCH($B177,$B$129:$B$146,0))*INDEX('Resource costs'!$C$121:$C$142, MATCH($B177, 'Resource costs'!$B$121:$B$142,0))</f>
        <v>28189.397622273133</v>
      </c>
      <c r="L177" s="90">
        <f>INDEX(L$129:L$146,MATCH($B177,$B$129:$B$146,0))*INDEX('Resource costs'!$C$121:$C$142, MATCH($B177, 'Resource costs'!$B$121:$B$142,0))</f>
        <v>28738.15936797619</v>
      </c>
      <c r="M177" s="90">
        <f>INDEX(M$129:M$146,MATCH($B177,$B$129:$B$146,0))*INDEX('Resource costs'!$C$121:$C$142, MATCH($B177, 'Resource costs'!$B$121:$B$142,0))</f>
        <v>29290.114775271686</v>
      </c>
      <c r="N177" s="90">
        <f>INDEX(N$129:N$146,MATCH($B177,$B$129:$B$146,0))*INDEX('Resource costs'!$C$121:$C$142, MATCH($B177, 'Resource costs'!$B$121:$B$142,0))</f>
        <v>29828.58077392678</v>
      </c>
      <c r="O177" s="90">
        <f>INDEX(O$129:O$146,MATCH($B177,$B$129:$B$146,0))*INDEX('Resource costs'!$C$121:$C$142, MATCH($B177, 'Resource costs'!$B$121:$B$142,0))</f>
        <v>30346.713233899616</v>
      </c>
      <c r="P177" s="90">
        <f>INDEX(P$129:P$146,MATCH($B177,$B$129:$B$146,0))*INDEX('Resource costs'!$C$121:$C$142, MATCH($B177, 'Resource costs'!$B$121:$B$142,0))</f>
        <v>30840.682950504597</v>
      </c>
      <c r="Q177" s="90">
        <f>INDEX(Q$129:Q$146,MATCH($B177,$B$129:$B$146,0))*INDEX('Resource costs'!$C$121:$C$142, MATCH($B177, 'Resource costs'!$B$121:$B$142,0))</f>
        <v>31320.291454277442</v>
      </c>
      <c r="R177" s="90">
        <f>INDEX(R$129:R$146,MATCH($B177,$B$129:$B$146,0))*INDEX('Resource costs'!$C$121:$C$142, MATCH($B177, 'Resource costs'!$B$121:$B$142,0))</f>
        <v>31796.54692740833</v>
      </c>
      <c r="S177" s="90">
        <f>INDEX(S$129:S$146,MATCH($B177,$B$129:$B$146,0))*INDEX('Resource costs'!$C$121:$C$142, MATCH($B177, 'Resource costs'!$B$121:$B$142,0))</f>
        <v>32270.743772843864</v>
      </c>
      <c r="T177" s="90">
        <f>INDEX(T$129:T$146,MATCH($B177,$B$129:$B$146,0))*INDEX('Resource costs'!$C$121:$C$142, MATCH($B177, 'Resource costs'!$B$121:$B$142,0))</f>
        <v>32733.98307527713</v>
      </c>
      <c r="U177" s="90">
        <f>INDEX(U$129:U$146,MATCH($B177,$B$129:$B$146,0))*INDEX('Resource costs'!$C$121:$C$142, MATCH($B177, 'Resource costs'!$B$121:$B$142,0))</f>
        <v>33187.692499694494</v>
      </c>
      <c r="V177" s="90">
        <f>INDEX(V$129:V$146,MATCH($B177,$B$129:$B$146,0))*INDEX('Resource costs'!$C$121:$C$142, MATCH($B177, 'Resource costs'!$B$121:$B$142,0))</f>
        <v>33652.53951321591</v>
      </c>
      <c r="W177" s="90">
        <f>INDEX(W$129:W$146,MATCH($B177,$B$129:$B$146,0))*INDEX('Resource costs'!$C$121:$C$142, MATCH($B177, 'Resource costs'!$B$121:$B$142,0))</f>
        <v>34110.807041840242</v>
      </c>
      <c r="X177" s="90">
        <f>INDEX(X$129:X$146,MATCH($B177,$B$129:$B$146,0))*INDEX('Resource costs'!$C$121:$C$142, MATCH($B177, 'Resource costs'!$B$121:$B$142,0))</f>
        <v>34557.624523071623</v>
      </c>
      <c r="Y177" s="90">
        <f>INDEX(Y$129:Y$146,MATCH($B177,$B$129:$B$146,0))*INDEX('Resource costs'!$C$121:$C$142, MATCH($B177, 'Resource costs'!$B$121:$B$142,0))</f>
        <v>34992.353632436927</v>
      </c>
      <c r="Z177" s="90">
        <f>INDEX(Z$129:Z$146,MATCH($B177,$B$129:$B$146,0))*INDEX('Resource costs'!$C$121:$C$142, MATCH($B177, 'Resource costs'!$B$121:$B$142,0))</f>
        <v>35423.411353296768</v>
      </c>
      <c r="AA177" s="90">
        <f>INDEX(AA$129:AA$146,MATCH($B177,$B$129:$B$146,0))*INDEX('Resource costs'!$C$121:$C$142, MATCH($B177, 'Resource costs'!$B$121:$B$142,0))</f>
        <v>35848.839058207013</v>
      </c>
      <c r="AB177" s="90">
        <f>INDEX(AB$129:AB$146,MATCH($B177,$B$129:$B$146,0))*INDEX('Resource costs'!$C$121:$C$142, MATCH($B177, 'Resource costs'!$B$121:$B$142,0))</f>
        <v>36265.191433078558</v>
      </c>
      <c r="AC177" s="90">
        <f>INDEX(AC$129:AC$146,MATCH($B177,$B$129:$B$146,0))*INDEX('Resource costs'!$C$121:$C$142, MATCH($B177, 'Resource costs'!$B$121:$B$142,0))</f>
        <v>36669.874675643674</v>
      </c>
      <c r="AD177" s="90">
        <f>INDEX(AD$129:AD$146,MATCH($B177,$B$129:$B$146,0))*INDEX('Resource costs'!$C$121:$C$142, MATCH($B177, 'Resource costs'!$B$121:$B$142,0))</f>
        <v>37060.345257849411</v>
      </c>
      <c r="AE177" s="90">
        <f>INDEX(AE$129:AE$146,MATCH($B177,$B$129:$B$146,0))*INDEX('Resource costs'!$C$121:$C$142, MATCH($B177, 'Resource costs'!$B$121:$B$142,0))</f>
        <v>37434.791871082001</v>
      </c>
      <c r="AF177" s="90">
        <f>INDEX(AF$129:AF$146,MATCH($B177,$B$129:$B$146,0))*INDEX('Resource costs'!$C$121:$C$142, MATCH($B177, 'Resource costs'!$B$121:$B$142,0))</f>
        <v>37791.597335101505</v>
      </c>
      <c r="AG177" s="90">
        <f>INDEX(AG$129:AG$146,MATCH($B177,$B$129:$B$146,0))*INDEX('Resource costs'!$C$121:$C$142, MATCH($B177, 'Resource costs'!$B$121:$B$142,0))</f>
        <v>38132.43824636042</v>
      </c>
      <c r="AH177" s="90">
        <f>INDEX(AH$129:AH$146,MATCH($B177,$B$129:$B$146,0))*INDEX('Resource costs'!$C$121:$C$142, MATCH($B177, 'Resource costs'!$B$121:$B$142,0))</f>
        <v>38465.108327929272</v>
      </c>
      <c r="AI177" s="90">
        <f>INDEX(AI$129:AI$146,MATCH($B177,$B$129:$B$146,0))*INDEX('Resource costs'!$C$121:$C$142, MATCH($B177, 'Resource costs'!$B$121:$B$142,0))</f>
        <v>38790.344187894654</v>
      </c>
      <c r="AJ177" s="90">
        <f>INDEX(AJ$129:AJ$146,MATCH($B177,$B$129:$B$146,0))*INDEX('Resource costs'!$C$121:$C$142, MATCH($B177, 'Resource costs'!$B$121:$B$142,0))</f>
        <v>39110.91614370286</v>
      </c>
      <c r="AK177" s="90">
        <f>INDEX(AK$129:AK$146,MATCH($B177,$B$129:$B$146,0))*INDEX('Resource costs'!$C$121:$C$142, MATCH($B177, 'Resource costs'!$B$121:$B$142,0))</f>
        <v>39418.056108945122</v>
      </c>
      <c r="AL177" s="90">
        <f>INDEX(AL$129:AL$146,MATCH($B177,$B$129:$B$146,0))*INDEX('Resource costs'!$C$121:$C$142, MATCH($B177, 'Resource costs'!$B$121:$B$142,0))</f>
        <v>39705.277299007023</v>
      </c>
      <c r="AM177" s="90">
        <f>INDEX(AM$129:AM$146,MATCH($B177,$B$129:$B$146,0))*INDEX('Resource costs'!$C$121:$C$142, MATCH($B177, 'Resource costs'!$B$121:$B$142,0))</f>
        <v>39968.350715241882</v>
      </c>
      <c r="AN177" s="90">
        <f>INDEX(AN$129:AN$146,MATCH($B177,$B$129:$B$146,0))*INDEX('Resource costs'!$C$121:$C$142, MATCH($B177, 'Resource costs'!$B$121:$B$142,0))</f>
        <v>40210.226820680175</v>
      </c>
      <c r="AO177" s="90">
        <f>INDEX(AO$129:AO$146,MATCH($B177,$B$129:$B$146,0))*INDEX('Resource costs'!$C$121:$C$142, MATCH($B177, 'Resource costs'!$B$121:$B$142,0))</f>
        <v>40431.656006231788</v>
      </c>
      <c r="AP177" s="90">
        <f>INDEX(AP$129:AP$146,MATCH($B177,$B$129:$B$146,0))*INDEX('Resource costs'!$C$121:$C$142, MATCH($B177, 'Resource costs'!$B$121:$B$142,0))</f>
        <v>40631.655979384464</v>
      </c>
      <c r="AQ177" s="90">
        <f>INDEX(AQ$129:AQ$146,MATCH($B177,$B$129:$B$146,0))*INDEX('Resource costs'!$C$121:$C$142, MATCH($B177, 'Resource costs'!$B$121:$B$142,0))</f>
        <v>40819.732237672622</v>
      </c>
      <c r="AR177" s="90">
        <f>INDEX(AR$129:AR$146,MATCH($B177,$B$129:$B$146,0))*INDEX('Resource costs'!$C$121:$C$142, MATCH($B177, 'Resource costs'!$B$121:$B$142,0))</f>
        <v>41006.273717005206</v>
      </c>
      <c r="AS177" s="90">
        <f>INDEX(AS$129:AS$146,MATCH($B177,$B$129:$B$146,0))*INDEX('Resource costs'!$C$121:$C$142, MATCH($B177, 'Resource costs'!$B$121:$B$142,0))</f>
        <v>41199.368775044008</v>
      </c>
      <c r="AT177" s="90">
        <f>INDEX(AT$129:AT$146,MATCH($B177,$B$129:$B$146,0))*INDEX('Resource costs'!$C$121:$C$142, MATCH($B177, 'Resource costs'!$B$121:$B$142,0))</f>
        <v>41344.817627511744</v>
      </c>
      <c r="AU177" s="90">
        <f>INDEX(AU$129:AU$146,MATCH($B177,$B$129:$B$146,0))*INDEX('Resource costs'!$C$121:$C$142, MATCH($B177, 'Resource costs'!$B$121:$B$142,0))</f>
        <v>41454.376975633066</v>
      </c>
      <c r="AV177" s="90">
        <f>INDEX(AV$129:AV$146,MATCH($B177,$B$129:$B$146,0))*INDEX('Resource costs'!$C$121:$C$142, MATCH($B177, 'Resource costs'!$B$121:$B$142,0))</f>
        <v>41536.902554605447</v>
      </c>
      <c r="AW177" s="90">
        <f>INDEX(AW$129:AW$146,MATCH($B177,$B$129:$B$146,0))*INDEX('Resource costs'!$C$121:$C$142, MATCH($B177, 'Resource costs'!$B$121:$B$142,0))</f>
        <v>41599.064946966391</v>
      </c>
      <c r="AX177" s="90">
        <f>INDEX(AX$129:AX$146,MATCH($B177,$B$129:$B$146,0))*INDEX('Resource costs'!$C$121:$C$142, MATCH($B177, 'Resource costs'!$B$121:$B$142,0))</f>
        <v>41645.888769012279</v>
      </c>
      <c r="AY177" s="90">
        <f>INDEX(AY$129:AY$146,MATCH($B177,$B$129:$B$146,0))*INDEX('Resource costs'!$C$121:$C$142, MATCH($B177, 'Resource costs'!$B$121:$B$142,0))</f>
        <v>41681.158812968344</v>
      </c>
      <c r="AZ177" s="90">
        <f>INDEX(AZ$129:AZ$146,MATCH($B177,$B$129:$B$146,0))*INDEX('Resource costs'!$C$121:$C$142, MATCH($B177, 'Resource costs'!$B$121:$B$142,0))</f>
        <v>41707.72597357825</v>
      </c>
      <c r="BA177" s="90">
        <f>INDEX(BA$129:BA$146,MATCH($B177,$B$129:$B$146,0))*INDEX('Resource costs'!$C$121:$C$142, MATCH($B177, 'Resource costs'!$B$121:$B$142,0))</f>
        <v>41727.737687307657</v>
      </c>
      <c r="BB177" s="90">
        <f>INDEX(BB$129:BB$146,MATCH($B177,$B$129:$B$146,0))*INDEX('Resource costs'!$C$121:$C$142, MATCH($B177, 'Resource costs'!$B$121:$B$142,0))</f>
        <v>41742.811510674335</v>
      </c>
    </row>
    <row r="178" spans="2:54" s="97" customFormat="1">
      <c r="B178" s="6" t="s">
        <v>14</v>
      </c>
      <c r="C178" s="315"/>
      <c r="D178" s="90">
        <f>INDEX(D$129:D$146,MATCH($B178,$B$129:$B$146,0))*INDEX('Resource costs'!$C$121:$C$142, MATCH($B178, 'Resource costs'!$B$121:$B$142,0))</f>
        <v>155.32229958167343</v>
      </c>
      <c r="E178" s="90">
        <f>INDEX(E$129:E$146,MATCH($B178,$B$129:$B$146,0))*INDEX('Resource costs'!$C$121:$C$142, MATCH($B178, 'Resource costs'!$B$121:$B$142,0))</f>
        <v>160.63128652749893</v>
      </c>
      <c r="F178" s="90">
        <f>INDEX(F$129:F$146,MATCH($B178,$B$129:$B$146,0))*INDEX('Resource costs'!$C$121:$C$142, MATCH($B178, 'Resource costs'!$B$121:$B$142,0))</f>
        <v>165.1751252413606</v>
      </c>
      <c r="G178" s="90">
        <f>INDEX(G$129:G$146,MATCH($B178,$B$129:$B$146,0))*INDEX('Resource costs'!$C$121:$C$142, MATCH($B178, 'Resource costs'!$B$121:$B$142,0))</f>
        <v>169.20368767598544</v>
      </c>
      <c r="H178" s="90">
        <f>INDEX(H$129:H$146,MATCH($B178,$B$129:$B$146,0))*INDEX('Resource costs'!$C$121:$C$142, MATCH($B178, 'Resource costs'!$B$121:$B$142,0))</f>
        <v>172.94377145214511</v>
      </c>
      <c r="I178" s="90">
        <f>INDEX(I$129:I$146,MATCH($B178,$B$129:$B$146,0))*INDEX('Resource costs'!$C$121:$C$142, MATCH($B178, 'Resource costs'!$B$121:$B$142,0))</f>
        <v>176.52050812154479</v>
      </c>
      <c r="J178" s="90">
        <f>INDEX(J$129:J$146,MATCH($B178,$B$129:$B$146,0))*INDEX('Resource costs'!$C$121:$C$142, MATCH($B178, 'Resource costs'!$B$121:$B$142,0))</f>
        <v>179.93791983605419</v>
      </c>
      <c r="K178" s="90">
        <f>INDEX(K$129:K$146,MATCH($B178,$B$129:$B$146,0))*INDEX('Resource costs'!$C$121:$C$142, MATCH($B178, 'Resource costs'!$B$121:$B$142,0))</f>
        <v>183.25493950980538</v>
      </c>
      <c r="L178" s="90">
        <f>INDEX(L$129:L$146,MATCH($B178,$B$129:$B$146,0))*INDEX('Resource costs'!$C$121:$C$142, MATCH($B178, 'Resource costs'!$B$121:$B$142,0))</f>
        <v>186.82235524041511</v>
      </c>
      <c r="M178" s="90">
        <f>INDEX(M$129:M$146,MATCH($B178,$B$129:$B$146,0))*INDEX('Resource costs'!$C$121:$C$142, MATCH($B178, 'Resource costs'!$B$121:$B$142,0))</f>
        <v>190.41053247397636</v>
      </c>
      <c r="N178" s="90">
        <f>INDEX(N$129:N$146,MATCH($B178,$B$129:$B$146,0))*INDEX('Resource costs'!$C$121:$C$142, MATCH($B178, 'Resource costs'!$B$121:$B$142,0))</f>
        <v>193.91101713611258</v>
      </c>
      <c r="O178" s="90">
        <f>INDEX(O$129:O$146,MATCH($B178,$B$129:$B$146,0))*INDEX('Resource costs'!$C$121:$C$142, MATCH($B178, 'Resource costs'!$B$121:$B$142,0))</f>
        <v>197.27931658978255</v>
      </c>
      <c r="P178" s="90">
        <f>INDEX(P$129:P$146,MATCH($B178,$B$129:$B$146,0))*INDEX('Resource costs'!$C$121:$C$142, MATCH($B178, 'Resource costs'!$B$121:$B$142,0))</f>
        <v>200.49053776410796</v>
      </c>
      <c r="Q178" s="90">
        <f>INDEX(Q$129:Q$146,MATCH($B178,$B$129:$B$146,0))*INDEX('Resource costs'!$C$121:$C$142, MATCH($B178, 'Resource costs'!$B$121:$B$142,0))</f>
        <v>203.60839890200745</v>
      </c>
      <c r="R178" s="90">
        <f>INDEX(R$129:R$146,MATCH($B178,$B$129:$B$146,0))*INDEX('Resource costs'!$C$121:$C$142, MATCH($B178, 'Resource costs'!$B$121:$B$142,0))</f>
        <v>206.70446250326921</v>
      </c>
      <c r="S178" s="90">
        <f>INDEX(S$129:S$146,MATCH($B178,$B$129:$B$146,0))*INDEX('Resource costs'!$C$121:$C$142, MATCH($B178, 'Resource costs'!$B$121:$B$142,0))</f>
        <v>209.78714328242029</v>
      </c>
      <c r="T178" s="90">
        <f>INDEX(T$129:T$146,MATCH($B178,$B$129:$B$146,0))*INDEX('Resource costs'!$C$121:$C$142, MATCH($B178, 'Resource costs'!$B$121:$B$142,0))</f>
        <v>212.79859075935747</v>
      </c>
      <c r="U178" s="90">
        <f>INDEX(U$129:U$146,MATCH($B178,$B$129:$B$146,0))*INDEX('Resource costs'!$C$121:$C$142, MATCH($B178, 'Resource costs'!$B$121:$B$142,0))</f>
        <v>215.74808596463771</v>
      </c>
      <c r="V178" s="90">
        <f>INDEX(V$129:V$146,MATCH($B178,$B$129:$B$146,0))*INDEX('Resource costs'!$C$121:$C$142, MATCH($B178, 'Resource costs'!$B$121:$B$142,0))</f>
        <v>218.76998492415549</v>
      </c>
      <c r="W178" s="90">
        <f>INDEX(W$129:W$146,MATCH($B178,$B$129:$B$146,0))*INDEX('Resource costs'!$C$121:$C$142, MATCH($B178, 'Resource costs'!$B$121:$B$142,0))</f>
        <v>221.74911166402615</v>
      </c>
      <c r="X178" s="90">
        <f>INDEX(X$129:X$146,MATCH($B178,$B$129:$B$146,0))*INDEX('Resource costs'!$C$121:$C$142, MATCH($B178, 'Resource costs'!$B$121:$B$142,0))</f>
        <v>224.65380340636702</v>
      </c>
      <c r="Y178" s="90">
        <f>INDEX(Y$129:Y$146,MATCH($B178,$B$129:$B$146,0))*INDEX('Resource costs'!$C$121:$C$142, MATCH($B178, 'Resource costs'!$B$121:$B$142,0))</f>
        <v>227.47991050192778</v>
      </c>
      <c r="Z178" s="90">
        <f>INDEX(Z$129:Z$146,MATCH($B178,$B$129:$B$146,0))*INDEX('Resource costs'!$C$121:$C$142, MATCH($B178, 'Resource costs'!$B$121:$B$142,0))</f>
        <v>230.28215046533128</v>
      </c>
      <c r="AA178" s="90">
        <f>INDEX(AA$129:AA$146,MATCH($B178,$B$129:$B$146,0))*INDEX('Resource costs'!$C$121:$C$142, MATCH($B178, 'Resource costs'!$B$121:$B$142,0))</f>
        <v>233.04779056072385</v>
      </c>
      <c r="AB178" s="90">
        <f>INDEX(AB$129:AB$146,MATCH($B178,$B$129:$B$146,0))*INDEX('Resource costs'!$C$121:$C$142, MATCH($B178, 'Resource costs'!$B$121:$B$142,0))</f>
        <v>235.75443333096749</v>
      </c>
      <c r="AC178" s="90">
        <f>INDEX(AC$129:AC$146,MATCH($B178,$B$129:$B$146,0))*INDEX('Resource costs'!$C$121:$C$142, MATCH($B178, 'Resource costs'!$B$121:$B$142,0))</f>
        <v>238.38521686634556</v>
      </c>
      <c r="AD178" s="90">
        <f>INDEX(AD$129:AD$146,MATCH($B178,$B$129:$B$146,0))*INDEX('Resource costs'!$C$121:$C$142, MATCH($B178, 'Resource costs'!$B$121:$B$142,0))</f>
        <v>240.92360608208148</v>
      </c>
      <c r="AE178" s="90">
        <f>INDEX(AE$129:AE$146,MATCH($B178,$B$129:$B$146,0))*INDEX('Resource costs'!$C$121:$C$142, MATCH($B178, 'Resource costs'!$B$121:$B$142,0))</f>
        <v>243.357825939386</v>
      </c>
      <c r="AF178" s="90">
        <f>INDEX(AF$129:AF$146,MATCH($B178,$B$129:$B$146,0))*INDEX('Resource costs'!$C$121:$C$142, MATCH($B178, 'Resource costs'!$B$121:$B$142,0))</f>
        <v>245.67736339817867</v>
      </c>
      <c r="AG178" s="90">
        <f>INDEX(AG$129:AG$146,MATCH($B178,$B$129:$B$146,0))*INDEX('Resource costs'!$C$121:$C$142, MATCH($B178, 'Resource costs'!$B$121:$B$142,0))</f>
        <v>247.89311775420177</v>
      </c>
      <c r="AH178" s="90">
        <f>INDEX(AH$129:AH$146,MATCH($B178,$B$129:$B$146,0))*INDEX('Resource costs'!$C$121:$C$142, MATCH($B178, 'Resource costs'!$B$121:$B$142,0))</f>
        <v>250.05575480276551</v>
      </c>
      <c r="AI178" s="90">
        <f>INDEX(AI$129:AI$146,MATCH($B178,$B$129:$B$146,0))*INDEX('Resource costs'!$C$121:$C$142, MATCH($B178, 'Resource costs'!$B$121:$B$142,0))</f>
        <v>252.17006311977906</v>
      </c>
      <c r="AJ178" s="90">
        <f>INDEX(AJ$129:AJ$146,MATCH($B178,$B$129:$B$146,0))*INDEX('Resource costs'!$C$121:$C$142, MATCH($B178, 'Resource costs'!$B$121:$B$142,0))</f>
        <v>254.25405211299389</v>
      </c>
      <c r="AK178" s="90">
        <f>INDEX(AK$129:AK$146,MATCH($B178,$B$129:$B$146,0))*INDEX('Resource costs'!$C$121:$C$142, MATCH($B178, 'Resource costs'!$B$121:$B$142,0))</f>
        <v>256.25072180085704</v>
      </c>
      <c r="AL178" s="90">
        <f>INDEX(AL$129:AL$146,MATCH($B178,$B$129:$B$146,0))*INDEX('Resource costs'!$C$121:$C$142, MATCH($B178, 'Resource costs'!$B$121:$B$142,0))</f>
        <v>258.11790259400533</v>
      </c>
      <c r="AM178" s="90">
        <f>INDEX(AM$129:AM$146,MATCH($B178,$B$129:$B$146,0))*INDEX('Resource costs'!$C$121:$C$142, MATCH($B178, 'Resource costs'!$B$121:$B$142,0))</f>
        <v>259.82810242249207</v>
      </c>
      <c r="AN178" s="90">
        <f>INDEX(AN$129:AN$146,MATCH($B178,$B$129:$B$146,0))*INDEX('Resource costs'!$C$121:$C$142, MATCH($B178, 'Resource costs'!$B$121:$B$142,0))</f>
        <v>261.40050179281207</v>
      </c>
      <c r="AO178" s="90">
        <f>INDEX(AO$129:AO$146,MATCH($B178,$B$129:$B$146,0))*INDEX('Resource costs'!$C$121:$C$142, MATCH($B178, 'Resource costs'!$B$121:$B$142,0))</f>
        <v>262.83997888088948</v>
      </c>
      <c r="AP178" s="90">
        <f>INDEX(AP$129:AP$146,MATCH($B178,$B$129:$B$146,0))*INDEX('Resource costs'!$C$121:$C$142, MATCH($B178, 'Resource costs'!$B$121:$B$142,0))</f>
        <v>264.1401479541405</v>
      </c>
      <c r="AQ178" s="90">
        <f>INDEX(AQ$129:AQ$146,MATCH($B178,$B$129:$B$146,0))*INDEX('Resource costs'!$C$121:$C$142, MATCH($B178, 'Resource costs'!$B$121:$B$142,0))</f>
        <v>265.36280279046082</v>
      </c>
      <c r="AR178" s="90">
        <f>INDEX(AR$129:AR$146,MATCH($B178,$B$129:$B$146,0))*INDEX('Resource costs'!$C$121:$C$142, MATCH($B178, 'Resource costs'!$B$121:$B$142,0))</f>
        <v>266.57548026478014</v>
      </c>
      <c r="AS178" s="90">
        <f>INDEX(AS$129:AS$146,MATCH($B178,$B$129:$B$146,0))*INDEX('Resource costs'!$C$121:$C$142, MATCH($B178, 'Resource costs'!$B$121:$B$142,0))</f>
        <v>267.83076154658323</v>
      </c>
      <c r="AT178" s="90">
        <f>INDEX(AT$129:AT$146,MATCH($B178,$B$129:$B$146,0))*INDEX('Resource costs'!$C$121:$C$142, MATCH($B178, 'Resource costs'!$B$121:$B$142,0))</f>
        <v>268.77630217210145</v>
      </c>
      <c r="AU178" s="90">
        <f>INDEX(AU$129:AU$146,MATCH($B178,$B$129:$B$146,0))*INDEX('Resource costs'!$C$121:$C$142, MATCH($B178, 'Resource costs'!$B$121:$B$142,0))</f>
        <v>269.48853064827301</v>
      </c>
      <c r="AV178" s="90">
        <f>INDEX(AV$129:AV$146,MATCH($B178,$B$129:$B$146,0))*INDEX('Resource costs'!$C$121:$C$142, MATCH($B178, 'Resource costs'!$B$121:$B$142,0))</f>
        <v>270.02501674794922</v>
      </c>
      <c r="AW178" s="90">
        <f>INDEX(AW$129:AW$146,MATCH($B178,$B$129:$B$146,0))*INDEX('Resource costs'!$C$121:$C$142, MATCH($B178, 'Resource costs'!$B$121:$B$142,0))</f>
        <v>270.42912490253036</v>
      </c>
      <c r="AX178" s="90">
        <f>INDEX(AX$129:AX$146,MATCH($B178,$B$129:$B$146,0))*INDEX('Resource costs'!$C$121:$C$142, MATCH($B178, 'Resource costs'!$B$121:$B$142,0))</f>
        <v>270.73351936996863</v>
      </c>
      <c r="AY178" s="90">
        <f>INDEX(AY$129:AY$146,MATCH($B178,$B$129:$B$146,0))*INDEX('Resource costs'!$C$121:$C$142, MATCH($B178, 'Resource costs'!$B$121:$B$142,0))</f>
        <v>270.96280450256648</v>
      </c>
      <c r="AZ178" s="90">
        <f>INDEX(AZ$129:AZ$146,MATCH($B178,$B$129:$B$146,0))*INDEX('Resource costs'!$C$121:$C$142, MATCH($B178, 'Resource costs'!$B$121:$B$142,0))</f>
        <v>271.13551352869581</v>
      </c>
      <c r="BA178" s="90">
        <f>INDEX(BA$129:BA$146,MATCH($B178,$B$129:$B$146,0))*INDEX('Resource costs'!$C$121:$C$142, MATCH($B178, 'Resource costs'!$B$121:$B$142,0))</f>
        <v>271.26560660262771</v>
      </c>
      <c r="BB178" s="90">
        <f>INDEX(BB$129:BB$146,MATCH($B178,$B$129:$B$146,0))*INDEX('Resource costs'!$C$121:$C$142, MATCH($B178, 'Resource costs'!$B$121:$B$142,0))</f>
        <v>271.36359921056692</v>
      </c>
    </row>
    <row r="179" spans="2:54" s="97" customFormat="1">
      <c r="B179" s="6" t="s">
        <v>15</v>
      </c>
      <c r="C179" s="315"/>
      <c r="D179" s="90">
        <f>INDEX(D$129:D$146,MATCH($B179,$B$129:$B$146,0))*INDEX('Resource costs'!$C$121:$C$142, MATCH($B179, 'Resource costs'!$B$121:$B$142,0))</f>
        <v>1046.4323042329825</v>
      </c>
      <c r="E179" s="90">
        <f>INDEX(E$129:E$146,MATCH($B179,$B$129:$B$146,0))*INDEX('Resource costs'!$C$121:$C$142, MATCH($B179, 'Resource costs'!$B$121:$B$142,0))</f>
        <v>1082.1998370201322</v>
      </c>
      <c r="F179" s="90">
        <f>INDEX(F$129:F$146,MATCH($B179,$B$129:$B$146,0))*INDEX('Resource costs'!$C$121:$C$142, MATCH($B179, 'Resource costs'!$B$121:$B$142,0))</f>
        <v>1112.8124382255958</v>
      </c>
      <c r="G179" s="90">
        <f>INDEX(G$129:G$146,MATCH($B179,$B$129:$B$146,0))*INDEX('Resource costs'!$C$121:$C$142, MATCH($B179, 'Resource costs'!$B$121:$B$142,0))</f>
        <v>1139.9535369768039</v>
      </c>
      <c r="H179" s="90">
        <f>INDEX(H$129:H$146,MATCH($B179,$B$129:$B$146,0))*INDEX('Resource costs'!$C$121:$C$142, MATCH($B179, 'Resource costs'!$B$121:$B$142,0))</f>
        <v>1165.1511067684692</v>
      </c>
      <c r="I179" s="90">
        <f>INDEX(I$129:I$146,MATCH($B179,$B$129:$B$146,0))*INDEX('Resource costs'!$C$121:$C$142, MATCH($B179, 'Resource costs'!$B$121:$B$142,0))</f>
        <v>1189.2481797880864</v>
      </c>
      <c r="J179" s="90">
        <f>INDEX(J$129:J$146,MATCH($B179,$B$129:$B$146,0))*INDEX('Resource costs'!$C$121:$C$142, MATCH($B179, 'Resource costs'!$B$121:$B$142,0))</f>
        <v>1212.2718539453601</v>
      </c>
      <c r="K179" s="90">
        <f>INDEX(K$129:K$146,MATCH($B179,$B$129:$B$146,0))*INDEX('Resource costs'!$C$121:$C$142, MATCH($B179, 'Resource costs'!$B$121:$B$142,0))</f>
        <v>1234.6191701371631</v>
      </c>
      <c r="L179" s="90">
        <f>INDEX(L$129:L$146,MATCH($B179,$B$129:$B$146,0))*INDEX('Resource costs'!$C$121:$C$142, MATCH($B179, 'Resource costs'!$B$121:$B$142,0))</f>
        <v>1258.653446433568</v>
      </c>
      <c r="M179" s="90">
        <f>INDEX(M$129:M$146,MATCH($B179,$B$129:$B$146,0))*INDEX('Resource costs'!$C$121:$C$142, MATCH($B179, 'Resource costs'!$B$121:$B$142,0))</f>
        <v>1282.8275964469567</v>
      </c>
      <c r="N179" s="90">
        <f>INDEX(N$129:N$146,MATCH($B179,$B$129:$B$146,0))*INDEX('Resource costs'!$C$121:$C$142, MATCH($B179, 'Resource costs'!$B$121:$B$142,0))</f>
        <v>1306.4109469432919</v>
      </c>
      <c r="O179" s="90">
        <f>INDEX(O$129:O$146,MATCH($B179,$B$129:$B$146,0))*INDEX('Resource costs'!$C$121:$C$142, MATCH($B179, 'Resource costs'!$B$121:$B$142,0))</f>
        <v>1329.103743587068</v>
      </c>
      <c r="P179" s="90">
        <f>INDEX(P$129:P$146,MATCH($B179,$B$129:$B$146,0))*INDEX('Resource costs'!$C$121:$C$142, MATCH($B179, 'Resource costs'!$B$121:$B$142,0))</f>
        <v>1350.7382775973251</v>
      </c>
      <c r="Q179" s="90">
        <f>INDEX(Q$129:Q$146,MATCH($B179,$B$129:$B$146,0))*INDEX('Resource costs'!$C$121:$C$142, MATCH($B179, 'Resource costs'!$B$121:$B$142,0))</f>
        <v>1371.7438294311428</v>
      </c>
      <c r="R179" s="90">
        <f>INDEX(R$129:R$146,MATCH($B179,$B$129:$B$146,0))*INDEX('Resource costs'!$C$121:$C$142, MATCH($B179, 'Resource costs'!$B$121:$B$142,0))</f>
        <v>1392.6025276157948</v>
      </c>
      <c r="S179" s="90">
        <f>INDEX(S$129:S$146,MATCH($B179,$B$129:$B$146,0))*INDEX('Resource costs'!$C$121:$C$142, MATCH($B179, 'Resource costs'!$B$121:$B$142,0))</f>
        <v>1413.3710634901015</v>
      </c>
      <c r="T179" s="90">
        <f>INDEX(T$129:T$146,MATCH($B179,$B$129:$B$146,0))*INDEX('Resource costs'!$C$121:$C$142, MATCH($B179, 'Resource costs'!$B$121:$B$142,0))</f>
        <v>1433.6596886962391</v>
      </c>
      <c r="U179" s="90">
        <f>INDEX(U$129:U$146,MATCH($B179,$B$129:$B$146,0))*INDEX('Resource costs'!$C$121:$C$142, MATCH($B179, 'Resource costs'!$B$121:$B$142,0))</f>
        <v>1453.5309310889811</v>
      </c>
      <c r="V179" s="90">
        <f>INDEX(V$129:V$146,MATCH($B179,$B$129:$B$146,0))*INDEX('Resource costs'!$C$121:$C$142, MATCH($B179, 'Resource costs'!$B$121:$B$142,0))</f>
        <v>1473.8899696808908</v>
      </c>
      <c r="W179" s="90">
        <f>INDEX(W$129:W$146,MATCH($B179,$B$129:$B$146,0))*INDEX('Resource costs'!$C$121:$C$142, MATCH($B179, 'Resource costs'!$B$121:$B$142,0))</f>
        <v>1493.9608446769546</v>
      </c>
      <c r="X179" s="90">
        <f>INDEX(X$129:X$146,MATCH($B179,$B$129:$B$146,0))*INDEX('Resource costs'!$C$121:$C$142, MATCH($B179, 'Resource costs'!$B$121:$B$142,0))</f>
        <v>1513.5302386481401</v>
      </c>
      <c r="Y179" s="90">
        <f>INDEX(Y$129:Y$146,MATCH($B179,$B$129:$B$146,0))*INDEX('Resource costs'!$C$121:$C$142, MATCH($B179, 'Resource costs'!$B$121:$B$142,0))</f>
        <v>1532.5701947135717</v>
      </c>
      <c r="Z179" s="90">
        <f>INDEX(Z$129:Z$146,MATCH($B179,$B$129:$B$146,0))*INDEX('Resource costs'!$C$121:$C$142, MATCH($B179, 'Resource costs'!$B$121:$B$142,0))</f>
        <v>1551.4493539187579</v>
      </c>
      <c r="AA179" s="90">
        <f>INDEX(AA$129:AA$146,MATCH($B179,$B$129:$B$146,0))*INDEX('Resource costs'!$C$121:$C$142, MATCH($B179, 'Resource costs'!$B$121:$B$142,0))</f>
        <v>1570.0819336931706</v>
      </c>
      <c r="AB179" s="90">
        <f>INDEX(AB$129:AB$146,MATCH($B179,$B$129:$B$146,0))*INDEX('Resource costs'!$C$121:$C$142, MATCH($B179, 'Resource costs'!$B$121:$B$142,0))</f>
        <v>1588.317038622919</v>
      </c>
      <c r="AC179" s="90">
        <f>INDEX(AC$129:AC$146,MATCH($B179,$B$129:$B$146,0))*INDEX('Resource costs'!$C$121:$C$142, MATCH($B179, 'Resource costs'!$B$121:$B$142,0))</f>
        <v>1606.0410672027065</v>
      </c>
      <c r="AD179" s="90">
        <f>INDEX(AD$129:AD$146,MATCH($B179,$B$129:$B$146,0))*INDEX('Resource costs'!$C$121:$C$142, MATCH($B179, 'Resource costs'!$B$121:$B$142,0))</f>
        <v>1623.1426198015072</v>
      </c>
      <c r="AE179" s="90">
        <f>INDEX(AE$129:AE$146,MATCH($B179,$B$129:$B$146,0))*INDEX('Resource costs'!$C$121:$C$142, MATCH($B179, 'Resource costs'!$B$121:$B$142,0))</f>
        <v>1639.5423660140555</v>
      </c>
      <c r="AF179" s="90">
        <f>INDEX(AF$129:AF$146,MATCH($B179,$B$129:$B$146,0))*INDEX('Resource costs'!$C$121:$C$142, MATCH($B179, 'Resource costs'!$B$121:$B$142,0))</f>
        <v>1655.1694777314094</v>
      </c>
      <c r="AG179" s="90">
        <f>INDEX(AG$129:AG$146,MATCH($B179,$B$129:$B$146,0))*INDEX('Resource costs'!$C$121:$C$142, MATCH($B179, 'Resource costs'!$B$121:$B$142,0))</f>
        <v>1670.0973853314918</v>
      </c>
      <c r="AH179" s="90">
        <f>INDEX(AH$129:AH$146,MATCH($B179,$B$129:$B$146,0))*INDEX('Resource costs'!$C$121:$C$142, MATCH($B179, 'Resource costs'!$B$121:$B$142,0))</f>
        <v>1684.667432749301</v>
      </c>
      <c r="AI179" s="90">
        <f>INDEX(AI$129:AI$146,MATCH($B179,$B$129:$B$146,0))*INDEX('Resource costs'!$C$121:$C$142, MATCH($B179, 'Resource costs'!$B$121:$B$142,0))</f>
        <v>1698.911881421451</v>
      </c>
      <c r="AJ179" s="90">
        <f>INDEX(AJ$129:AJ$146,MATCH($B179,$B$129:$B$146,0))*INDEX('Resource costs'!$C$121:$C$142, MATCH($B179, 'Resource costs'!$B$121:$B$142,0))</f>
        <v>1712.9520637393755</v>
      </c>
      <c r="AK179" s="90">
        <f>INDEX(AK$129:AK$146,MATCH($B179,$B$129:$B$146,0))*INDEX('Resource costs'!$C$121:$C$142, MATCH($B179, 'Resource costs'!$B$121:$B$142,0))</f>
        <v>1726.4039612961981</v>
      </c>
      <c r="AL179" s="90">
        <f>INDEX(AL$129:AL$146,MATCH($B179,$B$129:$B$146,0))*INDEX('Resource costs'!$C$121:$C$142, MATCH($B179, 'Resource costs'!$B$121:$B$142,0))</f>
        <v>1738.9834705170636</v>
      </c>
      <c r="AM179" s="90">
        <f>INDEX(AM$129:AM$146,MATCH($B179,$B$129:$B$146,0))*INDEX('Resource costs'!$C$121:$C$142, MATCH($B179, 'Resource costs'!$B$121:$B$142,0))</f>
        <v>1750.5053727297027</v>
      </c>
      <c r="AN179" s="90">
        <f>INDEX(AN$129:AN$146,MATCH($B179,$B$129:$B$146,0))*INDEX('Resource costs'!$C$121:$C$142, MATCH($B179, 'Resource costs'!$B$121:$B$142,0))</f>
        <v>1761.0988902136055</v>
      </c>
      <c r="AO179" s="90">
        <f>INDEX(AO$129:AO$146,MATCH($B179,$B$129:$B$146,0))*INDEX('Resource costs'!$C$121:$C$142, MATCH($B179, 'Resource costs'!$B$121:$B$142,0))</f>
        <v>1770.7968880556691</v>
      </c>
      <c r="AP179" s="90">
        <f>INDEX(AP$129:AP$146,MATCH($B179,$B$129:$B$146,0))*INDEX('Resource costs'!$C$121:$C$142, MATCH($B179, 'Resource costs'!$B$121:$B$142,0))</f>
        <v>1779.5563445076973</v>
      </c>
      <c r="AQ179" s="90">
        <f>INDEX(AQ$129:AQ$146,MATCH($B179,$B$129:$B$146,0))*INDEX('Resource costs'!$C$121:$C$142, MATCH($B179, 'Resource costs'!$B$121:$B$142,0))</f>
        <v>1787.793574584113</v>
      </c>
      <c r="AR179" s="90">
        <f>INDEX(AR$129:AR$146,MATCH($B179,$B$129:$B$146,0))*INDEX('Resource costs'!$C$121:$C$142, MATCH($B179, 'Resource costs'!$B$121:$B$142,0))</f>
        <v>1795.9635855043812</v>
      </c>
      <c r="AS179" s="90">
        <f>INDEX(AS$129:AS$146,MATCH($B179,$B$129:$B$146,0))*INDEX('Resource costs'!$C$121:$C$142, MATCH($B179, 'Resource costs'!$B$121:$B$142,0))</f>
        <v>1804.4206253995897</v>
      </c>
      <c r="AT179" s="90">
        <f>INDEX(AT$129:AT$146,MATCH($B179,$B$129:$B$146,0))*INDEX('Resource costs'!$C$121:$C$142, MATCH($B179, 'Resource costs'!$B$121:$B$142,0))</f>
        <v>1810.7908907006556</v>
      </c>
      <c r="AU179" s="90">
        <f>INDEX(AU$129:AU$146,MATCH($B179,$B$129:$B$146,0))*INDEX('Resource costs'!$C$121:$C$142, MATCH($B179, 'Resource costs'!$B$121:$B$142,0))</f>
        <v>1815.5892930386835</v>
      </c>
      <c r="AV179" s="90">
        <f>INDEX(AV$129:AV$146,MATCH($B179,$B$129:$B$146,0))*INDEX('Resource costs'!$C$121:$C$142, MATCH($B179, 'Resource costs'!$B$121:$B$142,0))</f>
        <v>1819.2036895998028</v>
      </c>
      <c r="AW179" s="90">
        <f>INDEX(AW$129:AW$146,MATCH($B179,$B$129:$B$146,0))*INDEX('Resource costs'!$C$121:$C$142, MATCH($B179, 'Resource costs'!$B$121:$B$142,0))</f>
        <v>1821.9262338094661</v>
      </c>
      <c r="AX179" s="90">
        <f>INDEX(AX$129:AX$146,MATCH($B179,$B$129:$B$146,0))*INDEX('Resource costs'!$C$121:$C$142, MATCH($B179, 'Resource costs'!$B$121:$B$142,0))</f>
        <v>1823.9769902353951</v>
      </c>
      <c r="AY179" s="90">
        <f>INDEX(AY$129:AY$146,MATCH($B179,$B$129:$B$146,0))*INDEX('Resource costs'!$C$121:$C$142, MATCH($B179, 'Resource costs'!$B$121:$B$142,0))</f>
        <v>1825.521722513226</v>
      </c>
      <c r="AZ179" s="90">
        <f>INDEX(AZ$129:AZ$146,MATCH($B179,$B$129:$B$146,0))*INDEX('Resource costs'!$C$121:$C$142, MATCH($B179, 'Resource costs'!$B$121:$B$142,0))</f>
        <v>1826.6852921015022</v>
      </c>
      <c r="BA179" s="90">
        <f>INDEX(BA$129:BA$146,MATCH($B179,$B$129:$B$146,0))*INDEX('Resource costs'!$C$121:$C$142, MATCH($B179, 'Resource costs'!$B$121:$B$142,0))</f>
        <v>1827.561750893871</v>
      </c>
      <c r="BB179" s="90">
        <f>INDEX(BB$129:BB$146,MATCH($B179,$B$129:$B$146,0))*INDEX('Resource costs'!$C$121:$C$142, MATCH($B179, 'Resource costs'!$B$121:$B$142,0))</f>
        <v>1828.221943479223</v>
      </c>
    </row>
    <row r="180" spans="2:54" s="97" customFormat="1" ht="29">
      <c r="B180" s="6" t="s">
        <v>16</v>
      </c>
      <c r="C180" s="315"/>
      <c r="D180" s="90">
        <f>INDEX(D$129:D$146,MATCH($B180,$B$129:$B$146,0))*INDEX('Resource costs'!$C$121:$C$142, MATCH($B180, 'Resource costs'!$B$121:$B$142,0))</f>
        <v>5608.7715348141437</v>
      </c>
      <c r="E180" s="90">
        <f>INDEX(E$129:E$146,MATCH($B180,$B$129:$B$146,0))*INDEX('Resource costs'!$C$121:$C$142, MATCH($B180, 'Resource costs'!$B$121:$B$142,0))</f>
        <v>5800.4819005545651</v>
      </c>
      <c r="F180" s="90">
        <f>INDEX(F$129:F$146,MATCH($B180,$B$129:$B$146,0))*INDEX('Resource costs'!$C$121:$C$142, MATCH($B180, 'Resource costs'!$B$121:$B$142,0))</f>
        <v>5964.5623533017442</v>
      </c>
      <c r="G180" s="90">
        <f>INDEX(G$129:G$146,MATCH($B180,$B$129:$B$146,0))*INDEX('Resource costs'!$C$121:$C$142, MATCH($B180, 'Resource costs'!$B$121:$B$142,0))</f>
        <v>6110.0359032710712</v>
      </c>
      <c r="H180" s="90">
        <f>INDEX(H$129:H$146,MATCH($B180,$B$129:$B$146,0))*INDEX('Resource costs'!$C$121:$C$142, MATCH($B180, 'Resource costs'!$B$121:$B$142,0))</f>
        <v>6245.0923341766293</v>
      </c>
      <c r="I180" s="90">
        <f>INDEX(I$129:I$146,MATCH($B180,$B$129:$B$146,0))*INDEX('Resource costs'!$C$121:$C$142, MATCH($B180, 'Resource costs'!$B$121:$B$142,0))</f>
        <v>6374.2502134565839</v>
      </c>
      <c r="J180" s="90">
        <f>INDEX(J$129:J$146,MATCH($B180,$B$129:$B$146,0))*INDEX('Resource costs'!$C$121:$C$142, MATCH($B180, 'Resource costs'!$B$121:$B$142,0))</f>
        <v>6497.6547831719699</v>
      </c>
      <c r="K180" s="90">
        <f>INDEX(K$129:K$146,MATCH($B180,$B$129:$B$146,0))*INDEX('Resource costs'!$C$121:$C$142, MATCH($B180, 'Resource costs'!$B$121:$B$142,0))</f>
        <v>6617.4341424568975</v>
      </c>
      <c r="L180" s="90">
        <f>INDEX(L$129:L$146,MATCH($B180,$B$129:$B$146,0))*INDEX('Resource costs'!$C$121:$C$142, MATCH($B180, 'Resource costs'!$B$121:$B$142,0))</f>
        <v>6746.2554376384724</v>
      </c>
      <c r="M180" s="90">
        <f>INDEX(M$129:M$146,MATCH($B180,$B$129:$B$146,0))*INDEX('Resource costs'!$C$121:$C$142, MATCH($B180, 'Resource costs'!$B$121:$B$142,0))</f>
        <v>6875.8264418256995</v>
      </c>
      <c r="N180" s="90">
        <f>INDEX(N$129:N$146,MATCH($B180,$B$129:$B$146,0))*INDEX('Resource costs'!$C$121:$C$142, MATCH($B180, 'Resource costs'!$B$121:$B$142,0))</f>
        <v>7002.2308202306122</v>
      </c>
      <c r="O180" s="90">
        <f>INDEX(O$129:O$146,MATCH($B180,$B$129:$B$146,0))*INDEX('Resource costs'!$C$121:$C$142, MATCH($B180, 'Resource costs'!$B$121:$B$142,0))</f>
        <v>7123.8619198689494</v>
      </c>
      <c r="P180" s="90">
        <f>INDEX(P$129:P$146,MATCH($B180,$B$129:$B$146,0))*INDEX('Resource costs'!$C$121:$C$142, MATCH($B180, 'Resource costs'!$B$121:$B$142,0))</f>
        <v>7239.8208386015294</v>
      </c>
      <c r="Q180" s="90">
        <f>INDEX(Q$129:Q$146,MATCH($B180,$B$129:$B$146,0))*INDEX('Resource costs'!$C$121:$C$142, MATCH($B180, 'Resource costs'!$B$121:$B$142,0))</f>
        <v>7352.4084763512419</v>
      </c>
      <c r="R180" s="90">
        <f>INDEX(R$129:R$146,MATCH($B180,$B$129:$B$146,0))*INDEX('Resource costs'!$C$121:$C$142, MATCH($B180, 'Resource costs'!$B$121:$B$142,0))</f>
        <v>7464.2089933632897</v>
      </c>
      <c r="S180" s="90">
        <f>INDEX(S$129:S$146,MATCH($B180,$B$129:$B$146,0))*INDEX('Resource costs'!$C$121:$C$142, MATCH($B180, 'Resource costs'!$B$121:$B$142,0))</f>
        <v>7575.5262494919216</v>
      </c>
      <c r="T180" s="90">
        <f>INDEX(T$129:T$146,MATCH($B180,$B$129:$B$146,0))*INDEX('Resource costs'!$C$121:$C$142, MATCH($B180, 'Resource costs'!$B$121:$B$142,0))</f>
        <v>7684.2712328763037</v>
      </c>
      <c r="U180" s="90">
        <f>INDEX(U$129:U$146,MATCH($B180,$B$129:$B$146,0))*INDEX('Resource costs'!$C$121:$C$142, MATCH($B180, 'Resource costs'!$B$121:$B$142,0))</f>
        <v>7790.7790865071211</v>
      </c>
      <c r="V180" s="90">
        <f>INDEX(V$129:V$146,MATCH($B180,$B$129:$B$146,0))*INDEX('Resource costs'!$C$121:$C$142, MATCH($B180, 'Resource costs'!$B$121:$B$142,0))</f>
        <v>7899.9014785324543</v>
      </c>
      <c r="W180" s="90">
        <f>INDEX(W$129:W$146,MATCH($B180,$B$129:$B$146,0))*INDEX('Resource costs'!$C$121:$C$142, MATCH($B180, 'Resource costs'!$B$121:$B$142,0))</f>
        <v>8007.4793427682589</v>
      </c>
      <c r="X180" s="90">
        <f>INDEX(X$129:X$146,MATCH($B180,$B$129:$B$146,0))*INDEX('Resource costs'!$C$121:$C$142, MATCH($B180, 'Resource costs'!$B$121:$B$142,0))</f>
        <v>8112.3693193249383</v>
      </c>
      <c r="Y180" s="90">
        <f>INDEX(Y$129:Y$146,MATCH($B180,$B$129:$B$146,0))*INDEX('Resource costs'!$C$121:$C$142, MATCH($B180, 'Resource costs'!$B$121:$B$142,0))</f>
        <v>8214.4215621426702</v>
      </c>
      <c r="Z180" s="90">
        <f>INDEX(Z$129:Z$146,MATCH($B180,$B$129:$B$146,0))*INDEX('Resource costs'!$C$121:$C$142, MATCH($B180, 'Resource costs'!$B$121:$B$142,0))</f>
        <v>8315.6119500186342</v>
      </c>
      <c r="AA180" s="90">
        <f>INDEX(AA$129:AA$146,MATCH($B180,$B$129:$B$146,0))*INDEX('Resource costs'!$C$121:$C$142, MATCH($B180, 'Resource costs'!$B$121:$B$142,0))</f>
        <v>8415.4806970327863</v>
      </c>
      <c r="AB180" s="90">
        <f>INDEX(AB$129:AB$146,MATCH($B180,$B$129:$B$146,0))*INDEX('Resource costs'!$C$121:$C$142, MATCH($B180, 'Resource costs'!$B$121:$B$142,0))</f>
        <v>8513.2190189964676</v>
      </c>
      <c r="AC180" s="90">
        <f>INDEX(AC$129:AC$146,MATCH($B180,$B$129:$B$146,0))*INDEX('Resource costs'!$C$121:$C$142, MATCH($B180, 'Resource costs'!$B$121:$B$142,0))</f>
        <v>8608.2180233070339</v>
      </c>
      <c r="AD180" s="90">
        <f>INDEX(AD$129:AD$146,MATCH($B180,$B$129:$B$146,0))*INDEX('Resource costs'!$C$121:$C$142, MATCH($B180, 'Resource costs'!$B$121:$B$142,0))</f>
        <v>8699.8806191856911</v>
      </c>
      <c r="AE180" s="90">
        <f>INDEX(AE$129:AE$146,MATCH($B180,$B$129:$B$146,0))*INDEX('Resource costs'!$C$121:$C$142, MATCH($B180, 'Resource costs'!$B$121:$B$142,0))</f>
        <v>8787.7816036669938</v>
      </c>
      <c r="AF180" s="90">
        <f>INDEX(AF$129:AF$146,MATCH($B180,$B$129:$B$146,0))*INDEX('Resource costs'!$C$121:$C$142, MATCH($B180, 'Resource costs'!$B$121:$B$142,0))</f>
        <v>8871.541345235657</v>
      </c>
      <c r="AG180" s="90">
        <f>INDEX(AG$129:AG$146,MATCH($B180,$B$129:$B$146,0))*INDEX('Resource costs'!$C$121:$C$142, MATCH($B180, 'Resource costs'!$B$121:$B$142,0))</f>
        <v>8951.5534233060553</v>
      </c>
      <c r="AH180" s="90">
        <f>INDEX(AH$129:AH$146,MATCH($B180,$B$129:$B$146,0))*INDEX('Resource costs'!$C$121:$C$142, MATCH($B180, 'Resource costs'!$B$121:$B$142,0))</f>
        <v>9029.6474069181168</v>
      </c>
      <c r="AI180" s="90">
        <f>INDEX(AI$129:AI$146,MATCH($B180,$B$129:$B$146,0))*INDEX('Resource costs'!$C$121:$C$142, MATCH($B180, 'Resource costs'!$B$121:$B$142,0))</f>
        <v>9105.9962141159576</v>
      </c>
      <c r="AJ180" s="90">
        <f>INDEX(AJ$129:AJ$146,MATCH($B180,$B$129:$B$146,0))*INDEX('Resource costs'!$C$121:$C$142, MATCH($B180, 'Resource costs'!$B$121:$B$142,0))</f>
        <v>9181.2501742716468</v>
      </c>
      <c r="AK180" s="90">
        <f>INDEX(AK$129:AK$146,MATCH($B180,$B$129:$B$146,0))*INDEX('Resource costs'!$C$121:$C$142, MATCH($B180, 'Resource costs'!$B$121:$B$142,0))</f>
        <v>9253.3509874831107</v>
      </c>
      <c r="AL180" s="90">
        <f>INDEX(AL$129:AL$146,MATCH($B180,$B$129:$B$146,0))*INDEX('Resource costs'!$C$121:$C$142, MATCH($B180, 'Resource costs'!$B$121:$B$142,0))</f>
        <v>9320.7758872635477</v>
      </c>
      <c r="AM180" s="90">
        <f>INDEX(AM$129:AM$146,MATCH($B180,$B$129:$B$146,0))*INDEX('Resource costs'!$C$121:$C$142, MATCH($B180, 'Resource costs'!$B$121:$B$142,0))</f>
        <v>9382.5321202236264</v>
      </c>
      <c r="AN180" s="90">
        <f>INDEX(AN$129:AN$146,MATCH($B180,$B$129:$B$146,0))*INDEX('Resource costs'!$C$121:$C$142, MATCH($B180, 'Resource costs'!$B$121:$B$142,0))</f>
        <v>9439.3123047390691</v>
      </c>
      <c r="AO180" s="90">
        <f>INDEX(AO$129:AO$146,MATCH($B180,$B$129:$B$146,0))*INDEX('Resource costs'!$C$121:$C$142, MATCH($B180, 'Resource costs'!$B$121:$B$142,0))</f>
        <v>9491.2925943585924</v>
      </c>
      <c r="AP180" s="90">
        <f>INDEX(AP$129:AP$146,MATCH($B180,$B$129:$B$146,0))*INDEX('Resource costs'!$C$121:$C$142, MATCH($B180, 'Resource costs'!$B$121:$B$142,0))</f>
        <v>9538.2423968540279</v>
      </c>
      <c r="AQ180" s="90">
        <f>INDEX(AQ$129:AQ$146,MATCH($B180,$B$129:$B$146,0))*INDEX('Resource costs'!$C$121:$C$142, MATCH($B180, 'Resource costs'!$B$121:$B$142,0))</f>
        <v>9582.3931186842165</v>
      </c>
      <c r="AR180" s="90">
        <f>INDEX(AR$129:AR$146,MATCH($B180,$B$129:$B$146,0))*INDEX('Resource costs'!$C$121:$C$142, MATCH($B180, 'Resource costs'!$B$121:$B$142,0))</f>
        <v>9626.1835526218529</v>
      </c>
      <c r="AS180" s="90">
        <f>INDEX(AS$129:AS$146,MATCH($B180,$B$129:$B$146,0))*INDEX('Resource costs'!$C$121:$C$142, MATCH($B180, 'Resource costs'!$B$121:$B$142,0))</f>
        <v>9671.5124328954789</v>
      </c>
      <c r="AT180" s="90">
        <f>INDEX(AT$129:AT$146,MATCH($B180,$B$129:$B$146,0))*INDEX('Resource costs'!$C$121:$C$142, MATCH($B180, 'Resource costs'!$B$121:$B$142,0))</f>
        <v>9705.6564119615887</v>
      </c>
      <c r="AU180" s="90">
        <f>INDEX(AU$129:AU$146,MATCH($B180,$B$129:$B$146,0))*INDEX('Resource costs'!$C$121:$C$142, MATCH($B180, 'Resource costs'!$B$121:$B$142,0))</f>
        <v>9731.375364193138</v>
      </c>
      <c r="AV180" s="90">
        <f>INDEX(AV$129:AV$146,MATCH($B180,$B$129:$B$146,0))*INDEX('Resource costs'!$C$121:$C$142, MATCH($B180, 'Resource costs'!$B$121:$B$142,0))</f>
        <v>9750.7481649615493</v>
      </c>
      <c r="AW180" s="90">
        <f>INDEX(AW$129:AW$146,MATCH($B180,$B$129:$B$146,0))*INDEX('Resource costs'!$C$121:$C$142, MATCH($B180, 'Resource costs'!$B$121:$B$142,0))</f>
        <v>9765.3407271403557</v>
      </c>
      <c r="AX180" s="90">
        <f>INDEX(AX$129:AX$146,MATCH($B180,$B$129:$B$146,0))*INDEX('Resource costs'!$C$121:$C$142, MATCH($B180, 'Resource costs'!$B$121:$B$142,0))</f>
        <v>9776.3325746015435</v>
      </c>
      <c r="AY180" s="90">
        <f>INDEX(AY$129:AY$146,MATCH($B180,$B$129:$B$146,0))*INDEX('Resource costs'!$C$121:$C$142, MATCH($B180, 'Resource costs'!$B$121:$B$142,0))</f>
        <v>9784.6121837016817</v>
      </c>
      <c r="AZ180" s="90">
        <f>INDEX(AZ$129:AZ$146,MATCH($B180,$B$129:$B$146,0))*INDEX('Resource costs'!$C$121:$C$142, MATCH($B180, 'Resource costs'!$B$121:$B$142,0))</f>
        <v>9790.8487992563623</v>
      </c>
      <c r="BA180" s="90">
        <f>INDEX(BA$129:BA$146,MATCH($B180,$B$129:$B$146,0))*INDEX('Resource costs'!$C$121:$C$142, MATCH($B180, 'Resource costs'!$B$121:$B$142,0))</f>
        <v>9795.5465299229236</v>
      </c>
      <c r="BB180" s="90">
        <f>INDEX(BB$129:BB$146,MATCH($B180,$B$129:$B$146,0))*INDEX('Resource costs'!$C$121:$C$142, MATCH($B180, 'Resource costs'!$B$121:$B$142,0))</f>
        <v>9799.0850955475125</v>
      </c>
    </row>
    <row r="181" spans="2:54" s="97" customFormat="1">
      <c r="B181" s="6" t="s">
        <v>103</v>
      </c>
      <c r="C181" s="315"/>
      <c r="D181" s="90">
        <f>INDEX(D$129:D$146,MATCH($B181,$B$129:$B$146,0))*INDEX('Resource costs'!$C$121:$C$142, MATCH($B181, 'Resource costs'!$B$121:$B$142,0))</f>
        <v>110124.10206790602</v>
      </c>
      <c r="E181" s="90">
        <f>INDEX(E$129:E$146,MATCH($B181,$B$129:$B$146,0))*INDEX('Resource costs'!$C$121:$C$142, MATCH($B181, 'Resource costs'!$B$121:$B$142,0))</f>
        <v>113888.19403585837</v>
      </c>
      <c r="F181" s="90">
        <f>INDEX(F$129:F$146,MATCH($B181,$B$129:$B$146,0))*INDEX('Resource costs'!$C$121:$C$142, MATCH($B181, 'Resource costs'!$B$121:$B$142,0))</f>
        <v>117109.79299269256</v>
      </c>
      <c r="G181" s="90">
        <f>INDEX(G$129:G$146,MATCH($B181,$B$129:$B$146,0))*INDEX('Resource costs'!$C$121:$C$142, MATCH($B181, 'Resource costs'!$B$121:$B$142,0))</f>
        <v>119966.05910472161</v>
      </c>
      <c r="H181" s="90">
        <f>INDEX(H$129:H$146,MATCH($B181,$B$129:$B$146,0))*INDEX('Resource costs'!$C$121:$C$142, MATCH($B181, 'Resource costs'!$B$121:$B$142,0))</f>
        <v>122617.79274900591</v>
      </c>
      <c r="I181" s="90">
        <f>INDEX(I$129:I$146,MATCH($B181,$B$129:$B$146,0))*INDEX('Resource costs'!$C$121:$C$142, MATCH($B181, 'Resource costs'!$B$121:$B$142,0))</f>
        <v>125153.71267236417</v>
      </c>
      <c r="J181" s="90">
        <f>INDEX(J$129:J$146,MATCH($B181,$B$129:$B$146,0))*INDEX('Resource costs'!$C$121:$C$142, MATCH($B181, 'Resource costs'!$B$121:$B$142,0))</f>
        <v>127576.67059579359</v>
      </c>
      <c r="K181" s="90">
        <f>INDEX(K$129:K$146,MATCH($B181,$B$129:$B$146,0))*INDEX('Resource costs'!$C$121:$C$142, MATCH($B181, 'Resource costs'!$B$121:$B$142,0))</f>
        <v>129928.45017990511</v>
      </c>
      <c r="L181" s="90">
        <f>INDEX(L$129:L$146,MATCH($B181,$B$129:$B$146,0))*INDEX('Resource costs'!$C$121:$C$142, MATCH($B181, 'Resource costs'!$B$121:$B$142,0))</f>
        <v>132457.76152215534</v>
      </c>
      <c r="M181" s="90">
        <f>INDEX(M$129:M$146,MATCH($B181,$B$129:$B$146,0))*INDEX('Resource costs'!$C$121:$C$142, MATCH($B181, 'Resource costs'!$B$121:$B$142,0))</f>
        <v>135001.79284908442</v>
      </c>
      <c r="N181" s="90">
        <f>INDEX(N$129:N$146,MATCH($B181,$B$129:$B$146,0))*INDEX('Resource costs'!$C$121:$C$142, MATCH($B181, 'Resource costs'!$B$121:$B$142,0))</f>
        <v>137483.64980882846</v>
      </c>
      <c r="O181" s="90">
        <f>INDEX(O$129:O$146,MATCH($B181,$B$129:$B$146,0))*INDEX('Resource costs'!$C$121:$C$142, MATCH($B181, 'Resource costs'!$B$121:$B$142,0))</f>
        <v>139871.78695224086</v>
      </c>
      <c r="P181" s="90">
        <f>INDEX(P$129:P$146,MATCH($B181,$B$129:$B$146,0))*INDEX('Resource costs'!$C$121:$C$142, MATCH($B181, 'Resource costs'!$B$121:$B$142,0))</f>
        <v>142148.55499724447</v>
      </c>
      <c r="Q181" s="90">
        <f>INDEX(Q$129:Q$146,MATCH($B181,$B$129:$B$146,0))*INDEX('Resource costs'!$C$121:$C$142, MATCH($B181, 'Resource costs'!$B$121:$B$142,0))</f>
        <v>144359.13042078857</v>
      </c>
      <c r="R181" s="90">
        <f>INDEX(R$129:R$146,MATCH($B181,$B$129:$B$146,0))*INDEX('Resource costs'!$C$121:$C$142, MATCH($B181, 'Resource costs'!$B$121:$B$142,0))</f>
        <v>146554.25130782384</v>
      </c>
      <c r="S181" s="90">
        <f>INDEX(S$129:S$146,MATCH($B181,$B$129:$B$146,0))*INDEX('Resource costs'!$C$121:$C$142, MATCH($B181, 'Resource costs'!$B$121:$B$142,0))</f>
        <v>148739.88372300385</v>
      </c>
      <c r="T181" s="90">
        <f>INDEX(T$129:T$146,MATCH($B181,$B$129:$B$146,0))*INDEX('Resource costs'!$C$121:$C$142, MATCH($B181, 'Resource costs'!$B$121:$B$142,0))</f>
        <v>150875.01145556735</v>
      </c>
      <c r="U181" s="90">
        <f>INDEX(U$129:U$146,MATCH($B181,$B$129:$B$146,0))*INDEX('Resource costs'!$C$121:$C$142, MATCH($B181, 'Resource costs'!$B$121:$B$142,0))</f>
        <v>152966.21479153319</v>
      </c>
      <c r="V181" s="90">
        <f>INDEX(V$129:V$146,MATCH($B181,$B$129:$B$146,0))*INDEX('Resource costs'!$C$121:$C$142, MATCH($B181, 'Resource costs'!$B$121:$B$142,0))</f>
        <v>155108.75266505883</v>
      </c>
      <c r="W181" s="90">
        <f>INDEX(W$129:W$146,MATCH($B181,$B$129:$B$146,0))*INDEX('Resource costs'!$C$121:$C$142, MATCH($B181, 'Resource costs'!$B$121:$B$142,0))</f>
        <v>157220.96487192379</v>
      </c>
      <c r="X181" s="90">
        <f>INDEX(X$129:X$146,MATCH($B181,$B$129:$B$146,0))*INDEX('Resource costs'!$C$121:$C$142, MATCH($B181, 'Resource costs'!$B$121:$B$142,0))</f>
        <v>159280.40238199718</v>
      </c>
      <c r="Y181" s="90">
        <f>INDEX(Y$129:Y$146,MATCH($B181,$B$129:$B$146,0))*INDEX('Resource costs'!$C$121:$C$142, MATCH($B181, 'Resource costs'!$B$121:$B$142,0))</f>
        <v>161284.12307815332</v>
      </c>
      <c r="Z181" s="90">
        <f>INDEX(Z$129:Z$146,MATCH($B181,$B$129:$B$146,0))*INDEX('Resource costs'!$C$121:$C$142, MATCH($B181, 'Resource costs'!$B$121:$B$142,0))</f>
        <v>163270.92188669363</v>
      </c>
      <c r="AA181" s="90">
        <f>INDEX(AA$129:AA$146,MATCH($B181,$B$129:$B$146,0))*INDEX('Resource costs'!$C$121:$C$142, MATCH($B181, 'Resource costs'!$B$121:$B$142,0))</f>
        <v>165231.77124939545</v>
      </c>
      <c r="AB181" s="90">
        <f>INDEX(AB$129:AB$146,MATCH($B181,$B$129:$B$146,0))*INDEX('Resource costs'!$C$121:$C$142, MATCH($B181, 'Resource costs'!$B$121:$B$142,0))</f>
        <v>167150.79128382998</v>
      </c>
      <c r="AC181" s="90">
        <f>INDEX(AC$129:AC$146,MATCH($B181,$B$129:$B$146,0))*INDEX('Resource costs'!$C$121:$C$142, MATCH($B181, 'Resource costs'!$B$121:$B$142,0))</f>
        <v>169016.02683177654</v>
      </c>
      <c r="AD181" s="90">
        <f>INDEX(AD$129:AD$146,MATCH($B181,$B$129:$B$146,0))*INDEX('Resource costs'!$C$121:$C$142, MATCH($B181, 'Resource costs'!$B$121:$B$142,0))</f>
        <v>170815.75445514193</v>
      </c>
      <c r="AE181" s="90">
        <f>INDEX(AE$129:AE$146,MATCH($B181,$B$129:$B$146,0))*INDEX('Resource costs'!$C$121:$C$142, MATCH($B181, 'Resource costs'!$B$121:$B$142,0))</f>
        <v>172541.62560657031</v>
      </c>
      <c r="AF181" s="90">
        <f>INDEX(AF$129:AF$146,MATCH($B181,$B$129:$B$146,0))*INDEX('Resource costs'!$C$121:$C$142, MATCH($B181, 'Resource costs'!$B$121:$B$142,0))</f>
        <v>174186.1865005976</v>
      </c>
      <c r="AG181" s="90">
        <f>INDEX(AG$129:AG$146,MATCH($B181,$B$129:$B$146,0))*INDEX('Resource costs'!$C$121:$C$142, MATCH($B181, 'Resource costs'!$B$121:$B$142,0))</f>
        <v>175757.1647794235</v>
      </c>
      <c r="AH181" s="90">
        <f>INDEX(AH$129:AH$146,MATCH($B181,$B$129:$B$146,0))*INDEX('Resource costs'!$C$121:$C$142, MATCH($B181, 'Resource costs'!$B$121:$B$142,0))</f>
        <v>177290.48268492255</v>
      </c>
      <c r="AI181" s="90">
        <f>INDEX(AI$129:AI$146,MATCH($B181,$B$129:$B$146,0))*INDEX('Resource costs'!$C$121:$C$142, MATCH($B181, 'Resource costs'!$B$121:$B$142,0))</f>
        <v>178789.53533565538</v>
      </c>
      <c r="AJ181" s="90">
        <f>INDEX(AJ$129:AJ$146,MATCH($B181,$B$129:$B$146,0))*INDEX('Resource costs'!$C$121:$C$142, MATCH($B181, 'Resource costs'!$B$121:$B$142,0))</f>
        <v>180267.09147032039</v>
      </c>
      <c r="AK181" s="90">
        <f>INDEX(AK$129:AK$146,MATCH($B181,$B$129:$B$146,0))*INDEX('Resource costs'!$C$121:$C$142, MATCH($B181, 'Resource costs'!$B$121:$B$142,0))</f>
        <v>181682.73788486834</v>
      </c>
      <c r="AL181" s="90">
        <f>INDEX(AL$129:AL$146,MATCH($B181,$B$129:$B$146,0))*INDEX('Resource costs'!$C$121:$C$142, MATCH($B181, 'Resource costs'!$B$121:$B$142,0))</f>
        <v>183006.57617980533</v>
      </c>
      <c r="AM181" s="90">
        <f>INDEX(AM$129:AM$146,MATCH($B181,$B$129:$B$146,0))*INDEX('Resource costs'!$C$121:$C$142, MATCH($B181, 'Resource costs'!$B$121:$B$142,0))</f>
        <v>184219.11437281448</v>
      </c>
      <c r="AN181" s="90">
        <f>INDEX(AN$129:AN$146,MATCH($B181,$B$129:$B$146,0))*INDEX('Resource costs'!$C$121:$C$142, MATCH($B181, 'Resource costs'!$B$121:$B$142,0))</f>
        <v>185333.95151606435</v>
      </c>
      <c r="AO181" s="90">
        <f>INDEX(AO$129:AO$146,MATCH($B181,$B$129:$B$146,0))*INDEX('Resource costs'!$C$121:$C$142, MATCH($B181, 'Resource costs'!$B$121:$B$142,0))</f>
        <v>186354.5462548674</v>
      </c>
      <c r="AP181" s="90">
        <f>INDEX(AP$129:AP$146,MATCH($B181,$B$129:$B$146,0))*INDEX('Resource costs'!$C$121:$C$142, MATCH($B181, 'Resource costs'!$B$121:$B$142,0))</f>
        <v>187276.37108049681</v>
      </c>
      <c r="AQ181" s="90">
        <f>INDEX(AQ$129:AQ$146,MATCH($B181,$B$129:$B$146,0))*INDEX('Resource costs'!$C$121:$C$142, MATCH($B181, 'Resource costs'!$B$121:$B$142,0))</f>
        <v>188143.23801686964</v>
      </c>
      <c r="AR181" s="90">
        <f>INDEX(AR$129:AR$146,MATCH($B181,$B$129:$B$146,0))*INDEX('Resource costs'!$C$121:$C$142, MATCH($B181, 'Resource costs'!$B$121:$B$142,0))</f>
        <v>189003.0309655774</v>
      </c>
      <c r="AS181" s="90">
        <f>INDEX(AS$129:AS$146,MATCH($B181,$B$129:$B$146,0))*INDEX('Resource costs'!$C$121:$C$142, MATCH($B181, 'Resource costs'!$B$121:$B$142,0))</f>
        <v>189893.0301760805</v>
      </c>
      <c r="AT181" s="90">
        <f>INDEX(AT$129:AT$146,MATCH($B181,$B$129:$B$146,0))*INDEX('Resource costs'!$C$121:$C$142, MATCH($B181, 'Resource costs'!$B$121:$B$142,0))</f>
        <v>190563.42208139197</v>
      </c>
      <c r="AU181" s="90">
        <f>INDEX(AU$129:AU$146,MATCH($B181,$B$129:$B$146,0))*INDEX('Resource costs'!$C$121:$C$142, MATCH($B181, 'Resource costs'!$B$121:$B$142,0))</f>
        <v>191068.39478406784</v>
      </c>
      <c r="AV181" s="90">
        <f>INDEX(AV$129:AV$146,MATCH($B181,$B$129:$B$146,0))*INDEX('Resource costs'!$C$121:$C$142, MATCH($B181, 'Resource costs'!$B$121:$B$142,0))</f>
        <v>191448.76547235841</v>
      </c>
      <c r="AW181" s="90">
        <f>INDEX(AW$129:AW$146,MATCH($B181,$B$129:$B$146,0))*INDEX('Resource costs'!$C$121:$C$142, MATCH($B181, 'Resource costs'!$B$121:$B$142,0))</f>
        <v>191735.27969331329</v>
      </c>
      <c r="AX181" s="90">
        <f>INDEX(AX$129:AX$146,MATCH($B181,$B$129:$B$146,0))*INDEX('Resource costs'!$C$121:$C$142, MATCH($B181, 'Resource costs'!$B$121:$B$142,0))</f>
        <v>191951.0965302476</v>
      </c>
      <c r="AY181" s="90">
        <f>INDEX(AY$129:AY$146,MATCH($B181,$B$129:$B$146,0))*INDEX('Resource costs'!$C$121:$C$142, MATCH($B181, 'Resource costs'!$B$121:$B$142,0))</f>
        <v>192113.66056266832</v>
      </c>
      <c r="AZ181" s="90">
        <f>INDEX(AZ$129:AZ$146,MATCH($B181,$B$129:$B$146,0))*INDEX('Resource costs'!$C$121:$C$142, MATCH($B181, 'Resource costs'!$B$121:$B$142,0))</f>
        <v>192236.11192008926</v>
      </c>
      <c r="BA181" s="90">
        <f>INDEX(BA$129:BA$146,MATCH($B181,$B$129:$B$146,0))*INDEX('Resource costs'!$C$121:$C$142, MATCH($B181, 'Resource costs'!$B$121:$B$142,0))</f>
        <v>192328.34840506656</v>
      </c>
      <c r="BB181" s="90">
        <f>INDEX(BB$129:BB$146,MATCH($B181,$B$129:$B$146,0))*INDEX('Resource costs'!$C$121:$C$142, MATCH($B181, 'Resource costs'!$B$121:$B$142,0))</f>
        <v>192397.82553737573</v>
      </c>
    </row>
    <row r="182" spans="2:54">
      <c r="B182" s="6" t="s">
        <v>104</v>
      </c>
      <c r="C182" s="52"/>
      <c r="D182" s="90">
        <f>INDEX(D$129:D$146,MATCH($B182,$B$129:$B$146,0))*INDEX('Resource costs'!$C$121:$C$142, MATCH($B182, 'Resource costs'!$B$121:$B$142,0))</f>
        <v>26256.272022851532</v>
      </c>
      <c r="E182" s="90">
        <f>INDEX(E$129:E$146,MATCH($B182,$B$129:$B$146,0))*INDEX('Resource costs'!$C$121:$C$142, MATCH($B182, 'Resource costs'!$B$121:$B$142,0))</f>
        <v>27153.723359786338</v>
      </c>
      <c r="F182" s="90">
        <f>INDEX(F$129:F$146,MATCH($B182,$B$129:$B$146,0))*INDEX('Resource costs'!$C$121:$C$142, MATCH($B182, 'Resource costs'!$B$121:$B$142,0))</f>
        <v>27921.831130662998</v>
      </c>
      <c r="G182" s="90">
        <f>INDEX(G$129:G$146,MATCH($B182,$B$129:$B$146,0))*INDEX('Resource costs'!$C$121:$C$142, MATCH($B182, 'Resource costs'!$B$121:$B$142,0))</f>
        <v>28602.834640329245</v>
      </c>
      <c r="H182" s="90">
        <f>INDEX(H$129:H$146,MATCH($B182,$B$129:$B$146,0))*INDEX('Resource costs'!$C$121:$C$142, MATCH($B182, 'Resource costs'!$B$121:$B$142,0))</f>
        <v>29235.072620835483</v>
      </c>
      <c r="I182" s="90">
        <f>INDEX(I$129:I$146,MATCH($B182,$B$129:$B$146,0))*INDEX('Resource costs'!$C$121:$C$142, MATCH($B182, 'Resource costs'!$B$121:$B$142,0))</f>
        <v>29839.697785404871</v>
      </c>
      <c r="J182" s="90">
        <f>INDEX(J$129:J$146,MATCH($B182,$B$129:$B$146,0))*INDEX('Resource costs'!$C$121:$C$142, MATCH($B182, 'Resource costs'!$B$121:$B$142,0))</f>
        <v>30417.390053880827</v>
      </c>
      <c r="K182" s="90">
        <f>INDEX(K$129:K$146,MATCH($B182,$B$129:$B$146,0))*INDEX('Resource costs'!$C$121:$C$142, MATCH($B182, 'Resource costs'!$B$121:$B$142,0))</f>
        <v>30978.111670118331</v>
      </c>
      <c r="L182" s="90">
        <f>INDEX(L$129:L$146,MATCH($B182,$B$129:$B$146,0))*INDEX('Resource costs'!$C$121:$C$142, MATCH($B182, 'Resource costs'!$B$121:$B$142,0))</f>
        <v>31581.161187758487</v>
      </c>
      <c r="M182" s="90">
        <f>INDEX(M$129:M$146,MATCH($B182,$B$129:$B$146,0))*INDEX('Resource costs'!$C$121:$C$142, MATCH($B182, 'Resource costs'!$B$121:$B$142,0))</f>
        <v>32187.720308788288</v>
      </c>
      <c r="N182" s="90">
        <f>INDEX(N$129:N$146,MATCH($B182,$B$129:$B$146,0))*INDEX('Resource costs'!$C$121:$C$142, MATCH($B182, 'Resource costs'!$B$121:$B$142,0))</f>
        <v>32779.455544156335</v>
      </c>
      <c r="O182" s="90">
        <f>INDEX(O$129:O$146,MATCH($B182,$B$129:$B$146,0))*INDEX('Resource costs'!$C$121:$C$142, MATCH($B182, 'Resource costs'!$B$121:$B$142,0))</f>
        <v>33348.845689345872</v>
      </c>
      <c r="P182" s="90">
        <f>INDEX(P$129:P$146,MATCH($B182,$B$129:$B$146,0))*INDEX('Resource costs'!$C$121:$C$142, MATCH($B182, 'Resource costs'!$B$121:$B$142,0))</f>
        <v>33891.682725017577</v>
      </c>
      <c r="Q182" s="90">
        <f>INDEX(Q$129:Q$146,MATCH($B182,$B$129:$B$146,0))*INDEX('Resource costs'!$C$121:$C$142, MATCH($B182, 'Resource costs'!$B$121:$B$142,0))</f>
        <v>34418.737825197313</v>
      </c>
      <c r="R182" s="90">
        <f>INDEX(R$129:R$146,MATCH($B182,$B$129:$B$146,0))*INDEX('Resource costs'!$C$121:$C$142, MATCH($B182, 'Resource costs'!$B$121:$B$142,0))</f>
        <v>34942.108186914324</v>
      </c>
      <c r="S182" s="90">
        <f>INDEX(S$129:S$146,MATCH($B182,$B$129:$B$146,0))*INDEX('Resource costs'!$C$121:$C$142, MATCH($B182, 'Resource costs'!$B$121:$B$142,0))</f>
        <v>35463.216265503179</v>
      </c>
      <c r="T182" s="90">
        <f>INDEX(T$129:T$146,MATCH($B182,$B$129:$B$146,0))*INDEX('Resource costs'!$C$121:$C$142, MATCH($B182, 'Resource costs'!$B$121:$B$142,0))</f>
        <v>35972.28279587227</v>
      </c>
      <c r="U182" s="90">
        <f>INDEX(U$129:U$146,MATCH($B182,$B$129:$B$146,0))*INDEX('Resource costs'!$C$121:$C$142, MATCH($B182, 'Resource costs'!$B$121:$B$142,0))</f>
        <v>36470.876678711436</v>
      </c>
      <c r="V182" s="90">
        <f>INDEX(V$129:V$146,MATCH($B182,$B$129:$B$146,0))*INDEX('Resource costs'!$C$121:$C$142, MATCH($B182, 'Resource costs'!$B$121:$B$142,0))</f>
        <v>36981.709967430223</v>
      </c>
      <c r="W182" s="90">
        <f>INDEX(W$129:W$146,MATCH($B182,$B$129:$B$146,0))*INDEX('Resource costs'!$C$121:$C$142, MATCH($B182, 'Resource costs'!$B$121:$B$142,0))</f>
        <v>37485.312877529192</v>
      </c>
      <c r="X182" s="90">
        <f>INDEX(X$129:X$146,MATCH($B182,$B$129:$B$146,0))*INDEX('Resource costs'!$C$121:$C$142, MATCH($B182, 'Resource costs'!$B$121:$B$142,0))</f>
        <v>37976.333012660078</v>
      </c>
      <c r="Y182" s="90">
        <f>INDEX(Y$129:Y$146,MATCH($B182,$B$129:$B$146,0))*INDEX('Resource costs'!$C$121:$C$142, MATCH($B182, 'Resource costs'!$B$121:$B$142,0))</f>
        <v>38454.06890033753</v>
      </c>
      <c r="Z182" s="90">
        <f>INDEX(Z$129:Z$146,MATCH($B182,$B$129:$B$146,0))*INDEX('Resource costs'!$C$121:$C$142, MATCH($B182, 'Resource costs'!$B$121:$B$142,0))</f>
        <v>38927.77019725748</v>
      </c>
      <c r="AA182" s="90">
        <f>INDEX(AA$129:AA$146,MATCH($B182,$B$129:$B$146,0))*INDEX('Resource costs'!$C$121:$C$142, MATCH($B182, 'Resource costs'!$B$121:$B$142,0))</f>
        <v>39395.284513344122</v>
      </c>
      <c r="AB182" s="90">
        <f>INDEX(AB$129:AB$146,MATCH($B182,$B$129:$B$146,0))*INDEX('Resource costs'!$C$121:$C$142, MATCH($B182, 'Resource costs'!$B$121:$B$142,0))</f>
        <v>39852.825697292625</v>
      </c>
      <c r="AC182" s="90">
        <f>INDEX(AC$129:AC$146,MATCH($B182,$B$129:$B$146,0))*INDEX('Resource costs'!$C$121:$C$142, MATCH($B182, 'Resource costs'!$B$121:$B$142,0))</f>
        <v>40297.543347779152</v>
      </c>
      <c r="AD182" s="90">
        <f>INDEX(AD$129:AD$146,MATCH($B182,$B$129:$B$146,0))*INDEX('Resource costs'!$C$121:$C$142, MATCH($B182, 'Resource costs'!$B$121:$B$142,0))</f>
        <v>40726.642311210278</v>
      </c>
      <c r="AE182" s="90">
        <f>INDEX(AE$129:AE$146,MATCH($B182,$B$129:$B$146,0))*INDEX('Resource costs'!$C$121:$C$142, MATCH($B182, 'Resource costs'!$B$121:$B$142,0))</f>
        <v>41138.132090262938</v>
      </c>
      <c r="AF182" s="90">
        <f>INDEX(AF$129:AF$146,MATCH($B182,$B$129:$B$146,0))*INDEX('Resource costs'!$C$121:$C$142, MATCH($B182, 'Resource costs'!$B$121:$B$142,0))</f>
        <v>41530.235520673647</v>
      </c>
      <c r="AG182" s="90">
        <f>INDEX(AG$129:AG$146,MATCH($B182,$B$129:$B$146,0))*INDEX('Resource costs'!$C$121:$C$142, MATCH($B182, 'Resource costs'!$B$121:$B$142,0))</f>
        <v>41904.79506083142</v>
      </c>
      <c r="AH182" s="90">
        <f>INDEX(AH$129:AH$146,MATCH($B182,$B$129:$B$146,0))*INDEX('Resource costs'!$C$121:$C$142, MATCH($B182, 'Resource costs'!$B$121:$B$142,0))</f>
        <v>42270.37544939584</v>
      </c>
      <c r="AI182" s="90">
        <f>INDEX(AI$129:AI$146,MATCH($B182,$B$129:$B$146,0))*INDEX('Resource costs'!$C$121:$C$142, MATCH($B182, 'Resource costs'!$B$121:$B$142,0))</f>
        <v>42627.786165443693</v>
      </c>
      <c r="AJ182" s="90">
        <f>INDEX(AJ$129:AJ$146,MATCH($B182,$B$129:$B$146,0))*INDEX('Resource costs'!$C$121:$C$142, MATCH($B182, 'Resource costs'!$B$121:$B$142,0))</f>
        <v>42980.071587729144</v>
      </c>
      <c r="AK182" s="90">
        <f>INDEX(AK$129:AK$146,MATCH($B182,$B$129:$B$146,0))*INDEX('Resource costs'!$C$121:$C$142, MATCH($B182, 'Resource costs'!$B$121:$B$142,0))</f>
        <v>43317.596222668966</v>
      </c>
      <c r="AL182" s="90">
        <f>INDEX(AL$129:AL$146,MATCH($B182,$B$129:$B$146,0))*INDEX('Resource costs'!$C$121:$C$142, MATCH($B182, 'Resource costs'!$B$121:$B$142,0))</f>
        <v>43633.231562557587</v>
      </c>
      <c r="AM182" s="90">
        <f>INDEX(AM$129:AM$146,MATCH($B182,$B$129:$B$146,0))*INDEX('Resource costs'!$C$121:$C$142, MATCH($B182, 'Resource costs'!$B$121:$B$142,0))</f>
        <v>43922.330243372387</v>
      </c>
      <c r="AN182" s="90">
        <f>INDEX(AN$129:AN$146,MATCH($B182,$B$129:$B$146,0))*INDEX('Resource costs'!$C$121:$C$142, MATCH($B182, 'Resource costs'!$B$121:$B$142,0))</f>
        <v>44188.134610851332</v>
      </c>
      <c r="AO182" s="90">
        <f>INDEX(AO$129:AO$146,MATCH($B182,$B$129:$B$146,0))*INDEX('Resource costs'!$C$121:$C$142, MATCH($B182, 'Resource costs'!$B$121:$B$142,0))</f>
        <v>44431.469290398418</v>
      </c>
      <c r="AP182" s="90">
        <f>INDEX(AP$129:AP$146,MATCH($B182,$B$129:$B$146,0))*INDEX('Resource costs'!$C$121:$C$142, MATCH($B182, 'Resource costs'!$B$121:$B$142,0))</f>
        <v>44651.254813500513</v>
      </c>
      <c r="AQ182" s="90">
        <f>INDEX(AQ$129:AQ$146,MATCH($B182,$B$129:$B$146,0))*INDEX('Resource costs'!$C$121:$C$142, MATCH($B182, 'Resource costs'!$B$121:$B$142,0))</f>
        <v>44857.937035299576</v>
      </c>
      <c r="AR182" s="90">
        <f>INDEX(AR$129:AR$146,MATCH($B182,$B$129:$B$146,0))*INDEX('Resource costs'!$C$121:$C$142, MATCH($B182, 'Resource costs'!$B$121:$B$142,0))</f>
        <v>45062.932645894245</v>
      </c>
      <c r="AS182" s="90">
        <f>INDEX(AS$129:AS$146,MATCH($B182,$B$129:$B$146,0))*INDEX('Resource costs'!$C$121:$C$142, MATCH($B182, 'Resource costs'!$B$121:$B$142,0))</f>
        <v>45275.130166076371</v>
      </c>
      <c r="AT182" s="90">
        <f>INDEX(AT$129:AT$146,MATCH($B182,$B$129:$B$146,0))*INDEX('Resource costs'!$C$121:$C$142, MATCH($B182, 'Resource costs'!$B$121:$B$142,0))</f>
        <v>45434.96794815355</v>
      </c>
      <c r="AU182" s="90">
        <f>INDEX(AU$129:AU$146,MATCH($B182,$B$129:$B$146,0))*INDEX('Resource costs'!$C$121:$C$142, MATCH($B182, 'Resource costs'!$B$121:$B$142,0))</f>
        <v>45555.36575750319</v>
      </c>
      <c r="AV182" s="90">
        <f>INDEX(AV$129:AV$146,MATCH($B182,$B$129:$B$146,0))*INDEX('Resource costs'!$C$121:$C$142, MATCH($B182, 'Resource costs'!$B$121:$B$142,0))</f>
        <v>45646.055407395805</v>
      </c>
      <c r="AW182" s="90">
        <f>INDEX(AW$129:AW$146,MATCH($B182,$B$129:$B$146,0))*INDEX('Resource costs'!$C$121:$C$142, MATCH($B182, 'Resource costs'!$B$121:$B$142,0))</f>
        <v>45714.367386177422</v>
      </c>
      <c r="AX182" s="90">
        <f>INDEX(AX$129:AX$146,MATCH($B182,$B$129:$B$146,0))*INDEX('Resource costs'!$C$121:$C$142, MATCH($B182, 'Resource costs'!$B$121:$B$142,0))</f>
        <v>45765.823384194671</v>
      </c>
      <c r="AY182" s="90">
        <f>INDEX(AY$129:AY$146,MATCH($B182,$B$129:$B$146,0))*INDEX('Resource costs'!$C$121:$C$142, MATCH($B182, 'Resource costs'!$B$121:$B$142,0))</f>
        <v>45804.582614701168</v>
      </c>
      <c r="AZ182" s="90">
        <f>INDEX(AZ$129:AZ$146,MATCH($B182,$B$129:$B$146,0))*INDEX('Resource costs'!$C$121:$C$142, MATCH($B182, 'Resource costs'!$B$121:$B$142,0))</f>
        <v>45833.778005080181</v>
      </c>
      <c r="BA182" s="90">
        <f>INDEX(BA$129:BA$146,MATCH($B182,$B$129:$B$146,0))*INDEX('Resource costs'!$C$121:$C$142, MATCH($B182, 'Resource costs'!$B$121:$B$142,0))</f>
        <v>45855.769432883171</v>
      </c>
      <c r="BB182" s="90">
        <f>INDEX(BB$129:BB$146,MATCH($B182,$B$129:$B$146,0))*INDEX('Resource costs'!$C$121:$C$142, MATCH($B182, 'Resource costs'!$B$121:$B$142,0))</f>
        <v>45872.334475875781</v>
      </c>
    </row>
    <row r="183" spans="2:54" s="97" customFormat="1">
      <c r="B183" s="6" t="s">
        <v>17</v>
      </c>
      <c r="C183" s="315"/>
      <c r="D183" s="90">
        <f>INDEX(D$129:D$146,MATCH($B183,$B$129:$B$146,0))*INDEX('Resource costs'!$C$121:$C$142, MATCH($B183, 'Resource costs'!$B$121:$B$142,0))</f>
        <v>8583.2472661253378</v>
      </c>
      <c r="E183" s="90">
        <f>INDEX(E$129:E$146,MATCH($B183,$B$129:$B$146,0))*INDEX('Resource costs'!$C$121:$C$142, MATCH($B183, 'Resource costs'!$B$121:$B$142,0))</f>
        <v>8876.626567174706</v>
      </c>
      <c r="F183" s="90">
        <f>INDEX(F$129:F$146,MATCH($B183,$B$129:$B$146,0))*INDEX('Resource costs'!$C$121:$C$142, MATCH($B183, 'Resource costs'!$B$121:$B$142,0))</f>
        <v>9127.723102079919</v>
      </c>
      <c r="G183" s="90">
        <f>INDEX(G$129:G$146,MATCH($B183,$B$129:$B$146,0))*INDEX('Resource costs'!$C$121:$C$142, MATCH($B183, 'Resource costs'!$B$121:$B$142,0))</f>
        <v>9350.3450153308677</v>
      </c>
      <c r="H183" s="90">
        <f>INDEX(H$129:H$146,MATCH($B183,$B$129:$B$146,0))*INDEX('Resource costs'!$C$121:$C$142, MATCH($B183, 'Resource costs'!$B$121:$B$142,0))</f>
        <v>9557.0253434824735</v>
      </c>
      <c r="I183" s="90">
        <f>INDEX(I$129:I$146,MATCH($B183,$B$129:$B$146,0))*INDEX('Resource costs'!$C$121:$C$142, MATCH($B183, 'Resource costs'!$B$121:$B$142,0))</f>
        <v>9754.6789664455537</v>
      </c>
      <c r="J183" s="90">
        <f>INDEX(J$129:J$146,MATCH($B183,$B$129:$B$146,0))*INDEX('Resource costs'!$C$121:$C$142, MATCH($B183, 'Resource costs'!$B$121:$B$142,0))</f>
        <v>9943.5281518798947</v>
      </c>
      <c r="K183" s="90">
        <f>INDEX(K$129:K$146,MATCH($B183,$B$129:$B$146,0))*INDEX('Resource costs'!$C$121:$C$142, MATCH($B183, 'Resource costs'!$B$121:$B$142,0))</f>
        <v>10126.829584598112</v>
      </c>
      <c r="L183" s="90">
        <f>INDEX(L$129:L$146,MATCH($B183,$B$129:$B$146,0))*INDEX('Resource costs'!$C$121:$C$142, MATCH($B183, 'Resource costs'!$B$121:$B$142,0))</f>
        <v>10323.968124262774</v>
      </c>
      <c r="M183" s="90">
        <f>INDEX(M$129:M$146,MATCH($B183,$B$129:$B$146,0))*INDEX('Resource costs'!$C$121:$C$142, MATCH($B183, 'Resource costs'!$B$121:$B$142,0))</f>
        <v>10522.253962891782</v>
      </c>
      <c r="N183" s="90">
        <f>INDEX(N$129:N$146,MATCH($B183,$B$129:$B$146,0))*INDEX('Resource costs'!$C$121:$C$142, MATCH($B183, 'Resource costs'!$B$121:$B$142,0))</f>
        <v>10715.693832680701</v>
      </c>
      <c r="O183" s="90">
        <f>INDEX(O$129:O$146,MATCH($B183,$B$129:$B$146,0))*INDEX('Resource costs'!$C$121:$C$142, MATCH($B183, 'Resource costs'!$B$121:$B$142,0))</f>
        <v>10901.829031264995</v>
      </c>
      <c r="P183" s="90">
        <f>INDEX(P$129:P$146,MATCH($B183,$B$129:$B$146,0))*INDEX('Resource costs'!$C$121:$C$142, MATCH($B183, 'Resource costs'!$B$121:$B$142,0))</f>
        <v>11079.28394559273</v>
      </c>
      <c r="Q183" s="90">
        <f>INDEX(Q$129:Q$146,MATCH($B183,$B$129:$B$146,0))*INDEX('Resource costs'!$C$121:$C$142, MATCH($B183, 'Resource costs'!$B$121:$B$142,0))</f>
        <v>11251.579701965831</v>
      </c>
      <c r="R183" s="90">
        <f>INDEX(R$129:R$146,MATCH($B183,$B$129:$B$146,0))*INDEX('Resource costs'!$C$121:$C$142, MATCH($B183, 'Resource costs'!$B$121:$B$142,0))</f>
        <v>11422.670907239331</v>
      </c>
      <c r="S183" s="90">
        <f>INDEX(S$129:S$146,MATCH($B183,$B$129:$B$146,0))*INDEX('Resource costs'!$C$121:$C$142, MATCH($B183, 'Resource costs'!$B$121:$B$142,0))</f>
        <v>11593.022565959609</v>
      </c>
      <c r="T183" s="90">
        <f>INDEX(T$129:T$146,MATCH($B183,$B$129:$B$146,0))*INDEX('Resource costs'!$C$121:$C$142, MATCH($B183, 'Resource costs'!$B$121:$B$142,0))</f>
        <v>11759.437809573157</v>
      </c>
      <c r="U183" s="90">
        <f>INDEX(U$129:U$146,MATCH($B183,$B$129:$B$146,0))*INDEX('Resource costs'!$C$121:$C$142, MATCH($B183, 'Resource costs'!$B$121:$B$142,0))</f>
        <v>11922.42951601425</v>
      </c>
      <c r="V183" s="90">
        <f>INDEX(V$129:V$146,MATCH($B183,$B$129:$B$146,0))*INDEX('Resource costs'!$C$121:$C$142, MATCH($B183, 'Resource costs'!$B$121:$B$142,0))</f>
        <v>12089.422317773207</v>
      </c>
      <c r="W183" s="90">
        <f>INDEX(W$129:W$146,MATCH($B183,$B$129:$B$146,0))*INDEX('Resource costs'!$C$121:$C$142, MATCH($B183, 'Resource costs'!$B$121:$B$142,0))</f>
        <v>12254.051488950205</v>
      </c>
      <c r="X183" s="90">
        <f>INDEX(X$129:X$146,MATCH($B183,$B$129:$B$146,0))*INDEX('Resource costs'!$C$121:$C$142, MATCH($B183, 'Resource costs'!$B$121:$B$142,0))</f>
        <v>12414.567316513487</v>
      </c>
      <c r="Y183" s="90">
        <f>INDEX(Y$129:Y$146,MATCH($B183,$B$129:$B$146,0))*INDEX('Resource costs'!$C$121:$C$142, MATCH($B183, 'Resource costs'!$B$121:$B$142,0))</f>
        <v>12570.740487185569</v>
      </c>
      <c r="Z183" s="90">
        <f>INDEX(Z$129:Z$146,MATCH($B183,$B$129:$B$146,0))*INDEX('Resource costs'!$C$121:$C$142, MATCH($B183, 'Resource costs'!$B$121:$B$142,0))</f>
        <v>12725.594739084298</v>
      </c>
      <c r="AA183" s="90">
        <f>INDEX(AA$129:AA$146,MATCH($B183,$B$129:$B$146,0))*INDEX('Resource costs'!$C$121:$C$142, MATCH($B183, 'Resource costs'!$B$121:$B$142,0))</f>
        <v>12878.426449996372</v>
      </c>
      <c r="AB183" s="90">
        <f>INDEX(AB$129:AB$146,MATCH($B183,$B$129:$B$146,0))*INDEX('Resource costs'!$C$121:$C$142, MATCH($B183, 'Resource costs'!$B$121:$B$142,0))</f>
        <v>13027.997916686223</v>
      </c>
      <c r="AC183" s="90">
        <f>INDEX(AC$129:AC$146,MATCH($B183,$B$129:$B$146,0))*INDEX('Resource costs'!$C$121:$C$142, MATCH($B183, 'Resource costs'!$B$121:$B$142,0))</f>
        <v>13173.377335151039</v>
      </c>
      <c r="AD183" s="90">
        <f>INDEX(AD$129:AD$146,MATCH($B183,$B$129:$B$146,0))*INDEX('Resource costs'!$C$121:$C$142, MATCH($B183, 'Resource costs'!$B$121:$B$142,0))</f>
        <v>13313.650962022439</v>
      </c>
      <c r="AE183" s="90">
        <f>INDEX(AE$129:AE$146,MATCH($B183,$B$129:$B$146,0))*INDEX('Resource costs'!$C$121:$C$142, MATCH($B183, 'Resource costs'!$B$121:$B$142,0))</f>
        <v>13448.168098271575</v>
      </c>
      <c r="AF183" s="90">
        <f>INDEX(AF$129:AF$146,MATCH($B183,$B$129:$B$146,0))*INDEX('Resource costs'!$C$121:$C$142, MATCH($B183, 'Resource costs'!$B$121:$B$142,0))</f>
        <v>13576.347784031304</v>
      </c>
      <c r="AG183" s="90">
        <f>INDEX(AG$129:AG$146,MATCH($B183,$B$129:$B$146,0))*INDEX('Resource costs'!$C$121:$C$142, MATCH($B183, 'Resource costs'!$B$121:$B$142,0))</f>
        <v>13698.792323997312</v>
      </c>
      <c r="AH183" s="90">
        <f>INDEX(AH$129:AH$146,MATCH($B183,$B$129:$B$146,0))*INDEX('Resource costs'!$C$121:$C$142, MATCH($B183, 'Resource costs'!$B$121:$B$142,0))</f>
        <v>13818.301554704687</v>
      </c>
      <c r="AI183" s="90">
        <f>INDEX(AI$129:AI$146,MATCH($B183,$B$129:$B$146,0))*INDEX('Resource costs'!$C$121:$C$142, MATCH($B183, 'Resource costs'!$B$121:$B$142,0))</f>
        <v>13935.140097081599</v>
      </c>
      <c r="AJ183" s="90">
        <f>INDEX(AJ$129:AJ$146,MATCH($B183,$B$129:$B$146,0))*INDEX('Resource costs'!$C$121:$C$142, MATCH($B183, 'Resource costs'!$B$121:$B$142,0))</f>
        <v>14050.30316688434</v>
      </c>
      <c r="AK183" s="90">
        <f>INDEX(AK$129:AK$146,MATCH($B183,$B$129:$B$146,0))*INDEX('Resource costs'!$C$121:$C$142, MATCH($B183, 'Resource costs'!$B$121:$B$142,0))</f>
        <v>14160.64089485942</v>
      </c>
      <c r="AL183" s="90">
        <f>INDEX(AL$129:AL$146,MATCH($B183,$B$129:$B$146,0))*INDEX('Resource costs'!$C$121:$C$142, MATCH($B183, 'Resource costs'!$B$121:$B$142,0))</f>
        <v>14263.822952305874</v>
      </c>
      <c r="AM183" s="90">
        <f>INDEX(AM$129:AM$146,MATCH($B183,$B$129:$B$146,0))*INDEX('Resource costs'!$C$121:$C$142, MATCH($B183, 'Resource costs'!$B$121:$B$142,0))</f>
        <v>14358.330103190983</v>
      </c>
      <c r="AN183" s="90">
        <f>INDEX(AN$129:AN$146,MATCH($B183,$B$129:$B$146,0))*INDEX('Resource costs'!$C$121:$C$142, MATCH($B183, 'Resource costs'!$B$121:$B$142,0))</f>
        <v>14445.222279220474</v>
      </c>
      <c r="AO183" s="90">
        <f>INDEX(AO$129:AO$146,MATCH($B183,$B$129:$B$146,0))*INDEX('Resource costs'!$C$121:$C$142, MATCH($B183, 'Resource costs'!$B$121:$B$142,0))</f>
        <v>14524.769052698379</v>
      </c>
      <c r="AP183" s="90">
        <f>INDEX(AP$129:AP$146,MATCH($B183,$B$129:$B$146,0))*INDEX('Resource costs'!$C$121:$C$142, MATCH($B183, 'Resource costs'!$B$121:$B$142,0))</f>
        <v>14596.617542410022</v>
      </c>
      <c r="AQ183" s="90">
        <f>INDEX(AQ$129:AQ$146,MATCH($B183,$B$129:$B$146,0))*INDEX('Resource costs'!$C$121:$C$142, MATCH($B183, 'Resource costs'!$B$121:$B$142,0))</f>
        <v>14664.182527022824</v>
      </c>
      <c r="AR183" s="90">
        <f>INDEX(AR$129:AR$146,MATCH($B183,$B$129:$B$146,0))*INDEX('Resource costs'!$C$121:$C$142, MATCH($B183, 'Resource costs'!$B$121:$B$142,0))</f>
        <v>14731.196153811617</v>
      </c>
      <c r="AS183" s="90">
        <f>INDEX(AS$129:AS$146,MATCH($B183,$B$129:$B$146,0))*INDEX('Resource costs'!$C$121:$C$142, MATCH($B183, 'Resource costs'!$B$121:$B$142,0))</f>
        <v>14800.56410457769</v>
      </c>
      <c r="AT183" s="90">
        <f>INDEX(AT$129:AT$146,MATCH($B183,$B$129:$B$146,0))*INDEX('Resource costs'!$C$121:$C$142, MATCH($B183, 'Resource costs'!$B$121:$B$142,0))</f>
        <v>14852.815513492236</v>
      </c>
      <c r="AU183" s="90">
        <f>INDEX(AU$129:AU$146,MATCH($B183,$B$129:$B$146,0))*INDEX('Resource costs'!$C$121:$C$142, MATCH($B183, 'Resource costs'!$B$121:$B$142,0))</f>
        <v>14892.173887257115</v>
      </c>
      <c r="AV183" s="90">
        <f>INDEX(AV$129:AV$146,MATCH($B183,$B$129:$B$146,0))*INDEX('Resource costs'!$C$121:$C$142, MATCH($B183, 'Resource costs'!$B$121:$B$142,0))</f>
        <v>14921.82058229551</v>
      </c>
      <c r="AW183" s="90">
        <f>INDEX(AW$129:AW$146,MATCH($B183,$B$129:$B$146,0))*INDEX('Resource costs'!$C$121:$C$142, MATCH($B183, 'Resource costs'!$B$121:$B$142,0))</f>
        <v>14944.151955333184</v>
      </c>
      <c r="AX183" s="90">
        <f>INDEX(AX$129:AX$146,MATCH($B183,$B$129:$B$146,0))*INDEX('Resource costs'!$C$121:$C$142, MATCH($B183, 'Resource costs'!$B$121:$B$142,0))</f>
        <v>14960.97306207381</v>
      </c>
      <c r="AY183" s="90">
        <f>INDEX(AY$129:AY$146,MATCH($B183,$B$129:$B$146,0))*INDEX('Resource costs'!$C$121:$C$142, MATCH($B183, 'Resource costs'!$B$121:$B$142,0))</f>
        <v>14973.643560726188</v>
      </c>
      <c r="AZ183" s="90">
        <f>INDEX(AZ$129:AZ$146,MATCH($B183,$B$129:$B$146,0))*INDEX('Resource costs'!$C$121:$C$142, MATCH($B183, 'Resource costs'!$B$121:$B$142,0))</f>
        <v>14983.187613836091</v>
      </c>
      <c r="BA183" s="90">
        <f>INDEX(BA$129:BA$146,MATCH($B183,$B$129:$B$146,0))*INDEX('Resource costs'!$C$121:$C$142, MATCH($B183, 'Resource costs'!$B$121:$B$142,0))</f>
        <v>14990.376671841124</v>
      </c>
      <c r="BB183" s="90">
        <f>INDEX(BB$129:BB$146,MATCH($B183,$B$129:$B$146,0))*INDEX('Resource costs'!$C$121:$C$142, MATCH($B183, 'Resource costs'!$B$121:$B$142,0))</f>
        <v>14995.791829783419</v>
      </c>
    </row>
    <row r="184" spans="2:54" ht="29">
      <c r="B184" s="6" t="s">
        <v>106</v>
      </c>
      <c r="C184" s="52"/>
      <c r="D184" s="90">
        <f>INDEX(D$129:D$146,MATCH($B184,$B$129:$B$146,0))*INDEX('Resource costs'!$C$121:$C$142, MATCH($B184, 'Resource costs'!$B$121:$B$142,0))</f>
        <v>8815.9800026433586</v>
      </c>
      <c r="E184" s="90">
        <f>INDEX(E$129:E$146,MATCH($B184,$B$129:$B$146,0))*INDEX('Resource costs'!$C$121:$C$142, MATCH($B184, 'Resource costs'!$B$121:$B$142,0))</f>
        <v>9117.3142146319042</v>
      </c>
      <c r="F184" s="90">
        <f>INDEX(F$129:F$146,MATCH($B184,$B$129:$B$146,0))*INDEX('Resource costs'!$C$121:$C$142, MATCH($B184, 'Resource costs'!$B$121:$B$142,0))</f>
        <v>9375.2191731892381</v>
      </c>
      <c r="G184" s="90">
        <f>INDEX(G$129:G$146,MATCH($B184,$B$129:$B$146,0))*INDEX('Resource costs'!$C$121:$C$142, MATCH($B184, 'Resource costs'!$B$121:$B$142,0))</f>
        <v>9603.8774274045481</v>
      </c>
      <c r="H184" s="90">
        <f>INDEX(H$129:H$146,MATCH($B184,$B$129:$B$146,0))*INDEX('Resource costs'!$C$121:$C$142, MATCH($B184, 'Resource costs'!$B$121:$B$142,0))</f>
        <v>9816.1618441794672</v>
      </c>
      <c r="I184" s="90">
        <f>INDEX(I$129:I$146,MATCH($B184,$B$129:$B$146,0))*INDEX('Resource costs'!$C$121:$C$142, MATCH($B184, 'Resource costs'!$B$121:$B$142,0))</f>
        <v>10019.174798771783</v>
      </c>
      <c r="J184" s="90">
        <f>INDEX(J$129:J$146,MATCH($B184,$B$129:$B$146,0))*INDEX('Resource costs'!$C$121:$C$142, MATCH($B184, 'Resource costs'!$B$121:$B$142,0))</f>
        <v>10213.144585576747</v>
      </c>
      <c r="K184" s="90">
        <f>INDEX(K$129:K$146,MATCH($B184,$B$129:$B$146,0))*INDEX('Resource costs'!$C$121:$C$142, MATCH($B184, 'Resource costs'!$B$121:$B$142,0))</f>
        <v>10401.416193651856</v>
      </c>
      <c r="L184" s="90">
        <f>INDEX(L$129:L$146,MATCH($B184,$B$129:$B$146,0))*INDEX('Resource costs'!$C$121:$C$142, MATCH($B184, 'Resource costs'!$B$121:$B$142,0))</f>
        <v>10603.900098582924</v>
      </c>
      <c r="M184" s="90">
        <f>INDEX(M$129:M$146,MATCH($B184,$B$129:$B$146,0))*INDEX('Resource costs'!$C$121:$C$142, MATCH($B184, 'Resource costs'!$B$121:$B$142,0))</f>
        <v>10807.56241122067</v>
      </c>
      <c r="N184" s="90">
        <f>INDEX(N$129:N$146,MATCH($B184,$B$129:$B$146,0))*INDEX('Resource costs'!$C$121:$C$142, MATCH($B184, 'Resource costs'!$B$121:$B$142,0))</f>
        <v>11006.247357709795</v>
      </c>
      <c r="O184" s="90">
        <f>INDEX(O$129:O$146,MATCH($B184,$B$129:$B$146,0))*INDEX('Resource costs'!$C$121:$C$142, MATCH($B184, 'Resource costs'!$B$121:$B$142,0))</f>
        <v>11197.429568547812</v>
      </c>
      <c r="P184" s="90">
        <f>INDEX(P$129:P$146,MATCH($B184,$B$129:$B$146,0))*INDEX('Resource costs'!$C$121:$C$142, MATCH($B184, 'Resource costs'!$B$121:$B$142,0))</f>
        <v>11379.696131257511</v>
      </c>
      <c r="Q184" s="90">
        <f>INDEX(Q$129:Q$146,MATCH($B184,$B$129:$B$146,0))*INDEX('Resource costs'!$C$121:$C$142, MATCH($B184, 'Resource costs'!$B$121:$B$142,0))</f>
        <v>11556.663646654661</v>
      </c>
      <c r="R184" s="90">
        <f>INDEX(R$129:R$146,MATCH($B184,$B$129:$B$146,0))*INDEX('Resource costs'!$C$121:$C$142, MATCH($B184, 'Resource costs'!$B$121:$B$142,0))</f>
        <v>11732.393949831658</v>
      </c>
      <c r="S184" s="90">
        <f>INDEX(S$129:S$146,MATCH($B184,$B$129:$B$146,0))*INDEX('Resource costs'!$C$121:$C$142, MATCH($B184, 'Resource costs'!$B$121:$B$142,0))</f>
        <v>11907.364653824092</v>
      </c>
      <c r="T184" s="90">
        <f>INDEX(T$129:T$146,MATCH($B184,$B$129:$B$146,0))*INDEX('Resource costs'!$C$121:$C$142, MATCH($B184, 'Resource costs'!$B$121:$B$142,0))</f>
        <v>12078.292207737421</v>
      </c>
      <c r="U184" s="90">
        <f>INDEX(U$129:U$146,MATCH($B184,$B$129:$B$146,0))*INDEX('Resource costs'!$C$121:$C$142, MATCH($B184, 'Resource costs'!$B$121:$B$142,0))</f>
        <v>12245.703396070814</v>
      </c>
      <c r="V184" s="90">
        <f>INDEX(V$129:V$146,MATCH($B184,$B$129:$B$146,0))*INDEX('Resource costs'!$C$121:$C$142, MATCH($B184, 'Resource costs'!$B$121:$B$142,0))</f>
        <v>12417.224168483204</v>
      </c>
      <c r="W184" s="90">
        <f>INDEX(W$129:W$146,MATCH($B184,$B$129:$B$146,0))*INDEX('Resource costs'!$C$121:$C$142, MATCH($B184, 'Resource costs'!$B$121:$B$142,0))</f>
        <v>12586.317221024765</v>
      </c>
      <c r="X184" s="90">
        <f>INDEX(X$129:X$146,MATCH($B184,$B$129:$B$146,0))*INDEX('Resource costs'!$C$121:$C$142, MATCH($B184, 'Resource costs'!$B$121:$B$142,0))</f>
        <v>12751.185397605264</v>
      </c>
      <c r="Y184" s="90">
        <f>INDEX(Y$129:Y$146,MATCH($B184,$B$129:$B$146,0))*INDEX('Resource costs'!$C$121:$C$142, MATCH($B184, 'Resource costs'!$B$121:$B$142,0))</f>
        <v>12911.593167171481</v>
      </c>
      <c r="Z184" s="90">
        <f>INDEX(Z$129:Z$146,MATCH($B184,$B$129:$B$146,0))*INDEX('Resource costs'!$C$121:$C$142, MATCH($B184, 'Resource costs'!$B$121:$B$142,0))</f>
        <v>13070.646255791142</v>
      </c>
      <c r="AA184" s="90">
        <f>INDEX(AA$129:AA$146,MATCH($B184,$B$129:$B$146,0))*INDEX('Resource costs'!$C$121:$C$142, MATCH($B184, 'Resource costs'!$B$121:$B$142,0))</f>
        <v>13227.621962699657</v>
      </c>
      <c r="AB184" s="90">
        <f>INDEX(AB$129:AB$146,MATCH($B184,$B$129:$B$146,0))*INDEX('Resource costs'!$C$121:$C$142, MATCH($B184, 'Resource costs'!$B$121:$B$142,0))</f>
        <v>13381.24902462852</v>
      </c>
      <c r="AC184" s="90">
        <f>INDEX(AC$129:AC$146,MATCH($B184,$B$129:$B$146,0))*INDEX('Resource costs'!$C$121:$C$142, MATCH($B184, 'Resource costs'!$B$121:$B$142,0))</f>
        <v>13530.570371927921</v>
      </c>
      <c r="AD184" s="90">
        <f>INDEX(AD$129:AD$146,MATCH($B184,$B$129:$B$146,0))*INDEX('Resource costs'!$C$121:$C$142, MATCH($B184, 'Resource costs'!$B$121:$B$142,0))</f>
        <v>13674.647485292355</v>
      </c>
      <c r="AE184" s="90">
        <f>INDEX(AE$129:AE$146,MATCH($B184,$B$129:$B$146,0))*INDEX('Resource costs'!$C$121:$C$142, MATCH($B184, 'Resource costs'!$B$121:$B$142,0))</f>
        <v>13812.812022141423</v>
      </c>
      <c r="AF184" s="90">
        <f>INDEX(AF$129:AF$146,MATCH($B184,$B$129:$B$146,0))*INDEX('Resource costs'!$C$121:$C$142, MATCH($B184, 'Resource costs'!$B$121:$B$142,0))</f>
        <v>13944.467270017441</v>
      </c>
      <c r="AG184" s="90">
        <f>INDEX(AG$129:AG$146,MATCH($B184,$B$129:$B$146,0))*INDEX('Resource costs'!$C$121:$C$142, MATCH($B184, 'Resource costs'!$B$121:$B$142,0))</f>
        <v>14070.231864966654</v>
      </c>
      <c r="AH184" s="90">
        <f>INDEX(AH$129:AH$146,MATCH($B184,$B$129:$B$146,0))*INDEX('Resource costs'!$C$121:$C$142, MATCH($B184, 'Resource costs'!$B$121:$B$142,0))</f>
        <v>14192.981560435128</v>
      </c>
      <c r="AI184" s="90">
        <f>INDEX(AI$129:AI$146,MATCH($B184,$B$129:$B$146,0))*INDEX('Resource costs'!$C$121:$C$142, MATCH($B184, 'Resource costs'!$B$121:$B$142,0))</f>
        <v>14312.988152485441</v>
      </c>
      <c r="AJ184" s="90">
        <f>INDEX(AJ$129:AJ$146,MATCH($B184,$B$129:$B$146,0))*INDEX('Resource costs'!$C$121:$C$142, MATCH($B184, 'Resource costs'!$B$121:$B$142,0))</f>
        <v>14431.273841915694</v>
      </c>
      <c r="AK184" s="90">
        <f>INDEX(AK$129:AK$146,MATCH($B184,$B$129:$B$146,0))*INDEX('Resource costs'!$C$121:$C$142, MATCH($B184, 'Resource costs'!$B$121:$B$142,0))</f>
        <v>14544.603351506361</v>
      </c>
      <c r="AL184" s="90">
        <f>INDEX(AL$129:AL$146,MATCH($B184,$B$129:$B$146,0))*INDEX('Resource costs'!$C$121:$C$142, MATCH($B184, 'Resource costs'!$B$121:$B$142,0))</f>
        <v>14650.5831662403</v>
      </c>
      <c r="AM184" s="90">
        <f>INDEX(AM$129:AM$146,MATCH($B184,$B$129:$B$146,0))*INDEX('Resource costs'!$C$121:$C$142, MATCH($B184, 'Resource costs'!$B$121:$B$142,0))</f>
        <v>14747.652856356081</v>
      </c>
      <c r="AN184" s="90">
        <f>INDEX(AN$129:AN$146,MATCH($B184,$B$129:$B$146,0))*INDEX('Resource costs'!$C$121:$C$142, MATCH($B184, 'Resource costs'!$B$121:$B$142,0))</f>
        <v>14836.90109335904</v>
      </c>
      <c r="AO184" s="90">
        <f>INDEX(AO$129:AO$146,MATCH($B184,$B$129:$B$146,0))*INDEX('Resource costs'!$C$121:$C$142, MATCH($B184, 'Resource costs'!$B$121:$B$142,0))</f>
        <v>14918.604758943007</v>
      </c>
      <c r="AP184" s="90">
        <f>INDEX(AP$129:AP$146,MATCH($B184,$B$129:$B$146,0))*INDEX('Resource costs'!$C$121:$C$142, MATCH($B184, 'Resource costs'!$B$121:$B$142,0))</f>
        <v>14992.401403601936</v>
      </c>
      <c r="AQ184" s="90">
        <f>INDEX(AQ$129:AQ$146,MATCH($B184,$B$129:$B$146,0))*INDEX('Resource costs'!$C$121:$C$142, MATCH($B184, 'Resource costs'!$B$121:$B$142,0))</f>
        <v>15061.798396925917</v>
      </c>
      <c r="AR184" s="90">
        <f>INDEX(AR$129:AR$146,MATCH($B184,$B$129:$B$146,0))*INDEX('Resource costs'!$C$121:$C$142, MATCH($B184, 'Resource costs'!$B$121:$B$142,0))</f>
        <v>15130.629082487807</v>
      </c>
      <c r="AS184" s="90">
        <f>INDEX(AS$129:AS$146,MATCH($B184,$B$129:$B$146,0))*INDEX('Resource costs'!$C$121:$C$142, MATCH($B184, 'Resource costs'!$B$121:$B$142,0))</f>
        <v>15201.877928969436</v>
      </c>
      <c r="AT184" s="90">
        <f>INDEX(AT$129:AT$146,MATCH($B184,$B$129:$B$146,0))*INDEX('Resource costs'!$C$121:$C$142, MATCH($B184, 'Resource costs'!$B$121:$B$142,0))</f>
        <v>15255.546122581725</v>
      </c>
      <c r="AU184" s="90">
        <f>INDEX(AU$129:AU$146,MATCH($B184,$B$129:$B$146,0))*INDEX('Resource costs'!$C$121:$C$142, MATCH($B184, 'Resource costs'!$B$121:$B$142,0))</f>
        <v>15295.971689420183</v>
      </c>
      <c r="AV184" s="90">
        <f>INDEX(AV$129:AV$146,MATCH($B184,$B$129:$B$146,0))*INDEX('Resource costs'!$C$121:$C$142, MATCH($B184, 'Resource costs'!$B$121:$B$142,0))</f>
        <v>15326.422247641249</v>
      </c>
      <c r="AW184" s="90">
        <f>INDEX(AW$129:AW$146,MATCH($B184,$B$129:$B$146,0))*INDEX('Resource costs'!$C$121:$C$142, MATCH($B184, 'Resource costs'!$B$121:$B$142,0))</f>
        <v>15349.359130621269</v>
      </c>
      <c r="AX184" s="90">
        <f>INDEX(AX$129:AX$146,MATCH($B184,$B$129:$B$146,0))*INDEX('Resource costs'!$C$121:$C$142, MATCH($B184, 'Resource costs'!$B$121:$B$142,0))</f>
        <v>15366.636337725968</v>
      </c>
      <c r="AY184" s="90">
        <f>INDEX(AY$129:AY$146,MATCH($B184,$B$129:$B$146,0))*INDEX('Resource costs'!$C$121:$C$142, MATCH($B184, 'Resource costs'!$B$121:$B$142,0))</f>
        <v>15379.650393977583</v>
      </c>
      <c r="AZ184" s="90">
        <f>INDEX(AZ$129:AZ$146,MATCH($B184,$B$129:$B$146,0))*INDEX('Resource costs'!$C$121:$C$142, MATCH($B184, 'Resource costs'!$B$121:$B$142,0))</f>
        <v>15389.453231849113</v>
      </c>
      <c r="BA184" s="90">
        <f>INDEX(BA$129:BA$146,MATCH($B184,$B$129:$B$146,0))*INDEX('Resource costs'!$C$121:$C$142, MATCH($B184, 'Resource costs'!$B$121:$B$142,0))</f>
        <v>15396.837219475839</v>
      </c>
      <c r="BB184" s="90">
        <f>INDEX(BB$129:BB$146,MATCH($B184,$B$129:$B$146,0))*INDEX('Resource costs'!$C$121:$C$142, MATCH($B184, 'Resource costs'!$B$121:$B$142,0))</f>
        <v>15402.399208155675</v>
      </c>
    </row>
    <row r="185" spans="2:54" ht="29">
      <c r="B185" s="6" t="s">
        <v>107</v>
      </c>
      <c r="C185" s="52"/>
      <c r="D185" s="90">
        <f>INDEX(D$129:D$146,MATCH($B185,$B$129:$B$146,0))*INDEX('Resource costs'!$C$121:$C$142, MATCH($B185, 'Resource costs'!$B$121:$B$142,0))</f>
        <v>19642.709912465085</v>
      </c>
      <c r="E185" s="90">
        <f>INDEX(E$129:E$146,MATCH($B185,$B$129:$B$146,0))*INDEX('Resource costs'!$C$121:$C$142, MATCH($B185, 'Resource costs'!$B$121:$B$142,0))</f>
        <v>20314.106684124905</v>
      </c>
      <c r="F185" s="90">
        <f>INDEX(F$129:F$146,MATCH($B185,$B$129:$B$146,0))*INDEX('Resource costs'!$C$121:$C$142, MATCH($B185, 'Resource costs'!$B$121:$B$142,0))</f>
        <v>20888.739598946519</v>
      </c>
      <c r="G185" s="90">
        <f>INDEX(G$129:G$146,MATCH($B185,$B$129:$B$146,0))*INDEX('Resource costs'!$C$121:$C$142, MATCH($B185, 'Resource costs'!$B$121:$B$142,0))</f>
        <v>21398.208512816032</v>
      </c>
      <c r="H185" s="90">
        <f>INDEX(H$129:H$146,MATCH($B185,$B$129:$B$146,0))*INDEX('Resource costs'!$C$121:$C$142, MATCH($B185, 'Resource costs'!$B$121:$B$142,0))</f>
        <v>21871.195204754567</v>
      </c>
      <c r="I185" s="90">
        <f>INDEX(I$129:I$146,MATCH($B185,$B$129:$B$146,0))*INDEX('Resource costs'!$C$121:$C$142, MATCH($B185, 'Resource costs'!$B$121:$B$142,0))</f>
        <v>22323.524335983726</v>
      </c>
      <c r="J185" s="90">
        <f>INDEX(J$129:J$146,MATCH($B185,$B$129:$B$146,0))*INDEX('Resource costs'!$C$121:$C$142, MATCH($B185, 'Resource costs'!$B$121:$B$142,0))</f>
        <v>22755.70456471045</v>
      </c>
      <c r="K185" s="90">
        <f>INDEX(K$129:K$146,MATCH($B185,$B$129:$B$146,0))*INDEX('Resource costs'!$C$121:$C$142, MATCH($B185, 'Resource costs'!$B$121:$B$142,0))</f>
        <v>23175.188794604783</v>
      </c>
      <c r="L185" s="90">
        <f>INDEX(L$129:L$146,MATCH($B185,$B$129:$B$146,0))*INDEX('Resource costs'!$C$121:$C$142, MATCH($B185, 'Resource costs'!$B$121:$B$142,0))</f>
        <v>23626.339160793403</v>
      </c>
      <c r="M185" s="90">
        <f>INDEX(M$129:M$146,MATCH($B185,$B$129:$B$146,0))*INDEX('Resource costs'!$C$121:$C$142, MATCH($B185, 'Resource costs'!$B$121:$B$142,0))</f>
        <v>24080.115113783937</v>
      </c>
      <c r="N185" s="90">
        <f>INDEX(N$129:N$146,MATCH($B185,$B$129:$B$146,0))*INDEX('Resource costs'!$C$121:$C$142, MATCH($B185, 'Resource costs'!$B$121:$B$142,0))</f>
        <v>24522.801096135234</v>
      </c>
      <c r="O185" s="90">
        <f>INDEX(O$129:O$146,MATCH($B185,$B$129:$B$146,0))*INDEX('Resource costs'!$C$121:$C$142, MATCH($B185, 'Resource costs'!$B$121:$B$142,0))</f>
        <v>24948.770382225826</v>
      </c>
      <c r="P185" s="90">
        <f>INDEX(P$129:P$146,MATCH($B185,$B$129:$B$146,0))*INDEX('Resource costs'!$C$121:$C$142, MATCH($B185, 'Resource costs'!$B$121:$B$142,0))</f>
        <v>25354.87488983306</v>
      </c>
      <c r="Q185" s="90">
        <f>INDEX(Q$129:Q$146,MATCH($B185,$B$129:$B$146,0))*INDEX('Resource costs'!$C$121:$C$142, MATCH($B185, 'Resource costs'!$B$121:$B$142,0))</f>
        <v>25749.172695389974</v>
      </c>
      <c r="R185" s="90">
        <f>INDEX(R$129:R$146,MATCH($B185,$B$129:$B$146,0))*INDEX('Resource costs'!$C$121:$C$142, MATCH($B185, 'Resource costs'!$B$121:$B$142,0))</f>
        <v>26140.713892976666</v>
      </c>
      <c r="S185" s="90">
        <f>INDEX(S$129:S$146,MATCH($B185,$B$129:$B$146,0))*INDEX('Resource costs'!$C$121:$C$142, MATCH($B185, 'Resource costs'!$B$121:$B$142,0))</f>
        <v>26530.56264270984</v>
      </c>
      <c r="T185" s="90">
        <f>INDEX(T$129:T$146,MATCH($B185,$B$129:$B$146,0))*INDEX('Resource costs'!$C$121:$C$142, MATCH($B185, 'Resource costs'!$B$121:$B$142,0))</f>
        <v>26911.402930069846</v>
      </c>
      <c r="U185" s="90">
        <f>INDEX(U$129:U$146,MATCH($B185,$B$129:$B$146,0))*INDEX('Resource costs'!$C$121:$C$142, MATCH($B185, 'Resource costs'!$B$121:$B$142,0))</f>
        <v>27284.40847313459</v>
      </c>
      <c r="V185" s="90">
        <f>INDEX(V$129:V$146,MATCH($B185,$B$129:$B$146,0))*INDEX('Resource costs'!$C$121:$C$142, MATCH($B185, 'Resource costs'!$B$121:$B$142,0))</f>
        <v>27666.570498847934</v>
      </c>
      <c r="W185" s="90">
        <f>INDEX(W$129:W$146,MATCH($B185,$B$129:$B$146,0))*INDEX('Resource costs'!$C$121:$C$142, MATCH($B185, 'Resource costs'!$B$121:$B$142,0))</f>
        <v>28043.32337014428</v>
      </c>
      <c r="X185" s="90">
        <f>INDEX(X$129:X$146,MATCH($B185,$B$129:$B$146,0))*INDEX('Resource costs'!$C$121:$C$142, MATCH($B185, 'Resource costs'!$B$121:$B$142,0))</f>
        <v>28410.662879239906</v>
      </c>
      <c r="Y185" s="90">
        <f>INDEX(Y$129:Y$146,MATCH($B185,$B$129:$B$146,0))*INDEX('Resource costs'!$C$121:$C$142, MATCH($B185, 'Resource costs'!$B$121:$B$142,0))</f>
        <v>28768.064244073994</v>
      </c>
      <c r="Z185" s="90">
        <f>INDEX(Z$129:Z$146,MATCH($B185,$B$129:$B$146,0))*INDEX('Resource costs'!$C$121:$C$142, MATCH($B185, 'Resource costs'!$B$121:$B$142,0))</f>
        <v>29122.447271202094</v>
      </c>
      <c r="AA185" s="90">
        <f>INDEX(AA$129:AA$146,MATCH($B185,$B$129:$B$146,0))*INDEX('Resource costs'!$C$121:$C$142, MATCH($B185, 'Resource costs'!$B$121:$B$142,0))</f>
        <v>29472.201725407256</v>
      </c>
      <c r="AB185" s="90">
        <f>INDEX(AB$129:AB$146,MATCH($B185,$B$129:$B$146,0))*INDEX('Resource costs'!$C$121:$C$142, MATCH($B185, 'Resource costs'!$B$121:$B$142,0))</f>
        <v>29814.495130254832</v>
      </c>
      <c r="AC185" s="90">
        <f>INDEX(AC$129:AC$146,MATCH($B185,$B$129:$B$146,0))*INDEX('Resource costs'!$C$121:$C$142, MATCH($B185, 'Resource costs'!$B$121:$B$142,0))</f>
        <v>30147.1950578705</v>
      </c>
      <c r="AD185" s="90">
        <f>INDEX(AD$129:AD$146,MATCH($B185,$B$129:$B$146,0))*INDEX('Resource costs'!$C$121:$C$142, MATCH($B185, 'Resource costs'!$B$121:$B$142,0))</f>
        <v>30468.21041203355</v>
      </c>
      <c r="AE185" s="90">
        <f>INDEX(AE$129:AE$146,MATCH($B185,$B$129:$B$146,0))*INDEX('Resource costs'!$C$121:$C$142, MATCH($B185, 'Resource costs'!$B$121:$B$142,0))</f>
        <v>30776.052071917369</v>
      </c>
      <c r="AF185" s="90">
        <f>INDEX(AF$129:AF$146,MATCH($B185,$B$129:$B$146,0))*INDEX('Resource costs'!$C$121:$C$142, MATCH($B185, 'Resource costs'!$B$121:$B$142,0))</f>
        <v>31069.39051434883</v>
      </c>
      <c r="AG185" s="90">
        <f>INDEX(AG$129:AG$146,MATCH($B185,$B$129:$B$146,0))*INDEX('Resource costs'!$C$121:$C$142, MATCH($B185, 'Resource costs'!$B$121:$B$142,0))</f>
        <v>31349.604110013221</v>
      </c>
      <c r="AH185" s="90">
        <f>INDEX(AH$129:AH$146,MATCH($B185,$B$129:$B$146,0))*INDEX('Resource costs'!$C$121:$C$142, MATCH($B185, 'Resource costs'!$B$121:$B$142,0))</f>
        <v>31623.100268036236</v>
      </c>
      <c r="AI185" s="90">
        <f>INDEX(AI$129:AI$146,MATCH($B185,$B$129:$B$146,0))*INDEX('Resource costs'!$C$121:$C$142, MATCH($B185, 'Resource costs'!$B$121:$B$142,0))</f>
        <v>31890.484571825607</v>
      </c>
      <c r="AJ185" s="90">
        <f>INDEX(AJ$129:AJ$146,MATCH($B185,$B$129:$B$146,0))*INDEX('Resource costs'!$C$121:$C$142, MATCH($B185, 'Resource costs'!$B$121:$B$142,0))</f>
        <v>32154.034566673345</v>
      </c>
      <c r="AK185" s="90">
        <f>INDEX(AK$129:AK$146,MATCH($B185,$B$129:$B$146,0))*INDEX('Resource costs'!$C$121:$C$142, MATCH($B185, 'Resource costs'!$B$121:$B$142,0))</f>
        <v>32406.541795676127</v>
      </c>
      <c r="AL185" s="90">
        <f>INDEX(AL$129:AL$146,MATCH($B185,$B$129:$B$146,0))*INDEX('Resource costs'!$C$121:$C$142, MATCH($B185, 'Resource costs'!$B$121:$B$142,0))</f>
        <v>32642.673315571967</v>
      </c>
      <c r="AM185" s="90">
        <f>INDEX(AM$129:AM$146,MATCH($B185,$B$129:$B$146,0))*INDEX('Resource costs'!$C$121:$C$142, MATCH($B185, 'Resource costs'!$B$121:$B$142,0))</f>
        <v>32858.952363807723</v>
      </c>
      <c r="AN185" s="90">
        <f>INDEX(AN$129:AN$146,MATCH($B185,$B$129:$B$146,0))*INDEX('Resource costs'!$C$121:$C$142, MATCH($B185, 'Resource costs'!$B$121:$B$142,0))</f>
        <v>33057.80458773773</v>
      </c>
      <c r="AO185" s="90">
        <f>INDEX(AO$129:AO$146,MATCH($B185,$B$129:$B$146,0))*INDEX('Resource costs'!$C$121:$C$142, MATCH($B185, 'Resource costs'!$B$121:$B$142,0))</f>
        <v>33239.846901963683</v>
      </c>
      <c r="AP185" s="90">
        <f>INDEX(AP$129:AP$146,MATCH($B185,$B$129:$B$146,0))*INDEX('Resource costs'!$C$121:$C$142, MATCH($B185, 'Resource costs'!$B$121:$B$142,0))</f>
        <v>33404.271739941309</v>
      </c>
      <c r="AQ185" s="90">
        <f>INDEX(AQ$129:AQ$146,MATCH($B185,$B$129:$B$146,0))*INDEX('Resource costs'!$C$121:$C$142, MATCH($B185, 'Resource costs'!$B$121:$B$142,0))</f>
        <v>33558.893802179598</v>
      </c>
      <c r="AR185" s="90">
        <f>INDEX(AR$129:AR$146,MATCH($B185,$B$129:$B$146,0))*INDEX('Resource costs'!$C$121:$C$142, MATCH($B185, 'Resource costs'!$B$121:$B$142,0))</f>
        <v>33712.254085342996</v>
      </c>
      <c r="AS185" s="90">
        <f>INDEX(AS$129:AS$146,MATCH($B185,$B$129:$B$146,0))*INDEX('Resource costs'!$C$121:$C$142, MATCH($B185, 'Resource costs'!$B$121:$B$142,0))</f>
        <v>33871.002224814365</v>
      </c>
      <c r="AT185" s="90">
        <f>INDEX(AT$129:AT$146,MATCH($B185,$B$129:$B$146,0))*INDEX('Resource costs'!$C$121:$C$142, MATCH($B185, 'Resource costs'!$B$121:$B$142,0))</f>
        <v>33990.579260871178</v>
      </c>
      <c r="AU185" s="90">
        <f>INDEX(AU$129:AU$146,MATCH($B185,$B$129:$B$146,0))*INDEX('Resource costs'!$C$121:$C$142, MATCH($B185, 'Resource costs'!$B$121:$B$142,0))</f>
        <v>34080.650663280969</v>
      </c>
      <c r="AV185" s="90">
        <f>INDEX(AV$129:AV$146,MATCH($B185,$B$129:$B$146,0))*INDEX('Resource costs'!$C$121:$C$142, MATCH($B185, 'Resource costs'!$B$121:$B$142,0))</f>
        <v>34148.496947146145</v>
      </c>
      <c r="AW185" s="90">
        <f>INDEX(AW$129:AW$146,MATCH($B185,$B$129:$B$146,0))*INDEX('Resource costs'!$C$121:$C$142, MATCH($B185, 'Resource costs'!$B$121:$B$142,0))</f>
        <v>34199.602160467592</v>
      </c>
      <c r="AX185" s="90">
        <f>INDEX(AX$129:AX$146,MATCH($B185,$B$129:$B$146,0))*INDEX('Resource costs'!$C$121:$C$142, MATCH($B185, 'Resource costs'!$B$121:$B$142,0))</f>
        <v>34238.097162401973</v>
      </c>
      <c r="AY185" s="90">
        <f>INDEX(AY$129:AY$146,MATCH($B185,$B$129:$B$146,0))*INDEX('Resource costs'!$C$121:$C$142, MATCH($B185, 'Resource costs'!$B$121:$B$142,0))</f>
        <v>34267.093522609037</v>
      </c>
      <c r="AZ185" s="90">
        <f>INDEX(AZ$129:AZ$146,MATCH($B185,$B$129:$B$146,0))*INDEX('Resource costs'!$C$121:$C$142, MATCH($B185, 'Resource costs'!$B$121:$B$142,0))</f>
        <v>34288.935030935019</v>
      </c>
      <c r="BA185" s="90">
        <f>INDEX(BA$129:BA$146,MATCH($B185,$B$129:$B$146,0))*INDEX('Resource costs'!$C$121:$C$142, MATCH($B185, 'Resource costs'!$B$121:$B$142,0))</f>
        <v>34305.387147081557</v>
      </c>
      <c r="BB185" s="90">
        <f>INDEX(BB$129:BB$146,MATCH($B185,$B$129:$B$146,0))*INDEX('Resource costs'!$C$121:$C$142, MATCH($B185, 'Resource costs'!$B$121:$B$142,0))</f>
        <v>34317.779703568936</v>
      </c>
    </row>
    <row r="186" spans="2:54">
      <c r="B186" s="6" t="s">
        <v>2863</v>
      </c>
      <c r="C186" s="52"/>
      <c r="D186" s="90">
        <f>INDEX(D$129:D$146,MATCH($B186,$B$129:$B$146,0))*INDEX('Resource costs'!$C$121:$C$142, MATCH($B186, 'Resource costs'!$B$121:$B$142,0))</f>
        <v>1267.360201382895</v>
      </c>
      <c r="E186" s="90">
        <f>INDEX(E$129:E$146,MATCH($B186,$B$129:$B$146,0))*INDEX('Resource costs'!$C$121:$C$142, MATCH($B186, 'Resource costs'!$B$121:$B$142,0))</f>
        <v>1316.5100153526976</v>
      </c>
      <c r="F186" s="90">
        <f>INDEX(F$129:F$146,MATCH($B186,$B$129:$B$146,0))*INDEX('Resource costs'!$C$121:$C$142, MATCH($B186, 'Resource costs'!$B$121:$B$142,0))</f>
        <v>1359.6158650395164</v>
      </c>
      <c r="G186" s="90">
        <f>INDEX(G$129:G$146,MATCH($B186,$B$129:$B$146,0))*INDEX('Resource costs'!$C$121:$C$142, MATCH($B186, 'Resource costs'!$B$121:$B$142,0))</f>
        <v>1398.6878693580229</v>
      </c>
      <c r="H186" s="90">
        <f>INDEX(H$129:H$146,MATCH($B186,$B$129:$B$146,0))*INDEX('Resource costs'!$C$121:$C$142, MATCH($B186, 'Resource costs'!$B$121:$B$142,0))</f>
        <v>1435.5572513371264</v>
      </c>
      <c r="I186" s="90">
        <f>INDEX(I$129:I$146,MATCH($B186,$B$129:$B$146,0))*INDEX('Resource costs'!$C$121:$C$142, MATCH($B186, 'Resource costs'!$B$121:$B$142,0))</f>
        <v>1471.2341986245074</v>
      </c>
      <c r="J186" s="90">
        <f>INDEX(J$129:J$146,MATCH($B186,$B$129:$B$146,0))*INDEX('Resource costs'!$C$121:$C$142, MATCH($B186, 'Resource costs'!$B$121:$B$142,0))</f>
        <v>1505.7453980531734</v>
      </c>
      <c r="K186" s="90">
        <f>INDEX(K$129:K$146,MATCH($B186,$B$129:$B$146,0))*INDEX('Resource costs'!$C$121:$C$142, MATCH($B186, 'Resource costs'!$B$121:$B$142,0))</f>
        <v>1539.565734606241</v>
      </c>
      <c r="L186" s="90">
        <f>INDEX(L$129:L$146,MATCH($B186,$B$129:$B$146,0))*INDEX('Resource costs'!$C$121:$C$142, MATCH($B186, 'Resource costs'!$B$121:$B$142,0))</f>
        <v>1575.5537128435467</v>
      </c>
      <c r="M186" s="90">
        <f>INDEX(M$129:M$146,MATCH($B186,$B$129:$B$146,0))*INDEX('Resource costs'!$C$121:$C$142, MATCH($B186, 'Resource costs'!$B$121:$B$142,0))</f>
        <v>1611.8450179200727</v>
      </c>
      <c r="N186" s="90">
        <f>INDEX(N$129:N$146,MATCH($B186,$B$129:$B$146,0))*INDEX('Resource costs'!$C$121:$C$142, MATCH($B186, 'Resource costs'!$B$121:$B$142,0))</f>
        <v>1647.5554926968184</v>
      </c>
      <c r="O186" s="90">
        <f>INDEX(O$129:O$146,MATCH($B186,$B$129:$B$146,0))*INDEX('Resource costs'!$C$121:$C$142, MATCH($B186, 'Resource costs'!$B$121:$B$142,0))</f>
        <v>1676.487940193171</v>
      </c>
      <c r="P186" s="90">
        <f>INDEX(P$129:P$146,MATCH($B186,$B$129:$B$146,0))*INDEX('Resource costs'!$C$121:$C$142, MATCH($B186, 'Resource costs'!$B$121:$B$142,0))</f>
        <v>1704.0658452500816</v>
      </c>
      <c r="Q186" s="90">
        <f>INDEX(Q$129:Q$146,MATCH($B186,$B$129:$B$146,0))*INDEX('Resource costs'!$C$121:$C$142, MATCH($B186, 'Resource costs'!$B$121:$B$142,0))</f>
        <v>1730.8319473146655</v>
      </c>
      <c r="R186" s="90">
        <f>INDEX(R$129:R$146,MATCH($B186,$B$129:$B$146,0))*INDEX('Resource costs'!$C$121:$C$142, MATCH($B186, 'Resource costs'!$B$121:$B$142,0))</f>
        <v>1757.3860031575848</v>
      </c>
      <c r="S186" s="90">
        <f>INDEX(S$129:S$146,MATCH($B186,$B$129:$B$146,0))*INDEX('Resource costs'!$C$121:$C$142, MATCH($B186, 'Resource costs'!$B$121:$B$142,0))</f>
        <v>1783.8066843923666</v>
      </c>
      <c r="T186" s="90">
        <f>INDEX(T$129:T$146,MATCH($B186,$B$129:$B$146,0))*INDEX('Resource costs'!$C$121:$C$142, MATCH($B186, 'Resource costs'!$B$121:$B$142,0))</f>
        <v>1809.6275868078599</v>
      </c>
      <c r="U186" s="90">
        <f>INDEX(U$129:U$146,MATCH($B186,$B$129:$B$146,0))*INDEX('Resource costs'!$C$121:$C$142, MATCH($B186, 'Resource costs'!$B$121:$B$142,0))</f>
        <v>1834.9277464428428</v>
      </c>
      <c r="V186" s="90">
        <f>INDEX(V$129:V$146,MATCH($B186,$B$129:$B$146,0))*INDEX('Resource costs'!$C$121:$C$142, MATCH($B186, 'Resource costs'!$B$121:$B$142,0))</f>
        <v>1860.8048911676792</v>
      </c>
      <c r="W186" s="90">
        <f>INDEX(W$129:W$146,MATCH($B186,$B$129:$B$146,0))*INDEX('Resource costs'!$C$121:$C$142, MATCH($B186, 'Resource costs'!$B$121:$B$142,0))</f>
        <v>1886.3125548603402</v>
      </c>
      <c r="X186" s="90">
        <f>INDEX(X$129:X$146,MATCH($B186,$B$129:$B$146,0))*INDEX('Resource costs'!$C$121:$C$142, MATCH($B186, 'Resource costs'!$B$121:$B$142,0))</f>
        <v>1911.1899983917749</v>
      </c>
      <c r="Y186" s="90">
        <f>INDEX(Y$129:Y$146,MATCH($B186,$B$129:$B$146,0))*INDEX('Resource costs'!$C$121:$C$142, MATCH($B186, 'Resource costs'!$B$121:$B$142,0))</f>
        <v>1935.4038601828695</v>
      </c>
      <c r="Z186" s="90">
        <f>INDEX(Z$129:Z$146,MATCH($B186,$B$129:$B$146,0))*INDEX('Resource costs'!$C$121:$C$142, MATCH($B186, 'Resource costs'!$B$121:$B$142,0))</f>
        <v>1959.4026227643362</v>
      </c>
      <c r="AA186" s="90">
        <f>INDEX(AA$129:AA$146,MATCH($B186,$B$129:$B$146,0))*INDEX('Resource costs'!$C$121:$C$142, MATCH($B186, 'Resource costs'!$B$121:$B$142,0))</f>
        <v>1983.0873935335196</v>
      </c>
      <c r="AB186" s="90">
        <f>INDEX(AB$129:AB$146,MATCH($B186,$B$129:$B$146,0))*INDEX('Resource costs'!$C$121:$C$142, MATCH($B186, 'Resource costs'!$B$121:$B$142,0))</f>
        <v>2006.2775501008259</v>
      </c>
      <c r="AC186" s="90">
        <f>INDEX(AC$129:AC$146,MATCH($B186,$B$129:$B$146,0))*INDEX('Resource costs'!$C$121:$C$142, MATCH($B186, 'Resource costs'!$B$121:$B$142,0))</f>
        <v>2028.8341103606704</v>
      </c>
      <c r="AD186" s="90">
        <f>INDEX(AD$129:AD$146,MATCH($B186,$B$129:$B$146,0))*INDEX('Resource costs'!$C$121:$C$142, MATCH($B186, 'Resource costs'!$B$121:$B$142,0))</f>
        <v>2050.6198100569854</v>
      </c>
      <c r="AE186" s="90">
        <f>INDEX(AE$129:AE$146,MATCH($B186,$B$129:$B$146,0))*INDEX('Resource costs'!$C$121:$C$142, MATCH($B186, 'Resource costs'!$B$121:$B$142,0))</f>
        <v>2071.5377757684514</v>
      </c>
      <c r="AF186" s="90">
        <f>INDEX(AF$129:AF$146,MATCH($B186,$B$129:$B$146,0))*INDEX('Resource costs'!$C$121:$C$142, MATCH($B186, 'Resource costs'!$B$121:$B$142,0))</f>
        <v>2091.5006409626067</v>
      </c>
      <c r="AG186" s="90">
        <f>INDEX(AG$129:AG$146,MATCH($B186,$B$129:$B$146,0))*INDEX('Resource costs'!$C$121:$C$142, MATCH($B186, 'Resource costs'!$B$121:$B$142,0))</f>
        <v>2110.5903157037205</v>
      </c>
      <c r="AH186" s="90">
        <f>INDEX(AH$129:AH$146,MATCH($B186,$B$129:$B$146,0))*INDEX('Resource costs'!$C$121:$C$142, MATCH($B186, 'Resource costs'!$B$121:$B$142,0))</f>
        <v>2129.2179197504802</v>
      </c>
      <c r="AI186" s="90">
        <f>INDEX(AI$129:AI$146,MATCH($B186,$B$129:$B$146,0))*INDEX('Resource costs'!$C$121:$C$142, MATCH($B186, 'Resource costs'!$B$121:$B$142,0))</f>
        <v>2147.4233260066403</v>
      </c>
      <c r="AJ186" s="90">
        <f>INDEX(AJ$129:AJ$146,MATCH($B186,$B$129:$B$146,0))*INDEX('Resource costs'!$C$121:$C$142, MATCH($B186, 'Resource costs'!$B$121:$B$142,0))</f>
        <v>2165.3546189703993</v>
      </c>
      <c r="AK186" s="90">
        <f>INDEX(AK$129:AK$146,MATCH($B186,$B$129:$B$146,0))*INDEX('Resource costs'!$C$121:$C$142, MATCH($B186, 'Resource costs'!$B$121:$B$142,0))</f>
        <v>2182.546462175887</v>
      </c>
      <c r="AL186" s="90">
        <f>INDEX(AL$129:AL$146,MATCH($B186,$B$129:$B$146,0))*INDEX('Resource costs'!$C$121:$C$142, MATCH($B186, 'Resource costs'!$B$121:$B$142,0))</f>
        <v>2198.6528666852241</v>
      </c>
      <c r="AM186" s="90">
        <f>INDEX(AM$129:AM$146,MATCH($B186,$B$129:$B$146,0))*INDEX('Resource costs'!$C$121:$C$142, MATCH($B186, 'Resource costs'!$B$121:$B$142,0))</f>
        <v>2213.4468632723124</v>
      </c>
      <c r="AN186" s="90">
        <f>INDEX(AN$129:AN$146,MATCH($B186,$B$129:$B$146,0))*INDEX('Resource costs'!$C$121:$C$142, MATCH($B186, 'Resource costs'!$B$121:$B$142,0))</f>
        <v>2227.0819109110435</v>
      </c>
      <c r="AO186" s="90">
        <f>INDEX(AO$129:AO$146,MATCH($B186,$B$129:$B$146,0))*INDEX('Resource costs'!$C$121:$C$142, MATCH($B186, 'Resource costs'!$B$121:$B$142,0))</f>
        <v>2239.596108760215</v>
      </c>
      <c r="AP186" s="90">
        <f>INDEX(AP$129:AP$146,MATCH($B186,$B$129:$B$146,0))*INDEX('Resource costs'!$C$121:$C$142, MATCH($B186, 'Resource costs'!$B$121:$B$142,0))</f>
        <v>2250.9362727131415</v>
      </c>
      <c r="AQ186" s="90">
        <f>INDEX(AQ$129:AQ$146,MATCH($B186,$B$129:$B$146,0))*INDEX('Resource costs'!$C$121:$C$142, MATCH($B186, 'Resource costs'!$B$121:$B$142,0))</f>
        <v>2261.6056877866154</v>
      </c>
      <c r="AR186" s="90">
        <f>INDEX(AR$129:AR$146,MATCH($B186,$B$129:$B$146,0))*INDEX('Resource costs'!$C$121:$C$142, MATCH($B186, 'Resource costs'!$B$121:$B$142,0))</f>
        <v>2272.1564106901619</v>
      </c>
      <c r="AS186" s="90">
        <f>INDEX(AS$129:AS$146,MATCH($B186,$B$129:$B$146,0))*INDEX('Resource costs'!$C$121:$C$142, MATCH($B186, 'Resource costs'!$B$121:$B$142,0))</f>
        <v>2283.019099641735</v>
      </c>
      <c r="AT186" s="90">
        <f>INDEX(AT$129:AT$146,MATCH($B186,$B$129:$B$146,0))*INDEX('Resource costs'!$C$121:$C$142, MATCH($B186, 'Resource costs'!$B$121:$B$142,0))</f>
        <v>2291.3221957190344</v>
      </c>
      <c r="AU186" s="90">
        <f>INDEX(AU$129:AU$146,MATCH($B186,$B$129:$B$146,0))*INDEX('Resource costs'!$C$121:$C$142, MATCH($B186, 'Resource costs'!$B$121:$B$142,0))</f>
        <v>2297.678831615337</v>
      </c>
      <c r="AV186" s="90">
        <f>INDEX(AV$129:AV$146,MATCH($B186,$B$129:$B$146,0))*INDEX('Resource costs'!$C$121:$C$142, MATCH($B186, 'Resource costs'!$B$121:$B$142,0))</f>
        <v>2302.5532701862653</v>
      </c>
      <c r="AW186" s="90">
        <f>INDEX(AW$129:AW$146,MATCH($B186,$B$129:$B$146,0))*INDEX('Resource costs'!$C$121:$C$142, MATCH($B186, 'Resource costs'!$B$121:$B$142,0))</f>
        <v>2306.2976093395264</v>
      </c>
      <c r="AX186" s="90">
        <f>INDEX(AX$129:AX$146,MATCH($B186,$B$129:$B$146,0))*INDEX('Resource costs'!$C$121:$C$142, MATCH($B186, 'Resource costs'!$B$121:$B$142,0))</f>
        <v>2309.1792983566111</v>
      </c>
      <c r="AY186" s="90">
        <f>INDEX(AY$129:AY$146,MATCH($B186,$B$129:$B$146,0))*INDEX('Resource costs'!$C$121:$C$142, MATCH($B186, 'Resource costs'!$B$121:$B$142,0))</f>
        <v>2311.4005274947772</v>
      </c>
      <c r="AZ186" s="90">
        <f>INDEX(AZ$129:AZ$146,MATCH($B186,$B$129:$B$146,0))*INDEX('Resource costs'!$C$121:$C$142, MATCH($B186, 'Resource costs'!$B$121:$B$142,0))</f>
        <v>2313.1146898958923</v>
      </c>
      <c r="BA186" s="90">
        <f>INDEX(BA$129:BA$146,MATCH($B186,$B$129:$B$146,0))*INDEX('Resource costs'!$C$121:$C$142, MATCH($B186, 'Resource costs'!$B$121:$B$142,0))</f>
        <v>2314.4387999395312</v>
      </c>
      <c r="BB186" s="90">
        <f>INDEX(BB$129:BB$146,MATCH($B186,$B$129:$B$146,0))*INDEX('Resource costs'!$C$121:$C$142, MATCH($B186, 'Resource costs'!$B$121:$B$142,0))</f>
        <v>2315.4599693664973</v>
      </c>
    </row>
    <row r="187" spans="2:54">
      <c r="B187" s="6" t="s">
        <v>2862</v>
      </c>
      <c r="C187" s="52"/>
      <c r="D187" s="90">
        <f>INDEX(D$129:D$146,MATCH($B187,$B$129:$B$146,0))*INDEX('Resource costs'!$C$121:$C$142, MATCH($B187, 'Resource costs'!$B$121:$B$142,0))</f>
        <v>1644.5375824905022</v>
      </c>
      <c r="E187" s="90">
        <f>INDEX(E$129:E$146,MATCH($B187,$B$129:$B$146,0))*INDEX('Resource costs'!$C$121:$C$142, MATCH($B187, 'Resource costs'!$B$121:$B$142,0))</f>
        <v>1708.3148071165874</v>
      </c>
      <c r="F187" s="90">
        <f>INDEX(F$129:F$146,MATCH($B187,$B$129:$B$146,0))*INDEX('Resource costs'!$C$121:$C$142, MATCH($B187, 'Resource costs'!$B$121:$B$142,0))</f>
        <v>1764.2493313014311</v>
      </c>
      <c r="G187" s="90">
        <f>INDEX(G$129:G$146,MATCH($B187,$B$129:$B$146,0))*INDEX('Resource costs'!$C$121:$C$142, MATCH($B187, 'Resource costs'!$B$121:$B$142,0))</f>
        <v>1814.9495027719429</v>
      </c>
      <c r="H187" s="90">
        <f>INDEX(H$129:H$146,MATCH($B187,$B$129:$B$146,0))*INDEX('Resource costs'!$C$121:$C$142, MATCH($B187, 'Resource costs'!$B$121:$B$142,0))</f>
        <v>1862.7915324030403</v>
      </c>
      <c r="I187" s="90">
        <f>INDEX(I$129:I$146,MATCH($B187,$B$129:$B$146,0))*INDEX('Resource costs'!$C$121:$C$142, MATCH($B187, 'Resource costs'!$B$121:$B$142,0))</f>
        <v>1909.0862484424185</v>
      </c>
      <c r="J187" s="90">
        <f>INDEX(J$129:J$146,MATCH($B187,$B$129:$B$146,0))*INDEX('Resource costs'!$C$121:$C$142, MATCH($B187, 'Resource costs'!$B$121:$B$142,0))</f>
        <v>1953.8682799559037</v>
      </c>
      <c r="K187" s="90">
        <f>INDEX(K$129:K$146,MATCH($B187,$B$129:$B$146,0))*INDEX('Resource costs'!$C$121:$C$142, MATCH($B187, 'Resource costs'!$B$121:$B$142,0))</f>
        <v>1997.7538418137781</v>
      </c>
      <c r="L187" s="90">
        <f>INDEX(L$129:L$146,MATCH($B187,$B$129:$B$146,0))*INDEX('Resource costs'!$C$121:$C$142, MATCH($B187, 'Resource costs'!$B$121:$B$142,0))</f>
        <v>2044.452154309721</v>
      </c>
      <c r="M187" s="90">
        <f>INDEX(M$129:M$146,MATCH($B187,$B$129:$B$146,0))*INDEX('Resource costs'!$C$121:$C$142, MATCH($B187, 'Resource costs'!$B$121:$B$142,0))</f>
        <v>2091.5440663414006</v>
      </c>
      <c r="N187" s="90">
        <f>INDEX(N$129:N$146,MATCH($B187,$B$129:$B$146,0))*INDEX('Resource costs'!$C$121:$C$142, MATCH($B187, 'Resource costs'!$B$121:$B$142,0))</f>
        <v>2137.8822879415875</v>
      </c>
      <c r="O187" s="90">
        <f>INDEX(O$129:O$146,MATCH($B187,$B$129:$B$146,0))*INDEX('Resource costs'!$C$121:$C$142, MATCH($B187, 'Resource costs'!$B$121:$B$142,0))</f>
        <v>2175.4252825924109</v>
      </c>
      <c r="P187" s="90">
        <f>INDEX(P$129:P$146,MATCH($B187,$B$129:$B$146,0))*INDEX('Resource costs'!$C$121:$C$142, MATCH($B187, 'Resource costs'!$B$121:$B$142,0))</f>
        <v>2211.2106112329643</v>
      </c>
      <c r="Q187" s="90">
        <f>INDEX(Q$129:Q$146,MATCH($B187,$B$129:$B$146,0))*INDEX('Resource costs'!$C$121:$C$142, MATCH($B187, 'Resource costs'!$B$121:$B$142,0))</f>
        <v>2245.9425372741593</v>
      </c>
      <c r="R187" s="90">
        <f>INDEX(R$129:R$146,MATCH($B187,$B$129:$B$146,0))*INDEX('Resource costs'!$C$121:$C$142, MATCH($B187, 'Resource costs'!$B$121:$B$142,0))</f>
        <v>2280.3993103001562</v>
      </c>
      <c r="S187" s="90">
        <f>INDEX(S$129:S$146,MATCH($B187,$B$129:$B$146,0))*INDEX('Resource costs'!$C$121:$C$142, MATCH($B187, 'Resource costs'!$B$121:$B$142,0))</f>
        <v>2314.6830152785751</v>
      </c>
      <c r="T187" s="90">
        <f>INDEX(T$129:T$146,MATCH($B187,$B$129:$B$146,0))*INDEX('Resource costs'!$C$121:$C$142, MATCH($B187, 'Resource costs'!$B$121:$B$142,0))</f>
        <v>2348.1884420623451</v>
      </c>
      <c r="U187" s="90">
        <f>INDEX(U$129:U$146,MATCH($B187,$B$129:$B$146,0))*INDEX('Resource costs'!$C$121:$C$142, MATCH($B187, 'Resource costs'!$B$121:$B$142,0))</f>
        <v>2381.01814850045</v>
      </c>
      <c r="V187" s="90">
        <f>INDEX(V$129:V$146,MATCH($B187,$B$129:$B$146,0))*INDEX('Resource costs'!$C$121:$C$142, MATCH($B187, 'Resource costs'!$B$121:$B$142,0))</f>
        <v>2414.5965557923187</v>
      </c>
      <c r="W187" s="90">
        <f>INDEX(W$129:W$146,MATCH($B187,$B$129:$B$146,0))*INDEX('Resource costs'!$C$121:$C$142, MATCH($B187, 'Resource costs'!$B$121:$B$142,0))</f>
        <v>2447.695521294263</v>
      </c>
      <c r="X187" s="90">
        <f>INDEX(X$129:X$146,MATCH($B187,$B$129:$B$146,0))*INDEX('Resource costs'!$C$121:$C$142, MATCH($B187, 'Resource costs'!$B$121:$B$142,0))</f>
        <v>2479.9767076524017</v>
      </c>
      <c r="Y187" s="90">
        <f>INDEX(Y$129:Y$146,MATCH($B187,$B$129:$B$146,0))*INDEX('Resource costs'!$C$121:$C$142, MATCH($B187, 'Resource costs'!$B$121:$B$142,0))</f>
        <v>2511.3968245925071</v>
      </c>
      <c r="Z187" s="90">
        <f>INDEX(Z$129:Z$146,MATCH($B187,$B$129:$B$146,0))*INDEX('Resource costs'!$C$121:$C$142, MATCH($B187, 'Resource costs'!$B$121:$B$142,0))</f>
        <v>2542.5378269337702</v>
      </c>
      <c r="AA187" s="90">
        <f>INDEX(AA$129:AA$146,MATCH($B187,$B$129:$B$146,0))*INDEX('Resource costs'!$C$121:$C$142, MATCH($B187, 'Resource costs'!$B$121:$B$142,0))</f>
        <v>2573.2713907778088</v>
      </c>
      <c r="AB187" s="90">
        <f>INDEX(AB$129:AB$146,MATCH($B187,$B$129:$B$146,0))*INDEX('Resource costs'!$C$121:$C$142, MATCH($B187, 'Resource costs'!$B$121:$B$142,0))</f>
        <v>2603.3631389462935</v>
      </c>
      <c r="AC187" s="90">
        <f>INDEX(AC$129:AC$146,MATCH($B187,$B$129:$B$146,0))*INDEX('Resource costs'!$C$121:$C$142, MATCH($B187, 'Resource costs'!$B$121:$B$142,0))</f>
        <v>2632.6327270543538</v>
      </c>
      <c r="AD187" s="90">
        <f>INDEX(AD$129:AD$146,MATCH($B187,$B$129:$B$146,0))*INDEX('Resource costs'!$C$121:$C$142, MATCH($B187, 'Resource costs'!$B$121:$B$142,0))</f>
        <v>2660.9020398135431</v>
      </c>
      <c r="AE187" s="90">
        <f>INDEX(AE$129:AE$146,MATCH($B187,$B$129:$B$146,0))*INDEX('Resource costs'!$C$121:$C$142, MATCH($B187, 'Resource costs'!$B$121:$B$142,0))</f>
        <v>2688.0453734326807</v>
      </c>
      <c r="AF187" s="90">
        <f>INDEX(AF$129:AF$146,MATCH($B187,$B$129:$B$146,0))*INDEX('Resource costs'!$C$121:$C$142, MATCH($B187, 'Resource costs'!$B$121:$B$142,0))</f>
        <v>2713.9493603419724</v>
      </c>
      <c r="AG187" s="90">
        <f>INDEX(AG$129:AG$146,MATCH($B187,$B$129:$B$146,0))*INDEX('Resource costs'!$C$121:$C$142, MATCH($B187, 'Resource costs'!$B$121:$B$142,0))</f>
        <v>2738.7202877507912</v>
      </c>
      <c r="AH187" s="90">
        <f>INDEX(AH$129:AH$146,MATCH($B187,$B$129:$B$146,0))*INDEX('Resource costs'!$C$121:$C$142, MATCH($B187, 'Resource costs'!$B$121:$B$142,0))</f>
        <v>2762.8916282214968</v>
      </c>
      <c r="AI187" s="90">
        <f>INDEX(AI$129:AI$146,MATCH($B187,$B$129:$B$146,0))*INDEX('Resource costs'!$C$121:$C$142, MATCH($B187, 'Resource costs'!$B$121:$B$142,0))</f>
        <v>2786.515121179611</v>
      </c>
      <c r="AJ187" s="90">
        <f>INDEX(AJ$129:AJ$146,MATCH($B187,$B$129:$B$146,0))*INDEX('Resource costs'!$C$121:$C$142, MATCH($B187, 'Resource costs'!$B$121:$B$142,0))</f>
        <v>2809.7829223535573</v>
      </c>
      <c r="AK187" s="90">
        <f>INDEX(AK$129:AK$146,MATCH($B187,$B$129:$B$146,0))*INDEX('Resource costs'!$C$121:$C$142, MATCH($B187, 'Resource costs'!$B$121:$B$142,0))</f>
        <v>2832.0912071117959</v>
      </c>
      <c r="AL187" s="90">
        <f>INDEX(AL$129:AL$146,MATCH($B187,$B$129:$B$146,0))*INDEX('Resource costs'!$C$121:$C$142, MATCH($B187, 'Resource costs'!$B$121:$B$142,0))</f>
        <v>2852.9910172095861</v>
      </c>
      <c r="AM187" s="90">
        <f>INDEX(AM$129:AM$146,MATCH($B187,$B$129:$B$146,0))*INDEX('Resource costs'!$C$121:$C$142, MATCH($B187, 'Resource costs'!$B$121:$B$142,0))</f>
        <v>2872.1878354118271</v>
      </c>
      <c r="AN187" s="90">
        <f>INDEX(AN$129:AN$146,MATCH($B187,$B$129:$B$146,0))*INDEX('Resource costs'!$C$121:$C$142, MATCH($B187, 'Resource costs'!$B$121:$B$142,0))</f>
        <v>2889.8807914131867</v>
      </c>
      <c r="AO187" s="90">
        <f>INDEX(AO$129:AO$146,MATCH($B187,$B$129:$B$146,0))*INDEX('Resource costs'!$C$121:$C$142, MATCH($B187, 'Resource costs'!$B$121:$B$142,0))</f>
        <v>2906.1193230123549</v>
      </c>
      <c r="AP187" s="90">
        <f>INDEX(AP$129:AP$146,MATCH($B187,$B$129:$B$146,0))*INDEX('Resource costs'!$C$121:$C$142, MATCH($B187, 'Resource costs'!$B$121:$B$142,0))</f>
        <v>2920.8344180515101</v>
      </c>
      <c r="AQ187" s="90">
        <f>INDEX(AQ$129:AQ$146,MATCH($B187,$B$129:$B$146,0))*INDEX('Resource costs'!$C$121:$C$142, MATCH($B187, 'Resource costs'!$B$121:$B$142,0))</f>
        <v>2934.679143530795</v>
      </c>
      <c r="AR187" s="90">
        <f>INDEX(AR$129:AR$146,MATCH($B187,$B$129:$B$146,0))*INDEX('Resource costs'!$C$121:$C$142, MATCH($B187, 'Resource costs'!$B$121:$B$142,0))</f>
        <v>2948.3698530215875</v>
      </c>
      <c r="AS187" s="90">
        <f>INDEX(AS$129:AS$146,MATCH($B187,$B$129:$B$146,0))*INDEX('Resource costs'!$C$121:$C$142, MATCH($B187, 'Resource costs'!$B$121:$B$142,0))</f>
        <v>2962.4653723603469</v>
      </c>
      <c r="AT187" s="90">
        <f>INDEX(AT$129:AT$146,MATCH($B187,$B$129:$B$146,0))*INDEX('Resource costs'!$C$121:$C$142, MATCH($B187, 'Resource costs'!$B$121:$B$142,0))</f>
        <v>2973.2395417995081</v>
      </c>
      <c r="AU187" s="90">
        <f>INDEX(AU$129:AU$146,MATCH($B187,$B$129:$B$146,0))*INDEX('Resource costs'!$C$121:$C$142, MATCH($B187, 'Resource costs'!$B$121:$B$142,0))</f>
        <v>2981.4879676363548</v>
      </c>
      <c r="AV187" s="90">
        <f>INDEX(AV$129:AV$146,MATCH($B187,$B$129:$B$146,0))*INDEX('Resource costs'!$C$121:$C$142, MATCH($B187, 'Resource costs'!$B$121:$B$142,0))</f>
        <v>2987.8130813764628</v>
      </c>
      <c r="AW187" s="90">
        <f>INDEX(AW$129:AW$146,MATCH($B187,$B$129:$B$146,0))*INDEX('Resource costs'!$C$121:$C$142, MATCH($B187, 'Resource costs'!$B$121:$B$142,0))</f>
        <v>2992.6717683167731</v>
      </c>
      <c r="AX187" s="90">
        <f>INDEX(AX$129:AX$146,MATCH($B187,$B$129:$B$146,0))*INDEX('Resource costs'!$C$121:$C$142, MATCH($B187, 'Resource costs'!$B$121:$B$142,0))</f>
        <v>2996.4110729631357</v>
      </c>
      <c r="AY187" s="90">
        <f>INDEX(AY$129:AY$146,MATCH($B187,$B$129:$B$146,0))*INDEX('Resource costs'!$C$121:$C$142, MATCH($B187, 'Resource costs'!$B$121:$B$142,0))</f>
        <v>2999.2933591459041</v>
      </c>
      <c r="AZ187" s="90">
        <f>INDEX(AZ$129:AZ$146,MATCH($B187,$B$129:$B$146,0))*INDEX('Resource costs'!$C$121:$C$142, MATCH($B187, 'Resource costs'!$B$121:$B$142,0))</f>
        <v>3001.5176711355421</v>
      </c>
      <c r="BA187" s="90">
        <f>INDEX(BA$129:BA$146,MATCH($B187,$B$129:$B$146,0))*INDEX('Resource costs'!$C$121:$C$142, MATCH($B187, 'Resource costs'!$B$121:$B$142,0))</f>
        <v>3003.2358478052383</v>
      </c>
      <c r="BB187" s="90">
        <f>INDEX(BB$129:BB$146,MATCH($B187,$B$129:$B$146,0))*INDEX('Resource costs'!$C$121:$C$142, MATCH($B187, 'Resource costs'!$B$121:$B$142,0))</f>
        <v>3004.5609261049226</v>
      </c>
    </row>
    <row r="188" spans="2:54" s="97" customFormat="1">
      <c r="B188" s="6" t="s">
        <v>131</v>
      </c>
      <c r="C188" s="315"/>
      <c r="D188" s="90">
        <f>INDEX(D$129:D$146,MATCH($B188,$B$129:$B$146,0))*INDEX('Resource costs'!$C$121:$C$142, MATCH($B188, 'Resource costs'!$B$121:$B$142,0))</f>
        <v>319.15631382645</v>
      </c>
      <c r="E188" s="90">
        <f>INDEX(E$129:E$146,MATCH($B188,$B$129:$B$146,0))*INDEX('Resource costs'!$C$121:$C$142, MATCH($B188, 'Resource costs'!$B$121:$B$142,0))</f>
        <v>330.0652220021974</v>
      </c>
      <c r="F188" s="90">
        <f>INDEX(F$129:F$146,MATCH($B188,$B$129:$B$146,0))*INDEX('Resource costs'!$C$121:$C$142, MATCH($B188, 'Resource costs'!$B$121:$B$142,0))</f>
        <v>339.4019033315609</v>
      </c>
      <c r="G188" s="90">
        <f>INDEX(G$129:G$146,MATCH($B188,$B$129:$B$146,0))*INDEX('Resource costs'!$C$121:$C$142, MATCH($B188, 'Resource costs'!$B$121:$B$142,0))</f>
        <v>347.67979478769718</v>
      </c>
      <c r="H188" s="90">
        <f>INDEX(H$129:H$146,MATCH($B188,$B$129:$B$146,0))*INDEX('Resource costs'!$C$121:$C$142, MATCH($B188, 'Resource costs'!$B$121:$B$142,0))</f>
        <v>355.36492019864033</v>
      </c>
      <c r="I188" s="90">
        <f>INDEX(I$129:I$146,MATCH($B188,$B$129:$B$146,0))*INDEX('Resource costs'!$C$121:$C$142, MATCH($B188, 'Resource costs'!$B$121:$B$142,0))</f>
        <v>362.71439991924689</v>
      </c>
      <c r="J188" s="90">
        <f>INDEX(J$129:J$146,MATCH($B188,$B$129:$B$146,0))*INDEX('Resource costs'!$C$121:$C$142, MATCH($B188, 'Resource costs'!$B$121:$B$142,0))</f>
        <v>369.73649866854225</v>
      </c>
      <c r="K188" s="90">
        <f>INDEX(K$129:K$146,MATCH($B188,$B$129:$B$146,0))*INDEX('Resource costs'!$C$121:$C$142, MATCH($B188, 'Resource costs'!$B$121:$B$142,0))</f>
        <v>376.55231181846011</v>
      </c>
      <c r="L188" s="90">
        <f>INDEX(L$129:L$146,MATCH($B188,$B$129:$B$146,0))*INDEX('Resource costs'!$C$121:$C$142, MATCH($B188, 'Resource costs'!$B$121:$B$142,0))</f>
        <v>383.88263887088181</v>
      </c>
      <c r="M188" s="90">
        <f>INDEX(M$129:M$146,MATCH($B188,$B$129:$B$146,0))*INDEX('Resource costs'!$C$121:$C$142, MATCH($B188, 'Resource costs'!$B$121:$B$142,0))</f>
        <v>391.25562666660539</v>
      </c>
      <c r="N188" s="90">
        <f>INDEX(N$129:N$146,MATCH($B188,$B$129:$B$146,0))*INDEX('Resource costs'!$C$121:$C$142, MATCH($B188, 'Resource costs'!$B$121:$B$142,0))</f>
        <v>398.44842373684162</v>
      </c>
      <c r="O188" s="90">
        <f>INDEX(O$129:O$146,MATCH($B188,$B$129:$B$146,0))*INDEX('Resource costs'!$C$121:$C$142, MATCH($B188, 'Resource costs'!$B$121:$B$142,0))</f>
        <v>405.36960659591773</v>
      </c>
      <c r="P188" s="90">
        <f>INDEX(P$129:P$146,MATCH($B188,$B$129:$B$146,0))*INDEX('Resource costs'!$C$121:$C$142, MATCH($B188, 'Resource costs'!$B$121:$B$142,0))</f>
        <v>411.96802495335533</v>
      </c>
      <c r="Q188" s="90">
        <f>INDEX(Q$129:Q$146,MATCH($B188,$B$129:$B$146,0))*INDEX('Resource costs'!$C$121:$C$142, MATCH($B188, 'Resource costs'!$B$121:$B$142,0))</f>
        <v>418.37460707630083</v>
      </c>
      <c r="R188" s="90">
        <f>INDEX(R$129:R$146,MATCH($B188,$B$129:$B$146,0))*INDEX('Resource costs'!$C$121:$C$142, MATCH($B188, 'Resource costs'!$B$121:$B$142,0))</f>
        <v>424.73639961357503</v>
      </c>
      <c r="S188" s="90">
        <f>INDEX(S$129:S$146,MATCH($B188,$B$129:$B$146,0))*INDEX('Resource costs'!$C$121:$C$142, MATCH($B188, 'Resource costs'!$B$121:$B$142,0))</f>
        <v>431.07069312344009</v>
      </c>
      <c r="T188" s="90">
        <f>INDEX(T$129:T$146,MATCH($B188,$B$129:$B$146,0))*INDEX('Resource costs'!$C$121:$C$142, MATCH($B188, 'Resource costs'!$B$121:$B$142,0))</f>
        <v>437.25861641977161</v>
      </c>
      <c r="U188" s="90">
        <f>INDEX(U$129:U$146,MATCH($B188,$B$129:$B$146,0))*INDEX('Resource costs'!$C$121:$C$142, MATCH($B188, 'Resource costs'!$B$121:$B$142,0))</f>
        <v>443.31924016730409</v>
      </c>
      <c r="V188" s="90">
        <f>INDEX(V$129:V$146,MATCH($B188,$B$129:$B$146,0))*INDEX('Resource costs'!$C$121:$C$142, MATCH($B188, 'Resource costs'!$B$121:$B$142,0))</f>
        <v>449.52863917358474</v>
      </c>
      <c r="W188" s="90">
        <f>INDEX(W$129:W$146,MATCH($B188,$B$129:$B$146,0))*INDEX('Resource costs'!$C$121:$C$142, MATCH($B188, 'Resource costs'!$B$121:$B$142,0))</f>
        <v>455.65014980843705</v>
      </c>
      <c r="X188" s="90">
        <f>INDEX(X$129:X$146,MATCH($B188,$B$129:$B$146,0))*INDEX('Resource costs'!$C$121:$C$142, MATCH($B188, 'Resource costs'!$B$121:$B$142,0))</f>
        <v>461.61871138513567</v>
      </c>
      <c r="Y188" s="90">
        <f>INDEX(Y$129:Y$146,MATCH($B188,$B$129:$B$146,0))*INDEX('Resource costs'!$C$121:$C$142, MATCH($B188, 'Resource costs'!$B$121:$B$142,0))</f>
        <v>467.42579720299437</v>
      </c>
      <c r="Z188" s="90">
        <f>INDEX(Z$129:Z$146,MATCH($B188,$B$129:$B$146,0))*INDEX('Resource costs'!$C$121:$C$142, MATCH($B188, 'Resource costs'!$B$121:$B$142,0))</f>
        <v>473.18384082960677</v>
      </c>
      <c r="AA188" s="90">
        <f>INDEX(AA$129:AA$146,MATCH($B188,$B$129:$B$146,0))*INDEX('Resource costs'!$C$121:$C$142, MATCH($B188, 'Resource costs'!$B$121:$B$142,0))</f>
        <v>478.86667903502479</v>
      </c>
      <c r="AB188" s="90">
        <f>INDEX(AB$129:AB$146,MATCH($B188,$B$129:$B$146,0))*INDEX('Resource costs'!$C$121:$C$142, MATCH($B188, 'Resource costs'!$B$121:$B$142,0))</f>
        <v>484.42828951672993</v>
      </c>
      <c r="AC188" s="90">
        <f>INDEX(AC$129:AC$146,MATCH($B188,$B$129:$B$146,0))*INDEX('Resource costs'!$C$121:$C$142, MATCH($B188, 'Resource costs'!$B$121:$B$142,0))</f>
        <v>489.83402441692101</v>
      </c>
      <c r="AD188" s="90">
        <f>INDEX(AD$129:AD$146,MATCH($B188,$B$129:$B$146,0))*INDEX('Resource costs'!$C$121:$C$142, MATCH($B188, 'Resource costs'!$B$121:$B$142,0))</f>
        <v>495.04990743779456</v>
      </c>
      <c r="AE188" s="90">
        <f>INDEX(AE$129:AE$146,MATCH($B188,$B$129:$B$146,0))*INDEX('Resource costs'!$C$121:$C$142, MATCH($B188, 'Resource costs'!$B$121:$B$142,0))</f>
        <v>500.0517432256554</v>
      </c>
      <c r="AF188" s="90">
        <f>INDEX(AF$129:AF$146,MATCH($B188,$B$129:$B$146,0))*INDEX('Resource costs'!$C$121:$C$142, MATCH($B188, 'Resource costs'!$B$121:$B$142,0))</f>
        <v>504.81792958218278</v>
      </c>
      <c r="AG188" s="90">
        <f>INDEX(AG$129:AG$146,MATCH($B188,$B$129:$B$146,0))*INDEX('Resource costs'!$C$121:$C$142, MATCH($B188, 'Resource costs'!$B$121:$B$142,0))</f>
        <v>509.37086238396233</v>
      </c>
      <c r="AH188" s="90">
        <f>INDEX(AH$129:AH$146,MATCH($B188,$B$129:$B$146,0))*INDEX('Resource costs'!$C$121:$C$142, MATCH($B188, 'Resource costs'!$B$121:$B$142,0))</f>
        <v>513.8146497243705</v>
      </c>
      <c r="AI188" s="90">
        <f>INDEX(AI$129:AI$146,MATCH($B188,$B$129:$B$146,0))*INDEX('Resource costs'!$C$121:$C$142, MATCH($B188, 'Resource costs'!$B$121:$B$142,0))</f>
        <v>518.15913117080845</v>
      </c>
      <c r="AJ188" s="90">
        <f>INDEX(AJ$129:AJ$146,MATCH($B188,$B$129:$B$146,0))*INDEX('Resource costs'!$C$121:$C$142, MATCH($B188, 'Resource costs'!$B$121:$B$142,0))</f>
        <v>522.44131246042798</v>
      </c>
      <c r="AK188" s="90">
        <f>INDEX(AK$129:AK$146,MATCH($B188,$B$129:$B$146,0))*INDEX('Resource costs'!$C$121:$C$142, MATCH($B188, 'Resource costs'!$B$121:$B$142,0))</f>
        <v>526.54407001181448</v>
      </c>
      <c r="AL188" s="90">
        <f>INDEX(AL$129:AL$146,MATCH($B188,$B$129:$B$146,0))*INDEX('Resource costs'!$C$121:$C$142, MATCH($B188, 'Resource costs'!$B$121:$B$142,0))</f>
        <v>530.38075373845084</v>
      </c>
      <c r="AM188" s="90">
        <f>INDEX(AM$129:AM$146,MATCH($B188,$B$129:$B$146,0))*INDEX('Resource costs'!$C$121:$C$142, MATCH($B188, 'Resource costs'!$B$121:$B$142,0))</f>
        <v>533.89487292569254</v>
      </c>
      <c r="AN188" s="90">
        <f>INDEX(AN$129:AN$146,MATCH($B188,$B$129:$B$146,0))*INDEX('Resource costs'!$C$121:$C$142, MATCH($B188, 'Resource costs'!$B$121:$B$142,0))</f>
        <v>537.12583968478611</v>
      </c>
      <c r="AO188" s="90">
        <f>INDEX(AO$129:AO$146,MATCH($B188,$B$129:$B$146,0))*INDEX('Resource costs'!$C$121:$C$142, MATCH($B188, 'Resource costs'!$B$121:$B$142,0))</f>
        <v>540.08367769327401</v>
      </c>
      <c r="AP188" s="90">
        <f>INDEX(AP$129:AP$146,MATCH($B188,$B$129:$B$146,0))*INDEX('Resource costs'!$C$121:$C$142, MATCH($B188, 'Resource costs'!$B$121:$B$142,0))</f>
        <v>542.75526554567864</v>
      </c>
      <c r="AQ188" s="90">
        <f>INDEX(AQ$129:AQ$146,MATCH($B188,$B$129:$B$146,0))*INDEX('Resource costs'!$C$121:$C$142, MATCH($B188, 'Resource costs'!$B$121:$B$142,0))</f>
        <v>545.26757711776474</v>
      </c>
      <c r="AR188" s="90">
        <f>INDEX(AR$129:AR$146,MATCH($B188,$B$129:$B$146,0))*INDEX('Resource costs'!$C$121:$C$142, MATCH($B188, 'Resource costs'!$B$121:$B$142,0))</f>
        <v>547.75938720302963</v>
      </c>
      <c r="AS188" s="90">
        <f>INDEX(AS$129:AS$146,MATCH($B188,$B$129:$B$146,0))*INDEX('Resource costs'!$C$121:$C$142, MATCH($B188, 'Resource costs'!$B$121:$B$142,0))</f>
        <v>550.33873960635231</v>
      </c>
      <c r="AT188" s="90">
        <f>INDEX(AT$129:AT$146,MATCH($B188,$B$129:$B$146,0))*INDEX('Resource costs'!$C$121:$C$142, MATCH($B188, 'Resource costs'!$B$121:$B$142,0))</f>
        <v>552.28163680415526</v>
      </c>
      <c r="AU188" s="90">
        <f>INDEX(AU$129:AU$146,MATCH($B188,$B$129:$B$146,0))*INDEX('Resource costs'!$C$121:$C$142, MATCH($B188, 'Resource costs'!$B$121:$B$142,0))</f>
        <v>553.74512411840044</v>
      </c>
      <c r="AV188" s="90">
        <f>INDEX(AV$129:AV$146,MATCH($B188,$B$129:$B$146,0))*INDEX('Resource costs'!$C$121:$C$142, MATCH($B188, 'Resource costs'!$B$121:$B$142,0))</f>
        <v>554.84749593785534</v>
      </c>
      <c r="AW188" s="90">
        <f>INDEX(AW$129:AW$146,MATCH($B188,$B$129:$B$146,0))*INDEX('Resource costs'!$C$121:$C$142, MATCH($B188, 'Resource costs'!$B$121:$B$142,0))</f>
        <v>555.67785751086001</v>
      </c>
      <c r="AX188" s="90">
        <f>INDEX(AX$129:AX$146,MATCH($B188,$B$129:$B$146,0))*INDEX('Resource costs'!$C$121:$C$142, MATCH($B188, 'Resource costs'!$B$121:$B$142,0))</f>
        <v>556.30332736572564</v>
      </c>
      <c r="AY188" s="90">
        <f>INDEX(AY$129:AY$146,MATCH($B188,$B$129:$B$146,0))*INDEX('Resource costs'!$C$121:$C$142, MATCH($B188, 'Resource costs'!$B$121:$B$142,0))</f>
        <v>556.77446253390326</v>
      </c>
      <c r="AZ188" s="90">
        <f>INDEX(AZ$129:AZ$146,MATCH($B188,$B$129:$B$146,0))*INDEX('Resource costs'!$C$121:$C$142, MATCH($B188, 'Resource costs'!$B$121:$B$142,0))</f>
        <v>557.12934509933302</v>
      </c>
      <c r="BA188" s="90">
        <f>INDEX(BA$129:BA$146,MATCH($B188,$B$129:$B$146,0))*INDEX('Resource costs'!$C$121:$C$142, MATCH($B188, 'Resource costs'!$B$121:$B$142,0))</f>
        <v>557.3966603917429</v>
      </c>
      <c r="BB188" s="90">
        <f>INDEX(BB$129:BB$146,MATCH($B188,$B$129:$B$146,0))*INDEX('Resource costs'!$C$121:$C$142, MATCH($B188, 'Resource costs'!$B$121:$B$142,0))</f>
        <v>557.59801563575081</v>
      </c>
    </row>
    <row r="189" spans="2:54" ht="29">
      <c r="B189" s="6" t="s">
        <v>2869</v>
      </c>
      <c r="C189" s="52"/>
      <c r="D189" s="90">
        <f>INDEX(D$129:D$146,MATCH($B189,$B$129:$B$146,0))*INDEX('Resource costs'!$C$121:$C$142, MATCH($B189, 'Resource costs'!$B$121:$B$142,0))</f>
        <v>6841.3459729296155</v>
      </c>
      <c r="E189" s="90">
        <f>INDEX(E$129:E$146,MATCH($B189,$B$129:$B$146,0))*INDEX('Resource costs'!$C$121:$C$142, MATCH($B189, 'Resource costs'!$B$121:$B$142,0))</f>
        <v>7075.1862943772167</v>
      </c>
      <c r="F189" s="90">
        <f>INDEX(F$129:F$146,MATCH($B189,$B$129:$B$146,0))*INDEX('Resource costs'!$C$121:$C$142, MATCH($B189, 'Resource costs'!$B$121:$B$142,0))</f>
        <v>7275.3247984454829</v>
      </c>
      <c r="G189" s="90">
        <f>INDEX(G$129:G$146,MATCH($B189,$B$129:$B$146,0))*INDEX('Resource costs'!$C$121:$C$142, MATCH($B189, 'Resource costs'!$B$121:$B$142,0))</f>
        <v>7452.767377283456</v>
      </c>
      <c r="H189" s="90">
        <f>INDEX(H$129:H$146,MATCH($B189,$B$129:$B$146,0))*INDEX('Resource costs'!$C$121:$C$142, MATCH($B189, 'Resource costs'!$B$121:$B$142,0))</f>
        <v>7617.5035880488322</v>
      </c>
      <c r="I189" s="90">
        <f>INDEX(I$129:I$146,MATCH($B189,$B$129:$B$146,0))*INDEX('Resource costs'!$C$121:$C$142, MATCH($B189, 'Resource costs'!$B$121:$B$142,0))</f>
        <v>7775.0449911527685</v>
      </c>
      <c r="J189" s="90">
        <f>INDEX(J$129:J$146,MATCH($B189,$B$129:$B$146,0))*INDEX('Resource costs'!$C$121:$C$142, MATCH($B189, 'Resource costs'!$B$121:$B$142,0))</f>
        <v>7925.5687468135438</v>
      </c>
      <c r="K189" s="90">
        <f>INDEX(K$129:K$146,MATCH($B189,$B$129:$B$146,0))*INDEX('Resource costs'!$C$121:$C$142, MATCH($B189, 'Resource costs'!$B$121:$B$142,0))</f>
        <v>8071.6706217424144</v>
      </c>
      <c r="L189" s="90">
        <f>INDEX(L$129:L$146,MATCH($B189,$B$129:$B$146,0))*INDEX('Resource costs'!$C$121:$C$142, MATCH($B189, 'Resource costs'!$B$121:$B$142,0))</f>
        <v>8228.8014735782708</v>
      </c>
      <c r="M189" s="90">
        <f>INDEX(M$129:M$146,MATCH($B189,$B$129:$B$146,0))*INDEX('Resource costs'!$C$121:$C$142, MATCH($B189, 'Resource costs'!$B$121:$B$142,0))</f>
        <v>8386.8467892418721</v>
      </c>
      <c r="N189" s="90">
        <f>INDEX(N$129:N$146,MATCH($B189,$B$129:$B$146,0))*INDEX('Resource costs'!$C$121:$C$142, MATCH($B189, 'Resource costs'!$B$121:$B$142,0))</f>
        <v>8541.0295866322431</v>
      </c>
      <c r="O189" s="90">
        <f>INDEX(O$129:O$146,MATCH($B189,$B$129:$B$146,0))*INDEX('Resource costs'!$C$121:$C$142, MATCH($B189, 'Resource costs'!$B$121:$B$142,0))</f>
        <v>8689.3901373390581</v>
      </c>
      <c r="P189" s="90">
        <f>INDEX(P$129:P$146,MATCH($B189,$B$129:$B$146,0))*INDEX('Resource costs'!$C$121:$C$142, MATCH($B189, 'Resource costs'!$B$121:$B$142,0))</f>
        <v>8830.8319979625903</v>
      </c>
      <c r="Q189" s="90">
        <f>INDEX(Q$129:Q$146,MATCH($B189,$B$129:$B$146,0))*INDEX('Resource costs'!$C$121:$C$142, MATCH($B189, 'Resource costs'!$B$121:$B$142,0))</f>
        <v>8968.161710420949</v>
      </c>
      <c r="R189" s="90">
        <f>INDEX(R$129:R$146,MATCH($B189,$B$129:$B$146,0))*INDEX('Resource costs'!$C$121:$C$142, MATCH($B189, 'Resource costs'!$B$121:$B$142,0))</f>
        <v>9104.5313257786493</v>
      </c>
      <c r="S189" s="90">
        <f>INDEX(S$129:S$146,MATCH($B189,$B$129:$B$146,0))*INDEX('Resource costs'!$C$121:$C$142, MATCH($B189, 'Resource costs'!$B$121:$B$142,0))</f>
        <v>9240.3114796333957</v>
      </c>
      <c r="T189" s="90">
        <f>INDEX(T$129:T$146,MATCH($B189,$B$129:$B$146,0))*INDEX('Resource costs'!$C$121:$C$142, MATCH($B189, 'Resource costs'!$B$121:$B$142,0))</f>
        <v>9372.9540823023035</v>
      </c>
      <c r="U189" s="90">
        <f>INDEX(U$129:U$146,MATCH($B189,$B$129:$B$146,0))*INDEX('Resource costs'!$C$121:$C$142, MATCH($B189, 'Resource costs'!$B$121:$B$142,0))</f>
        <v>9502.8679272502977</v>
      </c>
      <c r="V189" s="90">
        <f>INDEX(V$129:V$146,MATCH($B189,$B$129:$B$146,0))*INDEX('Resource costs'!$C$121:$C$142, MATCH($B189, 'Resource costs'!$B$121:$B$142,0))</f>
        <v>9635.9708772644135</v>
      </c>
      <c r="W189" s="90">
        <f>INDEX(W$129:W$146,MATCH($B189,$B$129:$B$146,0))*INDEX('Resource costs'!$C$121:$C$142, MATCH($B189, 'Resource costs'!$B$121:$B$142,0))</f>
        <v>9767.189876593895</v>
      </c>
      <c r="X189" s="90">
        <f>INDEX(X$129:X$146,MATCH($B189,$B$129:$B$146,0))*INDEX('Resource costs'!$C$121:$C$142, MATCH($B189, 'Resource costs'!$B$121:$B$142,0))</f>
        <v>9895.1303024540994</v>
      </c>
      <c r="Y189" s="90">
        <f>INDEX(Y$129:Y$146,MATCH($B189,$B$129:$B$146,0))*INDEX('Resource costs'!$C$121:$C$142, MATCH($B189, 'Resource costs'!$B$121:$B$142,0))</f>
        <v>10019.609378860741</v>
      </c>
      <c r="Z189" s="90">
        <f>INDEX(Z$129:Z$146,MATCH($B189,$B$129:$B$146,0))*INDEX('Resource costs'!$C$121:$C$142, MATCH($B189, 'Resource costs'!$B$121:$B$142,0))</f>
        <v>10143.037200496439</v>
      </c>
      <c r="AA189" s="90">
        <f>INDEX(AA$129:AA$146,MATCH($B189,$B$129:$B$146,0))*INDEX('Resource costs'!$C$121:$C$142, MATCH($B189, 'Resource costs'!$B$121:$B$142,0))</f>
        <v>10264.852939641078</v>
      </c>
      <c r="AB189" s="90">
        <f>INDEX(AB$129:AB$146,MATCH($B189,$B$129:$B$146,0))*INDEX('Resource costs'!$C$121:$C$142, MATCH($B189, 'Resource costs'!$B$121:$B$142,0))</f>
        <v>10384.070075018528</v>
      </c>
      <c r="AC189" s="90">
        <f>INDEX(AC$129:AC$146,MATCH($B189,$B$129:$B$146,0))*INDEX('Resource costs'!$C$121:$C$142, MATCH($B189, 'Resource costs'!$B$121:$B$142,0))</f>
        <v>10499.945904785936</v>
      </c>
      <c r="AD189" s="90">
        <f>INDEX(AD$129:AD$146,MATCH($B189,$B$129:$B$146,0))*INDEX('Resource costs'!$C$121:$C$142, MATCH($B189, 'Resource costs'!$B$121:$B$142,0))</f>
        <v>10611.752122473767</v>
      </c>
      <c r="AE189" s="90">
        <f>INDEX(AE$129:AE$146,MATCH($B189,$B$129:$B$146,0))*INDEX('Resource costs'!$C$121:$C$142, MATCH($B189, 'Resource costs'!$B$121:$B$142,0))</f>
        <v>10718.970083209912</v>
      </c>
      <c r="AF189" s="90">
        <f>INDEX(AF$129:AF$146,MATCH($B189,$B$129:$B$146,0))*INDEX('Resource costs'!$C$121:$C$142, MATCH($B189, 'Resource costs'!$B$121:$B$142,0))</f>
        <v>10821.136728279611</v>
      </c>
      <c r="AG189" s="90">
        <f>INDEX(AG$129:AG$146,MATCH($B189,$B$129:$B$146,0))*INDEX('Resource costs'!$C$121:$C$142, MATCH($B189, 'Resource costs'!$B$121:$B$142,0))</f>
        <v>10918.732129464161</v>
      </c>
      <c r="AH189" s="90">
        <f>INDEX(AH$129:AH$146,MATCH($B189,$B$129:$B$146,0))*INDEX('Resource costs'!$C$121:$C$142, MATCH($B189, 'Resource costs'!$B$121:$B$142,0))</f>
        <v>11013.987918896508</v>
      </c>
      <c r="AI189" s="90">
        <f>INDEX(AI$129:AI$146,MATCH($B189,$B$129:$B$146,0))*INDEX('Resource costs'!$C$121:$C$142, MATCH($B189, 'Resource costs'!$B$121:$B$142,0))</f>
        <v>11107.115014806688</v>
      </c>
      <c r="AJ189" s="90">
        <f>INDEX(AJ$129:AJ$146,MATCH($B189,$B$129:$B$146,0))*INDEX('Resource costs'!$C$121:$C$142, MATCH($B189, 'Resource costs'!$B$121:$B$142,0))</f>
        <v>11198.9066618835</v>
      </c>
      <c r="AK189" s="90">
        <f>INDEX(AK$129:AK$146,MATCH($B189,$B$129:$B$146,0))*INDEX('Resource costs'!$C$121:$C$142, MATCH($B189, 'Resource costs'!$B$121:$B$142,0))</f>
        <v>11286.852231612531</v>
      </c>
      <c r="AL189" s="90">
        <f>INDEX(AL$129:AL$146,MATCH($B189,$B$129:$B$146,0))*INDEX('Resource costs'!$C$121:$C$142, MATCH($B189, 'Resource costs'!$B$121:$B$142,0))</f>
        <v>11369.094316840088</v>
      </c>
      <c r="AM189" s="90">
        <f>INDEX(AM$129:AM$146,MATCH($B189,$B$129:$B$146,0))*INDEX('Resource costs'!$C$121:$C$142, MATCH($B189, 'Resource costs'!$B$121:$B$142,0))</f>
        <v>11444.421998319403</v>
      </c>
      <c r="AN189" s="90">
        <f>INDEX(AN$129:AN$146,MATCH($B189,$B$129:$B$146,0))*INDEX('Resource costs'!$C$121:$C$142, MATCH($B189, 'Resource costs'!$B$121:$B$142,0))</f>
        <v>11513.680103105055</v>
      </c>
      <c r="AO189" s="90">
        <f>INDEX(AO$129:AO$146,MATCH($B189,$B$129:$B$146,0))*INDEX('Resource costs'!$C$121:$C$142, MATCH($B189, 'Resource costs'!$B$121:$B$142,0))</f>
        <v>11577.083495960853</v>
      </c>
      <c r="AP189" s="90">
        <f>INDEX(AP$129:AP$146,MATCH($B189,$B$129:$B$146,0))*INDEX('Resource costs'!$C$121:$C$142, MATCH($B189, 'Resource costs'!$B$121:$B$142,0))</f>
        <v>11634.350910088573</v>
      </c>
      <c r="AQ189" s="90">
        <f>INDEX(AQ$129:AQ$146,MATCH($B189,$B$129:$B$146,0))*INDEX('Resource costs'!$C$121:$C$142, MATCH($B189, 'Resource costs'!$B$121:$B$142,0))</f>
        <v>11688.204122172547</v>
      </c>
      <c r="AR189" s="90">
        <f>INDEX(AR$129:AR$146,MATCH($B189,$B$129:$B$146,0))*INDEX('Resource costs'!$C$121:$C$142, MATCH($B189, 'Resource costs'!$B$121:$B$142,0))</f>
        <v>11741.617870087313</v>
      </c>
      <c r="AS189" s="90">
        <f>INDEX(AS$129:AS$146,MATCH($B189,$B$129:$B$146,0))*INDEX('Resource costs'!$C$121:$C$142, MATCH($B189, 'Resource costs'!$B$121:$B$142,0))</f>
        <v>11796.908150782918</v>
      </c>
      <c r="AT189" s="90">
        <f>INDEX(AT$129:AT$146,MATCH($B189,$B$129:$B$146,0))*INDEX('Resource costs'!$C$121:$C$142, MATCH($B189, 'Resource costs'!$B$121:$B$142,0))</f>
        <v>11838.555554716882</v>
      </c>
      <c r="AU189" s="90">
        <f>INDEX(AU$129:AU$146,MATCH($B189,$B$129:$B$146,0))*INDEX('Resource costs'!$C$121:$C$142, MATCH($B189, 'Resource costs'!$B$121:$B$142,0))</f>
        <v>11869.926461730141</v>
      </c>
      <c r="AV189" s="90">
        <f>INDEX(AV$129:AV$146,MATCH($B189,$B$129:$B$146,0))*INDEX('Resource costs'!$C$121:$C$142, MATCH($B189, 'Resource costs'!$B$121:$B$142,0))</f>
        <v>11893.556597437877</v>
      </c>
      <c r="AW189" s="90">
        <f>INDEX(AW$129:AW$146,MATCH($B189,$B$129:$B$146,0))*INDEX('Resource costs'!$C$121:$C$142, MATCH($B189, 'Resource costs'!$B$121:$B$142,0))</f>
        <v>11911.355997159731</v>
      </c>
      <c r="AX189" s="90">
        <f>INDEX(AX$129:AX$146,MATCH($B189,$B$129:$B$146,0))*INDEX('Resource costs'!$C$121:$C$142, MATCH($B189, 'Resource costs'!$B$121:$B$142,0))</f>
        <v>11924.763395000218</v>
      </c>
      <c r="AY189" s="90">
        <f>INDEX(AY$129:AY$146,MATCH($B189,$B$129:$B$146,0))*INDEX('Resource costs'!$C$121:$C$142, MATCH($B189, 'Resource costs'!$B$121:$B$142,0))</f>
        <v>11934.862517423562</v>
      </c>
      <c r="AZ189" s="90">
        <f>INDEX(AZ$129:AZ$146,MATCH($B189,$B$129:$B$146,0))*INDEX('Resource costs'!$C$121:$C$142, MATCH($B189, 'Resource costs'!$B$121:$B$142,0))</f>
        <v>11942.46968138895</v>
      </c>
      <c r="BA189" s="90">
        <f>INDEX(BA$129:BA$146,MATCH($B189,$B$129:$B$146,0))*INDEX('Resource costs'!$C$121:$C$142, MATCH($B189, 'Resource costs'!$B$121:$B$142,0))</f>
        <v>11948.199777645876</v>
      </c>
      <c r="BB189" s="90">
        <f>INDEX(BB$129:BB$146,MATCH($B189,$B$129:$B$146,0))*INDEX('Resource costs'!$C$121:$C$142, MATCH($B189, 'Resource costs'!$B$121:$B$142,0))</f>
        <v>11952.515972651405</v>
      </c>
    </row>
    <row r="190" spans="2:54" ht="29">
      <c r="B190" s="6" t="s">
        <v>2870</v>
      </c>
      <c r="C190" s="52"/>
      <c r="D190" s="90">
        <f>INDEX(D$129:D$146,MATCH($B190,$B$129:$B$146,0))*INDEX('Resource costs'!$C$121:$C$142, MATCH($B190, 'Resource costs'!$B$121:$B$142,0))</f>
        <v>8101.2744430231096</v>
      </c>
      <c r="E190" s="90">
        <f>INDEX(E$129:E$146,MATCH($B190,$B$129:$B$146,0))*INDEX('Resource costs'!$C$121:$C$142, MATCH($B190, 'Resource costs'!$B$121:$B$142,0))</f>
        <v>8378.1796934500999</v>
      </c>
      <c r="F190" s="90">
        <f>INDEX(F$129:F$146,MATCH($B190,$B$129:$B$146,0))*INDEX('Resource costs'!$C$121:$C$142, MATCH($B190, 'Resource costs'!$B$121:$B$142,0))</f>
        <v>8615.1764707639104</v>
      </c>
      <c r="G190" s="90">
        <f>INDEX(G$129:G$146,MATCH($B190,$B$129:$B$146,0))*INDEX('Resource costs'!$C$121:$C$142, MATCH($B190, 'Resource costs'!$B$121:$B$142,0))</f>
        <v>8825.2975543536377</v>
      </c>
      <c r="H190" s="90">
        <f>INDEX(H$129:H$146,MATCH($B190,$B$129:$B$146,0))*INDEX('Resource costs'!$C$121:$C$142, MATCH($B190, 'Resource costs'!$B$121:$B$142,0))</f>
        <v>9020.3722164734518</v>
      </c>
      <c r="I190" s="90">
        <f>INDEX(I$129:I$146,MATCH($B190,$B$129:$B$146,0))*INDEX('Resource costs'!$C$121:$C$142, MATCH($B190, 'Resource costs'!$B$121:$B$142,0))</f>
        <v>9206.9270476037636</v>
      </c>
      <c r="J190" s="90">
        <f>INDEX(J$129:J$146,MATCH($B190,$B$129:$B$146,0))*INDEX('Resource costs'!$C$121:$C$142, MATCH($B190, 'Resource costs'!$B$121:$B$142,0))</f>
        <v>9385.1718344670007</v>
      </c>
      <c r="K190" s="90">
        <f>INDEX(K$129:K$146,MATCH($B190,$B$129:$B$146,0))*INDEX('Resource costs'!$C$121:$C$142, MATCH($B190, 'Resource costs'!$B$121:$B$142,0))</f>
        <v>9558.1803901112289</v>
      </c>
      <c r="L190" s="90">
        <f>INDEX(L$129:L$146,MATCH($B190,$B$129:$B$146,0))*INDEX('Resource costs'!$C$121:$C$142, MATCH($B190, 'Resource costs'!$B$121:$B$142,0))</f>
        <v>9744.2490612799193</v>
      </c>
      <c r="M190" s="90">
        <f>INDEX(M$129:M$146,MATCH($B190,$B$129:$B$146,0))*INDEX('Resource costs'!$C$121:$C$142, MATCH($B190, 'Resource costs'!$B$121:$B$142,0))</f>
        <v>9931.4006074363806</v>
      </c>
      <c r="N190" s="90">
        <f>INDEX(N$129:N$146,MATCH($B190,$B$129:$B$146,0))*INDEX('Resource costs'!$C$121:$C$142, MATCH($B190, 'Resource costs'!$B$121:$B$142,0))</f>
        <v>10113.978299164712</v>
      </c>
      <c r="O190" s="90">
        <f>INDEX(O$129:O$146,MATCH($B190,$B$129:$B$146,0))*INDEX('Resource costs'!$C$121:$C$142, MATCH($B190, 'Resource costs'!$B$121:$B$142,0))</f>
        <v>10289.66149696669</v>
      </c>
      <c r="P190" s="90">
        <f>INDEX(P$129:P$146,MATCH($B190,$B$129:$B$146,0))*INDEX('Resource costs'!$C$121:$C$142, MATCH($B190, 'Resource costs'!$B$121:$B$142,0))</f>
        <v>10457.151832227773</v>
      </c>
      <c r="Q190" s="90">
        <f>INDEX(Q$129:Q$146,MATCH($B190,$B$129:$B$146,0))*INDEX('Resource costs'!$C$121:$C$142, MATCH($B190, 'Resource costs'!$B$121:$B$142,0))</f>
        <v>10619.77271037205</v>
      </c>
      <c r="R190" s="90">
        <f>INDEX(R$129:R$146,MATCH($B190,$B$129:$B$146,0))*INDEX('Resource costs'!$C$121:$C$142, MATCH($B190, 'Resource costs'!$B$121:$B$142,0))</f>
        <v>10781.256676257368</v>
      </c>
      <c r="S190" s="90">
        <f>INDEX(S$129:S$146,MATCH($B190,$B$129:$B$146,0))*INDEX('Resource costs'!$C$121:$C$142, MATCH($B190, 'Resource costs'!$B$121:$B$142,0))</f>
        <v>10942.042623152285</v>
      </c>
      <c r="T190" s="90">
        <f>INDEX(T$129:T$146,MATCH($B190,$B$129:$B$146,0))*INDEX('Resource costs'!$C$121:$C$142, MATCH($B190, 'Resource costs'!$B$121:$B$142,0))</f>
        <v>11099.113195421201</v>
      </c>
      <c r="U190" s="90">
        <f>INDEX(U$129:U$146,MATCH($B190,$B$129:$B$146,0))*INDEX('Resource costs'!$C$121:$C$142, MATCH($B190, 'Resource costs'!$B$121:$B$142,0))</f>
        <v>11252.952471498822</v>
      </c>
      <c r="V190" s="90">
        <f>INDEX(V$129:V$146,MATCH($B190,$B$129:$B$146,0))*INDEX('Resource costs'!$C$121:$C$142, MATCH($B190, 'Resource costs'!$B$121:$B$142,0))</f>
        <v>11410.568170442722</v>
      </c>
      <c r="W190" s="90">
        <f>INDEX(W$129:W$146,MATCH($B190,$B$129:$B$146,0))*INDEX('Resource costs'!$C$121:$C$142, MATCH($B190, 'Resource costs'!$B$121:$B$142,0))</f>
        <v>11565.952963130203</v>
      </c>
      <c r="X190" s="90">
        <f>INDEX(X$129:X$146,MATCH($B190,$B$129:$B$146,0))*INDEX('Resource costs'!$C$121:$C$142, MATCH($B190, 'Resource costs'!$B$121:$B$142,0))</f>
        <v>11717.455387704549</v>
      </c>
      <c r="Y190" s="90">
        <f>INDEX(Y$129:Y$146,MATCH($B190,$B$129:$B$146,0))*INDEX('Resource costs'!$C$121:$C$142, MATCH($B190, 'Resource costs'!$B$121:$B$142,0))</f>
        <v>11864.859007456351</v>
      </c>
      <c r="Z190" s="90">
        <f>INDEX(Z$129:Z$146,MATCH($B190,$B$129:$B$146,0))*INDEX('Resource costs'!$C$121:$C$142, MATCH($B190, 'Resource costs'!$B$121:$B$142,0))</f>
        <v>12011.017769333306</v>
      </c>
      <c r="AA190" s="90">
        <f>INDEX(AA$129:AA$146,MATCH($B190,$B$129:$B$146,0))*INDEX('Resource costs'!$C$121:$C$142, MATCH($B190, 'Resource costs'!$B$121:$B$142,0))</f>
        <v>12155.267561434937</v>
      </c>
      <c r="AB190" s="90">
        <f>INDEX(AB$129:AB$146,MATCH($B190,$B$129:$B$146,0))*INDEX('Resource costs'!$C$121:$C$142, MATCH($B190, 'Resource costs'!$B$121:$B$142,0))</f>
        <v>12296.440180949487</v>
      </c>
      <c r="AC190" s="90">
        <f>INDEX(AC$129:AC$146,MATCH($B190,$B$129:$B$146,0))*INDEX('Resource costs'!$C$121:$C$142, MATCH($B190, 'Resource costs'!$B$121:$B$142,0))</f>
        <v>12433.656147218886</v>
      </c>
      <c r="AD190" s="90">
        <f>INDEX(AD$129:AD$146,MATCH($B190,$B$129:$B$146,0))*INDEX('Resource costs'!$C$121:$C$142, MATCH($B190, 'Resource costs'!$B$121:$B$142,0))</f>
        <v>12566.053026065463</v>
      </c>
      <c r="AE190" s="90">
        <f>INDEX(AE$129:AE$146,MATCH($B190,$B$129:$B$146,0))*INDEX('Resource costs'!$C$121:$C$142, MATCH($B190, 'Resource costs'!$B$121:$B$142,0))</f>
        <v>12693.016656991564</v>
      </c>
      <c r="AF190" s="90">
        <f>INDEX(AF$129:AF$146,MATCH($B190,$B$129:$B$146,0))*INDEX('Resource costs'!$C$121:$C$142, MATCH($B190, 'Resource costs'!$B$121:$B$142,0))</f>
        <v>12813.998702616445</v>
      </c>
      <c r="AG190" s="90">
        <f>INDEX(AG$129:AG$146,MATCH($B190,$B$129:$B$146,0))*INDEX('Resource costs'!$C$121:$C$142, MATCH($B190, 'Resource costs'!$B$121:$B$142,0))</f>
        <v>12929.567646578855</v>
      </c>
      <c r="AH190" s="90">
        <f>INDEX(AH$129:AH$146,MATCH($B190,$B$129:$B$146,0))*INDEX('Resource costs'!$C$121:$C$142, MATCH($B190, 'Resource costs'!$B$121:$B$142,0))</f>
        <v>13042.366106930336</v>
      </c>
      <c r="AI190" s="90">
        <f>INDEX(AI$129:AI$146,MATCH($B190,$B$129:$B$146,0))*INDEX('Resource costs'!$C$121:$C$142, MATCH($B190, 'Resource costs'!$B$121:$B$142,0))</f>
        <v>13152.643845409779</v>
      </c>
      <c r="AJ190" s="90">
        <f>INDEX(AJ$129:AJ$146,MATCH($B190,$B$129:$B$146,0))*INDEX('Resource costs'!$C$121:$C$142, MATCH($B190, 'Resource costs'!$B$121:$B$142,0))</f>
        <v>13261.340193685222</v>
      </c>
      <c r="AK190" s="90">
        <f>INDEX(AK$129:AK$146,MATCH($B190,$B$129:$B$146,0))*INDEX('Resource costs'!$C$121:$C$142, MATCH($B190, 'Resource costs'!$B$121:$B$142,0))</f>
        <v>13365.482156281774</v>
      </c>
      <c r="AL190" s="90">
        <f>INDEX(AL$129:AL$146,MATCH($B190,$B$129:$B$146,0))*INDEX('Resource costs'!$C$121:$C$142, MATCH($B190, 'Resource costs'!$B$121:$B$142,0))</f>
        <v>13462.870258832249</v>
      </c>
      <c r="AM190" s="90">
        <f>INDEX(AM$129:AM$146,MATCH($B190,$B$129:$B$146,0))*INDEX('Resource costs'!$C$121:$C$142, MATCH($B190, 'Resource costs'!$B$121:$B$142,0))</f>
        <v>13552.070574564743</v>
      </c>
      <c r="AN190" s="90">
        <f>INDEX(AN$129:AN$146,MATCH($B190,$B$129:$B$146,0))*INDEX('Resource costs'!$C$121:$C$142, MATCH($B190, 'Resource costs'!$B$121:$B$142,0))</f>
        <v>13634.083517119079</v>
      </c>
      <c r="AO190" s="90">
        <f>INDEX(AO$129:AO$146,MATCH($B190,$B$129:$B$146,0))*INDEX('Resource costs'!$C$121:$C$142, MATCH($B190, 'Resource costs'!$B$121:$B$142,0))</f>
        <v>13709.163521576693</v>
      </c>
      <c r="AP190" s="90">
        <f>INDEX(AP$129:AP$146,MATCH($B190,$B$129:$B$146,0))*INDEX('Resource costs'!$C$121:$C$142, MATCH($B190, 'Resource costs'!$B$121:$B$142,0))</f>
        <v>13776.977521968822</v>
      </c>
      <c r="AQ190" s="90">
        <f>INDEX(AQ$129:AQ$146,MATCH($B190,$B$129:$B$146,0))*INDEX('Resource costs'!$C$121:$C$142, MATCH($B190, 'Resource costs'!$B$121:$B$142,0))</f>
        <v>13840.748547795742</v>
      </c>
      <c r="AR190" s="90">
        <f>INDEX(AR$129:AR$146,MATCH($B190,$B$129:$B$146,0))*INDEX('Resource costs'!$C$121:$C$142, MATCH($B190, 'Resource costs'!$B$121:$B$142,0))</f>
        <v>13903.999176049332</v>
      </c>
      <c r="AS190" s="90">
        <f>INDEX(AS$129:AS$146,MATCH($B190,$B$129:$B$146,0))*INDEX('Resource costs'!$C$121:$C$142, MATCH($B190, 'Resource costs'!$B$121:$B$142,0))</f>
        <v>13969.471926545983</v>
      </c>
      <c r="AT190" s="90">
        <f>INDEX(AT$129:AT$146,MATCH($B190,$B$129:$B$146,0))*INDEX('Resource costs'!$C$121:$C$142, MATCH($B190, 'Resource costs'!$B$121:$B$142,0))</f>
        <v>14018.789275857584</v>
      </c>
      <c r="AU190" s="90">
        <f>INDEX(AU$129:AU$146,MATCH($B190,$B$129:$B$146,0))*INDEX('Resource costs'!$C$121:$C$142, MATCH($B190, 'Resource costs'!$B$121:$B$142,0))</f>
        <v>14055.937569226548</v>
      </c>
      <c r="AV190" s="90">
        <f>INDEX(AV$129:AV$146,MATCH($B190,$B$129:$B$146,0))*INDEX('Resource costs'!$C$121:$C$142, MATCH($B190, 'Resource costs'!$B$121:$B$142,0))</f>
        <v>14083.919521206717</v>
      </c>
      <c r="AW190" s="90">
        <f>INDEX(AW$129:AW$146,MATCH($B190,$B$129:$B$146,0))*INDEX('Resource costs'!$C$121:$C$142, MATCH($B190, 'Resource costs'!$B$121:$B$142,0))</f>
        <v>14104.996926535781</v>
      </c>
      <c r="AX190" s="90">
        <f>INDEX(AX$129:AX$146,MATCH($B190,$B$129:$B$146,0))*INDEX('Resource costs'!$C$121:$C$142, MATCH($B190, 'Resource costs'!$B$121:$B$142,0))</f>
        <v>14120.8734820999</v>
      </c>
      <c r="AY190" s="90">
        <f>INDEX(AY$129:AY$146,MATCH($B190,$B$129:$B$146,0))*INDEX('Resource costs'!$C$121:$C$142, MATCH($B190, 'Resource costs'!$B$121:$B$142,0))</f>
        <v>14132.832497578573</v>
      </c>
      <c r="AZ190" s="90">
        <f>INDEX(AZ$129:AZ$146,MATCH($B190,$B$129:$B$146,0))*INDEX('Resource costs'!$C$121:$C$142, MATCH($B190, 'Resource costs'!$B$121:$B$142,0))</f>
        <v>14141.840625987883</v>
      </c>
      <c r="BA190" s="90">
        <f>INDEX(BA$129:BA$146,MATCH($B190,$B$129:$B$146,0))*INDEX('Resource costs'!$C$121:$C$142, MATCH($B190, 'Resource costs'!$B$121:$B$142,0))</f>
        <v>14148.625998712194</v>
      </c>
      <c r="BB190" s="90">
        <f>INDEX(BB$129:BB$146,MATCH($B190,$B$129:$B$146,0))*INDEX('Resource costs'!$C$121:$C$142, MATCH($B190, 'Resource costs'!$B$121:$B$142,0))</f>
        <v>14153.737080716784</v>
      </c>
    </row>
    <row r="191" spans="2:54">
      <c r="B191" s="6" t="s">
        <v>102</v>
      </c>
      <c r="C191" s="52"/>
      <c r="D191" s="90">
        <f>INDEX(D$129:D$146,MATCH($B191,$B$129:$B$146,0))*INDEX('Resource costs'!$C$121:$C$142, MATCH($B191, 'Resource costs'!$B$121:$B$142,0))</f>
        <v>582.30332346279977</v>
      </c>
      <c r="E191" s="90">
        <f>INDEX(E$129:E$146,MATCH($B191,$B$129:$B$146,0))*INDEX('Resource costs'!$C$121:$C$142, MATCH($B191, 'Resource costs'!$B$121:$B$142,0))</f>
        <v>1051.1502272820048</v>
      </c>
      <c r="F191" s="90">
        <f>INDEX(F$129:F$146,MATCH($B191,$B$129:$B$146,0))*INDEX('Resource costs'!$C$121:$C$142, MATCH($B191, 'Resource costs'!$B$121:$B$142,0))</f>
        <v>1532.4736839599811</v>
      </c>
      <c r="G191" s="90">
        <f>INDEX(G$129:G$146,MATCH($B191,$B$129:$B$146,0))*INDEX('Resource costs'!$C$121:$C$142, MATCH($B191, 'Resource costs'!$B$121:$B$142,0))</f>
        <v>2024.9988793476314</v>
      </c>
      <c r="H191" s="90">
        <f>INDEX(H$129:H$146,MATCH($B191,$B$129:$B$146,0))*INDEX('Resource costs'!$C$121:$C$142, MATCH($B191, 'Resource costs'!$B$121:$B$142,0))</f>
        <v>2528.0867234117009</v>
      </c>
      <c r="I191" s="90">
        <f>INDEX(I$129:I$146,MATCH($B191,$B$129:$B$146,0))*INDEX('Resource costs'!$C$121:$C$142, MATCH($B191, 'Resource costs'!$B$121:$B$142,0))</f>
        <v>3041.3725157614326</v>
      </c>
      <c r="J191" s="90">
        <f>INDEX(J$129:J$146,MATCH($B191,$B$129:$B$146,0))*INDEX('Resource costs'!$C$121:$C$142, MATCH($B191, 'Resource costs'!$B$121:$B$142,0))</f>
        <v>3564.3991970343909</v>
      </c>
      <c r="K191" s="90">
        <f>INDEX(K$129:K$146,MATCH($B191,$B$129:$B$146,0))*INDEX('Resource costs'!$C$121:$C$142, MATCH($B191, 'Resource costs'!$B$121:$B$142,0))</f>
        <v>4096.9271939498731</v>
      </c>
      <c r="L191" s="90">
        <f>INDEX(L$129:L$146,MATCH($B191,$B$129:$B$146,0))*INDEX('Resource costs'!$C$121:$C$142, MATCH($B191, 'Resource costs'!$B$121:$B$142,0))</f>
        <v>4639.9814380228518</v>
      </c>
      <c r="M191" s="90">
        <f>INDEX(M$129:M$146,MATCH($B191,$B$129:$B$146,0))*INDEX('Resource costs'!$C$121:$C$142, MATCH($B191, 'Resource costs'!$B$121:$B$142,0))</f>
        <v>5193.4247739377442</v>
      </c>
      <c r="N191" s="90">
        <f>INDEX(N$129:N$146,MATCH($B191,$B$129:$B$146,0))*INDEX('Resource costs'!$C$121:$C$142, MATCH($B191, 'Resource costs'!$B$121:$B$142,0))</f>
        <v>5756.9106163937322</v>
      </c>
      <c r="O191" s="90">
        <f>INDEX(O$129:O$146,MATCH($B191,$B$129:$B$146,0))*INDEX('Resource costs'!$C$121:$C$142, MATCH($B191, 'Resource costs'!$B$121:$B$142,0))</f>
        <v>5881.0751849196622</v>
      </c>
      <c r="P191" s="90">
        <f>INDEX(P$129:P$146,MATCH($B191,$B$129:$B$146,0))*INDEX('Resource costs'!$C$121:$C$142, MATCH($B191, 'Resource costs'!$B$121:$B$142,0))</f>
        <v>5999.041504622508</v>
      </c>
      <c r="Q191" s="90">
        <f>INDEX(Q$129:Q$146,MATCH($B191,$B$129:$B$146,0))*INDEX('Resource costs'!$C$121:$C$142, MATCH($B191, 'Resource costs'!$B$121:$B$142,0))</f>
        <v>6112.8060203457489</v>
      </c>
      <c r="R191" s="90">
        <f>INDEX(R$129:R$146,MATCH($B191,$B$129:$B$146,0))*INDEX('Resource costs'!$C$121:$C$142, MATCH($B191, 'Resource costs'!$B$121:$B$142,0))</f>
        <v>6223.8565264465278</v>
      </c>
      <c r="S191" s="90">
        <f>INDEX(S$129:S$146,MATCH($B191,$B$129:$B$146,0))*INDEX('Resource costs'!$C$121:$C$142, MATCH($B191, 'Resource costs'!$B$121:$B$142,0))</f>
        <v>6332.9953846959461</v>
      </c>
      <c r="T191" s="90">
        <f>INDEX(T$129:T$146,MATCH($B191,$B$129:$B$146,0))*INDEX('Resource costs'!$C$121:$C$142, MATCH($B191, 'Resource costs'!$B$121:$B$142,0))</f>
        <v>6440.4391703426163</v>
      </c>
      <c r="U191" s="90">
        <f>INDEX(U$129:U$146,MATCH($B191,$B$129:$B$146,0))*INDEX('Resource costs'!$C$121:$C$142, MATCH($B191, 'Resource costs'!$B$121:$B$142,0))</f>
        <v>6546.4772980481894</v>
      </c>
      <c r="V191" s="90">
        <f>INDEX(V$129:V$146,MATCH($B191,$B$129:$B$146,0))*INDEX('Resource costs'!$C$121:$C$142, MATCH($B191, 'Resource costs'!$B$121:$B$142,0))</f>
        <v>6651.7245748659034</v>
      </c>
      <c r="W191" s="90">
        <f>INDEX(W$129:W$146,MATCH($B191,$B$129:$B$146,0))*INDEX('Resource costs'!$C$121:$C$142, MATCH($B191, 'Resource costs'!$B$121:$B$142,0))</f>
        <v>6755.2347371746218</v>
      </c>
      <c r="X191" s="90">
        <f>INDEX(X$129:X$146,MATCH($B191,$B$129:$B$146,0))*INDEX('Resource costs'!$C$121:$C$142, MATCH($B191, 'Resource costs'!$B$121:$B$142,0))</f>
        <v>6856.7054433697758</v>
      </c>
      <c r="Y191" s="90">
        <f>INDEX(Y$129:Y$146,MATCH($B191,$B$129:$B$146,0))*INDEX('Resource costs'!$C$121:$C$142, MATCH($B191, 'Resource costs'!$B$121:$B$142,0))</f>
        <v>6956.1594561018783</v>
      </c>
      <c r="Z191" s="90">
        <f>INDEX(Z$129:Z$146,MATCH($B191,$B$129:$B$146,0))*INDEX('Resource costs'!$C$121:$C$142, MATCH($B191, 'Resource costs'!$B$121:$B$142,0))</f>
        <v>7053.9568383826254</v>
      </c>
      <c r="AA191" s="90">
        <f>INDEX(AA$129:AA$146,MATCH($B191,$B$129:$B$146,0))*INDEX('Resource costs'!$C$121:$C$142, MATCH($B191, 'Resource costs'!$B$121:$B$142,0))</f>
        <v>7150.4348886286562</v>
      </c>
      <c r="AB191" s="90">
        <f>INDEX(AB$129:AB$146,MATCH($B191,$B$129:$B$146,0))*INDEX('Resource costs'!$C$121:$C$142, MATCH($B191, 'Resource costs'!$B$121:$B$142,0))</f>
        <v>7245.6736983374458</v>
      </c>
      <c r="AC191" s="90">
        <f>INDEX(AC$129:AC$146,MATCH($B191,$B$129:$B$146,0))*INDEX('Resource costs'!$C$121:$C$142, MATCH($B191, 'Resource costs'!$B$121:$B$142,0))</f>
        <v>7339.5025299535855</v>
      </c>
      <c r="AD191" s="90">
        <f>INDEX(AD$129:AD$146,MATCH($B191,$B$129:$B$146,0))*INDEX('Resource costs'!$C$121:$C$142, MATCH($B191, 'Resource costs'!$B$121:$B$142,0))</f>
        <v>7431.6788116440757</v>
      </c>
      <c r="AE191" s="90">
        <f>INDEX(AE$129:AE$146,MATCH($B191,$B$129:$B$146,0))*INDEX('Resource costs'!$C$121:$C$142, MATCH($B191, 'Resource costs'!$B$121:$B$142,0))</f>
        <v>7522.0972349907079</v>
      </c>
      <c r="AF191" s="90">
        <f>INDEX(AF$129:AF$146,MATCH($B191,$B$129:$B$146,0))*INDEX('Resource costs'!$C$121:$C$142, MATCH($B191, 'Resource costs'!$B$121:$B$142,0))</f>
        <v>7610.5963623544121</v>
      </c>
      <c r="AG191" s="90">
        <f>INDEX(AG$129:AG$146,MATCH($B191,$B$129:$B$146,0))*INDEX('Resource costs'!$C$121:$C$142, MATCH($B191, 'Resource costs'!$B$121:$B$142,0))</f>
        <v>7696.6763014573335</v>
      </c>
      <c r="AH191" s="90">
        <f>INDEX(AH$129:AH$146,MATCH($B191,$B$129:$B$146,0))*INDEX('Resource costs'!$C$121:$C$142, MATCH($B191, 'Resource costs'!$B$121:$B$142,0))</f>
        <v>7780.3506525418243</v>
      </c>
      <c r="AI191" s="90">
        <f>INDEX(AI$129:AI$146,MATCH($B191,$B$129:$B$146,0))*INDEX('Resource costs'!$C$121:$C$142, MATCH($B191, 'Resource costs'!$B$121:$B$142,0))</f>
        <v>7861.6989846222868</v>
      </c>
      <c r="AJ191" s="90">
        <f>INDEX(AJ$129:AJ$146,MATCH($B191,$B$129:$B$146,0))*INDEX('Resource costs'!$C$121:$C$142, MATCH($B191, 'Resource costs'!$B$121:$B$142,0))</f>
        <v>7940.876266655946</v>
      </c>
      <c r="AK191" s="90">
        <f>INDEX(AK$129:AK$146,MATCH($B191,$B$129:$B$146,0))*INDEX('Resource costs'!$C$121:$C$142, MATCH($B191, 'Resource costs'!$B$121:$B$142,0))</f>
        <v>8017.6501562916892</v>
      </c>
      <c r="AL191" s="90">
        <f>INDEX(AL$129:AL$146,MATCH($B191,$B$129:$B$146,0))*INDEX('Resource costs'!$C$121:$C$142, MATCH($B191, 'Resource costs'!$B$121:$B$142,0))</f>
        <v>8091.7159602920437</v>
      </c>
      <c r="AM191" s="90">
        <f>INDEX(AM$129:AM$146,MATCH($B191,$B$129:$B$146,0))*INDEX('Resource costs'!$C$121:$C$142, MATCH($B191, 'Resource costs'!$B$121:$B$142,0))</f>
        <v>8162.7668620790728</v>
      </c>
      <c r="AN191" s="90">
        <f>INDEX(AN$129:AN$146,MATCH($B191,$B$129:$B$146,0))*INDEX('Resource costs'!$C$121:$C$142, MATCH($B191, 'Resource costs'!$B$121:$B$142,0))</f>
        <v>8230.6402951598575</v>
      </c>
      <c r="AO191" s="90">
        <f>INDEX(AO$129:AO$146,MATCH($B191,$B$129:$B$146,0))*INDEX('Resource costs'!$C$121:$C$142, MATCH($B191, 'Resource costs'!$B$121:$B$142,0))</f>
        <v>8295.2233059324735</v>
      </c>
      <c r="AP191" s="90">
        <f>INDEX(AP$129:AP$146,MATCH($B191,$B$129:$B$146,0))*INDEX('Resource costs'!$C$121:$C$142, MATCH($B191, 'Resource costs'!$B$121:$B$142,0))</f>
        <v>8356.4088468453574</v>
      </c>
      <c r="AQ191" s="90">
        <f>INDEX(AQ$129:AQ$146,MATCH($B191,$B$129:$B$146,0))*INDEX('Resource costs'!$C$121:$C$142, MATCH($B191, 'Resource costs'!$B$121:$B$142,0))</f>
        <v>8414.3574049094295</v>
      </c>
      <c r="AR191" s="90">
        <f>INDEX(AR$129:AR$146,MATCH($B191,$B$129:$B$146,0))*INDEX('Resource costs'!$C$121:$C$142, MATCH($B191, 'Resource costs'!$B$121:$B$142,0))</f>
        <v>8469.3981033975579</v>
      </c>
      <c r="AS191" s="90">
        <f>INDEX(AS$129:AS$146,MATCH($B191,$B$129:$B$146,0))*INDEX('Resource costs'!$C$121:$C$142, MATCH($B191, 'Resource costs'!$B$121:$B$142,0))</f>
        <v>8521.8527608023523</v>
      </c>
      <c r="AT191" s="90">
        <f>INDEX(AT$129:AT$146,MATCH($B191,$B$129:$B$146,0))*INDEX('Resource costs'!$C$121:$C$142, MATCH($B191, 'Resource costs'!$B$121:$B$142,0))</f>
        <v>8570.6632690520128</v>
      </c>
      <c r="AU191" s="90">
        <f>INDEX(AU$129:AU$146,MATCH($B191,$B$129:$B$146,0))*INDEX('Resource costs'!$C$121:$C$142, MATCH($B191, 'Resource costs'!$B$121:$B$142,0))</f>
        <v>8615.3085193252427</v>
      </c>
      <c r="AV191" s="90">
        <f>INDEX(AV$129:AV$146,MATCH($B191,$B$129:$B$146,0))*INDEX('Resource costs'!$C$121:$C$142, MATCH($B191, 'Resource costs'!$B$121:$B$142,0))</f>
        <v>8655.5823630523428</v>
      </c>
      <c r="AW191" s="90">
        <f>INDEX(AW$129:AW$146,MATCH($B191,$B$129:$B$146,0))*INDEX('Resource costs'!$C$121:$C$142, MATCH($B191, 'Resource costs'!$B$121:$B$142,0))</f>
        <v>8691.5136824481015</v>
      </c>
      <c r="AX191" s="90">
        <f>INDEX(AX$129:AX$146,MATCH($B191,$B$129:$B$146,0))*INDEX('Resource costs'!$C$121:$C$142, MATCH($B191, 'Resource costs'!$B$121:$B$142,0))</f>
        <v>8723.2960483779425</v>
      </c>
      <c r="AY191" s="90">
        <f>INDEX(AY$129:AY$146,MATCH($B191,$B$129:$B$146,0))*INDEX('Resource costs'!$C$121:$C$142, MATCH($B191, 'Resource costs'!$B$121:$B$142,0))</f>
        <v>8751.1317885495282</v>
      </c>
      <c r="AZ191" s="90">
        <f>INDEX(AZ$129:AZ$146,MATCH($B191,$B$129:$B$146,0))*INDEX('Resource costs'!$C$121:$C$142, MATCH($B191, 'Resource costs'!$B$121:$B$142,0))</f>
        <v>8775.2574865581428</v>
      </c>
      <c r="BA191" s="90">
        <f>INDEX(BA$129:BA$146,MATCH($B191,$B$129:$B$146,0))*INDEX('Resource costs'!$C$121:$C$142, MATCH($B191, 'Resource costs'!$B$121:$B$142,0))</f>
        <v>8795.9646072981413</v>
      </c>
      <c r="BB191" s="90">
        <f>INDEX(BB$129:BB$146,MATCH($B191,$B$129:$B$146,0))*INDEX('Resource costs'!$C$121:$C$142, MATCH($B191, 'Resource costs'!$B$121:$B$142,0))</f>
        <v>8813.3934433166887</v>
      </c>
    </row>
    <row r="192" spans="2:54">
      <c r="B192" s="6" t="s">
        <v>2831</v>
      </c>
      <c r="D192" s="90">
        <f>INDEX(D$129:D$146,MATCH($B192,$B$129:$B$146,0))*INDEX('Resource costs'!$C$121:$C$142, MATCH($B192, 'Resource costs'!$B$121:$B$142,0))</f>
        <v>33100.207645966999</v>
      </c>
      <c r="E192" s="90">
        <f>INDEX(E$129:E$146,MATCH($B192,$B$129:$B$146,0))*INDEX('Resource costs'!$C$121:$C$142, MATCH($B192, 'Resource costs'!$B$121:$B$142,0))</f>
        <v>34450.931242516221</v>
      </c>
      <c r="F192" s="90">
        <f>INDEX(F$129:F$146,MATCH($B192,$B$129:$B$146,0))*INDEX('Resource costs'!$C$121:$C$142, MATCH($B192, 'Resource costs'!$B$121:$B$142,0))</f>
        <v>35646.09395659704</v>
      </c>
      <c r="G192" s="90">
        <f>INDEX(G$129:G$146,MATCH($B192,$B$129:$B$146,0))*INDEX('Resource costs'!$C$121:$C$142, MATCH($B192, 'Resource costs'!$B$121:$B$142,0))</f>
        <v>36737.864622368397</v>
      </c>
      <c r="H192" s="90">
        <f>INDEX(H$129:H$146,MATCH($B192,$B$129:$B$146,0))*INDEX('Resource costs'!$C$121:$C$142, MATCH($B192, 'Resource costs'!$B$121:$B$142,0))</f>
        <v>37773.847646269802</v>
      </c>
      <c r="I192" s="90">
        <f>INDEX(I$129:I$146,MATCH($B192,$B$129:$B$146,0))*INDEX('Resource costs'!$C$121:$C$142, MATCH($B192, 'Resource costs'!$B$121:$B$142,0))</f>
        <v>38780.302003729448</v>
      </c>
      <c r="J192" s="90">
        <f>INDEX(J$129:J$146,MATCH($B192,$B$129:$B$146,0))*INDEX('Resource costs'!$C$121:$C$142, MATCH($B192, 'Resource costs'!$B$121:$B$142,0))</f>
        <v>39757.85416595493</v>
      </c>
      <c r="K192" s="90">
        <f>INDEX(K$129:K$146,MATCH($B192,$B$129:$B$146,0))*INDEX('Resource costs'!$C$121:$C$142, MATCH($B192, 'Resource costs'!$B$121:$B$142,0))</f>
        <v>40718.838130184085</v>
      </c>
      <c r="L192" s="90">
        <f>INDEX(L$129:L$146,MATCH($B192,$B$129:$B$146,0))*INDEX('Resource costs'!$C$121:$C$142, MATCH($B192, 'Resource costs'!$B$121:$B$142,0))</f>
        <v>41737.867384423611</v>
      </c>
      <c r="M192" s="90">
        <f>INDEX(M$129:M$146,MATCH($B192,$B$129:$B$146,0))*INDEX('Resource costs'!$C$121:$C$142, MATCH($B192, 'Resource costs'!$B$121:$B$142,0))</f>
        <v>42766.358893853801</v>
      </c>
      <c r="N192" s="90">
        <f>INDEX(N$129:N$146,MATCH($B192,$B$129:$B$146,0))*INDEX('Resource costs'!$C$121:$C$142, MATCH($B192, 'Resource costs'!$B$121:$B$142,0))</f>
        <v>43781.229698124109</v>
      </c>
      <c r="O192" s="90">
        <f>INDEX(O$129:O$146,MATCH($B192,$B$129:$B$146,0))*INDEX('Resource costs'!$C$121:$C$142, MATCH($B192, 'Resource costs'!$B$121:$B$142,0))</f>
        <v>44553.530861840052</v>
      </c>
      <c r="P192" s="90">
        <f>INDEX(P$129:P$146,MATCH($B192,$B$129:$B$146,0))*INDEX('Resource costs'!$C$121:$C$142, MATCH($B192, 'Resource costs'!$B$121:$B$142,0))</f>
        <v>45289.617002245548</v>
      </c>
      <c r="Q192" s="90">
        <f>INDEX(Q$129:Q$146,MATCH($B192,$B$129:$B$146,0))*INDEX('Resource costs'!$C$121:$C$142, MATCH($B192, 'Resource costs'!$B$121:$B$142,0))</f>
        <v>46003.925603347452</v>
      </c>
      <c r="R192" s="90">
        <f>INDEX(R$129:R$146,MATCH($B192,$B$129:$B$146,0))*INDEX('Resource costs'!$C$121:$C$142, MATCH($B192, 'Resource costs'!$B$121:$B$142,0))</f>
        <v>46712.30292908915</v>
      </c>
      <c r="S192" s="90">
        <f>INDEX(S$129:S$146,MATCH($B192,$B$129:$B$146,0))*INDEX('Resource costs'!$C$121:$C$142, MATCH($B192, 'Resource costs'!$B$121:$B$142,0))</f>
        <v>47416.918813094519</v>
      </c>
      <c r="T192" s="90">
        <f>INDEX(T$129:T$146,MATCH($B192,$B$129:$B$146,0))*INDEX('Resource costs'!$C$121:$C$142, MATCH($B192, 'Resource costs'!$B$121:$B$142,0))</f>
        <v>48105.656712990538</v>
      </c>
      <c r="U192" s="90">
        <f>INDEX(U$129:U$146,MATCH($B192,$B$129:$B$146,0))*INDEX('Resource costs'!$C$121:$C$142, MATCH($B192, 'Resource costs'!$B$121:$B$142,0))</f>
        <v>48780.618879156602</v>
      </c>
      <c r="V192" s="90">
        <f>INDEX(V$129:V$146,MATCH($B192,$B$129:$B$146,0))*INDEX('Resource costs'!$C$121:$C$142, MATCH($B192, 'Resource costs'!$B$121:$B$142,0))</f>
        <v>49470.491751840593</v>
      </c>
      <c r="W192" s="90">
        <f>INDEX(W$129:W$146,MATCH($B192,$B$129:$B$146,0))*INDEX('Resource costs'!$C$121:$C$142, MATCH($B192, 'Resource costs'!$B$121:$B$142,0))</f>
        <v>50150.479212889106</v>
      </c>
      <c r="X192" s="90">
        <f>INDEX(X$129:X$146,MATCH($B192,$B$129:$B$146,0))*INDEX('Resource costs'!$C$121:$C$142, MATCH($B192, 'Resource costs'!$B$121:$B$142,0))</f>
        <v>50813.743994056698</v>
      </c>
      <c r="Y192" s="90">
        <f>INDEX(Y$129:Y$146,MATCH($B192,$B$129:$B$146,0))*INDEX('Resource costs'!$C$121:$C$142, MATCH($B192, 'Resource costs'!$B$121:$B$142,0))</f>
        <v>51459.420499800603</v>
      </c>
      <c r="Z192" s="90">
        <f>INDEX(Z$129:Z$146,MATCH($B192,$B$129:$B$146,0))*INDEX('Resource costs'!$C$121:$C$142, MATCH($B192, 'Resource costs'!$B$121:$B$142,0))</f>
        <v>52099.245087562485</v>
      </c>
      <c r="AA192" s="90">
        <f>INDEX(AA$129:AA$146,MATCH($B192,$B$129:$B$146,0))*INDEX('Resource costs'!$C$121:$C$142, MATCH($B192, 'Resource costs'!$B$121:$B$142,0))</f>
        <v>52730.692445698471</v>
      </c>
      <c r="AB192" s="90">
        <f>INDEX(AB$129:AB$146,MATCH($B192,$B$129:$B$146,0))*INDEX('Resource costs'!$C$121:$C$142, MATCH($B192, 'Resource costs'!$B$121:$B$142,0))</f>
        <v>53349.069683912981</v>
      </c>
      <c r="AC192" s="90">
        <f>INDEX(AC$129:AC$146,MATCH($B192,$B$129:$B$146,0))*INDEX('Resource costs'!$C$121:$C$142, MATCH($B192, 'Resource costs'!$B$121:$B$142,0))</f>
        <v>53950.73088501711</v>
      </c>
      <c r="AD192" s="90">
        <f>INDEX(AD$129:AD$146,MATCH($B192,$B$129:$B$146,0))*INDEX('Resource costs'!$C$121:$C$142, MATCH($B192, 'Resource costs'!$B$121:$B$142,0))</f>
        <v>54532.064085170015</v>
      </c>
      <c r="AE192" s="90">
        <f>INDEX(AE$129:AE$146,MATCH($B192,$B$129:$B$146,0))*INDEX('Resource costs'!$C$121:$C$142, MATCH($B192, 'Resource costs'!$B$121:$B$142,0))</f>
        <v>55090.53006263719</v>
      </c>
      <c r="AF192" s="90">
        <f>INDEX(AF$129:AF$146,MATCH($B192,$B$129:$B$146,0))*INDEX('Resource costs'!$C$121:$C$142, MATCH($B192, 'Resource costs'!$B$121:$B$142,0))</f>
        <v>55623.828800930773</v>
      </c>
      <c r="AG192" s="90">
        <f>INDEX(AG$129:AG$146,MATCH($B192,$B$129:$B$146,0))*INDEX('Resource costs'!$C$121:$C$142, MATCH($B192, 'Resource costs'!$B$121:$B$142,0))</f>
        <v>56134.018812164228</v>
      </c>
      <c r="AH192" s="90">
        <f>INDEX(AH$129:AH$146,MATCH($B192,$B$129:$B$146,0))*INDEX('Resource costs'!$C$121:$C$142, MATCH($B192, 'Resource costs'!$B$121:$B$142,0))</f>
        <v>56631.811153370974</v>
      </c>
      <c r="AI192" s="90">
        <f>INDEX(AI$129:AI$146,MATCH($B192,$B$129:$B$146,0))*INDEX('Resource costs'!$C$121:$C$142, MATCH($B192, 'Resource costs'!$B$121:$B$142,0))</f>
        <v>57118.256406164022</v>
      </c>
      <c r="AJ192" s="90">
        <f>INDEX(AJ$129:AJ$146,MATCH($B192,$B$129:$B$146,0))*INDEX('Resource costs'!$C$121:$C$142, MATCH($B192, 'Resource costs'!$B$121:$B$142,0))</f>
        <v>57597.235221124654</v>
      </c>
      <c r="AK192" s="90">
        <f>INDEX(AK$129:AK$146,MATCH($B192,$B$129:$B$146,0))*INDEX('Resource costs'!$C$121:$C$142, MATCH($B192, 'Resource costs'!$B$121:$B$142,0))</f>
        <v>58056.591414136994</v>
      </c>
      <c r="AL192" s="90">
        <f>INDEX(AL$129:AL$146,MATCH($B192,$B$129:$B$146,0))*INDEX('Resource costs'!$C$121:$C$142, MATCH($B192, 'Resource costs'!$B$121:$B$142,0))</f>
        <v>58487.266742160296</v>
      </c>
      <c r="AM192" s="90">
        <f>INDEX(AM$129:AM$146,MATCH($B192,$B$129:$B$146,0))*INDEX('Resource costs'!$C$121:$C$142, MATCH($B192, 'Resource costs'!$B$121:$B$142,0))</f>
        <v>58883.302916600573</v>
      </c>
      <c r="AN192" s="90">
        <f>INDEX(AN$129:AN$146,MATCH($B192,$B$129:$B$146,0))*INDEX('Resource costs'!$C$121:$C$142, MATCH($B192, 'Resource costs'!$B$121:$B$142,0))</f>
        <v>59248.672871360541</v>
      </c>
      <c r="AO192" s="90">
        <f>INDEX(AO$129:AO$146,MATCH($B192,$B$129:$B$146,0))*INDEX('Resource costs'!$C$121:$C$142, MATCH($B192, 'Resource costs'!$B$121:$B$142,0))</f>
        <v>59584.352056189506</v>
      </c>
      <c r="AP192" s="90">
        <f>INDEX(AP$129:AP$146,MATCH($B192,$B$129:$B$146,0))*INDEX('Resource costs'!$C$121:$C$142, MATCH($B192, 'Resource costs'!$B$121:$B$142,0))</f>
        <v>59888.939024934516</v>
      </c>
      <c r="AQ192" s="90">
        <f>INDEX(AQ$129:AQ$146,MATCH($B192,$B$129:$B$146,0))*INDEX('Resource costs'!$C$121:$C$142, MATCH($B192, 'Resource costs'!$B$121:$B$142,0))</f>
        <v>60175.567663831418</v>
      </c>
      <c r="AR192" s="90">
        <f>INDEX(AR$129:AR$146,MATCH($B192,$B$129:$B$146,0))*INDEX('Resource costs'!$C$121:$C$142, MATCH($B192, 'Resource costs'!$B$121:$B$142,0))</f>
        <v>60458.667623309862</v>
      </c>
      <c r="AS192" s="90">
        <f>INDEX(AS$129:AS$146,MATCH($B192,$B$129:$B$146,0))*INDEX('Resource costs'!$C$121:$C$142, MATCH($B192, 'Resource costs'!$B$121:$B$142,0))</f>
        <v>60749.505219257575</v>
      </c>
      <c r="AT192" s="90">
        <f>INDEX(AT$129:AT$146,MATCH($B192,$B$129:$B$146,0))*INDEX('Resource costs'!$C$121:$C$142, MATCH($B192, 'Resource costs'!$B$121:$B$142,0))</f>
        <v>60973.121933221963</v>
      </c>
      <c r="AU192" s="90">
        <f>INDEX(AU$129:AU$146,MATCH($B192,$B$129:$B$146,0))*INDEX('Resource costs'!$C$121:$C$142, MATCH($B192, 'Resource costs'!$B$121:$B$142,0))</f>
        <v>61145.410590798063</v>
      </c>
      <c r="AV192" s="90">
        <f>INDEX(AV$129:AV$146,MATCH($B192,$B$129:$B$146,0))*INDEX('Resource costs'!$C$121:$C$142, MATCH($B192, 'Resource costs'!$B$121:$B$142,0))</f>
        <v>61278.433522188636</v>
      </c>
      <c r="AW192" s="90">
        <f>INDEX(AW$129:AW$146,MATCH($B192,$B$129:$B$146,0))*INDEX('Resource costs'!$C$121:$C$142, MATCH($B192, 'Resource costs'!$B$121:$B$142,0))</f>
        <v>61381.366655709404</v>
      </c>
      <c r="AX192" s="90">
        <f>INDEX(AX$129:AX$146,MATCH($B192,$B$129:$B$146,0))*INDEX('Resource costs'!$C$121:$C$142, MATCH($B192, 'Resource costs'!$B$121:$B$142,0))</f>
        <v>61461.205704366577</v>
      </c>
      <c r="AY192" s="90">
        <f>INDEX(AY$129:AY$146,MATCH($B192,$B$129:$B$146,0))*INDEX('Resource costs'!$C$121:$C$142, MATCH($B192, 'Resource costs'!$B$121:$B$142,0))</f>
        <v>61523.247803569189</v>
      </c>
      <c r="AZ192" s="90">
        <f>INDEX(AZ$129:AZ$146,MATCH($B192,$B$129:$B$146,0))*INDEX('Resource costs'!$C$121:$C$142, MATCH($B192, 'Resource costs'!$B$121:$B$142,0))</f>
        <v>61571.524149088284</v>
      </c>
      <c r="BA192" s="90">
        <f>INDEX(BA$129:BA$146,MATCH($B192,$B$129:$B$146,0))*INDEX('Resource costs'!$C$121:$C$142, MATCH($B192, 'Resource costs'!$B$121:$B$142,0))</f>
        <v>61609.126574526526</v>
      </c>
      <c r="BB192" s="90">
        <f>INDEX(BB$129:BB$146,MATCH($B192,$B$129:$B$146,0))*INDEX('Resource costs'!$C$121:$C$142, MATCH($B192, 'Resource costs'!$B$121:$B$142,0))</f>
        <v>61638.345282173323</v>
      </c>
    </row>
    <row r="193" spans="2:54" s="97" customFormat="1">
      <c r="B193" s="6" t="s">
        <v>2832</v>
      </c>
      <c r="C193" s="315"/>
      <c r="D193" s="90">
        <f>INDEX(D$129:D$146,MATCH($B193,$B$129:$B$146,0))*INDEX('Resource costs'!$C$121:$C$142, MATCH($B193, 'Resource costs'!$B$121:$B$142,0))</f>
        <v>13473.43019986127</v>
      </c>
      <c r="E193" s="90">
        <f>INDEX(E$129:E$146,MATCH($B193,$B$129:$B$146,0))*INDEX('Resource costs'!$C$121:$C$142, MATCH($B193, 'Resource costs'!$B$121:$B$142,0))</f>
        <v>14077.786185035684</v>
      </c>
      <c r="F193" s="90">
        <f>INDEX(F$129:F$146,MATCH($B193,$B$129:$B$146,0))*INDEX('Resource costs'!$C$121:$C$142, MATCH($B193, 'Resource costs'!$B$121:$B$142,0))</f>
        <v>14620.685506707436</v>
      </c>
      <c r="G193" s="90">
        <f>INDEX(G$129:G$146,MATCH($B193,$B$129:$B$146,0))*INDEX('Resource costs'!$C$121:$C$142, MATCH($B193, 'Resource costs'!$B$121:$B$142,0))</f>
        <v>15123.094778039733</v>
      </c>
      <c r="H193" s="90">
        <f>INDEX(H$129:H$146,MATCH($B193,$B$129:$B$146,0))*INDEX('Resource costs'!$C$121:$C$142, MATCH($B193, 'Resource costs'!$B$121:$B$142,0))</f>
        <v>15604.210410379834</v>
      </c>
      <c r="I193" s="90">
        <f>INDEX(I$129:I$146,MATCH($B193,$B$129:$B$146,0))*INDEX('Resource costs'!$C$121:$C$142, MATCH($B193, 'Resource costs'!$B$121:$B$142,0))</f>
        <v>16074.619807612857</v>
      </c>
      <c r="J193" s="90">
        <f>INDEX(J$129:J$146,MATCH($B193,$B$129:$B$146,0))*INDEX('Resource costs'!$C$121:$C$142, MATCH($B193, 'Resource costs'!$B$121:$B$142,0))</f>
        <v>16534.5206122809</v>
      </c>
      <c r="K193" s="90">
        <f>INDEX(K$129:K$146,MATCH($B193,$B$129:$B$146,0))*INDEX('Resource costs'!$C$121:$C$142, MATCH($B193, 'Resource costs'!$B$121:$B$142,0))</f>
        <v>16988.877424553088</v>
      </c>
      <c r="L193" s="90">
        <f>INDEX(L$129:L$146,MATCH($B193,$B$129:$B$146,0))*INDEX('Resource costs'!$C$121:$C$142, MATCH($B193, 'Resource costs'!$B$121:$B$142,0))</f>
        <v>17468.026389168612</v>
      </c>
      <c r="M193" s="90">
        <f>INDEX(M$129:M$146,MATCH($B193,$B$129:$B$146,0))*INDEX('Resource costs'!$C$121:$C$142, MATCH($B193, 'Resource costs'!$B$121:$B$142,0))</f>
        <v>17952.27972673783</v>
      </c>
      <c r="N193" s="90">
        <f>INDEX(N$129:N$146,MATCH($B193,$B$129:$B$146,0))*INDEX('Resource costs'!$C$121:$C$142, MATCH($B193, 'Resource costs'!$B$121:$B$142,0))</f>
        <v>18432.24881554061</v>
      </c>
      <c r="O193" s="90">
        <f>INDEX(O$129:O$146,MATCH($B193,$B$129:$B$146,0))*INDEX('Resource costs'!$C$121:$C$142, MATCH($B193, 'Resource costs'!$B$121:$B$142,0))</f>
        <v>18760.164935402197</v>
      </c>
      <c r="P193" s="90">
        <f>INDEX(P$129:P$146,MATCH($B193,$B$129:$B$146,0))*INDEX('Resource costs'!$C$121:$C$142, MATCH($B193, 'Resource costs'!$B$121:$B$142,0))</f>
        <v>19072.658231576264</v>
      </c>
      <c r="Q193" s="90">
        <f>INDEX(Q$129:Q$146,MATCH($B193,$B$129:$B$146,0))*INDEX('Resource costs'!$C$121:$C$142, MATCH($B193, 'Resource costs'!$B$121:$B$142,0))</f>
        <v>19375.819012979129</v>
      </c>
      <c r="R193" s="90">
        <f>INDEX(R$129:R$146,MATCH($B193,$B$129:$B$146,0))*INDEX('Resource costs'!$C$121:$C$142, MATCH($B193, 'Resource costs'!$B$121:$B$142,0))</f>
        <v>19676.245660652487</v>
      </c>
      <c r="S193" s="90">
        <f>INDEX(S$129:S$146,MATCH($B193,$B$129:$B$146,0))*INDEX('Resource costs'!$C$121:$C$142, MATCH($B193, 'Resource costs'!$B$121:$B$142,0))</f>
        <v>19974.915054817116</v>
      </c>
      <c r="T193" s="90">
        <f>INDEX(T$129:T$146,MATCH($B193,$B$129:$B$146,0))*INDEX('Resource costs'!$C$121:$C$142, MATCH($B193, 'Resource costs'!$B$121:$B$142,0))</f>
        <v>20266.947823071263</v>
      </c>
      <c r="U193" s="90">
        <f>INDEX(U$129:U$146,MATCH($B193,$B$129:$B$146,0))*INDEX('Resource costs'!$C$121:$C$142, MATCH($B193, 'Resource costs'!$B$121:$B$142,0))</f>
        <v>20553.230620868424</v>
      </c>
      <c r="V193" s="90">
        <f>INDEX(V$129:V$146,MATCH($B193,$B$129:$B$146,0))*INDEX('Resource costs'!$C$121:$C$142, MATCH($B193, 'Resource costs'!$B$121:$B$142,0))</f>
        <v>20845.453754474827</v>
      </c>
      <c r="W193" s="90">
        <f>INDEX(W$129:W$146,MATCH($B193,$B$129:$B$146,0))*INDEX('Resource costs'!$C$121:$C$142, MATCH($B193, 'Resource costs'!$B$121:$B$142,0))</f>
        <v>21133.4614656593</v>
      </c>
      <c r="X193" s="90">
        <f>INDEX(X$129:X$146,MATCH($B193,$B$129:$B$146,0))*INDEX('Resource costs'!$C$121:$C$142, MATCH($B193, 'Resource costs'!$B$121:$B$142,0))</f>
        <v>21414.448335255231</v>
      </c>
      <c r="Y193" s="90">
        <f>INDEX(Y$129:Y$146,MATCH($B193,$B$129:$B$146,0))*INDEX('Resource costs'!$C$121:$C$142, MATCH($B193, 'Resource costs'!$B$121:$B$142,0))</f>
        <v>21688.066678485349</v>
      </c>
      <c r="Z193" s="90">
        <f>INDEX(Z$129:Z$146,MATCH($B193,$B$129:$B$146,0))*INDEX('Resource costs'!$C$121:$C$142, MATCH($B193, 'Resource costs'!$B$121:$B$142,0))</f>
        <v>21959.11259917885</v>
      </c>
      <c r="AA193" s="90">
        <f>INDEX(AA$129:AA$146,MATCH($B193,$B$129:$B$146,0))*INDEX('Resource costs'!$C$121:$C$142, MATCH($B193, 'Resource costs'!$B$121:$B$142,0))</f>
        <v>22226.604949523953</v>
      </c>
      <c r="AB193" s="90">
        <f>INDEX(AB$129:AB$146,MATCH($B193,$B$129:$B$146,0))*INDEX('Resource costs'!$C$121:$C$142, MATCH($B193, 'Resource costs'!$B$121:$B$142,0))</f>
        <v>22488.653422240506</v>
      </c>
      <c r="AC193" s="90">
        <f>INDEX(AC$129:AC$146,MATCH($B193,$B$129:$B$146,0))*INDEX('Resource costs'!$C$121:$C$142, MATCH($B193, 'Resource costs'!$B$121:$B$142,0))</f>
        <v>22743.760884363284</v>
      </c>
      <c r="AD193" s="90">
        <f>INDEX(AD$129:AD$146,MATCH($B193,$B$129:$B$146,0))*INDEX('Resource costs'!$C$121:$C$142, MATCH($B193, 'Resource costs'!$B$121:$B$142,0))</f>
        <v>22990.435147269287</v>
      </c>
      <c r="AE193" s="90">
        <f>INDEX(AE$129:AE$146,MATCH($B193,$B$129:$B$146,0))*INDEX('Resource costs'!$C$121:$C$142, MATCH($B193, 'Resource costs'!$B$121:$B$142,0))</f>
        <v>23227.635190380242</v>
      </c>
      <c r="AF193" s="90">
        <f>INDEX(AF$129:AF$146,MATCH($B193,$B$129:$B$146,0))*INDEX('Resource costs'!$C$121:$C$142, MATCH($B193, 'Resource costs'!$B$121:$B$142,0))</f>
        <v>23454.409967314295</v>
      </c>
      <c r="AG193" s="90">
        <f>INDEX(AG$129:AG$146,MATCH($B193,$B$129:$B$146,0))*INDEX('Resource costs'!$C$121:$C$142, MATCH($B193, 'Resource costs'!$B$121:$B$142,0))</f>
        <v>23671.53169605169</v>
      </c>
      <c r="AH193" s="90">
        <f>INDEX(AH$129:AH$146,MATCH($B193,$B$129:$B$146,0))*INDEX('Resource costs'!$C$121:$C$142, MATCH($B193, 'Resource costs'!$B$121:$B$142,0))</f>
        <v>23883.33888423043</v>
      </c>
      <c r="AI193" s="90">
        <f>INDEX(AI$129:AI$146,MATCH($B193,$B$129:$B$146,0))*INDEX('Resource costs'!$C$121:$C$142, MATCH($B193, 'Resource costs'!$B$121:$B$142,0))</f>
        <v>24090.266656905096</v>
      </c>
      <c r="AJ193" s="90">
        <f>INDEX(AJ$129:AJ$146,MATCH($B193,$B$129:$B$146,0))*INDEX('Resource costs'!$C$121:$C$142, MATCH($B193, 'Resource costs'!$B$121:$B$142,0))</f>
        <v>24293.905256731399</v>
      </c>
      <c r="AK193" s="90">
        <f>INDEX(AK$129:AK$146,MATCH($B193,$B$129:$B$146,0))*INDEX('Resource costs'!$C$121:$C$142, MATCH($B193, 'Resource costs'!$B$121:$B$142,0))</f>
        <v>24489.304246581109</v>
      </c>
      <c r="AL193" s="90">
        <f>INDEX(AL$129:AL$146,MATCH($B193,$B$129:$B$146,0))*INDEX('Resource costs'!$C$121:$C$142, MATCH($B193, 'Resource costs'!$B$121:$B$142,0))</f>
        <v>24672.75866009825</v>
      </c>
      <c r="AM193" s="90">
        <f>INDEX(AM$129:AM$146,MATCH($B193,$B$129:$B$146,0))*INDEX('Resource costs'!$C$121:$C$142, MATCH($B193, 'Resource costs'!$B$121:$B$142,0))</f>
        <v>24841.818423157893</v>
      </c>
      <c r="AN193" s="90">
        <f>INDEX(AN$129:AN$146,MATCH($B193,$B$129:$B$146,0))*INDEX('Resource costs'!$C$121:$C$142, MATCH($B193, 'Resource costs'!$B$121:$B$142,0))</f>
        <v>24998.0722299761</v>
      </c>
      <c r="AO193" s="90">
        <f>INDEX(AO$129:AO$146,MATCH($B193,$B$129:$B$146,0))*INDEX('Resource costs'!$C$121:$C$142, MATCH($B193, 'Resource costs'!$B$121:$B$142,0))</f>
        <v>25141.901191885237</v>
      </c>
      <c r="AP193" s="90">
        <f>INDEX(AP$129:AP$146,MATCH($B193,$B$129:$B$146,0))*INDEX('Resource costs'!$C$121:$C$142, MATCH($B193, 'Resource costs'!$B$121:$B$142,0))</f>
        <v>25272.724753497394</v>
      </c>
      <c r="AQ193" s="90">
        <f>INDEX(AQ$129:AQ$146,MATCH($B193,$B$129:$B$146,0))*INDEX('Resource costs'!$C$121:$C$142, MATCH($B193, 'Resource costs'!$B$121:$B$142,0))</f>
        <v>25395.88041176086</v>
      </c>
      <c r="AR193" s="90">
        <f>INDEX(AR$129:AR$146,MATCH($B193,$B$129:$B$146,0))*INDEX('Resource costs'!$C$121:$C$142, MATCH($B193, 'Resource costs'!$B$121:$B$142,0))</f>
        <v>25517.250976621723</v>
      </c>
      <c r="AS193" s="90">
        <f>INDEX(AS$129:AS$146,MATCH($B193,$B$129:$B$146,0))*INDEX('Resource costs'!$C$121:$C$142, MATCH($B193, 'Resource costs'!$B$121:$B$142,0))</f>
        <v>25641.437548186357</v>
      </c>
      <c r="AT193" s="90">
        <f>INDEX(AT$129:AT$146,MATCH($B193,$B$129:$B$146,0))*INDEX('Resource costs'!$C$121:$C$142, MATCH($B193, 'Resource costs'!$B$121:$B$142,0))</f>
        <v>25737.960215289077</v>
      </c>
      <c r="AU193" s="90">
        <f>INDEX(AU$129:AU$146,MATCH($B193,$B$129:$B$146,0))*INDEX('Resource costs'!$C$121:$C$142, MATCH($B193, 'Resource costs'!$B$121:$B$142,0))</f>
        <v>25813.190024094096</v>
      </c>
      <c r="AV193" s="90">
        <f>INDEX(AV$129:AV$146,MATCH($B193,$B$129:$B$146,0))*INDEX('Resource costs'!$C$121:$C$142, MATCH($B193, 'Resource costs'!$B$121:$B$142,0))</f>
        <v>25871.985674600091</v>
      </c>
      <c r="AW193" s="90">
        <f>INDEX(AW$129:AW$146,MATCH($B193,$B$129:$B$146,0))*INDEX('Resource costs'!$C$121:$C$142, MATCH($B193, 'Resource costs'!$B$121:$B$142,0))</f>
        <v>25918.065983069886</v>
      </c>
      <c r="AX193" s="90">
        <f>INDEX(AX$129:AX$146,MATCH($B193,$B$129:$B$146,0))*INDEX('Resource costs'!$C$121:$C$142, MATCH($B193, 'Resource costs'!$B$121:$B$142,0))</f>
        <v>25954.287192322066</v>
      </c>
      <c r="AY193" s="90">
        <f>INDEX(AY$129:AY$146,MATCH($B193,$B$129:$B$146,0))*INDEX('Resource costs'!$C$121:$C$142, MATCH($B193, 'Resource costs'!$B$121:$B$142,0))</f>
        <v>25982.818874713768</v>
      </c>
      <c r="AZ193" s="90">
        <f>INDEX(AZ$129:AZ$146,MATCH($B193,$B$129:$B$146,0))*INDEX('Resource costs'!$C$121:$C$142, MATCH($B193, 'Resource costs'!$B$121:$B$142,0))</f>
        <v>26005.32222944418</v>
      </c>
      <c r="BA193" s="90">
        <f>INDEX(BA$129:BA$146,MATCH($B193,$B$129:$B$146,0))*INDEX('Resource costs'!$C$121:$C$142, MATCH($B193, 'Resource costs'!$B$121:$B$142,0))</f>
        <v>26023.084839364827</v>
      </c>
      <c r="BB193" s="90">
        <f>INDEX(BB$129:BB$146,MATCH($B193,$B$129:$B$146,0))*INDEX('Resource costs'!$C$121:$C$142, MATCH($B193, 'Resource costs'!$B$121:$B$142,0))</f>
        <v>26037.051185856901</v>
      </c>
    </row>
    <row r="194" spans="2:54" s="97" customFormat="1">
      <c r="B194" s="6" t="s">
        <v>2871</v>
      </c>
      <c r="C194" s="315"/>
      <c r="D194" s="90">
        <f>INDEX(D$129:D$146,MATCH($B194,$B$129:$B$146,0))*INDEX('Resource costs'!$C$121:$C$142, MATCH($B194, 'Resource costs'!$B$121:$B$142,0))</f>
        <v>920.67641317829612</v>
      </c>
      <c r="E194" s="90">
        <f>INDEX(E$129:E$146,MATCH($B194,$B$129:$B$146,0))*INDEX('Resource costs'!$C$121:$C$142, MATCH($B194, 'Resource costs'!$B$121:$B$142,0))</f>
        <v>952.14555232996577</v>
      </c>
      <c r="F194" s="90">
        <f>INDEX(F$129:F$146,MATCH($B194,$B$129:$B$146,0))*INDEX('Resource costs'!$C$121:$C$142, MATCH($B194, 'Resource costs'!$B$121:$B$142,0))</f>
        <v>979.07925818164279</v>
      </c>
      <c r="G194" s="90">
        <f>INDEX(G$129:G$146,MATCH($B194,$B$129:$B$146,0))*INDEX('Resource costs'!$C$121:$C$142, MATCH($B194, 'Resource costs'!$B$121:$B$142,0))</f>
        <v>1002.9586523353776</v>
      </c>
      <c r="H194" s="90">
        <f>INDEX(H$129:H$146,MATCH($B194,$B$129:$B$146,0))*INDEX('Resource costs'!$C$121:$C$142, MATCH($B194, 'Resource costs'!$B$121:$B$142,0))</f>
        <v>1025.128082773216</v>
      </c>
      <c r="I194" s="90">
        <f>INDEX(I$129:I$146,MATCH($B194,$B$129:$B$146,0))*INDEX('Resource costs'!$C$121:$C$142, MATCH($B194, 'Resource costs'!$B$121:$B$142,0))</f>
        <v>1046.329269573406</v>
      </c>
      <c r="J194" s="90">
        <f>INDEX(J$129:J$146,MATCH($B194,$B$129:$B$146,0))*INDEX('Resource costs'!$C$121:$C$142, MATCH($B194, 'Resource costs'!$B$121:$B$142,0))</f>
        <v>1066.5860541313348</v>
      </c>
      <c r="K194" s="90">
        <f>INDEX(K$129:K$146,MATCH($B194,$B$129:$B$146,0))*INDEX('Resource costs'!$C$121:$C$142, MATCH($B194, 'Resource costs'!$B$121:$B$142,0))</f>
        <v>1086.2477626168268</v>
      </c>
      <c r="L194" s="90">
        <f>INDEX(L$129:L$146,MATCH($B194,$B$129:$B$146,0))*INDEX('Resource costs'!$C$121:$C$142, MATCH($B194, 'Resource costs'!$B$121:$B$142,0))</f>
        <v>1107.3936993433592</v>
      </c>
      <c r="M194" s="90">
        <f>INDEX(M$129:M$146,MATCH($B194,$B$129:$B$146,0))*INDEX('Resource costs'!$C$121:$C$142, MATCH($B194, 'Resource costs'!$B$121:$B$142,0))</f>
        <v>1128.6627003441208</v>
      </c>
      <c r="N194" s="90">
        <f>INDEX(N$129:N$146,MATCH($B194,$B$129:$B$146,0))*INDEX('Resource costs'!$C$121:$C$142, MATCH($B194, 'Resource costs'!$B$121:$B$142,0))</f>
        <v>1149.4119016616467</v>
      </c>
      <c r="O194" s="90">
        <f>INDEX(O$129:O$146,MATCH($B194,$B$129:$B$146,0))*INDEX('Resource costs'!$C$121:$C$142, MATCH($B194, 'Resource costs'!$B$121:$B$142,0))</f>
        <v>1169.3775721923269</v>
      </c>
      <c r="P194" s="90">
        <f>INDEX(P$129:P$146,MATCH($B194,$B$129:$B$146,0))*INDEX('Resource costs'!$C$121:$C$142, MATCH($B194, 'Resource costs'!$B$121:$B$142,0))</f>
        <v>1188.4121577004141</v>
      </c>
      <c r="Q194" s="90">
        <f>INDEX(Q$129:Q$146,MATCH($B194,$B$129:$B$146,0))*INDEX('Resource costs'!$C$121:$C$142, MATCH($B194, 'Resource costs'!$B$121:$B$142,0))</f>
        <v>1206.8933494994053</v>
      </c>
      <c r="R194" s="90">
        <f>INDEX(R$129:R$146,MATCH($B194,$B$129:$B$146,0))*INDEX('Resource costs'!$C$121:$C$142, MATCH($B194, 'Resource costs'!$B$121:$B$142,0))</f>
        <v>1225.2453359112644</v>
      </c>
      <c r="S194" s="90">
        <f>INDEX(S$129:S$146,MATCH($B194,$B$129:$B$146,0))*INDEX('Resource costs'!$C$121:$C$142, MATCH($B194, 'Resource costs'!$B$121:$B$142,0))</f>
        <v>1243.5179953450124</v>
      </c>
      <c r="T194" s="90">
        <f>INDEX(T$129:T$146,MATCH($B194,$B$129:$B$146,0))*INDEX('Resource costs'!$C$121:$C$142, MATCH($B194, 'Resource costs'!$B$121:$B$142,0))</f>
        <v>1261.368417782799</v>
      </c>
      <c r="U194" s="90">
        <f>INDEX(U$129:U$146,MATCH($B194,$B$129:$B$146,0))*INDEX('Resource costs'!$C$121:$C$142, MATCH($B194, 'Resource costs'!$B$121:$B$142,0))</f>
        <v>1278.851616741337</v>
      </c>
      <c r="V194" s="90">
        <f>INDEX(V$129:V$146,MATCH($B194,$B$129:$B$146,0))*INDEX('Resource costs'!$C$121:$C$142, MATCH($B194, 'Resource costs'!$B$121:$B$142,0))</f>
        <v>1296.7639905764479</v>
      </c>
      <c r="W194" s="90">
        <f>INDEX(W$129:W$146,MATCH($B194,$B$129:$B$146,0))*INDEX('Resource costs'!$C$121:$C$142, MATCH($B194, 'Resource costs'!$B$121:$B$142,0))</f>
        <v>1314.422831120625</v>
      </c>
      <c r="X194" s="90">
        <f>INDEX(X$129:X$146,MATCH($B194,$B$129:$B$146,0))*INDEX('Resource costs'!$C$121:$C$142, MATCH($B194, 'Resource costs'!$B$121:$B$142,0))</f>
        <v>1331.6404565480725</v>
      </c>
      <c r="Y194" s="90">
        <f>INDEX(Y$129:Y$146,MATCH($B194,$B$129:$B$146,0))*INDEX('Resource costs'!$C$121:$C$142, MATCH($B194, 'Resource costs'!$B$121:$B$142,0))</f>
        <v>1348.3922697198213</v>
      </c>
      <c r="Z194" s="90">
        <f>INDEX(Z$129:Z$146,MATCH($B194,$B$129:$B$146,0))*INDEX('Resource costs'!$C$121:$C$142, MATCH($B194, 'Resource costs'!$B$121:$B$142,0))</f>
        <v>1365.0026099305944</v>
      </c>
      <c r="AA194" s="90">
        <f>INDEX(AA$129:AA$146,MATCH($B194,$B$129:$B$146,0))*INDEX('Resource costs'!$C$121:$C$142, MATCH($B194, 'Resource costs'!$B$121:$B$142,0))</f>
        <v>1381.3960036031442</v>
      </c>
      <c r="AB194" s="90">
        <f>INDEX(AB$129:AB$146,MATCH($B194,$B$129:$B$146,0))*INDEX('Resource costs'!$C$121:$C$142, MATCH($B194, 'Resource costs'!$B$121:$B$142,0))</f>
        <v>1397.439689308123</v>
      </c>
      <c r="AC194" s="90">
        <f>INDEX(AC$129:AC$146,MATCH($B194,$B$129:$B$146,0))*INDEX('Resource costs'!$C$121:$C$142, MATCH($B194, 'Resource costs'!$B$121:$B$142,0))</f>
        <v>1413.0337176976318</v>
      </c>
      <c r="AD194" s="90">
        <f>INDEX(AD$129:AD$146,MATCH($B194,$B$129:$B$146,0))*INDEX('Resource costs'!$C$121:$C$142, MATCH($B194, 'Resource costs'!$B$121:$B$142,0))</f>
        <v>1428.080076685932</v>
      </c>
      <c r="AE194" s="90">
        <f>INDEX(AE$129:AE$146,MATCH($B194,$B$129:$B$146,0))*INDEX('Resource costs'!$C$121:$C$142, MATCH($B194, 'Resource costs'!$B$121:$B$142,0))</f>
        <v>1442.5089694665985</v>
      </c>
      <c r="AF194" s="90">
        <f>INDEX(AF$129:AF$146,MATCH($B194,$B$129:$B$146,0))*INDEX('Resource costs'!$C$121:$C$142, MATCH($B194, 'Resource costs'!$B$121:$B$142,0))</f>
        <v>1456.258079758846</v>
      </c>
      <c r="AG194" s="90">
        <f>INDEX(AG$129:AG$146,MATCH($B194,$B$129:$B$146,0))*INDEX('Resource costs'!$C$121:$C$142, MATCH($B194, 'Resource costs'!$B$121:$B$142,0))</f>
        <v>1469.392013382555</v>
      </c>
      <c r="AH194" s="90">
        <f>INDEX(AH$129:AH$146,MATCH($B194,$B$129:$B$146,0))*INDEX('Resource costs'!$C$121:$C$142, MATCH($B194, 'Resource costs'!$B$121:$B$142,0))</f>
        <v>1482.2110929753803</v>
      </c>
      <c r="AI194" s="90">
        <f>INDEX(AI$129:AI$146,MATCH($B194,$B$129:$B$146,0))*INDEX('Resource costs'!$C$121:$C$142, MATCH($B194, 'Resource costs'!$B$121:$B$142,0))</f>
        <v>1494.7437029283865</v>
      </c>
      <c r="AJ194" s="90">
        <f>INDEX(AJ$129:AJ$146,MATCH($B194,$B$129:$B$146,0))*INDEX('Resource costs'!$C$121:$C$142, MATCH($B194, 'Resource costs'!$B$121:$B$142,0))</f>
        <v>1507.0965944098004</v>
      </c>
      <c r="AK194" s="90">
        <f>INDEX(AK$129:AK$146,MATCH($B194,$B$129:$B$146,0))*INDEX('Resource costs'!$C$121:$C$142, MATCH($B194, 'Resource costs'!$B$121:$B$142,0))</f>
        <v>1518.9318987509976</v>
      </c>
      <c r="AL194" s="90">
        <f>INDEX(AL$129:AL$146,MATCH($B194,$B$129:$B$146,0))*INDEX('Resource costs'!$C$121:$C$142, MATCH($B194, 'Resource costs'!$B$121:$B$142,0))</f>
        <v>1529.9996547655626</v>
      </c>
      <c r="AM194" s="90">
        <f>INDEX(AM$129:AM$146,MATCH($B194,$B$129:$B$146,0))*INDEX('Resource costs'!$C$121:$C$142, MATCH($B194, 'Resource costs'!$B$121:$B$142,0))</f>
        <v>1540.1369025925005</v>
      </c>
      <c r="AN194" s="90">
        <f>INDEX(AN$129:AN$146,MATCH($B194,$B$129:$B$146,0))*INDEX('Resource costs'!$C$121:$C$142, MATCH($B194, 'Resource costs'!$B$121:$B$142,0))</f>
        <v>1549.4573351140962</v>
      </c>
      <c r="AO194" s="90">
        <f>INDEX(AO$129:AO$146,MATCH($B194,$B$129:$B$146,0))*INDEX('Resource costs'!$C$121:$C$142, MATCH($B194, 'Resource costs'!$B$121:$B$142,0))</f>
        <v>1557.989867827511</v>
      </c>
      <c r="AP194" s="90">
        <f>INDEX(AP$129:AP$146,MATCH($B194,$B$129:$B$146,0))*INDEX('Resource costs'!$C$121:$C$142, MATCH($B194, 'Resource costs'!$B$121:$B$142,0))</f>
        <v>1565.6966491596834</v>
      </c>
      <c r="AQ194" s="90">
        <f>INDEX(AQ$129:AQ$146,MATCH($B194,$B$129:$B$146,0))*INDEX('Resource costs'!$C$121:$C$142, MATCH($B194, 'Resource costs'!$B$121:$B$142,0))</f>
        <v>1572.9439631145383</v>
      </c>
      <c r="AR194" s="90">
        <f>INDEX(AR$129:AR$146,MATCH($B194,$B$129:$B$146,0))*INDEX('Resource costs'!$C$121:$C$142, MATCH($B194, 'Resource costs'!$B$121:$B$142,0))</f>
        <v>1580.1321360324353</v>
      </c>
      <c r="AS194" s="90">
        <f>INDEX(AS$129:AS$146,MATCH($B194,$B$129:$B$146,0))*INDEX('Resource costs'!$C$121:$C$142, MATCH($B194, 'Resource costs'!$B$121:$B$142,0))</f>
        <v>1587.5728439743918</v>
      </c>
      <c r="AT194" s="90">
        <f>INDEX(AT$129:AT$146,MATCH($B194,$B$129:$B$146,0))*INDEX('Resource costs'!$C$121:$C$142, MATCH($B194, 'Resource costs'!$B$121:$B$142,0))</f>
        <v>1593.1775572316708</v>
      </c>
      <c r="AU194" s="90">
        <f>INDEX(AU$129:AU$146,MATCH($B194,$B$129:$B$146,0))*INDEX('Resource costs'!$C$121:$C$142, MATCH($B194, 'Resource costs'!$B$121:$B$142,0))</f>
        <v>1597.3993074927162</v>
      </c>
      <c r="AV194" s="90">
        <f>INDEX(AV$129:AV$146,MATCH($B194,$B$129:$B$146,0))*INDEX('Resource costs'!$C$121:$C$142, MATCH($B194, 'Resource costs'!$B$121:$B$142,0))</f>
        <v>1600.5793408768484</v>
      </c>
      <c r="AW194" s="90">
        <f>INDEX(AW$129:AW$146,MATCH($B194,$B$129:$B$146,0))*INDEX('Resource costs'!$C$121:$C$142, MATCH($B194, 'Resource costs'!$B$121:$B$142,0))</f>
        <v>1602.974701023446</v>
      </c>
      <c r="AX194" s="90">
        <f>INDEX(AX$129:AX$146,MATCH($B194,$B$129:$B$146,0))*INDEX('Resource costs'!$C$121:$C$142, MATCH($B194, 'Resource costs'!$B$121:$B$142,0))</f>
        <v>1604.7790060538709</v>
      </c>
      <c r="AY194" s="90">
        <f>INDEX(AY$129:AY$146,MATCH($B194,$B$129:$B$146,0))*INDEX('Resource costs'!$C$121:$C$142, MATCH($B194, 'Resource costs'!$B$121:$B$142,0))</f>
        <v>1606.1380988180383</v>
      </c>
      <c r="AZ194" s="90">
        <f>INDEX(AZ$129:AZ$146,MATCH($B194,$B$129:$B$146,0))*INDEX('Resource costs'!$C$121:$C$142, MATCH($B194, 'Resource costs'!$B$121:$B$142,0))</f>
        <v>1607.1618354426475</v>
      </c>
      <c r="BA194" s="90">
        <f>INDEX(BA$129:BA$146,MATCH($B194,$B$129:$B$146,0))*INDEX('Resource costs'!$C$121:$C$142, MATCH($B194, 'Resource costs'!$B$121:$B$142,0))</f>
        <v>1607.9329650551342</v>
      </c>
      <c r="BB194" s="90">
        <f>INDEX(BB$129:BB$146,MATCH($B194,$B$129:$B$146,0))*INDEX('Resource costs'!$C$121:$C$142, MATCH($B194, 'Resource costs'!$B$121:$B$142,0))</f>
        <v>1608.5138184357402</v>
      </c>
    </row>
    <row r="195" spans="2:54">
      <c r="B195" s="52"/>
      <c r="C195" s="52"/>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row>
    <row r="196" spans="2:54">
      <c r="B196" s="113" t="s">
        <v>98</v>
      </c>
      <c r="C196" s="113"/>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row>
    <row r="197" spans="2:54" ht="15" customHeight="1">
      <c r="B197" s="52"/>
      <c r="C197" s="113"/>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row>
    <row r="198" spans="2:54">
      <c r="B198" s="7" t="s">
        <v>9</v>
      </c>
      <c r="C198" s="113"/>
      <c r="D198" s="34">
        <f>'Prevalence projection'!C$21</f>
        <v>2020</v>
      </c>
      <c r="E198" s="34">
        <f>'Prevalence projection'!D$21</f>
        <v>2021</v>
      </c>
      <c r="F198" s="34">
        <f>'Prevalence projection'!E$21</f>
        <v>2022</v>
      </c>
      <c r="G198" s="34">
        <f>'Prevalence projection'!F$21</f>
        <v>2023</v>
      </c>
      <c r="H198" s="34">
        <f>'Prevalence projection'!G$21</f>
        <v>2024</v>
      </c>
      <c r="I198" s="34">
        <f>'Prevalence projection'!H$21</f>
        <v>2025</v>
      </c>
      <c r="J198" s="34">
        <f>'Prevalence projection'!I$21</f>
        <v>2026</v>
      </c>
      <c r="K198" s="34">
        <f>'Prevalence projection'!J$21</f>
        <v>2027</v>
      </c>
      <c r="L198" s="34">
        <f>'Prevalence projection'!K$21</f>
        <v>2028</v>
      </c>
      <c r="M198" s="34">
        <f>'Prevalence projection'!L$21</f>
        <v>2029</v>
      </c>
      <c r="N198" s="34">
        <f>'Prevalence projection'!M$21</f>
        <v>2030</v>
      </c>
      <c r="O198" s="34">
        <f>'Prevalence projection'!N$21</f>
        <v>2031</v>
      </c>
      <c r="P198" s="34">
        <f>'Prevalence projection'!O$21</f>
        <v>2032</v>
      </c>
      <c r="Q198" s="34">
        <f>'Prevalence projection'!P$21</f>
        <v>2033</v>
      </c>
      <c r="R198" s="34">
        <f>'Prevalence projection'!Q$21</f>
        <v>2034</v>
      </c>
      <c r="S198" s="34">
        <f>'Prevalence projection'!R$21</f>
        <v>2035</v>
      </c>
      <c r="T198" s="34">
        <f>'Prevalence projection'!S$21</f>
        <v>2036</v>
      </c>
      <c r="U198" s="34">
        <f>'Prevalence projection'!T$21</f>
        <v>2037</v>
      </c>
      <c r="V198" s="34">
        <f>'Prevalence projection'!U$21</f>
        <v>2038</v>
      </c>
      <c r="W198" s="34">
        <f>'Prevalence projection'!V$21</f>
        <v>2039</v>
      </c>
      <c r="X198" s="34">
        <f>'Prevalence projection'!W$21</f>
        <v>2040</v>
      </c>
      <c r="Y198" s="34">
        <f>'Prevalence projection'!X$21</f>
        <v>2041</v>
      </c>
      <c r="Z198" s="34">
        <f>'Prevalence projection'!Y$21</f>
        <v>2042</v>
      </c>
      <c r="AA198" s="34">
        <f>'Prevalence projection'!Z$21</f>
        <v>2043</v>
      </c>
      <c r="AB198" s="34">
        <f>'Prevalence projection'!AA$21</f>
        <v>2044</v>
      </c>
      <c r="AC198" s="34">
        <f>'Prevalence projection'!AB$21</f>
        <v>2045</v>
      </c>
      <c r="AD198" s="34">
        <f>'Prevalence projection'!AC$21</f>
        <v>2046</v>
      </c>
      <c r="AE198" s="34">
        <f>'Prevalence projection'!AD$21</f>
        <v>2047</v>
      </c>
      <c r="AF198" s="34">
        <f>'Prevalence projection'!AE$21</f>
        <v>2048</v>
      </c>
      <c r="AG198" s="34">
        <f>'Prevalence projection'!AF$21</f>
        <v>2049</v>
      </c>
      <c r="AH198" s="34">
        <f>'Prevalence projection'!AG$21</f>
        <v>2050</v>
      </c>
      <c r="AI198" s="34">
        <f>'Prevalence projection'!AH$21</f>
        <v>2051</v>
      </c>
      <c r="AJ198" s="34">
        <f>'Prevalence projection'!AI$21</f>
        <v>2052</v>
      </c>
      <c r="AK198" s="34">
        <f>'Prevalence projection'!AJ$21</f>
        <v>2053</v>
      </c>
      <c r="AL198" s="34">
        <f>'Prevalence projection'!AK$21</f>
        <v>2054</v>
      </c>
      <c r="AM198" s="34">
        <f>'Prevalence projection'!AL$21</f>
        <v>2055</v>
      </c>
      <c r="AN198" s="34">
        <f>'Prevalence projection'!AM$21</f>
        <v>2056</v>
      </c>
      <c r="AO198" s="34">
        <f>'Prevalence projection'!AN$21</f>
        <v>2057</v>
      </c>
      <c r="AP198" s="34">
        <f>'Prevalence projection'!AO$21</f>
        <v>2058</v>
      </c>
      <c r="AQ198" s="34">
        <f>'Prevalence projection'!AP$21</f>
        <v>2059</v>
      </c>
      <c r="AR198" s="34">
        <f>'Prevalence projection'!AQ$21</f>
        <v>2060</v>
      </c>
      <c r="AS198" s="34">
        <f>'Prevalence projection'!AR$21</f>
        <v>2061</v>
      </c>
      <c r="AT198" s="34">
        <f>'Prevalence projection'!AS$21</f>
        <v>2062</v>
      </c>
      <c r="AU198" s="34">
        <f>'Prevalence projection'!AT$21</f>
        <v>2063</v>
      </c>
      <c r="AV198" s="34">
        <f>'Prevalence projection'!AU$21</f>
        <v>2064</v>
      </c>
      <c r="AW198" s="34">
        <f>'Prevalence projection'!AV$21</f>
        <v>2065</v>
      </c>
      <c r="AX198" s="34">
        <f>'Prevalence projection'!AW$21</f>
        <v>2066</v>
      </c>
      <c r="AY198" s="34">
        <f>'Prevalence projection'!AX$21</f>
        <v>2067</v>
      </c>
      <c r="AZ198" s="34">
        <f>'Prevalence projection'!AY$21</f>
        <v>2068</v>
      </c>
      <c r="BA198" s="34">
        <f>'Prevalence projection'!AZ$21</f>
        <v>2069</v>
      </c>
      <c r="BB198" s="34">
        <f>'Prevalence projection'!BA$21</f>
        <v>2070</v>
      </c>
    </row>
    <row r="199" spans="2:54">
      <c r="B199" s="6" t="s">
        <v>11</v>
      </c>
      <c r="C199" s="113"/>
      <c r="D199" s="90">
        <f>INDEX(D$151:D$168,MATCH($B177,$B$151:$B$168,0))*INDEX('Resource costs'!$C$121:$C$142, MATCH($B177, 'Resource costs'!$B$121:$B$142,0))</f>
        <v>65432.394070659859</v>
      </c>
      <c r="E199" s="90">
        <f>INDEX(E$151:E$168,MATCH($B177,$B$151:$B$168,0))*INDEX('Resource costs'!$C$121:$C$142, MATCH($B177, 'Resource costs'!$B$121:$B$142,0))</f>
        <v>67668.903103109376</v>
      </c>
      <c r="F199" s="90">
        <f>INDEX(F$151:F$168,MATCH($B177,$B$151:$B$168,0))*INDEX('Resource costs'!$C$121:$C$142, MATCH($B177, 'Resource costs'!$B$121:$B$142,0))</f>
        <v>69583.079278196077</v>
      </c>
      <c r="G199" s="90">
        <f>INDEX(G$151:G$168,MATCH($B177,$B$151:$B$168,0))*INDEX('Resource costs'!$C$121:$C$142, MATCH($B177, 'Resource costs'!$B$121:$B$142,0))</f>
        <v>71280.185781708933</v>
      </c>
      <c r="H199" s="90">
        <f>INDEX(H$151:H$168,MATCH($B177,$B$151:$B$168,0))*INDEX('Resource costs'!$C$121:$C$142, MATCH($B177, 'Resource costs'!$B$121:$B$142,0))</f>
        <v>72855.765309941955</v>
      </c>
      <c r="I199" s="90">
        <f>INDEX(I$151:I$168,MATCH($B177,$B$151:$B$168,0))*INDEX('Resource costs'!$C$121:$C$142, MATCH($B177, 'Resource costs'!$B$121:$B$142,0))</f>
        <v>74362.531845522884</v>
      </c>
      <c r="J199" s="90">
        <f>INDEX(J$151:J$168,MATCH($B177,$B$151:$B$168,0))*INDEX('Resource costs'!$C$121:$C$142, MATCH($B177, 'Resource costs'!$B$121:$B$142,0))</f>
        <v>75802.179794386058</v>
      </c>
      <c r="K199" s="90">
        <f>INDEX(K$151:K$168,MATCH($B177,$B$151:$B$168,0))*INDEX('Resource costs'!$C$121:$C$142, MATCH($B177, 'Resource costs'!$B$121:$B$142,0))</f>
        <v>77199.535737593018</v>
      </c>
      <c r="L199" s="90">
        <f>INDEX(L$151:L$168,MATCH($B177,$B$151:$B$168,0))*INDEX('Resource costs'!$C$121:$C$142, MATCH($B177, 'Resource costs'!$B$121:$B$142,0))</f>
        <v>78702.375655156691</v>
      </c>
      <c r="M199" s="90">
        <f>INDEX(M$151:M$168,MATCH($B177,$B$151:$B$168,0))*INDEX('Resource costs'!$C$121:$C$142, MATCH($B177, 'Resource costs'!$B$121:$B$142,0))</f>
        <v>80213.961740181767</v>
      </c>
      <c r="N199" s="90">
        <f>INDEX(N$151:N$168,MATCH($B177,$B$151:$B$168,0))*INDEX('Resource costs'!$C$121:$C$142, MATCH($B177, 'Resource costs'!$B$121:$B$142,0))</f>
        <v>81688.605706103452</v>
      </c>
      <c r="O199" s="90">
        <f>INDEX(O$151:O$168,MATCH($B177,$B$151:$B$168,0))*INDEX('Resource costs'!$C$121:$C$142, MATCH($B177, 'Resource costs'!$B$121:$B$142,0))</f>
        <v>83107.56420590746</v>
      </c>
      <c r="P199" s="90">
        <f>INDEX(P$151:P$168,MATCH($B177,$B$151:$B$168,0))*INDEX('Resource costs'!$C$121:$C$142, MATCH($B177, 'Resource costs'!$B$121:$B$142,0))</f>
        <v>84460.350572658499</v>
      </c>
      <c r="Q199" s="90">
        <f>INDEX(Q$151:Q$168,MATCH($B177,$B$151:$B$168,0))*INDEX('Resource costs'!$C$121:$C$142, MATCH($B177, 'Resource costs'!$B$121:$B$142,0))</f>
        <v>85773.807295756793</v>
      </c>
      <c r="R199" s="90">
        <f>INDEX(R$151:R$168,MATCH($B177,$B$151:$B$168,0))*INDEX('Resource costs'!$C$121:$C$142, MATCH($B177, 'Resource costs'!$B$121:$B$142,0))</f>
        <v>87078.081403024044</v>
      </c>
      <c r="S199" s="90">
        <f>INDEX(S$151:S$168,MATCH($B177,$B$151:$B$168,0))*INDEX('Resource costs'!$C$121:$C$142, MATCH($B177, 'Resource costs'!$B$121:$B$142,0))</f>
        <v>88376.717748730473</v>
      </c>
      <c r="T199" s="90">
        <f>INDEX(T$151:T$168,MATCH($B177,$B$151:$B$168,0))*INDEX('Resource costs'!$C$121:$C$142, MATCH($B177, 'Resource costs'!$B$121:$B$142,0))</f>
        <v>89645.345747187559</v>
      </c>
      <c r="U199" s="90">
        <f>INDEX(U$151:U$168,MATCH($B177,$B$151:$B$168,0))*INDEX('Resource costs'!$C$121:$C$142, MATCH($B177, 'Resource costs'!$B$121:$B$142,0))</f>
        <v>90887.875204330543</v>
      </c>
      <c r="V199" s="90">
        <f>INDEX(V$151:V$168,MATCH($B177,$B$151:$B$168,0))*INDEX('Resource costs'!$C$121:$C$142, MATCH($B177, 'Resource costs'!$B$121:$B$142,0))</f>
        <v>92160.906083305599</v>
      </c>
      <c r="W199" s="90">
        <f>INDEX(W$151:W$168,MATCH($B177,$B$151:$B$168,0))*INDEX('Resource costs'!$C$121:$C$142, MATCH($B177, 'Resource costs'!$B$121:$B$142,0))</f>
        <v>93415.91837294244</v>
      </c>
      <c r="X199" s="90">
        <f>INDEX(X$151:X$168,MATCH($B177,$B$151:$B$168,0))*INDEX('Resource costs'!$C$121:$C$142, MATCH($B177, 'Resource costs'!$B$121:$B$142,0))</f>
        <v>94639.573541907419</v>
      </c>
      <c r="Y199" s="90">
        <f>INDEX(Y$151:Y$168,MATCH($B177,$B$151:$B$168,0))*INDEX('Resource costs'!$C$121:$C$142, MATCH($B177, 'Resource costs'!$B$121:$B$142,0))</f>
        <v>95830.123473634274</v>
      </c>
      <c r="Z199" s="90">
        <f>INDEX(Z$151:Z$168,MATCH($B177,$B$151:$B$168,0))*INDEX('Resource costs'!$C$121:$C$142, MATCH($B177, 'Resource costs'!$B$121:$B$142,0))</f>
        <v>97010.618934104539</v>
      </c>
      <c r="AA199" s="90">
        <f>INDEX(AA$151:AA$168,MATCH($B177,$B$151:$B$168,0))*INDEX('Resource costs'!$C$121:$C$142, MATCH($B177, 'Resource costs'!$B$121:$B$142,0))</f>
        <v>98175.696022627744</v>
      </c>
      <c r="AB199" s="90">
        <f>INDEX(AB$151:AB$168,MATCH($B177,$B$151:$B$168,0))*INDEX('Resource costs'!$C$121:$C$142, MATCH($B177, 'Resource costs'!$B$121:$B$142,0))</f>
        <v>99315.919395756195</v>
      </c>
      <c r="AC199" s="90">
        <f>INDEX(AC$151:AC$168,MATCH($B177,$B$151:$B$168,0))*INDEX('Resource costs'!$C$121:$C$142, MATCH($B177, 'Resource costs'!$B$121:$B$142,0))</f>
        <v>100424.18566186918</v>
      </c>
      <c r="AD199" s="90">
        <f>INDEX(AD$151:AD$168,MATCH($B177,$B$151:$B$168,0))*INDEX('Resource costs'!$C$121:$C$142, MATCH($B177, 'Resource costs'!$B$121:$B$142,0))</f>
        <v>101493.52911040222</v>
      </c>
      <c r="AE199" s="90">
        <f>INDEX(AE$151:AE$168,MATCH($B177,$B$151:$B$168,0))*INDEX('Resource costs'!$C$121:$C$142, MATCH($B177, 'Resource costs'!$B$121:$B$142,0))</f>
        <v>102518.98928828233</v>
      </c>
      <c r="AF199" s="90">
        <f>INDEX(AF$151:AF$168,MATCH($B177,$B$151:$B$168,0))*INDEX('Resource costs'!$C$121:$C$142, MATCH($B177, 'Resource costs'!$B$121:$B$142,0))</f>
        <v>103496.13738275523</v>
      </c>
      <c r="AG199" s="90">
        <f>INDEX(AG$151:AG$168,MATCH($B177,$B$151:$B$168,0))*INDEX('Resource costs'!$C$121:$C$142, MATCH($B177, 'Resource costs'!$B$121:$B$142,0))</f>
        <v>104429.56492392323</v>
      </c>
      <c r="AH199" s="90">
        <f>INDEX(AH$151:AH$168,MATCH($B177,$B$151:$B$168,0))*INDEX('Resource costs'!$C$121:$C$142, MATCH($B177, 'Resource costs'!$B$121:$B$142,0))</f>
        <v>105340.61581600086</v>
      </c>
      <c r="AI199" s="90">
        <f>INDEX(AI$151:AI$168,MATCH($B177,$B$151:$B$168,0))*INDEX('Resource costs'!$C$121:$C$142, MATCH($B177, 'Resource costs'!$B$121:$B$142,0))</f>
        <v>106231.30733523733</v>
      </c>
      <c r="AJ199" s="90">
        <f>INDEX(AJ$151:AJ$168,MATCH($B177,$B$151:$B$168,0))*INDEX('Resource costs'!$C$121:$C$142, MATCH($B177, 'Resource costs'!$B$121:$B$142,0))</f>
        <v>107109.22627804341</v>
      </c>
      <c r="AK199" s="90">
        <f>INDEX(AK$151:AK$168,MATCH($B177,$B$151:$B$168,0))*INDEX('Resource costs'!$C$121:$C$142, MATCH($B177, 'Resource costs'!$B$121:$B$142,0))</f>
        <v>107950.36034698956</v>
      </c>
      <c r="AL199" s="90">
        <f>INDEX(AL$151:AL$168,MATCH($B177,$B$151:$B$168,0))*INDEX('Resource costs'!$C$121:$C$142, MATCH($B177, 'Resource costs'!$B$121:$B$142,0))</f>
        <v>108736.94482190072</v>
      </c>
      <c r="AM199" s="90">
        <f>INDEX(AM$151:AM$168,MATCH($B177,$B$151:$B$168,0))*INDEX('Resource costs'!$C$121:$C$142, MATCH($B177, 'Resource costs'!$B$121:$B$142,0))</f>
        <v>109457.39815937063</v>
      </c>
      <c r="AN199" s="90">
        <f>INDEX(AN$151:AN$168,MATCH($B177,$B$151:$B$168,0))*INDEX('Resource costs'!$C$121:$C$142, MATCH($B177, 'Resource costs'!$B$121:$B$142,0))</f>
        <v>110119.80050283541</v>
      </c>
      <c r="AO199" s="90">
        <f>INDEX(AO$151:AO$168,MATCH($B177,$B$151:$B$168,0))*INDEX('Resource costs'!$C$121:$C$142, MATCH($B177, 'Resource costs'!$B$121:$B$142,0))</f>
        <v>110726.20687420927</v>
      </c>
      <c r="AP199" s="90">
        <f>INDEX(AP$151:AP$168,MATCH($B177,$B$151:$B$168,0))*INDEX('Resource costs'!$C$121:$C$142, MATCH($B177, 'Resource costs'!$B$121:$B$142,0))</f>
        <v>111273.92716542679</v>
      </c>
      <c r="AQ199" s="90">
        <f>INDEX(AQ$151:AQ$168,MATCH($B177,$B$151:$B$168,0))*INDEX('Resource costs'!$C$121:$C$142, MATCH($B177, 'Resource costs'!$B$121:$B$142,0))</f>
        <v>111788.99314937092</v>
      </c>
      <c r="AR199" s="90">
        <f>INDEX(AR$151:AR$168,MATCH($B177,$B$151:$B$168,0))*INDEX('Resource costs'!$C$121:$C$142, MATCH($B177, 'Resource costs'!$B$121:$B$142,0))</f>
        <v>112299.85598486839</v>
      </c>
      <c r="AS199" s="90">
        <f>INDEX(AS$151:AS$168,MATCH($B177,$B$151:$B$168,0))*INDEX('Resource costs'!$C$121:$C$142, MATCH($B177, 'Resource costs'!$B$121:$B$142,0))</f>
        <v>112828.66646296252</v>
      </c>
      <c r="AT199" s="90">
        <f>INDEX(AT$151:AT$168,MATCH($B177,$B$151:$B$168,0))*INDEX('Resource costs'!$C$121:$C$142, MATCH($B177, 'Resource costs'!$B$121:$B$142,0))</f>
        <v>113226.9929555869</v>
      </c>
      <c r="AU199" s="90">
        <f>INDEX(AU$151:AU$168,MATCH($B177,$B$151:$B$168,0))*INDEX('Resource costs'!$C$121:$C$142, MATCH($B177, 'Resource costs'!$B$121:$B$142,0))</f>
        <v>113527.03238615625</v>
      </c>
      <c r="AV199" s="90">
        <f>INDEX(AV$151:AV$168,MATCH($B177,$B$151:$B$168,0))*INDEX('Resource costs'!$C$121:$C$142, MATCH($B177, 'Resource costs'!$B$121:$B$142,0))</f>
        <v>113753.03708723257</v>
      </c>
      <c r="AW199" s="90">
        <f>INDEX(AW$151:AW$168,MATCH($B177,$B$151:$B$168,0))*INDEX('Resource costs'!$C$121:$C$142, MATCH($B177, 'Resource costs'!$B$121:$B$142,0))</f>
        <v>113923.27512831836</v>
      </c>
      <c r="AX199" s="90">
        <f>INDEX(AX$151:AX$168,MATCH($B177,$B$151:$B$168,0))*INDEX('Resource costs'!$C$121:$C$142, MATCH($B177, 'Resource costs'!$B$121:$B$142,0))</f>
        <v>114051.50693276619</v>
      </c>
      <c r="AY199" s="90">
        <f>INDEX(AY$151:AY$168,MATCH($B177,$B$151:$B$168,0))*INDEX('Resource costs'!$C$121:$C$142, MATCH($B177, 'Resource costs'!$B$121:$B$142,0))</f>
        <v>114148.09753946653</v>
      </c>
      <c r="AZ199" s="90">
        <f>INDEX(AZ$151:AZ$168,MATCH($B177,$B$151:$B$168,0))*INDEX('Resource costs'!$C$121:$C$142, MATCH($B177, 'Resource costs'!$B$121:$B$142,0))</f>
        <v>114220.85441396358</v>
      </c>
      <c r="BA199" s="90">
        <f>INDEX(BA$151:BA$168,MATCH($B177,$B$151:$B$168,0))*INDEX('Resource costs'!$C$121:$C$142, MATCH($B177, 'Resource costs'!$B$121:$B$142,0))</f>
        <v>114275.65852967845</v>
      </c>
      <c r="BB199" s="90">
        <f>INDEX(BB$151:BB$168,MATCH($B177,$B$151:$B$168,0))*INDEX('Resource costs'!$C$121:$C$142, MATCH($B177, 'Resource costs'!$B$121:$B$142,0))</f>
        <v>114316.93972984071</v>
      </c>
    </row>
    <row r="200" spans="2:54" s="97" customFormat="1">
      <c r="B200" s="6" t="s">
        <v>14</v>
      </c>
      <c r="C200" s="316"/>
      <c r="D200" s="90">
        <f>INDEX(D$151:D$168,MATCH($B178,$B$151:$B$168,0))*INDEX('Resource costs'!$C$121:$C$142, MATCH($B178, 'Resource costs'!$B$121:$B$142,0))</f>
        <v>160.55478839736807</v>
      </c>
      <c r="E200" s="90">
        <f>INDEX(E$151:E$168,MATCH($B178,$B$151:$B$168,0))*INDEX('Resource costs'!$C$121:$C$142, MATCH($B178, 'Resource costs'!$B$121:$B$142,0))</f>
        <v>166.04262419420542</v>
      </c>
      <c r="F200" s="90">
        <f>INDEX(F$151:F$168,MATCH($B178,$B$151:$B$168,0))*INDEX('Resource costs'!$C$121:$C$142, MATCH($B178, 'Resource costs'!$B$121:$B$142,0))</f>
        <v>170.73953548885322</v>
      </c>
      <c r="G200" s="90">
        <f>INDEX(G$151:G$168,MATCH($B178,$B$151:$B$168,0))*INDEX('Resource costs'!$C$121:$C$142, MATCH($B178, 'Resource costs'!$B$121:$B$142,0))</f>
        <v>174.90381190620482</v>
      </c>
      <c r="H200" s="90">
        <f>INDEX(H$151:H$168,MATCH($B178,$B$151:$B$168,0))*INDEX('Resource costs'!$C$121:$C$142, MATCH($B178, 'Resource costs'!$B$121:$B$142,0))</f>
        <v>178.76989141241239</v>
      </c>
      <c r="I200" s="90">
        <f>INDEX(I$151:I$168,MATCH($B178,$B$151:$B$168,0))*INDEX('Resource costs'!$C$121:$C$142, MATCH($B178, 'Resource costs'!$B$121:$B$142,0))</f>
        <v>182.46712098379541</v>
      </c>
      <c r="J200" s="90">
        <f>INDEX(J$151:J$168,MATCH($B178,$B$151:$B$168,0))*INDEX('Resource costs'!$C$121:$C$142, MATCH($B178, 'Resource costs'!$B$121:$B$142,0))</f>
        <v>185.99965827024747</v>
      </c>
      <c r="K200" s="90">
        <f>INDEX(K$151:K$168,MATCH($B178,$B$151:$B$168,0))*INDEX('Resource costs'!$C$121:$C$142, MATCH($B178, 'Resource costs'!$B$121:$B$142,0))</f>
        <v>189.42842151456838</v>
      </c>
      <c r="L200" s="90">
        <f>INDEX(L$151:L$168,MATCH($B178,$B$151:$B$168,0))*INDEX('Resource costs'!$C$121:$C$142, MATCH($B178, 'Resource costs'!$B$121:$B$142,0))</f>
        <v>193.11601614390426</v>
      </c>
      <c r="M200" s="90">
        <f>INDEX(M$151:M$168,MATCH($B178,$B$151:$B$168,0))*INDEX('Resource costs'!$C$121:$C$142, MATCH($B178, 'Resource costs'!$B$121:$B$142,0))</f>
        <v>196.82507168852524</v>
      </c>
      <c r="N200" s="90">
        <f>INDEX(N$151:N$168,MATCH($B178,$B$151:$B$168,0))*INDEX('Resource costs'!$C$121:$C$142, MATCH($B178, 'Resource costs'!$B$121:$B$142,0))</f>
        <v>200.4434804793504</v>
      </c>
      <c r="O200" s="90">
        <f>INDEX(O$151:O$168,MATCH($B178,$B$151:$B$168,0))*INDEX('Resource costs'!$C$121:$C$142, MATCH($B178, 'Resource costs'!$B$121:$B$142,0))</f>
        <v>203.9252510139064</v>
      </c>
      <c r="P200" s="90">
        <f>INDEX(P$151:P$168,MATCH($B178,$B$151:$B$168,0))*INDEX('Resource costs'!$C$121:$C$142, MATCH($B178, 'Resource costs'!$B$121:$B$142,0))</f>
        <v>207.24465162495557</v>
      </c>
      <c r="Q200" s="90">
        <f>INDEX(Q$151:Q$168,MATCH($B178,$B$151:$B$168,0))*INDEX('Resource costs'!$C$121:$C$142, MATCH($B178, 'Resource costs'!$B$121:$B$142,0))</f>
        <v>210.46754709196867</v>
      </c>
      <c r="R200" s="90">
        <f>INDEX(R$151:R$168,MATCH($B178,$B$151:$B$168,0))*INDEX('Resource costs'!$C$121:$C$142, MATCH($B178, 'Resource costs'!$B$121:$B$142,0))</f>
        <v>213.66791070816654</v>
      </c>
      <c r="S200" s="90">
        <f>INDEX(S$151:S$168,MATCH($B178,$B$151:$B$168,0))*INDEX('Resource costs'!$C$121:$C$142, MATCH($B178, 'Resource costs'!$B$121:$B$142,0))</f>
        <v>216.85444066250182</v>
      </c>
      <c r="T200" s="90">
        <f>INDEX(T$151:T$168,MATCH($B178,$B$151:$B$168,0))*INDEX('Resource costs'!$C$121:$C$142, MATCH($B178, 'Resource costs'!$B$121:$B$142,0))</f>
        <v>219.96733761117983</v>
      </c>
      <c r="U200" s="90">
        <f>INDEX(U$151:U$168,MATCH($B178,$B$151:$B$168,0))*INDEX('Resource costs'!$C$121:$C$142, MATCH($B178, 'Resource costs'!$B$121:$B$142,0))</f>
        <v>223.01619524358824</v>
      </c>
      <c r="V200" s="90">
        <f>INDEX(V$151:V$168,MATCH($B178,$B$151:$B$168,0))*INDEX('Resource costs'!$C$121:$C$142, MATCH($B178, 'Resource costs'!$B$121:$B$142,0))</f>
        <v>226.13989576379902</v>
      </c>
      <c r="W200" s="90">
        <f>INDEX(W$151:W$168,MATCH($B178,$B$151:$B$168,0))*INDEX('Resource costs'!$C$121:$C$142, MATCH($B178, 'Resource costs'!$B$121:$B$142,0))</f>
        <v>229.21938315625397</v>
      </c>
      <c r="X200" s="90">
        <f>INDEX(X$151:X$168,MATCH($B178,$B$151:$B$168,0))*INDEX('Resource costs'!$C$121:$C$142, MATCH($B178, 'Resource costs'!$B$121:$B$142,0))</f>
        <v>232.22192798920565</v>
      </c>
      <c r="Y200" s="90">
        <f>INDEX(Y$151:Y$168,MATCH($B178,$B$151:$B$168,0))*INDEX('Resource costs'!$C$121:$C$142, MATCH($B178, 'Resource costs'!$B$121:$B$142,0))</f>
        <v>235.14324082025513</v>
      </c>
      <c r="Z200" s="90">
        <f>INDEX(Z$151:Z$168,MATCH($B178,$B$151:$B$168,0))*INDEX('Resource costs'!$C$121:$C$142, MATCH($B178, 'Resource costs'!$B$121:$B$142,0))</f>
        <v>238.03988248455346</v>
      </c>
      <c r="AA200" s="90">
        <f>INDEX(AA$151:AA$168,MATCH($B178,$B$151:$B$168,0))*INDEX('Resource costs'!$C$121:$C$142, MATCH($B178, 'Resource costs'!$B$121:$B$142,0))</f>
        <v>240.89869130656385</v>
      </c>
      <c r="AB200" s="90">
        <f>INDEX(AB$151:AB$168,MATCH($B178,$B$151:$B$168,0))*INDEX('Resource costs'!$C$121:$C$142, MATCH($B178, 'Resource costs'!$B$121:$B$142,0))</f>
        <v>243.69651530488306</v>
      </c>
      <c r="AC200" s="90">
        <f>INDEX(AC$151:AC$168,MATCH($B178,$B$151:$B$168,0))*INDEX('Resource costs'!$C$121:$C$142, MATCH($B178, 'Resource costs'!$B$121:$B$142,0))</f>
        <v>246.41592452673666</v>
      </c>
      <c r="AD200" s="90">
        <f>INDEX(AD$151:AD$168,MATCH($B178,$B$151:$B$168,0))*INDEX('Resource costs'!$C$121:$C$142, MATCH($B178, 'Resource costs'!$B$121:$B$142,0))</f>
        <v>249.03982685435022</v>
      </c>
      <c r="AE200" s="90">
        <f>INDEX(AE$151:AE$168,MATCH($B178,$B$151:$B$168,0))*INDEX('Resource costs'!$C$121:$C$142, MATCH($B178, 'Resource costs'!$B$121:$B$142,0))</f>
        <v>251.55605057209581</v>
      </c>
      <c r="AF200" s="90">
        <f>INDEX(AF$151:AF$168,MATCH($B178,$B$151:$B$168,0))*INDEX('Resource costs'!$C$121:$C$142, MATCH($B178, 'Resource costs'!$B$121:$B$142,0))</f>
        <v>253.95372847719534</v>
      </c>
      <c r="AG200" s="90">
        <f>INDEX(AG$151:AG$168,MATCH($B178,$B$151:$B$168,0))*INDEX('Resource costs'!$C$121:$C$142, MATCH($B178, 'Resource costs'!$B$121:$B$142,0))</f>
        <v>256.24412704024758</v>
      </c>
      <c r="AH200" s="90">
        <f>INDEX(AH$151:AH$168,MATCH($B178,$B$151:$B$168,0))*INDEX('Resource costs'!$C$121:$C$142, MATCH($B178, 'Resource costs'!$B$121:$B$142,0))</f>
        <v>258.47961888300051</v>
      </c>
      <c r="AI200" s="90">
        <f>INDEX(AI$151:AI$168,MATCH($B178,$B$151:$B$168,0))*INDEX('Resource costs'!$C$121:$C$142, MATCH($B178, 'Resource costs'!$B$121:$B$142,0))</f>
        <v>260.66515389863685</v>
      </c>
      <c r="AJ200" s="90">
        <f>INDEX(AJ$151:AJ$168,MATCH($B178,$B$151:$B$168,0))*INDEX('Resource costs'!$C$121:$C$142, MATCH($B178, 'Resource costs'!$B$121:$B$142,0))</f>
        <v>262.81934819481461</v>
      </c>
      <c r="AK200" s="90">
        <f>INDEX(AK$151:AK$168,MATCH($B178,$B$151:$B$168,0))*INDEX('Resource costs'!$C$121:$C$142, MATCH($B178, 'Resource costs'!$B$121:$B$142,0))</f>
        <v>264.88328157783633</v>
      </c>
      <c r="AL200" s="90">
        <f>INDEX(AL$151:AL$168,MATCH($B178,$B$151:$B$168,0))*INDEX('Resource costs'!$C$121:$C$142, MATCH($B178, 'Resource costs'!$B$121:$B$142,0))</f>
        <v>266.81336385160483</v>
      </c>
      <c r="AM200" s="90">
        <f>INDEX(AM$151:AM$168,MATCH($B178,$B$151:$B$168,0))*INDEX('Resource costs'!$C$121:$C$142, MATCH($B178, 'Resource costs'!$B$121:$B$142,0))</f>
        <v>268.581176794881</v>
      </c>
      <c r="AN200" s="90">
        <f>INDEX(AN$151:AN$168,MATCH($B178,$B$151:$B$168,0))*INDEX('Resource costs'!$C$121:$C$142, MATCH($B178, 'Resource costs'!$B$121:$B$142,0))</f>
        <v>270.20654706597418</v>
      </c>
      <c r="AO200" s="90">
        <f>INDEX(AO$151:AO$168,MATCH($B178,$B$151:$B$168,0))*INDEX('Resource costs'!$C$121:$C$142, MATCH($B178, 'Resource costs'!$B$121:$B$142,0))</f>
        <v>271.69451717652231</v>
      </c>
      <c r="AP200" s="90">
        <f>INDEX(AP$151:AP$168,MATCH($B178,$B$151:$B$168,0))*INDEX('Resource costs'!$C$121:$C$142, MATCH($B178, 'Resource costs'!$B$121:$B$142,0))</f>
        <v>273.0384862717446</v>
      </c>
      <c r="AQ200" s="90">
        <f>INDEX(AQ$151:AQ$168,MATCH($B178,$B$151:$B$168,0))*INDEX('Resource costs'!$C$121:$C$142, MATCH($B178, 'Resource costs'!$B$121:$B$142,0))</f>
        <v>274.30232983482028</v>
      </c>
      <c r="AR200" s="90">
        <f>INDEX(AR$151:AR$168,MATCH($B178,$B$151:$B$168,0))*INDEX('Resource costs'!$C$121:$C$142, MATCH($B178, 'Resource costs'!$B$121:$B$142,0))</f>
        <v>275.55585991909015</v>
      </c>
      <c r="AS200" s="90">
        <f>INDEX(AS$151:AS$168,MATCH($B178,$B$151:$B$168,0))*INDEX('Resource costs'!$C$121:$C$142, MATCH($B178, 'Resource costs'!$B$121:$B$142,0))</f>
        <v>276.85342904549299</v>
      </c>
      <c r="AT200" s="90">
        <f>INDEX(AT$151:AT$168,MATCH($B178,$B$151:$B$168,0))*INDEX('Resource costs'!$C$121:$C$142, MATCH($B178, 'Resource costs'!$B$121:$B$142,0))</f>
        <v>277.83082298995589</v>
      </c>
      <c r="AU200" s="90">
        <f>INDEX(AU$151:AU$168,MATCH($B178,$B$151:$B$168,0))*INDEX('Resource costs'!$C$121:$C$142, MATCH($B178, 'Resource costs'!$B$121:$B$142,0))</f>
        <v>278.56704497862268</v>
      </c>
      <c r="AV200" s="90">
        <f>INDEX(AV$151:AV$168,MATCH($B178,$B$151:$B$168,0))*INDEX('Resource costs'!$C$121:$C$142, MATCH($B178, 'Resource costs'!$B$121:$B$142,0))</f>
        <v>279.12160419158579</v>
      </c>
      <c r="AW200" s="90">
        <f>INDEX(AW$151:AW$168,MATCH($B178,$B$151:$B$168,0))*INDEX('Resource costs'!$C$121:$C$142, MATCH($B178, 'Resource costs'!$B$121:$B$142,0))</f>
        <v>279.53932591875042</v>
      </c>
      <c r="AX200" s="90">
        <f>INDEX(AX$151:AX$168,MATCH($B178,$B$151:$B$168,0))*INDEX('Resource costs'!$C$121:$C$142, MATCH($B178, 'Resource costs'!$B$121:$B$142,0))</f>
        <v>279.85397480973705</v>
      </c>
      <c r="AY200" s="90">
        <f>INDEX(AY$151:AY$168,MATCH($B178,$B$151:$B$168,0))*INDEX('Resource costs'!$C$121:$C$142, MATCH($B178, 'Resource costs'!$B$121:$B$142,0))</f>
        <v>280.09098408687282</v>
      </c>
      <c r="AZ200" s="90">
        <f>INDEX(AZ$151:AZ$168,MATCH($B178,$B$151:$B$168,0))*INDEX('Resource costs'!$C$121:$C$142, MATCH($B178, 'Resource costs'!$B$121:$B$142,0))</f>
        <v>280.26951132487528</v>
      </c>
      <c r="BA200" s="90">
        <f>INDEX(BA$151:BA$168,MATCH($B178,$B$151:$B$168,0))*INDEX('Resource costs'!$C$121:$C$142, MATCH($B178, 'Resource costs'!$B$121:$B$142,0))</f>
        <v>280.40398696690062</v>
      </c>
      <c r="BB200" s="90">
        <f>INDEX(BB$151:BB$168,MATCH($B178,$B$151:$B$168,0))*INDEX('Resource costs'!$C$121:$C$142, MATCH($B178, 'Resource costs'!$B$121:$B$142,0))</f>
        <v>280.50528074425625</v>
      </c>
    </row>
    <row r="201" spans="2:54" s="97" customFormat="1">
      <c r="B201" s="6" t="s">
        <v>15</v>
      </c>
      <c r="C201" s="316"/>
      <c r="D201" s="90">
        <f>INDEX(D$151:D$168,MATCH($B179,$B$151:$B$168,0))*INDEX('Resource costs'!$C$121:$C$142, MATCH($B179, 'Resource costs'!$B$121:$B$142,0))</f>
        <v>2299.5249980635317</v>
      </c>
      <c r="E201" s="90">
        <f>INDEX(E$151:E$168,MATCH($B179,$B$151:$B$168,0))*INDEX('Resource costs'!$C$121:$C$142, MATCH($B179, 'Resource costs'!$B$121:$B$142,0))</f>
        <v>2378.1238098838476</v>
      </c>
      <c r="F201" s="90">
        <f>INDEX(F$151:F$168,MATCH($B179,$B$151:$B$168,0))*INDEX('Resource costs'!$C$121:$C$142, MATCH($B179, 'Resource costs'!$B$121:$B$142,0))</f>
        <v>2445.3947087685215</v>
      </c>
      <c r="G201" s="90">
        <f>INDEX(G$151:G$168,MATCH($B179,$B$151:$B$168,0))*INDEX('Resource costs'!$C$121:$C$142, MATCH($B179, 'Resource costs'!$B$121:$B$142,0))</f>
        <v>2505.0370141530639</v>
      </c>
      <c r="H201" s="90">
        <f>INDEX(H$151:H$168,MATCH($B179,$B$151:$B$168,0))*INDEX('Resource costs'!$C$121:$C$142, MATCH($B179, 'Resource costs'!$B$121:$B$142,0))</f>
        <v>2560.4084332042521</v>
      </c>
      <c r="I201" s="90">
        <f>INDEX(I$151:I$168,MATCH($B179,$B$151:$B$168,0))*INDEX('Resource costs'!$C$121:$C$142, MATCH($B179, 'Resource costs'!$B$121:$B$142,0))</f>
        <v>2613.3615211055176</v>
      </c>
      <c r="J201" s="90">
        <f>INDEX(J$151:J$168,MATCH($B179,$B$151:$B$168,0))*INDEX('Resource costs'!$C$121:$C$142, MATCH($B179, 'Resource costs'!$B$121:$B$142,0))</f>
        <v>2663.9558252547249</v>
      </c>
      <c r="K201" s="90">
        <f>INDEX(K$151:K$168,MATCH($B179,$B$151:$B$168,0))*INDEX('Resource costs'!$C$121:$C$142, MATCH($B179, 'Resource costs'!$B$121:$B$142,0))</f>
        <v>2713.0638392321302</v>
      </c>
      <c r="L201" s="90">
        <f>INDEX(L$151:L$168,MATCH($B179,$B$151:$B$168,0))*INDEX('Resource costs'!$C$121:$C$142, MATCH($B179, 'Resource costs'!$B$121:$B$142,0))</f>
        <v>2765.878931933667</v>
      </c>
      <c r="M201" s="90">
        <f>INDEX(M$151:M$168,MATCH($B179,$B$151:$B$168,0))*INDEX('Resource costs'!$C$121:$C$142, MATCH($B179, 'Resource costs'!$B$121:$B$142,0))</f>
        <v>2819.0013957928763</v>
      </c>
      <c r="N201" s="90">
        <f>INDEX(N$151:N$168,MATCH($B179,$B$151:$B$168,0))*INDEX('Resource costs'!$C$121:$C$142, MATCH($B179, 'Resource costs'!$B$121:$B$142,0))</f>
        <v>2870.8255833538351</v>
      </c>
      <c r="O201" s="90">
        <f>INDEX(O$151:O$168,MATCH($B179,$B$151:$B$168,0))*INDEX('Resource costs'!$C$121:$C$142, MATCH($B179, 'Resource costs'!$B$121:$B$142,0))</f>
        <v>2920.6927873260825</v>
      </c>
      <c r="P201" s="90">
        <f>INDEX(P$151:P$168,MATCH($B179,$B$151:$B$168,0))*INDEX('Resource costs'!$C$121:$C$142, MATCH($B179, 'Resource costs'!$B$121:$B$142,0))</f>
        <v>2968.2344692646075</v>
      </c>
      <c r="Q201" s="90">
        <f>INDEX(Q$151:Q$168,MATCH($B179,$B$151:$B$168,0))*INDEX('Resource costs'!$C$121:$C$142, MATCH($B179, 'Resource costs'!$B$121:$B$142,0))</f>
        <v>3014.3939688754194</v>
      </c>
      <c r="R201" s="90">
        <f>INDEX(R$151:R$168,MATCH($B179,$B$151:$B$168,0))*INDEX('Resource costs'!$C$121:$C$142, MATCH($B179, 'Resource costs'!$B$121:$B$142,0))</f>
        <v>3060.2307589942288</v>
      </c>
      <c r="S201" s="90">
        <f>INDEX(S$151:S$168,MATCH($B179,$B$151:$B$168,0))*INDEX('Resource costs'!$C$121:$C$142, MATCH($B179, 'Resource costs'!$B$121:$B$142,0))</f>
        <v>3105.869418296852</v>
      </c>
      <c r="T201" s="90">
        <f>INDEX(T$151:T$168,MATCH($B179,$B$151:$B$168,0))*INDEX('Resource costs'!$C$121:$C$142, MATCH($B179, 'Resource costs'!$B$121:$B$142,0))</f>
        <v>3150.4534784879711</v>
      </c>
      <c r="U201" s="90">
        <f>INDEX(U$151:U$168,MATCH($B179,$B$151:$B$168,0))*INDEX('Resource costs'!$C$121:$C$142, MATCH($B179, 'Resource costs'!$B$121:$B$142,0))</f>
        <v>3194.1203439314872</v>
      </c>
      <c r="V201" s="90">
        <f>INDEX(V$151:V$168,MATCH($B179,$B$151:$B$168,0))*INDEX('Resource costs'!$C$121:$C$142, MATCH($B179, 'Resource costs'!$B$121:$B$142,0))</f>
        <v>3238.8591368655912</v>
      </c>
      <c r="W201" s="90">
        <f>INDEX(W$151:W$168,MATCH($B179,$B$151:$B$168,0))*INDEX('Resource costs'!$C$121:$C$142, MATCH($B179, 'Resource costs'!$B$121:$B$142,0))</f>
        <v>3282.9646930489762</v>
      </c>
      <c r="X201" s="90">
        <f>INDEX(X$151:X$168,MATCH($B179,$B$151:$B$168,0))*INDEX('Resource costs'!$C$121:$C$142, MATCH($B179, 'Resource costs'!$B$121:$B$142,0))</f>
        <v>3325.9682494679264</v>
      </c>
      <c r="Y201" s="90">
        <f>INDEX(Y$151:Y$168,MATCH($B179,$B$151:$B$168,0))*INDEX('Resource costs'!$C$121:$C$142, MATCH($B179, 'Resource costs'!$B$121:$B$142,0))</f>
        <v>3367.8083711436261</v>
      </c>
      <c r="Z201" s="90">
        <f>INDEX(Z$151:Z$168,MATCH($B179,$B$151:$B$168,0))*INDEX('Resource costs'!$C$121:$C$142, MATCH($B179, 'Resource costs'!$B$121:$B$142,0))</f>
        <v>3409.2951432540958</v>
      </c>
      <c r="AA201" s="90">
        <f>INDEX(AA$151:AA$168,MATCH($B179,$B$151:$B$168,0))*INDEX('Resource costs'!$C$121:$C$142, MATCH($B179, 'Resource costs'!$B$121:$B$142,0))</f>
        <v>3450.240059419581</v>
      </c>
      <c r="AB201" s="90">
        <f>INDEX(AB$151:AB$168,MATCH($B179,$B$151:$B$168,0))*INDEX('Resource costs'!$C$121:$C$142, MATCH($B179, 'Resource costs'!$B$121:$B$142,0))</f>
        <v>3490.3115284086839</v>
      </c>
      <c r="AC201" s="90">
        <f>INDEX(AC$151:AC$168,MATCH($B179,$B$151:$B$168,0))*INDEX('Resource costs'!$C$121:$C$142, MATCH($B179, 'Resource costs'!$B$121:$B$142,0))</f>
        <v>3529.259911998091</v>
      </c>
      <c r="AD201" s="90">
        <f>INDEX(AD$151:AD$168,MATCH($B179,$B$151:$B$168,0))*INDEX('Resource costs'!$C$121:$C$142, MATCH($B179, 'Resource costs'!$B$121:$B$142,0))</f>
        <v>3566.840410562178</v>
      </c>
      <c r="AE201" s="90">
        <f>INDEX(AE$151:AE$168,MATCH($B179,$B$151:$B$168,0))*INDEX('Resource costs'!$C$121:$C$142, MATCH($B179, 'Resource costs'!$B$121:$B$142,0))</f>
        <v>3602.8786962927525</v>
      </c>
      <c r="AF201" s="90">
        <f>INDEX(AF$151:AF$168,MATCH($B179,$B$151:$B$168,0))*INDEX('Resource costs'!$C$121:$C$142, MATCH($B179, 'Resource costs'!$B$121:$B$142,0))</f>
        <v>3637.2191250966271</v>
      </c>
      <c r="AG201" s="90">
        <f>INDEX(AG$151:AG$168,MATCH($B179,$B$151:$B$168,0))*INDEX('Resource costs'!$C$121:$C$142, MATCH($B179, 'Resource costs'!$B$121:$B$142,0))</f>
        <v>3670.0230595282319</v>
      </c>
      <c r="AH201" s="90">
        <f>INDEX(AH$151:AH$168,MATCH($B179,$B$151:$B$168,0))*INDEX('Resource costs'!$C$121:$C$142, MATCH($B179, 'Resource costs'!$B$121:$B$142,0))</f>
        <v>3702.040599625851</v>
      </c>
      <c r="AI201" s="90">
        <f>INDEX(AI$151:AI$168,MATCH($B179,$B$151:$B$168,0))*INDEX('Resource costs'!$C$121:$C$142, MATCH($B179, 'Resource costs'!$B$121:$B$142,0))</f>
        <v>3733.3426395884371</v>
      </c>
      <c r="AJ201" s="90">
        <f>INDEX(AJ$151:AJ$168,MATCH($B179,$B$151:$B$168,0))*INDEX('Resource costs'!$C$121:$C$142, MATCH($B179, 'Resource costs'!$B$121:$B$142,0))</f>
        <v>3764.1958061877822</v>
      </c>
      <c r="AK201" s="90">
        <f>INDEX(AK$151:AK$168,MATCH($B179,$B$151:$B$168,0))*INDEX('Resource costs'!$C$121:$C$142, MATCH($B179, 'Resource costs'!$B$121:$B$142,0))</f>
        <v>3793.7562226410732</v>
      </c>
      <c r="AL201" s="90">
        <f>INDEX(AL$151:AL$168,MATCH($B179,$B$151:$B$168,0))*INDEX('Resource costs'!$C$121:$C$142, MATCH($B179, 'Resource costs'!$B$121:$B$142,0))</f>
        <v>3821.3995740549553</v>
      </c>
      <c r="AM201" s="90">
        <f>INDEX(AM$151:AM$168,MATCH($B179,$B$151:$B$168,0))*INDEX('Resource costs'!$C$121:$C$142, MATCH($B179, 'Resource costs'!$B$121:$B$142,0))</f>
        <v>3846.7188441654348</v>
      </c>
      <c r="AN201" s="90">
        <f>INDEX(AN$151:AN$168,MATCH($B179,$B$151:$B$168,0))*INDEX('Resource costs'!$C$121:$C$142, MATCH($B179, 'Resource costs'!$B$121:$B$142,0))</f>
        <v>3869.9979976979835</v>
      </c>
      <c r="AO201" s="90">
        <f>INDEX(AO$151:AO$168,MATCH($B179,$B$151:$B$168,0))*INDEX('Resource costs'!$C$121:$C$142, MATCH($B179, 'Resource costs'!$B$121:$B$142,0))</f>
        <v>3891.3092553672868</v>
      </c>
      <c r="AP201" s="90">
        <f>INDEX(AP$151:AP$168,MATCH($B179,$B$151:$B$168,0))*INDEX('Resource costs'!$C$121:$C$142, MATCH($B179, 'Resource costs'!$B$121:$B$142,0))</f>
        <v>3910.55807729242</v>
      </c>
      <c r="AQ201" s="90">
        <f>INDEX(AQ$151:AQ$168,MATCH($B179,$B$151:$B$168,0))*INDEX('Resource costs'!$C$121:$C$142, MATCH($B179, 'Resource costs'!$B$121:$B$142,0))</f>
        <v>3928.6593117429393</v>
      </c>
      <c r="AR201" s="90">
        <f>INDEX(AR$151:AR$168,MATCH($B179,$B$151:$B$168,0))*INDEX('Resource costs'!$C$121:$C$142, MATCH($B179, 'Resource costs'!$B$121:$B$142,0))</f>
        <v>3946.6128327395795</v>
      </c>
      <c r="AS201" s="90">
        <f>INDEX(AS$151:AS$168,MATCH($B179,$B$151:$B$168,0))*INDEX('Resource costs'!$C$121:$C$142, MATCH($B179, 'Resource costs'!$B$121:$B$142,0))</f>
        <v>3965.1970971683299</v>
      </c>
      <c r="AT201" s="90">
        <f>INDEX(AT$151:AT$168,MATCH($B179,$B$151:$B$168,0))*INDEX('Resource costs'!$C$121:$C$142, MATCH($B179, 'Resource costs'!$B$121:$B$142,0))</f>
        <v>3979.1956943492855</v>
      </c>
      <c r="AU201" s="90">
        <f>INDEX(AU$151:AU$168,MATCH($B179,$B$151:$B$168,0))*INDEX('Resource costs'!$C$121:$C$142, MATCH($B179, 'Resource costs'!$B$121:$B$142,0))</f>
        <v>3989.7401376758421</v>
      </c>
      <c r="AV201" s="90">
        <f>INDEX(AV$151:AV$168,MATCH($B179,$B$151:$B$168,0))*INDEX('Resource costs'!$C$121:$C$142, MATCH($B179, 'Resource costs'!$B$121:$B$142,0))</f>
        <v>3997.6827396115691</v>
      </c>
      <c r="AW201" s="90">
        <f>INDEX(AW$151:AW$168,MATCH($B179,$B$151:$B$168,0))*INDEX('Resource costs'!$C$121:$C$142, MATCH($B179, 'Resource costs'!$B$121:$B$142,0))</f>
        <v>4003.6655045196567</v>
      </c>
      <c r="AX201" s="90">
        <f>INDEX(AX$151:AX$168,MATCH($B179,$B$151:$B$168,0))*INDEX('Resource costs'!$C$121:$C$142, MATCH($B179, 'Resource costs'!$B$121:$B$142,0))</f>
        <v>4008.1720221866735</v>
      </c>
      <c r="AY201" s="90">
        <f>INDEX(AY$151:AY$168,MATCH($B179,$B$151:$B$168,0))*INDEX('Resource costs'!$C$121:$C$142, MATCH($B179, 'Resource costs'!$B$121:$B$142,0))</f>
        <v>4011.5665566193534</v>
      </c>
      <c r="AZ201" s="90">
        <f>INDEX(AZ$151:AZ$168,MATCH($B179,$B$151:$B$168,0))*INDEX('Resource costs'!$C$121:$C$142, MATCH($B179, 'Resource costs'!$B$121:$B$142,0))</f>
        <v>4014.12348968077</v>
      </c>
      <c r="BA201" s="90">
        <f>INDEX(BA$151:BA$168,MATCH($B179,$B$151:$B$168,0))*INDEX('Resource costs'!$C$121:$C$142, MATCH($B179, 'Resource costs'!$B$121:$B$142,0))</f>
        <v>4016.0494995092818</v>
      </c>
      <c r="BB201" s="90">
        <f>INDEX(BB$151:BB$168,MATCH($B179,$B$151:$B$168,0))*INDEX('Resource costs'!$C$121:$C$142, MATCH($B179, 'Resource costs'!$B$121:$B$142,0))</f>
        <v>4017.5002664126091</v>
      </c>
    </row>
    <row r="202" spans="2:54" s="97" customFormat="1" ht="29">
      <c r="B202" s="6" t="s">
        <v>16</v>
      </c>
      <c r="C202" s="316"/>
      <c r="D202" s="90">
        <f>INDEX(D$151:D$168,MATCH($B180,$B$151:$B$168,0))*INDEX('Resource costs'!$C$121:$C$142, MATCH($B180, 'Resource costs'!$B$121:$B$142,0))</f>
        <v>63247.849222372257</v>
      </c>
      <c r="E202" s="90">
        <f>INDEX(E$151:E$168,MATCH($B180,$B$151:$B$168,0))*INDEX('Resource costs'!$C$121:$C$142, MATCH($B180, 'Resource costs'!$B$121:$B$142,0))</f>
        <v>65409.689516891907</v>
      </c>
      <c r="F202" s="90">
        <f>INDEX(F$151:F$168,MATCH($B180,$B$151:$B$168,0))*INDEX('Resource costs'!$C$121:$C$142, MATCH($B180, 'Resource costs'!$B$121:$B$142,0))</f>
        <v>67259.958452126055</v>
      </c>
      <c r="G202" s="90">
        <f>INDEX(G$151:G$168,MATCH($B180,$B$151:$B$168,0))*INDEX('Resource costs'!$C$121:$C$142, MATCH($B180, 'Resource costs'!$B$121:$B$142,0))</f>
        <v>68900.404866673794</v>
      </c>
      <c r="H202" s="90">
        <f>INDEX(H$151:H$168,MATCH($B180,$B$151:$B$168,0))*INDEX('Resource costs'!$C$121:$C$142, MATCH($B180, 'Resource costs'!$B$121:$B$142,0))</f>
        <v>70423.381640715175</v>
      </c>
      <c r="I202" s="90">
        <f>INDEX(I$151:I$168,MATCH($B180,$B$151:$B$168,0))*INDEX('Resource costs'!$C$121:$C$142, MATCH($B180, 'Resource costs'!$B$121:$B$142,0))</f>
        <v>71879.842832595532</v>
      </c>
      <c r="J202" s="90">
        <f>INDEX(J$151:J$168,MATCH($B180,$B$151:$B$168,0))*INDEX('Resource costs'!$C$121:$C$142, MATCH($B180, 'Resource costs'!$B$121:$B$142,0))</f>
        <v>73271.426278322222</v>
      </c>
      <c r="K202" s="90">
        <f>INDEX(K$151:K$168,MATCH($B180,$B$151:$B$168,0))*INDEX('Resource costs'!$C$121:$C$142, MATCH($B180, 'Resource costs'!$B$121:$B$142,0))</f>
        <v>74622.129691535243</v>
      </c>
      <c r="L202" s="90">
        <f>INDEX(L$151:L$168,MATCH($B180,$B$151:$B$168,0))*INDEX('Resource costs'!$C$121:$C$142, MATCH($B180, 'Resource costs'!$B$121:$B$142,0))</f>
        <v>76074.795360604054</v>
      </c>
      <c r="M202" s="90">
        <f>INDEX(M$151:M$168,MATCH($B180,$B$151:$B$168,0))*INDEX('Resource costs'!$C$121:$C$142, MATCH($B180, 'Resource costs'!$B$121:$B$142,0))</f>
        <v>77535.915195055772</v>
      </c>
      <c r="N202" s="90">
        <f>INDEX(N$151:N$168,MATCH($B180,$B$151:$B$168,0))*INDEX('Resource costs'!$C$121:$C$142, MATCH($B180, 'Resource costs'!$B$121:$B$142,0))</f>
        <v>78961.326270685633</v>
      </c>
      <c r="O202" s="90">
        <f>INDEX(O$151:O$168,MATCH($B180,$B$151:$B$168,0))*INDEX('Resource costs'!$C$121:$C$142, MATCH($B180, 'Resource costs'!$B$121:$B$142,0))</f>
        <v>80332.911011288161</v>
      </c>
      <c r="P202" s="90">
        <f>INDEX(P$151:P$168,MATCH($B180,$B$151:$B$168,0))*INDEX('Resource costs'!$C$121:$C$142, MATCH($B180, 'Resource costs'!$B$121:$B$142,0))</f>
        <v>81640.53286082577</v>
      </c>
      <c r="Q202" s="90">
        <f>INDEX(Q$151:Q$168,MATCH($B180,$B$151:$B$168,0))*INDEX('Resource costs'!$C$121:$C$142, MATCH($B180, 'Resource costs'!$B$121:$B$142,0))</f>
        <v>82910.138137577844</v>
      </c>
      <c r="R202" s="90">
        <f>INDEX(R$151:R$168,MATCH($B180,$B$151:$B$168,0))*INDEX('Resource costs'!$C$121:$C$142, MATCH($B180, 'Resource costs'!$B$121:$B$142,0))</f>
        <v>84170.867371969012</v>
      </c>
      <c r="S202" s="90">
        <f>INDEX(S$151:S$168,MATCH($B180,$B$151:$B$168,0))*INDEX('Resource costs'!$C$121:$C$142, MATCH($B180, 'Resource costs'!$B$121:$B$142,0))</f>
        <v>85426.147068738705</v>
      </c>
      <c r="T202" s="90">
        <f>INDEX(T$151:T$168,MATCH($B180,$B$151:$B$168,0))*INDEX('Resource costs'!$C$121:$C$142, MATCH($B180, 'Resource costs'!$B$121:$B$142,0))</f>
        <v>86652.420285626416</v>
      </c>
      <c r="U202" s="90">
        <f>INDEX(U$151:U$168,MATCH($B180,$B$151:$B$168,0))*INDEX('Resource costs'!$C$121:$C$142, MATCH($B180, 'Resource costs'!$B$121:$B$142,0))</f>
        <v>87853.466294654761</v>
      </c>
      <c r="V202" s="90">
        <f>INDEX(V$151:V$168,MATCH($B180,$B$151:$B$168,0))*INDEX('Resource costs'!$C$121:$C$142, MATCH($B180, 'Resource costs'!$B$121:$B$142,0))</f>
        <v>89083.99539621704</v>
      </c>
      <c r="W202" s="90">
        <f>INDEX(W$151:W$168,MATCH($B180,$B$151:$B$168,0))*INDEX('Resource costs'!$C$121:$C$142, MATCH($B180, 'Resource costs'!$B$121:$B$142,0))</f>
        <v>90297.107482280364</v>
      </c>
      <c r="X202" s="90">
        <f>INDEX(X$151:X$168,MATCH($B180,$B$151:$B$168,0))*INDEX('Resource costs'!$C$121:$C$142, MATCH($B180, 'Resource costs'!$B$121:$B$142,0))</f>
        <v>91479.909345579101</v>
      </c>
      <c r="Y202" s="90">
        <f>INDEX(Y$151:Y$168,MATCH($B180,$B$151:$B$168,0))*INDEX('Resource costs'!$C$121:$C$142, MATCH($B180, 'Resource costs'!$B$121:$B$142,0))</f>
        <v>92630.711232672664</v>
      </c>
      <c r="Z202" s="90">
        <f>INDEX(Z$151:Z$168,MATCH($B180,$B$151:$B$168,0))*INDEX('Resource costs'!$C$121:$C$142, MATCH($B180, 'Resource costs'!$B$121:$B$142,0))</f>
        <v>93771.794329997385</v>
      </c>
      <c r="AA202" s="90">
        <f>INDEX(AA$151:AA$168,MATCH($B180,$B$151:$B$168,0))*INDEX('Resource costs'!$C$121:$C$142, MATCH($B180, 'Resource costs'!$B$121:$B$142,0))</f>
        <v>94897.973817603764</v>
      </c>
      <c r="AB202" s="90">
        <f>INDEX(AB$151:AB$168,MATCH($B180,$B$151:$B$168,0))*INDEX('Resource costs'!$C$121:$C$142, MATCH($B180, 'Resource costs'!$B$121:$B$142,0))</f>
        <v>96000.129363151675</v>
      </c>
      <c r="AC202" s="90">
        <f>INDEX(AC$151:AC$168,MATCH($B180,$B$151:$B$168,0))*INDEX('Resource costs'!$C$121:$C$142, MATCH($B180, 'Resource costs'!$B$121:$B$142,0))</f>
        <v>97071.394730909102</v>
      </c>
      <c r="AD202" s="90">
        <f>INDEX(AD$151:AD$168,MATCH($B180,$B$151:$B$168,0))*INDEX('Resource costs'!$C$121:$C$142, MATCH($B180, 'Resource costs'!$B$121:$B$142,0))</f>
        <v>98105.036769540806</v>
      </c>
      <c r="AE202" s="90">
        <f>INDEX(AE$151:AE$168,MATCH($B180,$B$151:$B$168,0))*INDEX('Resource costs'!$C$121:$C$142, MATCH($B180, 'Resource costs'!$B$121:$B$142,0))</f>
        <v>99096.260637095897</v>
      </c>
      <c r="AF202" s="90">
        <f>INDEX(AF$151:AF$168,MATCH($B180,$B$151:$B$168,0))*INDEX('Resource costs'!$C$121:$C$142, MATCH($B180, 'Resource costs'!$B$121:$B$142,0))</f>
        <v>100040.78538244465</v>
      </c>
      <c r="AG202" s="90">
        <f>INDEX(AG$151:AG$168,MATCH($B180,$B$151:$B$168,0))*INDEX('Resource costs'!$C$121:$C$142, MATCH($B180, 'Resource costs'!$B$121:$B$142,0))</f>
        <v>100943.04924153638</v>
      </c>
      <c r="AH202" s="90">
        <f>INDEX(AH$151:AH$168,MATCH($B180,$B$151:$B$168,0))*INDEX('Resource costs'!$C$121:$C$142, MATCH($B180, 'Resource costs'!$B$121:$B$142,0))</f>
        <v>101823.68352482133</v>
      </c>
      <c r="AI202" s="90">
        <f>INDEX(AI$151:AI$168,MATCH($B180,$B$151:$B$168,0))*INDEX('Resource costs'!$C$121:$C$142, MATCH($B180, 'Resource costs'!$B$121:$B$142,0))</f>
        <v>102684.63815917996</v>
      </c>
      <c r="AJ202" s="90">
        <f>INDEX(AJ$151:AJ$168,MATCH($B180,$B$151:$B$168,0))*INDEX('Resource costs'!$C$121:$C$142, MATCH($B180, 'Resource costs'!$B$121:$B$142,0))</f>
        <v>103533.24664604198</v>
      </c>
      <c r="AK202" s="90">
        <f>INDEX(AK$151:AK$168,MATCH($B180,$B$151:$B$168,0))*INDEX('Resource costs'!$C$121:$C$142, MATCH($B180, 'Resource costs'!$B$121:$B$142,0))</f>
        <v>104346.29836949043</v>
      </c>
      <c r="AL202" s="90">
        <f>INDEX(AL$151:AL$168,MATCH($B180,$B$151:$B$168,0))*INDEX('Resource costs'!$C$121:$C$142, MATCH($B180, 'Resource costs'!$B$121:$B$142,0))</f>
        <v>105106.62170744005</v>
      </c>
      <c r="AM202" s="90">
        <f>INDEX(AM$151:AM$168,MATCH($B180,$B$151:$B$168,0))*INDEX('Resource costs'!$C$121:$C$142, MATCH($B180, 'Resource costs'!$B$121:$B$142,0))</f>
        <v>105803.02178124514</v>
      </c>
      <c r="AN202" s="90">
        <f>INDEX(AN$151:AN$168,MATCH($B180,$B$151:$B$168,0))*INDEX('Resource costs'!$C$121:$C$142, MATCH($B180, 'Resource costs'!$B$121:$B$142,0))</f>
        <v>106443.30896833421</v>
      </c>
      <c r="AO202" s="90">
        <f>INDEX(AO$151:AO$168,MATCH($B180,$B$151:$B$168,0))*INDEX('Resource costs'!$C$121:$C$142, MATCH($B180, 'Resource costs'!$B$121:$B$142,0))</f>
        <v>107029.46968106501</v>
      </c>
      <c r="AP202" s="90">
        <f>INDEX(AP$151:AP$168,MATCH($B180,$B$151:$B$168,0))*INDEX('Resource costs'!$C$121:$C$142, MATCH($B180, 'Resource costs'!$B$121:$B$142,0))</f>
        <v>107558.90362409862</v>
      </c>
      <c r="AQ202" s="90">
        <f>INDEX(AQ$151:AQ$168,MATCH($B180,$B$151:$B$168,0))*INDEX('Resource costs'!$C$121:$C$142, MATCH($B180, 'Resource costs'!$B$121:$B$142,0))</f>
        <v>108056.7734660135</v>
      </c>
      <c r="AR202" s="90">
        <f>INDEX(AR$151:AR$168,MATCH($B180,$B$151:$B$168,0))*INDEX('Resource costs'!$C$121:$C$142, MATCH($B180, 'Resource costs'!$B$121:$B$142,0))</f>
        <v>108550.5804870124</v>
      </c>
      <c r="AS202" s="90">
        <f>INDEX(AS$151:AS$168,MATCH($B180,$B$151:$B$168,0))*INDEX('Resource costs'!$C$121:$C$142, MATCH($B180, 'Resource costs'!$B$121:$B$142,0))</f>
        <v>109061.73594541711</v>
      </c>
      <c r="AT202" s="90">
        <f>INDEX(AT$151:AT$168,MATCH($B180,$B$151:$B$168,0))*INDEX('Resource costs'!$C$121:$C$142, MATCH($B180, 'Resource costs'!$B$121:$B$142,0))</f>
        <v>109446.76379446046</v>
      </c>
      <c r="AU202" s="90">
        <f>INDEX(AU$151:AU$168,MATCH($B180,$B$151:$B$168,0))*INDEX('Resource costs'!$C$121:$C$142, MATCH($B180, 'Resource costs'!$B$121:$B$142,0))</f>
        <v>109736.78602175241</v>
      </c>
      <c r="AV202" s="90">
        <f>INDEX(AV$151:AV$168,MATCH($B180,$B$151:$B$168,0))*INDEX('Resource costs'!$C$121:$C$142, MATCH($B180, 'Resource costs'!$B$121:$B$142,0))</f>
        <v>109955.24526446003</v>
      </c>
      <c r="AW202" s="90">
        <f>INDEX(AW$151:AW$168,MATCH($B180,$B$151:$B$168,0))*INDEX('Resource costs'!$C$121:$C$142, MATCH($B180, 'Resource costs'!$B$121:$B$142,0))</f>
        <v>110119.79968902958</v>
      </c>
      <c r="AX202" s="90">
        <f>INDEX(AX$151:AX$168,MATCH($B180,$B$151:$B$168,0))*INDEX('Resource costs'!$C$121:$C$142, MATCH($B180, 'Resource costs'!$B$121:$B$142,0))</f>
        <v>110243.75030933657</v>
      </c>
      <c r="AY202" s="90">
        <f>INDEX(AY$151:AY$168,MATCH($B180,$B$151:$B$168,0))*INDEX('Resource costs'!$C$121:$C$142, MATCH($B180, 'Resource costs'!$B$121:$B$142,0))</f>
        <v>110337.11611408282</v>
      </c>
      <c r="AZ202" s="90">
        <f>INDEX(AZ$151:AZ$168,MATCH($B180,$B$151:$B$168,0))*INDEX('Resource costs'!$C$121:$C$142, MATCH($B180, 'Resource costs'!$B$121:$B$142,0))</f>
        <v>110407.44390650792</v>
      </c>
      <c r="BA202" s="90">
        <f>INDEX(BA$151:BA$168,MATCH($B180,$B$151:$B$168,0))*INDEX('Resource costs'!$C$121:$C$142, MATCH($B180, 'Resource costs'!$B$121:$B$142,0))</f>
        <v>110460.41831615215</v>
      </c>
      <c r="BB202" s="90">
        <f>INDEX(BB$151:BB$168,MATCH($B180,$B$151:$B$168,0))*INDEX('Resource costs'!$C$121:$C$142, MATCH($B180, 'Resource costs'!$B$121:$B$142,0))</f>
        <v>110500.32129021666</v>
      </c>
    </row>
    <row r="203" spans="2:54" s="97" customFormat="1">
      <c r="B203" s="6" t="s">
        <v>103</v>
      </c>
      <c r="C203" s="316"/>
      <c r="D203" s="90">
        <f>INDEX(D$151:D$168,MATCH($B181,$B$151:$B$168,0))*INDEX('Resource costs'!$C$121:$C$142, MATCH($B181, 'Resource costs'!$B$121:$B$142,0))</f>
        <v>248364.99615314967</v>
      </c>
      <c r="E203" s="90">
        <f>INDEX(E$151:E$168,MATCH($B181,$B$151:$B$168,0))*INDEX('Resource costs'!$C$121:$C$142, MATCH($B181, 'Resource costs'!$B$121:$B$142,0))</f>
        <v>256854.22484682949</v>
      </c>
      <c r="F203" s="90">
        <f>INDEX(F$151:F$168,MATCH($B181,$B$151:$B$168,0))*INDEX('Resource costs'!$C$121:$C$142, MATCH($B181, 'Resource costs'!$B$121:$B$142,0))</f>
        <v>264119.95866437041</v>
      </c>
      <c r="G203" s="90">
        <f>INDEX(G$151:G$168,MATCH($B181,$B$151:$B$168,0))*INDEX('Resource costs'!$C$121:$C$142, MATCH($B181, 'Resource costs'!$B$121:$B$142,0))</f>
        <v>270561.75032128702</v>
      </c>
      <c r="H203" s="90">
        <f>INDEX(H$151:H$168,MATCH($B181,$B$151:$B$168,0))*INDEX('Resource costs'!$C$121:$C$142, MATCH($B181, 'Resource costs'!$B$121:$B$142,0))</f>
        <v>276542.25598711969</v>
      </c>
      <c r="I203" s="90">
        <f>INDEX(I$151:I$168,MATCH($B181,$B$151:$B$168,0))*INDEX('Resource costs'!$C$121:$C$142, MATCH($B181, 'Resource costs'!$B$121:$B$142,0))</f>
        <v>282261.56475043844</v>
      </c>
      <c r="J203" s="90">
        <f>INDEX(J$151:J$168,MATCH($B181,$B$151:$B$168,0))*INDEX('Resource costs'!$C$121:$C$142, MATCH($B181, 'Resource costs'!$B$121:$B$142,0))</f>
        <v>287726.10815221531</v>
      </c>
      <c r="K203" s="90">
        <f>INDEX(K$151:K$168,MATCH($B181,$B$151:$B$168,0))*INDEX('Resource costs'!$C$121:$C$142, MATCH($B181, 'Resource costs'!$B$121:$B$142,0))</f>
        <v>293030.12168233923</v>
      </c>
      <c r="L203" s="90">
        <f>INDEX(L$151:L$168,MATCH($B181,$B$151:$B$168,0))*INDEX('Resource costs'!$C$121:$C$142, MATCH($B181, 'Resource costs'!$B$121:$B$142,0))</f>
        <v>298734.52598613757</v>
      </c>
      <c r="M203" s="90">
        <f>INDEX(M$151:M$168,MATCH($B181,$B$151:$B$168,0))*INDEX('Resource costs'!$C$121:$C$142, MATCH($B181, 'Resource costs'!$B$121:$B$142,0))</f>
        <v>304472.12855325424</v>
      </c>
      <c r="N203" s="90">
        <f>INDEX(N$151:N$168,MATCH($B181,$B$151:$B$168,0))*INDEX('Resource costs'!$C$121:$C$142, MATCH($B181, 'Resource costs'!$B$121:$B$142,0))</f>
        <v>310069.5080794855</v>
      </c>
      <c r="O203" s="90">
        <f>INDEX(O$151:O$168,MATCH($B181,$B$151:$B$168,0))*INDEX('Resource costs'!$C$121:$C$142, MATCH($B181, 'Resource costs'!$B$121:$B$142,0))</f>
        <v>315455.5195093092</v>
      </c>
      <c r="P203" s="90">
        <f>INDEX(P$151:P$168,MATCH($B181,$B$151:$B$168,0))*INDEX('Resource costs'!$C$121:$C$142, MATCH($B181, 'Resource costs'!$B$121:$B$142,0))</f>
        <v>320590.35807889182</v>
      </c>
      <c r="Q203" s="90">
        <f>INDEX(Q$151:Q$168,MATCH($B181,$B$151:$B$168,0))*INDEX('Resource costs'!$C$121:$C$142, MATCH($B181, 'Resource costs'!$B$121:$B$142,0))</f>
        <v>325575.91116177849</v>
      </c>
      <c r="R203" s="90">
        <f>INDEX(R$151:R$168,MATCH($B181,$B$151:$B$168,0))*INDEX('Resource costs'!$C$121:$C$142, MATCH($B181, 'Resource costs'!$B$121:$B$142,0))</f>
        <v>330526.60933253885</v>
      </c>
      <c r="S203" s="90">
        <f>INDEX(S$151:S$168,MATCH($B181,$B$151:$B$168,0))*INDEX('Resource costs'!$C$121:$C$142, MATCH($B181, 'Resource costs'!$B$121:$B$142,0))</f>
        <v>335455.90797102998</v>
      </c>
      <c r="T203" s="90">
        <f>INDEX(T$151:T$168,MATCH($B181,$B$151:$B$168,0))*INDEX('Resource costs'!$C$121:$C$142, MATCH($B181, 'Resource costs'!$B$121:$B$142,0))</f>
        <v>340271.30243170517</v>
      </c>
      <c r="U203" s="90">
        <f>INDEX(U$151:U$168,MATCH($B181,$B$151:$B$168,0))*INDEX('Resource costs'!$C$121:$C$142, MATCH($B181, 'Resource costs'!$B$121:$B$142,0))</f>
        <v>344987.63335962803</v>
      </c>
      <c r="V203" s="90">
        <f>INDEX(V$151:V$168,MATCH($B181,$B$151:$B$168,0))*INDEX('Resource costs'!$C$121:$C$142, MATCH($B181, 'Resource costs'!$B$121:$B$142,0))</f>
        <v>349819.74005311145</v>
      </c>
      <c r="W203" s="90">
        <f>INDEX(W$151:W$168,MATCH($B181,$B$151:$B$168,0))*INDEX('Resource costs'!$C$121:$C$142, MATCH($B181, 'Resource costs'!$B$121:$B$142,0))</f>
        <v>354583.45268987067</v>
      </c>
      <c r="X203" s="90">
        <f>INDEX(X$151:X$168,MATCH($B181,$B$151:$B$168,0))*INDEX('Resource costs'!$C$121:$C$142, MATCH($B181, 'Resource costs'!$B$121:$B$142,0))</f>
        <v>359228.1415423766</v>
      </c>
      <c r="Y203" s="90">
        <f>INDEX(Y$151:Y$168,MATCH($B181,$B$151:$B$168,0))*INDEX('Resource costs'!$C$121:$C$142, MATCH($B181, 'Resource costs'!$B$121:$B$142,0))</f>
        <v>363747.17119753727</v>
      </c>
      <c r="Z203" s="90">
        <f>INDEX(Z$151:Z$168,MATCH($B181,$B$151:$B$168,0))*INDEX('Resource costs'!$C$121:$C$142, MATCH($B181, 'Resource costs'!$B$121:$B$142,0))</f>
        <v>368228.03659552184</v>
      </c>
      <c r="AA203" s="90">
        <f>INDEX(AA$151:AA$168,MATCH($B181,$B$151:$B$168,0))*INDEX('Resource costs'!$C$121:$C$142, MATCH($B181, 'Resource costs'!$B$121:$B$142,0))</f>
        <v>372650.37771140254</v>
      </c>
      <c r="AB203" s="90">
        <f>INDEX(AB$151:AB$168,MATCH($B181,$B$151:$B$168,0))*INDEX('Resource costs'!$C$121:$C$142, MATCH($B181, 'Resource costs'!$B$121:$B$142,0))</f>
        <v>376978.38034225488</v>
      </c>
      <c r="AC203" s="90">
        <f>INDEX(AC$151:AC$168,MATCH($B181,$B$151:$B$168,0))*INDEX('Resource costs'!$C$121:$C$142, MATCH($B181, 'Resource costs'!$B$121:$B$142,0))</f>
        <v>381185.08179081517</v>
      </c>
      <c r="AD203" s="90">
        <f>INDEX(AD$151:AD$168,MATCH($B181,$B$151:$B$168,0))*INDEX('Resource costs'!$C$121:$C$142, MATCH($B181, 'Resource costs'!$B$121:$B$142,0))</f>
        <v>385244.04196266056</v>
      </c>
      <c r="AE203" s="90">
        <f>INDEX(AE$151:AE$168,MATCH($B181,$B$151:$B$168,0))*INDEX('Resource costs'!$C$121:$C$142, MATCH($B181, 'Resource costs'!$B$121:$B$142,0))</f>
        <v>389136.43221907347</v>
      </c>
      <c r="AF203" s="90">
        <f>INDEX(AF$151:AF$168,MATCH($B181,$B$151:$B$168,0))*INDEX('Resource costs'!$C$121:$C$142, MATCH($B181, 'Resource costs'!$B$121:$B$142,0))</f>
        <v>392845.4418949649</v>
      </c>
      <c r="AG203" s="90">
        <f>INDEX(AG$151:AG$168,MATCH($B181,$B$151:$B$168,0))*INDEX('Resource costs'!$C$121:$C$142, MATCH($B181, 'Resource costs'!$B$121:$B$142,0))</f>
        <v>396388.49928976368</v>
      </c>
      <c r="AH203" s="90">
        <f>INDEX(AH$151:AH$168,MATCH($B181,$B$151:$B$168,0))*INDEX('Resource costs'!$C$121:$C$142, MATCH($B181, 'Resource costs'!$B$121:$B$142,0))</f>
        <v>399846.62052344234</v>
      </c>
      <c r="AI203" s="90">
        <f>INDEX(AI$151:AI$168,MATCH($B181,$B$151:$B$168,0))*INDEX('Resource costs'!$C$121:$C$142, MATCH($B181, 'Resource costs'!$B$121:$B$142,0))</f>
        <v>403227.4626719036</v>
      </c>
      <c r="AJ203" s="90">
        <f>INDEX(AJ$151:AJ$168,MATCH($B181,$B$151:$B$168,0))*INDEX('Resource costs'!$C$121:$C$142, MATCH($B181, 'Resource costs'!$B$121:$B$142,0))</f>
        <v>406559.82331604179</v>
      </c>
      <c r="AK203" s="90">
        <f>INDEX(AK$151:AK$168,MATCH($B181,$B$151:$B$168,0))*INDEX('Resource costs'!$C$121:$C$142, MATCH($B181, 'Resource costs'!$B$121:$B$142,0))</f>
        <v>409752.55778289464</v>
      </c>
      <c r="AL203" s="90">
        <f>INDEX(AL$151:AL$168,MATCH($B181,$B$151:$B$168,0))*INDEX('Resource costs'!$C$121:$C$142, MATCH($B181, 'Resource costs'!$B$121:$B$142,0))</f>
        <v>412738.23563956097</v>
      </c>
      <c r="AM203" s="90">
        <f>INDEX(AM$151:AM$168,MATCH($B181,$B$151:$B$168,0))*INDEX('Resource costs'!$C$121:$C$142, MATCH($B181, 'Resource costs'!$B$121:$B$142,0))</f>
        <v>415472.89624507102</v>
      </c>
      <c r="AN203" s="90">
        <f>INDEX(AN$151:AN$168,MATCH($B181,$B$151:$B$168,0))*INDEX('Resource costs'!$C$121:$C$142, MATCH($B181, 'Resource costs'!$B$121:$B$142,0))</f>
        <v>417987.20980218775</v>
      </c>
      <c r="AO203" s="90">
        <f>INDEX(AO$151:AO$168,MATCH($B181,$B$151:$B$168,0))*INDEX('Resource costs'!$C$121:$C$142, MATCH($B181, 'Resource costs'!$B$121:$B$142,0))</f>
        <v>420288.97665991378</v>
      </c>
      <c r="AP203" s="90">
        <f>INDEX(AP$151:AP$168,MATCH($B181,$B$151:$B$168,0))*INDEX('Resource costs'!$C$121:$C$142, MATCH($B181, 'Resource costs'!$B$121:$B$142,0))</f>
        <v>422367.98584112048</v>
      </c>
      <c r="AQ203" s="90">
        <f>INDEX(AQ$151:AQ$168,MATCH($B181,$B$151:$B$168,0))*INDEX('Resource costs'!$C$121:$C$142, MATCH($B181, 'Resource costs'!$B$121:$B$142,0))</f>
        <v>424323.04744230176</v>
      </c>
      <c r="AR203" s="90">
        <f>INDEX(AR$151:AR$168,MATCH($B181,$B$151:$B$168,0))*INDEX('Resource costs'!$C$121:$C$142, MATCH($B181, 'Resource costs'!$B$121:$B$142,0))</f>
        <v>426262.15494364273</v>
      </c>
      <c r="AS203" s="90">
        <f>INDEX(AS$151:AS$168,MATCH($B181,$B$151:$B$168,0))*INDEX('Resource costs'!$C$121:$C$142, MATCH($B181, 'Resource costs'!$B$121:$B$142,0))</f>
        <v>428269.38720562845</v>
      </c>
      <c r="AT203" s="90">
        <f>INDEX(AT$151:AT$168,MATCH($B181,$B$151:$B$168,0))*INDEX('Resource costs'!$C$121:$C$142, MATCH($B181, 'Resource costs'!$B$121:$B$142,0))</f>
        <v>429781.3349069691</v>
      </c>
      <c r="AU203" s="90">
        <f>INDEX(AU$151:AU$168,MATCH($B181,$B$151:$B$168,0))*INDEX('Resource costs'!$C$121:$C$142, MATCH($B181, 'Resource costs'!$B$121:$B$142,0))</f>
        <v>430920.20951300417</v>
      </c>
      <c r="AV203" s="90">
        <f>INDEX(AV$151:AV$168,MATCH($B181,$B$151:$B$168,0))*INDEX('Resource costs'!$C$121:$C$142, MATCH($B181, 'Resource costs'!$B$121:$B$142,0))</f>
        <v>431778.06680999987</v>
      </c>
      <c r="AW203" s="90">
        <f>INDEX(AW$151:AW$168,MATCH($B181,$B$151:$B$168,0))*INDEX('Resource costs'!$C$121:$C$142, MATCH($B181, 'Resource costs'!$B$121:$B$142,0))</f>
        <v>432424.24781896209</v>
      </c>
      <c r="AX203" s="90">
        <f>INDEX(AX$151:AX$168,MATCH($B181,$B$151:$B$168,0))*INDEX('Resource costs'!$C$121:$C$142, MATCH($B181, 'Resource costs'!$B$121:$B$142,0))</f>
        <v>432910.98366396269</v>
      </c>
      <c r="AY203" s="90">
        <f>INDEX(AY$151:AY$168,MATCH($B181,$B$151:$B$168,0))*INDEX('Resource costs'!$C$121:$C$142, MATCH($B181, 'Resource costs'!$B$121:$B$142,0))</f>
        <v>433277.61743920943</v>
      </c>
      <c r="AZ203" s="90">
        <f>INDEX(AZ$151:AZ$168,MATCH($B181,$B$151:$B$168,0))*INDEX('Resource costs'!$C$121:$C$142, MATCH($B181, 'Resource costs'!$B$121:$B$142,0))</f>
        <v>433553.78433041414</v>
      </c>
      <c r="BA203" s="90">
        <f>INDEX(BA$151:BA$168,MATCH($B181,$B$151:$B$168,0))*INDEX('Resource costs'!$C$121:$C$142, MATCH($B181, 'Resource costs'!$B$121:$B$142,0))</f>
        <v>433761.80704121396</v>
      </c>
      <c r="BB203" s="90">
        <f>INDEX(BB$151:BB$168,MATCH($B181,$B$151:$B$168,0))*INDEX('Resource costs'!$C$121:$C$142, MATCH($B181, 'Resource costs'!$B$121:$B$142,0))</f>
        <v>433918.50014812406</v>
      </c>
    </row>
    <row r="204" spans="2:54" s="97" customFormat="1">
      <c r="B204" s="6" t="s">
        <v>104</v>
      </c>
      <c r="C204" s="315"/>
      <c r="D204" s="90">
        <f>INDEX(D$151:D$168,MATCH($B182,$B$151:$B$168,0))*INDEX('Resource costs'!$C$121:$C$142, MATCH($B182, 'Resource costs'!$B$121:$B$142,0))</f>
        <v>14804.068268203522</v>
      </c>
      <c r="E204" s="90">
        <f>INDEX(E$151:E$168,MATCH($B182,$B$151:$B$168,0))*INDEX('Resource costs'!$C$121:$C$142, MATCH($B182, 'Resource costs'!$B$121:$B$142,0))</f>
        <v>15310.078064560383</v>
      </c>
      <c r="F204" s="90">
        <f>INDEX(F$151:F$168,MATCH($B182,$B$151:$B$168,0))*INDEX('Resource costs'!$C$121:$C$142, MATCH($B182, 'Resource costs'!$B$121:$B$142,0))</f>
        <v>15743.160105586585</v>
      </c>
      <c r="G204" s="90">
        <f>INDEX(G$151:G$168,MATCH($B182,$B$151:$B$168,0))*INDEX('Resource costs'!$C$121:$C$142, MATCH($B182, 'Resource costs'!$B$121:$B$142,0))</f>
        <v>16127.130169547338</v>
      </c>
      <c r="H204" s="90">
        <f>INDEX(H$151:H$168,MATCH($B182,$B$151:$B$168,0))*INDEX('Resource costs'!$C$121:$C$142, MATCH($B182, 'Resource costs'!$B$121:$B$142,0))</f>
        <v>16483.604775577453</v>
      </c>
      <c r="I204" s="90">
        <f>INDEX(I$151:I$168,MATCH($B182,$B$151:$B$168,0))*INDEX('Resource costs'!$C$121:$C$142, MATCH($B182, 'Resource costs'!$B$121:$B$142,0))</f>
        <v>16824.510453472965</v>
      </c>
      <c r="J204" s="90">
        <f>INDEX(J$151:J$168,MATCH($B182,$B$151:$B$168,0))*INDEX('Resource costs'!$C$121:$C$142, MATCH($B182, 'Resource costs'!$B$121:$B$142,0))</f>
        <v>17150.23056229451</v>
      </c>
      <c r="K204" s="90">
        <f>INDEX(K$151:K$168,MATCH($B182,$B$151:$B$168,0))*INDEX('Resource costs'!$C$121:$C$142, MATCH($B182, 'Resource costs'!$B$121:$B$142,0))</f>
        <v>17466.382111875235</v>
      </c>
      <c r="L204" s="90">
        <f>INDEX(L$151:L$168,MATCH($B182,$B$151:$B$168,0))*INDEX('Resource costs'!$C$121:$C$142, MATCH($B182, 'Resource costs'!$B$121:$B$142,0))</f>
        <v>17806.399393097869</v>
      </c>
      <c r="M204" s="90">
        <f>INDEX(M$151:M$168,MATCH($B182,$B$151:$B$168,0))*INDEX('Resource costs'!$C$121:$C$142, MATCH($B182, 'Resource costs'!$B$121:$B$142,0))</f>
        <v>18148.395493252974</v>
      </c>
      <c r="N204" s="90">
        <f>INDEX(N$151:N$168,MATCH($B182,$B$151:$B$168,0))*INDEX('Resource costs'!$C$121:$C$142, MATCH($B182, 'Resource costs'!$B$121:$B$142,0))</f>
        <v>18482.033445109424</v>
      </c>
      <c r="O204" s="90">
        <f>INDEX(O$151:O$168,MATCH($B182,$B$151:$B$168,0))*INDEX('Resource costs'!$C$121:$C$142, MATCH($B182, 'Resource costs'!$B$121:$B$142,0))</f>
        <v>18803.0725695248</v>
      </c>
      <c r="P204" s="90">
        <f>INDEX(P$151:P$168,MATCH($B182,$B$151:$B$168,0))*INDEX('Resource costs'!$C$121:$C$142, MATCH($B182, 'Resource costs'!$B$121:$B$142,0))</f>
        <v>19109.140259850337</v>
      </c>
      <c r="Q204" s="90">
        <f>INDEX(Q$151:Q$168,MATCH($B182,$B$151:$B$168,0))*INDEX('Resource costs'!$C$121:$C$142, MATCH($B182, 'Resource costs'!$B$121:$B$142,0))</f>
        <v>19406.309624845297</v>
      </c>
      <c r="R204" s="90">
        <f>INDEX(R$151:R$168,MATCH($B182,$B$151:$B$168,0))*INDEX('Resource costs'!$C$121:$C$142, MATCH($B182, 'Resource costs'!$B$121:$B$142,0))</f>
        <v>19701.401424536802</v>
      </c>
      <c r="S204" s="90">
        <f>INDEX(S$151:S$168,MATCH($B182,$B$151:$B$168,0))*INDEX('Resource costs'!$C$121:$C$142, MATCH($B182, 'Resource costs'!$B$121:$B$142,0))</f>
        <v>19995.217681613492</v>
      </c>
      <c r="T204" s="90">
        <f>INDEX(T$151:T$168,MATCH($B182,$B$151:$B$168,0))*INDEX('Resource costs'!$C$121:$C$142, MATCH($B182, 'Resource costs'!$B$121:$B$142,0))</f>
        <v>20282.244555119476</v>
      </c>
      <c r="U204" s="90">
        <f>INDEX(U$151:U$168,MATCH($B182,$B$151:$B$168,0))*INDEX('Resource costs'!$C$121:$C$142, MATCH($B182, 'Resource costs'!$B$121:$B$142,0))</f>
        <v>20563.366637996874</v>
      </c>
      <c r="V204" s="90">
        <f>INDEX(V$151:V$168,MATCH($B182,$B$151:$B$168,0))*INDEX('Resource costs'!$C$121:$C$142, MATCH($B182, 'Resource costs'!$B$121:$B$142,0))</f>
        <v>20851.389662487254</v>
      </c>
      <c r="W204" s="90">
        <f>INDEX(W$151:W$168,MATCH($B182,$B$151:$B$168,0))*INDEX('Resource costs'!$C$121:$C$142, MATCH($B182, 'Resource costs'!$B$121:$B$142,0))</f>
        <v>21135.335984138797</v>
      </c>
      <c r="X204" s="90">
        <f>INDEX(X$151:X$168,MATCH($B182,$B$151:$B$168,0))*INDEX('Resource costs'!$C$121:$C$142, MATCH($B182, 'Resource costs'!$B$121:$B$142,0))</f>
        <v>21412.187762457281</v>
      </c>
      <c r="Y204" s="90">
        <f>INDEX(Y$151:Y$168,MATCH($B182,$B$151:$B$168,0))*INDEX('Resource costs'!$C$121:$C$142, MATCH($B182, 'Resource costs'!$B$121:$B$142,0))</f>
        <v>21681.549486360524</v>
      </c>
      <c r="Z204" s="90">
        <f>INDEX(Z$151:Z$168,MATCH($B182,$B$151:$B$168,0))*INDEX('Resource costs'!$C$121:$C$142, MATCH($B182, 'Resource costs'!$B$121:$B$142,0))</f>
        <v>21948.636387815386</v>
      </c>
      <c r="AA204" s="90">
        <f>INDEX(AA$151:AA$168,MATCH($B182,$B$151:$B$168,0))*INDEX('Resource costs'!$C$121:$C$142, MATCH($B182, 'Resource costs'!$B$121:$B$142,0))</f>
        <v>22212.234885183396</v>
      </c>
      <c r="AB204" s="90">
        <f>INDEX(AB$151:AB$168,MATCH($B182,$B$151:$B$168,0))*INDEX('Resource costs'!$C$121:$C$142, MATCH($B182, 'Resource costs'!$B$121:$B$142,0))</f>
        <v>22470.210233579888</v>
      </c>
      <c r="AC204" s="90">
        <f>INDEX(AC$151:AC$168,MATCH($B182,$B$151:$B$168,0))*INDEX('Resource costs'!$C$121:$C$142, MATCH($B182, 'Resource costs'!$B$121:$B$142,0))</f>
        <v>22720.955291832928</v>
      </c>
      <c r="AD204" s="90">
        <f>INDEX(AD$151:AD$168,MATCH($B182,$B$151:$B$168,0))*INDEX('Resource costs'!$C$121:$C$142, MATCH($B182, 'Resource costs'!$B$121:$B$142,0))</f>
        <v>22962.894069086651</v>
      </c>
      <c r="AE204" s="90">
        <f>INDEX(AE$151:AE$168,MATCH($B182,$B$151:$B$168,0))*INDEX('Resource costs'!$C$121:$C$142, MATCH($B182, 'Resource costs'!$B$121:$B$142,0))</f>
        <v>23194.904263658893</v>
      </c>
      <c r="AF204" s="90">
        <f>INDEX(AF$151:AF$168,MATCH($B182,$B$151:$B$168,0))*INDEX('Resource costs'!$C$121:$C$142, MATCH($B182, 'Resource costs'!$B$121:$B$142,0))</f>
        <v>23415.983857401101</v>
      </c>
      <c r="AG204" s="90">
        <f>INDEX(AG$151:AG$168,MATCH($B182,$B$151:$B$168,0))*INDEX('Resource costs'!$C$121:$C$142, MATCH($B182, 'Resource costs'!$B$121:$B$142,0))</f>
        <v>23627.171683234741</v>
      </c>
      <c r="AH204" s="90">
        <f>INDEX(AH$151:AH$168,MATCH($B182,$B$151:$B$168,0))*INDEX('Resource costs'!$C$121:$C$142, MATCH($B182, 'Resource costs'!$B$121:$B$142,0))</f>
        <v>23833.296795935952</v>
      </c>
      <c r="AI204" s="90">
        <f>INDEX(AI$151:AI$168,MATCH($B182,$B$151:$B$168,0))*INDEX('Resource costs'!$C$121:$C$142, MATCH($B182, 'Resource costs'!$B$121:$B$142,0))</f>
        <v>24034.815603920382</v>
      </c>
      <c r="AJ204" s="90">
        <f>INDEX(AJ$151:AJ$168,MATCH($B182,$B$151:$B$168,0))*INDEX('Resource costs'!$C$121:$C$142, MATCH($B182, 'Resource costs'!$B$121:$B$142,0))</f>
        <v>24233.444618613245</v>
      </c>
      <c r="AK204" s="90">
        <f>INDEX(AK$151:AK$168,MATCH($B182,$B$151:$B$168,0))*INDEX('Resource costs'!$C$121:$C$142, MATCH($B182, 'Resource costs'!$B$121:$B$142,0))</f>
        <v>24423.751061717612</v>
      </c>
      <c r="AL204" s="90">
        <f>INDEX(AL$151:AL$168,MATCH($B182,$B$151:$B$168,0))*INDEX('Resource costs'!$C$121:$C$142, MATCH($B182, 'Resource costs'!$B$121:$B$142,0))</f>
        <v>24601.715668250559</v>
      </c>
      <c r="AM204" s="90">
        <f>INDEX(AM$151:AM$168,MATCH($B182,$B$151:$B$168,0))*INDEX('Resource costs'!$C$121:$C$142, MATCH($B182, 'Resource costs'!$B$121:$B$142,0))</f>
        <v>24764.718115944004</v>
      </c>
      <c r="AN204" s="90">
        <f>INDEX(AN$151:AN$168,MATCH($B182,$B$151:$B$168,0))*INDEX('Resource costs'!$C$121:$C$142, MATCH($B182, 'Resource costs'!$B$121:$B$142,0))</f>
        <v>24914.586535905542</v>
      </c>
      <c r="AO204" s="90">
        <f>INDEX(AO$151:AO$168,MATCH($B182,$B$151:$B$168,0))*INDEX('Resource costs'!$C$121:$C$142, MATCH($B182, 'Resource costs'!$B$121:$B$142,0))</f>
        <v>25051.785876501239</v>
      </c>
      <c r="AP204" s="90">
        <f>INDEX(AP$151:AP$168,MATCH($B182,$B$151:$B$168,0))*INDEX('Resource costs'!$C$121:$C$142, MATCH($B182, 'Resource costs'!$B$121:$B$142,0))</f>
        <v>25175.707501229019</v>
      </c>
      <c r="AQ204" s="90">
        <f>INDEX(AQ$151:AQ$168,MATCH($B182,$B$151:$B$168,0))*INDEX('Resource costs'!$C$121:$C$142, MATCH($B182, 'Resource costs'!$B$121:$B$142,0))</f>
        <v>25292.241094371038</v>
      </c>
      <c r="AR204" s="90">
        <f>INDEX(AR$151:AR$168,MATCH($B182,$B$151:$B$168,0))*INDEX('Resource costs'!$C$121:$C$142, MATCH($B182, 'Resource costs'!$B$121:$B$142,0))</f>
        <v>25407.823725876548</v>
      </c>
      <c r="AS204" s="90">
        <f>INDEX(AS$151:AS$168,MATCH($B182,$B$151:$B$168,0))*INDEX('Resource costs'!$C$121:$C$142, MATCH($B182, 'Resource costs'!$B$121:$B$142,0))</f>
        <v>25527.467008532425</v>
      </c>
      <c r="AT204" s="90">
        <f>INDEX(AT$151:AT$168,MATCH($B182,$B$151:$B$168,0))*INDEX('Resource costs'!$C$121:$C$142, MATCH($B182, 'Resource costs'!$B$121:$B$142,0))</f>
        <v>25617.588311192962</v>
      </c>
      <c r="AU204" s="90">
        <f>INDEX(AU$151:AU$168,MATCH($B182,$B$151:$B$168,0))*INDEX('Resource costs'!$C$121:$C$142, MATCH($B182, 'Resource costs'!$B$121:$B$142,0))</f>
        <v>25685.472182422018</v>
      </c>
      <c r="AV204" s="90">
        <f>INDEX(AV$151:AV$168,MATCH($B182,$B$151:$B$168,0))*INDEX('Resource costs'!$C$121:$C$142, MATCH($B182, 'Resource costs'!$B$121:$B$142,0))</f>
        <v>25736.605708425297</v>
      </c>
      <c r="AW204" s="90">
        <f>INDEX(AW$151:AW$168,MATCH($B182,$B$151:$B$168,0))*INDEX('Resource costs'!$C$121:$C$142, MATCH($B182, 'Resource costs'!$B$121:$B$142,0))</f>
        <v>25775.122036887271</v>
      </c>
      <c r="AX204" s="90">
        <f>INDEX(AX$151:AX$168,MATCH($B182,$B$151:$B$168,0))*INDEX('Resource costs'!$C$121:$C$142, MATCH($B182, 'Resource costs'!$B$121:$B$142,0))</f>
        <v>25804.134461301255</v>
      </c>
      <c r="AY204" s="90">
        <f>INDEX(AY$151:AY$168,MATCH($B182,$B$151:$B$168,0))*INDEX('Resource costs'!$C$121:$C$142, MATCH($B182, 'Resource costs'!$B$121:$B$142,0))</f>
        <v>25825.988069991083</v>
      </c>
      <c r="AZ204" s="90">
        <f>INDEX(AZ$151:AZ$168,MATCH($B182,$B$151:$B$168,0))*INDEX('Resource costs'!$C$121:$C$142, MATCH($B182, 'Resource costs'!$B$121:$B$142,0))</f>
        <v>25842.449300736702</v>
      </c>
      <c r="BA204" s="90">
        <f>INDEX(BA$151:BA$168,MATCH($B182,$B$151:$B$168,0))*INDEX('Resource costs'!$C$121:$C$142, MATCH($B182, 'Resource costs'!$B$121:$B$142,0))</f>
        <v>25854.848722795839</v>
      </c>
      <c r="BB204" s="90">
        <f>INDEX(BB$151:BB$168,MATCH($B182,$B$151:$B$168,0))*INDEX('Resource costs'!$C$121:$C$142, MATCH($B182, 'Resource costs'!$B$121:$B$142,0))</f>
        <v>25864.188587461878</v>
      </c>
    </row>
    <row r="205" spans="2:54" s="97" customFormat="1">
      <c r="B205" s="6" t="s">
        <v>17</v>
      </c>
      <c r="C205" s="315"/>
      <c r="D205" s="90">
        <f>INDEX(D$151:D$168,MATCH($B183,$B$151:$B$168,0))*INDEX('Resource costs'!$C$121:$C$142, MATCH($B183, 'Resource costs'!$B$121:$B$142,0))</f>
        <v>17119.974544977016</v>
      </c>
      <c r="E205" s="90">
        <f>INDEX(E$151:E$168,MATCH($B183,$B$151:$B$168,0))*INDEX('Resource costs'!$C$121:$C$142, MATCH($B183, 'Resource costs'!$B$121:$B$142,0))</f>
        <v>17705.143072721836</v>
      </c>
      <c r="F205" s="90">
        <f>INDEX(F$151:F$168,MATCH($B183,$B$151:$B$168,0))*INDEX('Resource costs'!$C$121:$C$142, MATCH($B183, 'Resource costs'!$B$121:$B$142,0))</f>
        <v>18205.975234795824</v>
      </c>
      <c r="G205" s="90">
        <f>INDEX(G$151:G$168,MATCH($B183,$B$151:$B$168,0))*INDEX('Resource costs'!$C$121:$C$142, MATCH($B183, 'Resource costs'!$B$121:$B$142,0))</f>
        <v>18650.012481986862</v>
      </c>
      <c r="H205" s="90">
        <f>INDEX(H$151:H$168,MATCH($B183,$B$151:$B$168,0))*INDEX('Resource costs'!$C$121:$C$142, MATCH($B183, 'Resource costs'!$B$121:$B$142,0))</f>
        <v>19062.252960117734</v>
      </c>
      <c r="I205" s="90">
        <f>INDEX(I$151:I$168,MATCH($B183,$B$151:$B$168,0))*INDEX('Resource costs'!$C$121:$C$142, MATCH($B183, 'Resource costs'!$B$121:$B$142,0))</f>
        <v>19456.488951338102</v>
      </c>
      <c r="J205" s="90">
        <f>INDEX(J$151:J$168,MATCH($B183,$B$151:$B$168,0))*INDEX('Resource costs'!$C$121:$C$142, MATCH($B183, 'Resource costs'!$B$121:$B$142,0))</f>
        <v>19833.163786308225</v>
      </c>
      <c r="K205" s="90">
        <f>INDEX(K$151:K$168,MATCH($B183,$B$151:$B$168,0))*INDEX('Resource costs'!$C$121:$C$142, MATCH($B183, 'Resource costs'!$B$121:$B$142,0))</f>
        <v>20198.773183881876</v>
      </c>
      <c r="L205" s="90">
        <f>INDEX(L$151:L$168,MATCH($B183,$B$151:$B$168,0))*INDEX('Resource costs'!$C$121:$C$142, MATCH($B183, 'Resource costs'!$B$121:$B$142,0))</f>
        <v>20591.98180018409</v>
      </c>
      <c r="M205" s="90">
        <f>INDEX(M$151:M$168,MATCH($B183,$B$151:$B$168,0))*INDEX('Resource costs'!$C$121:$C$142, MATCH($B183, 'Resource costs'!$B$121:$B$142,0))</f>
        <v>20987.478796216743</v>
      </c>
      <c r="N205" s="90">
        <f>INDEX(N$151:N$168,MATCH($B183,$B$151:$B$168,0))*INDEX('Resource costs'!$C$121:$C$142, MATCH($B183, 'Resource costs'!$B$121:$B$142,0))</f>
        <v>21373.310119035534</v>
      </c>
      <c r="O205" s="90">
        <f>INDEX(O$151:O$168,MATCH($B183,$B$151:$B$168,0))*INDEX('Resource costs'!$C$121:$C$142, MATCH($B183, 'Resource costs'!$B$121:$B$142,0))</f>
        <v>21744.571689730783</v>
      </c>
      <c r="P205" s="90">
        <f>INDEX(P$151:P$168,MATCH($B183,$B$151:$B$168,0))*INDEX('Resource costs'!$C$121:$C$142, MATCH($B183, 'Resource costs'!$B$121:$B$142,0))</f>
        <v>22098.519737826959</v>
      </c>
      <c r="Q205" s="90">
        <f>INDEX(Q$151:Q$168,MATCH($B183,$B$151:$B$168,0))*INDEX('Resource costs'!$C$121:$C$142, MATCH($B183, 'Resource costs'!$B$121:$B$142,0))</f>
        <v>22442.177431920936</v>
      </c>
      <c r="R205" s="90">
        <f>INDEX(R$151:R$168,MATCH($B183,$B$151:$B$168,0))*INDEX('Resource costs'!$C$121:$C$142, MATCH($B183, 'Resource costs'!$B$121:$B$142,0))</f>
        <v>22783.432552312453</v>
      </c>
      <c r="S205" s="90">
        <f>INDEX(S$151:S$168,MATCH($B183,$B$151:$B$168,0))*INDEX('Resource costs'!$C$121:$C$142, MATCH($B183, 'Resource costs'!$B$121:$B$142,0))</f>
        <v>23123.212587835336</v>
      </c>
      <c r="T205" s="90">
        <f>INDEX(T$151:T$168,MATCH($B183,$B$151:$B$168,0))*INDEX('Resource costs'!$C$121:$C$142, MATCH($B183, 'Resource costs'!$B$121:$B$142,0))</f>
        <v>23455.141127958388</v>
      </c>
      <c r="U205" s="90">
        <f>INDEX(U$151:U$168,MATCH($B183,$B$151:$B$168,0))*INDEX('Resource costs'!$C$121:$C$142, MATCH($B183, 'Resource costs'!$B$121:$B$142,0))</f>
        <v>23780.241148824203</v>
      </c>
      <c r="V205" s="90">
        <f>INDEX(V$151:V$168,MATCH($B183,$B$151:$B$168,0))*INDEX('Resource costs'!$C$121:$C$142, MATCH($B183, 'Resource costs'!$B$121:$B$142,0))</f>
        <v>24113.321674954535</v>
      </c>
      <c r="W205" s="90">
        <f>INDEX(W$151:W$168,MATCH($B183,$B$151:$B$168,0))*INDEX('Resource costs'!$C$121:$C$142, MATCH($B183, 'Resource costs'!$B$121:$B$142,0))</f>
        <v>24441.687750464687</v>
      </c>
      <c r="X205" s="90">
        <f>INDEX(X$151:X$168,MATCH($B183,$B$151:$B$168,0))*INDEX('Resource costs'!$C$121:$C$142, MATCH($B183, 'Resource costs'!$B$121:$B$142,0))</f>
        <v>24761.84943248854</v>
      </c>
      <c r="Y205" s="90">
        <f>INDEX(Y$151:Y$168,MATCH($B183,$B$151:$B$168,0))*INDEX('Resource costs'!$C$121:$C$142, MATCH($B183, 'Resource costs'!$B$121:$B$142,0))</f>
        <v>25073.349337316682</v>
      </c>
      <c r="Z205" s="90">
        <f>INDEX(Z$151:Z$168,MATCH($B183,$B$151:$B$168,0))*INDEX('Resource costs'!$C$121:$C$142, MATCH($B183, 'Resource costs'!$B$121:$B$142,0))</f>
        <v>25382.218552951483</v>
      </c>
      <c r="AA205" s="90">
        <f>INDEX(AA$151:AA$168,MATCH($B183,$B$151:$B$168,0))*INDEX('Resource costs'!$C$121:$C$142, MATCH($B183, 'Resource costs'!$B$121:$B$142,0))</f>
        <v>25687.053648499314</v>
      </c>
      <c r="AB205" s="90">
        <f>INDEX(AB$151:AB$168,MATCH($B183,$B$151:$B$168,0))*INDEX('Resource costs'!$C$121:$C$142, MATCH($B183, 'Resource costs'!$B$121:$B$142,0))</f>
        <v>25985.385925665683</v>
      </c>
      <c r="AC205" s="90">
        <f>INDEX(AC$151:AC$168,MATCH($B183,$B$151:$B$168,0))*INDEX('Resource costs'!$C$121:$C$142, MATCH($B183, 'Resource costs'!$B$121:$B$142,0))</f>
        <v>26275.356826690968</v>
      </c>
      <c r="AD205" s="90">
        <f>INDEX(AD$151:AD$168,MATCH($B183,$B$151:$B$168,0))*INDEX('Resource costs'!$C$121:$C$142, MATCH($B183, 'Resource costs'!$B$121:$B$142,0))</f>
        <v>26555.143817198354</v>
      </c>
      <c r="AE205" s="90">
        <f>INDEX(AE$151:AE$168,MATCH($B183,$B$151:$B$168,0))*INDEX('Resource costs'!$C$121:$C$142, MATCH($B183, 'Resource costs'!$B$121:$B$142,0))</f>
        <v>26823.449025826932</v>
      </c>
      <c r="AF205" s="90">
        <f>INDEX(AF$151:AF$168,MATCH($B183,$B$151:$B$168,0))*INDEX('Resource costs'!$C$121:$C$142, MATCH($B183, 'Resource costs'!$B$121:$B$142,0))</f>
        <v>27079.113681562794</v>
      </c>
      <c r="AG205" s="90">
        <f>INDEX(AG$151:AG$168,MATCH($B183,$B$151:$B$168,0))*INDEX('Resource costs'!$C$121:$C$142, MATCH($B183, 'Resource costs'!$B$121:$B$142,0))</f>
        <v>27323.339129390974</v>
      </c>
      <c r="AH205" s="90">
        <f>INDEX(AH$151:AH$168,MATCH($B183,$B$151:$B$168,0))*INDEX('Resource costs'!$C$121:$C$142, MATCH($B183, 'Resource costs'!$B$121:$B$142,0))</f>
        <v>27561.709867663278</v>
      </c>
      <c r="AI205" s="90">
        <f>INDEX(AI$151:AI$168,MATCH($B183,$B$151:$B$168,0))*INDEX('Resource costs'!$C$121:$C$142, MATCH($B183, 'Resource costs'!$B$121:$B$142,0))</f>
        <v>27794.753704028008</v>
      </c>
      <c r="AJ205" s="90">
        <f>INDEX(AJ$151:AJ$168,MATCH($B183,$B$151:$B$168,0))*INDEX('Resource costs'!$C$121:$C$142, MATCH($B183, 'Resource costs'!$B$121:$B$142,0))</f>
        <v>28024.455676068988</v>
      </c>
      <c r="AK205" s="90">
        <f>INDEX(AK$151:AK$168,MATCH($B183,$B$151:$B$168,0))*INDEX('Resource costs'!$C$121:$C$142, MATCH($B183, 'Resource costs'!$B$121:$B$142,0))</f>
        <v>28244.533117125484</v>
      </c>
      <c r="AL205" s="90">
        <f>INDEX(AL$151:AL$168,MATCH($B183,$B$151:$B$168,0))*INDEX('Resource costs'!$C$121:$C$142, MATCH($B183, 'Resource costs'!$B$121:$B$142,0))</f>
        <v>28450.337999847809</v>
      </c>
      <c r="AM205" s="90">
        <f>INDEX(AM$151:AM$168,MATCH($B183,$B$151:$B$168,0))*INDEX('Resource costs'!$C$121:$C$142, MATCH($B183, 'Resource costs'!$B$121:$B$142,0))</f>
        <v>28638.840086215139</v>
      </c>
      <c r="AN205" s="90">
        <f>INDEX(AN$151:AN$168,MATCH($B183,$B$151:$B$168,0))*INDEX('Resource costs'!$C$121:$C$142, MATCH($B183, 'Resource costs'!$B$121:$B$142,0))</f>
        <v>28812.153494958879</v>
      </c>
      <c r="AO205" s="90">
        <f>INDEX(AO$151:AO$168,MATCH($B183,$B$151:$B$168,0))*INDEX('Resource costs'!$C$121:$C$142, MATCH($B183, 'Resource costs'!$B$121:$B$142,0))</f>
        <v>28970.81590964329</v>
      </c>
      <c r="AP205" s="90">
        <f>INDEX(AP$151:AP$168,MATCH($B183,$B$151:$B$168,0))*INDEX('Resource costs'!$C$121:$C$142, MATCH($B183, 'Resource costs'!$B$121:$B$142,0))</f>
        <v>29114.123480405335</v>
      </c>
      <c r="AQ205" s="90">
        <f>INDEX(AQ$151:AQ$168,MATCH($B183,$B$151:$B$168,0))*INDEX('Resource costs'!$C$121:$C$142, MATCH($B183, 'Resource costs'!$B$121:$B$142,0))</f>
        <v>29248.887256962022</v>
      </c>
      <c r="AR205" s="90">
        <f>INDEX(AR$151:AR$168,MATCH($B183,$B$151:$B$168,0))*INDEX('Resource costs'!$C$121:$C$142, MATCH($B183, 'Resource costs'!$B$121:$B$142,0))</f>
        <v>29382.551306152192</v>
      </c>
      <c r="AS205" s="90">
        <f>INDEX(AS$151:AS$168,MATCH($B183,$B$151:$B$168,0))*INDEX('Resource costs'!$C$121:$C$142, MATCH($B183, 'Resource costs'!$B$121:$B$142,0))</f>
        <v>29520.911243193652</v>
      </c>
      <c r="AT205" s="90">
        <f>INDEX(AT$151:AT$168,MATCH($B183,$B$151:$B$168,0))*INDEX('Resource costs'!$C$121:$C$142, MATCH($B183, 'Resource costs'!$B$121:$B$142,0))</f>
        <v>29625.130865770123</v>
      </c>
      <c r="AU205" s="90">
        <f>INDEX(AU$151:AU$168,MATCH($B183,$B$151:$B$168,0))*INDEX('Resource costs'!$C$121:$C$142, MATCH($B183, 'Resource costs'!$B$121:$B$142,0))</f>
        <v>29703.634296475866</v>
      </c>
      <c r="AV205" s="90">
        <f>INDEX(AV$151:AV$168,MATCH($B183,$B$151:$B$168,0))*INDEX('Resource costs'!$C$121:$C$142, MATCH($B183, 'Resource costs'!$B$121:$B$142,0))</f>
        <v>29762.76700565495</v>
      </c>
      <c r="AW205" s="90">
        <f>INDEX(AW$151:AW$168,MATCH($B183,$B$151:$B$168,0))*INDEX('Resource costs'!$C$121:$C$142, MATCH($B183, 'Resource costs'!$B$121:$B$142,0))</f>
        <v>29807.308718844113</v>
      </c>
      <c r="AX205" s="90">
        <f>INDEX(AX$151:AX$168,MATCH($B183,$B$151:$B$168,0))*INDEX('Resource costs'!$C$121:$C$142, MATCH($B183, 'Resource costs'!$B$121:$B$142,0))</f>
        <v>29840.859764303841</v>
      </c>
      <c r="AY205" s="90">
        <f>INDEX(AY$151:AY$168,MATCH($B183,$B$151:$B$168,0))*INDEX('Resource costs'!$C$121:$C$142, MATCH($B183, 'Resource costs'!$B$121:$B$142,0))</f>
        <v>29866.132089296381</v>
      </c>
      <c r="AZ205" s="90">
        <f>INDEX(AZ$151:AZ$168,MATCH($B183,$B$151:$B$168,0))*INDEX('Resource costs'!$C$121:$C$142, MATCH($B183, 'Resource costs'!$B$121:$B$142,0))</f>
        <v>29885.16846809701</v>
      </c>
      <c r="BA205" s="90">
        <f>INDEX(BA$151:BA$168,MATCH($B183,$B$151:$B$168,0))*INDEX('Resource costs'!$C$121:$C$142, MATCH($B183, 'Resource costs'!$B$121:$B$142,0))</f>
        <v>29899.507620428587</v>
      </c>
      <c r="BB205" s="90">
        <f>INDEX(BB$151:BB$168,MATCH($B183,$B$151:$B$168,0))*INDEX('Resource costs'!$C$121:$C$142, MATCH($B183, 'Resource costs'!$B$121:$B$142,0))</f>
        <v>29910.308586922347</v>
      </c>
    </row>
    <row r="206" spans="2:54" s="97" customFormat="1" ht="29">
      <c r="B206" s="6" t="s">
        <v>106</v>
      </c>
      <c r="C206" s="315"/>
      <c r="D206" s="90">
        <f>INDEX(D$151:D$168,MATCH($B184,$B$151:$B$168,0))*INDEX('Resource costs'!$C$121:$C$142, MATCH($B184, 'Resource costs'!$B$121:$B$142,0))</f>
        <v>35420.92643142429</v>
      </c>
      <c r="E206" s="90">
        <f>INDEX(E$151:E$168,MATCH($B184,$B$151:$B$168,0))*INDEX('Resource costs'!$C$121:$C$142, MATCH($B184, 'Resource costs'!$B$121:$B$142,0))</f>
        <v>36631.629830356353</v>
      </c>
      <c r="F206" s="90">
        <f>INDEX(F$151:F$168,MATCH($B184,$B$151:$B$168,0))*INDEX('Resource costs'!$C$121:$C$142, MATCH($B184, 'Resource costs'!$B$121:$B$142,0))</f>
        <v>37667.842771018622</v>
      </c>
      <c r="G206" s="90">
        <f>INDEX(G$151:G$168,MATCH($B184,$B$151:$B$168,0))*INDEX('Resource costs'!$C$121:$C$142, MATCH($B184, 'Resource costs'!$B$121:$B$142,0))</f>
        <v>38586.548031020349</v>
      </c>
      <c r="H206" s="90">
        <f>INDEX(H$151:H$168,MATCH($B184,$B$151:$B$168,0))*INDEX('Resource costs'!$C$121:$C$142, MATCH($B184, 'Resource costs'!$B$121:$B$142,0))</f>
        <v>39439.466334699304</v>
      </c>
      <c r="I206" s="90">
        <f>INDEX(I$151:I$168,MATCH($B184,$B$151:$B$168,0))*INDEX('Resource costs'!$C$121:$C$142, MATCH($B184, 'Resource costs'!$B$121:$B$142,0))</f>
        <v>40255.133671408832</v>
      </c>
      <c r="J206" s="90">
        <f>INDEX(J$151:J$168,MATCH($B184,$B$151:$B$168,0))*INDEX('Resource costs'!$C$121:$C$142, MATCH($B184, 'Resource costs'!$B$121:$B$142,0))</f>
        <v>41034.467284492988</v>
      </c>
      <c r="K206" s="90">
        <f>INDEX(K$151:K$168,MATCH($B184,$B$151:$B$168,0))*INDEX('Resource costs'!$C$121:$C$142, MATCH($B184, 'Resource costs'!$B$121:$B$142,0))</f>
        <v>41790.906702090899</v>
      </c>
      <c r="L206" s="90">
        <f>INDEX(L$151:L$168,MATCH($B184,$B$151:$B$168,0))*INDEX('Resource costs'!$C$121:$C$142, MATCH($B184, 'Resource costs'!$B$121:$B$142,0))</f>
        <v>42604.448418151995</v>
      </c>
      <c r="M206" s="90">
        <f>INDEX(M$151:M$168,MATCH($B184,$B$151:$B$168,0))*INDEX('Resource costs'!$C$121:$C$142, MATCH($B184, 'Resource costs'!$B$121:$B$142,0))</f>
        <v>43422.724751654619</v>
      </c>
      <c r="N206" s="90">
        <f>INDEX(N$151:N$168,MATCH($B184,$B$151:$B$168,0))*INDEX('Resource costs'!$C$121:$C$142, MATCH($B184, 'Resource costs'!$B$121:$B$142,0))</f>
        <v>44221.002977162447</v>
      </c>
      <c r="O206" s="90">
        <f>INDEX(O$151:O$168,MATCH($B184,$B$151:$B$168,0))*INDEX('Resource costs'!$C$121:$C$142, MATCH($B184, 'Resource costs'!$B$121:$B$142,0))</f>
        <v>44989.136641605881</v>
      </c>
      <c r="P206" s="90">
        <f>INDEX(P$151:P$168,MATCH($B184,$B$151:$B$168,0))*INDEX('Resource costs'!$C$121:$C$142, MATCH($B184, 'Resource costs'!$B$121:$B$142,0))</f>
        <v>45721.448932095773</v>
      </c>
      <c r="Q206" s="90">
        <f>INDEX(Q$151:Q$168,MATCH($B184,$B$151:$B$168,0))*INDEX('Resource costs'!$C$121:$C$142, MATCH($B184, 'Resource costs'!$B$121:$B$142,0))</f>
        <v>46432.470661019259</v>
      </c>
      <c r="R206" s="90">
        <f>INDEX(R$151:R$168,MATCH($B184,$B$151:$B$168,0))*INDEX('Resource costs'!$C$121:$C$142, MATCH($B184, 'Resource costs'!$B$121:$B$142,0))</f>
        <v>47138.521507180201</v>
      </c>
      <c r="S206" s="90">
        <f>INDEX(S$151:S$168,MATCH($B184,$B$151:$B$168,0))*INDEX('Resource costs'!$C$121:$C$142, MATCH($B184, 'Resource costs'!$B$121:$B$142,0))</f>
        <v>47841.520428674157</v>
      </c>
      <c r="T206" s="90">
        <f>INDEX(T$151:T$168,MATCH($B184,$B$151:$B$168,0))*INDEX('Resource costs'!$C$121:$C$142, MATCH($B184, 'Resource costs'!$B$121:$B$142,0))</f>
        <v>48528.274744184404</v>
      </c>
      <c r="U206" s="90">
        <f>INDEX(U$151:U$168,MATCH($B184,$B$151:$B$168,0))*INDEX('Resource costs'!$C$121:$C$142, MATCH($B184, 'Resource costs'!$B$121:$B$142,0))</f>
        <v>49200.900973370088</v>
      </c>
      <c r="V206" s="90">
        <f>INDEX(V$151:V$168,MATCH($B184,$B$151:$B$168,0))*INDEX('Resource costs'!$C$121:$C$142, MATCH($B184, 'Resource costs'!$B$121:$B$142,0))</f>
        <v>49890.038727681997</v>
      </c>
      <c r="W206" s="90">
        <f>INDEX(W$151:W$168,MATCH($B184,$B$151:$B$168,0))*INDEX('Resource costs'!$C$121:$C$142, MATCH($B184, 'Resource costs'!$B$121:$B$142,0))</f>
        <v>50569.422366522347</v>
      </c>
      <c r="X206" s="90">
        <f>INDEX(X$151:X$168,MATCH($B184,$B$151:$B$168,0))*INDEX('Resource costs'!$C$121:$C$142, MATCH($B184, 'Resource costs'!$B$121:$B$142,0))</f>
        <v>51231.83125944066</v>
      </c>
      <c r="Y206" s="90">
        <f>INDEX(Y$151:Y$168,MATCH($B184,$B$151:$B$168,0))*INDEX('Resource costs'!$C$121:$C$142, MATCH($B184, 'Resource costs'!$B$121:$B$142,0))</f>
        <v>51876.319087581171</v>
      </c>
      <c r="Z206" s="90">
        <f>INDEX(Z$151:Z$168,MATCH($B184,$B$151:$B$168,0))*INDEX('Resource costs'!$C$121:$C$142, MATCH($B184, 'Resource costs'!$B$121:$B$142,0))</f>
        <v>52515.364066017901</v>
      </c>
      <c r="AA206" s="90">
        <f>INDEX(AA$151:AA$168,MATCH($B184,$B$151:$B$168,0))*INDEX('Resource costs'!$C$121:$C$142, MATCH($B184, 'Resource costs'!$B$121:$B$142,0))</f>
        <v>53146.062520898719</v>
      </c>
      <c r="AB206" s="90">
        <f>INDEX(AB$151:AB$168,MATCH($B184,$B$151:$B$168,0))*INDEX('Resource costs'!$C$121:$C$142, MATCH($B184, 'Resource costs'!$B$121:$B$142,0))</f>
        <v>53763.30675884238</v>
      </c>
      <c r="AC206" s="90">
        <f>INDEX(AC$151:AC$168,MATCH($B184,$B$151:$B$168,0))*INDEX('Resource costs'!$C$121:$C$142, MATCH($B184, 'Resource costs'!$B$121:$B$142,0))</f>
        <v>54363.251456510392</v>
      </c>
      <c r="AD206" s="90">
        <f>INDEX(AD$151:AD$168,MATCH($B184,$B$151:$B$168,0))*INDEX('Resource costs'!$C$121:$C$142, MATCH($B184, 'Resource costs'!$B$121:$B$142,0))</f>
        <v>54942.125822310169</v>
      </c>
      <c r="AE206" s="90">
        <f>INDEX(AE$151:AE$168,MATCH($B184,$B$151:$B$168,0))*INDEX('Resource costs'!$C$121:$C$142, MATCH($B184, 'Resource costs'!$B$121:$B$142,0))</f>
        <v>55497.244583207445</v>
      </c>
      <c r="AF206" s="90">
        <f>INDEX(AF$151:AF$168,MATCH($B184,$B$151:$B$168,0))*INDEX('Resource costs'!$C$121:$C$142, MATCH($B184, 'Resource costs'!$B$121:$B$142,0))</f>
        <v>56026.210262341148</v>
      </c>
      <c r="AG206" s="90">
        <f>INDEX(AG$151:AG$168,MATCH($B184,$B$151:$B$168,0))*INDEX('Resource costs'!$C$121:$C$142, MATCH($B184, 'Resource costs'!$B$121:$B$142,0))</f>
        <v>56531.508421370352</v>
      </c>
      <c r="AH206" s="90">
        <f>INDEX(AH$151:AH$168,MATCH($B184,$B$151:$B$168,0))*INDEX('Resource costs'!$C$121:$C$142, MATCH($B184, 'Resource costs'!$B$121:$B$142,0))</f>
        <v>57024.693289231313</v>
      </c>
      <c r="AI206" s="90">
        <f>INDEX(AI$151:AI$168,MATCH($B184,$B$151:$B$168,0))*INDEX('Resource costs'!$C$121:$C$142, MATCH($B184, 'Resource costs'!$B$121:$B$142,0))</f>
        <v>57506.856890671595</v>
      </c>
      <c r="AJ206" s="90">
        <f>INDEX(AJ$151:AJ$168,MATCH($B184,$B$151:$B$168,0))*INDEX('Resource costs'!$C$121:$C$142, MATCH($B184, 'Resource costs'!$B$121:$B$142,0))</f>
        <v>57982.106233562925</v>
      </c>
      <c r="AK206" s="90">
        <f>INDEX(AK$151:AK$168,MATCH($B184,$B$151:$B$168,0))*INDEX('Resource costs'!$C$121:$C$142, MATCH($B184, 'Resource costs'!$B$121:$B$142,0))</f>
        <v>58437.442591008927</v>
      </c>
      <c r="AL206" s="90">
        <f>INDEX(AL$151:AL$168,MATCH($B184,$B$151:$B$168,0))*INDEX('Resource costs'!$C$121:$C$142, MATCH($B184, 'Resource costs'!$B$121:$B$142,0))</f>
        <v>58863.249276117247</v>
      </c>
      <c r="AM206" s="90">
        <f>INDEX(AM$151:AM$168,MATCH($B184,$B$151:$B$168,0))*INDEX('Resource costs'!$C$121:$C$142, MATCH($B184, 'Resource costs'!$B$121:$B$142,0))</f>
        <v>59253.256779682502</v>
      </c>
      <c r="AN206" s="90">
        <f>INDEX(AN$151:AN$168,MATCH($B184,$B$151:$B$168,0))*INDEX('Resource costs'!$C$121:$C$142, MATCH($B184, 'Resource costs'!$B$121:$B$142,0))</f>
        <v>59611.839176202047</v>
      </c>
      <c r="AO206" s="90">
        <f>INDEX(AO$151:AO$168,MATCH($B184,$B$151:$B$168,0))*INDEX('Resource costs'!$C$121:$C$142, MATCH($B184, 'Resource costs'!$B$121:$B$142,0))</f>
        <v>59940.108923519947</v>
      </c>
      <c r="AP206" s="90">
        <f>INDEX(AP$151:AP$168,MATCH($B184,$B$151:$B$168,0))*INDEX('Resource costs'!$C$121:$C$142, MATCH($B184, 'Resource costs'!$B$121:$B$142,0))</f>
        <v>60236.609768640526</v>
      </c>
      <c r="AQ206" s="90">
        <f>INDEX(AQ$151:AQ$168,MATCH($B184,$B$151:$B$168,0))*INDEX('Resource costs'!$C$121:$C$142, MATCH($B184, 'Resource costs'!$B$121:$B$142,0))</f>
        <v>60515.433653716675</v>
      </c>
      <c r="AR206" s="90">
        <f>INDEX(AR$151:AR$168,MATCH($B184,$B$151:$B$168,0))*INDEX('Resource costs'!$C$121:$C$142, MATCH($B184, 'Resource costs'!$B$121:$B$142,0))</f>
        <v>60791.982222200408</v>
      </c>
      <c r="AS206" s="90">
        <f>INDEX(AS$151:AS$168,MATCH($B184,$B$151:$B$168,0))*INDEX('Resource costs'!$C$121:$C$142, MATCH($B184, 'Resource costs'!$B$121:$B$142,0))</f>
        <v>61078.246500113128</v>
      </c>
      <c r="AT206" s="90">
        <f>INDEX(AT$151:AT$168,MATCH($B184,$B$151:$B$168,0))*INDEX('Resource costs'!$C$121:$C$142, MATCH($B184, 'Resource costs'!$B$121:$B$142,0))</f>
        <v>61293.875067450877</v>
      </c>
      <c r="AU206" s="90">
        <f>INDEX(AU$151:AU$168,MATCH($B184,$B$151:$B$168,0))*INDEX('Resource costs'!$C$121:$C$142, MATCH($B184, 'Resource costs'!$B$121:$B$142,0))</f>
        <v>61456.297285798064</v>
      </c>
      <c r="AV206" s="90">
        <f>INDEX(AV$151:AV$168,MATCH($B184,$B$151:$B$168,0))*INDEX('Resource costs'!$C$121:$C$142, MATCH($B184, 'Resource costs'!$B$121:$B$142,0))</f>
        <v>61578.641821768055</v>
      </c>
      <c r="AW206" s="90">
        <f>INDEX(AW$151:AW$168,MATCH($B184,$B$151:$B$168,0))*INDEX('Resource costs'!$C$121:$C$142, MATCH($B184, 'Resource costs'!$B$121:$B$142,0))</f>
        <v>61670.797843487468</v>
      </c>
      <c r="AX206" s="90">
        <f>INDEX(AX$151:AX$168,MATCH($B184,$B$151:$B$168,0))*INDEX('Resource costs'!$C$121:$C$142, MATCH($B184, 'Resource costs'!$B$121:$B$142,0))</f>
        <v>61740.214366847613</v>
      </c>
      <c r="AY206" s="90">
        <f>INDEX(AY$151:AY$168,MATCH($B184,$B$151:$B$168,0))*INDEX('Resource costs'!$C$121:$C$142, MATCH($B184, 'Resource costs'!$B$121:$B$142,0))</f>
        <v>61792.502363068634</v>
      </c>
      <c r="AZ206" s="90">
        <f>INDEX(AZ$151:AZ$168,MATCH($B184,$B$151:$B$168,0))*INDEX('Resource costs'!$C$121:$C$142, MATCH($B184, 'Resource costs'!$B$121:$B$142,0))</f>
        <v>61831.888296222132</v>
      </c>
      <c r="BA206" s="90">
        <f>INDEX(BA$151:BA$168,MATCH($B184,$B$151:$B$168,0))*INDEX('Resource costs'!$C$121:$C$142, MATCH($B184, 'Resource costs'!$B$121:$B$142,0))</f>
        <v>61861.555750369997</v>
      </c>
      <c r="BB206" s="90">
        <f>INDEX(BB$151:BB$168,MATCH($B184,$B$151:$B$168,0))*INDEX('Resource costs'!$C$121:$C$142, MATCH($B184, 'Resource costs'!$B$121:$B$142,0))</f>
        <v>61883.902760206875</v>
      </c>
    </row>
    <row r="207" spans="2:54" ht="29">
      <c r="B207" s="6" t="s">
        <v>107</v>
      </c>
      <c r="C207" s="52"/>
      <c r="D207" s="90">
        <f>INDEX(D$151:D$168,MATCH($B185,$B$151:$B$168,0))*INDEX('Resource costs'!$C$121:$C$142, MATCH($B185, 'Resource costs'!$B$121:$B$142,0))</f>
        <v>80475.017747883525</v>
      </c>
      <c r="E207" s="90">
        <f>INDEX(E$151:E$168,MATCH($B185,$B$151:$B$168,0))*INDEX('Resource costs'!$C$121:$C$142, MATCH($B185, 'Resource costs'!$B$121:$B$142,0))</f>
        <v>83225.690509227323</v>
      </c>
      <c r="F207" s="90">
        <f>INDEX(F$151:F$168,MATCH($B185,$B$151:$B$168,0))*INDEX('Resource costs'!$C$121:$C$142, MATCH($B185, 'Resource costs'!$B$121:$B$142,0))</f>
        <v>85579.927486959292</v>
      </c>
      <c r="G207" s="90">
        <f>INDEX(G$151:G$168,MATCH($B185,$B$151:$B$168,0))*INDEX('Resource costs'!$C$121:$C$142, MATCH($B185, 'Resource costs'!$B$121:$B$142,0))</f>
        <v>87667.191416852482</v>
      </c>
      <c r="H207" s="90">
        <f>INDEX(H$151:H$168,MATCH($B185,$B$151:$B$168,0))*INDEX('Resource costs'!$C$121:$C$142, MATCH($B185, 'Resource costs'!$B$121:$B$142,0))</f>
        <v>89604.989846798824</v>
      </c>
      <c r="I207" s="90">
        <f>INDEX(I$151:I$168,MATCH($B185,$B$151:$B$168,0))*INDEX('Resource costs'!$C$121:$C$142, MATCH($B185, 'Resource costs'!$B$121:$B$142,0))</f>
        <v>91458.155475460488</v>
      </c>
      <c r="J207" s="90">
        <f>INDEX(J$151:J$168,MATCH($B185,$B$151:$B$168,0))*INDEX('Resource costs'!$C$121:$C$142, MATCH($B185, 'Resource costs'!$B$121:$B$142,0))</f>
        <v>93228.772245349057</v>
      </c>
      <c r="K207" s="90">
        <f>INDEX(K$151:K$168,MATCH($B185,$B$151:$B$168,0))*INDEX('Resource costs'!$C$121:$C$142, MATCH($B185, 'Resource costs'!$B$121:$B$142,0))</f>
        <v>94947.374260862271</v>
      </c>
      <c r="L207" s="90">
        <f>INDEX(L$151:L$168,MATCH($B185,$B$151:$B$168,0))*INDEX('Resource costs'!$C$121:$C$142, MATCH($B185, 'Resource costs'!$B$121:$B$142,0))</f>
        <v>96795.710559050611</v>
      </c>
      <c r="M207" s="90">
        <f>INDEX(M$151:M$168,MATCH($B185,$B$151:$B$168,0))*INDEX('Resource costs'!$C$121:$C$142, MATCH($B185, 'Resource costs'!$B$121:$B$142,0))</f>
        <v>98654.803730675718</v>
      </c>
      <c r="N207" s="90">
        <f>INDEX(N$151:N$168,MATCH($B185,$B$151:$B$168,0))*INDEX('Resource costs'!$C$121:$C$142, MATCH($B185, 'Resource costs'!$B$121:$B$142,0))</f>
        <v>100468.46195019927</v>
      </c>
      <c r="O207" s="90">
        <f>INDEX(O$151:O$168,MATCH($B185,$B$151:$B$168,0))*INDEX('Resource costs'!$C$121:$C$142, MATCH($B185, 'Resource costs'!$B$121:$B$142,0))</f>
        <v>102213.63285640095</v>
      </c>
      <c r="P207" s="90">
        <f>INDEX(P$151:P$168,MATCH($B185,$B$151:$B$168,0))*INDEX('Resource costs'!$C$121:$C$142, MATCH($B185, 'Resource costs'!$B$121:$B$142,0))</f>
        <v>103877.41894308795</v>
      </c>
      <c r="Q207" s="90">
        <f>INDEX(Q$151:Q$168,MATCH($B185,$B$151:$B$168,0))*INDEX('Resource costs'!$C$121:$C$142, MATCH($B185, 'Resource costs'!$B$121:$B$142,0))</f>
        <v>105492.83367158263</v>
      </c>
      <c r="R207" s="90">
        <f>INDEX(R$151:R$168,MATCH($B185,$B$151:$B$168,0))*INDEX('Resource costs'!$C$121:$C$142, MATCH($B185, 'Resource costs'!$B$121:$B$142,0))</f>
        <v>107096.95474068321</v>
      </c>
      <c r="S207" s="90">
        <f>INDEX(S$151:S$168,MATCH($B185,$B$151:$B$168,0))*INDEX('Resource costs'!$C$121:$C$142, MATCH($B185, 'Resource costs'!$B$121:$B$142,0))</f>
        <v>108694.14195128587</v>
      </c>
      <c r="T207" s="90">
        <f>INDEX(T$151:T$168,MATCH($B185,$B$151:$B$168,0))*INDEX('Resource costs'!$C$121:$C$142, MATCH($B185, 'Resource costs'!$B$121:$B$142,0))</f>
        <v>110254.42202572494</v>
      </c>
      <c r="U207" s="90">
        <f>INDEX(U$151:U$168,MATCH($B185,$B$151:$B$168,0))*INDEX('Resource costs'!$C$121:$C$142, MATCH($B185, 'Resource costs'!$B$121:$B$142,0))</f>
        <v>111782.60361736697</v>
      </c>
      <c r="V207" s="90">
        <f>INDEX(V$151:V$168,MATCH($B185,$B$151:$B$168,0))*INDEX('Resource costs'!$C$121:$C$142, MATCH($B185, 'Resource costs'!$B$121:$B$142,0))</f>
        <v>113348.29877546387</v>
      </c>
      <c r="W207" s="90">
        <f>INDEX(W$151:W$168,MATCH($B185,$B$151:$B$168,0))*INDEX('Resource costs'!$C$121:$C$142, MATCH($B185, 'Resource costs'!$B$121:$B$142,0))</f>
        <v>114891.83294866365</v>
      </c>
      <c r="X207" s="90">
        <f>INDEX(X$151:X$168,MATCH($B185,$B$151:$B$168,0))*INDEX('Resource costs'!$C$121:$C$142, MATCH($B185, 'Resource costs'!$B$121:$B$142,0))</f>
        <v>116396.80113511585</v>
      </c>
      <c r="Y207" s="90">
        <f>INDEX(Y$151:Y$168,MATCH($B185,$B$151:$B$168,0))*INDEX('Resource costs'!$C$121:$C$142, MATCH($B185, 'Resource costs'!$B$121:$B$142,0))</f>
        <v>117861.05333383557</v>
      </c>
      <c r="Z207" s="90">
        <f>INDEX(Z$151:Z$168,MATCH($B185,$B$151:$B$168,0))*INDEX('Resource costs'!$C$121:$C$142, MATCH($B185, 'Resource costs'!$B$121:$B$142,0))</f>
        <v>119312.93958195376</v>
      </c>
      <c r="AA207" s="90">
        <f>INDEX(AA$151:AA$168,MATCH($B185,$B$151:$B$168,0))*INDEX('Resource costs'!$C$121:$C$142, MATCH($B185, 'Resource costs'!$B$121:$B$142,0))</f>
        <v>120745.86284126944</v>
      </c>
      <c r="AB207" s="90">
        <f>INDEX(AB$151:AB$168,MATCH($B185,$B$151:$B$168,0))*INDEX('Resource costs'!$C$121:$C$142, MATCH($B185, 'Resource costs'!$B$121:$B$142,0))</f>
        <v>122148.21862378862</v>
      </c>
      <c r="AC207" s="90">
        <f>INDEX(AC$151:AC$168,MATCH($B185,$B$151:$B$168,0))*INDEX('Resource costs'!$C$121:$C$142, MATCH($B185, 'Resource costs'!$B$121:$B$142,0))</f>
        <v>123511.27049895781</v>
      </c>
      <c r="AD207" s="90">
        <f>INDEX(AD$151:AD$168,MATCH($B185,$B$151:$B$168,0))*INDEX('Resource costs'!$C$121:$C$142, MATCH($B185, 'Resource costs'!$B$121:$B$142,0))</f>
        <v>124826.45136955759</v>
      </c>
      <c r="AE207" s="90">
        <f>INDEX(AE$151:AE$168,MATCH($B185,$B$151:$B$168,0))*INDEX('Resource costs'!$C$121:$C$142, MATCH($B185, 'Resource costs'!$B$121:$B$142,0))</f>
        <v>126087.66039586242</v>
      </c>
      <c r="AF207" s="90">
        <f>INDEX(AF$151:AF$168,MATCH($B185,$B$151:$B$168,0))*INDEX('Resource costs'!$C$121:$C$142, MATCH($B185, 'Resource costs'!$B$121:$B$142,0))</f>
        <v>127289.4506002694</v>
      </c>
      <c r="AG207" s="90">
        <f>INDEX(AG$151:AG$168,MATCH($B185,$B$151:$B$168,0))*INDEX('Resource costs'!$C$121:$C$142, MATCH($B185, 'Resource costs'!$B$121:$B$142,0))</f>
        <v>128437.46908574222</v>
      </c>
      <c r="AH207" s="90">
        <f>INDEX(AH$151:AH$168,MATCH($B185,$B$151:$B$168,0))*INDEX('Resource costs'!$C$121:$C$142, MATCH($B185, 'Resource costs'!$B$121:$B$142,0))</f>
        <v>129557.96662752553</v>
      </c>
      <c r="AI207" s="90">
        <f>INDEX(AI$151:AI$168,MATCH($B185,$B$151:$B$168,0))*INDEX('Resource costs'!$C$121:$C$142, MATCH($B185, 'Resource costs'!$B$121:$B$142,0))</f>
        <v>130653.42426493125</v>
      </c>
      <c r="AJ207" s="90">
        <f>INDEX(AJ$151:AJ$168,MATCH($B185,$B$151:$B$168,0))*INDEX('Resource costs'!$C$121:$C$142, MATCH($B185, 'Resource costs'!$B$121:$B$142,0))</f>
        <v>131733.17296596803</v>
      </c>
      <c r="AK207" s="90">
        <f>INDEX(AK$151:AK$168,MATCH($B185,$B$151:$B$168,0))*INDEX('Resource costs'!$C$121:$C$142, MATCH($B185, 'Resource costs'!$B$121:$B$142,0))</f>
        <v>132767.68011014641</v>
      </c>
      <c r="AL207" s="90">
        <f>INDEX(AL$151:AL$168,MATCH($B185,$B$151:$B$168,0))*INDEX('Resource costs'!$C$121:$C$142, MATCH($B185, 'Resource costs'!$B$121:$B$142,0))</f>
        <v>133735.09694515209</v>
      </c>
      <c r="AM207" s="90">
        <f>INDEX(AM$151:AM$168,MATCH($B185,$B$151:$B$168,0))*INDEX('Resource costs'!$C$121:$C$142, MATCH($B185, 'Resource costs'!$B$121:$B$142,0))</f>
        <v>134621.1793809683</v>
      </c>
      <c r="AN207" s="90">
        <f>INDEX(AN$151:AN$168,MATCH($B185,$B$151:$B$168,0))*INDEX('Resource costs'!$C$121:$C$142, MATCH($B185, 'Resource costs'!$B$121:$B$142,0))</f>
        <v>135435.86515097084</v>
      </c>
      <c r="AO207" s="90">
        <f>INDEX(AO$151:AO$168,MATCH($B185,$B$151:$B$168,0))*INDEX('Resource costs'!$C$121:$C$142, MATCH($B185, 'Resource costs'!$B$121:$B$142,0))</f>
        <v>136181.68171770143</v>
      </c>
      <c r="AP207" s="90">
        <f>INDEX(AP$151:AP$168,MATCH($B185,$B$151:$B$168,0))*INDEX('Resource costs'!$C$121:$C$142, MATCH($B185, 'Resource costs'!$B$121:$B$142,0))</f>
        <v>136855.3205289148</v>
      </c>
      <c r="AQ207" s="90">
        <f>INDEX(AQ$151:AQ$168,MATCH($B185,$B$151:$B$168,0))*INDEX('Resource costs'!$C$121:$C$142, MATCH($B185, 'Resource costs'!$B$121:$B$142,0))</f>
        <v>137488.79794920413</v>
      </c>
      <c r="AR207" s="90">
        <f>INDEX(AR$151:AR$168,MATCH($B185,$B$151:$B$168,0))*INDEX('Resource costs'!$C$121:$C$142, MATCH($B185, 'Resource costs'!$B$121:$B$142,0))</f>
        <v>138117.10593544407</v>
      </c>
      <c r="AS207" s="90">
        <f>INDEX(AS$151:AS$168,MATCH($B185,$B$151:$B$168,0))*INDEX('Resource costs'!$C$121:$C$142, MATCH($B185, 'Resource costs'!$B$121:$B$142,0))</f>
        <v>138767.48764949132</v>
      </c>
      <c r="AT207" s="90">
        <f>INDEX(AT$151:AT$168,MATCH($B185,$B$151:$B$168,0))*INDEX('Resource costs'!$C$121:$C$142, MATCH($B185, 'Resource costs'!$B$121:$B$142,0))</f>
        <v>139257.38767559736</v>
      </c>
      <c r="AU207" s="90">
        <f>INDEX(AU$151:AU$168,MATCH($B185,$B$151:$B$168,0))*INDEX('Resource costs'!$C$121:$C$142, MATCH($B185, 'Resource costs'!$B$121:$B$142,0))</f>
        <v>139626.40487026182</v>
      </c>
      <c r="AV207" s="90">
        <f>INDEX(AV$151:AV$168,MATCH($B185,$B$151:$B$168,0))*INDEX('Resource costs'!$C$121:$C$142, MATCH($B185, 'Resource costs'!$B$121:$B$142,0))</f>
        <v>139904.36707214275</v>
      </c>
      <c r="AW207" s="90">
        <f>INDEX(AW$151:AW$168,MATCH($B185,$B$151:$B$168,0))*INDEX('Resource costs'!$C$121:$C$142, MATCH($B185, 'Resource costs'!$B$121:$B$142,0))</f>
        <v>140113.74210070964</v>
      </c>
      <c r="AX207" s="90">
        <f>INDEX(AX$151:AX$168,MATCH($B185,$B$151:$B$168,0))*INDEX('Resource costs'!$C$121:$C$142, MATCH($B185, 'Resource costs'!$B$121:$B$142,0))</f>
        <v>140271.4538409776</v>
      </c>
      <c r="AY207" s="90">
        <f>INDEX(AY$151:AY$168,MATCH($B185,$B$151:$B$168,0))*INDEX('Resource costs'!$C$121:$C$142, MATCH($B185, 'Resource costs'!$B$121:$B$142,0))</f>
        <v>140390.25020933445</v>
      </c>
      <c r="AZ207" s="90">
        <f>INDEX(AZ$151:AZ$168,MATCH($B185,$B$151:$B$168,0))*INDEX('Resource costs'!$C$121:$C$142, MATCH($B185, 'Resource costs'!$B$121:$B$142,0))</f>
        <v>140479.73357379925</v>
      </c>
      <c r="BA207" s="90">
        <f>INDEX(BA$151:BA$168,MATCH($B185,$B$151:$B$168,0))*INDEX('Resource costs'!$C$121:$C$142, MATCH($B185, 'Resource costs'!$B$121:$B$142,0))</f>
        <v>140547.13691808237</v>
      </c>
      <c r="BB207" s="90">
        <f>INDEX(BB$151:BB$168,MATCH($B185,$B$151:$B$168,0))*INDEX('Resource costs'!$C$121:$C$142, MATCH($B185, 'Resource costs'!$B$121:$B$142,0))</f>
        <v>140597.90848716363</v>
      </c>
    </row>
    <row r="208" spans="2:54" s="97" customFormat="1">
      <c r="B208" s="6" t="s">
        <v>2863</v>
      </c>
      <c r="C208" s="315"/>
      <c r="D208" s="90">
        <f>INDEX(D$151:D$168,MATCH($B186,$B$151:$B$168,0))*INDEX('Resource costs'!$C$121:$C$142, MATCH($B186, 'Resource costs'!$B$121:$B$142,0))</f>
        <v>5403.7816167664669</v>
      </c>
      <c r="E208" s="90">
        <f>INDEX(E$151:E$168,MATCH($B186,$B$151:$B$168,0))*INDEX('Resource costs'!$C$121:$C$142, MATCH($B186, 'Resource costs'!$B$121:$B$142,0))</f>
        <v>5588.4853337393124</v>
      </c>
      <c r="F208" s="90">
        <f>INDEX(F$151:F$168,MATCH($B186,$B$151:$B$168,0))*INDEX('Resource costs'!$C$121:$C$142, MATCH($B186, 'Resource costs'!$B$121:$B$142,0))</f>
        <v>5746.5689584194015</v>
      </c>
      <c r="G208" s="90">
        <f>INDEX(G$151:G$168,MATCH($B186,$B$151:$B$168,0))*INDEX('Resource costs'!$C$121:$C$142, MATCH($B186, 'Resource costs'!$B$121:$B$142,0))</f>
        <v>5886.7257271825029</v>
      </c>
      <c r="H208" s="90">
        <f>INDEX(H$151:H$168,MATCH($B186,$B$151:$B$168,0))*INDEX('Resource costs'!$C$121:$C$142, MATCH($B186, 'Resource costs'!$B$121:$B$142,0))</f>
        <v>6016.846102744872</v>
      </c>
      <c r="I208" s="90">
        <f>INDEX(I$151:I$168,MATCH($B186,$B$151:$B$168,0))*INDEX('Resource costs'!$C$121:$C$142, MATCH($B186, 'Resource costs'!$B$121:$B$142,0))</f>
        <v>6141.2835075101366</v>
      </c>
      <c r="J208" s="90">
        <f>INDEX(J$151:J$168,MATCH($B186,$B$151:$B$168,0))*INDEX('Resource costs'!$C$121:$C$142, MATCH($B186, 'Resource costs'!$B$121:$B$142,0))</f>
        <v>6260.1778752186046</v>
      </c>
      <c r="K208" s="90">
        <f>INDEX(K$151:K$168,MATCH($B186,$B$151:$B$168,0))*INDEX('Resource costs'!$C$121:$C$142, MATCH($B186, 'Resource costs'!$B$121:$B$142,0))</f>
        <v>6375.579527033864</v>
      </c>
      <c r="L208" s="90">
        <f>INDEX(L$151:L$168,MATCH($B186,$B$151:$B$168,0))*INDEX('Resource costs'!$C$121:$C$142, MATCH($B186, 'Resource costs'!$B$121:$B$142,0))</f>
        <v>6499.6926492085404</v>
      </c>
      <c r="M208" s="90">
        <f>INDEX(M$151:M$168,MATCH($B186,$B$151:$B$168,0))*INDEX('Resource costs'!$C$121:$C$142, MATCH($B186, 'Resource costs'!$B$121:$B$142,0))</f>
        <v>6624.5280799524871</v>
      </c>
      <c r="N208" s="90">
        <f>INDEX(N$151:N$168,MATCH($B186,$B$151:$B$168,0))*INDEX('Resource costs'!$C$121:$C$142, MATCH($B186, 'Resource costs'!$B$121:$B$142,0))</f>
        <v>6746.3126190558241</v>
      </c>
      <c r="O208" s="90">
        <f>INDEX(O$151:O$168,MATCH($B186,$B$151:$B$168,0))*INDEX('Resource costs'!$C$121:$C$142, MATCH($B186, 'Resource costs'!$B$121:$B$142,0))</f>
        <v>6863.4983336410978</v>
      </c>
      <c r="P208" s="90">
        <f>INDEX(P$151:P$168,MATCH($B186,$B$151:$B$168,0))*INDEX('Resource costs'!$C$121:$C$142, MATCH($B186, 'Resource costs'!$B$121:$B$142,0))</f>
        <v>6975.2191747304114</v>
      </c>
      <c r="Q208" s="90">
        <f>INDEX(Q$151:Q$168,MATCH($B186,$B$151:$B$168,0))*INDEX('Resource costs'!$C$121:$C$142, MATCH($B186, 'Resource costs'!$B$121:$B$142,0))</f>
        <v>7083.6919487363903</v>
      </c>
      <c r="R208" s="90">
        <f>INDEX(R$151:R$168,MATCH($B186,$B$151:$B$168,0))*INDEX('Resource costs'!$C$121:$C$142, MATCH($B186, 'Resource costs'!$B$121:$B$142,0))</f>
        <v>7191.4063697686424</v>
      </c>
      <c r="S208" s="90">
        <f>INDEX(S$151:S$168,MATCH($B186,$B$151:$B$168,0))*INDEX('Resource costs'!$C$121:$C$142, MATCH($B186, 'Resource costs'!$B$121:$B$142,0))</f>
        <v>7298.6551921824312</v>
      </c>
      <c r="T208" s="90">
        <f>INDEX(T$151:T$168,MATCH($B186,$B$151:$B$168,0))*INDEX('Resource costs'!$C$121:$C$142, MATCH($B186, 'Resource costs'!$B$121:$B$142,0))</f>
        <v>7403.4257535220404</v>
      </c>
      <c r="U208" s="90">
        <f>INDEX(U$151:U$168,MATCH($B186,$B$151:$B$168,0))*INDEX('Resource costs'!$C$121:$C$142, MATCH($B186, 'Resource costs'!$B$121:$B$142,0))</f>
        <v>7506.0409479401033</v>
      </c>
      <c r="V208" s="90">
        <f>INDEX(V$151:V$168,MATCH($B186,$B$151:$B$168,0))*INDEX('Resource costs'!$C$121:$C$142, MATCH($B186, 'Resource costs'!$B$121:$B$142,0))</f>
        <v>7611.1751243535891</v>
      </c>
      <c r="W208" s="90">
        <f>INDEX(W$151:W$168,MATCH($B186,$B$151:$B$168,0))*INDEX('Resource costs'!$C$121:$C$142, MATCH($B186, 'Resource costs'!$B$121:$B$142,0))</f>
        <v>7714.8212225267962</v>
      </c>
      <c r="X208" s="90">
        <f>INDEX(X$151:X$168,MATCH($B186,$B$151:$B$168,0))*INDEX('Resource costs'!$C$121:$C$142, MATCH($B186, 'Resource costs'!$B$121:$B$142,0))</f>
        <v>7815.8776701966399</v>
      </c>
      <c r="Y208" s="90">
        <f>INDEX(Y$151:Y$168,MATCH($B186,$B$151:$B$168,0))*INDEX('Resource costs'!$C$121:$C$142, MATCH($B186, 'Resource costs'!$B$121:$B$142,0))</f>
        <v>7914.2000978914102</v>
      </c>
      <c r="Z208" s="90">
        <f>INDEX(Z$151:Z$168,MATCH($B186,$B$151:$B$168,0))*INDEX('Resource costs'!$C$121:$C$142, MATCH($B186, 'Resource costs'!$B$121:$B$142,0))</f>
        <v>8011.6921698011856</v>
      </c>
      <c r="AA208" s="90">
        <f>INDEX(AA$151:AA$168,MATCH($B186,$B$151:$B$168,0))*INDEX('Resource costs'!$C$121:$C$142, MATCH($B186, 'Resource costs'!$B$121:$B$142,0))</f>
        <v>8107.9109043056669</v>
      </c>
      <c r="AB208" s="90">
        <f>INDEX(AB$151:AB$168,MATCH($B186,$B$151:$B$168,0))*INDEX('Resource costs'!$C$121:$C$142, MATCH($B186, 'Resource costs'!$B$121:$B$142,0))</f>
        <v>8202.0770767380127</v>
      </c>
      <c r="AC208" s="90">
        <f>INDEX(AC$151:AC$168,MATCH($B186,$B$151:$B$168,0))*INDEX('Resource costs'!$C$121:$C$142, MATCH($B186, 'Resource costs'!$B$121:$B$142,0))</f>
        <v>8293.6040483606066</v>
      </c>
      <c r="AD208" s="90">
        <f>INDEX(AD$151:AD$168,MATCH($B186,$B$151:$B$168,0))*INDEX('Resource costs'!$C$121:$C$142, MATCH($B186, 'Resource costs'!$B$121:$B$142,0))</f>
        <v>8381.9165509255054</v>
      </c>
      <c r="AE208" s="90">
        <f>INDEX(AE$151:AE$168,MATCH($B186,$B$151:$B$168,0))*INDEX('Resource costs'!$C$121:$C$142, MATCH($B186, 'Resource costs'!$B$121:$B$142,0))</f>
        <v>8466.6049218258668</v>
      </c>
      <c r="AF208" s="90">
        <f>INDEX(AF$151:AF$168,MATCH($B186,$B$151:$B$168,0))*INDEX('Resource costs'!$C$121:$C$142, MATCH($B186, 'Resource costs'!$B$121:$B$142,0))</f>
        <v>8547.3034043553125</v>
      </c>
      <c r="AG208" s="90">
        <f>INDEX(AG$151:AG$168,MATCH($B186,$B$151:$B$168,0))*INDEX('Resource costs'!$C$121:$C$142, MATCH($B186, 'Resource costs'!$B$121:$B$142,0))</f>
        <v>8624.3911933501677</v>
      </c>
      <c r="AH208" s="90">
        <f>INDEX(AH$151:AH$168,MATCH($B186,$B$151:$B$168,0))*INDEX('Resource costs'!$C$121:$C$142, MATCH($B186, 'Resource costs'!$B$121:$B$142,0))</f>
        <v>8699.6309905862472</v>
      </c>
      <c r="AI208" s="90">
        <f>INDEX(AI$151:AI$168,MATCH($B186,$B$151:$B$168,0))*INDEX('Resource costs'!$C$121:$C$142, MATCH($B186, 'Resource costs'!$B$121:$B$142,0))</f>
        <v>8773.1893942824699</v>
      </c>
      <c r="AJ208" s="90">
        <f>INDEX(AJ$151:AJ$168,MATCH($B186,$B$151:$B$168,0))*INDEX('Resource costs'!$C$121:$C$142, MATCH($B186, 'Resource costs'!$B$121:$B$142,0))</f>
        <v>8845.6929655108652</v>
      </c>
      <c r="AK208" s="90">
        <f>INDEX(AK$151:AK$168,MATCH($B186,$B$151:$B$168,0))*INDEX('Resource costs'!$C$121:$C$142, MATCH($B186, 'Resource costs'!$B$121:$B$142,0))</f>
        <v>8915.1586313108783</v>
      </c>
      <c r="AL208" s="90">
        <f>INDEX(AL$151:AL$168,MATCH($B186,$B$151:$B$168,0))*INDEX('Resource costs'!$C$121:$C$142, MATCH($B186, 'Resource costs'!$B$121:$B$142,0))</f>
        <v>8980.1192794107883</v>
      </c>
      <c r="AM208" s="90">
        <f>INDEX(AM$151:AM$168,MATCH($B186,$B$151:$B$168,0))*INDEX('Resource costs'!$C$121:$C$142, MATCH($B186, 'Resource costs'!$B$121:$B$142,0))</f>
        <v>9039.6184396670033</v>
      </c>
      <c r="AN208" s="90">
        <f>INDEX(AN$151:AN$168,MATCH($B186,$B$151:$B$168,0))*INDEX('Resource costs'!$C$121:$C$142, MATCH($B186, 'Resource costs'!$B$121:$B$142,0))</f>
        <v>9094.3234165726699</v>
      </c>
      <c r="AO208" s="90">
        <f>INDEX(AO$151:AO$168,MATCH($B186,$B$151:$B$168,0))*INDEX('Resource costs'!$C$121:$C$142, MATCH($B186, 'Resource costs'!$B$121:$B$142,0))</f>
        <v>9144.403925599765</v>
      </c>
      <c r="AP208" s="90">
        <f>INDEX(AP$151:AP$168,MATCH($B186,$B$151:$B$168,0))*INDEX('Resource costs'!$C$121:$C$142, MATCH($B186, 'Resource costs'!$B$121:$B$142,0))</f>
        <v>9189.6378022269128</v>
      </c>
      <c r="AQ208" s="90">
        <f>INDEX(AQ$151:AQ$168,MATCH($B186,$B$151:$B$168,0))*INDEX('Resource costs'!$C$121:$C$142, MATCH($B186, 'Resource costs'!$B$121:$B$142,0))</f>
        <v>9232.174899256459</v>
      </c>
      <c r="AR208" s="90">
        <f>INDEX(AR$151:AR$168,MATCH($B186,$B$151:$B$168,0))*INDEX('Resource costs'!$C$121:$C$142, MATCH($B186, 'Resource costs'!$B$121:$B$142,0))</f>
        <v>9274.3648762297798</v>
      </c>
      <c r="AS208" s="90">
        <f>INDEX(AS$151:AS$168,MATCH($B186,$B$151:$B$168,0))*INDEX('Resource costs'!$C$121:$C$142, MATCH($B186, 'Resource costs'!$B$121:$B$142,0))</f>
        <v>9318.0370722553853</v>
      </c>
      <c r="AT208" s="90">
        <f>INDEX(AT$151:AT$168,MATCH($B186,$B$151:$B$168,0))*INDEX('Resource costs'!$C$121:$C$142, MATCH($B186, 'Resource costs'!$B$121:$B$142,0))</f>
        <v>9350.9331539116702</v>
      </c>
      <c r="AU208" s="90">
        <f>INDEX(AU$151:AU$168,MATCH($B186,$B$151:$B$168,0))*INDEX('Resource costs'!$C$121:$C$142, MATCH($B186, 'Resource costs'!$B$121:$B$142,0))</f>
        <v>9375.7121274192705</v>
      </c>
      <c r="AV208" s="90">
        <f>INDEX(AV$151:AV$168,MATCH($B186,$B$151:$B$168,0))*INDEX('Resource costs'!$C$121:$C$142, MATCH($B186, 'Resource costs'!$B$121:$B$142,0))</f>
        <v>9394.3768892138669</v>
      </c>
      <c r="AW208" s="90">
        <f>INDEX(AW$151:AW$168,MATCH($B186,$B$151:$B$168,0))*INDEX('Resource costs'!$C$121:$C$142, MATCH($B186, 'Resource costs'!$B$121:$B$142,0))</f>
        <v>9408.4361210356492</v>
      </c>
      <c r="AX208" s="90">
        <f>INDEX(AX$151:AX$168,MATCH($B186,$B$151:$B$168,0))*INDEX('Resource costs'!$C$121:$C$142, MATCH($B186, 'Resource costs'!$B$121:$B$142,0))</f>
        <v>9419.0262374054055</v>
      </c>
      <c r="AY208" s="90">
        <f>INDEX(AY$151:AY$168,MATCH($B186,$B$151:$B$168,0))*INDEX('Resource costs'!$C$121:$C$142, MATCH($B186, 'Resource costs'!$B$121:$B$142,0))</f>
        <v>9427.0032425609261</v>
      </c>
      <c r="AZ208" s="90">
        <f>INDEX(AZ$151:AZ$168,MATCH($B186,$B$151:$B$168,0))*INDEX('Resource costs'!$C$121:$C$142, MATCH($B186, 'Resource costs'!$B$121:$B$142,0))</f>
        <v>9433.0119216943203</v>
      </c>
      <c r="BA208" s="90">
        <f>INDEX(BA$151:BA$168,MATCH($B186,$B$151:$B$168,0))*INDEX('Resource costs'!$C$121:$C$142, MATCH($B186, 'Resource costs'!$B$121:$B$142,0))</f>
        <v>9437.537959251551</v>
      </c>
      <c r="BB208" s="90">
        <f>INDEX(BB$151:BB$168,MATCH($B186,$B$151:$B$168,0))*INDEX('Resource costs'!$C$121:$C$142, MATCH($B186, 'Resource costs'!$B$121:$B$142,0))</f>
        <v>9440.9471970415343</v>
      </c>
    </row>
    <row r="209" spans="2:54">
      <c r="B209" s="6" t="s">
        <v>2862</v>
      </c>
      <c r="C209" s="52"/>
      <c r="D209" s="90">
        <f>INDEX(D$151:D$168,MATCH($B187,$B$151:$B$168,0))*INDEX('Resource costs'!$C$121:$C$142, MATCH($B187, 'Resource costs'!$B$121:$B$142,0))</f>
        <v>7011.9938646068358</v>
      </c>
      <c r="E209" s="90">
        <f>INDEX(E$151:E$168,MATCH($B187,$B$151:$B$168,0))*INDEX('Resource costs'!$C$121:$C$142, MATCH($B187, 'Resource costs'!$B$121:$B$142,0))</f>
        <v>7251.6670087185812</v>
      </c>
      <c r="F209" s="90">
        <f>INDEX(F$151:F$168,MATCH($B187,$B$151:$B$168,0))*INDEX('Resource costs'!$C$121:$C$142, MATCH($B187, 'Resource costs'!$B$121:$B$142,0))</f>
        <v>7456.7976903346334</v>
      </c>
      <c r="G209" s="90">
        <f>INDEX(G$151:G$168,MATCH($B187,$B$151:$B$168,0))*INDEX('Resource costs'!$C$121:$C$142, MATCH($B187, 'Resource costs'!$B$121:$B$142,0))</f>
        <v>7638.6663283270882</v>
      </c>
      <c r="H209" s="90">
        <f>INDEX(H$151:H$168,MATCH($B187,$B$151:$B$168,0))*INDEX('Resource costs'!$C$121:$C$142, MATCH($B187, 'Resource costs'!$B$121:$B$142,0))</f>
        <v>7807.51165550921</v>
      </c>
      <c r="I209" s="90">
        <f>INDEX(I$151:I$168,MATCH($B187,$B$151:$B$168,0))*INDEX('Resource costs'!$C$121:$C$142, MATCH($B187, 'Resource costs'!$B$121:$B$142,0))</f>
        <v>7968.9827105263739</v>
      </c>
      <c r="J209" s="90">
        <f>INDEX(J$151:J$168,MATCH($B187,$B$151:$B$168,0))*INDEX('Resource costs'!$C$121:$C$142, MATCH($B187, 'Resource costs'!$B$121:$B$142,0))</f>
        <v>8123.2610726129142</v>
      </c>
      <c r="K209" s="90">
        <f>INDEX(K$151:K$168,MATCH($B187,$B$151:$B$168,0))*INDEX('Resource costs'!$C$121:$C$142, MATCH($B187, 'Resource costs'!$B$121:$B$142,0))</f>
        <v>8273.0072562823989</v>
      </c>
      <c r="L209" s="90">
        <f>INDEX(L$151:L$168,MATCH($B187,$B$151:$B$168,0))*INDEX('Resource costs'!$C$121:$C$142, MATCH($B187, 'Resource costs'!$B$121:$B$142,0))</f>
        <v>8434.0575193992099</v>
      </c>
      <c r="M209" s="90">
        <f>INDEX(M$151:M$168,MATCH($B187,$B$151:$B$168,0))*INDEX('Resource costs'!$C$121:$C$142, MATCH($B187, 'Resource costs'!$B$121:$B$142,0))</f>
        <v>8596.0450563763061</v>
      </c>
      <c r="N209" s="90">
        <f>INDEX(N$151:N$168,MATCH($B187,$B$151:$B$168,0))*INDEX('Resource costs'!$C$121:$C$142, MATCH($B187, 'Resource costs'!$B$121:$B$142,0))</f>
        <v>8754.0737299161447</v>
      </c>
      <c r="O209" s="90">
        <f>INDEX(O$151:O$168,MATCH($B187,$B$151:$B$168,0))*INDEX('Resource costs'!$C$121:$C$142, MATCH($B187, 'Resource costs'!$B$121:$B$142,0))</f>
        <v>8906.1349288998299</v>
      </c>
      <c r="P209" s="90">
        <f>INDEX(P$151:P$168,MATCH($B187,$B$151:$B$168,0))*INDEX('Resource costs'!$C$121:$C$142, MATCH($B187, 'Resource costs'!$B$121:$B$142,0))</f>
        <v>9051.1048606669374</v>
      </c>
      <c r="Q209" s="90">
        <f>INDEX(Q$151:Q$168,MATCH($B187,$B$151:$B$168,0))*INDEX('Resource costs'!$C$121:$C$142, MATCH($B187, 'Resource costs'!$B$121:$B$142,0))</f>
        <v>9191.8600724332373</v>
      </c>
      <c r="R209" s="90">
        <f>INDEX(R$151:R$168,MATCH($B187,$B$151:$B$168,0))*INDEX('Resource costs'!$C$121:$C$142, MATCH($B187, 'Resource costs'!$B$121:$B$142,0))</f>
        <v>9331.6312388076076</v>
      </c>
      <c r="S209" s="90">
        <f>INDEX(S$151:S$168,MATCH($B187,$B$151:$B$168,0))*INDEX('Resource costs'!$C$121:$C$142, MATCH($B187, 'Resource costs'!$B$121:$B$142,0))</f>
        <v>9470.7982403789611</v>
      </c>
      <c r="T209" s="90">
        <f>INDEX(T$151:T$168,MATCH($B187,$B$151:$B$168,0))*INDEX('Resource costs'!$C$121:$C$142, MATCH($B187, 'Resource costs'!$B$121:$B$142,0))</f>
        <v>9606.7494288994858</v>
      </c>
      <c r="U209" s="90">
        <f>INDEX(U$151:U$168,MATCH($B187,$B$151:$B$168,0))*INDEX('Resource costs'!$C$121:$C$142, MATCH($B187, 'Resource costs'!$B$121:$B$142,0))</f>
        <v>9739.9037946204026</v>
      </c>
      <c r="V209" s="90">
        <f>INDEX(V$151:V$168,MATCH($B187,$B$151:$B$168,0))*INDEX('Resource costs'!$C$121:$C$142, MATCH($B187, 'Resource costs'!$B$121:$B$142,0))</f>
        <v>9876.3268132125177</v>
      </c>
      <c r="W209" s="90">
        <f>INDEX(W$151:W$168,MATCH($B187,$B$151:$B$168,0))*INDEX('Resource costs'!$C$121:$C$142, MATCH($B187, 'Resource costs'!$B$121:$B$142,0))</f>
        <v>10010.818888581738</v>
      </c>
      <c r="X209" s="90">
        <f>INDEX(X$151:X$168,MATCH($B187,$B$151:$B$168,0))*INDEX('Resource costs'!$C$121:$C$142, MATCH($B187, 'Resource costs'!$B$121:$B$142,0))</f>
        <v>10141.950611011322</v>
      </c>
      <c r="Y209" s="90">
        <f>INDEX(Y$151:Y$168,MATCH($B187,$B$151:$B$168,0))*INDEX('Resource costs'!$C$121:$C$142, MATCH($B187, 'Resource costs'!$B$121:$B$142,0))</f>
        <v>10269.534645423415</v>
      </c>
      <c r="Z209" s="90">
        <f>INDEX(Z$151:Z$168,MATCH($B187,$B$151:$B$168,0))*INDEX('Resource costs'!$C$121:$C$142, MATCH($B187, 'Resource costs'!$B$121:$B$142,0))</f>
        <v>10396.041202971575</v>
      </c>
      <c r="AA209" s="90">
        <f>INDEX(AA$151:AA$168,MATCH($B187,$B$151:$B$168,0))*INDEX('Resource costs'!$C$121:$C$142, MATCH($B187, 'Resource costs'!$B$121:$B$142,0))</f>
        <v>10520.895466865641</v>
      </c>
      <c r="AB209" s="90">
        <f>INDEX(AB$151:AB$168,MATCH($B187,$B$151:$B$168,0))*INDEX('Resource costs'!$C$121:$C$142, MATCH($B187, 'Resource costs'!$B$121:$B$142,0))</f>
        <v>10643.086308423784</v>
      </c>
      <c r="AC209" s="90">
        <f>INDEX(AC$151:AC$168,MATCH($B187,$B$151:$B$168,0))*INDEX('Resource costs'!$C$121:$C$142, MATCH($B187, 'Resource costs'!$B$121:$B$142,0))</f>
        <v>10761.85250013523</v>
      </c>
      <c r="AD209" s="90">
        <f>INDEX(AD$151:AD$168,MATCH($B187,$B$151:$B$168,0))*INDEX('Resource costs'!$C$121:$C$142, MATCH($B187, 'Resource costs'!$B$121:$B$142,0))</f>
        <v>10876.447568935157</v>
      </c>
      <c r="AE209" s="90">
        <f>INDEX(AE$151:AE$168,MATCH($B187,$B$151:$B$168,0))*INDEX('Resource costs'!$C$121:$C$142, MATCH($B187, 'Resource costs'!$B$121:$B$142,0))</f>
        <v>10986.339933074074</v>
      </c>
      <c r="AF209" s="90">
        <f>INDEX(AF$151:AF$168,MATCH($B187,$B$151:$B$168,0))*INDEX('Resource costs'!$C$121:$C$142, MATCH($B187, 'Resource costs'!$B$121:$B$142,0))</f>
        <v>11091.054983479489</v>
      </c>
      <c r="AG209" s="90">
        <f>INDEX(AG$151:AG$168,MATCH($B187,$B$151:$B$168,0))*INDEX('Resource costs'!$C$121:$C$142, MATCH($B187, 'Resource costs'!$B$121:$B$142,0))</f>
        <v>11191.08476665779</v>
      </c>
      <c r="AH209" s="90">
        <f>INDEX(AH$151:AH$168,MATCH($B187,$B$151:$B$168,0))*INDEX('Resource costs'!$C$121:$C$142, MATCH($B187, 'Resource costs'!$B$121:$B$142,0))</f>
        <v>11288.716579711949</v>
      </c>
      <c r="AI209" s="90">
        <f>INDEX(AI$151:AI$168,MATCH($B187,$B$151:$B$168,0))*INDEX('Resource costs'!$C$121:$C$142, MATCH($B187, 'Resource costs'!$B$121:$B$142,0))</f>
        <v>11384.166601934874</v>
      </c>
      <c r="AJ209" s="90">
        <f>INDEX(AJ$151:AJ$168,MATCH($B187,$B$151:$B$168,0))*INDEX('Resource costs'!$C$121:$C$142, MATCH($B187, 'Resource costs'!$B$121:$B$142,0))</f>
        <v>11478.247864404508</v>
      </c>
      <c r="AK209" s="90">
        <f>INDEX(AK$151:AK$168,MATCH($B187,$B$151:$B$168,0))*INDEX('Resource costs'!$C$121:$C$142, MATCH($B187, 'Resource costs'!$B$121:$B$142,0))</f>
        <v>11568.387114458434</v>
      </c>
      <c r="AL209" s="90">
        <f>INDEX(AL$151:AL$168,MATCH($B187,$B$151:$B$168,0))*INDEX('Resource costs'!$C$121:$C$142, MATCH($B187, 'Resource costs'!$B$121:$B$142,0))</f>
        <v>11652.680614496287</v>
      </c>
      <c r="AM209" s="90">
        <f>INDEX(AM$151:AM$168,MATCH($B187,$B$151:$B$168,0))*INDEX('Resource costs'!$C$121:$C$142, MATCH($B187, 'Resource costs'!$B$121:$B$142,0))</f>
        <v>11729.887240569287</v>
      </c>
      <c r="AN209" s="90">
        <f>INDEX(AN$151:AN$168,MATCH($B187,$B$151:$B$168,0))*INDEX('Resource costs'!$C$121:$C$142, MATCH($B187, 'Resource costs'!$B$121:$B$142,0))</f>
        <v>11800.872892771775</v>
      </c>
      <c r="AO209" s="90">
        <f>INDEX(AO$151:AO$168,MATCH($B187,$B$151:$B$168,0))*INDEX('Resource costs'!$C$121:$C$142, MATCH($B187, 'Resource costs'!$B$121:$B$142,0))</f>
        <v>11865.857795371247</v>
      </c>
      <c r="AP209" s="90">
        <f>INDEX(AP$151:AP$168,MATCH($B187,$B$151:$B$168,0))*INDEX('Resource costs'!$C$121:$C$142, MATCH($B187, 'Resource costs'!$B$121:$B$142,0))</f>
        <v>11924.553665759093</v>
      </c>
      <c r="AQ209" s="90">
        <f>INDEX(AQ$151:AQ$168,MATCH($B187,$B$151:$B$168,0))*INDEX('Resource costs'!$C$121:$C$142, MATCH($B187, 'Resource costs'!$B$121:$B$142,0))</f>
        <v>11979.750171566046</v>
      </c>
      <c r="AR209" s="90">
        <f>INDEX(AR$151:AR$168,MATCH($B187,$B$151:$B$168,0))*INDEX('Resource costs'!$C$121:$C$142, MATCH($B187, 'Resource costs'!$B$121:$B$142,0))</f>
        <v>12034.496251379289</v>
      </c>
      <c r="AS209" s="90">
        <f>INDEX(AS$151:AS$168,MATCH($B187,$B$151:$B$168,0))*INDEX('Resource costs'!$C$121:$C$142, MATCH($B187, 'Resource costs'!$B$121:$B$142,0))</f>
        <v>12091.165671482297</v>
      </c>
      <c r="AT209" s="90">
        <f>INDEX(AT$151:AT$168,MATCH($B187,$B$151:$B$168,0))*INDEX('Resource costs'!$C$121:$C$142, MATCH($B187, 'Resource costs'!$B$121:$B$142,0))</f>
        <v>12133.851912174885</v>
      </c>
      <c r="AU209" s="90">
        <f>INDEX(AU$151:AU$168,MATCH($B187,$B$151:$B$168,0))*INDEX('Resource costs'!$C$121:$C$142, MATCH($B187, 'Resource costs'!$B$121:$B$142,0))</f>
        <v>12166.005322976582</v>
      </c>
      <c r="AV209" s="90">
        <f>INDEX(AV$151:AV$168,MATCH($B187,$B$151:$B$168,0))*INDEX('Resource costs'!$C$121:$C$142, MATCH($B187, 'Resource costs'!$B$121:$B$142,0))</f>
        <v>12190.224879662954</v>
      </c>
      <c r="AW209" s="90">
        <f>INDEX(AW$151:AW$168,MATCH($B187,$B$151:$B$168,0))*INDEX('Resource costs'!$C$121:$C$142, MATCH($B187, 'Resource costs'!$B$121:$B$142,0))</f>
        <v>12208.46826073697</v>
      </c>
      <c r="AX209" s="90">
        <f>INDEX(AX$151:AX$168,MATCH($B187,$B$151:$B$168,0))*INDEX('Resource costs'!$C$121:$C$142, MATCH($B187, 'Resource costs'!$B$121:$B$142,0))</f>
        <v>12222.21008753097</v>
      </c>
      <c r="AY209" s="90">
        <f>INDEX(AY$151:AY$168,MATCH($B187,$B$151:$B$168,0))*INDEX('Resource costs'!$C$121:$C$142, MATCH($B187, 'Resource costs'!$B$121:$B$142,0))</f>
        <v>12232.561118563552</v>
      </c>
      <c r="AZ209" s="90">
        <f>INDEX(AZ$151:AZ$168,MATCH($B187,$B$151:$B$168,0))*INDEX('Resource costs'!$C$121:$C$142, MATCH($B187, 'Resource costs'!$B$121:$B$142,0))</f>
        <v>12240.358032688842</v>
      </c>
      <c r="BA209" s="90">
        <f>INDEX(BA$151:BA$168,MATCH($B187,$B$151:$B$168,0))*INDEX('Resource costs'!$C$121:$C$142, MATCH($B187, 'Resource costs'!$B$121:$B$142,0))</f>
        <v>12246.231058253717</v>
      </c>
      <c r="BB209" s="90">
        <f>INDEX(BB$151:BB$168,MATCH($B187,$B$151:$B$168,0))*INDEX('Resource costs'!$C$121:$C$142, MATCH($B187, 'Resource costs'!$B$121:$B$142,0))</f>
        <v>12250.654914760462</v>
      </c>
    </row>
    <row r="210" spans="2:54">
      <c r="B210" s="6" t="s">
        <v>131</v>
      </c>
      <c r="C210" s="52"/>
      <c r="D210" s="90">
        <f>INDEX(D$151:D$168,MATCH($B188,$B$151:$B$168,0))*INDEX('Resource costs'!$C$121:$C$142, MATCH($B188, 'Resource costs'!$B$121:$B$142,0))</f>
        <v>1362.4773336451335</v>
      </c>
      <c r="E210" s="90">
        <f>INDEX(E$151:E$168,MATCH($B188,$B$151:$B$168,0))*INDEX('Resource costs'!$C$121:$C$142, MATCH($B188, 'Resource costs'!$B$121:$B$142,0))</f>
        <v>1409.0474294896235</v>
      </c>
      <c r="F210" s="90">
        <f>INDEX(F$151:F$168,MATCH($B188,$B$151:$B$168,0))*INDEX('Resource costs'!$C$121:$C$142, MATCH($B188, 'Resource costs'!$B$121:$B$142,0))</f>
        <v>1448.9056937057057</v>
      </c>
      <c r="G210" s="90">
        <f>INDEX(G$151:G$168,MATCH($B188,$B$151:$B$168,0))*INDEX('Resource costs'!$C$121:$C$142, MATCH($B188, 'Resource costs'!$B$121:$B$142,0))</f>
        <v>1484.2439871711872</v>
      </c>
      <c r="H210" s="90">
        <f>INDEX(H$151:H$168,MATCH($B188,$B$151:$B$168,0))*INDEX('Resource costs'!$C$121:$C$142, MATCH($B188, 'Resource costs'!$B$121:$B$142,0))</f>
        <v>1517.0517641914594</v>
      </c>
      <c r="I210" s="90">
        <f>INDEX(I$151:I$168,MATCH($B188,$B$151:$B$168,0))*INDEX('Resource costs'!$C$121:$C$142, MATCH($B188, 'Resource costs'!$B$121:$B$142,0))</f>
        <v>1548.4266707798849</v>
      </c>
      <c r="J210" s="90">
        <f>INDEX(J$151:J$168,MATCH($B188,$B$151:$B$168,0))*INDEX('Resource costs'!$C$121:$C$142, MATCH($B188, 'Resource costs'!$B$121:$B$142,0))</f>
        <v>1578.4039889968615</v>
      </c>
      <c r="K210" s="90">
        <f>INDEX(K$151:K$168,MATCH($B188,$B$151:$B$168,0))*INDEX('Resource costs'!$C$121:$C$142, MATCH($B188, 'Resource costs'!$B$121:$B$142,0))</f>
        <v>1607.5006746171039</v>
      </c>
      <c r="L210" s="90">
        <f>INDEX(L$151:L$168,MATCH($B188,$B$151:$B$168,0))*INDEX('Resource costs'!$C$121:$C$142, MATCH($B188, 'Resource costs'!$B$121:$B$142,0))</f>
        <v>1638.7938185232622</v>
      </c>
      <c r="M210" s="90">
        <f>INDEX(M$151:M$168,MATCH($B188,$B$151:$B$168,0))*INDEX('Resource costs'!$C$121:$C$142, MATCH($B188, 'Resource costs'!$B$121:$B$142,0))</f>
        <v>1670.2690810129095</v>
      </c>
      <c r="N210" s="90">
        <f>INDEX(N$151:N$168,MATCH($B188,$B$151:$B$168,0))*INDEX('Resource costs'!$C$121:$C$142, MATCH($B188, 'Resource costs'!$B$121:$B$142,0))</f>
        <v>1700.9751098431425</v>
      </c>
      <c r="O210" s="90">
        <f>INDEX(O$151:O$168,MATCH($B188,$B$151:$B$168,0))*INDEX('Resource costs'!$C$121:$C$142, MATCH($B188, 'Resource costs'!$B$121:$B$142,0))</f>
        <v>1730.5216184315084</v>
      </c>
      <c r="P210" s="90">
        <f>INDEX(P$151:P$168,MATCH($B188,$B$151:$B$168,0))*INDEX('Resource costs'!$C$121:$C$142, MATCH($B188, 'Resource costs'!$B$121:$B$142,0))</f>
        <v>1758.6902463434267</v>
      </c>
      <c r="Q210" s="90">
        <f>INDEX(Q$151:Q$168,MATCH($B188,$B$151:$B$168,0))*INDEX('Resource costs'!$C$121:$C$142, MATCH($B188, 'Resource costs'!$B$121:$B$142,0))</f>
        <v>1786.0399259533874</v>
      </c>
      <c r="R210" s="90">
        <f>INDEX(R$151:R$168,MATCH($B188,$B$151:$B$168,0))*INDEX('Resource costs'!$C$121:$C$142, MATCH($B188, 'Resource costs'!$B$121:$B$142,0))</f>
        <v>1813.1983989582552</v>
      </c>
      <c r="S210" s="90">
        <f>INDEX(S$151:S$168,MATCH($B188,$B$151:$B$168,0))*INDEX('Resource costs'!$C$121:$C$142, MATCH($B188, 'Resource costs'!$B$121:$B$142,0))</f>
        <v>1840.2394786986974</v>
      </c>
      <c r="T210" s="90">
        <f>INDEX(T$151:T$168,MATCH($B188,$B$151:$B$168,0))*INDEX('Resource costs'!$C$121:$C$142, MATCH($B188, 'Resource costs'!$B$121:$B$142,0))</f>
        <v>1866.6557044424594</v>
      </c>
      <c r="U210" s="90">
        <f>INDEX(U$151:U$168,MATCH($B188,$B$151:$B$168,0))*INDEX('Resource costs'!$C$121:$C$142, MATCH($B188, 'Resource costs'!$B$121:$B$142,0))</f>
        <v>1892.5284887993262</v>
      </c>
      <c r="V210" s="90">
        <f>INDEX(V$151:V$168,MATCH($B188,$B$151:$B$168,0))*INDEX('Resource costs'!$C$121:$C$142, MATCH($B188, 'Resource costs'!$B$121:$B$142,0))</f>
        <v>1919.0363942835857</v>
      </c>
      <c r="W210" s="90">
        <f>INDEX(W$151:W$168,MATCH($B188,$B$151:$B$168,0))*INDEX('Resource costs'!$C$121:$C$142, MATCH($B188, 'Resource costs'!$B$121:$B$142,0))</f>
        <v>1945.1691045773546</v>
      </c>
      <c r="X210" s="90">
        <f>INDEX(X$151:X$168,MATCH($B188,$B$151:$B$168,0))*INDEX('Resource costs'!$C$121:$C$142, MATCH($B188, 'Resource costs'!$B$121:$B$142,0))</f>
        <v>1970.6488758067567</v>
      </c>
      <c r="Y210" s="90">
        <f>INDEX(Y$151:Y$168,MATCH($B188,$B$151:$B$168,0))*INDEX('Resource costs'!$C$121:$C$142, MATCH($B188, 'Resource costs'!$B$121:$B$142,0))</f>
        <v>1995.4393075124785</v>
      </c>
      <c r="Z210" s="90">
        <f>INDEX(Z$151:Z$168,MATCH($B188,$B$151:$B$168,0))*INDEX('Resource costs'!$C$121:$C$142, MATCH($B188, 'Resource costs'!$B$121:$B$142,0))</f>
        <v>2020.0203782528345</v>
      </c>
      <c r="AA210" s="90">
        <f>INDEX(AA$151:AA$168,MATCH($B188,$B$151:$B$168,0))*INDEX('Resource costs'!$C$121:$C$142, MATCH($B188, 'Resource costs'!$B$121:$B$142,0))</f>
        <v>2044.2803972786999</v>
      </c>
      <c r="AB210" s="90">
        <f>INDEX(AB$151:AB$168,MATCH($B188,$B$151:$B$168,0))*INDEX('Resource costs'!$C$121:$C$142, MATCH($B188, 'Resource costs'!$B$121:$B$142,0))</f>
        <v>2068.0228955205075</v>
      </c>
      <c r="AC210" s="90">
        <f>INDEX(AC$151:AC$168,MATCH($B188,$B$151:$B$168,0))*INDEX('Resource costs'!$C$121:$C$142, MATCH($B188, 'Resource costs'!$B$121:$B$142,0))</f>
        <v>2091.099961378618</v>
      </c>
      <c r="AD210" s="90">
        <f>INDEX(AD$151:AD$168,MATCH($B188,$B$151:$B$168,0))*INDEX('Resource costs'!$C$121:$C$142, MATCH($B188, 'Resource costs'!$B$121:$B$142,0))</f>
        <v>2113.3665501409796</v>
      </c>
      <c r="AE210" s="90">
        <f>INDEX(AE$151:AE$168,MATCH($B188,$B$151:$B$168,0))*INDEX('Resource costs'!$C$121:$C$142, MATCH($B188, 'Resource costs'!$B$121:$B$142,0))</f>
        <v>2134.7193719162092</v>
      </c>
      <c r="AF210" s="90">
        <f>INDEX(AF$151:AF$168,MATCH($B188,$B$151:$B$168,0))*INDEX('Resource costs'!$C$121:$C$142, MATCH($B188, 'Resource costs'!$B$121:$B$142,0))</f>
        <v>2155.0662069853361</v>
      </c>
      <c r="AG210" s="90">
        <f>INDEX(AG$151:AG$168,MATCH($B188,$B$151:$B$168,0))*INDEX('Resource costs'!$C$121:$C$142, MATCH($B188, 'Resource costs'!$B$121:$B$142,0))</f>
        <v>2174.5026632774311</v>
      </c>
      <c r="AH210" s="90">
        <f>INDEX(AH$151:AH$168,MATCH($B188,$B$151:$B$168,0))*INDEX('Resource costs'!$C$121:$C$142, MATCH($B188, 'Resource costs'!$B$121:$B$142,0))</f>
        <v>2193.4731779266808</v>
      </c>
      <c r="AI210" s="90">
        <f>INDEX(AI$151:AI$168,MATCH($B188,$B$151:$B$168,0))*INDEX('Resource costs'!$C$121:$C$142, MATCH($B188, 'Resource costs'!$B$121:$B$142,0))</f>
        <v>2212.0197560164138</v>
      </c>
      <c r="AJ210" s="90">
        <f>INDEX(AJ$151:AJ$168,MATCH($B188,$B$151:$B$168,0))*INDEX('Resource costs'!$C$121:$C$142, MATCH($B188, 'Resource costs'!$B$121:$B$142,0))</f>
        <v>2230.300374926052</v>
      </c>
      <c r="AK210" s="90">
        <f>INDEX(AK$151:AK$168,MATCH($B188,$B$151:$B$168,0))*INDEX('Resource costs'!$C$121:$C$142, MATCH($B188, 'Resource costs'!$B$121:$B$142,0))</f>
        <v>2247.815034442533</v>
      </c>
      <c r="AL210" s="90">
        <f>INDEX(AL$151:AL$168,MATCH($B188,$B$151:$B$168,0))*INDEX('Resource costs'!$C$121:$C$142, MATCH($B188, 'Resource costs'!$B$121:$B$142,0))</f>
        <v>2264.1938256098906</v>
      </c>
      <c r="AM210" s="90">
        <f>INDEX(AM$151:AM$168,MATCH($B188,$B$151:$B$168,0))*INDEX('Resource costs'!$C$121:$C$142, MATCH($B188, 'Resource costs'!$B$121:$B$142,0))</f>
        <v>2279.1955897390121</v>
      </c>
      <c r="AN210" s="90">
        <f>INDEX(AN$151:AN$168,MATCH($B188,$B$151:$B$168,0))*INDEX('Resource costs'!$C$121:$C$142, MATCH($B188, 'Resource costs'!$B$121:$B$142,0))</f>
        <v>2292.9885770130149</v>
      </c>
      <c r="AO210" s="90">
        <f>INDEX(AO$151:AO$168,MATCH($B188,$B$151:$B$168,0))*INDEX('Resource costs'!$C$121:$C$142, MATCH($B188, 'Resource costs'!$B$121:$B$142,0))</f>
        <v>2305.6155784808611</v>
      </c>
      <c r="AP210" s="90">
        <f>INDEX(AP$151:AP$168,MATCH($B188,$B$151:$B$168,0))*INDEX('Resource costs'!$C$121:$C$142, MATCH($B188, 'Resource costs'!$B$121:$B$142,0))</f>
        <v>2317.0205789024485</v>
      </c>
      <c r="AQ210" s="90">
        <f>INDEX(AQ$151:AQ$168,MATCH($B188,$B$151:$B$168,0))*INDEX('Resource costs'!$C$121:$C$142, MATCH($B188, 'Resource costs'!$B$121:$B$142,0))</f>
        <v>2327.7456293674782</v>
      </c>
      <c r="AR210" s="90">
        <f>INDEX(AR$151:AR$168,MATCH($B188,$B$151:$B$168,0))*INDEX('Resource costs'!$C$121:$C$142, MATCH($B188, 'Resource costs'!$B$121:$B$142,0))</f>
        <v>2338.3831590475834</v>
      </c>
      <c r="AS210" s="90">
        <f>INDEX(AS$151:AS$168,MATCH($B188,$B$151:$B$168,0))*INDEX('Resource costs'!$C$121:$C$142, MATCH($B188, 'Resource costs'!$B$121:$B$142,0))</f>
        <v>2349.3944066173913</v>
      </c>
      <c r="AT210" s="90">
        <f>INDEX(AT$151:AT$168,MATCH($B188,$B$151:$B$168,0))*INDEX('Resource costs'!$C$121:$C$142, MATCH($B188, 'Resource costs'!$B$121:$B$142,0))</f>
        <v>2357.6886288493488</v>
      </c>
      <c r="AU210" s="90">
        <f>INDEX(AU$151:AU$168,MATCH($B188,$B$151:$B$168,0))*INDEX('Resource costs'!$C$121:$C$142, MATCH($B188, 'Resource costs'!$B$121:$B$142,0))</f>
        <v>2363.936251745572</v>
      </c>
      <c r="AV210" s="90">
        <f>INDEX(AV$151:AV$168,MATCH($B188,$B$151:$B$168,0))*INDEX('Resource costs'!$C$121:$C$142, MATCH($B188, 'Resource costs'!$B$121:$B$142,0))</f>
        <v>2368.6422736921513</v>
      </c>
      <c r="AW210" s="90">
        <f>INDEX(AW$151:AW$168,MATCH($B188,$B$151:$B$168,0))*INDEX('Resource costs'!$C$121:$C$142, MATCH($B188, 'Resource costs'!$B$121:$B$142,0))</f>
        <v>2372.1870847234122</v>
      </c>
      <c r="AX210" s="90">
        <f>INDEX(AX$151:AX$168,MATCH($B188,$B$151:$B$168,0))*INDEX('Resource costs'!$C$121:$C$142, MATCH($B188, 'Resource costs'!$B$121:$B$142,0))</f>
        <v>2374.8572136327098</v>
      </c>
      <c r="AY210" s="90">
        <f>INDEX(AY$151:AY$168,MATCH($B188,$B$151:$B$168,0))*INDEX('Resource costs'!$C$121:$C$142, MATCH($B188, 'Resource costs'!$B$121:$B$142,0))</f>
        <v>2376.8684882336379</v>
      </c>
      <c r="AZ210" s="90">
        <f>INDEX(AZ$151:AZ$168,MATCH($B188,$B$151:$B$168,0))*INDEX('Resource costs'!$C$121:$C$142, MATCH($B188, 'Resource costs'!$B$121:$B$142,0))</f>
        <v>2378.3834808267875</v>
      </c>
      <c r="BA210" s="90">
        <f>INDEX(BA$151:BA$168,MATCH($B188,$B$151:$B$168,0))*INDEX('Resource costs'!$C$121:$C$142, MATCH($B188, 'Resource costs'!$B$121:$B$142,0))</f>
        <v>2379.5246489975771</v>
      </c>
      <c r="BB210" s="90">
        <f>INDEX(BB$151:BB$168,MATCH($B188,$B$151:$B$168,0))*INDEX('Resource costs'!$C$121:$C$142, MATCH($B188, 'Resource costs'!$B$121:$B$142,0))</f>
        <v>2380.3842339222242</v>
      </c>
    </row>
    <row r="211" spans="2:54" ht="29">
      <c r="B211" s="6" t="s">
        <v>2869</v>
      </c>
      <c r="C211" s="52"/>
      <c r="D211" s="90">
        <f>INDEX(D$151:D$168,MATCH($B189,$B$151:$B$168,0))*INDEX('Resource costs'!$C$121:$C$142, MATCH($B189, 'Resource costs'!$B$121:$B$142,0))</f>
        <v>29205.68516407186</v>
      </c>
      <c r="E211" s="90">
        <f>INDEX(E$151:E$168,MATCH($B189,$B$151:$B$168,0))*INDEX('Resource costs'!$C$121:$C$142, MATCH($B189, 'Resource costs'!$B$121:$B$142,0))</f>
        <v>30203.948785570814</v>
      </c>
      <c r="F211" s="90">
        <f>INDEX(F$151:F$168,MATCH($B189,$B$151:$B$168,0))*INDEX('Resource costs'!$C$121:$C$142, MATCH($B189, 'Resource costs'!$B$121:$B$142,0))</f>
        <v>31058.339451114523</v>
      </c>
      <c r="G211" s="90">
        <f>INDEX(G$151:G$168,MATCH($B189,$B$151:$B$168,0))*INDEX('Resource costs'!$C$121:$C$142, MATCH($B189, 'Resource costs'!$B$121:$B$142,0))</f>
        <v>31815.84128083468</v>
      </c>
      <c r="H211" s="90">
        <f>INDEX(H$151:H$168,MATCH($B189,$B$151:$B$168,0))*INDEX('Resource costs'!$C$121:$C$142, MATCH($B189, 'Resource costs'!$B$121:$B$142,0))</f>
        <v>32519.099663874105</v>
      </c>
      <c r="I211" s="90">
        <f>INDEX(I$151:I$168,MATCH($B189,$B$151:$B$168,0))*INDEX('Resource costs'!$C$121:$C$142, MATCH($B189, 'Resource costs'!$B$121:$B$142,0))</f>
        <v>33191.643434875572</v>
      </c>
      <c r="J211" s="90">
        <f>INDEX(J$151:J$168,MATCH($B189,$B$151:$B$168,0))*INDEX('Resource costs'!$C$121:$C$142, MATCH($B189, 'Resource costs'!$B$121:$B$142,0))</f>
        <v>33834.228890272396</v>
      </c>
      <c r="K211" s="90">
        <f>INDEX(K$151:K$168,MATCH($B189,$B$151:$B$168,0))*INDEX('Resource costs'!$C$121:$C$142, MATCH($B189, 'Resource costs'!$B$121:$B$142,0))</f>
        <v>34457.937350265107</v>
      </c>
      <c r="L211" s="90">
        <f>INDEX(L$151:L$168,MATCH($B189,$B$151:$B$168,0))*INDEX('Resource costs'!$C$121:$C$142, MATCH($B189, 'Resource costs'!$B$121:$B$142,0))</f>
        <v>35128.728479150996</v>
      </c>
      <c r="M211" s="90">
        <f>INDEX(M$151:M$168,MATCH($B189,$B$151:$B$168,0))*INDEX('Resource costs'!$C$121:$C$142, MATCH($B189, 'Resource costs'!$B$121:$B$142,0))</f>
        <v>35803.423451338029</v>
      </c>
      <c r="N211" s="90">
        <f>INDEX(N$151:N$168,MATCH($B189,$B$151:$B$168,0))*INDEX('Resource costs'!$C$121:$C$142, MATCH($B189, 'Resource costs'!$B$121:$B$142,0))</f>
        <v>36461.62934475678</v>
      </c>
      <c r="O211" s="90">
        <f>INDEX(O$151:O$168,MATCH($B189,$B$151:$B$168,0))*INDEX('Resource costs'!$C$121:$C$142, MATCH($B189, 'Resource costs'!$B$121:$B$142,0))</f>
        <v>37094.980084780254</v>
      </c>
      <c r="P211" s="90">
        <f>INDEX(P$151:P$168,MATCH($B189,$B$151:$B$168,0))*INDEX('Resource costs'!$C$121:$C$142, MATCH($B189, 'Resource costs'!$B$121:$B$142,0))</f>
        <v>37698.794957867642</v>
      </c>
      <c r="Q211" s="90">
        <f>INDEX(Q$151:Q$168,MATCH($B189,$B$151:$B$168,0))*INDEX('Resource costs'!$C$121:$C$142, MATCH($B189, 'Resource costs'!$B$121:$B$142,0))</f>
        <v>38285.055082936837</v>
      </c>
      <c r="R211" s="90">
        <f>INDEX(R$151:R$168,MATCH($B189,$B$151:$B$168,0))*INDEX('Resource costs'!$C$121:$C$142, MATCH($B189, 'Resource costs'!$B$121:$B$142,0))</f>
        <v>38867.216556401545</v>
      </c>
      <c r="S211" s="90">
        <f>INDEX(S$151:S$168,MATCH($B189,$B$151:$B$168,0))*INDEX('Resource costs'!$C$121:$C$142, MATCH($B189, 'Resource costs'!$B$121:$B$142,0))</f>
        <v>39446.861620501826</v>
      </c>
      <c r="T211" s="90">
        <f>INDEX(T$151:T$168,MATCH($B189,$B$151:$B$168,0))*INDEX('Resource costs'!$C$121:$C$142, MATCH($B189, 'Resource costs'!$B$121:$B$142,0))</f>
        <v>40013.112488126397</v>
      </c>
      <c r="U211" s="90">
        <f>INDEX(U$151:U$168,MATCH($B189,$B$151:$B$168,0))*INDEX('Resource costs'!$C$121:$C$142, MATCH($B189, 'Resource costs'!$B$121:$B$142,0))</f>
        <v>40567.714297334467</v>
      </c>
      <c r="V211" s="90">
        <f>INDEX(V$151:V$168,MATCH($B189,$B$151:$B$168,0))*INDEX('Resource costs'!$C$121:$C$142, MATCH($B189, 'Resource costs'!$B$121:$B$142,0))</f>
        <v>41135.930386376494</v>
      </c>
      <c r="W211" s="90">
        <f>INDEX(W$151:W$168,MATCH($B189,$B$151:$B$168,0))*INDEX('Resource costs'!$C$121:$C$142, MATCH($B189, 'Resource costs'!$B$121:$B$142,0))</f>
        <v>41696.103895672102</v>
      </c>
      <c r="X211" s="90">
        <f>INDEX(X$151:X$168,MATCH($B189,$B$151:$B$168,0))*INDEX('Resource costs'!$C$121:$C$142, MATCH($B189, 'Resource costs'!$B$121:$B$142,0))</f>
        <v>42242.28118479265</v>
      </c>
      <c r="Y211" s="90">
        <f>INDEX(Y$151:Y$168,MATCH($B189,$B$151:$B$168,0))*INDEX('Resource costs'!$C$121:$C$142, MATCH($B189, 'Resource costs'!$B$121:$B$142,0))</f>
        <v>42773.681983616749</v>
      </c>
      <c r="Z211" s="90">
        <f>INDEX(Z$151:Z$168,MATCH($B189,$B$151:$B$168,0))*INDEX('Resource costs'!$C$121:$C$142, MATCH($B189, 'Resource costs'!$B$121:$B$142,0))</f>
        <v>43300.594979018984</v>
      </c>
      <c r="AA211" s="90">
        <f>INDEX(AA$151:AA$168,MATCH($B189,$B$151:$B$168,0))*INDEX('Resource costs'!$C$121:$C$142, MATCH($B189, 'Resource costs'!$B$121:$B$142,0))</f>
        <v>43820.625999166848</v>
      </c>
      <c r="AB211" s="90">
        <f>INDEX(AB$151:AB$168,MATCH($B189,$B$151:$B$168,0))*INDEX('Resource costs'!$C$121:$C$142, MATCH($B189, 'Resource costs'!$B$121:$B$142,0))</f>
        <v>44329.563587731071</v>
      </c>
      <c r="AC211" s="90">
        <f>INDEX(AC$151:AC$168,MATCH($B189,$B$151:$B$168,0))*INDEX('Resource costs'!$C$121:$C$142, MATCH($B189, 'Resource costs'!$B$121:$B$142,0))</f>
        <v>44824.237152801965</v>
      </c>
      <c r="AD211" s="90">
        <f>INDEX(AD$151:AD$168,MATCH($B189,$B$151:$B$168,0))*INDEX('Resource costs'!$C$121:$C$142, MATCH($B189, 'Resource costs'!$B$121:$B$142,0))</f>
        <v>45301.537556274779</v>
      </c>
      <c r="AE211" s="90">
        <f>INDEX(AE$151:AE$168,MATCH($B189,$B$151:$B$168,0))*INDEX('Resource costs'!$C$121:$C$142, MATCH($B189, 'Resource costs'!$B$121:$B$142,0))</f>
        <v>45759.250704766921</v>
      </c>
      <c r="AF211" s="90">
        <f>INDEX(AF$151:AF$168,MATCH($B189,$B$151:$B$168,0))*INDEX('Resource costs'!$C$121:$C$142, MATCH($B189, 'Resource costs'!$B$121:$B$142,0))</f>
        <v>46195.399802032567</v>
      </c>
      <c r="AG211" s="90">
        <f>INDEX(AG$151:AG$168,MATCH($B189,$B$151:$B$168,0))*INDEX('Resource costs'!$C$121:$C$142, MATCH($B189, 'Resource costs'!$B$121:$B$142,0))</f>
        <v>46612.03427304684</v>
      </c>
      <c r="AH211" s="90">
        <f>INDEX(AH$151:AH$168,MATCH($B189,$B$151:$B$168,0))*INDEX('Resource costs'!$C$121:$C$142, MATCH($B189, 'Resource costs'!$B$121:$B$142,0))</f>
        <v>47018.680948602254</v>
      </c>
      <c r="AI211" s="90">
        <f>INDEX(AI$151:AI$168,MATCH($B189,$B$151:$B$168,0))*INDEX('Resource costs'!$C$121:$C$142, MATCH($B189, 'Resource costs'!$B$121:$B$142,0))</f>
        <v>47416.240237981729</v>
      </c>
      <c r="AJ211" s="90">
        <f>INDEX(AJ$151:AJ$168,MATCH($B189,$B$151:$B$168,0))*INDEX('Resource costs'!$C$121:$C$142, MATCH($B189, 'Resource costs'!$B$121:$B$142,0))</f>
        <v>47808.098500350679</v>
      </c>
      <c r="AK211" s="90">
        <f>INDEX(AK$151:AK$168,MATCH($B189,$B$151:$B$168,0))*INDEX('Resource costs'!$C$121:$C$142, MATCH($B189, 'Resource costs'!$B$121:$B$142,0))</f>
        <v>48183.537870212152</v>
      </c>
      <c r="AL211" s="90">
        <f>INDEX(AL$151:AL$168,MATCH($B189,$B$151:$B$168,0))*INDEX('Resource costs'!$C$121:$C$142, MATCH($B189, 'Resource costs'!$B$121:$B$142,0))</f>
        <v>48534.62908207265</v>
      </c>
      <c r="AM211" s="90">
        <f>INDEX(AM$151:AM$168,MATCH($B189,$B$151:$B$168,0))*INDEX('Resource costs'!$C$121:$C$142, MATCH($B189, 'Resource costs'!$B$121:$B$142,0))</f>
        <v>48856.202725348325</v>
      </c>
      <c r="AN211" s="90">
        <f>INDEX(AN$151:AN$168,MATCH($B189,$B$151:$B$168,0))*INDEX('Resource costs'!$C$121:$C$142, MATCH($B189, 'Resource costs'!$B$121:$B$142,0))</f>
        <v>49151.865364167308</v>
      </c>
      <c r="AO211" s="90">
        <f>INDEX(AO$151:AO$168,MATCH($B189,$B$151:$B$168,0))*INDEX('Resource costs'!$C$121:$C$142, MATCH($B189, 'Resource costs'!$B$121:$B$142,0))</f>
        <v>49422.534255553233</v>
      </c>
      <c r="AP211" s="90">
        <f>INDEX(AP$151:AP$168,MATCH($B189,$B$151:$B$168,0))*INDEX('Resource costs'!$C$121:$C$142, MATCH($B189, 'Resource costs'!$B$121:$B$142,0))</f>
        <v>49667.008672399388</v>
      </c>
      <c r="AQ211" s="90">
        <f>INDEX(AQ$151:AQ$168,MATCH($B189,$B$151:$B$168,0))*INDEX('Resource costs'!$C$121:$C$142, MATCH($B189, 'Resource costs'!$B$121:$B$142,0))</f>
        <v>49896.907871098294</v>
      </c>
      <c r="AR211" s="90">
        <f>INDEX(AR$151:AR$168,MATCH($B189,$B$151:$B$168,0))*INDEX('Resource costs'!$C$121:$C$142, MATCH($B189, 'Resource costs'!$B$121:$B$142,0))</f>
        <v>50124.930998594617</v>
      </c>
      <c r="AS211" s="90">
        <f>INDEX(AS$151:AS$168,MATCH($B189,$B$151:$B$168,0))*INDEX('Resource costs'!$C$121:$C$142, MATCH($B189, 'Resource costs'!$B$121:$B$142,0))</f>
        <v>50360.965038828588</v>
      </c>
      <c r="AT211" s="90">
        <f>INDEX(AT$151:AT$168,MATCH($B189,$B$151:$B$168,0))*INDEX('Resource costs'!$C$121:$C$142, MATCH($B189, 'Resource costs'!$B$121:$B$142,0))</f>
        <v>50538.757679634815</v>
      </c>
      <c r="AU211" s="90">
        <f>INDEX(AU$151:AU$168,MATCH($B189,$B$151:$B$168,0))*INDEX('Resource costs'!$C$121:$C$142, MATCH($B189, 'Resource costs'!$B$121:$B$142,0))</f>
        <v>50672.679986322131</v>
      </c>
      <c r="AV211" s="90">
        <f>INDEX(AV$151:AV$168,MATCH($B189,$B$151:$B$168,0))*INDEX('Resource costs'!$C$121:$C$142, MATCH($B189, 'Resource costs'!$B$121:$B$142,0))</f>
        <v>50773.55696383433</v>
      </c>
      <c r="AW211" s="90">
        <f>INDEX(AW$151:AW$168,MATCH($B189,$B$151:$B$168,0))*INDEX('Resource costs'!$C$121:$C$142, MATCH($B189, 'Resource costs'!$B$121:$B$142,0))</f>
        <v>50849.542547145407</v>
      </c>
      <c r="AX211" s="90">
        <f>INDEX(AX$151:AX$168,MATCH($B189,$B$151:$B$168,0))*INDEX('Resource costs'!$C$121:$C$142, MATCH($B189, 'Resource costs'!$B$121:$B$142,0))</f>
        <v>50906.77868777448</v>
      </c>
      <c r="AY211" s="90">
        <f>INDEX(AY$151:AY$168,MATCH($B189,$B$151:$B$168,0))*INDEX('Resource costs'!$C$121:$C$142, MATCH($B189, 'Resource costs'!$B$121:$B$142,0))</f>
        <v>50949.891810703317</v>
      </c>
      <c r="AZ211" s="90">
        <f>INDEX(AZ$151:AZ$168,MATCH($B189,$B$151:$B$168,0))*INDEX('Resource costs'!$C$121:$C$142, MATCH($B189, 'Resource costs'!$B$121:$B$142,0))</f>
        <v>50982.366770549474</v>
      </c>
      <c r="BA211" s="90">
        <f>INDEX(BA$151:BA$168,MATCH($B189,$B$151:$B$168,0))*INDEX('Resource costs'!$C$121:$C$142, MATCH($B189, 'Resource costs'!$B$121:$B$142,0))</f>
        <v>51006.828534053588</v>
      </c>
      <c r="BB211" s="90">
        <f>INDEX(BB$151:BB$168,MATCH($B189,$B$151:$B$168,0))*INDEX('Resource costs'!$C$121:$C$142, MATCH($B189, 'Resource costs'!$B$121:$B$142,0))</f>
        <v>51025.254357413061</v>
      </c>
    </row>
    <row r="212" spans="2:54" ht="29">
      <c r="B212" s="6" t="s">
        <v>2870</v>
      </c>
      <c r="C212" s="52"/>
      <c r="D212" s="90">
        <f>INDEX(D$151:D$168,MATCH($B190,$B$151:$B$168,0))*INDEX('Resource costs'!$C$121:$C$142, MATCH($B190, 'Resource costs'!$B$121:$B$142,0))</f>
        <v>34584.315973331162</v>
      </c>
      <c r="E212" s="90">
        <f>INDEX(E$151:E$168,MATCH($B190,$B$151:$B$168,0))*INDEX('Resource costs'!$C$121:$C$142, MATCH($B190, 'Resource costs'!$B$121:$B$142,0))</f>
        <v>35766.42364574669</v>
      </c>
      <c r="F212" s="90">
        <f>INDEX(F$151:F$168,MATCH($B190,$B$151:$B$168,0))*INDEX('Resource costs'!$C$121:$C$142, MATCH($B190, 'Resource costs'!$B$121:$B$142,0))</f>
        <v>36778.162167744398</v>
      </c>
      <c r="G212" s="90">
        <f>INDEX(G$151:G$168,MATCH($B190,$B$151:$B$168,0))*INDEX('Resource costs'!$C$121:$C$142, MATCH($B190, 'Resource costs'!$B$121:$B$142,0))</f>
        <v>37675.168434923035</v>
      </c>
      <c r="H212" s="90">
        <f>INDEX(H$151:H$168,MATCH($B190,$B$151:$B$168,0))*INDEX('Resource costs'!$C$121:$C$142, MATCH($B190, 'Resource costs'!$B$121:$B$142,0))</f>
        <v>38507.941574580422</v>
      </c>
      <c r="I212" s="90">
        <f>INDEX(I$151:I$168,MATCH($B190,$B$151:$B$168,0))*INDEX('Resource costs'!$C$121:$C$142, MATCH($B190, 'Resource costs'!$B$121:$B$142,0))</f>
        <v>39304.343581639776</v>
      </c>
      <c r="J212" s="90">
        <f>INDEX(J$151:J$168,MATCH($B190,$B$151:$B$168,0))*INDEX('Resource costs'!$C$121:$C$142, MATCH($B190, 'Resource costs'!$B$121:$B$142,0))</f>
        <v>40065.270034981455</v>
      </c>
      <c r="K212" s="90">
        <f>INDEX(K$151:K$168,MATCH($B190,$B$151:$B$168,0))*INDEX('Resource costs'!$C$121:$C$142, MATCH($B190, 'Resource costs'!$B$121:$B$142,0))</f>
        <v>40803.843033164798</v>
      </c>
      <c r="L212" s="90">
        <f>INDEX(L$151:L$168,MATCH($B190,$B$151:$B$168,0))*INDEX('Resource costs'!$C$121:$C$142, MATCH($B190, 'Resource costs'!$B$121:$B$142,0))</f>
        <v>41598.169624825656</v>
      </c>
      <c r="M212" s="90">
        <f>INDEX(M$151:M$168,MATCH($B190,$B$151:$B$168,0))*INDEX('Resource costs'!$C$121:$C$142, MATCH($B190, 'Resource costs'!$B$121:$B$142,0))</f>
        <v>42397.119006517911</v>
      </c>
      <c r="N212" s="90">
        <f>INDEX(N$151:N$168,MATCH($B190,$B$151:$B$168,0))*INDEX('Resource costs'!$C$121:$C$142, MATCH($B190, 'Resource costs'!$B$121:$B$142,0))</f>
        <v>43176.542617558764</v>
      </c>
      <c r="O212" s="90">
        <f>INDEX(O$151:O$168,MATCH($B190,$B$151:$B$168,0))*INDEX('Resource costs'!$C$121:$C$142, MATCH($B190, 'Resource costs'!$B$121:$B$142,0))</f>
        <v>43926.533654983927</v>
      </c>
      <c r="P212" s="90">
        <f>INDEX(P$151:P$168,MATCH($B190,$B$151:$B$168,0))*INDEX('Resource costs'!$C$121:$C$142, MATCH($B190, 'Resource costs'!$B$121:$B$142,0))</f>
        <v>44641.549387124331</v>
      </c>
      <c r="Q212" s="90">
        <f>INDEX(Q$151:Q$168,MATCH($B190,$B$151:$B$168,0))*INDEX('Resource costs'!$C$121:$C$142, MATCH($B190, 'Resource costs'!$B$121:$B$142,0))</f>
        <v>45335.777421633866</v>
      </c>
      <c r="R212" s="90">
        <f>INDEX(R$151:R$168,MATCH($B190,$B$151:$B$168,0))*INDEX('Resource costs'!$C$121:$C$142, MATCH($B190, 'Resource costs'!$B$121:$B$142,0))</f>
        <v>46025.151981165553</v>
      </c>
      <c r="S212" s="90">
        <f>INDEX(S$151:S$168,MATCH($B190,$B$151:$B$168,0))*INDEX('Resource costs'!$C$121:$C$142, MATCH($B190, 'Resource costs'!$B$121:$B$142,0))</f>
        <v>46711.546699748869</v>
      </c>
      <c r="T212" s="90">
        <f>INDEX(T$151:T$168,MATCH($B190,$B$151:$B$168,0))*INDEX('Resource costs'!$C$121:$C$142, MATCH($B190, 'Resource costs'!$B$121:$B$142,0))</f>
        <v>47382.08049534673</v>
      </c>
      <c r="U212" s="90">
        <f>INDEX(U$151:U$168,MATCH($B190,$B$151:$B$168,0))*INDEX('Resource costs'!$C$121:$C$142, MATCH($B190, 'Resource costs'!$B$121:$B$142,0))</f>
        <v>48038.819897325498</v>
      </c>
      <c r="V212" s="90">
        <f>INDEX(V$151:V$168,MATCH($B190,$B$151:$B$168,0))*INDEX('Resource costs'!$C$121:$C$142, MATCH($B190, 'Resource costs'!$B$121:$B$142,0))</f>
        <v>48711.680837041946</v>
      </c>
      <c r="W212" s="90">
        <f>INDEX(W$151:W$168,MATCH($B190,$B$151:$B$168,0))*INDEX('Resource costs'!$C$121:$C$142, MATCH($B190, 'Resource costs'!$B$121:$B$142,0))</f>
        <v>49375.01804473059</v>
      </c>
      <c r="X212" s="90">
        <f>INDEX(X$151:X$168,MATCH($B190,$B$151:$B$168,0))*INDEX('Resource costs'!$C$121:$C$142, MATCH($B190, 'Resource costs'!$B$121:$B$142,0))</f>
        <v>50021.781434744793</v>
      </c>
      <c r="Y212" s="90">
        <f>INDEX(Y$151:Y$168,MATCH($B190,$B$151:$B$168,0))*INDEX('Resource costs'!$C$121:$C$142, MATCH($B190, 'Resource costs'!$B$121:$B$142,0))</f>
        <v>50651.047039429919</v>
      </c>
      <c r="Z212" s="90">
        <f>INDEX(Z$151:Z$168,MATCH($B190,$B$151:$B$168,0))*INDEX('Resource costs'!$C$121:$C$142, MATCH($B190, 'Resource costs'!$B$121:$B$142,0))</f>
        <v>51274.998349631082</v>
      </c>
      <c r="AA212" s="90">
        <f>INDEX(AA$151:AA$168,MATCH($B190,$B$151:$B$168,0))*INDEX('Resource costs'!$C$121:$C$142, MATCH($B190, 'Resource costs'!$B$121:$B$142,0))</f>
        <v>51890.800273663735</v>
      </c>
      <c r="AB212" s="90">
        <f>INDEX(AB$151:AB$168,MATCH($B190,$B$151:$B$168,0))*INDEX('Resource costs'!$C$121:$C$142, MATCH($B190, 'Resource costs'!$B$121:$B$142,0))</f>
        <v>52493.465757275226</v>
      </c>
      <c r="AC212" s="90">
        <f>INDEX(AC$151:AC$168,MATCH($B190,$B$151:$B$168,0))*INDEX('Resource costs'!$C$121:$C$142, MATCH($B190, 'Resource costs'!$B$121:$B$142,0))</f>
        <v>53079.24030020948</v>
      </c>
      <c r="AD212" s="90">
        <f>INDEX(AD$151:AD$168,MATCH($B190,$B$151:$B$168,0))*INDEX('Resource costs'!$C$121:$C$142, MATCH($B190, 'Resource costs'!$B$121:$B$142,0))</f>
        <v>53644.442173583411</v>
      </c>
      <c r="AE212" s="90">
        <f>INDEX(AE$151:AE$168,MATCH($B190,$B$151:$B$168,0))*INDEX('Resource costs'!$C$121:$C$142, MATCH($B190, 'Resource costs'!$B$121:$B$142,0))</f>
        <v>54186.44952809922</v>
      </c>
      <c r="AF212" s="90">
        <f>INDEX(AF$151:AF$168,MATCH($B190,$B$151:$B$168,0))*INDEX('Resource costs'!$C$121:$C$142, MATCH($B190, 'Resource costs'!$B$121:$B$142,0))</f>
        <v>54702.921513145266</v>
      </c>
      <c r="AG212" s="90">
        <f>INDEX(AG$151:AG$168,MATCH($B190,$B$151:$B$168,0))*INDEX('Resource costs'!$C$121:$C$142, MATCH($B190, 'Resource costs'!$B$121:$B$142,0))</f>
        <v>55196.284983647412</v>
      </c>
      <c r="AH212" s="90">
        <f>INDEX(AH$151:AH$168,MATCH($B190,$B$151:$B$168,0))*INDEX('Resource costs'!$C$121:$C$142, MATCH($B190, 'Resource costs'!$B$121:$B$142,0))</f>
        <v>55677.821268035419</v>
      </c>
      <c r="AI212" s="90">
        <f>INDEX(AI$151:AI$168,MATCH($B190,$B$151:$B$168,0))*INDEX('Resource costs'!$C$121:$C$142, MATCH($B190, 'Resource costs'!$B$121:$B$142,0))</f>
        <v>56148.59659841346</v>
      </c>
      <c r="AJ212" s="90">
        <f>INDEX(AJ$151:AJ$168,MATCH($B190,$B$151:$B$168,0))*INDEX('Resource costs'!$C$121:$C$142, MATCH($B190, 'Resource costs'!$B$121:$B$142,0))</f>
        <v>56612.6209788173</v>
      </c>
      <c r="AK212" s="90">
        <f>INDEX(AK$151:AK$168,MATCH($B190,$B$151:$B$168,0))*INDEX('Resource costs'!$C$121:$C$142, MATCH($B190, 'Resource costs'!$B$121:$B$142,0))</f>
        <v>57057.202700601054</v>
      </c>
      <c r="AL212" s="90">
        <f>INDEX(AL$151:AL$168,MATCH($B190,$B$151:$B$168,0))*INDEX('Resource costs'!$C$121:$C$142, MATCH($B190, 'Resource costs'!$B$121:$B$142,0))</f>
        <v>57472.952214376564</v>
      </c>
      <c r="AM212" s="90">
        <f>INDEX(AM$151:AM$168,MATCH($B190,$B$151:$B$168,0))*INDEX('Resource costs'!$C$121:$C$142, MATCH($B190, 'Resource costs'!$B$121:$B$142,0))</f>
        <v>57853.748091112997</v>
      </c>
      <c r="AN212" s="90">
        <f>INDEX(AN$151:AN$168,MATCH($B190,$B$151:$B$168,0))*INDEX('Resource costs'!$C$121:$C$142, MATCH($B190, 'Resource costs'!$B$121:$B$142,0))</f>
        <v>58203.861093598003</v>
      </c>
      <c r="AO212" s="90">
        <f>INDEX(AO$151:AO$168,MATCH($B190,$B$151:$B$168,0))*INDEX('Resource costs'!$C$121:$C$142, MATCH($B190, 'Resource costs'!$B$121:$B$142,0))</f>
        <v>58524.377404420855</v>
      </c>
      <c r="AP212" s="90">
        <f>INDEX(AP$151:AP$168,MATCH($B190,$B$151:$B$168,0))*INDEX('Resource costs'!$C$121:$C$142, MATCH($B190, 'Resource costs'!$B$121:$B$142,0))</f>
        <v>58813.875165973259</v>
      </c>
      <c r="AQ212" s="90">
        <f>INDEX(AQ$151:AQ$168,MATCH($B190,$B$151:$B$168,0))*INDEX('Resource costs'!$C$121:$C$142, MATCH($B190, 'Resource costs'!$B$121:$B$142,0))</f>
        <v>59086.113481395485</v>
      </c>
      <c r="AR212" s="90">
        <f>INDEX(AR$151:AR$168,MATCH($B190,$B$151:$B$168,0))*INDEX('Resource costs'!$C$121:$C$142, MATCH($B190, 'Resource costs'!$B$121:$B$142,0))</f>
        <v>59356.130221158928</v>
      </c>
      <c r="AS212" s="90">
        <f>INDEX(AS$151:AS$168,MATCH($B190,$B$151:$B$168,0))*INDEX('Resource costs'!$C$121:$C$142, MATCH($B190, 'Resource costs'!$B$121:$B$142,0))</f>
        <v>59635.633194023794</v>
      </c>
      <c r="AT212" s="90">
        <f>INDEX(AT$151:AT$168,MATCH($B190,$B$151:$B$168,0))*INDEX('Resource costs'!$C$121:$C$142, MATCH($B190, 'Resource costs'!$B$121:$B$142,0))</f>
        <v>59846.168808334252</v>
      </c>
      <c r="AU212" s="90">
        <f>INDEX(AU$151:AU$168,MATCH($B190,$B$151:$B$168,0))*INDEX('Resource costs'!$C$121:$C$142, MATCH($B190, 'Resource costs'!$B$121:$B$142,0))</f>
        <v>60004.75475981363</v>
      </c>
      <c r="AV212" s="90">
        <f>INDEX(AV$151:AV$168,MATCH($B190,$B$151:$B$168,0))*INDEX('Resource costs'!$C$121:$C$142, MATCH($B190, 'Resource costs'!$B$121:$B$142,0))</f>
        <v>60124.209627765442</v>
      </c>
      <c r="AW212" s="90">
        <f>INDEX(AW$151:AW$168,MATCH($B190,$B$151:$B$168,0))*INDEX('Resource costs'!$C$121:$C$142, MATCH($B190, 'Resource costs'!$B$121:$B$142,0))</f>
        <v>60214.189007050161</v>
      </c>
      <c r="AX212" s="90">
        <f>INDEX(AX$151:AX$168,MATCH($B190,$B$151:$B$168,0))*INDEX('Resource costs'!$C$121:$C$142, MATCH($B190, 'Resource costs'!$B$121:$B$142,0))</f>
        <v>60281.965974496379</v>
      </c>
      <c r="AY212" s="90">
        <f>INDEX(AY$151:AY$168,MATCH($B190,$B$151:$B$168,0))*INDEX('Resource costs'!$C$121:$C$142, MATCH($B190, 'Resource costs'!$B$121:$B$142,0))</f>
        <v>60333.018975225234</v>
      </c>
      <c r="AZ212" s="90">
        <f>INDEX(AZ$151:AZ$168,MATCH($B190,$B$151:$B$168,0))*INDEX('Resource costs'!$C$121:$C$142, MATCH($B190, 'Resource costs'!$B$121:$B$142,0))</f>
        <v>60371.474648024247</v>
      </c>
      <c r="BA212" s="90">
        <f>INDEX(BA$151:BA$168,MATCH($B190,$B$151:$B$168,0))*INDEX('Resource costs'!$C$121:$C$142, MATCH($B190, 'Resource costs'!$B$121:$B$142,0))</f>
        <v>60400.441383560101</v>
      </c>
      <c r="BB212" s="90">
        <f>INDEX(BB$151:BB$168,MATCH($B190,$B$151:$B$168,0))*INDEX('Resource costs'!$C$121:$C$142, MATCH($B190, 'Resource costs'!$B$121:$B$142,0))</f>
        <v>60422.26057710249</v>
      </c>
    </row>
    <row r="213" spans="2:54" s="97" customFormat="1">
      <c r="B213" s="6" t="s">
        <v>102</v>
      </c>
      <c r="C213" s="315"/>
      <c r="D213" s="90">
        <f>INDEX(D$151:D$168,MATCH($B191,$B$151:$B$168,0))*INDEX('Resource costs'!$C$121:$C$142, MATCH($B191, 'Resource costs'!$B$121:$B$142,0))</f>
        <v>1979.5956693737976</v>
      </c>
      <c r="E213" s="90">
        <f>INDEX(E$151:E$168,MATCH($B191,$B$151:$B$168,0))*INDEX('Resource costs'!$C$121:$C$142, MATCH($B191, 'Resource costs'!$B$121:$B$142,0))</f>
        <v>2047.2591510182465</v>
      </c>
      <c r="F213" s="90">
        <f>INDEX(F$151:F$168,MATCH($B191,$B$151:$B$168,0))*INDEX('Resource costs'!$C$121:$C$142, MATCH($B191, 'Resource costs'!$B$121:$B$142,0))</f>
        <v>2105.170754596867</v>
      </c>
      <c r="G213" s="90">
        <f>INDEX(G$151:G$168,MATCH($B191,$B$151:$B$168,0))*INDEX('Resource costs'!$C$121:$C$142, MATCH($B191, 'Resource costs'!$B$121:$B$142,0))</f>
        <v>2156.5151189982698</v>
      </c>
      <c r="H213" s="90">
        <f>INDEX(H$151:H$168,MATCH($B191,$B$151:$B$168,0))*INDEX('Resource costs'!$C$121:$C$142, MATCH($B191, 'Resource costs'!$B$121:$B$142,0))</f>
        <v>2204.1827988248087</v>
      </c>
      <c r="I213" s="90">
        <f>INDEX(I$151:I$168,MATCH($B191,$B$151:$B$168,0))*INDEX('Resource costs'!$C$121:$C$142, MATCH($B191, 'Resource costs'!$B$121:$B$142,0))</f>
        <v>2249.768606144838</v>
      </c>
      <c r="J213" s="90">
        <f>INDEX(J$151:J$168,MATCH($B191,$B$151:$B$168,0))*INDEX('Resource costs'!$C$121:$C$142, MATCH($B191, 'Resource costs'!$B$121:$B$142,0))</f>
        <v>2293.3238036195753</v>
      </c>
      <c r="K213" s="90">
        <f>INDEX(K$151:K$168,MATCH($B191,$B$151:$B$168,0))*INDEX('Resource costs'!$C$121:$C$142, MATCH($B191, 'Resource costs'!$B$121:$B$142,0))</f>
        <v>2335.5994961574188</v>
      </c>
      <c r="L213" s="90">
        <f>INDEX(L$151:L$168,MATCH($B191,$B$151:$B$168,0))*INDEX('Resource costs'!$C$121:$C$142, MATCH($B191, 'Resource costs'!$B$121:$B$142,0))</f>
        <v>2381.0665073347636</v>
      </c>
      <c r="M213" s="90">
        <f>INDEX(M$151:M$168,MATCH($B191,$B$151:$B$168,0))*INDEX('Resource costs'!$C$121:$C$142, MATCH($B191, 'Resource costs'!$B$121:$B$142,0))</f>
        <v>2426.7981255997161</v>
      </c>
      <c r="N213" s="90">
        <f>INDEX(N$151:N$168,MATCH($B191,$B$151:$B$168,0))*INDEX('Resource costs'!$C$121:$C$142, MATCH($B191, 'Resource costs'!$B$121:$B$142,0))</f>
        <v>2471.4120947241581</v>
      </c>
      <c r="O213" s="90">
        <f>INDEX(O$151:O$168,MATCH($B191,$B$151:$B$168,0))*INDEX('Resource costs'!$C$121:$C$142, MATCH($B191, 'Resource costs'!$B$121:$B$142,0))</f>
        <v>2514.3413523362183</v>
      </c>
      <c r="P213" s="90">
        <f>INDEX(P$151:P$168,MATCH($B191,$B$151:$B$168,0))*INDEX('Resource costs'!$C$121:$C$142, MATCH($B191, 'Resource costs'!$B$121:$B$142,0))</f>
        <v>2555.2686341702947</v>
      </c>
      <c r="Q213" s="90">
        <f>INDEX(Q$151:Q$168,MATCH($B191,$B$151:$B$168,0))*INDEX('Resource costs'!$C$121:$C$142, MATCH($B191, 'Resource costs'!$B$121:$B$142,0))</f>
        <v>2595.0060345494926</v>
      </c>
      <c r="R213" s="90">
        <f>INDEX(R$151:R$168,MATCH($B191,$B$151:$B$168,0))*INDEX('Resource costs'!$C$121:$C$142, MATCH($B191, 'Resource costs'!$B$121:$B$142,0))</f>
        <v>2634.4656235052998</v>
      </c>
      <c r="S213" s="90">
        <f>INDEX(S$151:S$168,MATCH($B191,$B$151:$B$168,0))*INDEX('Resource costs'!$C$121:$C$142, MATCH($B191, 'Resource costs'!$B$121:$B$142,0))</f>
        <v>2673.7546472765489</v>
      </c>
      <c r="T213" s="90">
        <f>INDEX(T$151:T$168,MATCH($B191,$B$151:$B$168,0))*INDEX('Resource costs'!$C$121:$C$142, MATCH($B191, 'Resource costs'!$B$121:$B$142,0))</f>
        <v>2712.1357966668643</v>
      </c>
      <c r="U213" s="90">
        <f>INDEX(U$151:U$168,MATCH($B191,$B$151:$B$168,0))*INDEX('Resource costs'!$C$121:$C$142, MATCH($B191, 'Resource costs'!$B$121:$B$142,0))</f>
        <v>2749.7273591851695</v>
      </c>
      <c r="V213" s="90">
        <f>INDEX(V$151:V$168,MATCH($B191,$B$151:$B$168,0))*INDEX('Resource costs'!$C$121:$C$142, MATCH($B191, 'Resource costs'!$B$121:$B$142,0))</f>
        <v>2788.2417135931214</v>
      </c>
      <c r="W213" s="90">
        <f>INDEX(W$151:W$168,MATCH($B191,$B$151:$B$168,0))*INDEX('Resource costs'!$C$121:$C$142, MATCH($B191, 'Resource costs'!$B$121:$B$142,0))</f>
        <v>2826.2109324924495</v>
      </c>
      <c r="X213" s="90">
        <f>INDEX(X$151:X$168,MATCH($B191,$B$151:$B$168,0))*INDEX('Resource costs'!$C$121:$C$142, MATCH($B191, 'Resource costs'!$B$121:$B$142,0))</f>
        <v>2863.2314711368722</v>
      </c>
      <c r="Y213" s="90">
        <f>INDEX(Y$151:Y$168,MATCH($B191,$B$151:$B$168,0))*INDEX('Resource costs'!$C$121:$C$142, MATCH($B191, 'Resource costs'!$B$121:$B$142,0))</f>
        <v>2899.2504419004154</v>
      </c>
      <c r="Z213" s="90">
        <f>INDEX(Z$151:Z$168,MATCH($B191,$B$151:$B$168,0))*INDEX('Resource costs'!$C$121:$C$142, MATCH($B191, 'Resource costs'!$B$121:$B$142,0))</f>
        <v>2934.9652240729702</v>
      </c>
      <c r="AA213" s="90">
        <f>INDEX(AA$151:AA$168,MATCH($B191,$B$151:$B$168,0))*INDEX('Resource costs'!$C$121:$C$142, MATCH($B191, 'Resource costs'!$B$121:$B$142,0))</f>
        <v>2970.2135378735707</v>
      </c>
      <c r="AB213" s="90">
        <f>INDEX(AB$151:AB$168,MATCH($B191,$B$151:$B$168,0))*INDEX('Resource costs'!$C$121:$C$142, MATCH($B191, 'Resource costs'!$B$121:$B$142,0))</f>
        <v>3004.709925841988</v>
      </c>
      <c r="AC213" s="90">
        <f>INDEX(AC$151:AC$168,MATCH($B191,$B$151:$B$168,0))*INDEX('Resource costs'!$C$121:$C$142, MATCH($B191, 'Resource costs'!$B$121:$B$142,0))</f>
        <v>3038.2394815318066</v>
      </c>
      <c r="AD213" s="90">
        <f>INDEX(AD$151:AD$168,MATCH($B191,$B$151:$B$168,0))*INDEX('Resource costs'!$C$121:$C$142, MATCH($B191, 'Resource costs'!$B$121:$B$142,0))</f>
        <v>3070.5914639077409</v>
      </c>
      <c r="AE213" s="90">
        <f>INDEX(AE$151:AE$168,MATCH($B191,$B$151:$B$168,0))*INDEX('Resource costs'!$C$121:$C$142, MATCH($B191, 'Resource costs'!$B$121:$B$142,0))</f>
        <v>3101.6157991178306</v>
      </c>
      <c r="AF213" s="90">
        <f>INDEX(AF$151:AF$168,MATCH($B191,$B$151:$B$168,0))*INDEX('Resource costs'!$C$121:$C$142, MATCH($B191, 'Resource costs'!$B$121:$B$142,0))</f>
        <v>3131.178497588965</v>
      </c>
      <c r="AG213" s="90">
        <f>INDEX(AG$151:AG$168,MATCH($B191,$B$151:$B$168,0))*INDEX('Resource costs'!$C$121:$C$142, MATCH($B191, 'Resource costs'!$B$121:$B$142,0))</f>
        <v>3159.418471754896</v>
      </c>
      <c r="AH213" s="90">
        <f>INDEX(AH$151:AH$168,MATCH($B191,$B$151:$B$168,0))*INDEX('Resource costs'!$C$121:$C$142, MATCH($B191, 'Resource costs'!$B$121:$B$142,0))</f>
        <v>3186.9814614047687</v>
      </c>
      <c r="AI213" s="90">
        <f>INDEX(AI$151:AI$168,MATCH($B191,$B$151:$B$168,0))*INDEX('Resource costs'!$C$121:$C$142, MATCH($B191, 'Resource costs'!$B$121:$B$142,0))</f>
        <v>3213.9284973381386</v>
      </c>
      <c r="AJ213" s="90">
        <f>INDEX(AJ$151:AJ$168,MATCH($B191,$B$151:$B$168,0))*INDEX('Resource costs'!$C$121:$C$142, MATCH($B191, 'Resource costs'!$B$121:$B$142,0))</f>
        <v>3240.4891109596324</v>
      </c>
      <c r="AK213" s="90">
        <f>INDEX(AK$151:AK$168,MATCH($B191,$B$151:$B$168,0))*INDEX('Resource costs'!$C$121:$C$142, MATCH($B191, 'Resource costs'!$B$121:$B$142,0))</f>
        <v>3265.9368327478714</v>
      </c>
      <c r="AL213" s="90">
        <f>INDEX(AL$151:AL$168,MATCH($B191,$B$151:$B$168,0))*INDEX('Resource costs'!$C$121:$C$142, MATCH($B191, 'Resource costs'!$B$121:$B$142,0))</f>
        <v>3289.7342077674871</v>
      </c>
      <c r="AM213" s="90">
        <f>INDEX(AM$151:AM$168,MATCH($B191,$B$151:$B$168,0))*INDEX('Resource costs'!$C$121:$C$142, MATCH($B191, 'Resource costs'!$B$121:$B$142,0))</f>
        <v>3311.5308472928764</v>
      </c>
      <c r="AN213" s="90">
        <f>INDEX(AN$151:AN$168,MATCH($B191,$B$151:$B$168,0))*INDEX('Resource costs'!$C$121:$C$142, MATCH($B191, 'Resource costs'!$B$121:$B$142,0))</f>
        <v>3331.5712084798724</v>
      </c>
      <c r="AO213" s="90">
        <f>INDEX(AO$151:AO$168,MATCH($B191,$B$151:$B$168,0))*INDEX('Resource costs'!$C$121:$C$142, MATCH($B191, 'Resource costs'!$B$121:$B$142,0))</f>
        <v>3349.9174640876995</v>
      </c>
      <c r="AP213" s="90">
        <f>INDEX(AP$151:AP$168,MATCH($B191,$B$151:$B$168,0))*INDEX('Resource costs'!$C$121:$C$142, MATCH($B191, 'Resource costs'!$B$121:$B$142,0))</f>
        <v>3366.4882274217057</v>
      </c>
      <c r="AQ213" s="90">
        <f>INDEX(AQ$151:AQ$168,MATCH($B191,$B$151:$B$168,0))*INDEX('Resource costs'!$C$121:$C$142, MATCH($B191, 'Resource costs'!$B$121:$B$142,0))</f>
        <v>3382.071065337685</v>
      </c>
      <c r="AR213" s="90">
        <f>INDEX(AR$151:AR$168,MATCH($B191,$B$151:$B$168,0))*INDEX('Resource costs'!$C$121:$C$142, MATCH($B191, 'Resource costs'!$B$121:$B$142,0))</f>
        <v>3397.5267409423823</v>
      </c>
      <c r="AS213" s="90">
        <f>INDEX(AS$151:AS$168,MATCH($B191,$B$151:$B$168,0))*INDEX('Resource costs'!$C$121:$C$142, MATCH($B191, 'Resource costs'!$B$121:$B$142,0))</f>
        <v>3413.5254056286253</v>
      </c>
      <c r="AT213" s="90">
        <f>INDEX(AT$151:AT$168,MATCH($B191,$B$151:$B$168,0))*INDEX('Resource costs'!$C$121:$C$142, MATCH($B191, 'Resource costs'!$B$121:$B$142,0))</f>
        <v>3425.5763998035372</v>
      </c>
      <c r="AU213" s="90">
        <f>INDEX(AU$151:AU$168,MATCH($B191,$B$151:$B$168,0))*INDEX('Resource costs'!$C$121:$C$142, MATCH($B191, 'Resource costs'!$B$121:$B$142,0))</f>
        <v>3434.6538111657906</v>
      </c>
      <c r="AV213" s="90">
        <f>INDEX(AV$151:AV$168,MATCH($B191,$B$151:$B$168,0))*INDEX('Resource costs'!$C$121:$C$142, MATCH($B191, 'Resource costs'!$B$121:$B$142,0))</f>
        <v>3441.4913712744069</v>
      </c>
      <c r="AW213" s="90">
        <f>INDEX(AW$151:AW$168,MATCH($B191,$B$151:$B$168,0))*INDEX('Resource costs'!$C$121:$C$142, MATCH($B191, 'Resource costs'!$B$121:$B$142,0))</f>
        <v>3446.6417634262234</v>
      </c>
      <c r="AX213" s="90">
        <f>INDEX(AX$151:AX$168,MATCH($B191,$B$151:$B$168,0))*INDEX('Resource costs'!$C$121:$C$142, MATCH($B191, 'Resource costs'!$B$121:$B$142,0))</f>
        <v>3450.5212963145782</v>
      </c>
      <c r="AY213" s="90">
        <f>INDEX(AY$151:AY$168,MATCH($B191,$B$151:$B$168,0))*INDEX('Resource costs'!$C$121:$C$142, MATCH($B191, 'Resource costs'!$B$121:$B$142,0))</f>
        <v>3453.4435544627322</v>
      </c>
      <c r="AZ213" s="90">
        <f>INDEX(AZ$151:AZ$168,MATCH($B191,$B$151:$B$168,0))*INDEX('Resource costs'!$C$121:$C$142, MATCH($B191, 'Resource costs'!$B$121:$B$142,0))</f>
        <v>3455.6447454128288</v>
      </c>
      <c r="BA213" s="90">
        <f>INDEX(BA$151:BA$168,MATCH($B191,$B$151:$B$168,0))*INDEX('Resource costs'!$C$121:$C$142, MATCH($B191, 'Resource costs'!$B$121:$B$142,0))</f>
        <v>3457.3027924959897</v>
      </c>
      <c r="BB213" s="90">
        <f>INDEX(BB$151:BB$168,MATCH($B191,$B$151:$B$168,0))*INDEX('Resource costs'!$C$121:$C$142, MATCH($B191, 'Resource costs'!$B$121:$B$142,0))</f>
        <v>3458.5517164613798</v>
      </c>
    </row>
    <row r="214" spans="2:54">
      <c r="B214" s="6" t="s">
        <v>2831</v>
      </c>
      <c r="C214" s="52"/>
      <c r="D214" s="90">
        <f>INDEX(D$151:D$168,MATCH($B192,$B$151:$B$168,0))*INDEX('Resource costs'!$C$121:$C$142, MATCH($B192, 'Resource costs'!$B$121:$B$142,0))</f>
        <v>141057.34112134538</v>
      </c>
      <c r="E214" s="90">
        <f>INDEX(E$151:E$168,MATCH($B192,$B$151:$B$168,0))*INDEX('Resource costs'!$C$121:$C$142, MATCH($B192, 'Resource costs'!$B$121:$B$142,0))</f>
        <v>145878.74528960066</v>
      </c>
      <c r="F214" s="90">
        <f>INDEX(F$151:F$168,MATCH($B192,$B$151:$B$168,0))*INDEX('Resource costs'!$C$121:$C$142, MATCH($B192, 'Resource costs'!$B$121:$B$142,0))</f>
        <v>150005.27322015411</v>
      </c>
      <c r="G214" s="90">
        <f>INDEX(G$151:G$168,MATCH($B192,$B$151:$B$168,0))*INDEX('Resource costs'!$C$121:$C$142, MATCH($B192, 'Resource costs'!$B$121:$B$142,0))</f>
        <v>153663.84837066368</v>
      </c>
      <c r="H214" s="90">
        <f>INDEX(H$151:H$168,MATCH($B192,$B$151:$B$168,0))*INDEX('Resource costs'!$C$121:$C$142, MATCH($B192, 'Resource costs'!$B$121:$B$142,0))</f>
        <v>157060.43903702035</v>
      </c>
      <c r="I214" s="90">
        <f>INDEX(I$151:I$168,MATCH($B192,$B$151:$B$168,0))*INDEX('Resource costs'!$C$121:$C$142, MATCH($B192, 'Resource costs'!$B$121:$B$142,0))</f>
        <v>160308.68456155586</v>
      </c>
      <c r="J214" s="90">
        <f>INDEX(J$151:J$168,MATCH($B192,$B$151:$B$168,0))*INDEX('Resource costs'!$C$121:$C$142, MATCH($B192, 'Resource costs'!$B$121:$B$142,0))</f>
        <v>163412.23769760865</v>
      </c>
      <c r="K214" s="90">
        <f>INDEX(K$151:K$168,MATCH($B192,$B$151:$B$168,0))*INDEX('Resource costs'!$C$121:$C$142, MATCH($B192, 'Resource costs'!$B$121:$B$142,0))</f>
        <v>166424.61890035096</v>
      </c>
      <c r="L214" s="90">
        <f>INDEX(L$151:L$168,MATCH($B192,$B$151:$B$168,0))*INDEX('Resource costs'!$C$121:$C$142, MATCH($B192, 'Resource costs'!$B$121:$B$142,0))</f>
        <v>169664.39953062456</v>
      </c>
      <c r="M214" s="90">
        <f>INDEX(M$151:M$168,MATCH($B192,$B$151:$B$168,0))*INDEX('Resource costs'!$C$121:$C$142, MATCH($B192, 'Resource costs'!$B$121:$B$142,0))</f>
        <v>172923.03490623695</v>
      </c>
      <c r="N214" s="90">
        <f>INDEX(N$151:N$168,MATCH($B192,$B$151:$B$168,0))*INDEX('Resource costs'!$C$121:$C$142, MATCH($B192, 'Resource costs'!$B$121:$B$142,0))</f>
        <v>176102.03148565174</v>
      </c>
      <c r="O214" s="90">
        <f>INDEX(O$151:O$168,MATCH($B192,$B$151:$B$168,0))*INDEX('Resource costs'!$C$121:$C$142, MATCH($B192, 'Resource costs'!$B$121:$B$142,0))</f>
        <v>179160.98288100713</v>
      </c>
      <c r="P214" s="90">
        <f>INDEX(P$151:P$168,MATCH($B192,$B$151:$B$168,0))*INDEX('Resource costs'!$C$121:$C$142, MATCH($B192, 'Resource costs'!$B$121:$B$142,0))</f>
        <v>182077.28222645124</v>
      </c>
      <c r="Q214" s="90">
        <f>INDEX(Q$151:Q$168,MATCH($B192,$B$151:$B$168,0))*INDEX('Resource costs'!$C$121:$C$142, MATCH($B192, 'Resource costs'!$B$121:$B$142,0))</f>
        <v>184908.79581646484</v>
      </c>
      <c r="R214" s="90">
        <f>INDEX(R$151:R$168,MATCH($B192,$B$151:$B$168,0))*INDEX('Resource costs'!$C$121:$C$142, MATCH($B192, 'Resource costs'!$B$121:$B$142,0))</f>
        <v>187720.51377784435</v>
      </c>
      <c r="S214" s="90">
        <f>INDEX(S$151:S$168,MATCH($B192,$B$151:$B$168,0))*INDEX('Resource costs'!$C$121:$C$142, MATCH($B192, 'Resource costs'!$B$121:$B$142,0))</f>
        <v>190520.07800914961</v>
      </c>
      <c r="T214" s="90">
        <f>INDEX(T$151:T$168,MATCH($B192,$B$151:$B$168,0))*INDEX('Resource costs'!$C$121:$C$142, MATCH($B192, 'Resource costs'!$B$121:$B$142,0))</f>
        <v>193254.95107739166</v>
      </c>
      <c r="U214" s="90">
        <f>INDEX(U$151:U$168,MATCH($B192,$B$151:$B$168,0))*INDEX('Resource costs'!$C$121:$C$142, MATCH($B192, 'Resource costs'!$B$121:$B$142,0))</f>
        <v>195933.56163381218</v>
      </c>
      <c r="V214" s="90">
        <f>INDEX(V$151:V$168,MATCH($B192,$B$151:$B$168,0))*INDEX('Resource costs'!$C$121:$C$142, MATCH($B192, 'Resource costs'!$B$121:$B$142,0))</f>
        <v>198677.92630981159</v>
      </c>
      <c r="W214" s="90">
        <f>INDEX(W$151:W$168,MATCH($B192,$B$151:$B$168,0))*INDEX('Resource costs'!$C$121:$C$142, MATCH($B192, 'Resource costs'!$B$121:$B$142,0))</f>
        <v>201383.44701045437</v>
      </c>
      <c r="X214" s="90">
        <f>INDEX(X$151:X$168,MATCH($B192,$B$151:$B$168,0))*INDEX('Resource costs'!$C$121:$C$142, MATCH($B192, 'Resource costs'!$B$121:$B$142,0))</f>
        <v>204021.36889968242</v>
      </c>
      <c r="Y214" s="90">
        <f>INDEX(Y$151:Y$168,MATCH($B192,$B$151:$B$168,0))*INDEX('Resource costs'!$C$121:$C$142, MATCH($B192, 'Resource costs'!$B$121:$B$142,0))</f>
        <v>206587.9234362662</v>
      </c>
      <c r="Z214" s="90">
        <f>INDEX(Z$151:Z$168,MATCH($B192,$B$151:$B$168,0))*INDEX('Resource costs'!$C$121:$C$142, MATCH($B192, 'Resource costs'!$B$121:$B$142,0))</f>
        <v>209132.80282246036</v>
      </c>
      <c r="AA214" s="90">
        <f>INDEX(AA$151:AA$168,MATCH($B192,$B$151:$B$168,0))*INDEX('Resource costs'!$C$121:$C$142, MATCH($B192, 'Resource costs'!$B$121:$B$142,0))</f>
        <v>211644.44370986253</v>
      </c>
      <c r="AB214" s="90">
        <f>INDEX(AB$151:AB$168,MATCH($B192,$B$151:$B$168,0))*INDEX('Resource costs'!$C$121:$C$142, MATCH($B192, 'Resource costs'!$B$121:$B$142,0))</f>
        <v>214102.50564664914</v>
      </c>
      <c r="AC214" s="90">
        <f>INDEX(AC$151:AC$168,MATCH($B192,$B$151:$B$168,0))*INDEX('Resource costs'!$C$121:$C$142, MATCH($B192, 'Resource costs'!$B$121:$B$142,0))</f>
        <v>216491.67533809523</v>
      </c>
      <c r="AD214" s="90">
        <f>INDEX(AD$151:AD$168,MATCH($B192,$B$151:$B$168,0))*INDEX('Resource costs'!$C$121:$C$142, MATCH($B192, 'Resource costs'!$B$121:$B$142,0))</f>
        <v>218796.93629847994</v>
      </c>
      <c r="AE214" s="90">
        <f>INDEX(AE$151:AE$168,MATCH($B192,$B$151:$B$168,0))*INDEX('Resource costs'!$C$121:$C$142, MATCH($B192, 'Resource costs'!$B$121:$B$142,0))</f>
        <v>221007.59492058976</v>
      </c>
      <c r="AF214" s="90">
        <f>INDEX(AF$151:AF$168,MATCH($B192,$B$151:$B$168,0))*INDEX('Resource costs'!$C$121:$C$142, MATCH($B192, 'Resource costs'!$B$121:$B$142,0))</f>
        <v>223114.1036926712</v>
      </c>
      <c r="AG214" s="90">
        <f>INDEX(AG$151:AG$168,MATCH($B192,$B$151:$B$168,0))*INDEX('Resource costs'!$C$121:$C$142, MATCH($B192, 'Resource costs'!$B$121:$B$142,0))</f>
        <v>225126.36090802558</v>
      </c>
      <c r="AH214" s="90">
        <f>INDEX(AH$151:AH$168,MATCH($B192,$B$151:$B$168,0))*INDEX('Resource costs'!$C$121:$C$142, MATCH($B192, 'Resource costs'!$B$121:$B$142,0))</f>
        <v>227090.37916363034</v>
      </c>
      <c r="AI214" s="90">
        <f>INDEX(AI$151:AI$168,MATCH($B192,$B$151:$B$168,0))*INDEX('Resource costs'!$C$121:$C$142, MATCH($B192, 'Resource costs'!$B$121:$B$142,0))</f>
        <v>229010.50724769756</v>
      </c>
      <c r="AJ214" s="90">
        <f>INDEX(AJ$151:AJ$168,MATCH($B192,$B$151:$B$168,0))*INDEX('Resource costs'!$C$121:$C$142, MATCH($B192, 'Resource costs'!$B$121:$B$142,0))</f>
        <v>230903.10056559692</v>
      </c>
      <c r="AK214" s="90">
        <f>INDEX(AK$151:AK$168,MATCH($B192,$B$151:$B$168,0))*INDEX('Resource costs'!$C$121:$C$142, MATCH($B192, 'Resource costs'!$B$121:$B$142,0))</f>
        <v>232716.39407223515</v>
      </c>
      <c r="AL214" s="90">
        <f>INDEX(AL$151:AL$168,MATCH($B192,$B$151:$B$168,0))*INDEX('Resource costs'!$C$121:$C$142, MATCH($B192, 'Resource costs'!$B$121:$B$142,0))</f>
        <v>234412.09107635944</v>
      </c>
      <c r="AM214" s="90">
        <f>INDEX(AM$151:AM$168,MATCH($B192,$B$151:$B$168,0))*INDEX('Resource costs'!$C$121:$C$142, MATCH($B192, 'Resource costs'!$B$121:$B$142,0))</f>
        <v>235965.22440777571</v>
      </c>
      <c r="AN214" s="90">
        <f>INDEX(AN$151:AN$168,MATCH($B192,$B$151:$B$168,0))*INDEX('Resource costs'!$C$121:$C$142, MATCH($B192, 'Resource costs'!$B$121:$B$142,0))</f>
        <v>237393.21301569344</v>
      </c>
      <c r="AO214" s="90">
        <f>INDEX(AO$151:AO$168,MATCH($B192,$B$151:$B$168,0))*INDEX('Resource costs'!$C$121:$C$142, MATCH($B192, 'Resource costs'!$B$121:$B$142,0))</f>
        <v>238700.48705938304</v>
      </c>
      <c r="AP214" s="90">
        <f>INDEX(AP$151:AP$168,MATCH($B192,$B$151:$B$168,0))*INDEX('Resource costs'!$C$121:$C$142, MATCH($B192, 'Resource costs'!$B$121:$B$142,0))</f>
        <v>239881.24727845614</v>
      </c>
      <c r="AQ214" s="90">
        <f>INDEX(AQ$151:AQ$168,MATCH($B192,$B$151:$B$168,0))*INDEX('Resource costs'!$C$121:$C$142, MATCH($B192, 'Resource costs'!$B$121:$B$142,0))</f>
        <v>240991.61224720167</v>
      </c>
      <c r="AR214" s="90">
        <f>INDEX(AR$151:AR$168,MATCH($B192,$B$151:$B$168,0))*INDEX('Resource costs'!$C$121:$C$142, MATCH($B192, 'Resource costs'!$B$121:$B$142,0))</f>
        <v>242092.91618505187</v>
      </c>
      <c r="AS214" s="90">
        <f>INDEX(AS$151:AS$168,MATCH($B192,$B$151:$B$168,0))*INDEX('Resource costs'!$C$121:$C$142, MATCH($B192, 'Resource costs'!$B$121:$B$142,0))</f>
        <v>243232.91115324013</v>
      </c>
      <c r="AT214" s="90">
        <f>INDEX(AT$151:AT$168,MATCH($B192,$B$151:$B$168,0))*INDEX('Resource costs'!$C$121:$C$142, MATCH($B192, 'Resource costs'!$B$121:$B$142,0))</f>
        <v>244091.61236302787</v>
      </c>
      <c r="AU214" s="90">
        <f>INDEX(AU$151:AU$168,MATCH($B192,$B$151:$B$168,0))*INDEX('Resource costs'!$C$121:$C$142, MATCH($B192, 'Resource costs'!$B$121:$B$142,0))</f>
        <v>244738.42904930061</v>
      </c>
      <c r="AV214" s="90">
        <f>INDEX(AV$151:AV$168,MATCH($B192,$B$151:$B$168,0))*INDEX('Resource costs'!$C$121:$C$142, MATCH($B192, 'Resource costs'!$B$121:$B$142,0))</f>
        <v>245225.64371823546</v>
      </c>
      <c r="AW214" s="90">
        <f>INDEX(AW$151:AW$168,MATCH($B192,$B$151:$B$168,0))*INDEX('Resource costs'!$C$121:$C$142, MATCH($B192, 'Resource costs'!$B$121:$B$142,0))</f>
        <v>245592.63816761071</v>
      </c>
      <c r="AX214" s="90">
        <f>INDEX(AX$151:AX$168,MATCH($B192,$B$151:$B$168,0))*INDEX('Resource costs'!$C$121:$C$142, MATCH($B192, 'Resource costs'!$B$121:$B$142,0))</f>
        <v>245869.07673660258</v>
      </c>
      <c r="AY214" s="90">
        <f>INDEX(AY$151:AY$168,MATCH($B192,$B$151:$B$168,0))*INDEX('Resource costs'!$C$121:$C$142, MATCH($B192, 'Resource costs'!$B$121:$B$142,0))</f>
        <v>246077.30408869567</v>
      </c>
      <c r="AZ214" s="90">
        <f>INDEX(AZ$151:AZ$168,MATCH($B192,$B$151:$B$168,0))*INDEX('Resource costs'!$C$121:$C$142, MATCH($B192, 'Resource costs'!$B$121:$B$142,0))</f>
        <v>246234.15134165986</v>
      </c>
      <c r="BA214" s="90">
        <f>INDEX(BA$151:BA$168,MATCH($B192,$B$151:$B$168,0))*INDEX('Resource costs'!$C$121:$C$142, MATCH($B192, 'Resource costs'!$B$121:$B$142,0))</f>
        <v>246352.29653495512</v>
      </c>
      <c r="BB214" s="90">
        <f>INDEX(BB$151:BB$168,MATCH($B192,$B$151:$B$168,0))*INDEX('Resource costs'!$C$121:$C$142, MATCH($B192, 'Resource costs'!$B$121:$B$142,0))</f>
        <v>246441.28940180477</v>
      </c>
    </row>
    <row r="215" spans="2:54">
      <c r="B215" s="6" t="s">
        <v>2832</v>
      </c>
      <c r="C215" s="52"/>
      <c r="D215" s="90">
        <f>INDEX(D$151:D$168,MATCH($B193,$B$151:$B$168,0))*INDEX('Resource costs'!$C$121:$C$142, MATCH($B193, 'Resource costs'!$B$121:$B$142,0))</f>
        <v>57355.843544664094</v>
      </c>
      <c r="E215" s="90">
        <f>INDEX(E$151:E$168,MATCH($B193,$B$151:$B$168,0))*INDEX('Resource costs'!$C$121:$C$142, MATCH($B193, 'Resource costs'!$B$121:$B$142,0))</f>
        <v>59316.292401431856</v>
      </c>
      <c r="F215" s="90">
        <f>INDEX(F$151:F$168,MATCH($B193,$B$151:$B$168,0))*INDEX('Resource costs'!$C$121:$C$142, MATCH($B193, 'Resource costs'!$B$121:$B$142,0))</f>
        <v>60994.195079066361</v>
      </c>
      <c r="G215" s="90">
        <f>INDEX(G$151:G$168,MATCH($B193,$B$151:$B$168,0))*INDEX('Resource costs'!$C$121:$C$142, MATCH($B193, 'Resource costs'!$B$121:$B$142,0))</f>
        <v>62481.821758123828</v>
      </c>
      <c r="H215" s="90">
        <f>INDEX(H$151:H$168,MATCH($B193,$B$151:$B$168,0))*INDEX('Resource costs'!$C$121:$C$142, MATCH($B193, 'Resource costs'!$B$121:$B$142,0))</f>
        <v>63862.92196387086</v>
      </c>
      <c r="I215" s="90">
        <f>INDEX(I$151:I$168,MATCH($B193,$B$151:$B$168,0))*INDEX('Resource costs'!$C$121:$C$142, MATCH($B193, 'Resource costs'!$B$121:$B$142,0))</f>
        <v>65183.703006664262</v>
      </c>
      <c r="J215" s="90">
        <f>INDEX(J$151:J$168,MATCH($B193,$B$151:$B$168,0))*INDEX('Resource costs'!$C$121:$C$142, MATCH($B193, 'Resource costs'!$B$121:$B$142,0))</f>
        <v>66445.650145954671</v>
      </c>
      <c r="K215" s="90">
        <f>INDEX(K$151:K$168,MATCH($B193,$B$151:$B$168,0))*INDEX('Resource costs'!$C$121:$C$142, MATCH($B193, 'Resource costs'!$B$121:$B$142,0))</f>
        <v>67670.5255305881</v>
      </c>
      <c r="L215" s="90">
        <f>INDEX(L$151:L$168,MATCH($B193,$B$151:$B$168,0))*INDEX('Resource costs'!$C$121:$C$142, MATCH($B193, 'Resource costs'!$B$121:$B$142,0))</f>
        <v>68987.864631636039</v>
      </c>
      <c r="M215" s="90">
        <f>INDEX(M$151:M$168,MATCH($B193,$B$151:$B$168,0))*INDEX('Resource costs'!$C$121:$C$142, MATCH($B193, 'Resource costs'!$B$121:$B$142,0))</f>
        <v>70312.870329935351</v>
      </c>
      <c r="N215" s="90">
        <f>INDEX(N$151:N$168,MATCH($B193,$B$151:$B$168,0))*INDEX('Resource costs'!$C$121:$C$142, MATCH($B193, 'Resource costs'!$B$121:$B$142,0))</f>
        <v>71605.493804817685</v>
      </c>
      <c r="O215" s="90">
        <f>INDEX(O$151:O$168,MATCH($B193,$B$151:$B$168,0))*INDEX('Resource costs'!$C$121:$C$142, MATCH($B193, 'Resource costs'!$B$121:$B$142,0))</f>
        <v>72849.305266511161</v>
      </c>
      <c r="P215" s="90">
        <f>INDEX(P$151:P$168,MATCH($B193,$B$151:$B$168,0))*INDEX('Resource costs'!$C$121:$C$142, MATCH($B193, 'Resource costs'!$B$121:$B$142,0))</f>
        <v>74035.112454261878</v>
      </c>
      <c r="Q215" s="90">
        <f>INDEX(Q$151:Q$168,MATCH($B193,$B$151:$B$168,0))*INDEX('Resource costs'!$C$121:$C$142, MATCH($B193, 'Resource costs'!$B$121:$B$142,0))</f>
        <v>75186.444594598361</v>
      </c>
      <c r="R215" s="90">
        <f>INDEX(R$151:R$168,MATCH($B193,$B$151:$B$168,0))*INDEX('Resource costs'!$C$121:$C$142, MATCH($B193, 'Resource costs'!$B$121:$B$142,0))</f>
        <v>76329.727561671112</v>
      </c>
      <c r="S215" s="90">
        <f>INDEX(S$151:S$168,MATCH($B193,$B$151:$B$168,0))*INDEX('Resource costs'!$C$121:$C$142, MATCH($B193, 'Resource costs'!$B$121:$B$142,0))</f>
        <v>77468.068655920506</v>
      </c>
      <c r="T215" s="90">
        <f>INDEX(T$151:T$168,MATCH($B193,$B$151:$B$168,0))*INDEX('Resource costs'!$C$121:$C$142, MATCH($B193, 'Resource costs'!$B$121:$B$142,0))</f>
        <v>78580.105438760947</v>
      </c>
      <c r="U215" s="90">
        <f>INDEX(U$151:U$168,MATCH($B193,$B$151:$B$168,0))*INDEX('Resource costs'!$C$121:$C$142, MATCH($B193, 'Resource costs'!$B$121:$B$142,0))</f>
        <v>79669.265115030314</v>
      </c>
      <c r="V215" s="90">
        <f>INDEX(V$151:V$168,MATCH($B193,$B$151:$B$168,0))*INDEX('Resource costs'!$C$121:$C$142, MATCH($B193, 'Resource costs'!$B$121:$B$142,0))</f>
        <v>80785.16131536146</v>
      </c>
      <c r="W215" s="90">
        <f>INDEX(W$151:W$168,MATCH($B193,$B$151:$B$168,0))*INDEX('Resource costs'!$C$121:$C$142, MATCH($B193, 'Resource costs'!$B$121:$B$142,0))</f>
        <v>81885.263024207816</v>
      </c>
      <c r="X215" s="90">
        <f>INDEX(X$151:X$168,MATCH($B193,$B$151:$B$168,0))*INDEX('Resource costs'!$C$121:$C$142, MATCH($B193, 'Resource costs'!$B$121:$B$142,0))</f>
        <v>82957.878132069905</v>
      </c>
      <c r="Y215" s="90">
        <f>INDEX(Y$151:Y$168,MATCH($B193,$B$151:$B$168,0))*INDEX('Resource costs'!$C$121:$C$142, MATCH($B193, 'Resource costs'!$B$121:$B$142,0))</f>
        <v>84001.474298557325</v>
      </c>
      <c r="Z215" s="90">
        <f>INDEX(Z$151:Z$168,MATCH($B193,$B$151:$B$168,0))*INDEX('Resource costs'!$C$121:$C$142, MATCH($B193, 'Resource costs'!$B$121:$B$142,0))</f>
        <v>85036.257052536981</v>
      </c>
      <c r="AA215" s="90">
        <f>INDEX(AA$151:AA$168,MATCH($B193,$B$151:$B$168,0))*INDEX('Resource costs'!$C$121:$C$142, MATCH($B193, 'Resource costs'!$B$121:$B$142,0))</f>
        <v>86057.524578445446</v>
      </c>
      <c r="AB215" s="90">
        <f>INDEX(AB$151:AB$168,MATCH($B193,$B$151:$B$168,0))*INDEX('Resource costs'!$C$121:$C$142, MATCH($B193, 'Resource costs'!$B$121:$B$142,0))</f>
        <v>87057.006170460882</v>
      </c>
      <c r="AC215" s="90">
        <f>INDEX(AC$151:AC$168,MATCH($B193,$B$151:$B$168,0))*INDEX('Resource costs'!$C$121:$C$142, MATCH($B193, 'Resource costs'!$B$121:$B$142,0))</f>
        <v>88028.475233572972</v>
      </c>
      <c r="AD215" s="90">
        <f>INDEX(AD$151:AD$168,MATCH($B193,$B$151:$B$168,0))*INDEX('Resource costs'!$C$121:$C$142, MATCH($B193, 'Resource costs'!$B$121:$B$142,0))</f>
        <v>88965.825859370627</v>
      </c>
      <c r="AE215" s="90">
        <f>INDEX(AE$151:AE$168,MATCH($B193,$B$151:$B$168,0))*INDEX('Resource costs'!$C$121:$C$142, MATCH($B193, 'Resource costs'!$B$121:$B$142,0))</f>
        <v>89864.709880949609</v>
      </c>
      <c r="AF215" s="90">
        <f>INDEX(AF$151:AF$168,MATCH($B193,$B$151:$B$168,0))*INDEX('Resource costs'!$C$121:$C$142, MATCH($B193, 'Resource costs'!$B$121:$B$142,0))</f>
        <v>90721.245149490001</v>
      </c>
      <c r="AG215" s="90">
        <f>INDEX(AG$151:AG$168,MATCH($B193,$B$151:$B$168,0))*INDEX('Resource costs'!$C$121:$C$142, MATCH($B193, 'Resource costs'!$B$121:$B$142,0))</f>
        <v>91539.456446385229</v>
      </c>
      <c r="AH215" s="90">
        <f>INDEX(AH$151:AH$168,MATCH($B193,$B$151:$B$168,0))*INDEX('Resource costs'!$C$121:$C$142, MATCH($B193, 'Resource costs'!$B$121:$B$142,0))</f>
        <v>92338.053122685975</v>
      </c>
      <c r="AI215" s="90">
        <f>INDEX(AI$151:AI$168,MATCH($B193,$B$151:$B$168,0))*INDEX('Resource costs'!$C$121:$C$142, MATCH($B193, 'Resource costs'!$B$121:$B$142,0))</f>
        <v>93118.803455139336</v>
      </c>
      <c r="AJ215" s="90">
        <f>INDEX(AJ$151:AJ$168,MATCH($B193,$B$151:$B$168,0))*INDEX('Resource costs'!$C$121:$C$142, MATCH($B193, 'Resource costs'!$B$121:$B$142,0))</f>
        <v>93888.357775192271</v>
      </c>
      <c r="AK215" s="90">
        <f>INDEX(AK$151:AK$168,MATCH($B193,$B$151:$B$168,0))*INDEX('Resource costs'!$C$121:$C$142, MATCH($B193, 'Resource costs'!$B$121:$B$142,0))</f>
        <v>94625.667707738277</v>
      </c>
      <c r="AL215" s="90">
        <f>INDEX(AL$151:AL$168,MATCH($B193,$B$151:$B$168,0))*INDEX('Resource costs'!$C$121:$C$142, MATCH($B193, 'Resource costs'!$B$121:$B$142,0))</f>
        <v>95315.161294492049</v>
      </c>
      <c r="AM215" s="90">
        <f>INDEX(AM$151:AM$168,MATCH($B193,$B$151:$B$168,0))*INDEX('Resource costs'!$C$121:$C$142, MATCH($B193, 'Resource costs'!$B$121:$B$142,0))</f>
        <v>95946.686542682321</v>
      </c>
      <c r="AN215" s="90">
        <f>INDEX(AN$151:AN$168,MATCH($B193,$B$151:$B$168,0))*INDEX('Resource costs'!$C$121:$C$142, MATCH($B193, 'Resource costs'!$B$121:$B$142,0))</f>
        <v>96527.326235222921</v>
      </c>
      <c r="AO215" s="90">
        <f>INDEX(AO$151:AO$168,MATCH($B193,$B$151:$B$168,0))*INDEX('Resource costs'!$C$121:$C$142, MATCH($B193, 'Resource costs'!$B$121:$B$142,0))</f>
        <v>97058.881735445757</v>
      </c>
      <c r="AP215" s="90">
        <f>INDEX(AP$151:AP$168,MATCH($B193,$B$151:$B$168,0))*INDEX('Resource costs'!$C$121:$C$142, MATCH($B193, 'Resource costs'!$B$121:$B$142,0))</f>
        <v>97538.994984784978</v>
      </c>
      <c r="AQ215" s="90">
        <f>INDEX(AQ$151:AQ$168,MATCH($B193,$B$151:$B$168,0))*INDEX('Resource costs'!$C$121:$C$142, MATCH($B193, 'Resource costs'!$B$121:$B$142,0))</f>
        <v>97990.484562842859</v>
      </c>
      <c r="AR215" s="90">
        <f>INDEX(AR$151:AR$168,MATCH($B193,$B$151:$B$168,0))*INDEX('Resource costs'!$C$121:$C$142, MATCH($B193, 'Resource costs'!$B$121:$B$142,0))</f>
        <v>98438.289801849314</v>
      </c>
      <c r="AS215" s="90">
        <f>INDEX(AS$151:AS$168,MATCH($B193,$B$151:$B$168,0))*INDEX('Resource costs'!$C$121:$C$142, MATCH($B193, 'Resource costs'!$B$121:$B$142,0))</f>
        <v>98901.827342804812</v>
      </c>
      <c r="AT215" s="90">
        <f>INDEX(AT$151:AT$168,MATCH($B193,$B$151:$B$168,0))*INDEX('Resource costs'!$C$121:$C$142, MATCH($B193, 'Resource costs'!$B$121:$B$142,0))</f>
        <v>99250.986995529529</v>
      </c>
      <c r="AU215" s="90">
        <f>INDEX(AU$151:AU$168,MATCH($B193,$B$151:$B$168,0))*INDEX('Resource costs'!$C$121:$C$142, MATCH($B193, 'Resource costs'!$B$121:$B$142,0))</f>
        <v>99513.99150394446</v>
      </c>
      <c r="AV215" s="90">
        <f>INDEX(AV$151:AV$168,MATCH($B193,$B$151:$B$168,0))*INDEX('Resource costs'!$C$121:$C$142, MATCH($B193, 'Resource costs'!$B$121:$B$142,0))</f>
        <v>99712.099649907977</v>
      </c>
      <c r="AW215" s="90">
        <f>INDEX(AW$151:AW$168,MATCH($B193,$B$151:$B$168,0))*INDEX('Resource costs'!$C$121:$C$142, MATCH($B193, 'Resource costs'!$B$121:$B$142,0))</f>
        <v>99861.324610855023</v>
      </c>
      <c r="AX215" s="90">
        <f>INDEX(AX$151:AX$168,MATCH($B193,$B$151:$B$168,0))*INDEX('Resource costs'!$C$121:$C$142, MATCH($B193, 'Resource costs'!$B$121:$B$142,0))</f>
        <v>99973.72831268837</v>
      </c>
      <c r="AY215" s="90">
        <f>INDEX(AY$151:AY$168,MATCH($B193,$B$151:$B$168,0))*INDEX('Resource costs'!$C$121:$C$142, MATCH($B193, 'Resource costs'!$B$121:$B$142,0))</f>
        <v>100058.39640109433</v>
      </c>
      <c r="AZ215" s="90">
        <f>INDEX(AZ$151:AZ$168,MATCH($B193,$B$151:$B$168,0))*INDEX('Resource costs'!$C$121:$C$142, MATCH($B193, 'Resource costs'!$B$121:$B$142,0))</f>
        <v>100122.17263868614</v>
      </c>
      <c r="BA215" s="90">
        <f>INDEX(BA$151:BA$168,MATCH($B193,$B$151:$B$168,0))*INDEX('Resource costs'!$C$121:$C$142, MATCH($B193, 'Resource costs'!$B$121:$B$142,0))</f>
        <v>100170.21208965217</v>
      </c>
      <c r="BB215" s="90">
        <f>INDEX(BB$151:BB$168,MATCH($B193,$B$151:$B$168,0))*INDEX('Resource costs'!$C$121:$C$142, MATCH($B193, 'Resource costs'!$B$121:$B$142,0))</f>
        <v>100206.39780609233</v>
      </c>
    </row>
    <row r="216" spans="2:54">
      <c r="B216" s="6" t="s">
        <v>2871</v>
      </c>
      <c r="C216" s="52"/>
      <c r="D216" s="90">
        <f>INDEX(D$151:D$168,MATCH($B194,$B$151:$B$168,0))*INDEX('Resource costs'!$C$121:$C$142, MATCH($B194, 'Resource costs'!$B$121:$B$142,0))</f>
        <v>3930.3648094495934</v>
      </c>
      <c r="E216" s="90">
        <f>INDEX(E$151:E$168,MATCH($B194,$B$151:$B$168,0))*INDEX('Resource costs'!$C$121:$C$142, MATCH($B194, 'Resource costs'!$B$121:$B$142,0))</f>
        <v>4064.7064688371925</v>
      </c>
      <c r="F216" s="90">
        <f>INDEX(F$151:F$168,MATCH($B194,$B$151:$B$168,0))*INDEX('Resource costs'!$C$121:$C$142, MATCH($B194, 'Resource costs'!$B$121:$B$142,0))</f>
        <v>4179.6863772526349</v>
      </c>
      <c r="G216" s="90">
        <f>INDEX(G$151:G$168,MATCH($B194,$B$151:$B$168,0))*INDEX('Resource costs'!$C$121:$C$142, MATCH($B194, 'Resource costs'!$B$121:$B$142,0))</f>
        <v>4281.6274383131831</v>
      </c>
      <c r="H216" s="90">
        <f>INDEX(H$151:H$168,MATCH($B194,$B$151:$B$168,0))*INDEX('Resource costs'!$C$121:$C$142, MATCH($B194, 'Resource costs'!$B$121:$B$142,0))</f>
        <v>4376.2686694680287</v>
      </c>
      <c r="I216" s="90">
        <f>INDEX(I$151:I$168,MATCH($B194,$B$151:$B$168,0))*INDEX('Resource costs'!$C$121:$C$142, MATCH($B194, 'Resource costs'!$B$121:$B$142,0))</f>
        <v>4466.7764714767436</v>
      </c>
      <c r="J216" s="90">
        <f>INDEX(J$151:J$168,MATCH($B194,$B$151:$B$168,0))*INDEX('Resource costs'!$C$121:$C$142, MATCH($B194, 'Resource costs'!$B$121:$B$142,0))</f>
        <v>4553.2526231837674</v>
      </c>
      <c r="K216" s="90">
        <f>INDEX(K$151:K$168,MATCH($B194,$B$151:$B$168,0))*INDEX('Resource costs'!$C$121:$C$142, MATCH($B194, 'Resource costs'!$B$121:$B$142,0))</f>
        <v>4637.1883969463006</v>
      </c>
      <c r="L216" s="90">
        <f>INDEX(L$151:L$168,MATCH($B194,$B$151:$B$168,0))*INDEX('Resource costs'!$C$121:$C$142, MATCH($B194, 'Resource costs'!$B$121:$B$142,0))</f>
        <v>4727.4603365585026</v>
      </c>
      <c r="M216" s="90">
        <f>INDEX(M$151:M$168,MATCH($B194,$B$151:$B$168,0))*INDEX('Resource costs'!$C$121:$C$142, MATCH($B194, 'Resource costs'!$B$121:$B$142,0))</f>
        <v>4818.2576371833356</v>
      </c>
      <c r="N216" s="90">
        <f>INDEX(N$151:N$168,MATCH($B194,$B$151:$B$168,0))*INDEX('Resource costs'!$C$121:$C$142, MATCH($B194, 'Resource costs'!$B$121:$B$142,0))</f>
        <v>4906.835914540372</v>
      </c>
      <c r="O216" s="90">
        <f>INDEX(O$151:O$168,MATCH($B194,$B$151:$B$168,0))*INDEX('Resource costs'!$C$121:$C$142, MATCH($B194, 'Resource costs'!$B$121:$B$142,0))</f>
        <v>4992.0693013499167</v>
      </c>
      <c r="P216" s="90">
        <f>INDEX(P$151:P$168,MATCH($B194,$B$151:$B$168,0))*INDEX('Resource costs'!$C$121:$C$142, MATCH($B194, 'Resource costs'!$B$121:$B$142,0))</f>
        <v>5073.3278890280581</v>
      </c>
      <c r="Q216" s="90">
        <f>INDEX(Q$151:Q$168,MATCH($B194,$B$151:$B$168,0))*INDEX('Resource costs'!$C$121:$C$142, MATCH($B194, 'Resource costs'!$B$121:$B$142,0))</f>
        <v>5152.2240406441169</v>
      </c>
      <c r="R216" s="90">
        <f>INDEX(R$151:R$168,MATCH($B194,$B$151:$B$168,0))*INDEX('Resource costs'!$C$121:$C$142, MATCH($B194, 'Resource costs'!$B$121:$B$142,0))</f>
        <v>5230.5686148552286</v>
      </c>
      <c r="S216" s="90">
        <f>INDEX(S$151:S$168,MATCH($B194,$B$151:$B$168,0))*INDEX('Resource costs'!$C$121:$C$142, MATCH($B194, 'Resource costs'!$B$121:$B$142,0))</f>
        <v>5308.5745424379011</v>
      </c>
      <c r="T216" s="90">
        <f>INDEX(T$151:T$168,MATCH($B194,$B$151:$B$168,0))*INDEX('Resource costs'!$C$121:$C$142, MATCH($B194, 'Resource costs'!$B$121:$B$142,0))</f>
        <v>5384.7779415682098</v>
      </c>
      <c r="U216" s="90">
        <f>INDEX(U$151:U$168,MATCH($B194,$B$151:$B$168,0))*INDEX('Resource costs'!$C$121:$C$142, MATCH($B194, 'Resource costs'!$B$121:$B$142,0))</f>
        <v>5459.4136647817841</v>
      </c>
      <c r="V216" s="90">
        <f>INDEX(V$151:V$168,MATCH($B194,$B$151:$B$168,0))*INDEX('Resource costs'!$C$121:$C$142, MATCH($B194, 'Resource costs'!$B$121:$B$142,0))</f>
        <v>5535.881534238968</v>
      </c>
      <c r="W216" s="90">
        <f>INDEX(W$151:W$168,MATCH($B194,$B$151:$B$168,0))*INDEX('Resource costs'!$C$121:$C$142, MATCH($B194, 'Resource costs'!$B$121:$B$142,0))</f>
        <v>5611.2670708477726</v>
      </c>
      <c r="X216" s="90">
        <f>INDEX(X$151:X$168,MATCH($B194,$B$151:$B$168,0))*INDEX('Resource costs'!$C$121:$C$142, MATCH($B194, 'Resource costs'!$B$121:$B$142,0))</f>
        <v>5684.7690614643388</v>
      </c>
      <c r="Y216" s="90">
        <f>INDEX(Y$151:Y$168,MATCH($B194,$B$151:$B$168,0))*INDEX('Resource costs'!$C$121:$C$142, MATCH($B194, 'Resource costs'!$B$121:$B$142,0))</f>
        <v>5756.2825009771695</v>
      </c>
      <c r="Z216" s="90">
        <f>INDEX(Z$151:Z$168,MATCH($B194,$B$151:$B$168,0))*INDEX('Resource costs'!$C$121:$C$142, MATCH($B194, 'Resource costs'!$B$121:$B$142,0))</f>
        <v>5827.1919928496027</v>
      </c>
      <c r="AA216" s="90">
        <f>INDEX(AA$151:AA$168,MATCH($B194,$B$151:$B$168,0))*INDEX('Resource costs'!$C$121:$C$142, MATCH($B194, 'Resource costs'!$B$121:$B$142,0))</f>
        <v>5897.1753406097741</v>
      </c>
      <c r="AB216" s="90">
        <f>INDEX(AB$151:AB$168,MATCH($B194,$B$151:$B$168,0))*INDEX('Resource costs'!$C$121:$C$142, MATCH($B194, 'Resource costs'!$B$121:$B$142,0))</f>
        <v>5965.6657861193253</v>
      </c>
      <c r="AC216" s="90">
        <f>INDEX(AC$151:AC$168,MATCH($B194,$B$151:$B$168,0))*INDEX('Resource costs'!$C$121:$C$142, MATCH($B194, 'Resource costs'!$B$121:$B$142,0))</f>
        <v>6032.2366459158757</v>
      </c>
      <c r="AD216" s="90">
        <f>INDEX(AD$151:AD$168,MATCH($B194,$B$151:$B$168,0))*INDEX('Resource costs'!$C$121:$C$142, MATCH($B194, 'Resource costs'!$B$121:$B$142,0))</f>
        <v>6096.4695067033172</v>
      </c>
      <c r="AE216" s="90">
        <f>INDEX(AE$151:AE$168,MATCH($B194,$B$151:$B$168,0))*INDEX('Resource costs'!$C$121:$C$142, MATCH($B194, 'Resource costs'!$B$121:$B$142,0))</f>
        <v>6158.0664061271636</v>
      </c>
      <c r="AF216" s="90">
        <f>INDEX(AF$151:AF$168,MATCH($B194,$B$151:$B$168,0))*INDEX('Resource costs'!$C$121:$C$142, MATCH($B194, 'Resource costs'!$B$121:$B$142,0))</f>
        <v>6216.7613161741601</v>
      </c>
      <c r="AG216" s="90">
        <f>INDEX(AG$151:AG$168,MATCH($B194,$B$151:$B$168,0))*INDEX('Resource costs'!$C$121:$C$142, MATCH($B194, 'Resource costs'!$B$121:$B$142,0))</f>
        <v>6272.8300388930029</v>
      </c>
      <c r="AH216" s="90">
        <f>INDEX(AH$151:AH$168,MATCH($B194,$B$151:$B$168,0))*INDEX('Resource costs'!$C$121:$C$142, MATCH($B194, 'Resource costs'!$B$121:$B$142,0))</f>
        <v>6327.5546507110066</v>
      </c>
      <c r="AI216" s="90">
        <f>INDEX(AI$151:AI$168,MATCH($B194,$B$151:$B$168,0))*INDEX('Resource costs'!$C$121:$C$142, MATCH($B194, 'Resource costs'!$B$121:$B$142,0))</f>
        <v>6381.0563245073499</v>
      </c>
      <c r="AJ216" s="90">
        <f>INDEX(AJ$151:AJ$168,MATCH($B194,$B$151:$B$168,0))*INDEX('Resource costs'!$C$121:$C$142, MATCH($B194, 'Resource costs'!$B$121:$B$142,0))</f>
        <v>6433.7907806947242</v>
      </c>
      <c r="AK216" s="90">
        <f>INDEX(AK$151:AK$168,MATCH($B194,$B$151:$B$168,0))*INDEX('Resource costs'!$C$121:$C$142, MATCH($B194, 'Resource costs'!$B$121:$B$142,0))</f>
        <v>6484.3156589537248</v>
      </c>
      <c r="AL216" s="90">
        <f>INDEX(AL$151:AL$168,MATCH($B194,$B$151:$B$168,0))*INDEX('Resource costs'!$C$121:$C$142, MATCH($B194, 'Resource costs'!$B$121:$B$142,0))</f>
        <v>6531.5638757393072</v>
      </c>
      <c r="AM216" s="90">
        <f>INDEX(AM$151:AM$168,MATCH($B194,$B$151:$B$168,0))*INDEX('Resource costs'!$C$121:$C$142, MATCH($B194, 'Resource costs'!$B$121:$B$142,0))</f>
        <v>6574.8397559002015</v>
      </c>
      <c r="AN216" s="90">
        <f>INDEX(AN$151:AN$168,MATCH($B194,$B$151:$B$168,0))*INDEX('Resource costs'!$C$121:$C$142, MATCH($B194, 'Resource costs'!$B$121:$B$142,0))</f>
        <v>6614.6286540053115</v>
      </c>
      <c r="AO216" s="90">
        <f>INDEX(AO$151:AO$168,MATCH($B194,$B$151:$B$168,0))*INDEX('Resource costs'!$C$121:$C$142, MATCH($B194, 'Resource costs'!$B$121:$B$142,0))</f>
        <v>6651.0540102241303</v>
      </c>
      <c r="AP216" s="90">
        <f>INDEX(AP$151:AP$168,MATCH($B194,$B$151:$B$168,0))*INDEX('Resource costs'!$C$121:$C$142, MATCH($B194, 'Resource costs'!$B$121:$B$142,0))</f>
        <v>6683.9542363063056</v>
      </c>
      <c r="AQ216" s="90">
        <f>INDEX(AQ$151:AQ$168,MATCH($B194,$B$151:$B$168,0))*INDEX('Resource costs'!$C$121:$C$142, MATCH($B194, 'Resource costs'!$B$121:$B$142,0))</f>
        <v>6714.8929975512719</v>
      </c>
      <c r="AR216" s="90">
        <f>INDEX(AR$151:AR$168,MATCH($B194,$B$151:$B$168,0))*INDEX('Resource costs'!$C$121:$C$142, MATCH($B194, 'Resource costs'!$B$121:$B$142,0))</f>
        <v>6745.5792858892255</v>
      </c>
      <c r="AS216" s="90">
        <f>INDEX(AS$151:AS$168,MATCH($B194,$B$151:$B$168,0))*INDEX('Resource costs'!$C$121:$C$142, MATCH($B194, 'Resource costs'!$B$121:$B$142,0))</f>
        <v>6777.3436454773037</v>
      </c>
      <c r="AT216" s="90">
        <f>INDEX(AT$151:AT$168,MATCH($B194,$B$151:$B$168,0))*INDEX('Resource costs'!$C$121:$C$142, MATCH($B194, 'Resource costs'!$B$121:$B$142,0))</f>
        <v>6801.2701493370232</v>
      </c>
      <c r="AU216" s="90">
        <f>INDEX(AU$151:AU$168,MATCH($B194,$B$151:$B$168,0))*INDEX('Resource costs'!$C$121:$C$142, MATCH($B194, 'Resource costs'!$B$121:$B$142,0))</f>
        <v>6819.2927883693601</v>
      </c>
      <c r="AV216" s="90">
        <f>INDEX(AV$151:AV$168,MATCH($B194,$B$151:$B$168,0))*INDEX('Resource costs'!$C$121:$C$142, MATCH($B194, 'Resource costs'!$B$121:$B$142,0))</f>
        <v>6832.8683412204646</v>
      </c>
      <c r="AW216" s="90">
        <f>INDEX(AW$151:AW$168,MATCH($B194,$B$151:$B$168,0))*INDEX('Resource costs'!$C$121:$C$142, MATCH($B194, 'Resource costs'!$B$121:$B$142,0))</f>
        <v>6843.0941264055618</v>
      </c>
      <c r="AX216" s="90">
        <f>INDEX(AX$151:AX$168,MATCH($B194,$B$151:$B$168,0))*INDEX('Resource costs'!$C$121:$C$142, MATCH($B194, 'Resource costs'!$B$121:$B$142,0))</f>
        <v>6850.796699096235</v>
      </c>
      <c r="AY216" s="90">
        <f>INDEX(AY$151:AY$168,MATCH($B194,$B$151:$B$168,0))*INDEX('Resource costs'!$C$121:$C$142, MATCH($B194, 'Resource costs'!$B$121:$B$142,0))</f>
        <v>6856.598661975484</v>
      </c>
      <c r="AZ216" s="90">
        <f>INDEX(AZ$151:AZ$168,MATCH($B194,$B$151:$B$168,0))*INDEX('Resource costs'!$C$121:$C$142, MATCH($B194, 'Resource costs'!$B$121:$B$142,0))</f>
        <v>6860.9689905142795</v>
      </c>
      <c r="BA216" s="90">
        <f>INDEX(BA$151:BA$168,MATCH($B194,$B$151:$B$168,0))*INDEX('Resource costs'!$C$121:$C$142, MATCH($B194, 'Resource costs'!$B$121:$B$142,0))</f>
        <v>6864.2609404861259</v>
      </c>
      <c r="BB216" s="90">
        <f>INDEX(BB$151:BB$168,MATCH($B194,$B$151:$B$168,0))*INDEX('Resource costs'!$C$121:$C$142, MATCH($B194, 'Resource costs'!$B$121:$B$142,0))</f>
        <v>6866.7406018024212</v>
      </c>
    </row>
    <row r="217" spans="2:54">
      <c r="B217" s="52"/>
      <c r="C217" s="52"/>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row>
    <row r="218" spans="2:54" s="588" customFormat="1">
      <c r="B218" s="608" t="s">
        <v>3141</v>
      </c>
      <c r="C218" s="625"/>
      <c r="D218" s="647"/>
      <c r="E218" s="647"/>
      <c r="F218" s="647"/>
      <c r="G218" s="647"/>
      <c r="H218" s="647"/>
      <c r="I218" s="647"/>
      <c r="J218" s="647"/>
      <c r="K218" s="647"/>
      <c r="L218" s="647"/>
      <c r="M218" s="647"/>
      <c r="N218" s="647"/>
      <c r="O218" s="647"/>
      <c r="P218" s="647"/>
      <c r="Q218" s="647"/>
      <c r="R218" s="647"/>
      <c r="S218" s="647"/>
      <c r="T218" s="647"/>
      <c r="U218" s="647"/>
      <c r="V218" s="647"/>
      <c r="W218" s="647"/>
      <c r="X218" s="647"/>
      <c r="Y218" s="647"/>
      <c r="Z218" s="647"/>
      <c r="AA218" s="647"/>
      <c r="AB218" s="647"/>
      <c r="AC218" s="647"/>
      <c r="AD218" s="647"/>
      <c r="AE218" s="647"/>
      <c r="AF218" s="647"/>
    </row>
    <row r="219" spans="2:54">
      <c r="B219" s="52"/>
      <c r="C219" s="52"/>
      <c r="D219" s="116"/>
      <c r="E219" s="116"/>
      <c r="F219" s="116"/>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row>
    <row r="220" spans="2:54">
      <c r="B220" s="6" t="s">
        <v>3146</v>
      </c>
      <c r="C220" s="491">
        <f>'Control Assumptions'!C241</f>
        <v>0</v>
      </c>
      <c r="D220" s="116"/>
      <c r="E220" s="116"/>
      <c r="F220" s="116"/>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row>
    <row r="221" spans="2:54">
      <c r="B221" s="6" t="s">
        <v>3147</v>
      </c>
      <c r="C221" s="85">
        <f>'To-be clinical improvements'!C176</f>
        <v>1016</v>
      </c>
      <c r="D221" s="116"/>
      <c r="E221" s="116"/>
      <c r="F221" s="116"/>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row>
    <row r="222" spans="2:54">
      <c r="B222" s="52"/>
      <c r="C222" s="52"/>
      <c r="D222" s="116"/>
      <c r="E222" s="116"/>
      <c r="F222" s="116"/>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row>
    <row r="223" spans="2:54">
      <c r="B223" s="52"/>
      <c r="C223" s="52"/>
      <c r="D223" s="34">
        <f>'Prevalence projection'!C$21</f>
        <v>2020</v>
      </c>
      <c r="E223" s="34">
        <f>'Prevalence projection'!D$21</f>
        <v>2021</v>
      </c>
      <c r="F223" s="34">
        <f>'Prevalence projection'!E$21</f>
        <v>2022</v>
      </c>
      <c r="G223" s="34">
        <f>'Prevalence projection'!F$21</f>
        <v>2023</v>
      </c>
      <c r="H223" s="34">
        <f>'Prevalence projection'!G$21</f>
        <v>2024</v>
      </c>
      <c r="I223" s="34">
        <f>'Prevalence projection'!H$21</f>
        <v>2025</v>
      </c>
      <c r="J223" s="34">
        <f>'Prevalence projection'!I$21</f>
        <v>2026</v>
      </c>
      <c r="K223" s="34">
        <f>'Prevalence projection'!J$21</f>
        <v>2027</v>
      </c>
      <c r="L223" s="34">
        <f>'Prevalence projection'!K$21</f>
        <v>2028</v>
      </c>
      <c r="M223" s="34">
        <f>'Prevalence projection'!L$21</f>
        <v>2029</v>
      </c>
      <c r="N223" s="34">
        <f>'Prevalence projection'!M$21</f>
        <v>2030</v>
      </c>
      <c r="O223" s="34">
        <f>'Prevalence projection'!N$21</f>
        <v>2031</v>
      </c>
      <c r="P223" s="34">
        <f>'Prevalence projection'!O$21</f>
        <v>2032</v>
      </c>
      <c r="Q223" s="34">
        <f>'Prevalence projection'!P$21</f>
        <v>2033</v>
      </c>
      <c r="R223" s="34">
        <f>'Prevalence projection'!Q$21</f>
        <v>2034</v>
      </c>
      <c r="S223" s="34">
        <f>'Prevalence projection'!R$21</f>
        <v>2035</v>
      </c>
      <c r="T223" s="34">
        <f>'Prevalence projection'!S$21</f>
        <v>2036</v>
      </c>
      <c r="U223" s="34">
        <f>'Prevalence projection'!T$21</f>
        <v>2037</v>
      </c>
      <c r="V223" s="34">
        <f>'Prevalence projection'!U$21</f>
        <v>2038</v>
      </c>
      <c r="W223" s="34">
        <f>'Prevalence projection'!V$21</f>
        <v>2039</v>
      </c>
      <c r="X223" s="34">
        <f>'Prevalence projection'!W$21</f>
        <v>2040</v>
      </c>
      <c r="Y223" s="34">
        <f>'Prevalence projection'!X$21</f>
        <v>2041</v>
      </c>
      <c r="Z223" s="34">
        <f>'Prevalence projection'!Y$21</f>
        <v>2042</v>
      </c>
      <c r="AA223" s="34">
        <f>'Prevalence projection'!Z$21</f>
        <v>2043</v>
      </c>
      <c r="AB223" s="34">
        <f>'Prevalence projection'!AA$21</f>
        <v>2044</v>
      </c>
      <c r="AC223" s="34">
        <f>'Prevalence projection'!AB$21</f>
        <v>2045</v>
      </c>
      <c r="AD223" s="34">
        <f>'Prevalence projection'!AC$21</f>
        <v>2046</v>
      </c>
      <c r="AE223" s="34">
        <f>'Prevalence projection'!AD$21</f>
        <v>2047</v>
      </c>
      <c r="AF223" s="34">
        <f>'Prevalence projection'!AE$21</f>
        <v>2048</v>
      </c>
      <c r="AG223" s="34">
        <f>'Prevalence projection'!AF$21</f>
        <v>2049</v>
      </c>
      <c r="AH223" s="34">
        <f>'Prevalence projection'!AG$21</f>
        <v>2050</v>
      </c>
      <c r="AI223" s="34">
        <f>'Prevalence projection'!AH$21</f>
        <v>2051</v>
      </c>
      <c r="AJ223" s="34">
        <f>'Prevalence projection'!AI$21</f>
        <v>2052</v>
      </c>
      <c r="AK223" s="34">
        <f>'Prevalence projection'!AJ$21</f>
        <v>2053</v>
      </c>
      <c r="AL223" s="34">
        <f>'Prevalence projection'!AK$21</f>
        <v>2054</v>
      </c>
      <c r="AM223" s="34">
        <f>'Prevalence projection'!AL$21</f>
        <v>2055</v>
      </c>
      <c r="AN223" s="34">
        <f>'Prevalence projection'!AM$21</f>
        <v>2056</v>
      </c>
      <c r="AO223" s="34">
        <f>'Prevalence projection'!AN$21</f>
        <v>2057</v>
      </c>
      <c r="AP223" s="34">
        <f>'Prevalence projection'!AO$21</f>
        <v>2058</v>
      </c>
      <c r="AQ223" s="34">
        <f>'Prevalence projection'!AP$21</f>
        <v>2059</v>
      </c>
      <c r="AR223" s="34">
        <f>'Prevalence projection'!AQ$21</f>
        <v>2060</v>
      </c>
      <c r="AS223" s="34">
        <f>'Prevalence projection'!AR$21</f>
        <v>2061</v>
      </c>
      <c r="AT223" s="34">
        <f>'Prevalence projection'!AS$21</f>
        <v>2062</v>
      </c>
      <c r="AU223" s="34">
        <f>'Prevalence projection'!AT$21</f>
        <v>2063</v>
      </c>
      <c r="AV223" s="34">
        <f>'Prevalence projection'!AU$21</f>
        <v>2064</v>
      </c>
      <c r="AW223" s="34">
        <f>'Prevalence projection'!AV$21</f>
        <v>2065</v>
      </c>
      <c r="AX223" s="34">
        <f>'Prevalence projection'!AW$21</f>
        <v>2066</v>
      </c>
      <c r="AY223" s="34">
        <f>'Prevalence projection'!AX$21</f>
        <v>2067</v>
      </c>
      <c r="AZ223" s="34">
        <f>'Prevalence projection'!AY$21</f>
        <v>2068</v>
      </c>
      <c r="BA223" s="34">
        <f>'Prevalence projection'!AZ$21</f>
        <v>2069</v>
      </c>
      <c r="BB223" s="34">
        <f>'Prevalence projection'!BA$21</f>
        <v>2070</v>
      </c>
    </row>
    <row r="224" spans="2:54" ht="29">
      <c r="B224" s="6" t="s">
        <v>3143</v>
      </c>
      <c r="C224" s="52"/>
      <c r="D224" s="82">
        <f>$C$220*C12</f>
        <v>0</v>
      </c>
      <c r="E224" s="82">
        <f t="shared" ref="E224:AF224" si="160">$C$220*D12</f>
        <v>0</v>
      </c>
      <c r="F224" s="82">
        <f t="shared" si="160"/>
        <v>0</v>
      </c>
      <c r="G224" s="82">
        <f t="shared" si="160"/>
        <v>0</v>
      </c>
      <c r="H224" s="82">
        <f t="shared" si="160"/>
        <v>0</v>
      </c>
      <c r="I224" s="82">
        <f t="shared" si="160"/>
        <v>0</v>
      </c>
      <c r="J224" s="82">
        <f t="shared" si="160"/>
        <v>0</v>
      </c>
      <c r="K224" s="82">
        <f t="shared" si="160"/>
        <v>0</v>
      </c>
      <c r="L224" s="82">
        <f t="shared" si="160"/>
        <v>0</v>
      </c>
      <c r="M224" s="82">
        <f t="shared" si="160"/>
        <v>0</v>
      </c>
      <c r="N224" s="82">
        <f t="shared" si="160"/>
        <v>0</v>
      </c>
      <c r="O224" s="82">
        <f t="shared" si="160"/>
        <v>0</v>
      </c>
      <c r="P224" s="82">
        <f t="shared" si="160"/>
        <v>0</v>
      </c>
      <c r="Q224" s="82">
        <f t="shared" si="160"/>
        <v>0</v>
      </c>
      <c r="R224" s="82">
        <f t="shared" si="160"/>
        <v>0</v>
      </c>
      <c r="S224" s="82">
        <f t="shared" si="160"/>
        <v>0</v>
      </c>
      <c r="T224" s="82">
        <f t="shared" si="160"/>
        <v>0</v>
      </c>
      <c r="U224" s="82">
        <f t="shared" si="160"/>
        <v>0</v>
      </c>
      <c r="V224" s="82">
        <f t="shared" si="160"/>
        <v>0</v>
      </c>
      <c r="W224" s="82">
        <f t="shared" si="160"/>
        <v>0</v>
      </c>
      <c r="X224" s="82">
        <f t="shared" si="160"/>
        <v>0</v>
      </c>
      <c r="Y224" s="82">
        <f t="shared" si="160"/>
        <v>0</v>
      </c>
      <c r="Z224" s="82">
        <f t="shared" si="160"/>
        <v>0</v>
      </c>
      <c r="AA224" s="82">
        <f t="shared" si="160"/>
        <v>0</v>
      </c>
      <c r="AB224" s="82">
        <f t="shared" si="160"/>
        <v>0</v>
      </c>
      <c r="AC224" s="82">
        <f t="shared" si="160"/>
        <v>0</v>
      </c>
      <c r="AD224" s="82">
        <f t="shared" si="160"/>
        <v>0</v>
      </c>
      <c r="AE224" s="82">
        <f t="shared" si="160"/>
        <v>0</v>
      </c>
      <c r="AF224" s="82">
        <f t="shared" si="160"/>
        <v>0</v>
      </c>
      <c r="AG224" s="82">
        <f t="shared" ref="AG224" si="161">$C$220*AF12</f>
        <v>0</v>
      </c>
      <c r="AH224" s="82">
        <f t="shared" ref="AH224" si="162">$C$220*AG12</f>
        <v>0</v>
      </c>
      <c r="AI224" s="82">
        <f t="shared" ref="AI224" si="163">$C$220*AH12</f>
        <v>0</v>
      </c>
      <c r="AJ224" s="82">
        <f t="shared" ref="AJ224" si="164">$C$220*AI12</f>
        <v>0</v>
      </c>
      <c r="AK224" s="82">
        <f t="shared" ref="AK224" si="165">$C$220*AJ12</f>
        <v>0</v>
      </c>
      <c r="AL224" s="82">
        <f t="shared" ref="AL224" si="166">$C$220*AK12</f>
        <v>0</v>
      </c>
      <c r="AM224" s="82">
        <f t="shared" ref="AM224" si="167">$C$220*AL12</f>
        <v>0</v>
      </c>
      <c r="AN224" s="82">
        <f t="shared" ref="AN224" si="168">$C$220*AM12</f>
        <v>0</v>
      </c>
      <c r="AO224" s="82">
        <f t="shared" ref="AO224" si="169">$C$220*AN12</f>
        <v>0</v>
      </c>
      <c r="AP224" s="82">
        <f t="shared" ref="AP224" si="170">$C$220*AO12</f>
        <v>0</v>
      </c>
      <c r="AQ224" s="82">
        <f t="shared" ref="AQ224" si="171">$C$220*AP12</f>
        <v>0</v>
      </c>
      <c r="AR224" s="82">
        <f t="shared" ref="AR224" si="172">$C$220*AQ12</f>
        <v>0</v>
      </c>
      <c r="AS224" s="82">
        <f t="shared" ref="AS224" si="173">$C$220*AR12</f>
        <v>0</v>
      </c>
      <c r="AT224" s="82">
        <f t="shared" ref="AT224" si="174">$C$220*AS12</f>
        <v>0</v>
      </c>
      <c r="AU224" s="82">
        <f t="shared" ref="AU224" si="175">$C$220*AT12</f>
        <v>0</v>
      </c>
      <c r="AV224" s="82">
        <f t="shared" ref="AV224" si="176">$C$220*AU12</f>
        <v>0</v>
      </c>
      <c r="AW224" s="82">
        <f t="shared" ref="AW224" si="177">$C$220*AV12</f>
        <v>0</v>
      </c>
      <c r="AX224" s="82">
        <f t="shared" ref="AX224" si="178">$C$220*AW12</f>
        <v>0</v>
      </c>
      <c r="AY224" s="82">
        <f t="shared" ref="AY224" si="179">$C$220*AX12</f>
        <v>0</v>
      </c>
      <c r="AZ224" s="82">
        <f t="shared" ref="AZ224" si="180">$C$220*AY12</f>
        <v>0</v>
      </c>
      <c r="BA224" s="82">
        <f t="shared" ref="BA224" si="181">$C$220*AZ12</f>
        <v>0</v>
      </c>
      <c r="BB224" s="82">
        <f t="shared" ref="BB224" si="182">$C$220*BA12</f>
        <v>0</v>
      </c>
    </row>
    <row r="225" spans="1:54" ht="43.5">
      <c r="B225" s="6" t="s">
        <v>3148</v>
      </c>
      <c r="C225" s="52"/>
      <c r="D225" s="90">
        <f>D224*$C$221</f>
        <v>0</v>
      </c>
      <c r="E225" s="90">
        <f t="shared" ref="E225:AF225" si="183">E224*$C$221</f>
        <v>0</v>
      </c>
      <c r="F225" s="90">
        <f t="shared" si="183"/>
        <v>0</v>
      </c>
      <c r="G225" s="90">
        <f t="shared" si="183"/>
        <v>0</v>
      </c>
      <c r="H225" s="90">
        <f t="shared" si="183"/>
        <v>0</v>
      </c>
      <c r="I225" s="90">
        <f t="shared" si="183"/>
        <v>0</v>
      </c>
      <c r="J225" s="90">
        <f t="shared" si="183"/>
        <v>0</v>
      </c>
      <c r="K225" s="90">
        <f t="shared" si="183"/>
        <v>0</v>
      </c>
      <c r="L225" s="90">
        <f t="shared" si="183"/>
        <v>0</v>
      </c>
      <c r="M225" s="90">
        <f t="shared" si="183"/>
        <v>0</v>
      </c>
      <c r="N225" s="90">
        <f t="shared" si="183"/>
        <v>0</v>
      </c>
      <c r="O225" s="90">
        <f t="shared" si="183"/>
        <v>0</v>
      </c>
      <c r="P225" s="90">
        <f t="shared" si="183"/>
        <v>0</v>
      </c>
      <c r="Q225" s="90">
        <f t="shared" si="183"/>
        <v>0</v>
      </c>
      <c r="R225" s="90">
        <f t="shared" si="183"/>
        <v>0</v>
      </c>
      <c r="S225" s="90">
        <f t="shared" si="183"/>
        <v>0</v>
      </c>
      <c r="T225" s="90">
        <f t="shared" si="183"/>
        <v>0</v>
      </c>
      <c r="U225" s="90">
        <f t="shared" si="183"/>
        <v>0</v>
      </c>
      <c r="V225" s="90">
        <f t="shared" si="183"/>
        <v>0</v>
      </c>
      <c r="W225" s="90">
        <f t="shared" si="183"/>
        <v>0</v>
      </c>
      <c r="X225" s="90">
        <f t="shared" si="183"/>
        <v>0</v>
      </c>
      <c r="Y225" s="90">
        <f t="shared" si="183"/>
        <v>0</v>
      </c>
      <c r="Z225" s="90">
        <f t="shared" si="183"/>
        <v>0</v>
      </c>
      <c r="AA225" s="90">
        <f t="shared" si="183"/>
        <v>0</v>
      </c>
      <c r="AB225" s="90">
        <f t="shared" si="183"/>
        <v>0</v>
      </c>
      <c r="AC225" s="90">
        <f t="shared" si="183"/>
        <v>0</v>
      </c>
      <c r="AD225" s="90">
        <f t="shared" si="183"/>
        <v>0</v>
      </c>
      <c r="AE225" s="90">
        <f t="shared" si="183"/>
        <v>0</v>
      </c>
      <c r="AF225" s="90">
        <f t="shared" si="183"/>
        <v>0</v>
      </c>
      <c r="AG225" s="90">
        <f t="shared" ref="AG225:AP225" si="184">AG224*$C$221</f>
        <v>0</v>
      </c>
      <c r="AH225" s="90">
        <f t="shared" si="184"/>
        <v>0</v>
      </c>
      <c r="AI225" s="90">
        <f t="shared" si="184"/>
        <v>0</v>
      </c>
      <c r="AJ225" s="90">
        <f t="shared" si="184"/>
        <v>0</v>
      </c>
      <c r="AK225" s="90">
        <f t="shared" si="184"/>
        <v>0</v>
      </c>
      <c r="AL225" s="90">
        <f t="shared" si="184"/>
        <v>0</v>
      </c>
      <c r="AM225" s="90">
        <f t="shared" si="184"/>
        <v>0</v>
      </c>
      <c r="AN225" s="90">
        <f t="shared" si="184"/>
        <v>0</v>
      </c>
      <c r="AO225" s="90">
        <f t="shared" si="184"/>
        <v>0</v>
      </c>
      <c r="AP225" s="90">
        <f t="shared" si="184"/>
        <v>0</v>
      </c>
      <c r="AQ225" s="90">
        <f t="shared" ref="AQ225:BB225" si="185">AQ224*$C$221</f>
        <v>0</v>
      </c>
      <c r="AR225" s="90">
        <f t="shared" si="185"/>
        <v>0</v>
      </c>
      <c r="AS225" s="90">
        <f t="shared" si="185"/>
        <v>0</v>
      </c>
      <c r="AT225" s="90">
        <f t="shared" si="185"/>
        <v>0</v>
      </c>
      <c r="AU225" s="90">
        <f t="shared" si="185"/>
        <v>0</v>
      </c>
      <c r="AV225" s="90">
        <f t="shared" si="185"/>
        <v>0</v>
      </c>
      <c r="AW225" s="90">
        <f t="shared" si="185"/>
        <v>0</v>
      </c>
      <c r="AX225" s="90">
        <f t="shared" si="185"/>
        <v>0</v>
      </c>
      <c r="AY225" s="90">
        <f t="shared" si="185"/>
        <v>0</v>
      </c>
      <c r="AZ225" s="90">
        <f t="shared" si="185"/>
        <v>0</v>
      </c>
      <c r="BA225" s="90">
        <f t="shared" si="185"/>
        <v>0</v>
      </c>
      <c r="BB225" s="90">
        <f t="shared" si="185"/>
        <v>0</v>
      </c>
    </row>
    <row r="226" spans="1:54">
      <c r="D226" s="15"/>
    </row>
    <row r="227" spans="1:54">
      <c r="D227" s="19"/>
      <c r="E227" s="19"/>
      <c r="F227" s="19"/>
    </row>
    <row r="228" spans="1:54" s="588" customFormat="1">
      <c r="A228" s="593" t="s">
        <v>10</v>
      </c>
      <c r="B228" s="646" t="s">
        <v>182</v>
      </c>
      <c r="C228" s="646"/>
    </row>
    <row r="230" spans="1:54">
      <c r="B230" s="7" t="s">
        <v>9</v>
      </c>
      <c r="D230" s="34">
        <f>'Prevalence projection'!C$21</f>
        <v>2020</v>
      </c>
      <c r="E230" s="34">
        <f>'Prevalence projection'!D$21</f>
        <v>2021</v>
      </c>
      <c r="F230" s="34">
        <f>'Prevalence projection'!E$21</f>
        <v>2022</v>
      </c>
      <c r="G230" s="34">
        <f>'Prevalence projection'!F$21</f>
        <v>2023</v>
      </c>
      <c r="H230" s="34">
        <f>'Prevalence projection'!G$21</f>
        <v>2024</v>
      </c>
      <c r="I230" s="34">
        <f>'Prevalence projection'!H$21</f>
        <v>2025</v>
      </c>
      <c r="J230" s="34">
        <f>'Prevalence projection'!I$21</f>
        <v>2026</v>
      </c>
      <c r="K230" s="34">
        <f>'Prevalence projection'!J$21</f>
        <v>2027</v>
      </c>
      <c r="L230" s="34">
        <f>'Prevalence projection'!K$21</f>
        <v>2028</v>
      </c>
      <c r="M230" s="34">
        <f>'Prevalence projection'!L$21</f>
        <v>2029</v>
      </c>
      <c r="N230" s="34">
        <f>'Prevalence projection'!M$21</f>
        <v>2030</v>
      </c>
      <c r="O230" s="34">
        <f>'Prevalence projection'!N$21</f>
        <v>2031</v>
      </c>
      <c r="P230" s="34">
        <f>'Prevalence projection'!O$21</f>
        <v>2032</v>
      </c>
      <c r="Q230" s="34">
        <f>'Prevalence projection'!P$21</f>
        <v>2033</v>
      </c>
      <c r="R230" s="34">
        <f>'Prevalence projection'!Q$21</f>
        <v>2034</v>
      </c>
      <c r="S230" s="34">
        <f>'Prevalence projection'!R$21</f>
        <v>2035</v>
      </c>
      <c r="T230" s="34">
        <f>'Prevalence projection'!S$21</f>
        <v>2036</v>
      </c>
      <c r="U230" s="34">
        <f>'Prevalence projection'!T$21</f>
        <v>2037</v>
      </c>
      <c r="V230" s="34">
        <f>'Prevalence projection'!U$21</f>
        <v>2038</v>
      </c>
      <c r="W230" s="34">
        <f>'Prevalence projection'!V$21</f>
        <v>2039</v>
      </c>
      <c r="X230" s="34">
        <f>'Prevalence projection'!W$21</f>
        <v>2040</v>
      </c>
      <c r="Y230" s="34">
        <f>'Prevalence projection'!X$21</f>
        <v>2041</v>
      </c>
      <c r="Z230" s="34">
        <f>'Prevalence projection'!Y$21</f>
        <v>2042</v>
      </c>
      <c r="AA230" s="34">
        <f>'Prevalence projection'!Z$21</f>
        <v>2043</v>
      </c>
      <c r="AB230" s="34">
        <f>'Prevalence projection'!AA$21</f>
        <v>2044</v>
      </c>
      <c r="AC230" s="34">
        <f>'Prevalence projection'!AB$21</f>
        <v>2045</v>
      </c>
      <c r="AD230" s="34">
        <f>'Prevalence projection'!AC$21</f>
        <v>2046</v>
      </c>
      <c r="AE230" s="34">
        <f>'Prevalence projection'!AD$21</f>
        <v>2047</v>
      </c>
      <c r="AF230" s="34">
        <f>'Prevalence projection'!AE$21</f>
        <v>2048</v>
      </c>
      <c r="AG230" s="34">
        <f>'Prevalence projection'!AF$21</f>
        <v>2049</v>
      </c>
      <c r="AH230" s="34">
        <f>'Prevalence projection'!AG$21</f>
        <v>2050</v>
      </c>
      <c r="AI230" s="34">
        <f>'Prevalence projection'!AH$21</f>
        <v>2051</v>
      </c>
      <c r="AJ230" s="34">
        <f>'Prevalence projection'!AI$21</f>
        <v>2052</v>
      </c>
      <c r="AK230" s="34">
        <f>'Prevalence projection'!AJ$21</f>
        <v>2053</v>
      </c>
      <c r="AL230" s="34">
        <f>'Prevalence projection'!AK$21</f>
        <v>2054</v>
      </c>
      <c r="AM230" s="34">
        <f>'Prevalence projection'!AL$21</f>
        <v>2055</v>
      </c>
      <c r="AN230" s="34">
        <f>'Prevalence projection'!AM$21</f>
        <v>2056</v>
      </c>
      <c r="AO230" s="34">
        <f>'Prevalence projection'!AN$21</f>
        <v>2057</v>
      </c>
      <c r="AP230" s="34">
        <f>'Prevalence projection'!AO$21</f>
        <v>2058</v>
      </c>
      <c r="AQ230" s="34">
        <f>'Prevalence projection'!AP$21</f>
        <v>2059</v>
      </c>
      <c r="AR230" s="34">
        <f>'Prevalence projection'!AQ$21</f>
        <v>2060</v>
      </c>
      <c r="AS230" s="34">
        <f>'Prevalence projection'!AR$21</f>
        <v>2061</v>
      </c>
      <c r="AT230" s="34">
        <f>'Prevalence projection'!AS$21</f>
        <v>2062</v>
      </c>
      <c r="AU230" s="34">
        <f>'Prevalence projection'!AT$21</f>
        <v>2063</v>
      </c>
      <c r="AV230" s="34">
        <f>'Prevalence projection'!AU$21</f>
        <v>2064</v>
      </c>
      <c r="AW230" s="34">
        <f>'Prevalence projection'!AV$21</f>
        <v>2065</v>
      </c>
      <c r="AX230" s="34">
        <f>'Prevalence projection'!AW$21</f>
        <v>2066</v>
      </c>
      <c r="AY230" s="34">
        <f>'Prevalence projection'!AX$21</f>
        <v>2067</v>
      </c>
      <c r="AZ230" s="34">
        <f>'Prevalence projection'!AY$21</f>
        <v>2068</v>
      </c>
      <c r="BA230" s="34">
        <f>'Prevalence projection'!AZ$21</f>
        <v>2069</v>
      </c>
      <c r="BB230" s="34">
        <f>'Prevalence projection'!BA$21</f>
        <v>2070</v>
      </c>
    </row>
    <row r="231" spans="1:54">
      <c r="B231" s="6" t="s">
        <v>11</v>
      </c>
      <c r="D231" s="732">
        <f>(D177+D199)*INDEX(Inflation!$D$126:$BD$166, MATCH($B231, Inflation!$B$126:$B$166,0), MATCH(D$230, Inflation!$D$125:$BDR$125,0))</f>
        <v>93386.094666666657</v>
      </c>
      <c r="E231" s="732">
        <f>(E177+E199)*INDEX(Inflation!$D$126:$BD$166, MATCH($B231, Inflation!$B$126:$B$166,0), MATCH(E$230, Inflation!$D$125:$BDR$125,0))</f>
        <v>98780.054003151759</v>
      </c>
      <c r="F231" s="732">
        <f>(F177+F199)*INDEX(Inflation!$D$126:$BD$166, MATCH($B231, Inflation!$B$126:$B$166,0), MATCH(F$230, Inflation!$D$125:$BDR$125,0))</f>
        <v>103890.17687475322</v>
      </c>
      <c r="G231" s="732">
        <f>(G177+G199)*INDEX(Inflation!$D$126:$BD$166, MATCH($B231, Inflation!$B$126:$B$166,0), MATCH(G$230, Inflation!$D$125:$BDR$125,0))</f>
        <v>108850.48894602159</v>
      </c>
      <c r="H231" s="732">
        <f>(H177+H199)*INDEX(Inflation!$D$126:$BD$166, MATCH($B231, Inflation!$B$126:$B$166,0), MATCH(H$230, Inflation!$D$125:$BDR$125,0))</f>
        <v>113793.17240822793</v>
      </c>
      <c r="I231" s="732">
        <f>(I177+I199)*INDEX(Inflation!$D$126:$BD$166, MATCH($B231, Inflation!$B$126:$B$166,0), MATCH(I$230, Inflation!$D$125:$BDR$125,0))</f>
        <v>118794.72810244019</v>
      </c>
      <c r="J231" s="732">
        <f>(J177+J199)*INDEX(Inflation!$D$126:$BD$166, MATCH($B231, Inflation!$B$126:$B$166,0), MATCH(J$230, Inflation!$D$125:$BDR$125,0))</f>
        <v>123855.53335235063</v>
      </c>
      <c r="K231" s="732">
        <f>(K177+K199)*INDEX(Inflation!$D$126:$BD$166, MATCH($B231, Inflation!$B$126:$B$166,0), MATCH(K$230, Inflation!$D$125:$BDR$125,0))</f>
        <v>129014.67931941607</v>
      </c>
      <c r="L231" s="732">
        <f>(L177+L199)*INDEX(Inflation!$D$126:$BD$166, MATCH($B231, Inflation!$B$126:$B$166,0), MATCH(L$230, Inflation!$D$125:$BDR$125,0))</f>
        <v>134524.99973810979</v>
      </c>
      <c r="M231" s="732">
        <f>(M177+M199)*INDEX(Inflation!$D$126:$BD$166, MATCH($B231, Inflation!$B$126:$B$166,0), MATCH(M$230, Inflation!$D$125:$BDR$125,0))</f>
        <v>140234.81434666479</v>
      </c>
      <c r="N231" s="732">
        <f>(N177+N199)*INDEX(Inflation!$D$126:$BD$166, MATCH($B231, Inflation!$B$126:$B$166,0), MATCH(N$230, Inflation!$D$125:$BDR$125,0))</f>
        <v>146069.0080932368</v>
      </c>
      <c r="O231" s="732">
        <f>(O177+O199)*INDEX(Inflation!$D$126:$BD$166, MATCH($B231, Inflation!$B$126:$B$166,0), MATCH(O$230, Inflation!$D$125:$BDR$125,0))</f>
        <v>151994.49887976638</v>
      </c>
      <c r="P231" s="732">
        <f>(P177+P199)*INDEX(Inflation!$D$126:$BD$166, MATCH($B231, Inflation!$B$126:$B$166,0), MATCH(P$230, Inflation!$D$125:$BDR$125,0))</f>
        <v>157990.47876591128</v>
      </c>
      <c r="Q231" s="732">
        <f>(Q177+Q199)*INDEX(Inflation!$D$126:$BD$166, MATCH($B231, Inflation!$B$126:$B$166,0), MATCH(Q$230, Inflation!$D$125:$BDR$125,0))</f>
        <v>164105.61558795854</v>
      </c>
      <c r="R231" s="732">
        <f>(R177+R199)*INDEX(Inflation!$D$126:$BD$166, MATCH($B231, Inflation!$B$126:$B$166,0), MATCH(R$230, Inflation!$D$125:$BDR$125,0))</f>
        <v>170399.50379665507</v>
      </c>
      <c r="S231" s="732">
        <f>(S177+S199)*INDEX(Inflation!$D$126:$BD$166, MATCH($B231, Inflation!$B$126:$B$166,0), MATCH(S$230, Inflation!$D$125:$BDR$125,0))</f>
        <v>176883.80080502544</v>
      </c>
      <c r="T231" s="732">
        <f>(T177+T199)*INDEX(Inflation!$D$126:$BD$166, MATCH($B231, Inflation!$B$126:$B$166,0), MATCH(T$230, Inflation!$D$125:$BDR$125,0))</f>
        <v>183513.77092894664</v>
      </c>
      <c r="U231" s="732">
        <f>(U177+U199)*INDEX(Inflation!$D$126:$BD$166, MATCH($B231, Inflation!$B$126:$B$166,0), MATCH(U$230, Inflation!$D$125:$BDR$125,0))</f>
        <v>190299.47173805221</v>
      </c>
      <c r="V231" s="732">
        <f>(V177+V199)*INDEX(Inflation!$D$126:$BD$166, MATCH($B231, Inflation!$B$126:$B$166,0), MATCH(V$230, Inflation!$D$125:$BDR$125,0))</f>
        <v>197364.52214287012</v>
      </c>
      <c r="W231" s="732">
        <f>(W177+W199)*INDEX(Inflation!$D$126:$BD$166, MATCH($B231, Inflation!$B$126:$B$166,0), MATCH(W$230, Inflation!$D$125:$BDR$125,0))</f>
        <v>204613.3465921501</v>
      </c>
      <c r="X231" s="732">
        <f>(X177+X199)*INDEX(Inflation!$D$126:$BD$166, MATCH($B231, Inflation!$B$126:$B$166,0), MATCH(X$230, Inflation!$D$125:$BDR$125,0))</f>
        <v>212019.87049205622</v>
      </c>
      <c r="Y231" s="732">
        <f>(Y177+Y199)*INDEX(Inflation!$D$126:$BD$166, MATCH($B231, Inflation!$B$126:$B$166,0), MATCH(Y$230, Inflation!$D$125:$BDR$125,0))</f>
        <v>219581.9094568158</v>
      </c>
      <c r="Z231" s="732">
        <f>(Z177+Z199)*INDEX(Inflation!$D$126:$BD$166, MATCH($B231, Inflation!$B$126:$B$166,0), MATCH(Z$230, Inflation!$D$125:$BDR$125,0))</f>
        <v>227354.99723566711</v>
      </c>
      <c r="AA231" s="732">
        <f>(AA177+AA199)*INDEX(Inflation!$D$126:$BD$166, MATCH($B231, Inflation!$B$126:$B$166,0), MATCH(AA$230, Inflation!$D$125:$BDR$125,0))</f>
        <v>235331.43184636431</v>
      </c>
      <c r="AB231" s="732">
        <f>(AB177+AB199)*INDEX(Inflation!$D$126:$BD$166, MATCH($B231, Inflation!$B$126:$B$166,0), MATCH(AB$230, Inflation!$D$125:$BDR$125,0))</f>
        <v>243492.46989202776</v>
      </c>
      <c r="AC231" s="732">
        <f>(AC177+AC199)*INDEX(Inflation!$D$126:$BD$166, MATCH($B231, Inflation!$B$126:$B$166,0), MATCH(AC$230, Inflation!$D$125:$BDR$125,0))</f>
        <v>251823.18110078562</v>
      </c>
      <c r="AD231" s="732">
        <f>(AD177+AD199)*INDEX(Inflation!$D$126:$BD$166, MATCH($B231, Inflation!$B$126:$B$166,0), MATCH(AD$230, Inflation!$D$125:$BDR$125,0))</f>
        <v>260307.36761353465</v>
      </c>
      <c r="AE231" s="732">
        <f>(AE177+AE199)*INDEX(Inflation!$D$126:$BD$166, MATCH($B231, Inflation!$B$126:$B$166,0), MATCH(AE$230, Inflation!$D$125:$BDR$125,0))</f>
        <v>268932.40870590426</v>
      </c>
      <c r="AF231" s="732">
        <f>(AF177+AF199)*INDEX(Inflation!$D$126:$BD$166, MATCH($B231, Inflation!$B$126:$B$166,0), MATCH(AF$230, Inflation!$D$125:$BDR$125,0))</f>
        <v>277685.80952219834</v>
      </c>
      <c r="AG231" s="732">
        <f>(AG177+AG199)*INDEX(Inflation!$D$126:$BD$166, MATCH($B231, Inflation!$B$126:$B$166,0), MATCH(AG$230, Inflation!$D$125:$BDR$125,0))</f>
        <v>286578.584405592</v>
      </c>
      <c r="AH231" s="732">
        <f>(AH177+AH199)*INDEX(Inflation!$D$126:$BD$166, MATCH($B231, Inflation!$B$126:$B$166,0), MATCH(AH$230, Inflation!$D$125:$BDR$125,0))</f>
        <v>295669.71092378278</v>
      </c>
      <c r="AI231" s="732">
        <f>(AI177+AI199)*INDEX(Inflation!$D$126:$BD$166, MATCH($B231, Inflation!$B$126:$B$166,0), MATCH(AI$230, Inflation!$D$125:$BDR$125,0))</f>
        <v>304967.97027846053</v>
      </c>
      <c r="AJ231" s="732">
        <f>(AJ177+AJ199)*INDEX(Inflation!$D$126:$BD$166, MATCH($B231, Inflation!$B$126:$B$166,0), MATCH(AJ$230, Inflation!$D$125:$BDR$125,0))</f>
        <v>314499.02589208249</v>
      </c>
      <c r="AK231" s="732">
        <f>(AK177+AK199)*INDEX(Inflation!$D$126:$BD$166, MATCH($B231, Inflation!$B$126:$B$166,0), MATCH(AK$230, Inflation!$D$125:$BDR$125,0))</f>
        <v>324195.69104206108</v>
      </c>
      <c r="AL231" s="732">
        <f>(AL177+AL199)*INDEX(Inflation!$D$126:$BD$166, MATCH($B231, Inflation!$B$126:$B$166,0), MATCH(AL$230, Inflation!$D$125:$BDR$125,0))</f>
        <v>334003.47686585726</v>
      </c>
      <c r="AM231" s="732">
        <f>(AM177+AM199)*INDEX(Inflation!$D$126:$BD$166, MATCH($B231, Inflation!$B$126:$B$166,0), MATCH(AM$230, Inflation!$D$125:$BDR$125,0))</f>
        <v>343882.20370357862</v>
      </c>
      <c r="AN231" s="732">
        <f>(AN177+AN199)*INDEX(Inflation!$D$126:$BD$166, MATCH($B231, Inflation!$B$126:$B$166,0), MATCH(AN$230, Inflation!$D$125:$BDR$125,0))</f>
        <v>353851.23512946593</v>
      </c>
      <c r="AO231" s="732">
        <f>(AO177+AO199)*INDEX(Inflation!$D$126:$BD$166, MATCH($B231, Inflation!$B$126:$B$166,0), MATCH(AO$230, Inflation!$D$125:$BDR$125,0))</f>
        <v>363912.05465413874</v>
      </c>
      <c r="AP231" s="732">
        <f>(AP177+AP199)*INDEX(Inflation!$D$126:$BD$166, MATCH($B231, Inflation!$B$126:$B$166,0), MATCH(AP$230, Inflation!$D$125:$BDR$125,0))</f>
        <v>374050.42661888897</v>
      </c>
      <c r="AQ231" s="732">
        <f>(AQ177+AQ199)*INDEX(Inflation!$D$126:$BD$166, MATCH($B231, Inflation!$B$126:$B$166,0), MATCH(AQ$230, Inflation!$D$125:$BDR$125,0))</f>
        <v>384349.66121428943</v>
      </c>
      <c r="AR231" s="732">
        <f>(AR177+AR199)*INDEX(Inflation!$D$126:$BD$166, MATCH($B231, Inflation!$B$126:$B$166,0), MATCH(AR$230, Inflation!$D$125:$BDR$125,0))</f>
        <v>394909.31390481169</v>
      </c>
      <c r="AS231" s="732">
        <f>(AS177+AS199)*INDEX(Inflation!$D$126:$BD$166, MATCH($B231, Inflation!$B$126:$B$166,0), MATCH(AS$230, Inflation!$D$125:$BDR$125,0))</f>
        <v>405815.23941215366</v>
      </c>
      <c r="AT231" s="732">
        <f>(AT177+AT199)*INDEX(Inflation!$D$126:$BD$166, MATCH($B231, Inflation!$B$126:$B$166,0), MATCH(AT$230, Inflation!$D$125:$BDR$125,0))</f>
        <v>416533.16823178617</v>
      </c>
      <c r="AU231" s="732" t="e">
        <f>(AU177+AU199)*INDEX(Inflation!$D$126:$BD$166, MATCH($B231, Inflation!$B$126:$B$166,0), MATCH(AU$230, Inflation!$D$125:$BDR$125,0))</f>
        <v>#N/A</v>
      </c>
      <c r="AV231" s="732" t="e">
        <f>(AV177+AV199)*INDEX(Inflation!$D$126:$BD$166, MATCH($B231, Inflation!$B$126:$B$166,0), MATCH(AV$230, Inflation!$D$125:$BDR$125,0))</f>
        <v>#N/A</v>
      </c>
      <c r="AW231" s="732" t="e">
        <f>(AW177+AW199)*INDEX(Inflation!$D$126:$BD$166, MATCH($B231, Inflation!$B$126:$B$166,0), MATCH(AW$230, Inflation!$D$125:$BDR$125,0))</f>
        <v>#N/A</v>
      </c>
      <c r="AX231" s="732" t="e">
        <f>(AX177+AX199)*INDEX(Inflation!$D$126:$BD$166, MATCH($B231, Inflation!$B$126:$B$166,0), MATCH(AX$230, Inflation!$D$125:$BDR$125,0))</f>
        <v>#N/A</v>
      </c>
      <c r="AY231" s="732" t="e">
        <f>(AY177+AY199)*INDEX(Inflation!$D$126:$BD$166, MATCH($B231, Inflation!$B$126:$B$166,0), MATCH(AY$230, Inflation!$D$125:$BDR$125,0))</f>
        <v>#N/A</v>
      </c>
      <c r="AZ231" s="732" t="e">
        <f>(AZ177+AZ199)*INDEX(Inflation!$D$126:$BD$166, MATCH($B231, Inflation!$B$126:$B$166,0), MATCH(AZ$230, Inflation!$D$125:$BDR$125,0))</f>
        <v>#N/A</v>
      </c>
      <c r="BA231" s="732" t="e">
        <f>(BA177+BA199)*INDEX(Inflation!$D$126:$BD$166, MATCH($B231, Inflation!$B$126:$B$166,0), MATCH(BA$230, Inflation!$D$125:$BDR$125,0))</f>
        <v>#N/A</v>
      </c>
      <c r="BB231" s="732" t="e">
        <f>(BB177+BB199)*INDEX(Inflation!$D$126:$BD$166, MATCH($B231, Inflation!$B$126:$B$166,0), MATCH(BB$230, Inflation!$D$125:$BDR$125,0))</f>
        <v>#N/A</v>
      </c>
    </row>
    <row r="232" spans="1:54">
      <c r="B232" s="6" t="s">
        <v>14</v>
      </c>
      <c r="D232" s="732">
        <f>(D178+D200)*INDEX(Inflation!$D$126:$BD$166, MATCH($B232, Inflation!$B$126:$B$166,0), MATCH(D$230, Inflation!$D$125:$BDR$125,0))</f>
        <v>330.23812390692063</v>
      </c>
      <c r="E232" s="732">
        <f>(E178+E200)*INDEX(Inflation!$D$126:$BD$166, MATCH($B232, Inflation!$B$126:$B$166,0), MATCH(E$230, Inflation!$D$125:$BDR$125,0))</f>
        <v>349.31260194424755</v>
      </c>
      <c r="F232" s="732">
        <f>(F178+F200)*INDEX(Inflation!$D$126:$BD$166, MATCH($B232, Inflation!$B$126:$B$166,0), MATCH(F$230, Inflation!$D$125:$BDR$125,0))</f>
        <v>367.38335858178647</v>
      </c>
      <c r="G232" s="732">
        <f>(G178+G200)*INDEX(Inflation!$D$126:$BD$166, MATCH($B232, Inflation!$B$126:$B$166,0), MATCH(G$230, Inflation!$D$125:$BDR$125,0))</f>
        <v>384.92434429551099</v>
      </c>
      <c r="H232" s="732">
        <f>(H178+H200)*INDEX(Inflation!$D$126:$BD$166, MATCH($B232, Inflation!$B$126:$B$166,0), MATCH(H$230, Inflation!$D$125:$BDR$125,0))</f>
        <v>402.40299054847821</v>
      </c>
      <c r="I232" s="732">
        <f>(I178+I200)*INDEX(Inflation!$D$126:$BD$166, MATCH($B232, Inflation!$B$126:$B$166,0), MATCH(I$230, Inflation!$D$125:$BDR$125,0))</f>
        <v>420.08982470690671</v>
      </c>
      <c r="J232" s="732">
        <f>(J178+J200)*INDEX(Inflation!$D$126:$BD$166, MATCH($B232, Inflation!$B$126:$B$166,0), MATCH(J$230, Inflation!$D$125:$BDR$125,0))</f>
        <v>437.9861810879521</v>
      </c>
      <c r="K232" s="732">
        <f>(K178+K200)*INDEX(Inflation!$D$126:$BD$166, MATCH($B232, Inflation!$B$126:$B$166,0), MATCH(K$230, Inflation!$D$125:$BDR$125,0))</f>
        <v>456.2302964587364</v>
      </c>
      <c r="L232" s="732">
        <f>(L178+L200)*INDEX(Inflation!$D$126:$BD$166, MATCH($B232, Inflation!$B$126:$B$166,0), MATCH(L$230, Inflation!$D$125:$BDR$125,0))</f>
        <v>475.71625830017257</v>
      </c>
      <c r="M232" s="732">
        <f>(M178+M200)*INDEX(Inflation!$D$126:$BD$166, MATCH($B232, Inflation!$B$126:$B$166,0), MATCH(M$230, Inflation!$D$125:$BDR$125,0))</f>
        <v>495.90768477448864</v>
      </c>
      <c r="N232" s="732">
        <f>(N178+N200)*INDEX(Inflation!$D$126:$BD$166, MATCH($B232, Inflation!$B$126:$B$166,0), MATCH(N$230, Inflation!$D$125:$BDR$125,0))</f>
        <v>516.53894903556011</v>
      </c>
      <c r="O232" s="732">
        <f>(O178+O200)*INDEX(Inflation!$D$126:$BD$166, MATCH($B232, Inflation!$B$126:$B$166,0), MATCH(O$230, Inflation!$D$125:$BDR$125,0))</f>
        <v>537.4930639662249</v>
      </c>
      <c r="P232" s="732">
        <f>(P178+P200)*INDEX(Inflation!$D$126:$BD$166, MATCH($B232, Inflation!$B$126:$B$166,0), MATCH(P$230, Inflation!$D$125:$BDR$125,0))</f>
        <v>558.69644714283083</v>
      </c>
      <c r="Q232" s="732">
        <f>(Q178+Q200)*INDEX(Inflation!$D$126:$BD$166, MATCH($B232, Inflation!$B$126:$B$166,0), MATCH(Q$230, Inflation!$D$125:$BDR$125,0))</f>
        <v>580.32120100747488</v>
      </c>
      <c r="R232" s="732">
        <f>(R178+R200)*INDEX(Inflation!$D$126:$BD$166, MATCH($B232, Inflation!$B$126:$B$166,0), MATCH(R$230, Inflation!$D$125:$BDR$125,0))</f>
        <v>602.57806742360231</v>
      </c>
      <c r="S232" s="732">
        <f>(S178+S200)*INDEX(Inflation!$D$126:$BD$166, MATCH($B232, Inflation!$B$126:$B$166,0), MATCH(S$230, Inflation!$D$125:$BDR$125,0))</f>
        <v>625.50827011108902</v>
      </c>
      <c r="T232" s="732">
        <f>(T178+T200)*INDEX(Inflation!$D$126:$BD$166, MATCH($B232, Inflation!$B$126:$B$166,0), MATCH(T$230, Inflation!$D$125:$BDR$125,0))</f>
        <v>648.95361176605161</v>
      </c>
      <c r="U232" s="732">
        <f>(U178+U200)*INDEX(Inflation!$D$126:$BD$166, MATCH($B232, Inflation!$B$126:$B$166,0), MATCH(U$230, Inflation!$D$125:$BDR$125,0))</f>
        <v>672.94965863567779</v>
      </c>
      <c r="V232" s="732">
        <f>(V178+V200)*INDEX(Inflation!$D$126:$BD$166, MATCH($B232, Inflation!$B$126:$B$166,0), MATCH(V$230, Inflation!$D$125:$BDR$125,0))</f>
        <v>697.93356013967446</v>
      </c>
      <c r="W232" s="732">
        <f>(W178+W200)*INDEX(Inflation!$D$126:$BD$166, MATCH($B232, Inflation!$B$126:$B$166,0), MATCH(W$230, Inflation!$D$125:$BDR$125,0))</f>
        <v>723.56733565202921</v>
      </c>
      <c r="X232" s="732">
        <f>(X178+X200)*INDEX(Inflation!$D$126:$BD$166, MATCH($B232, Inflation!$B$126:$B$166,0), MATCH(X$230, Inflation!$D$125:$BDR$125,0))</f>
        <v>749.75877845844741</v>
      </c>
      <c r="Y232" s="732">
        <f>(Y178+Y200)*INDEX(Inflation!$D$126:$BD$166, MATCH($B232, Inflation!$B$126:$B$166,0), MATCH(Y$230, Inflation!$D$125:$BDR$125,0))</f>
        <v>776.50016398856349</v>
      </c>
      <c r="Z232" s="732">
        <f>(Z178+Z200)*INDEX(Inflation!$D$126:$BD$166, MATCH($B232, Inflation!$B$126:$B$166,0), MATCH(Z$230, Inflation!$D$125:$BDR$125,0))</f>
        <v>803.98787438285967</v>
      </c>
      <c r="AA232" s="732">
        <f>(AA178+AA200)*INDEX(Inflation!$D$126:$BD$166, MATCH($B232, Inflation!$B$126:$B$166,0), MATCH(AA$230, Inflation!$D$125:$BDR$125,0))</f>
        <v>832.19467337906087</v>
      </c>
      <c r="AB232" s="732">
        <f>(AB178+AB200)*INDEX(Inflation!$D$126:$BD$166, MATCH($B232, Inflation!$B$126:$B$166,0), MATCH(AB$230, Inflation!$D$125:$BDR$125,0))</f>
        <v>861.05427932952648</v>
      </c>
      <c r="AC232" s="732">
        <f>(AC178+AC200)*INDEX(Inflation!$D$126:$BD$166, MATCH($B232, Inflation!$B$126:$B$166,0), MATCH(AC$230, Inflation!$D$125:$BDR$125,0))</f>
        <v>890.51389481307808</v>
      </c>
      <c r="AD232" s="732">
        <f>(AD178+AD200)*INDEX(Inflation!$D$126:$BD$166, MATCH($B232, Inflation!$B$126:$B$166,0), MATCH(AD$230, Inflation!$D$125:$BDR$125,0))</f>
        <v>920.51623988219592</v>
      </c>
      <c r="AE232" s="732">
        <f>(AE178+AE200)*INDEX(Inflation!$D$126:$BD$166, MATCH($B232, Inflation!$B$126:$B$166,0), MATCH(AE$230, Inflation!$D$125:$BDR$125,0))</f>
        <v>951.01668429130268</v>
      </c>
      <c r="AF232" s="732">
        <f>(AF178+AF200)*INDEX(Inflation!$D$126:$BD$166, MATCH($B232, Inflation!$B$126:$B$166,0), MATCH(AF$230, Inflation!$D$125:$BDR$125,0))</f>
        <v>981.97104290000539</v>
      </c>
      <c r="AG232" s="732">
        <f>(AG178+AG200)*INDEX(Inflation!$D$126:$BD$166, MATCH($B232, Inflation!$B$126:$B$166,0), MATCH(AG$230, Inflation!$D$125:$BDR$125,0))</f>
        <v>1013.4182653617747</v>
      </c>
      <c r="AH232" s="732">
        <f>(AH178+AH200)*INDEX(Inflation!$D$126:$BD$166, MATCH($B232, Inflation!$B$126:$B$166,0), MATCH(AH$230, Inflation!$D$125:$BDR$125,0))</f>
        <v>1045.5669120771556</v>
      </c>
      <c r="AI232" s="732">
        <f>(AI178+AI200)*INDEX(Inflation!$D$126:$BD$166, MATCH($B232, Inflation!$B$126:$B$166,0), MATCH(AI$230, Inflation!$D$125:$BDR$125,0))</f>
        <v>1078.4480357160564</v>
      </c>
      <c r="AJ232" s="732">
        <f>(AJ178+AJ200)*INDEX(Inflation!$D$126:$BD$166, MATCH($B232, Inflation!$B$126:$B$166,0), MATCH(AJ$230, Inflation!$D$125:$BDR$125,0))</f>
        <v>1112.1523889811738</v>
      </c>
      <c r="AK232" s="732">
        <f>(AK178+AK200)*INDEX(Inflation!$D$126:$BD$166, MATCH($B232, Inflation!$B$126:$B$166,0), MATCH(AK$230, Inflation!$D$125:$BDR$125,0))</f>
        <v>1146.4423817120246</v>
      </c>
      <c r="AL232" s="732">
        <f>(AL178+AL200)*INDEX(Inflation!$D$126:$BD$166, MATCH($B232, Inflation!$B$126:$B$166,0), MATCH(AL$230, Inflation!$D$125:$BDR$125,0))</f>
        <v>1181.1253267660215</v>
      </c>
      <c r="AM232" s="732">
        <f>(AM178+AM200)*INDEX(Inflation!$D$126:$BD$166, MATCH($B232, Inflation!$B$126:$B$166,0), MATCH(AM$230, Inflation!$D$125:$BDR$125,0))</f>
        <v>1216.0591381554223</v>
      </c>
      <c r="AN232" s="732">
        <f>(AN178+AN200)*INDEX(Inflation!$D$126:$BD$166, MATCH($B232, Inflation!$B$126:$B$166,0), MATCH(AN$230, Inflation!$D$125:$BDR$125,0))</f>
        <v>1251.3122906403312</v>
      </c>
      <c r="AO232" s="732">
        <f>(AO178+AO200)*INDEX(Inflation!$D$126:$BD$166, MATCH($B232, Inflation!$B$126:$B$166,0), MATCH(AO$230, Inflation!$D$125:$BDR$125,0))</f>
        <v>1286.8900303097469</v>
      </c>
      <c r="AP232" s="732">
        <f>(AP178+AP200)*INDEX(Inflation!$D$126:$BD$166, MATCH($B232, Inflation!$B$126:$B$166,0), MATCH(AP$230, Inflation!$D$125:$BDR$125,0))</f>
        <v>1322.7420160797942</v>
      </c>
      <c r="AQ232" s="732">
        <f>(AQ178+AQ200)*INDEX(Inflation!$D$126:$BD$166, MATCH($B232, Inflation!$B$126:$B$166,0), MATCH(AQ$230, Inflation!$D$125:$BDR$125,0))</f>
        <v>1359.1628549916536</v>
      </c>
      <c r="AR232" s="732">
        <f>(AR178+AR200)*INDEX(Inflation!$D$126:$BD$166, MATCH($B232, Inflation!$B$126:$B$166,0), MATCH(AR$230, Inflation!$D$125:$BDR$125,0))</f>
        <v>1396.5046017053796</v>
      </c>
      <c r="AS232" s="732">
        <f>(AS178+AS200)*INDEX(Inflation!$D$126:$BD$166, MATCH($B232, Inflation!$B$126:$B$166,0), MATCH(AS$230, Inflation!$D$125:$BDR$125,0))</f>
        <v>1435.0708614024861</v>
      </c>
      <c r="AT232" s="732">
        <f>(AT178+AT200)*INDEX(Inflation!$D$126:$BD$166, MATCH($B232, Inflation!$B$126:$B$166,0), MATCH(AT$230, Inflation!$D$125:$BDR$125,0))</f>
        <v>1472.9723146991169</v>
      </c>
      <c r="AU232" s="732" t="e">
        <f>(AU178+AU200)*INDEX(Inflation!$D$126:$BD$166, MATCH($B232, Inflation!$B$126:$B$166,0), MATCH(AU$230, Inflation!$D$125:$BDR$125,0))</f>
        <v>#N/A</v>
      </c>
      <c r="AV232" s="732" t="e">
        <f>(AV178+AV200)*INDEX(Inflation!$D$126:$BD$166, MATCH($B232, Inflation!$B$126:$B$166,0), MATCH(AV$230, Inflation!$D$125:$BDR$125,0))</f>
        <v>#N/A</v>
      </c>
      <c r="AW232" s="732" t="e">
        <f>(AW178+AW200)*INDEX(Inflation!$D$126:$BD$166, MATCH($B232, Inflation!$B$126:$B$166,0), MATCH(AW$230, Inflation!$D$125:$BDR$125,0))</f>
        <v>#N/A</v>
      </c>
      <c r="AX232" s="732" t="e">
        <f>(AX178+AX200)*INDEX(Inflation!$D$126:$BD$166, MATCH($B232, Inflation!$B$126:$B$166,0), MATCH(AX$230, Inflation!$D$125:$BDR$125,0))</f>
        <v>#N/A</v>
      </c>
      <c r="AY232" s="732" t="e">
        <f>(AY178+AY200)*INDEX(Inflation!$D$126:$BD$166, MATCH($B232, Inflation!$B$126:$B$166,0), MATCH(AY$230, Inflation!$D$125:$BDR$125,0))</f>
        <v>#N/A</v>
      </c>
      <c r="AZ232" s="732" t="e">
        <f>(AZ178+AZ200)*INDEX(Inflation!$D$126:$BD$166, MATCH($B232, Inflation!$B$126:$B$166,0), MATCH(AZ$230, Inflation!$D$125:$BDR$125,0))</f>
        <v>#N/A</v>
      </c>
      <c r="BA232" s="732" t="e">
        <f>(BA178+BA200)*INDEX(Inflation!$D$126:$BD$166, MATCH($B232, Inflation!$B$126:$B$166,0), MATCH(BA$230, Inflation!$D$125:$BDR$125,0))</f>
        <v>#N/A</v>
      </c>
      <c r="BB232" s="732" t="e">
        <f>(BB178+BB200)*INDEX(Inflation!$D$126:$BD$166, MATCH($B232, Inflation!$B$126:$B$166,0), MATCH(BB$230, Inflation!$D$125:$BDR$125,0))</f>
        <v>#N/A</v>
      </c>
    </row>
    <row r="233" spans="1:54">
      <c r="B233" s="6" t="s">
        <v>15</v>
      </c>
      <c r="D233" s="732">
        <f>(D179+D201)*INDEX(Inflation!$D$126:$BD$166, MATCH($B233, Inflation!$B$126:$B$166,0), MATCH(D$230, Inflation!$D$125:$BDR$125,0))</f>
        <v>3498.0779050881229</v>
      </c>
      <c r="E233" s="732">
        <f>(E179+E201)*INDEX(Inflation!$D$126:$BD$166, MATCH($B233, Inflation!$B$126:$B$166,0), MATCH(E$230, Inflation!$D$125:$BDR$125,0))</f>
        <v>3700.1260798538815</v>
      </c>
      <c r="F233" s="732">
        <f>(F179+F201)*INDEX(Inflation!$D$126:$BD$166, MATCH($B233, Inflation!$B$126:$B$166,0), MATCH(F$230, Inflation!$D$125:$BDR$125,0))</f>
        <v>3891.5422427552207</v>
      </c>
      <c r="G233" s="732">
        <f>(G179+G201)*INDEX(Inflation!$D$126:$BD$166, MATCH($B233, Inflation!$B$126:$B$166,0), MATCH(G$230, Inflation!$D$125:$BDR$125,0))</f>
        <v>4077.3467580931906</v>
      </c>
      <c r="H233" s="732">
        <f>(H179+H201)*INDEX(Inflation!$D$126:$BD$166, MATCH($B233, Inflation!$B$126:$B$166,0), MATCH(H$230, Inflation!$D$125:$BDR$125,0))</f>
        <v>4262.490936920919</v>
      </c>
      <c r="I233" s="732">
        <f>(I179+I201)*INDEX(Inflation!$D$126:$BD$166, MATCH($B233, Inflation!$B$126:$B$166,0), MATCH(I$230, Inflation!$D$125:$BDR$125,0))</f>
        <v>4449.8403654139011</v>
      </c>
      <c r="J233" s="732">
        <f>(J179+J201)*INDEX(Inflation!$D$126:$BD$166, MATCH($B233, Inflation!$B$126:$B$166,0), MATCH(J$230, Inflation!$D$125:$BDR$125,0))</f>
        <v>4639.4091774501603</v>
      </c>
      <c r="K233" s="732">
        <f>(K179+K201)*INDEX(Inflation!$D$126:$BD$166, MATCH($B233, Inflation!$B$126:$B$166,0), MATCH(K$230, Inflation!$D$125:$BDR$125,0))</f>
        <v>4832.6616587851349</v>
      </c>
      <c r="L233" s="732">
        <f>(L179+L201)*INDEX(Inflation!$D$126:$BD$166, MATCH($B233, Inflation!$B$126:$B$166,0), MATCH(L$230, Inflation!$D$125:$BDR$125,0))</f>
        <v>5039.0685138462723</v>
      </c>
      <c r="M233" s="732">
        <f>(M179+M201)*INDEX(Inflation!$D$126:$BD$166, MATCH($B233, Inflation!$B$126:$B$166,0), MATCH(M$230, Inflation!$D$125:$BDR$125,0))</f>
        <v>5252.9480683519923</v>
      </c>
      <c r="N233" s="732">
        <f>(N179+N201)*INDEX(Inflation!$D$126:$BD$166, MATCH($B233, Inflation!$B$126:$B$166,0), MATCH(N$230, Inflation!$D$125:$BDR$125,0))</f>
        <v>5471.486645339638</v>
      </c>
      <c r="O233" s="732">
        <f>(O179+O201)*INDEX(Inflation!$D$126:$BD$166, MATCH($B233, Inflation!$B$126:$B$166,0), MATCH(O$230, Inflation!$D$125:$BDR$125,0))</f>
        <v>5693.4450479385314</v>
      </c>
      <c r="P233" s="732">
        <f>(P179+P201)*INDEX(Inflation!$D$126:$BD$166, MATCH($B233, Inflation!$B$126:$B$166,0), MATCH(P$230, Inflation!$D$125:$BDR$125,0))</f>
        <v>5918.0438475129495</v>
      </c>
      <c r="Q233" s="732">
        <f>(Q179+Q201)*INDEX(Inflation!$D$126:$BD$166, MATCH($B233, Inflation!$B$126:$B$166,0), MATCH(Q$230, Inflation!$D$125:$BDR$125,0))</f>
        <v>6147.1060551162154</v>
      </c>
      <c r="R233" s="732">
        <f>(R179+R201)*INDEX(Inflation!$D$126:$BD$166, MATCH($B233, Inflation!$B$126:$B$166,0), MATCH(R$230, Inflation!$D$125:$BDR$125,0))</f>
        <v>6382.8639734500111</v>
      </c>
      <c r="S233" s="732">
        <f>(S179+S201)*INDEX(Inflation!$D$126:$BD$166, MATCH($B233, Inflation!$B$126:$B$166,0), MATCH(S$230, Inflation!$D$125:$BDR$125,0))</f>
        <v>6625.7542685841299</v>
      </c>
      <c r="T233" s="732">
        <f>(T179+T201)*INDEX(Inflation!$D$126:$BD$166, MATCH($B233, Inflation!$B$126:$B$166,0), MATCH(T$230, Inflation!$D$125:$BDR$125,0))</f>
        <v>6874.1012209292885</v>
      </c>
      <c r="U233" s="732">
        <f>(U179+U201)*INDEX(Inflation!$D$126:$BD$166, MATCH($B233, Inflation!$B$126:$B$166,0), MATCH(U$230, Inflation!$D$125:$BDR$125,0))</f>
        <v>7128.2815692519962</v>
      </c>
      <c r="V233" s="732">
        <f>(V179+V201)*INDEX(Inflation!$D$126:$BD$166, MATCH($B233, Inflation!$B$126:$B$166,0), MATCH(V$230, Inflation!$D$125:$BDR$125,0))</f>
        <v>7392.9258592572933</v>
      </c>
      <c r="W233" s="732">
        <f>(W179+W201)*INDEX(Inflation!$D$126:$BD$166, MATCH($B233, Inflation!$B$126:$B$166,0), MATCH(W$230, Inflation!$D$125:$BDR$125,0))</f>
        <v>7664.4539998696437</v>
      </c>
      <c r="X233" s="732">
        <f>(X179+X201)*INDEX(Inflation!$D$126:$BD$166, MATCH($B233, Inflation!$B$126:$B$166,0), MATCH(X$230, Inflation!$D$125:$BDR$125,0))</f>
        <v>7941.8892829302213</v>
      </c>
      <c r="Y233" s="732">
        <f>(Y179+Y201)*INDEX(Inflation!$D$126:$BD$166, MATCH($B233, Inflation!$B$126:$B$166,0), MATCH(Y$230, Inflation!$D$125:$BDR$125,0))</f>
        <v>8225.1498852121931</v>
      </c>
      <c r="Z233" s="732">
        <f>(Z179+Z201)*INDEX(Inflation!$D$126:$BD$166, MATCH($B233, Inflation!$B$126:$B$166,0), MATCH(Z$230, Inflation!$D$125:$BDR$125,0))</f>
        <v>8516.3160027221438</v>
      </c>
      <c r="AA233" s="732">
        <f>(AA179+AA201)*INDEX(Inflation!$D$126:$BD$166, MATCH($B233, Inflation!$B$126:$B$166,0), MATCH(AA$230, Inflation!$D$125:$BDR$125,0))</f>
        <v>8815.0991328300515</v>
      </c>
      <c r="AB233" s="732">
        <f>(AB179+AB201)*INDEX(Inflation!$D$126:$BD$166, MATCH($B233, Inflation!$B$126:$B$166,0), MATCH(AB$230, Inflation!$D$125:$BDR$125,0))</f>
        <v>9120.7971810460967</v>
      </c>
      <c r="AC233" s="732">
        <f>(AC179+AC201)*INDEX(Inflation!$D$126:$BD$166, MATCH($B233, Inflation!$B$126:$B$166,0), MATCH(AC$230, Inflation!$D$125:$BDR$125,0))</f>
        <v>9432.8508857977922</v>
      </c>
      <c r="AD233" s="732">
        <f>(AD179+AD201)*INDEX(Inflation!$D$126:$BD$166, MATCH($B233, Inflation!$B$126:$B$166,0), MATCH(AD$230, Inflation!$D$125:$BDR$125,0))</f>
        <v>9750.6535039373393</v>
      </c>
      <c r="AE233" s="732">
        <f>(AE179+AE201)*INDEX(Inflation!$D$126:$BD$166, MATCH($B233, Inflation!$B$126:$B$166,0), MATCH(AE$230, Inflation!$D$125:$BDR$125,0))</f>
        <v>10073.732285456023</v>
      </c>
      <c r="AF233" s="732">
        <f>(AF179+AF201)*INDEX(Inflation!$D$126:$BD$166, MATCH($B233, Inflation!$B$126:$B$166,0), MATCH(AF$230, Inflation!$D$125:$BDR$125,0))</f>
        <v>10401.619195163023</v>
      </c>
      <c r="AG233" s="732">
        <f>(AG179+AG201)*INDEX(Inflation!$D$126:$BD$166, MATCH($B233, Inflation!$B$126:$B$166,0), MATCH(AG$230, Inflation!$D$125:$BDR$125,0))</f>
        <v>10734.726810869171</v>
      </c>
      <c r="AH233" s="732">
        <f>(AH179+AH201)*INDEX(Inflation!$D$126:$BD$166, MATCH($B233, Inflation!$B$126:$B$166,0), MATCH(AH$230, Inflation!$D$125:$BDR$125,0))</f>
        <v>11075.264327928393</v>
      </c>
      <c r="AI233" s="732">
        <f>(AI179+AI201)*INDEX(Inflation!$D$126:$BD$166, MATCH($B233, Inflation!$B$126:$B$166,0), MATCH(AI$230, Inflation!$D$125:$BDR$125,0))</f>
        <v>11423.560674621931</v>
      </c>
      <c r="AJ233" s="732">
        <f>(AJ179+AJ201)*INDEX(Inflation!$D$126:$BD$166, MATCH($B233, Inflation!$B$126:$B$166,0), MATCH(AJ$230, Inflation!$D$125:$BDR$125,0))</f>
        <v>11780.57715735614</v>
      </c>
      <c r="AK233" s="732">
        <f>(AK179+AK201)*INDEX(Inflation!$D$126:$BD$166, MATCH($B233, Inflation!$B$126:$B$166,0), MATCH(AK$230, Inflation!$D$125:$BDR$125,0))</f>
        <v>12143.797080357002</v>
      </c>
      <c r="AL233" s="732">
        <f>(AL179+AL201)*INDEX(Inflation!$D$126:$BD$166, MATCH($B233, Inflation!$B$126:$B$166,0), MATCH(AL$230, Inflation!$D$125:$BDR$125,0))</f>
        <v>12511.179387225264</v>
      </c>
      <c r="AM233" s="732">
        <f>(AM179+AM201)*INDEX(Inflation!$D$126:$BD$166, MATCH($B233, Inflation!$B$126:$B$166,0), MATCH(AM$230, Inflation!$D$125:$BDR$125,0))</f>
        <v>12881.21901897966</v>
      </c>
      <c r="AN233" s="732">
        <f>(AN179+AN201)*INDEX(Inflation!$D$126:$BD$166, MATCH($B233, Inflation!$B$126:$B$166,0), MATCH(AN$230, Inflation!$D$125:$BDR$125,0))</f>
        <v>13254.641300856843</v>
      </c>
      <c r="AO233" s="732">
        <f>(AO179+AO201)*INDEX(Inflation!$D$126:$BD$166, MATCH($B233, Inflation!$B$126:$B$166,0), MATCH(AO$230, Inflation!$D$125:$BDR$125,0))</f>
        <v>13631.501802540284</v>
      </c>
      <c r="AP233" s="732">
        <f>(AP179+AP201)*INDEX(Inflation!$D$126:$BD$166, MATCH($B233, Inflation!$B$126:$B$166,0), MATCH(AP$230, Inflation!$D$125:$BDR$125,0))</f>
        <v>14011.26728143782</v>
      </c>
      <c r="AQ233" s="732">
        <f>(AQ179+AQ201)*INDEX(Inflation!$D$126:$BD$166, MATCH($B233, Inflation!$B$126:$B$166,0), MATCH(AQ$230, Inflation!$D$125:$BDR$125,0))</f>
        <v>14397.058389911594</v>
      </c>
      <c r="AR233" s="732">
        <f>(AR179+AR201)*INDEX(Inflation!$D$126:$BD$166, MATCH($B233, Inflation!$B$126:$B$166,0), MATCH(AR$230, Inflation!$D$125:$BDR$125,0))</f>
        <v>14792.604299545877</v>
      </c>
      <c r="AS233" s="732">
        <f>(AS179+AS201)*INDEX(Inflation!$D$126:$BD$166, MATCH($B233, Inflation!$B$126:$B$166,0), MATCH(AS$230, Inflation!$D$125:$BDR$125,0))</f>
        <v>15201.120976337448</v>
      </c>
      <c r="AT233" s="732">
        <f>(AT179+AT201)*INDEX(Inflation!$D$126:$BD$166, MATCH($B233, Inflation!$B$126:$B$166,0), MATCH(AT$230, Inflation!$D$125:$BDR$125,0))</f>
        <v>15602.595629775829</v>
      </c>
      <c r="AU233" s="732" t="e">
        <f>(AU179+AU201)*INDEX(Inflation!$D$126:$BD$166, MATCH($B233, Inflation!$B$126:$B$166,0), MATCH(AU$230, Inflation!$D$125:$BDR$125,0))</f>
        <v>#N/A</v>
      </c>
      <c r="AV233" s="732" t="e">
        <f>(AV179+AV201)*INDEX(Inflation!$D$126:$BD$166, MATCH($B233, Inflation!$B$126:$B$166,0), MATCH(AV$230, Inflation!$D$125:$BDR$125,0))</f>
        <v>#N/A</v>
      </c>
      <c r="AW233" s="732" t="e">
        <f>(AW179+AW201)*INDEX(Inflation!$D$126:$BD$166, MATCH($B233, Inflation!$B$126:$B$166,0), MATCH(AW$230, Inflation!$D$125:$BDR$125,0))</f>
        <v>#N/A</v>
      </c>
      <c r="AX233" s="732" t="e">
        <f>(AX179+AX201)*INDEX(Inflation!$D$126:$BD$166, MATCH($B233, Inflation!$B$126:$B$166,0), MATCH(AX$230, Inflation!$D$125:$BDR$125,0))</f>
        <v>#N/A</v>
      </c>
      <c r="AY233" s="732" t="e">
        <f>(AY179+AY201)*INDEX(Inflation!$D$126:$BD$166, MATCH($B233, Inflation!$B$126:$B$166,0), MATCH(AY$230, Inflation!$D$125:$BDR$125,0))</f>
        <v>#N/A</v>
      </c>
      <c r="AZ233" s="732" t="e">
        <f>(AZ179+AZ201)*INDEX(Inflation!$D$126:$BD$166, MATCH($B233, Inflation!$B$126:$B$166,0), MATCH(AZ$230, Inflation!$D$125:$BDR$125,0))</f>
        <v>#N/A</v>
      </c>
      <c r="BA233" s="732" t="e">
        <f>(BA179+BA201)*INDEX(Inflation!$D$126:$BD$166, MATCH($B233, Inflation!$B$126:$B$166,0), MATCH(BA$230, Inflation!$D$125:$BDR$125,0))</f>
        <v>#N/A</v>
      </c>
      <c r="BB233" s="732" t="e">
        <f>(BB179+BB201)*INDEX(Inflation!$D$126:$BD$166, MATCH($B233, Inflation!$B$126:$B$166,0), MATCH(BB$230, Inflation!$D$125:$BDR$125,0))</f>
        <v>#N/A</v>
      </c>
    </row>
    <row r="234" spans="1:54" ht="29">
      <c r="B234" s="6" t="s">
        <v>16</v>
      </c>
      <c r="C234" s="47"/>
      <c r="D234" s="732">
        <f>(D180+D202)*INDEX(Inflation!$D$126:$BD$166, MATCH($B234, Inflation!$B$126:$B$166,0), MATCH(D$230, Inflation!$D$125:$BDR$125,0))</f>
        <v>71987.118163291132</v>
      </c>
      <c r="E234" s="732">
        <f>(E180+E202)*INDEX(Inflation!$D$126:$BD$166, MATCH($B234, Inflation!$B$126:$B$166,0), MATCH(E$230, Inflation!$D$125:$BDR$125,0))</f>
        <v>76145.077541606792</v>
      </c>
      <c r="F234" s="732">
        <f>(F180+F202)*INDEX(Inflation!$D$126:$BD$166, MATCH($B234, Inflation!$B$126:$B$166,0), MATCH(F$230, Inflation!$D$125:$BDR$125,0))</f>
        <v>80084.240222088993</v>
      </c>
      <c r="G234" s="732">
        <f>(G180+G202)*INDEX(Inflation!$D$126:$BD$166, MATCH($B234, Inflation!$B$126:$B$166,0), MATCH(G$230, Inflation!$D$125:$BDR$125,0))</f>
        <v>83907.920529909505</v>
      </c>
      <c r="H234" s="732">
        <f>(H180+H202)*INDEX(Inflation!$D$126:$BD$166, MATCH($B234, Inflation!$B$126:$B$166,0), MATCH(H$230, Inflation!$D$125:$BDR$125,0))</f>
        <v>87718.011740036905</v>
      </c>
      <c r="I234" s="732">
        <f>(I180+I202)*INDEX(Inflation!$D$126:$BD$166, MATCH($B234, Inflation!$B$126:$B$166,0), MATCH(I$230, Inflation!$D$125:$BDR$125,0))</f>
        <v>91573.484892059147</v>
      </c>
      <c r="J234" s="732">
        <f>(J180+J202)*INDEX(Inflation!$D$126:$BD$166, MATCH($B234, Inflation!$B$126:$B$166,0), MATCH(J$230, Inflation!$D$125:$BDR$125,0))</f>
        <v>95474.630847750799</v>
      </c>
      <c r="K234" s="732">
        <f>(K180+K202)*INDEX(Inflation!$D$126:$BD$166, MATCH($B234, Inflation!$B$126:$B$166,0), MATCH(K$230, Inflation!$D$125:$BDR$125,0))</f>
        <v>99451.583216071362</v>
      </c>
      <c r="L234" s="732">
        <f>(L180+L202)*INDEX(Inflation!$D$126:$BD$166, MATCH($B234, Inflation!$B$126:$B$166,0), MATCH(L$230, Inflation!$D$125:$BDR$125,0))</f>
        <v>103699.24009169065</v>
      </c>
      <c r="M234" s="732">
        <f>(M180+M202)*INDEX(Inflation!$D$126:$BD$166, MATCH($B234, Inflation!$B$126:$B$166,0), MATCH(M$230, Inflation!$D$125:$BDR$125,0))</f>
        <v>108100.67801865053</v>
      </c>
      <c r="N234" s="732">
        <f>(N180+N202)*INDEX(Inflation!$D$126:$BD$166, MATCH($B234, Inflation!$B$126:$B$166,0), MATCH(N$230, Inflation!$D$125:$BDR$125,0))</f>
        <v>112597.99419962075</v>
      </c>
      <c r="O234" s="732">
        <f>(O180+O202)*INDEX(Inflation!$D$126:$BD$166, MATCH($B234, Inflation!$B$126:$B$166,0), MATCH(O$230, Inflation!$D$125:$BDR$125,0))</f>
        <v>117165.6871409303</v>
      </c>
      <c r="P234" s="732">
        <f>(P180+P202)*INDEX(Inflation!$D$126:$BD$166, MATCH($B234, Inflation!$B$126:$B$166,0), MATCH(P$230, Inflation!$D$125:$BDR$125,0))</f>
        <v>121787.71694214756</v>
      </c>
      <c r="Q234" s="732">
        <f>(Q180+Q202)*INDEX(Inflation!$D$126:$BD$166, MATCH($B234, Inflation!$B$126:$B$166,0), MATCH(Q$230, Inflation!$D$125:$BDR$125,0))</f>
        <v>126501.59943787349</v>
      </c>
      <c r="R234" s="732">
        <f>(R180+R202)*INDEX(Inflation!$D$126:$BD$166, MATCH($B234, Inflation!$B$126:$B$166,0), MATCH(R$230, Inflation!$D$125:$BDR$125,0))</f>
        <v>131353.27329577718</v>
      </c>
      <c r="S234" s="732">
        <f>(S180+S202)*INDEX(Inflation!$D$126:$BD$166, MATCH($B234, Inflation!$B$126:$B$166,0), MATCH(S$230, Inflation!$D$125:$BDR$125,0))</f>
        <v>136351.72468849877</v>
      </c>
      <c r="T234" s="732">
        <f>(T180+T202)*INDEX(Inflation!$D$126:$BD$166, MATCH($B234, Inflation!$B$126:$B$166,0), MATCH(T$230, Inflation!$D$125:$BDR$125,0))</f>
        <v>141462.46889975836</v>
      </c>
      <c r="U234" s="732">
        <f>(U180+U202)*INDEX(Inflation!$D$126:$BD$166, MATCH($B234, Inflation!$B$126:$B$166,0), MATCH(U$230, Inflation!$D$125:$BDR$125,0))</f>
        <v>146693.25885525887</v>
      </c>
      <c r="V234" s="732">
        <f>(V180+V202)*INDEX(Inflation!$D$126:$BD$166, MATCH($B234, Inflation!$B$126:$B$166,0), MATCH(V$230, Inflation!$D$125:$BDR$125,0))</f>
        <v>152139.38678401115</v>
      </c>
      <c r="W234" s="732">
        <f>(W180+W202)*INDEX(Inflation!$D$126:$BD$166, MATCH($B234, Inflation!$B$126:$B$166,0), MATCH(W$230, Inflation!$D$125:$BDR$125,0))</f>
        <v>157727.17781476225</v>
      </c>
      <c r="X234" s="732">
        <f>(X180+X202)*INDEX(Inflation!$D$126:$BD$166, MATCH($B234, Inflation!$B$126:$B$166,0), MATCH(X$230, Inflation!$D$125:$BDR$125,0))</f>
        <v>163436.53222202061</v>
      </c>
      <c r="Y234" s="732">
        <f>(Y180+Y202)*INDEX(Inflation!$D$126:$BD$166, MATCH($B234, Inflation!$B$126:$B$166,0), MATCH(Y$230, Inflation!$D$125:$BDR$125,0))</f>
        <v>169265.7661615556</v>
      </c>
      <c r="Z234" s="732">
        <f>(Z180+Z202)*INDEX(Inflation!$D$126:$BD$166, MATCH($B234, Inflation!$B$126:$B$166,0), MATCH(Z$230, Inflation!$D$125:$BDR$125,0))</f>
        <v>175257.68808983747</v>
      </c>
      <c r="AA234" s="732">
        <f>(AA180+AA202)*INDEX(Inflation!$D$126:$BD$166, MATCH($B234, Inflation!$B$126:$B$166,0), MATCH(AA$230, Inflation!$D$125:$BDR$125,0))</f>
        <v>181406.36089697841</v>
      </c>
      <c r="AB234" s="732">
        <f>(AB180+AB202)*INDEX(Inflation!$D$126:$BD$166, MATCH($B234, Inflation!$B$126:$B$166,0), MATCH(AB$230, Inflation!$D$125:$BDR$125,0))</f>
        <v>187697.33614575907</v>
      </c>
      <c r="AC234" s="732">
        <f>(AC180+AC202)*INDEX(Inflation!$D$126:$BD$166, MATCH($B234, Inflation!$B$126:$B$166,0), MATCH(AC$230, Inflation!$D$125:$BDR$125,0))</f>
        <v>194119.10476462779</v>
      </c>
      <c r="AD234" s="732">
        <f>(AD180+AD202)*INDEX(Inflation!$D$126:$BD$166, MATCH($B234, Inflation!$B$126:$B$166,0), MATCH(AD$230, Inflation!$D$125:$BDR$125,0))</f>
        <v>200659.18055634704</v>
      </c>
      <c r="AE234" s="732">
        <f>(AE180+AE202)*INDEX(Inflation!$D$126:$BD$166, MATCH($B234, Inflation!$B$126:$B$166,0), MATCH(AE$230, Inflation!$D$125:$BDR$125,0))</f>
        <v>207307.83477511344</v>
      </c>
      <c r="AF234" s="732">
        <f>(AF180+AF202)*INDEX(Inflation!$D$126:$BD$166, MATCH($B234, Inflation!$B$126:$B$166,0), MATCH(AF$230, Inflation!$D$125:$BDR$125,0))</f>
        <v>214055.43570159408</v>
      </c>
      <c r="AG234" s="732">
        <f>(AG180+AG202)*INDEX(Inflation!$D$126:$BD$166, MATCH($B234, Inflation!$B$126:$B$166,0), MATCH(AG$230, Inflation!$D$125:$BDR$125,0))</f>
        <v>220910.47379495716</v>
      </c>
      <c r="AH234" s="732">
        <f>(AH180+AH202)*INDEX(Inflation!$D$126:$BD$166, MATCH($B234, Inflation!$B$126:$B$166,0), MATCH(AH$230, Inflation!$D$125:$BDR$125,0))</f>
        <v>227918.4121956196</v>
      </c>
      <c r="AI234" s="732">
        <f>(AI180+AI202)*INDEX(Inflation!$D$126:$BD$166, MATCH($B234, Inflation!$B$126:$B$166,0), MATCH(AI$230, Inflation!$D$125:$BDR$125,0))</f>
        <v>235086.01993494434</v>
      </c>
      <c r="AJ234" s="732">
        <f>(AJ180+AJ202)*INDEX(Inflation!$D$126:$BD$166, MATCH($B234, Inflation!$B$126:$B$166,0), MATCH(AJ$230, Inflation!$D$125:$BDR$125,0))</f>
        <v>242433.07978499716</v>
      </c>
      <c r="AK234" s="732">
        <f>(AK180+AK202)*INDEX(Inflation!$D$126:$BD$166, MATCH($B234, Inflation!$B$126:$B$166,0), MATCH(AK$230, Inflation!$D$125:$BDR$125,0))</f>
        <v>249907.80053901253</v>
      </c>
      <c r="AL234" s="732">
        <f>(AL180+AL202)*INDEX(Inflation!$D$126:$BD$166, MATCH($B234, Inflation!$B$126:$B$166,0), MATCH(AL$230, Inflation!$D$125:$BDR$125,0))</f>
        <v>257468.17919643465</v>
      </c>
      <c r="AM234" s="732">
        <f>(AM180+AM202)*INDEX(Inflation!$D$126:$BD$166, MATCH($B234, Inflation!$B$126:$B$166,0), MATCH(AM$230, Inflation!$D$125:$BDR$125,0))</f>
        <v>265083.24307407381</v>
      </c>
      <c r="AN234" s="732">
        <f>(AN180+AN202)*INDEX(Inflation!$D$126:$BD$166, MATCH($B234, Inflation!$B$126:$B$166,0), MATCH(AN$230, Inflation!$D$125:$BDR$125,0))</f>
        <v>272767.91867583734</v>
      </c>
      <c r="AO234" s="732">
        <f>(AO180+AO202)*INDEX(Inflation!$D$126:$BD$166, MATCH($B234, Inflation!$B$126:$B$166,0), MATCH(AO$230, Inflation!$D$125:$BDR$125,0))</f>
        <v>280523.34957298869</v>
      </c>
      <c r="AP234" s="732">
        <f>(AP180+AP202)*INDEX(Inflation!$D$126:$BD$166, MATCH($B234, Inflation!$B$126:$B$166,0), MATCH(AP$230, Inflation!$D$125:$BDR$125,0))</f>
        <v>288338.56213985896</v>
      </c>
      <c r="AQ234" s="732">
        <f>(AQ180+AQ202)*INDEX(Inflation!$D$126:$BD$166, MATCH($B234, Inflation!$B$126:$B$166,0), MATCH(AQ$230, Inflation!$D$125:$BDR$125,0))</f>
        <v>296277.77643570199</v>
      </c>
      <c r="AR234" s="732">
        <f>(AR180+AR202)*INDEX(Inflation!$D$126:$BD$166, MATCH($B234, Inflation!$B$126:$B$166,0), MATCH(AR$230, Inflation!$D$125:$BDR$125,0))</f>
        <v>304417.73526693124</v>
      </c>
      <c r="AS234" s="732">
        <f>(AS180+AS202)*INDEX(Inflation!$D$126:$BD$166, MATCH($B234, Inflation!$B$126:$B$166,0), MATCH(AS$230, Inflation!$D$125:$BDR$125,0))</f>
        <v>312824.6201568002</v>
      </c>
      <c r="AT234" s="732">
        <f>(AT180+AT202)*INDEX(Inflation!$D$126:$BD$166, MATCH($B234, Inflation!$B$126:$B$166,0), MATCH(AT$230, Inflation!$D$125:$BDR$125,0))</f>
        <v>321086.5868999071</v>
      </c>
      <c r="AU234" s="732" t="e">
        <f>(AU180+AU202)*INDEX(Inflation!$D$126:$BD$166, MATCH($B234, Inflation!$B$126:$B$166,0), MATCH(AU$230, Inflation!$D$125:$BDR$125,0))</f>
        <v>#N/A</v>
      </c>
      <c r="AV234" s="732" t="e">
        <f>(AV180+AV202)*INDEX(Inflation!$D$126:$BD$166, MATCH($B234, Inflation!$B$126:$B$166,0), MATCH(AV$230, Inflation!$D$125:$BDR$125,0))</f>
        <v>#N/A</v>
      </c>
      <c r="AW234" s="732" t="e">
        <f>(AW180+AW202)*INDEX(Inflation!$D$126:$BD$166, MATCH($B234, Inflation!$B$126:$B$166,0), MATCH(AW$230, Inflation!$D$125:$BDR$125,0))</f>
        <v>#N/A</v>
      </c>
      <c r="AX234" s="732" t="e">
        <f>(AX180+AX202)*INDEX(Inflation!$D$126:$BD$166, MATCH($B234, Inflation!$B$126:$B$166,0), MATCH(AX$230, Inflation!$D$125:$BDR$125,0))</f>
        <v>#N/A</v>
      </c>
      <c r="AY234" s="732" t="e">
        <f>(AY180+AY202)*INDEX(Inflation!$D$126:$BD$166, MATCH($B234, Inflation!$B$126:$B$166,0), MATCH(AY$230, Inflation!$D$125:$BDR$125,0))</f>
        <v>#N/A</v>
      </c>
      <c r="AZ234" s="732" t="e">
        <f>(AZ180+AZ202)*INDEX(Inflation!$D$126:$BD$166, MATCH($B234, Inflation!$B$126:$B$166,0), MATCH(AZ$230, Inflation!$D$125:$BDR$125,0))</f>
        <v>#N/A</v>
      </c>
      <c r="BA234" s="732" t="e">
        <f>(BA180+BA202)*INDEX(Inflation!$D$126:$BD$166, MATCH($B234, Inflation!$B$126:$B$166,0), MATCH(BA$230, Inflation!$D$125:$BDR$125,0))</f>
        <v>#N/A</v>
      </c>
      <c r="BB234" s="732" t="e">
        <f>(BB180+BB202)*INDEX(Inflation!$D$126:$BD$166, MATCH($B234, Inflation!$B$126:$B$166,0), MATCH(BB$230, Inflation!$D$125:$BDR$125,0))</f>
        <v>#N/A</v>
      </c>
    </row>
    <row r="235" spans="1:54">
      <c r="A235" s="492" t="s">
        <v>3149</v>
      </c>
      <c r="B235" s="6" t="s">
        <v>103</v>
      </c>
      <c r="C235" s="47"/>
      <c r="D235" s="732">
        <f>(D181+D203)*INDEX(Inflation!$D$126:$BD$166, MATCH($B235, Inflation!$B$126:$B$166,0), MATCH(D$230, Inflation!$D$125:$BDR$125,0))</f>
        <v>372606.39890900085</v>
      </c>
      <c r="E235" s="732">
        <f>(E181+E203)*INDEX(Inflation!$D$126:$BD$166, MATCH($B235, Inflation!$B$126:$B$166,0), MATCH(E$230, Inflation!$D$125:$BDR$125,0))</f>
        <v>392663.7581897155</v>
      </c>
      <c r="F235" s="732">
        <f>(F181+F203)*INDEX(Inflation!$D$126:$BD$166, MATCH($B235, Inflation!$B$126:$B$166,0), MATCH(F$230, Inflation!$D$125:$BDR$125,0))</f>
        <v>411442.84086097515</v>
      </c>
      <c r="G235" s="732">
        <f>(G181+G203)*INDEX(Inflation!$D$126:$BD$166, MATCH($B235, Inflation!$B$126:$B$166,0), MATCH(G$230, Inflation!$D$125:$BDR$125,0))</f>
        <v>429485.86302440701</v>
      </c>
      <c r="H235" s="732">
        <f>(H181+H203)*INDEX(Inflation!$D$126:$BD$166, MATCH($B235, Inflation!$B$126:$B$166,0), MATCH(H$230, Inflation!$D$125:$BDR$125,0))</f>
        <v>447319.83782503649</v>
      </c>
      <c r="I235" s="732">
        <f>(I181+I203)*INDEX(Inflation!$D$126:$BD$166, MATCH($B235, Inflation!$B$126:$B$166,0), MATCH(I$230, Inflation!$D$125:$BDR$125,0))</f>
        <v>465245.9337874187</v>
      </c>
      <c r="J235" s="732">
        <f>(J181+J203)*INDEX(Inflation!$D$126:$BD$166, MATCH($B235, Inflation!$B$126:$B$166,0), MATCH(J$230, Inflation!$D$125:$BDR$125,0))</f>
        <v>483263.83586190682</v>
      </c>
      <c r="K235" s="732">
        <f>(K181+K203)*INDEX(Inflation!$D$126:$BD$166, MATCH($B235, Inflation!$B$126:$B$166,0), MATCH(K$230, Inflation!$D$125:$BDR$125,0))</f>
        <v>501523.71609901811</v>
      </c>
      <c r="L235" s="732">
        <f>(L181+L203)*INDEX(Inflation!$D$126:$BD$166, MATCH($B235, Inflation!$B$126:$B$166,0), MATCH(L$230, Inflation!$D$125:$BDR$125,0))</f>
        <v>521001.30616449518</v>
      </c>
      <c r="M235" s="732">
        <f>(M181+M203)*INDEX(Inflation!$D$126:$BD$166, MATCH($B235, Inflation!$B$126:$B$166,0), MATCH(M$230, Inflation!$D$125:$BDR$125,0))</f>
        <v>541096.99335891998</v>
      </c>
      <c r="N235" s="732">
        <f>(N181+N203)*INDEX(Inflation!$D$126:$BD$166, MATCH($B235, Inflation!$B$126:$B$166,0), MATCH(N$230, Inflation!$D$125:$BDR$125,0))</f>
        <v>561514.3010264521</v>
      </c>
      <c r="O235" s="732">
        <f>(O181+O203)*INDEX(Inflation!$D$126:$BD$166, MATCH($B235, Inflation!$B$126:$B$166,0), MATCH(O$230, Inflation!$D$125:$BDR$125,0))</f>
        <v>582122.08477215935</v>
      </c>
      <c r="P235" s="732">
        <f>(P181+P203)*INDEX(Inflation!$D$126:$BD$166, MATCH($B235, Inflation!$B$126:$B$166,0), MATCH(P$230, Inflation!$D$125:$BDR$125,0))</f>
        <v>602837.95231415378</v>
      </c>
      <c r="Q235" s="732">
        <f>(Q181+Q203)*INDEX(Inflation!$D$126:$BD$166, MATCH($B235, Inflation!$B$126:$B$166,0), MATCH(Q$230, Inflation!$D$125:$BDR$125,0))</f>
        <v>623844.82678330946</v>
      </c>
      <c r="R235" s="732">
        <f>(R181+R203)*INDEX(Inflation!$D$126:$BD$166, MATCH($B235, Inflation!$B$126:$B$166,0), MATCH(R$230, Inflation!$D$125:$BDR$125,0))</f>
        <v>645364.28259738954</v>
      </c>
      <c r="S235" s="732">
        <f>(S181+S203)*INDEX(Inflation!$D$126:$BD$166, MATCH($B235, Inflation!$B$126:$B$166,0), MATCH(S$230, Inflation!$D$125:$BDR$125,0))</f>
        <v>667433.69256318128</v>
      </c>
      <c r="T235" s="732">
        <f>(T181+T203)*INDEX(Inflation!$D$126:$BD$166, MATCH($B235, Inflation!$B$126:$B$166,0), MATCH(T$230, Inflation!$D$125:$BDR$125,0))</f>
        <v>689877.83032431186</v>
      </c>
      <c r="U235" s="732">
        <f>(U181+U203)*INDEX(Inflation!$D$126:$BD$166, MATCH($B235, Inflation!$B$126:$B$166,0), MATCH(U$230, Inflation!$D$125:$BDR$125,0))</f>
        <v>712729.24086615094</v>
      </c>
      <c r="V235" s="732">
        <f>(V181+V203)*INDEX(Inflation!$D$126:$BD$166, MATCH($B235, Inflation!$B$126:$B$166,0), MATCH(V$230, Inflation!$D$125:$BDR$125,0))</f>
        <v>736443.69130413281</v>
      </c>
      <c r="W235" s="732">
        <f>(W181+W203)*INDEX(Inflation!$D$126:$BD$166, MATCH($B235, Inflation!$B$126:$B$166,0), MATCH(W$230, Inflation!$D$125:$BDR$125,0))</f>
        <v>760655.27612193848</v>
      </c>
      <c r="X235" s="732">
        <f>(X181+X203)*INDEX(Inflation!$D$126:$BD$166, MATCH($B235, Inflation!$B$126:$B$166,0), MATCH(X$230, Inflation!$D$125:$BDR$125,0))</f>
        <v>785260.86292565311</v>
      </c>
      <c r="Y235" s="732">
        <f>(Y181+Y203)*INDEX(Inflation!$D$126:$BD$166, MATCH($B235, Inflation!$B$126:$B$166,0), MATCH(Y$230, Inflation!$D$125:$BDR$125,0))</f>
        <v>810246.95956425602</v>
      </c>
      <c r="Z235" s="732">
        <f>(Z181+Z203)*INDEX(Inflation!$D$126:$BD$166, MATCH($B235, Inflation!$B$126:$B$166,0), MATCH(Z$230, Inflation!$D$125:$BDR$125,0))</f>
        <v>835812.42259946512</v>
      </c>
      <c r="AA235" s="732">
        <f>(AA181+AA203)*INDEX(Inflation!$D$126:$BD$166, MATCH($B235, Inflation!$B$126:$B$166,0), MATCH(AA$230, Inflation!$D$125:$BDR$125,0))</f>
        <v>861921.51036770572</v>
      </c>
      <c r="AB235" s="732">
        <f>(AB181+AB203)*INDEX(Inflation!$D$126:$BD$166, MATCH($B235, Inflation!$B$126:$B$166,0), MATCH(AB$230, Inflation!$D$125:$BDR$125,0))</f>
        <v>888498.66923048417</v>
      </c>
      <c r="AC235" s="732">
        <f>(AC181+AC203)*INDEX(Inflation!$D$126:$BD$166, MATCH($B235, Inflation!$B$126:$B$166,0), MATCH(AC$230, Inflation!$D$125:$BDR$125,0))</f>
        <v>915483.28025722667</v>
      </c>
      <c r="AD235" s="732">
        <f>(AD181+AD203)*INDEX(Inflation!$D$126:$BD$166, MATCH($B235, Inflation!$B$126:$B$166,0), MATCH(AD$230, Inflation!$D$125:$BDR$125,0))</f>
        <v>942810.99001200148</v>
      </c>
      <c r="AE235" s="732">
        <f>(AE181+AE203)*INDEX(Inflation!$D$126:$BD$166, MATCH($B235, Inflation!$B$126:$B$166,0), MATCH(AE$230, Inflation!$D$125:$BDR$125,0))</f>
        <v>970431.27000451309</v>
      </c>
      <c r="AF235" s="732">
        <f>(AF181+AF203)*INDEX(Inflation!$D$126:$BD$166, MATCH($B235, Inflation!$B$126:$B$166,0), MATCH(AF$230, Inflation!$D$125:$BDR$125,0))</f>
        <v>998294.76104075927</v>
      </c>
      <c r="AG235" s="732">
        <f>(AG181+AG203)*INDEX(Inflation!$D$126:$BD$166, MATCH($B235, Inflation!$B$126:$B$166,0), MATCH(AG$230, Inflation!$D$125:$BDR$125,0))</f>
        <v>1026437.0102249257</v>
      </c>
      <c r="AH235" s="732">
        <f>(AH181+AH203)*INDEX(Inflation!$D$126:$BD$166, MATCH($B235, Inflation!$B$126:$B$166,0), MATCH(AH$230, Inflation!$D$125:$BDR$125,0))</f>
        <v>1055064.1617822447</v>
      </c>
      <c r="AI235" s="732">
        <f>(AI181+AI203)*INDEX(Inflation!$D$126:$BD$166, MATCH($B235, Inflation!$B$126:$B$166,0), MATCH(AI$230, Inflation!$D$125:$BDR$125,0))</f>
        <v>1084200.8127949547</v>
      </c>
      <c r="AJ235" s="732">
        <f>(AJ181+AJ203)*INDEX(Inflation!$D$126:$BD$166, MATCH($B235, Inflation!$B$126:$B$166,0), MATCH(AJ$230, Inflation!$D$125:$BDR$125,0))</f>
        <v>1113930.9441861948</v>
      </c>
      <c r="AK235" s="732">
        <f>(AK181+AK203)*INDEX(Inflation!$D$126:$BD$166, MATCH($B235, Inflation!$B$126:$B$166,0), MATCH(AK$230, Inflation!$D$125:$BDR$125,0))</f>
        <v>1144009.594450644</v>
      </c>
      <c r="AL235" s="732">
        <f>(AL181+AL203)*INDEX(Inflation!$D$126:$BD$166, MATCH($B235, Inflation!$B$126:$B$166,0), MATCH(AL$230, Inflation!$D$125:$BDR$125,0))</f>
        <v>1174240.0284247149</v>
      </c>
      <c r="AM235" s="732">
        <f>(AM181+AM203)*INDEX(Inflation!$D$126:$BD$166, MATCH($B235, Inflation!$B$126:$B$166,0), MATCH(AM$230, Inflation!$D$125:$BDR$125,0))</f>
        <v>1204478.5187653066</v>
      </c>
      <c r="AN235" s="732">
        <f>(AN181+AN203)*INDEX(Inflation!$D$126:$BD$166, MATCH($B235, Inflation!$B$126:$B$166,0), MATCH(AN$230, Inflation!$D$125:$BDR$125,0))</f>
        <v>1234791.2358498427</v>
      </c>
      <c r="AO235" s="732">
        <f>(AO181+AO203)*INDEX(Inflation!$D$126:$BD$166, MATCH($B235, Inflation!$B$126:$B$166,0), MATCH(AO$230, Inflation!$D$125:$BDR$125,0))</f>
        <v>1265181.1975476576</v>
      </c>
      <c r="AP235" s="732">
        <f>(AP181+AP203)*INDEX(Inflation!$D$126:$BD$166, MATCH($B235, Inflation!$B$126:$B$166,0), MATCH(AP$230, Inflation!$D$125:$BDR$125,0))</f>
        <v>1295596.9178829747</v>
      </c>
      <c r="AQ235" s="732">
        <f>(AQ181+AQ203)*INDEX(Inflation!$D$126:$BD$166, MATCH($B235, Inflation!$B$126:$B$166,0), MATCH(AQ$230, Inflation!$D$125:$BDR$125,0))</f>
        <v>1326324.277049467</v>
      </c>
      <c r="AR235" s="732">
        <f>(AR181+AR203)*INDEX(Inflation!$D$126:$BD$166, MATCH($B235, Inflation!$B$126:$B$166,0), MATCH(AR$230, Inflation!$D$125:$BDR$125,0))</f>
        <v>1357700.7494809858</v>
      </c>
      <c r="AS235" s="732">
        <f>(AS181+AS203)*INDEX(Inflation!$D$126:$BD$166, MATCH($B235, Inflation!$B$126:$B$166,0), MATCH(AS$230, Inflation!$D$125:$BDR$125,0))</f>
        <v>1390011.8338184855</v>
      </c>
      <c r="AT235" s="732">
        <f>(AT181+AT203)*INDEX(Inflation!$D$126:$BD$166, MATCH($B235, Inflation!$B$126:$B$166,0), MATCH(AT$230, Inflation!$D$125:$BDR$125,0))</f>
        <v>1421422.5469978144</v>
      </c>
      <c r="AU235" s="732" t="e">
        <f>(AU181+AU203)*INDEX(Inflation!$D$126:$BD$166, MATCH($B235, Inflation!$B$126:$B$166,0), MATCH(AU$230, Inflation!$D$125:$BDR$125,0))</f>
        <v>#N/A</v>
      </c>
      <c r="AV235" s="732" t="e">
        <f>(AV181+AV203)*INDEX(Inflation!$D$126:$BD$166, MATCH($B235, Inflation!$B$126:$B$166,0), MATCH(AV$230, Inflation!$D$125:$BDR$125,0))</f>
        <v>#N/A</v>
      </c>
      <c r="AW235" s="732" t="e">
        <f>(AW181+AW203)*INDEX(Inflation!$D$126:$BD$166, MATCH($B235, Inflation!$B$126:$B$166,0), MATCH(AW$230, Inflation!$D$125:$BDR$125,0))</f>
        <v>#N/A</v>
      </c>
      <c r="AX235" s="732" t="e">
        <f>(AX181+AX203)*INDEX(Inflation!$D$126:$BD$166, MATCH($B235, Inflation!$B$126:$B$166,0), MATCH(AX$230, Inflation!$D$125:$BDR$125,0))</f>
        <v>#N/A</v>
      </c>
      <c r="AY235" s="732" t="e">
        <f>(AY181+AY203)*INDEX(Inflation!$D$126:$BD$166, MATCH($B235, Inflation!$B$126:$B$166,0), MATCH(AY$230, Inflation!$D$125:$BDR$125,0))</f>
        <v>#N/A</v>
      </c>
      <c r="AZ235" s="732" t="e">
        <f>(AZ181+AZ203)*INDEX(Inflation!$D$126:$BD$166, MATCH($B235, Inflation!$B$126:$B$166,0), MATCH(AZ$230, Inflation!$D$125:$BDR$125,0))</f>
        <v>#N/A</v>
      </c>
      <c r="BA235" s="732" t="e">
        <f>(BA181+BA203)*INDEX(Inflation!$D$126:$BD$166, MATCH($B235, Inflation!$B$126:$B$166,0), MATCH(BA$230, Inflation!$D$125:$BDR$125,0))</f>
        <v>#N/A</v>
      </c>
      <c r="BB235" s="732" t="e">
        <f>(BB181+BB203)*INDEX(Inflation!$D$126:$BD$166, MATCH($B235, Inflation!$B$126:$B$166,0), MATCH(BB$230, Inflation!$D$125:$BDR$125,0))</f>
        <v>#N/A</v>
      </c>
    </row>
    <row r="236" spans="1:54">
      <c r="B236" s="6" t="s">
        <v>104</v>
      </c>
      <c r="C236" s="47"/>
      <c r="D236" s="732">
        <f>(D182+D204)*INDEX(Inflation!$D$126:$BD$166, MATCH($B236, Inflation!$B$126:$B$166,0), MATCH(D$230, Inflation!$D$125:$BDR$125,0))</f>
        <v>42677.296491716799</v>
      </c>
      <c r="E236" s="732">
        <f>(E182+E204)*INDEX(Inflation!$D$126:$BD$166, MATCH($B236, Inflation!$B$126:$B$166,0), MATCH(E$230, Inflation!$D$125:$BDR$125,0))</f>
        <v>44974.610417001801</v>
      </c>
      <c r="F236" s="732">
        <f>(F182+F204)*INDEX(Inflation!$D$126:$BD$166, MATCH($B236, Inflation!$B$126:$B$166,0), MATCH(F$230, Inflation!$D$125:$BDR$125,0))</f>
        <v>47125.514108807532</v>
      </c>
      <c r="G236" s="732">
        <f>(G182+G204)*INDEX(Inflation!$D$126:$BD$166, MATCH($B236, Inflation!$B$126:$B$166,0), MATCH(G$230, Inflation!$D$125:$BDR$125,0))</f>
        <v>49192.111485369118</v>
      </c>
      <c r="H236" s="732">
        <f>(H182+H204)*INDEX(Inflation!$D$126:$BD$166, MATCH($B236, Inflation!$B$126:$B$166,0), MATCH(H$230, Inflation!$D$125:$BDR$125,0))</f>
        <v>51234.765160724142</v>
      </c>
      <c r="I236" s="732">
        <f>(I182+I204)*INDEX(Inflation!$D$126:$BD$166, MATCH($B236, Inflation!$B$126:$B$166,0), MATCH(I$230, Inflation!$D$125:$BDR$125,0))</f>
        <v>53287.970136713804</v>
      </c>
      <c r="J236" s="732">
        <f>(J182+J204)*INDEX(Inflation!$D$126:$BD$166, MATCH($B236, Inflation!$B$126:$B$166,0), MATCH(J$230, Inflation!$D$125:$BDR$125,0))</f>
        <v>55351.690328431308</v>
      </c>
      <c r="K236" s="732">
        <f>(K182+K204)*INDEX(Inflation!$D$126:$BD$166, MATCH($B236, Inflation!$B$126:$B$166,0), MATCH(K$230, Inflation!$D$125:$BDR$125,0))</f>
        <v>57443.126023213226</v>
      </c>
      <c r="L236" s="732">
        <f>(L182+L204)*INDEX(Inflation!$D$126:$BD$166, MATCH($B236, Inflation!$B$126:$B$166,0), MATCH(L$230, Inflation!$D$125:$BDR$125,0))</f>
        <v>59674.034801490794</v>
      </c>
      <c r="M236" s="732">
        <f>(M182+M204)*INDEX(Inflation!$D$126:$BD$166, MATCH($B236, Inflation!$B$126:$B$166,0), MATCH(M$230, Inflation!$D$125:$BDR$125,0))</f>
        <v>61975.738698988047</v>
      </c>
      <c r="N236" s="732">
        <f>(N182+N204)*INDEX(Inflation!$D$126:$BD$166, MATCH($B236, Inflation!$B$126:$B$166,0), MATCH(N$230, Inflation!$D$125:$BDR$125,0))</f>
        <v>64314.280107405117</v>
      </c>
      <c r="O236" s="732">
        <f>(O182+O204)*INDEX(Inflation!$D$126:$BD$166, MATCH($B236, Inflation!$B$126:$B$166,0), MATCH(O$230, Inflation!$D$125:$BDR$125,0))</f>
        <v>66674.638113944689</v>
      </c>
      <c r="P236" s="732">
        <f>(P182+P204)*INDEX(Inflation!$D$126:$BD$166, MATCH($B236, Inflation!$B$126:$B$166,0), MATCH(P$230, Inflation!$D$125:$BDR$125,0))</f>
        <v>69047.375736705551</v>
      </c>
      <c r="Q236" s="732">
        <f>(Q182+Q204)*INDEX(Inflation!$D$126:$BD$166, MATCH($B236, Inflation!$B$126:$B$166,0), MATCH(Q$230, Inflation!$D$125:$BDR$125,0))</f>
        <v>71453.444480316626</v>
      </c>
      <c r="R236" s="732">
        <f>(R182+R204)*INDEX(Inflation!$D$126:$BD$166, MATCH($B236, Inflation!$B$126:$B$166,0), MATCH(R$230, Inflation!$D$125:$BDR$125,0))</f>
        <v>73918.222859880058</v>
      </c>
      <c r="S236" s="732">
        <f>(S182+S204)*INDEX(Inflation!$D$126:$BD$166, MATCH($B236, Inflation!$B$126:$B$166,0), MATCH(S$230, Inflation!$D$125:$BDR$125,0))</f>
        <v>76445.991452328133</v>
      </c>
      <c r="T236" s="732">
        <f>(T182+T204)*INDEX(Inflation!$D$126:$BD$166, MATCH($B236, Inflation!$B$126:$B$166,0), MATCH(T$230, Inflation!$D$125:$BDR$125,0))</f>
        <v>79016.680320091327</v>
      </c>
      <c r="U236" s="732">
        <f>(U182+U204)*INDEX(Inflation!$D$126:$BD$166, MATCH($B236, Inflation!$B$126:$B$166,0), MATCH(U$230, Inflation!$D$125:$BDR$125,0))</f>
        <v>81634.017074917676</v>
      </c>
      <c r="V236" s="732">
        <f>(V182+V204)*INDEX(Inflation!$D$126:$BD$166, MATCH($B236, Inflation!$B$126:$B$166,0), MATCH(V$230, Inflation!$D$125:$BDR$125,0))</f>
        <v>84350.204009557638</v>
      </c>
      <c r="W236" s="732">
        <f>(W182+W204)*INDEX(Inflation!$D$126:$BD$166, MATCH($B236, Inflation!$B$126:$B$166,0), MATCH(W$230, Inflation!$D$125:$BDR$125,0))</f>
        <v>87123.33132790032</v>
      </c>
      <c r="X236" s="732">
        <f>(X182+X204)*INDEX(Inflation!$D$126:$BD$166, MATCH($B236, Inflation!$B$126:$B$166,0), MATCH(X$230, Inflation!$D$125:$BDR$125,0))</f>
        <v>89941.586533526191</v>
      </c>
      <c r="Y236" s="732">
        <f>(Y182+Y204)*INDEX(Inflation!$D$126:$BD$166, MATCH($B236, Inflation!$B$126:$B$166,0), MATCH(Y$230, Inflation!$D$125:$BDR$125,0))</f>
        <v>92803.424273131881</v>
      </c>
      <c r="Z236" s="732">
        <f>(Z182+Z204)*INDEX(Inflation!$D$126:$BD$166, MATCH($B236, Inflation!$B$126:$B$166,0), MATCH(Z$230, Inflation!$D$125:$BDR$125,0))</f>
        <v>95731.621022023755</v>
      </c>
      <c r="AA236" s="732">
        <f>(AA182+AA204)*INDEX(Inflation!$D$126:$BD$166, MATCH($B236, Inflation!$B$126:$B$166,0), MATCH(AA$230, Inflation!$D$125:$BDR$125,0))</f>
        <v>98722.08302985839</v>
      </c>
      <c r="AB236" s="732">
        <f>(AB182+AB204)*INDEX(Inflation!$D$126:$BD$166, MATCH($B236, Inflation!$B$126:$B$166,0), MATCH(AB$230, Inflation!$D$125:$BDR$125,0))</f>
        <v>101766.1565938534</v>
      </c>
      <c r="AC236" s="732">
        <f>(AC182+AC204)*INDEX(Inflation!$D$126:$BD$166, MATCH($B236, Inflation!$B$126:$B$166,0), MATCH(AC$230, Inflation!$D$125:$BDR$125,0))</f>
        <v>104856.89859096869</v>
      </c>
      <c r="AD236" s="732">
        <f>(AD182+AD204)*INDEX(Inflation!$D$126:$BD$166, MATCH($B236, Inflation!$B$126:$B$166,0), MATCH(AD$230, Inflation!$D$125:$BDR$125,0))</f>
        <v>107986.93815834857</v>
      </c>
      <c r="AE236" s="732">
        <f>(AE182+AE204)*INDEX(Inflation!$D$126:$BD$166, MATCH($B236, Inflation!$B$126:$B$166,0), MATCH(AE$230, Inflation!$D$125:$BDR$125,0))</f>
        <v>111150.48790380672</v>
      </c>
      <c r="AF236" s="732">
        <f>(AF182+AF204)*INDEX(Inflation!$D$126:$BD$166, MATCH($B236, Inflation!$B$126:$B$166,0), MATCH(AF$230, Inflation!$D$125:$BDR$125,0))</f>
        <v>114341.89436308919</v>
      </c>
      <c r="AG236" s="732">
        <f>(AG182+AG204)*INDEX(Inflation!$D$126:$BD$166, MATCH($B236, Inflation!$B$126:$B$166,0), MATCH(AG$230, Inflation!$D$125:$BDR$125,0))</f>
        <v>117565.22900225024</v>
      </c>
      <c r="AH236" s="732">
        <f>(AH182+AH204)*INDEX(Inflation!$D$126:$BD$166, MATCH($B236, Inflation!$B$126:$B$166,0), MATCH(AH$230, Inflation!$D$125:$BDR$125,0))</f>
        <v>120844.10300522568</v>
      </c>
      <c r="AI236" s="732">
        <f>(AI182+AI204)*INDEX(Inflation!$D$126:$BD$166, MATCH($B236, Inflation!$B$126:$B$166,0), MATCH(AI$230, Inflation!$D$125:$BDR$125,0))</f>
        <v>124181.33365313195</v>
      </c>
      <c r="AJ236" s="732">
        <f>(AJ182+AJ204)*INDEX(Inflation!$D$126:$BD$166, MATCH($B236, Inflation!$B$126:$B$166,0), MATCH(AJ$230, Inflation!$D$125:$BDR$125,0))</f>
        <v>127586.53988640312</v>
      </c>
      <c r="AK236" s="732">
        <f>(AK182+AK204)*INDEX(Inflation!$D$126:$BD$166, MATCH($B236, Inflation!$B$126:$B$166,0), MATCH(AK$230, Inflation!$D$125:$BDR$125,0))</f>
        <v>131031.66449823258</v>
      </c>
      <c r="AL236" s="732">
        <f>(AL182+AL204)*INDEX(Inflation!$D$126:$BD$166, MATCH($B236, Inflation!$B$126:$B$166,0), MATCH(AL$230, Inflation!$D$125:$BDR$125,0))</f>
        <v>134494.17399233225</v>
      </c>
      <c r="AM236" s="732">
        <f>(AM182+AM204)*INDEX(Inflation!$D$126:$BD$166, MATCH($B236, Inflation!$B$126:$B$166,0), MATCH(AM$230, Inflation!$D$125:$BDR$125,0))</f>
        <v>137957.60624015715</v>
      </c>
      <c r="AN236" s="732">
        <f>(AN182+AN204)*INDEX(Inflation!$D$126:$BD$166, MATCH($B236, Inflation!$B$126:$B$166,0), MATCH(AN$230, Inflation!$D$125:$BDR$125,0))</f>
        <v>141429.54021196801</v>
      </c>
      <c r="AO236" s="732">
        <f>(AO182+AO204)*INDEX(Inflation!$D$126:$BD$166, MATCH($B236, Inflation!$B$126:$B$166,0), MATCH(AO$230, Inflation!$D$125:$BDR$125,0))</f>
        <v>144910.32156609156</v>
      </c>
      <c r="AP236" s="732">
        <f>(AP182+AP204)*INDEX(Inflation!$D$126:$BD$166, MATCH($B236, Inflation!$B$126:$B$166,0), MATCH(AP$230, Inflation!$D$125:$BDR$125,0))</f>
        <v>148394.05324262806</v>
      </c>
      <c r="AQ236" s="732">
        <f>(AQ182+AQ204)*INDEX(Inflation!$D$126:$BD$166, MATCH($B236, Inflation!$B$126:$B$166,0), MATCH(AQ$230, Inflation!$D$125:$BDR$125,0))</f>
        <v>151913.47916068943</v>
      </c>
      <c r="AR236" s="732">
        <f>(AR182+AR204)*INDEX(Inflation!$D$126:$BD$166, MATCH($B236, Inflation!$B$126:$B$166,0), MATCH(AR$230, Inflation!$D$125:$BDR$125,0))</f>
        <v>155507.25269958976</v>
      </c>
      <c r="AS236" s="732">
        <f>(AS182+AS204)*INDEX(Inflation!$D$126:$BD$166, MATCH($B236, Inflation!$B$126:$B$166,0), MATCH(AS$230, Inflation!$D$125:$BDR$125,0))</f>
        <v>159208.07407645803</v>
      </c>
      <c r="AT236" s="732">
        <f>(AT182+AT204)*INDEX(Inflation!$D$126:$BD$166, MATCH($B236, Inflation!$B$126:$B$166,0), MATCH(AT$230, Inflation!$D$125:$BDR$125,0))</f>
        <v>162805.76945500117</v>
      </c>
      <c r="AU236" s="732" t="e">
        <f>(AU182+AU204)*INDEX(Inflation!$D$126:$BD$166, MATCH($B236, Inflation!$B$126:$B$166,0), MATCH(AU$230, Inflation!$D$125:$BDR$125,0))</f>
        <v>#N/A</v>
      </c>
      <c r="AV236" s="732" t="e">
        <f>(AV182+AV204)*INDEX(Inflation!$D$126:$BD$166, MATCH($B236, Inflation!$B$126:$B$166,0), MATCH(AV$230, Inflation!$D$125:$BDR$125,0))</f>
        <v>#N/A</v>
      </c>
      <c r="AW236" s="732" t="e">
        <f>(AW182+AW204)*INDEX(Inflation!$D$126:$BD$166, MATCH($B236, Inflation!$B$126:$B$166,0), MATCH(AW$230, Inflation!$D$125:$BDR$125,0))</f>
        <v>#N/A</v>
      </c>
      <c r="AX236" s="732" t="e">
        <f>(AX182+AX204)*INDEX(Inflation!$D$126:$BD$166, MATCH($B236, Inflation!$B$126:$B$166,0), MATCH(AX$230, Inflation!$D$125:$BDR$125,0))</f>
        <v>#N/A</v>
      </c>
      <c r="AY236" s="732" t="e">
        <f>(AY182+AY204)*INDEX(Inflation!$D$126:$BD$166, MATCH($B236, Inflation!$B$126:$B$166,0), MATCH(AY$230, Inflation!$D$125:$BDR$125,0))</f>
        <v>#N/A</v>
      </c>
      <c r="AZ236" s="732" t="e">
        <f>(AZ182+AZ204)*INDEX(Inflation!$D$126:$BD$166, MATCH($B236, Inflation!$B$126:$B$166,0), MATCH(AZ$230, Inflation!$D$125:$BDR$125,0))</f>
        <v>#N/A</v>
      </c>
      <c r="BA236" s="732" t="e">
        <f>(BA182+BA204)*INDEX(Inflation!$D$126:$BD$166, MATCH($B236, Inflation!$B$126:$B$166,0), MATCH(BA$230, Inflation!$D$125:$BDR$125,0))</f>
        <v>#N/A</v>
      </c>
      <c r="BB236" s="732" t="e">
        <f>(BB182+BB204)*INDEX(Inflation!$D$126:$BD$166, MATCH($B236, Inflation!$B$126:$B$166,0), MATCH(BB$230, Inflation!$D$125:$BDR$125,0))</f>
        <v>#N/A</v>
      </c>
    </row>
    <row r="237" spans="1:54">
      <c r="B237" s="6" t="s">
        <v>17</v>
      </c>
      <c r="C237" s="47"/>
      <c r="D237" s="732">
        <f>(D183+D205)*INDEX(Inflation!$D$126:$BD$166, MATCH($B237, Inflation!$B$126:$B$166,0), MATCH(D$230, Inflation!$D$125:$BDR$125,0))</f>
        <v>26715.414686023563</v>
      </c>
      <c r="E237" s="732">
        <f>(E183+E205)*INDEX(Inflation!$D$126:$BD$166, MATCH($B237, Inflation!$B$126:$B$166,0), MATCH(E$230, Inflation!$D$125:$BDR$125,0))</f>
        <v>28153.502363153661</v>
      </c>
      <c r="F237" s="732">
        <f>(F183+F205)*INDEX(Inflation!$D$126:$BD$166, MATCH($B237, Inflation!$B$126:$B$166,0), MATCH(F$230, Inflation!$D$125:$BDR$125,0))</f>
        <v>29499.939199597648</v>
      </c>
      <c r="G237" s="732">
        <f>(G183+G205)*INDEX(Inflation!$D$126:$BD$166, MATCH($B237, Inflation!$B$126:$B$166,0), MATCH(G$230, Inflation!$D$125:$BDR$125,0))</f>
        <v>30793.60141446186</v>
      </c>
      <c r="H237" s="732">
        <f>(H183+H205)*INDEX(Inflation!$D$126:$BD$166, MATCH($B237, Inflation!$B$126:$B$166,0), MATCH(H$230, Inflation!$D$125:$BDR$125,0))</f>
        <v>32072.275193800979</v>
      </c>
      <c r="I237" s="732">
        <f>(I183+I205)*INDEX(Inflation!$D$126:$BD$166, MATCH($B237, Inflation!$B$126:$B$166,0), MATCH(I$230, Inflation!$D$125:$BDR$125,0))</f>
        <v>33357.553945692329</v>
      </c>
      <c r="J237" s="732">
        <f>(J183+J205)*INDEX(Inflation!$D$126:$BD$166, MATCH($B237, Inflation!$B$126:$B$166,0), MATCH(J$230, Inflation!$D$125:$BDR$125,0))</f>
        <v>34649.415081468673</v>
      </c>
      <c r="K237" s="732">
        <f>(K183+K205)*INDEX(Inflation!$D$126:$BD$166, MATCH($B237, Inflation!$B$126:$B$166,0), MATCH(K$230, Inflation!$D$125:$BDR$125,0))</f>
        <v>35958.625750098901</v>
      </c>
      <c r="L237" s="732">
        <f>(L183+L205)*INDEX(Inflation!$D$126:$BD$166, MATCH($B237, Inflation!$B$126:$B$166,0), MATCH(L$230, Inflation!$D$125:$BDR$125,0))</f>
        <v>37355.144696652671</v>
      </c>
      <c r="M237" s="732">
        <f>(M183+M205)*INDEX(Inflation!$D$126:$BD$166, MATCH($B237, Inflation!$B$126:$B$166,0), MATCH(M$230, Inflation!$D$125:$BDR$125,0))</f>
        <v>38795.980437454826</v>
      </c>
      <c r="N237" s="732">
        <f>(N183+N205)*INDEX(Inflation!$D$126:$BD$166, MATCH($B237, Inflation!$B$126:$B$166,0), MATCH(N$230, Inflation!$D$125:$BDR$125,0))</f>
        <v>40259.875965570704</v>
      </c>
      <c r="O237" s="732">
        <f>(O183+O205)*INDEX(Inflation!$D$126:$BD$166, MATCH($B237, Inflation!$B$126:$B$166,0), MATCH(O$230, Inflation!$D$125:$BDR$125,0))</f>
        <v>41737.428391236157</v>
      </c>
      <c r="P237" s="732">
        <f>(P183+P205)*INDEX(Inflation!$D$126:$BD$166, MATCH($B237, Inflation!$B$126:$B$166,0), MATCH(P$230, Inflation!$D$125:$BDR$125,0))</f>
        <v>43222.730290467051</v>
      </c>
      <c r="Q237" s="732">
        <f>(Q183+Q205)*INDEX(Inflation!$D$126:$BD$166, MATCH($B237, Inflation!$B$126:$B$166,0), MATCH(Q$230, Inflation!$D$125:$BDR$125,0))</f>
        <v>44728.897023899328</v>
      </c>
      <c r="R237" s="732">
        <f>(R183+R205)*INDEX(Inflation!$D$126:$BD$166, MATCH($B237, Inflation!$B$126:$B$166,0), MATCH(R$230, Inflation!$D$125:$BDR$125,0))</f>
        <v>46271.815201295176</v>
      </c>
      <c r="S237" s="732">
        <f>(S183+S205)*INDEX(Inflation!$D$126:$BD$166, MATCH($B237, Inflation!$B$126:$B$166,0), MATCH(S$230, Inflation!$D$125:$BDR$125,0))</f>
        <v>47854.16440634997</v>
      </c>
      <c r="T237" s="732">
        <f>(T183+T205)*INDEX(Inflation!$D$126:$BD$166, MATCH($B237, Inflation!$B$126:$B$166,0), MATCH(T$230, Inflation!$D$125:$BDR$125,0))</f>
        <v>49463.381127572415</v>
      </c>
      <c r="U237" s="732">
        <f>(U183+U205)*INDEX(Inflation!$D$126:$BD$166, MATCH($B237, Inflation!$B$126:$B$166,0), MATCH(U$230, Inflation!$D$125:$BDR$125,0))</f>
        <v>51101.798799875731</v>
      </c>
      <c r="V237" s="732">
        <f>(V183+V205)*INDEX(Inflation!$D$126:$BD$166, MATCH($B237, Inflation!$B$126:$B$166,0), MATCH(V$230, Inflation!$D$125:$BDR$125,0))</f>
        <v>52802.095357736405</v>
      </c>
      <c r="W237" s="732">
        <f>(W183+W205)*INDEX(Inflation!$D$126:$BD$166, MATCH($B237, Inflation!$B$126:$B$166,0), MATCH(W$230, Inflation!$D$125:$BDR$125,0))</f>
        <v>54538.035831403584</v>
      </c>
      <c r="X237" s="732">
        <f>(X183+X205)*INDEX(Inflation!$D$126:$BD$166, MATCH($B237, Inflation!$B$126:$B$166,0), MATCH(X$230, Inflation!$D$125:$BDR$125,0))</f>
        <v>56302.22575669449</v>
      </c>
      <c r="Y237" s="732">
        <f>(Y183+Y205)*INDEX(Inflation!$D$126:$BD$166, MATCH($B237, Inflation!$B$126:$B$166,0), MATCH(Y$230, Inflation!$D$125:$BDR$125,0))</f>
        <v>58093.69776318669</v>
      </c>
      <c r="Z237" s="732">
        <f>(Z183+Z205)*INDEX(Inflation!$D$126:$BD$166, MATCH($B237, Inflation!$B$126:$B$166,0), MATCH(Z$230, Inflation!$D$125:$BDR$125,0))</f>
        <v>59926.70961866108</v>
      </c>
      <c r="AA237" s="732">
        <f>(AA183+AA205)*INDEX(Inflation!$D$126:$BD$166, MATCH($B237, Inflation!$B$126:$B$166,0), MATCH(AA$230, Inflation!$D$125:$BDR$125,0))</f>
        <v>61798.698690358884</v>
      </c>
      <c r="AB237" s="732">
        <f>(AB183+AB205)*INDEX(Inflation!$D$126:$BD$166, MATCH($B237, Inflation!$B$126:$B$166,0), MATCH(AB$230, Inflation!$D$125:$BDR$125,0))</f>
        <v>63704.247876509231</v>
      </c>
      <c r="AC237" s="732">
        <f>(AC183+AC205)*INDEX(Inflation!$D$126:$BD$166, MATCH($B237, Inflation!$B$126:$B$166,0), MATCH(AC$230, Inflation!$D$125:$BDR$125,0))</f>
        <v>65639.010875296401</v>
      </c>
      <c r="AD237" s="732">
        <f>(AD183+AD205)*INDEX(Inflation!$D$126:$BD$166, MATCH($B237, Inflation!$B$126:$B$166,0), MATCH(AD$230, Inflation!$D$125:$BDR$125,0))</f>
        <v>67598.37362552229</v>
      </c>
      <c r="AE237" s="732">
        <f>(AE183+AE205)*INDEX(Inflation!$D$126:$BD$166, MATCH($B237, Inflation!$B$126:$B$166,0), MATCH(AE$230, Inflation!$D$125:$BDR$125,0))</f>
        <v>69578.713297370588</v>
      </c>
      <c r="AF237" s="732">
        <f>(AF183+AF205)*INDEX(Inflation!$D$126:$BD$166, MATCH($B237, Inflation!$B$126:$B$166,0), MATCH(AF$230, Inflation!$D$125:$BDR$125,0))</f>
        <v>71576.490898112796</v>
      </c>
      <c r="AG237" s="732">
        <f>(AG183+AG205)*INDEX(Inflation!$D$126:$BD$166, MATCH($B237, Inflation!$B$126:$B$166,0), MATCH(AG$230, Inflation!$D$125:$BDR$125,0))</f>
        <v>73594.255110841812</v>
      </c>
      <c r="AH237" s="732">
        <f>(AH183+AH205)*INDEX(Inflation!$D$126:$BD$166, MATCH($B237, Inflation!$B$126:$B$166,0), MATCH(AH$230, Inflation!$D$125:$BDR$125,0))</f>
        <v>75646.786219735091</v>
      </c>
      <c r="AI237" s="732">
        <f>(AI183+AI205)*INDEX(Inflation!$D$126:$BD$166, MATCH($B237, Inflation!$B$126:$B$166,0), MATCH(AI$230, Inflation!$D$125:$BDR$125,0))</f>
        <v>77735.847804951176</v>
      </c>
      <c r="AJ237" s="732">
        <f>(AJ183+AJ205)*INDEX(Inflation!$D$126:$BD$166, MATCH($B237, Inflation!$B$126:$B$166,0), MATCH(AJ$230, Inflation!$D$125:$BDR$125,0))</f>
        <v>79867.461194073141</v>
      </c>
      <c r="AK237" s="732">
        <f>(AK183+AK205)*INDEX(Inflation!$D$126:$BD$166, MATCH($B237, Inflation!$B$126:$B$166,0), MATCH(AK$230, Inflation!$D$125:$BDR$125,0))</f>
        <v>82024.062952291686</v>
      </c>
      <c r="AL237" s="732">
        <f>(AL183+AL205)*INDEX(Inflation!$D$126:$BD$166, MATCH($B237, Inflation!$B$126:$B$166,0), MATCH(AL$230, Inflation!$D$125:$BDR$125,0))</f>
        <v>84191.547413429464</v>
      </c>
      <c r="AM237" s="732">
        <f>(AM183+AM205)*INDEX(Inflation!$D$126:$BD$166, MATCH($B237, Inflation!$B$126:$B$166,0), MATCH(AM$230, Inflation!$D$125:$BDR$125,0))</f>
        <v>86359.609506011824</v>
      </c>
      <c r="AN237" s="732">
        <f>(AN183+AN205)*INDEX(Inflation!$D$126:$BD$166, MATCH($B237, Inflation!$B$126:$B$166,0), MATCH(AN$230, Inflation!$D$125:$BDR$125,0))</f>
        <v>88532.993563678698</v>
      </c>
      <c r="AO237" s="732">
        <f>(AO183+AO205)*INDEX(Inflation!$D$126:$BD$166, MATCH($B237, Inflation!$B$126:$B$166,0), MATCH(AO$230, Inflation!$D$125:$BDR$125,0))</f>
        <v>90711.915963902386</v>
      </c>
      <c r="AP237" s="732">
        <f>(AP183+AP205)*INDEX(Inflation!$D$126:$BD$166, MATCH($B237, Inflation!$B$126:$B$166,0), MATCH(AP$230, Inflation!$D$125:$BDR$125,0))</f>
        <v>92892.685226350208</v>
      </c>
      <c r="AQ237" s="732">
        <f>(AQ183+AQ205)*INDEX(Inflation!$D$126:$BD$166, MATCH($B237, Inflation!$B$126:$B$166,0), MATCH(AQ$230, Inflation!$D$125:$BDR$125,0))</f>
        <v>95095.79860481825</v>
      </c>
      <c r="AR237" s="732">
        <f>(AR183+AR205)*INDEX(Inflation!$D$126:$BD$166, MATCH($B237, Inflation!$B$126:$B$166,0), MATCH(AR$230, Inflation!$D$125:$BDR$125,0))</f>
        <v>97345.452595858078</v>
      </c>
      <c r="AS237" s="732">
        <f>(AS183+AS205)*INDEX(Inflation!$D$126:$BD$166, MATCH($B237, Inflation!$B$126:$B$166,0), MATCH(AS$230, Inflation!$D$125:$BDR$125,0))</f>
        <v>99662.117096411108</v>
      </c>
      <c r="AT237" s="732">
        <f>(AT183+AT205)*INDEX(Inflation!$D$126:$BD$166, MATCH($B237, Inflation!$B$126:$B$166,0), MATCH(AT$230, Inflation!$D$125:$BDR$125,0))</f>
        <v>101914.22610641892</v>
      </c>
      <c r="AU237" s="732" t="e">
        <f>(AU183+AU205)*INDEX(Inflation!$D$126:$BD$166, MATCH($B237, Inflation!$B$126:$B$166,0), MATCH(AU$230, Inflation!$D$125:$BDR$125,0))</f>
        <v>#N/A</v>
      </c>
      <c r="AV237" s="732" t="e">
        <f>(AV183+AV205)*INDEX(Inflation!$D$126:$BD$166, MATCH($B237, Inflation!$B$126:$B$166,0), MATCH(AV$230, Inflation!$D$125:$BDR$125,0))</f>
        <v>#N/A</v>
      </c>
      <c r="AW237" s="732" t="e">
        <f>(AW183+AW205)*INDEX(Inflation!$D$126:$BD$166, MATCH($B237, Inflation!$B$126:$B$166,0), MATCH(AW$230, Inflation!$D$125:$BDR$125,0))</f>
        <v>#N/A</v>
      </c>
      <c r="AX237" s="732" t="e">
        <f>(AX183+AX205)*INDEX(Inflation!$D$126:$BD$166, MATCH($B237, Inflation!$B$126:$B$166,0), MATCH(AX$230, Inflation!$D$125:$BDR$125,0))</f>
        <v>#N/A</v>
      </c>
      <c r="AY237" s="732" t="e">
        <f>(AY183+AY205)*INDEX(Inflation!$D$126:$BD$166, MATCH($B237, Inflation!$B$126:$B$166,0), MATCH(AY$230, Inflation!$D$125:$BDR$125,0))</f>
        <v>#N/A</v>
      </c>
      <c r="AZ237" s="732" t="e">
        <f>(AZ183+AZ205)*INDEX(Inflation!$D$126:$BD$166, MATCH($B237, Inflation!$B$126:$B$166,0), MATCH(AZ$230, Inflation!$D$125:$BDR$125,0))</f>
        <v>#N/A</v>
      </c>
      <c r="BA237" s="732" t="e">
        <f>(BA183+BA205)*INDEX(Inflation!$D$126:$BD$166, MATCH($B237, Inflation!$B$126:$B$166,0), MATCH(BA$230, Inflation!$D$125:$BDR$125,0))</f>
        <v>#N/A</v>
      </c>
      <c r="BB237" s="732" t="e">
        <f>(BB183+BB205)*INDEX(Inflation!$D$126:$BD$166, MATCH($B237, Inflation!$B$126:$B$166,0), MATCH(BB$230, Inflation!$D$125:$BDR$125,0))</f>
        <v>#N/A</v>
      </c>
    </row>
    <row r="238" spans="1:54" ht="29">
      <c r="B238" s="6" t="s">
        <v>106</v>
      </c>
      <c r="C238" s="47"/>
      <c r="D238" s="732">
        <f>(D184+D206)*INDEX(Inflation!$D$126:$BD$166, MATCH($B238, Inflation!$B$126:$B$166,0), MATCH(D$230, Inflation!$D$125:$BDR$125,0))</f>
        <v>47938.695001376858</v>
      </c>
      <c r="E238" s="732">
        <f>(E184+E206)*INDEX(Inflation!$D$126:$BD$166, MATCH($B238, Inflation!$B$126:$B$166,0), MATCH(E$230, Inflation!$D$125:$BDR$125,0))</f>
        <v>51649.590959458503</v>
      </c>
      <c r="F238" s="732">
        <f>(F184+F206)*INDEX(Inflation!$D$126:$BD$166, MATCH($B238, Inflation!$B$126:$B$166,0), MATCH(F$230, Inflation!$D$125:$BDR$125,0))</f>
        <v>55330.646747123727</v>
      </c>
      <c r="G238" s="732">
        <f>(G184+G206)*INDEX(Inflation!$D$126:$BD$166, MATCH($B238, Inflation!$B$126:$B$166,0), MATCH(G$230, Inflation!$D$125:$BDR$125,0))</f>
        <v>59049.371415646492</v>
      </c>
      <c r="H238" s="732">
        <f>(H184+H206)*INDEX(Inflation!$D$126:$BD$166, MATCH($B238, Inflation!$B$126:$B$166,0), MATCH(H$230, Inflation!$D$125:$BDR$125,0))</f>
        <v>62877.422934444054</v>
      </c>
      <c r="I238" s="732">
        <f>(I184+I206)*INDEX(Inflation!$D$126:$BD$166, MATCH($B238, Inflation!$B$126:$B$166,0), MATCH(I$230, Inflation!$D$125:$BDR$125,0))</f>
        <v>66860.455354148216</v>
      </c>
      <c r="J238" s="732">
        <f>(J184+J206)*INDEX(Inflation!$D$126:$BD$166, MATCH($B238, Inflation!$B$126:$B$166,0), MATCH(J$230, Inflation!$D$125:$BDR$125,0))</f>
        <v>71003.737501002601</v>
      </c>
      <c r="K238" s="732">
        <f>(K184+K206)*INDEX(Inflation!$D$126:$BD$166, MATCH($B238, Inflation!$B$126:$B$166,0), MATCH(K$230, Inflation!$D$125:$BDR$125,0))</f>
        <v>75335.306043402001</v>
      </c>
      <c r="L238" s="732">
        <f>(L184+L206)*INDEX(Inflation!$D$126:$BD$166, MATCH($B238, Inflation!$B$126:$B$166,0), MATCH(L$230, Inflation!$D$125:$BDR$125,0))</f>
        <v>80012.172627230786</v>
      </c>
      <c r="M238" s="732">
        <f>(M184+M206)*INDEX(Inflation!$D$126:$BD$166, MATCH($B238, Inflation!$B$126:$B$166,0), MATCH(M$230, Inflation!$D$125:$BDR$125,0))</f>
        <v>84957.659796171036</v>
      </c>
      <c r="N238" s="732">
        <f>(N184+N206)*INDEX(Inflation!$D$126:$BD$166, MATCH($B238, Inflation!$B$126:$B$166,0), MATCH(N$230, Inflation!$D$125:$BDR$125,0))</f>
        <v>90136.02691916436</v>
      </c>
      <c r="O238" s="732">
        <f>(O184+O206)*INDEX(Inflation!$D$126:$BD$166, MATCH($B238, Inflation!$B$126:$B$166,0), MATCH(O$230, Inflation!$D$125:$BDR$125,0))</f>
        <v>95534.851855168468</v>
      </c>
      <c r="P238" s="732">
        <f>(P184+P206)*INDEX(Inflation!$D$126:$BD$166, MATCH($B238, Inflation!$B$126:$B$166,0), MATCH(P$230, Inflation!$D$125:$BDR$125,0))</f>
        <v>101148.28266046141</v>
      </c>
      <c r="Q238" s="732">
        <f>(Q184+Q206)*INDEX(Inflation!$D$126:$BD$166, MATCH($B238, Inflation!$B$126:$B$166,0), MATCH(Q$230, Inflation!$D$125:$BDR$125,0))</f>
        <v>107015.0046511777</v>
      </c>
      <c r="R238" s="732">
        <f>(R184+R206)*INDEX(Inflation!$D$126:$BD$166, MATCH($B238, Inflation!$B$126:$B$166,0), MATCH(R$230, Inflation!$D$125:$BDR$125,0))</f>
        <v>113183.51877112455</v>
      </c>
      <c r="S238" s="732">
        <f>(S184+S206)*INDEX(Inflation!$D$126:$BD$166, MATCH($B238, Inflation!$B$126:$B$166,0), MATCH(S$230, Inflation!$D$125:$BDR$125,0))</f>
        <v>119673.10554200737</v>
      </c>
      <c r="T238" s="732">
        <f>(T184+T206)*INDEX(Inflation!$D$126:$BD$166, MATCH($B238, Inflation!$B$126:$B$166,0), MATCH(T$230, Inflation!$D$125:$BDR$125,0))</f>
        <v>126465.12940330258</v>
      </c>
      <c r="U238" s="732">
        <f>(U184+U206)*INDEX(Inflation!$D$126:$BD$166, MATCH($B238, Inflation!$B$126:$B$166,0), MATCH(U$230, Inflation!$D$125:$BDR$125,0))</f>
        <v>133577.51191067125</v>
      </c>
      <c r="V238" s="732">
        <f>(V184+V206)*INDEX(Inflation!$D$126:$BD$166, MATCH($B238, Inflation!$B$126:$B$166,0), MATCH(V$230, Inflation!$D$125:$BDR$125,0))</f>
        <v>141110.22627125555</v>
      </c>
      <c r="W238" s="732">
        <f>(W184+W206)*INDEX(Inflation!$D$126:$BD$166, MATCH($B238, Inflation!$B$126:$B$166,0), MATCH(W$230, Inflation!$D$125:$BDR$125,0))</f>
        <v>149010.5415865753</v>
      </c>
      <c r="X238" s="732">
        <f>(X184+X206)*INDEX(Inflation!$D$126:$BD$166, MATCH($B238, Inflation!$B$126:$B$166,0), MATCH(X$230, Inflation!$D$125:$BDR$125,0))</f>
        <v>157272.6603629243</v>
      </c>
      <c r="Y238" s="732">
        <f>(Y184+Y206)*INDEX(Inflation!$D$126:$BD$166, MATCH($B238, Inflation!$B$126:$B$166,0), MATCH(Y$230, Inflation!$D$125:$BDR$125,0))</f>
        <v>165907.82098514363</v>
      </c>
      <c r="Z238" s="732">
        <f>(Z184+Z206)*INDEX(Inflation!$D$126:$BD$166, MATCH($B238, Inflation!$B$126:$B$166,0), MATCH(Z$230, Inflation!$D$125:$BDR$125,0))</f>
        <v>174971.95333470861</v>
      </c>
      <c r="AA238" s="732">
        <f>(AA184+AA206)*INDEX(Inflation!$D$126:$BD$166, MATCH($B238, Inflation!$B$126:$B$166,0), MATCH(AA$230, Inflation!$D$125:$BDR$125,0))</f>
        <v>184474.99479720162</v>
      </c>
      <c r="AB238" s="732">
        <f>(AB184+AB206)*INDEX(Inflation!$D$126:$BD$166, MATCH($B238, Inflation!$B$126:$B$166,0), MATCH(AB$230, Inflation!$D$125:$BDR$125,0))</f>
        <v>194418.11957869388</v>
      </c>
      <c r="AC238" s="732">
        <f>(AC184+AC206)*INDEX(Inflation!$D$126:$BD$166, MATCH($B238, Inflation!$B$126:$B$166,0), MATCH(AC$230, Inflation!$D$125:$BDR$125,0))</f>
        <v>204804.99420661214</v>
      </c>
      <c r="AD238" s="732">
        <f>(AD184+AD206)*INDEX(Inflation!$D$126:$BD$166, MATCH($B238, Inflation!$B$126:$B$166,0), MATCH(AD$230, Inflation!$D$125:$BDR$125,0))</f>
        <v>215637.81923003643</v>
      </c>
      <c r="AE238" s="732">
        <f>(AE184+AE206)*INDEX(Inflation!$D$126:$BD$166, MATCH($B238, Inflation!$B$126:$B$166,0), MATCH(AE$230, Inflation!$D$125:$BDR$125,0))</f>
        <v>226921.2912503554</v>
      </c>
      <c r="AF238" s="732">
        <f>(AF184+AF206)*INDEX(Inflation!$D$126:$BD$166, MATCH($B238, Inflation!$B$126:$B$166,0), MATCH(AF$230, Inflation!$D$125:$BDR$125,0))</f>
        <v>238659.88387509456</v>
      </c>
      <c r="AG238" s="732">
        <f>(AG184+AG206)*INDEX(Inflation!$D$126:$BD$166, MATCH($B238, Inflation!$B$126:$B$166,0), MATCH(AG$230, Inflation!$D$125:$BDR$125,0))</f>
        <v>250878.30400344473</v>
      </c>
      <c r="AH238" s="732">
        <f>(AH184+AH206)*INDEX(Inflation!$D$126:$BD$166, MATCH($B238, Inflation!$B$126:$B$166,0), MATCH(AH$230, Inflation!$D$125:$BDR$125,0))</f>
        <v>263645.18395980442</v>
      </c>
      <c r="AI238" s="732">
        <f>(AI184+AI206)*INDEX(Inflation!$D$126:$BD$166, MATCH($B238, Inflation!$B$126:$B$166,0), MATCH(AI$230, Inflation!$D$125:$BDR$125,0))</f>
        <v>276987.94536058843</v>
      </c>
      <c r="AJ238" s="732">
        <f>(AJ184+AJ206)*INDEX(Inflation!$D$126:$BD$166, MATCH($B238, Inflation!$B$126:$B$166,0), MATCH(AJ$230, Inflation!$D$125:$BDR$125,0))</f>
        <v>290950.81485861196</v>
      </c>
      <c r="AK238" s="732">
        <f>(AK184+AK206)*INDEX(Inflation!$D$126:$BD$166, MATCH($B238, Inflation!$B$126:$B$166,0), MATCH(AK$230, Inflation!$D$125:$BDR$125,0))</f>
        <v>305492.91688597982</v>
      </c>
      <c r="AL238" s="732">
        <f>(AL184+AL206)*INDEX(Inflation!$D$126:$BD$166, MATCH($B238, Inflation!$B$126:$B$166,0), MATCH(AL$230, Inflation!$D$125:$BDR$125,0))</f>
        <v>320581.55297633825</v>
      </c>
      <c r="AM238" s="732">
        <f>(AM184+AM206)*INDEX(Inflation!$D$126:$BD$166, MATCH($B238, Inflation!$B$126:$B$166,0), MATCH(AM$230, Inflation!$D$125:$BDR$125,0))</f>
        <v>336194.7100395335</v>
      </c>
      <c r="AN238" s="732">
        <f>(AN184+AN206)*INDEX(Inflation!$D$126:$BD$166, MATCH($B238, Inflation!$B$126:$B$166,0), MATCH(AN$230, Inflation!$D$125:$BDR$125,0))</f>
        <v>352367.2394387715</v>
      </c>
      <c r="AO238" s="732">
        <f>(AO184+AO206)*INDEX(Inflation!$D$126:$BD$166, MATCH($B238, Inflation!$B$126:$B$166,0), MATCH(AO$230, Inflation!$D$125:$BDR$125,0))</f>
        <v>369117.71085951186</v>
      </c>
      <c r="AP238" s="732">
        <f>(AP184+AP206)*INDEX(Inflation!$D$126:$BD$166, MATCH($B238, Inflation!$B$126:$B$166,0), MATCH(AP$230, Inflation!$D$125:$BDR$125,0))</f>
        <v>386449.03760047222</v>
      </c>
      <c r="AQ238" s="732">
        <f>(AQ184+AQ206)*INDEX(Inflation!$D$126:$BD$166, MATCH($B238, Inflation!$B$126:$B$166,0), MATCH(AQ$230, Inflation!$D$125:$BDR$125,0))</f>
        <v>404466.17877103476</v>
      </c>
      <c r="AR238" s="732">
        <f>(AR184+AR206)*INDEX(Inflation!$D$126:$BD$166, MATCH($B238, Inflation!$B$126:$B$166,0), MATCH(AR$230, Inflation!$D$125:$BDR$125,0))</f>
        <v>423298.49055091111</v>
      </c>
      <c r="AS238" s="732">
        <f>(AS184+AS206)*INDEX(Inflation!$D$126:$BD$166, MATCH($B238, Inflation!$B$126:$B$166,0), MATCH(AS$230, Inflation!$D$125:$BDR$125,0))</f>
        <v>443068.96303680667</v>
      </c>
      <c r="AT238" s="732">
        <f>(AT184+AT206)*INDEX(Inflation!$D$126:$BD$166, MATCH($B238, Inflation!$B$126:$B$166,0), MATCH(AT$230, Inflation!$D$125:$BDR$125,0))</f>
        <v>463218.82469000347</v>
      </c>
      <c r="AU238" s="732" t="e">
        <f>(AU184+AU206)*INDEX(Inflation!$D$126:$BD$166, MATCH($B238, Inflation!$B$126:$B$166,0), MATCH(AU$230, Inflation!$D$125:$BDR$125,0))</f>
        <v>#N/A</v>
      </c>
      <c r="AV238" s="732" t="e">
        <f>(AV184+AV206)*INDEX(Inflation!$D$126:$BD$166, MATCH($B238, Inflation!$B$126:$B$166,0), MATCH(AV$230, Inflation!$D$125:$BDR$125,0))</f>
        <v>#N/A</v>
      </c>
      <c r="AW238" s="732" t="e">
        <f>(AW184+AW206)*INDEX(Inflation!$D$126:$BD$166, MATCH($B238, Inflation!$B$126:$B$166,0), MATCH(AW$230, Inflation!$D$125:$BDR$125,0))</f>
        <v>#N/A</v>
      </c>
      <c r="AX238" s="732" t="e">
        <f>(AX184+AX206)*INDEX(Inflation!$D$126:$BD$166, MATCH($B238, Inflation!$B$126:$B$166,0), MATCH(AX$230, Inflation!$D$125:$BDR$125,0))</f>
        <v>#N/A</v>
      </c>
      <c r="AY238" s="732" t="e">
        <f>(AY184+AY206)*INDEX(Inflation!$D$126:$BD$166, MATCH($B238, Inflation!$B$126:$B$166,0), MATCH(AY$230, Inflation!$D$125:$BDR$125,0))</f>
        <v>#N/A</v>
      </c>
      <c r="AZ238" s="732" t="e">
        <f>(AZ184+AZ206)*INDEX(Inflation!$D$126:$BD$166, MATCH($B238, Inflation!$B$126:$B$166,0), MATCH(AZ$230, Inflation!$D$125:$BDR$125,0))</f>
        <v>#N/A</v>
      </c>
      <c r="BA238" s="732" t="e">
        <f>(BA184+BA206)*INDEX(Inflation!$D$126:$BD$166, MATCH($B238, Inflation!$B$126:$B$166,0), MATCH(BA$230, Inflation!$D$125:$BDR$125,0))</f>
        <v>#N/A</v>
      </c>
      <c r="BB238" s="732" t="e">
        <f>(BB184+BB206)*INDEX(Inflation!$D$126:$BD$166, MATCH($B238, Inflation!$B$126:$B$166,0), MATCH(BB$230, Inflation!$D$125:$BDR$125,0))</f>
        <v>#N/A</v>
      </c>
    </row>
    <row r="239" spans="1:54" ht="29">
      <c r="B239" s="6" t="s">
        <v>107</v>
      </c>
      <c r="C239" s="47"/>
      <c r="D239" s="732">
        <f>(D185+D207)*INDEX(Inflation!$D$126:$BD$166, MATCH($B239, Inflation!$B$126:$B$166,0), MATCH(D$230, Inflation!$D$125:$BDR$125,0))</f>
        <v>108495.67922869424</v>
      </c>
      <c r="E239" s="732">
        <f>(E185+E207)*INDEX(Inflation!$D$126:$BD$166, MATCH($B239, Inflation!$B$126:$B$166,0), MATCH(E$230, Inflation!$D$125:$BDR$125,0))</f>
        <v>116894.2428005128</v>
      </c>
      <c r="F239" s="732">
        <f>(F185+F207)*INDEX(Inflation!$D$126:$BD$166, MATCH($B239, Inflation!$B$126:$B$166,0), MATCH(F$230, Inflation!$D$125:$BDR$125,0))</f>
        <v>125225.27158529687</v>
      </c>
      <c r="G239" s="732">
        <f>(G185+G207)*INDEX(Inflation!$D$126:$BD$166, MATCH($B239, Inflation!$B$126:$B$166,0), MATCH(G$230, Inflation!$D$125:$BDR$125,0))</f>
        <v>133641.55322926506</v>
      </c>
      <c r="H239" s="732">
        <f>(H185+H207)*INDEX(Inflation!$D$126:$BD$166, MATCH($B239, Inflation!$B$126:$B$166,0), MATCH(H$230, Inflation!$D$125:$BDR$125,0))</f>
        <v>142305.26528155283</v>
      </c>
      <c r="I239" s="732">
        <f>(I185+I207)*INDEX(Inflation!$D$126:$BD$166, MATCH($B239, Inflation!$B$126:$B$166,0), MATCH(I$230, Inflation!$D$125:$BDR$125,0))</f>
        <v>151319.73277494835</v>
      </c>
      <c r="J239" s="732">
        <f>(J185+J207)*INDEX(Inflation!$D$126:$BD$166, MATCH($B239, Inflation!$B$126:$B$166,0), MATCH(J$230, Inflation!$D$125:$BDR$125,0))</f>
        <v>160696.88020764707</v>
      </c>
      <c r="K239" s="732">
        <f>(K185+K207)*INDEX(Inflation!$D$126:$BD$166, MATCH($B239, Inflation!$B$126:$B$166,0), MATCH(K$230, Inflation!$D$125:$BDR$125,0))</f>
        <v>170500.16064988213</v>
      </c>
      <c r="L239" s="732">
        <f>(L185+L207)*INDEX(Inflation!$D$126:$BD$166, MATCH($B239, Inflation!$B$126:$B$166,0), MATCH(L$230, Inflation!$D$125:$BDR$125,0))</f>
        <v>181084.92555973027</v>
      </c>
      <c r="M239" s="732">
        <f>(M185+M207)*INDEX(Inflation!$D$126:$BD$166, MATCH($B239, Inflation!$B$126:$B$166,0), MATCH(M$230, Inflation!$D$125:$BDR$125,0))</f>
        <v>192277.63719895101</v>
      </c>
      <c r="N239" s="732">
        <f>(N185+N207)*INDEX(Inflation!$D$126:$BD$166, MATCH($B239, Inflation!$B$126:$B$166,0), MATCH(N$230, Inflation!$D$125:$BDR$125,0))</f>
        <v>203997.40675647787</v>
      </c>
      <c r="O239" s="732">
        <f>(O185+O207)*INDEX(Inflation!$D$126:$BD$166, MATCH($B239, Inflation!$B$126:$B$166,0), MATCH(O$230, Inflation!$D$125:$BDR$125,0))</f>
        <v>216216.12022900255</v>
      </c>
      <c r="P239" s="732">
        <f>(P185+P207)*INDEX(Inflation!$D$126:$BD$166, MATCH($B239, Inflation!$B$126:$B$166,0), MATCH(P$230, Inflation!$D$125:$BDR$125,0))</f>
        <v>228920.53339682127</v>
      </c>
      <c r="Q239" s="732">
        <f>(Q185+Q207)*INDEX(Inflation!$D$126:$BD$166, MATCH($B239, Inflation!$B$126:$B$166,0), MATCH(Q$230, Inflation!$D$125:$BDR$125,0))</f>
        <v>242198.19953292279</v>
      </c>
      <c r="R239" s="732">
        <f>(R185+R207)*INDEX(Inflation!$D$126:$BD$166, MATCH($B239, Inflation!$B$126:$B$166,0), MATCH(R$230, Inflation!$D$125:$BDR$125,0))</f>
        <v>256158.8868077058</v>
      </c>
      <c r="S239" s="732">
        <f>(S185+S207)*INDEX(Inflation!$D$126:$BD$166, MATCH($B239, Inflation!$B$126:$B$166,0), MATCH(S$230, Inflation!$D$125:$BDR$125,0))</f>
        <v>270846.23122958152</v>
      </c>
      <c r="T239" s="732">
        <f>(T185+T207)*INDEX(Inflation!$D$126:$BD$166, MATCH($B239, Inflation!$B$126:$B$166,0), MATCH(T$230, Inflation!$D$125:$BDR$125,0))</f>
        <v>286218.05647738109</v>
      </c>
      <c r="U239" s="732">
        <f>(U185+U207)*INDEX(Inflation!$D$126:$BD$166, MATCH($B239, Inflation!$B$126:$B$166,0), MATCH(U$230, Inflation!$D$125:$BDR$125,0))</f>
        <v>302314.92292418529</v>
      </c>
      <c r="V239" s="732">
        <f>(V185+V207)*INDEX(Inflation!$D$126:$BD$166, MATCH($B239, Inflation!$B$126:$B$166,0), MATCH(V$230, Inflation!$D$125:$BDR$125,0))</f>
        <v>319363.09165226319</v>
      </c>
      <c r="W239" s="732">
        <f>(W185+W207)*INDEX(Inflation!$D$126:$BD$166, MATCH($B239, Inflation!$B$126:$B$166,0), MATCH(W$230, Inflation!$D$125:$BDR$125,0))</f>
        <v>337243.221185031</v>
      </c>
      <c r="X239" s="732">
        <f>(X185+X207)*INDEX(Inflation!$D$126:$BD$166, MATCH($B239, Inflation!$B$126:$B$166,0), MATCH(X$230, Inflation!$D$125:$BDR$125,0))</f>
        <v>355942.1905349975</v>
      </c>
      <c r="Y239" s="732">
        <f>(Y185+Y207)*INDEX(Inflation!$D$126:$BD$166, MATCH($B239, Inflation!$B$126:$B$166,0), MATCH(Y$230, Inflation!$D$125:$BDR$125,0))</f>
        <v>375485.43460807152</v>
      </c>
      <c r="Z239" s="732">
        <f>(Z185+Z207)*INDEX(Inflation!$D$126:$BD$166, MATCH($B239, Inflation!$B$126:$B$166,0), MATCH(Z$230, Inflation!$D$125:$BDR$125,0))</f>
        <v>395999.53487418394</v>
      </c>
      <c r="AA239" s="732">
        <f>(AA185+AA207)*INDEX(Inflation!$D$126:$BD$166, MATCH($B239, Inflation!$B$126:$B$166,0), MATCH(AA$230, Inflation!$D$125:$BDR$125,0))</f>
        <v>417506.98179534049</v>
      </c>
      <c r="AB239" s="732">
        <f>(AB185+AB207)*INDEX(Inflation!$D$126:$BD$166, MATCH($B239, Inflation!$B$126:$B$166,0), MATCH(AB$230, Inflation!$D$125:$BDR$125,0))</f>
        <v>440010.43285492138</v>
      </c>
      <c r="AC239" s="732">
        <f>(AC185+AC207)*INDEX(Inflation!$D$126:$BD$166, MATCH($B239, Inflation!$B$126:$B$166,0), MATCH(AC$230, Inflation!$D$125:$BDR$125,0))</f>
        <v>463518.18620087538</v>
      </c>
      <c r="AD239" s="732">
        <f>(AD185+AD207)*INDEX(Inflation!$D$126:$BD$166, MATCH($B239, Inflation!$B$126:$B$166,0), MATCH(AD$230, Inflation!$D$125:$BDR$125,0))</f>
        <v>488035.2221537368</v>
      </c>
      <c r="AE239" s="732">
        <f>(AE185+AE207)*INDEX(Inflation!$D$126:$BD$166, MATCH($B239, Inflation!$B$126:$B$166,0), MATCH(AE$230, Inflation!$D$125:$BDR$125,0))</f>
        <v>513572.17014256527</v>
      </c>
      <c r="AF239" s="732">
        <f>(AF185+AF207)*INDEX(Inflation!$D$126:$BD$166, MATCH($B239, Inflation!$B$126:$B$166,0), MATCH(AF$230, Inflation!$D$125:$BDR$125,0))</f>
        <v>540139.15491287329</v>
      </c>
      <c r="AG239" s="732">
        <f>(AG185+AG207)*INDEX(Inflation!$D$126:$BD$166, MATCH($B239, Inflation!$B$126:$B$166,0), MATCH(AG$230, Inflation!$D$125:$BDR$125,0))</f>
        <v>567792.09354394837</v>
      </c>
      <c r="AH239" s="732">
        <f>(AH185+AH207)*INDEX(Inflation!$D$126:$BD$166, MATCH($B239, Inflation!$B$126:$B$166,0), MATCH(AH$230, Inflation!$D$125:$BDR$125,0))</f>
        <v>596686.31589306879</v>
      </c>
      <c r="AI239" s="732">
        <f>(AI185+AI207)*INDEX(Inflation!$D$126:$BD$166, MATCH($B239, Inflation!$B$126:$B$166,0), MATCH(AI$230, Inflation!$D$125:$BDR$125,0))</f>
        <v>626883.88303424534</v>
      </c>
      <c r="AJ239" s="732">
        <f>(AJ185+AJ207)*INDEX(Inflation!$D$126:$BD$166, MATCH($B239, Inflation!$B$126:$B$166,0), MATCH(AJ$230, Inflation!$D$125:$BDR$125,0))</f>
        <v>658484.88948897179</v>
      </c>
      <c r="AK239" s="732">
        <f>(AK185+AK207)*INDEX(Inflation!$D$126:$BD$166, MATCH($B239, Inflation!$B$126:$B$166,0), MATCH(AK$230, Inflation!$D$125:$BDR$125,0))</f>
        <v>691396.82496879552</v>
      </c>
      <c r="AL239" s="732">
        <f>(AL185+AL207)*INDEX(Inflation!$D$126:$BD$166, MATCH($B239, Inflation!$B$126:$B$166,0), MATCH(AL$230, Inflation!$D$125:$BDR$125,0))</f>
        <v>725545.68574214354</v>
      </c>
      <c r="AM239" s="732">
        <f>(AM185+AM207)*INDEX(Inflation!$D$126:$BD$166, MATCH($B239, Inflation!$B$126:$B$166,0), MATCH(AM$230, Inflation!$D$125:$BDR$125,0))</f>
        <v>760881.65140468429</v>
      </c>
      <c r="AN239" s="732">
        <f>(AN185+AN207)*INDEX(Inflation!$D$126:$BD$166, MATCH($B239, Inflation!$B$126:$B$166,0), MATCH(AN$230, Inflation!$D$125:$BDR$125,0))</f>
        <v>797483.59816118132</v>
      </c>
      <c r="AO239" s="732">
        <f>(AO185+AO207)*INDEX(Inflation!$D$126:$BD$166, MATCH($B239, Inflation!$B$126:$B$166,0), MATCH(AO$230, Inflation!$D$125:$BDR$125,0))</f>
        <v>835393.55324322649</v>
      </c>
      <c r="AP239" s="732">
        <f>(AP185+AP207)*INDEX(Inflation!$D$126:$BD$166, MATCH($B239, Inflation!$B$126:$B$166,0), MATCH(AP$230, Inflation!$D$125:$BDR$125,0))</f>
        <v>874618.11007859558</v>
      </c>
      <c r="AQ239" s="732">
        <f>(AQ185+AQ207)*INDEX(Inflation!$D$126:$BD$166, MATCH($B239, Inflation!$B$126:$B$166,0), MATCH(AQ$230, Inflation!$D$125:$BDR$125,0))</f>
        <v>915394.8139292805</v>
      </c>
      <c r="AR239" s="732">
        <f>(AR185+AR207)*INDEX(Inflation!$D$126:$BD$166, MATCH($B239, Inflation!$B$126:$B$166,0), MATCH(AR$230, Inflation!$D$125:$BDR$125,0))</f>
        <v>958016.42592655204</v>
      </c>
      <c r="AS239" s="732">
        <f>(AS185+AS207)*INDEX(Inflation!$D$126:$BD$166, MATCH($B239, Inflation!$B$126:$B$166,0), MATCH(AS$230, Inflation!$D$125:$BDR$125,0))</f>
        <v>1002761.2993731038</v>
      </c>
      <c r="AT239" s="732">
        <f>(AT185+AT207)*INDEX(Inflation!$D$126:$BD$166, MATCH($B239, Inflation!$B$126:$B$166,0), MATCH(AT$230, Inflation!$D$125:$BDR$125,0))</f>
        <v>1048364.8129098201</v>
      </c>
      <c r="AU239" s="732" t="e">
        <f>(AU185+AU207)*INDEX(Inflation!$D$126:$BD$166, MATCH($B239, Inflation!$B$126:$B$166,0), MATCH(AU$230, Inflation!$D$125:$BDR$125,0))</f>
        <v>#N/A</v>
      </c>
      <c r="AV239" s="732" t="e">
        <f>(AV185+AV207)*INDEX(Inflation!$D$126:$BD$166, MATCH($B239, Inflation!$B$126:$B$166,0), MATCH(AV$230, Inflation!$D$125:$BDR$125,0))</f>
        <v>#N/A</v>
      </c>
      <c r="AW239" s="732" t="e">
        <f>(AW185+AW207)*INDEX(Inflation!$D$126:$BD$166, MATCH($B239, Inflation!$B$126:$B$166,0), MATCH(AW$230, Inflation!$D$125:$BDR$125,0))</f>
        <v>#N/A</v>
      </c>
      <c r="AX239" s="732" t="e">
        <f>(AX185+AX207)*INDEX(Inflation!$D$126:$BD$166, MATCH($B239, Inflation!$B$126:$B$166,0), MATCH(AX$230, Inflation!$D$125:$BDR$125,0))</f>
        <v>#N/A</v>
      </c>
      <c r="AY239" s="732" t="e">
        <f>(AY185+AY207)*INDEX(Inflation!$D$126:$BD$166, MATCH($B239, Inflation!$B$126:$B$166,0), MATCH(AY$230, Inflation!$D$125:$BDR$125,0))</f>
        <v>#N/A</v>
      </c>
      <c r="AZ239" s="732" t="e">
        <f>(AZ185+AZ207)*INDEX(Inflation!$D$126:$BD$166, MATCH($B239, Inflation!$B$126:$B$166,0), MATCH(AZ$230, Inflation!$D$125:$BDR$125,0))</f>
        <v>#N/A</v>
      </c>
      <c r="BA239" s="732" t="e">
        <f>(BA185+BA207)*INDEX(Inflation!$D$126:$BD$166, MATCH($B239, Inflation!$B$126:$B$166,0), MATCH(BA$230, Inflation!$D$125:$BDR$125,0))</f>
        <v>#N/A</v>
      </c>
      <c r="BB239" s="732" t="e">
        <f>(BB185+BB207)*INDEX(Inflation!$D$126:$BD$166, MATCH($B239, Inflation!$B$126:$B$166,0), MATCH(BB$230, Inflation!$D$125:$BDR$125,0))</f>
        <v>#N/A</v>
      </c>
    </row>
    <row r="240" spans="1:54">
      <c r="B240" s="6" t="s">
        <v>2863</v>
      </c>
      <c r="C240" s="47"/>
      <c r="D240" s="732">
        <f>(D186+D208)*INDEX(Inflation!$D$126:$BD$166, MATCH($B240, Inflation!$B$126:$B$166,0), MATCH(D$230, Inflation!$D$125:$BDR$125,0))</f>
        <v>6933.8513829480835</v>
      </c>
      <c r="E240" s="732">
        <f>(E186+E208)*INDEX(Inflation!$D$126:$BD$166, MATCH($B240, Inflation!$B$126:$B$166,0), MATCH(E$230, Inflation!$D$125:$BDR$125,0))</f>
        <v>7313.2754331920978</v>
      </c>
      <c r="F240" s="732">
        <f>(F186+F208)*INDEX(Inflation!$D$126:$BD$166, MATCH($B240, Inflation!$B$126:$B$166,0), MATCH(F$230, Inflation!$D$125:$BDR$125,0))</f>
        <v>7669.3617398392153</v>
      </c>
      <c r="G240" s="732">
        <f>(G186+G208)*INDEX(Inflation!$D$126:$BD$166, MATCH($B240, Inflation!$B$126:$B$166,0), MATCH(G$230, Inflation!$D$125:$BDR$125,0))</f>
        <v>8012.1877891330796</v>
      </c>
      <c r="H240" s="732">
        <f>(H186+H208)*INDEX(Inflation!$D$126:$BD$166, MATCH($B240, Inflation!$B$126:$B$166,0), MATCH(H$230, Inflation!$D$125:$BDR$125,0))</f>
        <v>8351.556901323258</v>
      </c>
      <c r="I240" s="732">
        <f>(I186+I208)*INDEX(Inflation!$D$126:$BD$166, MATCH($B240, Inflation!$B$126:$B$166,0), MATCH(I$230, Inflation!$D$125:$BDR$125,0))</f>
        <v>8693.0783034638498</v>
      </c>
      <c r="J240" s="732">
        <f>(J186+J208)*INDEX(Inflation!$D$126:$BD$166, MATCH($B240, Inflation!$B$126:$B$166,0), MATCH(J$230, Inflation!$D$125:$BDR$125,0))</f>
        <v>9036.7559816587618</v>
      </c>
      <c r="K240" s="732">
        <f>(K186+K208)*INDEX(Inflation!$D$126:$BD$166, MATCH($B240, Inflation!$B$126:$B$166,0), MATCH(K$230, Inflation!$D$125:$BDR$125,0))</f>
        <v>9385.3945260014061</v>
      </c>
      <c r="L240" s="732">
        <f>(L186+L208)*INDEX(Inflation!$D$126:$BD$166, MATCH($B240, Inflation!$B$126:$B$166,0), MATCH(L$230, Inflation!$D$125:$BDR$125,0))</f>
        <v>9757.1640869117109</v>
      </c>
      <c r="M240" s="732">
        <f>(M186+M208)*INDEX(Inflation!$D$126:$BD$166, MATCH($B240, Inflation!$B$126:$B$166,0), MATCH(M$230, Inflation!$D$125:$BDR$125,0))</f>
        <v>10140.935565004882</v>
      </c>
      <c r="N240" s="732">
        <f>(N186+N208)*INDEX(Inflation!$D$126:$BD$166, MATCH($B240, Inflation!$B$126:$B$166,0), MATCH(N$230, Inflation!$D$125:$BDR$125,0))</f>
        <v>10531.211550193553</v>
      </c>
      <c r="O240" s="732">
        <f>(O186+O208)*INDEX(Inflation!$D$126:$BD$166, MATCH($B240, Inflation!$B$126:$B$166,0), MATCH(O$230, Inflation!$D$125:$BDR$125,0))</f>
        <v>10918.112186776634</v>
      </c>
      <c r="P240" s="732">
        <f>(P186+P208)*INDEX(Inflation!$D$126:$BD$166, MATCH($B240, Inflation!$B$126:$B$166,0), MATCH(P$230, Inflation!$D$125:$BDR$125,0))</f>
        <v>11307.029214841663</v>
      </c>
      <c r="Q240" s="732">
        <f>(Q186+Q208)*INDEX(Inflation!$D$126:$BD$166, MATCH($B240, Inflation!$B$126:$B$166,0), MATCH(Q$230, Inflation!$D$125:$BDR$125,0))</f>
        <v>11701.394121602578</v>
      </c>
      <c r="R240" s="732">
        <f>(R186+R208)*INDEX(Inflation!$D$126:$BD$166, MATCH($B240, Inflation!$B$126:$B$166,0), MATCH(R$230, Inflation!$D$125:$BDR$125,0))</f>
        <v>12105.350363698746</v>
      </c>
      <c r="S240" s="732">
        <f>(S186+S208)*INDEX(Inflation!$D$126:$BD$166, MATCH($B240, Inflation!$B$126:$B$166,0), MATCH(S$230, Inflation!$D$125:$BDR$125,0))</f>
        <v>12519.607092490416</v>
      </c>
      <c r="T240" s="732">
        <f>(T186+T208)*INDEX(Inflation!$D$126:$BD$166, MATCH($B240, Inflation!$B$126:$B$166,0), MATCH(T$230, Inflation!$D$125:$BDR$125,0))</f>
        <v>12940.912044690091</v>
      </c>
      <c r="U240" s="732">
        <f>(U186+U208)*INDEX(Inflation!$D$126:$BD$166, MATCH($B240, Inflation!$B$126:$B$166,0), MATCH(U$230, Inflation!$D$125:$BDR$125,0))</f>
        <v>13369.876648650843</v>
      </c>
      <c r="V240" s="732">
        <f>(V186+V208)*INDEX(Inflation!$D$126:$BD$166, MATCH($B240, Inflation!$B$126:$B$166,0), MATCH(V$230, Inflation!$D$125:$BDR$125,0))</f>
        <v>13814.985739937109</v>
      </c>
      <c r="W240" s="732">
        <f>(W186+W208)*INDEX(Inflation!$D$126:$BD$166, MATCH($B240, Inflation!$B$126:$B$166,0), MATCH(W$230, Inflation!$D$125:$BDR$125,0))</f>
        <v>14269.421704708735</v>
      </c>
      <c r="X240" s="732">
        <f>(X186+X208)*INDEX(Inflation!$D$126:$BD$166, MATCH($B240, Inflation!$B$126:$B$166,0), MATCH(X$230, Inflation!$D$125:$BDR$125,0))</f>
        <v>14731.262658395131</v>
      </c>
      <c r="Y240" s="732">
        <f>(Y186+Y208)*INDEX(Inflation!$D$126:$BD$166, MATCH($B240, Inflation!$B$126:$B$166,0), MATCH(Y$230, Inflation!$D$125:$BDR$125,0))</f>
        <v>15200.25900732534</v>
      </c>
      <c r="Z240" s="732">
        <f>(Z186+Z208)*INDEX(Inflation!$D$126:$BD$166, MATCH($B240, Inflation!$B$126:$B$166,0), MATCH(Z$230, Inflation!$D$125:$BDR$125,0))</f>
        <v>15680.115194095841</v>
      </c>
      <c r="AA240" s="732">
        <f>(AA186+AA208)*INDEX(Inflation!$D$126:$BD$166, MATCH($B240, Inflation!$B$126:$B$166,0), MATCH(AA$230, Inflation!$D$125:$BDR$125,0))</f>
        <v>16170.17502959631</v>
      </c>
      <c r="AB240" s="732">
        <f>(AB186+AB208)*INDEX(Inflation!$D$126:$BD$166, MATCH($B240, Inflation!$B$126:$B$166,0), MATCH(AB$230, Inflation!$D$125:$BDR$125,0))</f>
        <v>16669.037379256646</v>
      </c>
      <c r="AC240" s="732">
        <f>(AC186+AC208)*INDEX(Inflation!$D$126:$BD$166, MATCH($B240, Inflation!$B$126:$B$166,0), MATCH(AC$230, Inflation!$D$125:$BDR$125,0))</f>
        <v>17175.573436150102</v>
      </c>
      <c r="AD240" s="732">
        <f>(AD186+AD208)*INDEX(Inflation!$D$126:$BD$166, MATCH($B240, Inflation!$B$126:$B$166,0), MATCH(AD$230, Inflation!$D$125:$BDR$125,0))</f>
        <v>17688.583131163417</v>
      </c>
      <c r="AE240" s="732">
        <f>(AE186+AE208)*INDEX(Inflation!$D$126:$BD$166, MATCH($B240, Inflation!$B$126:$B$166,0), MATCH(AE$230, Inflation!$D$125:$BDR$125,0))</f>
        <v>18207.126055634108</v>
      </c>
      <c r="AF240" s="732">
        <f>(AF186+AF208)*INDEX(Inflation!$D$126:$BD$166, MATCH($B240, Inflation!$B$126:$B$166,0), MATCH(AF$230, Inflation!$D$125:$BDR$125,0))</f>
        <v>18730.282069505862</v>
      </c>
      <c r="AG240" s="732">
        <f>(AG186+AG208)*INDEX(Inflation!$D$126:$BD$166, MATCH($B240, Inflation!$B$126:$B$166,0), MATCH(AG$230, Inflation!$D$125:$BDR$125,0))</f>
        <v>19258.701091267347</v>
      </c>
      <c r="AH240" s="732">
        <f>(AH186+AH208)*INDEX(Inflation!$D$126:$BD$166, MATCH($B240, Inflation!$B$126:$B$166,0), MATCH(AH$230, Inflation!$D$125:$BDR$125,0))</f>
        <v>19796.215379564943</v>
      </c>
      <c r="AI240" s="732">
        <f>(AI186+AI208)*INDEX(Inflation!$D$126:$BD$166, MATCH($B240, Inflation!$B$126:$B$166,0), MATCH(AI$230, Inflation!$D$125:$BDR$125,0))</f>
        <v>20343.28417913767</v>
      </c>
      <c r="AJ240" s="732">
        <f>(AJ186+AJ208)*INDEX(Inflation!$D$126:$BD$166, MATCH($B240, Inflation!$B$126:$B$166,0), MATCH(AJ$230, Inflation!$D$125:$BDR$125,0))</f>
        <v>20901.472518051902</v>
      </c>
      <c r="AK240" s="732">
        <f>(AK186+AK208)*INDEX(Inflation!$D$126:$BD$166, MATCH($B240, Inflation!$B$126:$B$166,0), MATCH(AK$230, Inflation!$D$125:$BDR$125,0))</f>
        <v>21466.221573736635</v>
      </c>
      <c r="AL240" s="732">
        <f>(AL186+AL208)*INDEX(Inflation!$D$126:$BD$166, MATCH($B240, Inflation!$B$126:$B$166,0), MATCH(AL$230, Inflation!$D$125:$BDR$125,0))</f>
        <v>22033.866618993325</v>
      </c>
      <c r="AM240" s="732">
        <f>(AM186+AM208)*INDEX(Inflation!$D$126:$BD$166, MATCH($B240, Inflation!$B$126:$B$166,0), MATCH(AM$230, Inflation!$D$125:$BDR$125,0))</f>
        <v>22601.727532918663</v>
      </c>
      <c r="AN240" s="732">
        <f>(AN186+AN208)*INDEX(Inflation!$D$126:$BD$166, MATCH($B240, Inflation!$B$126:$B$166,0), MATCH(AN$230, Inflation!$D$125:$BDR$125,0))</f>
        <v>23171.028918222179</v>
      </c>
      <c r="AO240" s="732">
        <f>(AO186+AO208)*INDEX(Inflation!$D$126:$BD$166, MATCH($B240, Inflation!$B$126:$B$166,0), MATCH(AO$230, Inflation!$D$125:$BDR$125,0))</f>
        <v>23741.822425057664</v>
      </c>
      <c r="AP240" s="732">
        <f>(AP186+AP208)*INDEX(Inflation!$D$126:$BD$166, MATCH($B240, Inflation!$B$126:$B$166,0), MATCH(AP$230, Inflation!$D$125:$BDR$125,0))</f>
        <v>24313.146414000072</v>
      </c>
      <c r="AQ240" s="732">
        <f>(AQ186+AQ208)*INDEX(Inflation!$D$126:$BD$166, MATCH($B240, Inflation!$B$126:$B$166,0), MATCH(AQ$230, Inflation!$D$125:$BDR$125,0))</f>
        <v>24890.317376810679</v>
      </c>
      <c r="AR240" s="732">
        <f>(AR186+AR208)*INDEX(Inflation!$D$126:$BD$166, MATCH($B240, Inflation!$B$126:$B$166,0), MATCH(AR$230, Inflation!$D$125:$BDR$125,0))</f>
        <v>25479.615886250383</v>
      </c>
      <c r="AS240" s="732">
        <f>(AS186+AS208)*INDEX(Inflation!$D$126:$BD$166, MATCH($B240, Inflation!$B$126:$B$166,0), MATCH(AS$230, Inflation!$D$125:$BDR$125,0))</f>
        <v>26086.356773405361</v>
      </c>
      <c r="AT240" s="732">
        <f>(AT186+AT208)*INDEX(Inflation!$D$126:$BD$166, MATCH($B240, Inflation!$B$126:$B$166,0), MATCH(AT$230, Inflation!$D$125:$BDR$125,0))</f>
        <v>26676.398994988998</v>
      </c>
      <c r="AU240" s="732" t="e">
        <f>(AU186+AU208)*INDEX(Inflation!$D$126:$BD$166, MATCH($B240, Inflation!$B$126:$B$166,0), MATCH(AU$230, Inflation!$D$125:$BDR$125,0))</f>
        <v>#N/A</v>
      </c>
      <c r="AV240" s="732" t="e">
        <f>(AV186+AV208)*INDEX(Inflation!$D$126:$BD$166, MATCH($B240, Inflation!$B$126:$B$166,0), MATCH(AV$230, Inflation!$D$125:$BDR$125,0))</f>
        <v>#N/A</v>
      </c>
      <c r="AW240" s="732" t="e">
        <f>(AW186+AW208)*INDEX(Inflation!$D$126:$BD$166, MATCH($B240, Inflation!$B$126:$B$166,0), MATCH(AW$230, Inflation!$D$125:$BDR$125,0))</f>
        <v>#N/A</v>
      </c>
      <c r="AX240" s="732" t="e">
        <f>(AX186+AX208)*INDEX(Inflation!$D$126:$BD$166, MATCH($B240, Inflation!$B$126:$B$166,0), MATCH(AX$230, Inflation!$D$125:$BDR$125,0))</f>
        <v>#N/A</v>
      </c>
      <c r="AY240" s="732" t="e">
        <f>(AY186+AY208)*INDEX(Inflation!$D$126:$BD$166, MATCH($B240, Inflation!$B$126:$B$166,0), MATCH(AY$230, Inflation!$D$125:$BDR$125,0))</f>
        <v>#N/A</v>
      </c>
      <c r="AZ240" s="732" t="e">
        <f>(AZ186+AZ208)*INDEX(Inflation!$D$126:$BD$166, MATCH($B240, Inflation!$B$126:$B$166,0), MATCH(AZ$230, Inflation!$D$125:$BDR$125,0))</f>
        <v>#N/A</v>
      </c>
      <c r="BA240" s="732" t="e">
        <f>(BA186+BA208)*INDEX(Inflation!$D$126:$BD$166, MATCH($B240, Inflation!$B$126:$B$166,0), MATCH(BA$230, Inflation!$D$125:$BDR$125,0))</f>
        <v>#N/A</v>
      </c>
      <c r="BB240" s="732" t="e">
        <f>(BB186+BB208)*INDEX(Inflation!$D$126:$BD$166, MATCH($B240, Inflation!$B$126:$B$166,0), MATCH(BB$230, Inflation!$D$125:$BDR$125,0))</f>
        <v>#N/A</v>
      </c>
    </row>
    <row r="241" spans="1:54">
      <c r="B241" s="6" t="s">
        <v>2862</v>
      </c>
      <c r="C241" s="47"/>
      <c r="D241" s="732">
        <f>(D187+D209)*INDEX(Inflation!$D$126:$BD$166, MATCH($B241, Inflation!$B$126:$B$166,0), MATCH(D$230, Inflation!$D$125:$BDR$125,0))</f>
        <v>8997.4256554840322</v>
      </c>
      <c r="E241" s="732">
        <f>(E187+E209)*INDEX(Inflation!$D$126:$BD$166, MATCH($B241, Inflation!$B$126:$B$166,0), MATCH(E$230, Inflation!$D$125:$BDR$125,0))</f>
        <v>9489.7695918378686</v>
      </c>
      <c r="F241" s="732">
        <f>(F187+F209)*INDEX(Inflation!$D$126:$BD$166, MATCH($B241, Inflation!$B$126:$B$166,0), MATCH(F$230, Inflation!$D$125:$BDR$125,0))</f>
        <v>9951.8302698143762</v>
      </c>
      <c r="G241" s="732">
        <f>(G187+G209)*INDEX(Inflation!$D$126:$BD$166, MATCH($B241, Inflation!$B$126:$B$166,0), MATCH(G$230, Inflation!$D$125:$BDR$125,0))</f>
        <v>10396.68432291255</v>
      </c>
      <c r="H241" s="732">
        <f>(H187+H209)*INDEX(Inflation!$D$126:$BD$166, MATCH($B241, Inflation!$B$126:$B$166,0), MATCH(H$230, Inflation!$D$125:$BDR$125,0))</f>
        <v>10837.052624461077</v>
      </c>
      <c r="I241" s="732">
        <f>(I187+I209)*INDEX(Inflation!$D$126:$BD$166, MATCH($B241, Inflation!$B$126:$B$166,0), MATCH(I$230, Inflation!$D$125:$BDR$125,0))</f>
        <v>11280.213756104797</v>
      </c>
      <c r="J241" s="732">
        <f>(J187+J209)*INDEX(Inflation!$D$126:$BD$166, MATCH($B241, Inflation!$B$126:$B$166,0), MATCH(J$230, Inflation!$D$125:$BDR$125,0))</f>
        <v>11726.172890246689</v>
      </c>
      <c r="K241" s="732">
        <f>(K187+K209)*INDEX(Inflation!$D$126:$BD$166, MATCH($B241, Inflation!$B$126:$B$166,0), MATCH(K$230, Inflation!$D$125:$BDR$125,0))</f>
        <v>12178.569287301483</v>
      </c>
      <c r="L241" s="732">
        <f>(L187+L209)*INDEX(Inflation!$D$126:$BD$166, MATCH($B241, Inflation!$B$126:$B$166,0), MATCH(L$230, Inflation!$D$125:$BDR$125,0))</f>
        <v>12660.980691948613</v>
      </c>
      <c r="M241" s="732">
        <f>(M187+M209)*INDEX(Inflation!$D$126:$BD$166, MATCH($B241, Inflation!$B$126:$B$166,0), MATCH(M$230, Inflation!$D$125:$BDR$125,0))</f>
        <v>13158.965888361981</v>
      </c>
      <c r="N241" s="732">
        <f>(N187+N209)*INDEX(Inflation!$D$126:$BD$166, MATCH($B241, Inflation!$B$126:$B$166,0), MATCH(N$230, Inflation!$D$125:$BDR$125,0))</f>
        <v>13665.39138956199</v>
      </c>
      <c r="O241" s="732">
        <f>(O187+O209)*INDEX(Inflation!$D$126:$BD$166, MATCH($B241, Inflation!$B$126:$B$166,0), MATCH(O$230, Inflation!$D$125:$BDR$125,0))</f>
        <v>14167.437009154668</v>
      </c>
      <c r="P241" s="732">
        <f>(P187+P209)*INDEX(Inflation!$D$126:$BD$166, MATCH($B241, Inflation!$B$126:$B$166,0), MATCH(P$230, Inflation!$D$125:$BDR$125,0))</f>
        <v>14672.099115811921</v>
      </c>
      <c r="Q241" s="732">
        <f>(Q187+Q209)*INDEX(Inflation!$D$126:$BD$166, MATCH($B241, Inflation!$B$126:$B$166,0), MATCH(Q$230, Inflation!$D$125:$BDR$125,0))</f>
        <v>15183.83043708587</v>
      </c>
      <c r="R241" s="732">
        <f>(R187+R209)*INDEX(Inflation!$D$126:$BD$166, MATCH($B241, Inflation!$B$126:$B$166,0), MATCH(R$230, Inflation!$D$125:$BDR$125,0))</f>
        <v>15708.007558226251</v>
      </c>
      <c r="S241" s="732">
        <f>(S187+S209)*INDEX(Inflation!$D$126:$BD$166, MATCH($B241, Inflation!$B$126:$B$166,0), MATCH(S$230, Inflation!$D$125:$BDR$125,0))</f>
        <v>16245.550680184879</v>
      </c>
      <c r="T241" s="732">
        <f>(T187+T209)*INDEX(Inflation!$D$126:$BD$166, MATCH($B241, Inflation!$B$126:$B$166,0), MATCH(T$230, Inflation!$D$125:$BDR$125,0))</f>
        <v>16792.239637930059</v>
      </c>
      <c r="U241" s="732">
        <f>(U187+U209)*INDEX(Inflation!$D$126:$BD$166, MATCH($B241, Inflation!$B$126:$B$166,0), MATCH(U$230, Inflation!$D$125:$BDR$125,0))</f>
        <v>17348.86782619244</v>
      </c>
      <c r="V241" s="732">
        <f>(V187+V209)*INDEX(Inflation!$D$126:$BD$166, MATCH($B241, Inflation!$B$126:$B$166,0), MATCH(V$230, Inflation!$D$125:$BDR$125,0))</f>
        <v>17926.445241144978</v>
      </c>
      <c r="W241" s="732">
        <f>(W187+W209)*INDEX(Inflation!$D$126:$BD$166, MATCH($B241, Inflation!$B$126:$B$166,0), MATCH(W$230, Inflation!$D$125:$BDR$125,0))</f>
        <v>18516.125287975236</v>
      </c>
      <c r="X241" s="732">
        <f>(X187+X209)*INDEX(Inflation!$D$126:$BD$166, MATCH($B241, Inflation!$B$126:$B$166,0), MATCH(X$230, Inflation!$D$125:$BDR$125,0))</f>
        <v>19115.414112605977</v>
      </c>
      <c r="Y241" s="732">
        <f>(Y187+Y209)*INDEX(Inflation!$D$126:$BD$166, MATCH($B241, Inflation!$B$126:$B$166,0), MATCH(Y$230, Inflation!$D$125:$BDR$125,0))</f>
        <v>19723.987840126349</v>
      </c>
      <c r="Z241" s="732">
        <f>(Z187+Z209)*INDEX(Inflation!$D$126:$BD$166, MATCH($B241, Inflation!$B$126:$B$166,0), MATCH(Z$230, Inflation!$D$125:$BDR$125,0))</f>
        <v>20346.653387358765</v>
      </c>
      <c r="AA241" s="732">
        <f>(AA187+AA209)*INDEX(Inflation!$D$126:$BD$166, MATCH($B241, Inflation!$B$126:$B$166,0), MATCH(AA$230, Inflation!$D$125:$BDR$125,0))</f>
        <v>20982.559277625987</v>
      </c>
      <c r="AB241" s="732">
        <f>(AB187+AB209)*INDEX(Inflation!$D$126:$BD$166, MATCH($B241, Inflation!$B$126:$B$166,0), MATCH(AB$230, Inflation!$D$125:$BDR$125,0))</f>
        <v>21629.887386565151</v>
      </c>
      <c r="AC241" s="732">
        <f>(AC187+AC209)*INDEX(Inflation!$D$126:$BD$166, MATCH($B241, Inflation!$B$126:$B$166,0), MATCH(AC$230, Inflation!$D$125:$BDR$125,0))</f>
        <v>22287.172964523863</v>
      </c>
      <c r="AD241" s="732">
        <f>(AD187+AD209)*INDEX(Inflation!$D$126:$BD$166, MATCH($B241, Inflation!$B$126:$B$166,0), MATCH(AD$230, Inflation!$D$125:$BDR$125,0))</f>
        <v>22952.858791418865</v>
      </c>
      <c r="AE241" s="732">
        <f>(AE187+AE209)*INDEX(Inflation!$D$126:$BD$166, MATCH($B241, Inflation!$B$126:$B$166,0), MATCH(AE$230, Inflation!$D$125:$BDR$125,0))</f>
        <v>23625.724584818468</v>
      </c>
      <c r="AF241" s="732">
        <f>(AF187+AF209)*INDEX(Inflation!$D$126:$BD$166, MATCH($B241, Inflation!$B$126:$B$166,0), MATCH(AF$230, Inflation!$D$125:$BDR$125,0))</f>
        <v>24304.576363010052</v>
      </c>
      <c r="AG241" s="732">
        <f>(AG187+AG209)*INDEX(Inflation!$D$126:$BD$166, MATCH($B241, Inflation!$B$126:$B$166,0), MATCH(AG$230, Inflation!$D$125:$BDR$125,0))</f>
        <v>24990.257465857852</v>
      </c>
      <c r="AH241" s="732">
        <f>(AH187+AH209)*INDEX(Inflation!$D$126:$BD$166, MATCH($B241, Inflation!$B$126:$B$166,0), MATCH(AH$230, Inflation!$D$125:$BDR$125,0))</f>
        <v>25687.740665398505</v>
      </c>
      <c r="AI241" s="732">
        <f>(AI187+AI209)*INDEX(Inflation!$D$126:$BD$166, MATCH($B241, Inflation!$B$126:$B$166,0), MATCH(AI$230, Inflation!$D$125:$BDR$125,0))</f>
        <v>26397.621881586001</v>
      </c>
      <c r="AJ241" s="732">
        <f>(AJ187+AJ209)*INDEX(Inflation!$D$126:$BD$166, MATCH($B241, Inflation!$B$126:$B$166,0), MATCH(AJ$230, Inflation!$D$125:$BDR$125,0))</f>
        <v>27121.931908404542</v>
      </c>
      <c r="AK241" s="732">
        <f>(AK187+AK209)*INDEX(Inflation!$D$126:$BD$166, MATCH($B241, Inflation!$B$126:$B$166,0), MATCH(AK$230, Inflation!$D$125:$BDR$125,0))</f>
        <v>27854.755178171221</v>
      </c>
      <c r="AL241" s="732">
        <f>(AL187+AL209)*INDEX(Inflation!$D$126:$BD$166, MATCH($B241, Inflation!$B$126:$B$166,0), MATCH(AL$230, Inflation!$D$125:$BDR$125,0))</f>
        <v>28591.33630910821</v>
      </c>
      <c r="AM241" s="732">
        <f>(AM187+AM209)*INDEX(Inflation!$D$126:$BD$166, MATCH($B241, Inflation!$B$126:$B$166,0), MATCH(AM$230, Inflation!$D$125:$BDR$125,0))</f>
        <v>29328.197553100745</v>
      </c>
      <c r="AN241" s="732">
        <f>(AN187+AN209)*INDEX(Inflation!$D$126:$BD$166, MATCH($B241, Inflation!$B$126:$B$166,0), MATCH(AN$230, Inflation!$D$125:$BDR$125,0))</f>
        <v>30066.927965239254</v>
      </c>
      <c r="AO241" s="732">
        <f>(AO187+AO209)*INDEX(Inflation!$D$126:$BD$166, MATCH($B241, Inflation!$B$126:$B$166,0), MATCH(AO$230, Inflation!$D$125:$BDR$125,0))</f>
        <v>30807.59456721101</v>
      </c>
      <c r="AP241" s="732">
        <f>(AP187+AP209)*INDEX(Inflation!$D$126:$BD$166, MATCH($B241, Inflation!$B$126:$B$166,0), MATCH(AP$230, Inflation!$D$125:$BDR$125,0))</f>
        <v>31548.949527362805</v>
      </c>
      <c r="AQ241" s="732">
        <f>(AQ187+AQ209)*INDEX(Inflation!$D$126:$BD$166, MATCH($B241, Inflation!$B$126:$B$166,0), MATCH(AQ$230, Inflation!$D$125:$BDR$125,0))</f>
        <v>32297.891571486132</v>
      </c>
      <c r="AR241" s="732">
        <f>(AR187+AR209)*INDEX(Inflation!$D$126:$BD$166, MATCH($B241, Inflation!$B$126:$B$166,0), MATCH(AR$230, Inflation!$D$125:$BDR$125,0))</f>
        <v>33062.57042523408</v>
      </c>
      <c r="AS241" s="732">
        <f>(AS187+AS209)*INDEX(Inflation!$D$126:$BD$166, MATCH($B241, Inflation!$B$126:$B$166,0), MATCH(AS$230, Inflation!$D$125:$BDR$125,0))</f>
        <v>33849.882659491726</v>
      </c>
      <c r="AT241" s="732">
        <f>(AT187+AT209)*INDEX(Inflation!$D$126:$BD$166, MATCH($B241, Inflation!$B$126:$B$166,0), MATCH(AT$230, Inflation!$D$125:$BDR$125,0))</f>
        <v>34615.526560563951</v>
      </c>
      <c r="AU241" s="732" t="e">
        <f>(AU187+AU209)*INDEX(Inflation!$D$126:$BD$166, MATCH($B241, Inflation!$B$126:$B$166,0), MATCH(AU$230, Inflation!$D$125:$BDR$125,0))</f>
        <v>#N/A</v>
      </c>
      <c r="AV241" s="732" t="e">
        <f>(AV187+AV209)*INDEX(Inflation!$D$126:$BD$166, MATCH($B241, Inflation!$B$126:$B$166,0), MATCH(AV$230, Inflation!$D$125:$BDR$125,0))</f>
        <v>#N/A</v>
      </c>
      <c r="AW241" s="732" t="e">
        <f>(AW187+AW209)*INDEX(Inflation!$D$126:$BD$166, MATCH($B241, Inflation!$B$126:$B$166,0), MATCH(AW$230, Inflation!$D$125:$BDR$125,0))</f>
        <v>#N/A</v>
      </c>
      <c r="AX241" s="732" t="e">
        <f>(AX187+AX209)*INDEX(Inflation!$D$126:$BD$166, MATCH($B241, Inflation!$B$126:$B$166,0), MATCH(AX$230, Inflation!$D$125:$BDR$125,0))</f>
        <v>#N/A</v>
      </c>
      <c r="AY241" s="732" t="e">
        <f>(AY187+AY209)*INDEX(Inflation!$D$126:$BD$166, MATCH($B241, Inflation!$B$126:$B$166,0), MATCH(AY$230, Inflation!$D$125:$BDR$125,0))</f>
        <v>#N/A</v>
      </c>
      <c r="AZ241" s="732" t="e">
        <f>(AZ187+AZ209)*INDEX(Inflation!$D$126:$BD$166, MATCH($B241, Inflation!$B$126:$B$166,0), MATCH(AZ$230, Inflation!$D$125:$BDR$125,0))</f>
        <v>#N/A</v>
      </c>
      <c r="BA241" s="732" t="e">
        <f>(BA187+BA209)*INDEX(Inflation!$D$126:$BD$166, MATCH($B241, Inflation!$B$126:$B$166,0), MATCH(BA$230, Inflation!$D$125:$BDR$125,0))</f>
        <v>#N/A</v>
      </c>
      <c r="BB241" s="732" t="e">
        <f>(BB187+BB209)*INDEX(Inflation!$D$126:$BD$166, MATCH($B241, Inflation!$B$126:$B$166,0), MATCH(BB$230, Inflation!$D$125:$BDR$125,0))</f>
        <v>#N/A</v>
      </c>
    </row>
    <row r="242" spans="1:54">
      <c r="B242" s="6" t="s">
        <v>131</v>
      </c>
      <c r="C242" s="47"/>
      <c r="D242" s="732">
        <f>(D188+D210)*INDEX(Inflation!$D$126:$BD$166, MATCH($B242, Inflation!$B$126:$B$166,0), MATCH(D$230, Inflation!$D$125:$BDR$125,0))</f>
        <v>1747.8563805090146</v>
      </c>
      <c r="E242" s="732">
        <f>(E188+E210)*INDEX(Inflation!$D$126:$BD$166, MATCH($B242, Inflation!$B$126:$B$166,0), MATCH(E$230, Inflation!$D$125:$BDR$125,0))</f>
        <v>1841.9432869540124</v>
      </c>
      <c r="F242" s="732">
        <f>(F188+F210)*INDEX(Inflation!$D$126:$BD$166, MATCH($B242, Inflation!$B$126:$B$166,0), MATCH(F$230, Inflation!$D$125:$BDR$125,0))</f>
        <v>1930.0339358617452</v>
      </c>
      <c r="G242" s="732">
        <f>(G188+G210)*INDEX(Inflation!$D$126:$BD$166, MATCH($B242, Inflation!$B$126:$B$166,0), MATCH(G$230, Inflation!$D$125:$BDR$125,0))</f>
        <v>2014.6718044124727</v>
      </c>
      <c r="H242" s="732">
        <f>(H188+H210)*INDEX(Inflation!$D$126:$BD$166, MATCH($B242, Inflation!$B$126:$B$166,0), MATCH(H$230, Inflation!$D$125:$BDR$125,0))</f>
        <v>2098.3290543587627</v>
      </c>
      <c r="I242" s="732">
        <f>(I188+I210)*INDEX(Inflation!$D$126:$BD$166, MATCH($B242, Inflation!$B$126:$B$166,0), MATCH(I$230, Inflation!$D$125:$BDR$125,0))</f>
        <v>2182.4184347269152</v>
      </c>
      <c r="J242" s="732">
        <f>(J188+J210)*INDEX(Inflation!$D$126:$BD$166, MATCH($B242, Inflation!$B$126:$B$166,0), MATCH(J$230, Inflation!$D$125:$BDR$125,0))</f>
        <v>2266.938467653059</v>
      </c>
      <c r="K242" s="732">
        <f>(K188+K210)*INDEX(Inflation!$D$126:$BD$166, MATCH($B242, Inflation!$B$126:$B$166,0), MATCH(K$230, Inflation!$D$125:$BDR$125,0))</f>
        <v>2352.5935940094905</v>
      </c>
      <c r="L242" s="732">
        <f>(L188+L210)*INDEX(Inflation!$D$126:$BD$166, MATCH($B242, Inflation!$B$126:$B$166,0), MATCH(L$230, Inflation!$D$125:$BDR$125,0))</f>
        <v>2443.9608656735436</v>
      </c>
      <c r="M242" s="732">
        <f>(M188+M210)*INDEX(Inflation!$D$126:$BD$166, MATCH($B242, Inflation!$B$126:$B$166,0), MATCH(M$230, Inflation!$D$125:$BDR$125,0))</f>
        <v>2538.2275642228265</v>
      </c>
      <c r="N242" s="732">
        <f>(N188+N210)*INDEX(Inflation!$D$126:$BD$166, MATCH($B242, Inflation!$B$126:$B$166,0), MATCH(N$230, Inflation!$D$125:$BDR$125,0))</f>
        <v>2634.0029496805164</v>
      </c>
      <c r="O242" s="732">
        <f>(O188+O210)*INDEX(Inflation!$D$126:$BD$166, MATCH($B242, Inflation!$B$126:$B$166,0), MATCH(O$230, Inflation!$D$125:$BDR$125,0))</f>
        <v>2730.6718378519226</v>
      </c>
      <c r="P242" s="732">
        <f>(P188+P210)*INDEX(Inflation!$D$126:$BD$166, MATCH($B242, Inflation!$B$126:$B$166,0), MATCH(P$230, Inflation!$D$125:$BDR$125,0))</f>
        <v>2827.8477354400302</v>
      </c>
      <c r="Q242" s="732">
        <f>(Q188+Q210)*INDEX(Inflation!$D$126:$BD$166, MATCH($B242, Inflation!$B$126:$B$166,0), MATCH(Q$230, Inflation!$D$125:$BDR$125,0))</f>
        <v>2926.3887150983878</v>
      </c>
      <c r="R242" s="732">
        <f>(R188+R210)*INDEX(Inflation!$D$126:$BD$166, MATCH($B242, Inflation!$B$126:$B$166,0), MATCH(R$230, Inflation!$D$125:$BDR$125,0))</f>
        <v>3027.3341584934906</v>
      </c>
      <c r="S242" s="732">
        <f>(S188+S210)*INDEX(Inflation!$D$126:$BD$166, MATCH($B242, Inflation!$B$126:$B$166,0), MATCH(S$230, Inflation!$D$125:$BDR$125,0))</f>
        <v>3130.8593774261876</v>
      </c>
      <c r="T242" s="732">
        <f>(T188+T210)*INDEX(Inflation!$D$126:$BD$166, MATCH($B242, Inflation!$B$126:$B$166,0), MATCH(T$230, Inflation!$D$125:$BDR$125,0))</f>
        <v>3236.1424039809622</v>
      </c>
      <c r="U242" s="732">
        <f>(U188+U210)*INDEX(Inflation!$D$126:$BD$166, MATCH($B242, Inflation!$B$126:$B$166,0), MATCH(U$230, Inflation!$D$125:$BDR$125,0))</f>
        <v>3343.3359031697378</v>
      </c>
      <c r="V242" s="732">
        <f>(V188+V210)*INDEX(Inflation!$D$126:$BD$166, MATCH($B242, Inflation!$B$126:$B$166,0), MATCH(V$230, Inflation!$D$125:$BDR$125,0))</f>
        <v>3454.5778293139388</v>
      </c>
      <c r="W242" s="732">
        <f>(W188+W210)*INDEX(Inflation!$D$126:$BD$166, MATCH($B242, Inflation!$B$126:$B$166,0), MATCH(W$230, Inflation!$D$125:$BDR$125,0))</f>
        <v>3568.1517591496736</v>
      </c>
      <c r="X242" s="732">
        <f>(X188+X210)*INDEX(Inflation!$D$126:$BD$166, MATCH($B242, Inflation!$B$126:$B$166,0), MATCH(X$230, Inflation!$D$125:$BDR$125,0))</f>
        <v>3683.5739097540813</v>
      </c>
      <c r="Y242" s="732">
        <f>(Y188+Y210)*INDEX(Inflation!$D$126:$BD$166, MATCH($B242, Inflation!$B$126:$B$166,0), MATCH(Y$230, Inflation!$D$125:$BDR$125,0))</f>
        <v>3800.7809909037069</v>
      </c>
      <c r="Z242" s="732">
        <f>(Z188+Z210)*INDEX(Inflation!$D$126:$BD$166, MATCH($B242, Inflation!$B$126:$B$166,0), MATCH(Z$230, Inflation!$D$125:$BDR$125,0))</f>
        <v>3920.705817255578</v>
      </c>
      <c r="AA242" s="732">
        <f>(AA188+AA210)*INDEX(Inflation!$D$126:$BD$166, MATCH($B242, Inflation!$B$126:$B$166,0), MATCH(AA$230, Inflation!$D$125:$BDR$125,0))</f>
        <v>4043.1807285255095</v>
      </c>
      <c r="AB242" s="732">
        <f>(AB188+AB210)*INDEX(Inflation!$D$126:$BD$166, MATCH($B242, Inflation!$B$126:$B$166,0), MATCH(AB$230, Inflation!$D$125:$BDR$125,0))</f>
        <v>4167.8513107541685</v>
      </c>
      <c r="AC242" s="732">
        <f>(AC188+AC210)*INDEX(Inflation!$D$126:$BD$166, MATCH($B242, Inflation!$B$126:$B$166,0), MATCH(AC$230, Inflation!$D$125:$BDR$125,0))</f>
        <v>4294.4332070843093</v>
      </c>
      <c r="AD242" s="732">
        <f>(AD188+AD210)*INDEX(Inflation!$D$126:$BD$166, MATCH($B242, Inflation!$B$126:$B$166,0), MATCH(AD$230, Inflation!$D$125:$BDR$125,0))</f>
        <v>4422.6245424973295</v>
      </c>
      <c r="AE242" s="732">
        <f>(AE188+AE210)*INDEX(Inflation!$D$126:$BD$166, MATCH($B242, Inflation!$B$126:$B$166,0), MATCH(AE$230, Inflation!$D$125:$BDR$125,0))</f>
        <v>4552.1882933016923</v>
      </c>
      <c r="AF242" s="732">
        <f>(AF188+AF210)*INDEX(Inflation!$D$126:$BD$166, MATCH($B242, Inflation!$B$126:$B$166,0), MATCH(AF$230, Inflation!$D$125:$BDR$125,0))</f>
        <v>4682.8929208485006</v>
      </c>
      <c r="AG242" s="732">
        <f>(AG188+AG210)*INDEX(Inflation!$D$126:$BD$166, MATCH($B242, Inflation!$B$126:$B$166,0), MATCH(AG$230, Inflation!$D$125:$BDR$125,0))</f>
        <v>4814.905172764853</v>
      </c>
      <c r="AH242" s="732">
        <f>(AH188+AH210)*INDEX(Inflation!$D$126:$BD$166, MATCH($B242, Inflation!$B$126:$B$166,0), MATCH(AH$230, Inflation!$D$125:$BDR$125,0))</f>
        <v>4949.1920493503476</v>
      </c>
      <c r="AI242" s="732">
        <f>(AI188+AI210)*INDEX(Inflation!$D$126:$BD$166, MATCH($B242, Inflation!$B$126:$B$166,0), MATCH(AI$230, Inflation!$D$125:$BDR$125,0))</f>
        <v>5085.8689328615919</v>
      </c>
      <c r="AJ242" s="732">
        <f>(AJ188+AJ210)*INDEX(Inflation!$D$126:$BD$166, MATCH($B242, Inflation!$B$126:$B$166,0), MATCH(AJ$230, Inflation!$D$125:$BDR$125,0))</f>
        <v>5225.3297687401546</v>
      </c>
      <c r="AK242" s="732">
        <f>(AK188+AK210)*INDEX(Inflation!$D$126:$BD$166, MATCH($B242, Inflation!$B$126:$B$166,0), MATCH(AK$230, Inflation!$D$125:$BDR$125,0))</f>
        <v>5366.4254690173148</v>
      </c>
      <c r="AL242" s="732">
        <f>(AL188+AL210)*INDEX(Inflation!$D$126:$BD$166, MATCH($B242, Inflation!$B$126:$B$166,0), MATCH(AL$230, Inflation!$D$125:$BDR$125,0))</f>
        <v>5508.2331702855945</v>
      </c>
      <c r="AM242" s="732">
        <f>(AM188+AM210)*INDEX(Inflation!$D$126:$BD$166, MATCH($B242, Inflation!$B$126:$B$166,0), MATCH(AM$230, Inflation!$D$125:$BDR$125,0))</f>
        <v>5650.0786630992352</v>
      </c>
      <c r="AN242" s="732">
        <f>(AN188+AN210)*INDEX(Inflation!$D$126:$BD$166, MATCH($B242, Inflation!$B$126:$B$166,0), MATCH(AN$230, Inflation!$D$125:$BDR$125,0))</f>
        <v>5792.2723455531695</v>
      </c>
      <c r="AO242" s="732">
        <f>(AO188+AO210)*INDEX(Inflation!$D$126:$BD$166, MATCH($B242, Inflation!$B$126:$B$166,0), MATCH(AO$230, Inflation!$D$125:$BDR$125,0))</f>
        <v>5934.8283741465575</v>
      </c>
      <c r="AP242" s="732">
        <f>(AP188+AP210)*INDEX(Inflation!$D$126:$BD$166, MATCH($B242, Inflation!$B$126:$B$166,0), MATCH(AP$230, Inflation!$D$125:$BDR$125,0))</f>
        <v>6077.5052337268598</v>
      </c>
      <c r="AQ242" s="732">
        <f>(AQ188+AQ210)*INDEX(Inflation!$D$126:$BD$166, MATCH($B242, Inflation!$B$126:$B$166,0), MATCH(AQ$230, Inflation!$D$125:$BDR$125,0))</f>
        <v>6221.6439574111564</v>
      </c>
      <c r="AR242" s="732">
        <f>(AR188+AR210)*INDEX(Inflation!$D$126:$BD$166, MATCH($B242, Inflation!$B$126:$B$166,0), MATCH(AR$230, Inflation!$D$125:$BDR$125,0))</f>
        <v>6368.8276013256818</v>
      </c>
      <c r="AS242" s="732">
        <f>(AS188+AS210)*INDEX(Inflation!$D$126:$BD$166, MATCH($B242, Inflation!$B$126:$B$166,0), MATCH(AS$230, Inflation!$D$125:$BDR$125,0))</f>
        <v>6520.395408764909</v>
      </c>
      <c r="AT242" s="732">
        <f>(AT188+AT210)*INDEX(Inflation!$D$126:$BD$166, MATCH($B242, Inflation!$B$126:$B$166,0), MATCH(AT$230, Inflation!$D$125:$BDR$125,0))</f>
        <v>6667.7396723298434</v>
      </c>
      <c r="AU242" s="732" t="e">
        <f>(AU188+AU210)*INDEX(Inflation!$D$126:$BD$166, MATCH($B242, Inflation!$B$126:$B$166,0), MATCH(AU$230, Inflation!$D$125:$BDR$125,0))</f>
        <v>#N/A</v>
      </c>
      <c r="AV242" s="732" t="e">
        <f>(AV188+AV210)*INDEX(Inflation!$D$126:$BD$166, MATCH($B242, Inflation!$B$126:$B$166,0), MATCH(AV$230, Inflation!$D$125:$BDR$125,0))</f>
        <v>#N/A</v>
      </c>
      <c r="AW242" s="732" t="e">
        <f>(AW188+AW210)*INDEX(Inflation!$D$126:$BD$166, MATCH($B242, Inflation!$B$126:$B$166,0), MATCH(AW$230, Inflation!$D$125:$BDR$125,0))</f>
        <v>#N/A</v>
      </c>
      <c r="AX242" s="732" t="e">
        <f>(AX188+AX210)*INDEX(Inflation!$D$126:$BD$166, MATCH($B242, Inflation!$B$126:$B$166,0), MATCH(AX$230, Inflation!$D$125:$BDR$125,0))</f>
        <v>#N/A</v>
      </c>
      <c r="AY242" s="732" t="e">
        <f>(AY188+AY210)*INDEX(Inflation!$D$126:$BD$166, MATCH($B242, Inflation!$B$126:$B$166,0), MATCH(AY$230, Inflation!$D$125:$BDR$125,0))</f>
        <v>#N/A</v>
      </c>
      <c r="AZ242" s="732" t="e">
        <f>(AZ188+AZ210)*INDEX(Inflation!$D$126:$BD$166, MATCH($B242, Inflation!$B$126:$B$166,0), MATCH(AZ$230, Inflation!$D$125:$BDR$125,0))</f>
        <v>#N/A</v>
      </c>
      <c r="BA242" s="732" t="e">
        <f>(BA188+BA210)*INDEX(Inflation!$D$126:$BD$166, MATCH($B242, Inflation!$B$126:$B$166,0), MATCH(BA$230, Inflation!$D$125:$BDR$125,0))</f>
        <v>#N/A</v>
      </c>
      <c r="BB242" s="732" t="e">
        <f>(BB188+BB210)*INDEX(Inflation!$D$126:$BD$166, MATCH($B242, Inflation!$B$126:$B$166,0), MATCH(BB$230, Inflation!$D$125:$BDR$125,0))</f>
        <v>#N/A</v>
      </c>
    </row>
    <row r="243" spans="1:54" ht="29">
      <c r="B243" s="6" t="s">
        <v>2869</v>
      </c>
      <c r="C243" s="47"/>
      <c r="D243" s="732">
        <f>(D189+D211)*INDEX(Inflation!$D$126:$BD$166, MATCH($B243, Inflation!$B$126:$B$166,0), MATCH(D$230, Inflation!$D$125:$BDR$125,0))</f>
        <v>37466.563223176592</v>
      </c>
      <c r="E243" s="732">
        <f>(E189+E211)*INDEX(Inflation!$D$126:$BD$166, MATCH($B243, Inflation!$B$126:$B$166,0), MATCH(E$230, Inflation!$D$125:$BDR$125,0))</f>
        <v>39483.38398036491</v>
      </c>
      <c r="F243" s="732">
        <f>(F189+F211)*INDEX(Inflation!$D$126:$BD$166, MATCH($B243, Inflation!$B$126:$B$166,0), MATCH(F$230, Inflation!$D$125:$BDR$125,0))</f>
        <v>41371.670628785687</v>
      </c>
      <c r="G243" s="732">
        <f>(G189+G211)*INDEX(Inflation!$D$126:$BD$166, MATCH($B243, Inflation!$B$126:$B$166,0), MATCH(G$230, Inflation!$D$125:$BDR$125,0))</f>
        <v>43185.944437831276</v>
      </c>
      <c r="H243" s="732">
        <f>(H189+H211)*INDEX(Inflation!$D$126:$BD$166, MATCH($B243, Inflation!$B$126:$B$166,0), MATCH(H$230, Inflation!$D$125:$BDR$125,0))</f>
        <v>44979.197979221761</v>
      </c>
      <c r="I243" s="732">
        <f>(I189+I211)*INDEX(Inflation!$D$126:$BD$166, MATCH($B243, Inflation!$B$126:$B$166,0), MATCH(I$230, Inflation!$D$125:$BDR$125,0))</f>
        <v>46781.714548142387</v>
      </c>
      <c r="J243" s="732">
        <f>(J189+J211)*INDEX(Inflation!$D$126:$BD$166, MATCH($B243, Inflation!$B$126:$B$166,0), MATCH(J$230, Inflation!$D$125:$BDR$125,0))</f>
        <v>48593.462465514262</v>
      </c>
      <c r="K243" s="732">
        <f>(K189+K211)*INDEX(Inflation!$D$126:$BD$166, MATCH($B243, Inflation!$B$126:$B$166,0), MATCH(K$230, Inflation!$D$125:$BDR$125,0))</f>
        <v>50429.541929942476</v>
      </c>
      <c r="L243" s="732">
        <f>(L189+L211)*INDEX(Inflation!$D$126:$BD$166, MATCH($B243, Inflation!$B$126:$B$166,0), MATCH(L$230, Inflation!$D$125:$BDR$125,0))</f>
        <v>52388.065352406658</v>
      </c>
      <c r="M243" s="732">
        <f>(M189+M211)*INDEX(Inflation!$D$126:$BD$166, MATCH($B243, Inflation!$B$126:$B$166,0), MATCH(M$230, Inflation!$D$125:$BDR$125,0))</f>
        <v>54408.740083134995</v>
      </c>
      <c r="N243" s="732">
        <f>(N189+N211)*INDEX(Inflation!$D$126:$BD$166, MATCH($B243, Inflation!$B$126:$B$166,0), MATCH(N$230, Inflation!$D$125:$BDR$125,0))</f>
        <v>56461.754606805203</v>
      </c>
      <c r="O243" s="732">
        <f>(O189+O211)*INDEX(Inflation!$D$126:$BD$166, MATCH($B243, Inflation!$B$126:$B$166,0), MATCH(O$230, Inflation!$D$125:$BDR$125,0))</f>
        <v>58533.922006127446</v>
      </c>
      <c r="P243" s="732">
        <f>(P189+P211)*INDEX(Inflation!$D$126:$BD$166, MATCH($B243, Inflation!$B$126:$B$166,0), MATCH(P$230, Inflation!$D$125:$BDR$125,0))</f>
        <v>60616.957518286341</v>
      </c>
      <c r="Q243" s="732">
        <f>(Q189+Q211)*INDEX(Inflation!$D$126:$BD$166, MATCH($B243, Inflation!$B$126:$B$166,0), MATCH(Q$230, Inflation!$D$125:$BDR$125,0))</f>
        <v>62729.254550018675</v>
      </c>
      <c r="R243" s="732">
        <f>(R189+R211)*INDEX(Inflation!$D$126:$BD$166, MATCH($B243, Inflation!$B$126:$B$166,0), MATCH(R$230, Inflation!$D$125:$BDR$125,0))</f>
        <v>64893.092997633445</v>
      </c>
      <c r="S243" s="732">
        <f>(S189+S211)*INDEX(Inflation!$D$126:$BD$166, MATCH($B243, Inflation!$B$126:$B$166,0), MATCH(S$230, Inflation!$D$125:$BDR$125,0))</f>
        <v>67112.230796132397</v>
      </c>
      <c r="T243" s="732">
        <f>(T189+T211)*INDEX(Inflation!$D$126:$BD$166, MATCH($B243, Inflation!$B$126:$B$166,0), MATCH(T$230, Inflation!$D$125:$BDR$125,0))</f>
        <v>69369.048469900925</v>
      </c>
      <c r="U243" s="732">
        <f>(U189+U211)*INDEX(Inflation!$D$126:$BD$166, MATCH($B243, Inflation!$B$126:$B$166,0), MATCH(U$230, Inflation!$D$125:$BDR$125,0))</f>
        <v>71666.818503672359</v>
      </c>
      <c r="V243" s="732">
        <f>(V189+V211)*INDEX(Inflation!$D$126:$BD$166, MATCH($B243, Inflation!$B$126:$B$166,0), MATCH(V$230, Inflation!$D$125:$BDR$125,0))</f>
        <v>74051.369491629288</v>
      </c>
      <c r="W243" s="732">
        <f>(W189+W211)*INDEX(Inflation!$D$126:$BD$166, MATCH($B243, Inflation!$B$126:$B$166,0), MATCH(W$230, Inflation!$D$125:$BDR$125,0))</f>
        <v>76485.908662093614</v>
      </c>
      <c r="X243" s="732">
        <f>(X189+X211)*INDEX(Inflation!$D$126:$BD$166, MATCH($B243, Inflation!$B$126:$B$166,0), MATCH(X$230, Inflation!$D$125:$BDR$125,0))</f>
        <v>78960.065778890406</v>
      </c>
      <c r="Y243" s="732">
        <f>(Y189+Y211)*INDEX(Inflation!$D$126:$BD$166, MATCH($B243, Inflation!$B$126:$B$166,0), MATCH(Y$230, Inflation!$D$125:$BDR$125,0))</f>
        <v>81472.484170393262</v>
      </c>
      <c r="Z243" s="732">
        <f>(Z189+Z211)*INDEX(Inflation!$D$126:$BD$166, MATCH($B243, Inflation!$B$126:$B$166,0), MATCH(Z$230, Inflation!$D$125:$BDR$125,0))</f>
        <v>84043.159392136775</v>
      </c>
      <c r="AA243" s="732">
        <f>(AA189+AA211)*INDEX(Inflation!$D$126:$BD$166, MATCH($B243, Inflation!$B$126:$B$166,0), MATCH(AA$230, Inflation!$D$125:$BDR$125,0))</f>
        <v>86668.497524902312</v>
      </c>
      <c r="AB243" s="732">
        <f>(AB189+AB211)*INDEX(Inflation!$D$126:$BD$166, MATCH($B243, Inflation!$B$126:$B$166,0), MATCH(AB$230, Inflation!$D$125:$BDR$125,0))</f>
        <v>89340.901449634388</v>
      </c>
      <c r="AC243" s="732">
        <f>(AC189+AC211)*INDEX(Inflation!$D$126:$BD$166, MATCH($B243, Inflation!$B$126:$B$166,0), MATCH(AC$230, Inflation!$D$125:$BDR$125,0))</f>
        <v>92054.275771832195</v>
      </c>
      <c r="AD243" s="732">
        <f>(AD189+AD211)*INDEX(Inflation!$D$126:$BD$166, MATCH($B243, Inflation!$B$126:$B$166,0), MATCH(AD$230, Inflation!$D$125:$BDR$125,0))</f>
        <v>94802.149582560654</v>
      </c>
      <c r="AE243" s="732">
        <f>(AE189+AE211)*INDEX(Inflation!$D$126:$BD$166, MATCH($B243, Inflation!$B$126:$B$166,0), MATCH(AE$230, Inflation!$D$125:$BDR$125,0))</f>
        <v>97579.442107893832</v>
      </c>
      <c r="AF243" s="732">
        <f>(AF189+AF211)*INDEX(Inflation!$D$126:$BD$166, MATCH($B243, Inflation!$B$126:$B$166,0), MATCH(AF$230, Inflation!$D$125:$BDR$125,0))</f>
        <v>100381.19014975418</v>
      </c>
      <c r="AG243" s="732">
        <f>(AG189+AG211)*INDEX(Inflation!$D$126:$BD$166, MATCH($B243, Inflation!$B$126:$B$166,0), MATCH(AG$230, Inflation!$D$125:$BDR$125,0))</f>
        <v>103210.96806389696</v>
      </c>
      <c r="AH243" s="732">
        <f>(AH189+AH211)*INDEX(Inflation!$D$126:$BD$166, MATCH($B243, Inflation!$B$126:$B$166,0), MATCH(AH$230, Inflation!$D$125:$BDR$125,0))</f>
        <v>106089.50419978252</v>
      </c>
      <c r="AI243" s="732">
        <f>(AI189+AI211)*INDEX(Inflation!$D$126:$BD$166, MATCH($B243, Inflation!$B$126:$B$166,0), MATCH(AI$230, Inflation!$D$125:$BDR$125,0))</f>
        <v>109019.27185937105</v>
      </c>
      <c r="AJ243" s="732">
        <f>(AJ189+AJ211)*INDEX(Inflation!$D$126:$BD$166, MATCH($B243, Inflation!$B$126:$B$166,0), MATCH(AJ$230, Inflation!$D$125:$BDR$125,0))</f>
        <v>112008.71554757586</v>
      </c>
      <c r="AK243" s="732">
        <f>(AK189+AK211)*INDEX(Inflation!$D$126:$BD$166, MATCH($B243, Inflation!$B$126:$B$166,0), MATCH(AK$230, Inflation!$D$125:$BDR$125,0))</f>
        <v>115033.20373430727</v>
      </c>
      <c r="AL243" s="732">
        <f>(AL189+AL211)*INDEX(Inflation!$D$126:$BD$166, MATCH($B243, Inflation!$B$126:$B$166,0), MATCH(AL$230, Inflation!$D$125:$BDR$125,0))</f>
        <v>118072.95417624807</v>
      </c>
      <c r="AM243" s="732">
        <f>(AM189+AM211)*INDEX(Inflation!$D$126:$BD$166, MATCH($B243, Inflation!$B$126:$B$166,0), MATCH(AM$230, Inflation!$D$125:$BDR$125,0))</f>
        <v>121113.51470724388</v>
      </c>
      <c r="AN243" s="732">
        <f>(AN189+AN211)*INDEX(Inflation!$D$126:$BD$166, MATCH($B243, Inflation!$B$126:$B$166,0), MATCH(AN$230, Inflation!$D$125:$BDR$125,0))</f>
        <v>124161.53893452346</v>
      </c>
      <c r="AO243" s="732">
        <f>(AO189+AO211)*INDEX(Inflation!$D$126:$BD$166, MATCH($B243, Inflation!$B$126:$B$166,0), MATCH(AO$230, Inflation!$D$125:$BDR$125,0))</f>
        <v>127217.33031286523</v>
      </c>
      <c r="AP243" s="732">
        <f>(AP189+AP211)*INDEX(Inflation!$D$126:$BD$166, MATCH($B243, Inflation!$B$126:$B$166,0), MATCH(AP$230, Inflation!$D$125:$BDR$125,0))</f>
        <v>130275.71179063457</v>
      </c>
      <c r="AQ243" s="732">
        <f>(AQ189+AQ211)*INDEX(Inflation!$D$126:$BD$166, MATCH($B243, Inflation!$B$126:$B$166,0), MATCH(AQ$230, Inflation!$D$125:$BDR$125,0))</f>
        <v>133365.42938073367</v>
      </c>
      <c r="AR243" s="732">
        <f>(AR189+AR211)*INDEX(Inflation!$D$126:$BD$166, MATCH($B243, Inflation!$B$126:$B$166,0), MATCH(AR$230, Inflation!$D$125:$BDR$125,0))</f>
        <v>136520.41703397271</v>
      </c>
      <c r="AS243" s="732">
        <f>(AS189+AS211)*INDEX(Inflation!$D$126:$BD$166, MATCH($B243, Inflation!$B$126:$B$166,0), MATCH(AS$230, Inflation!$D$125:$BDR$125,0))</f>
        <v>139769.38239711447</v>
      </c>
      <c r="AT243" s="732">
        <f>(AT189+AT211)*INDEX(Inflation!$D$126:$BD$166, MATCH($B243, Inflation!$B$126:$B$166,0), MATCH(AT$230, Inflation!$D$125:$BDR$125,0))</f>
        <v>142927.8130485049</v>
      </c>
      <c r="AU243" s="732" t="e">
        <f>(AU189+AU211)*INDEX(Inflation!$D$126:$BD$166, MATCH($B243, Inflation!$B$126:$B$166,0), MATCH(AU$230, Inflation!$D$125:$BDR$125,0))</f>
        <v>#N/A</v>
      </c>
      <c r="AV243" s="732" t="e">
        <f>(AV189+AV211)*INDEX(Inflation!$D$126:$BD$166, MATCH($B243, Inflation!$B$126:$B$166,0), MATCH(AV$230, Inflation!$D$125:$BDR$125,0))</f>
        <v>#N/A</v>
      </c>
      <c r="AW243" s="732" t="e">
        <f>(AW189+AW211)*INDEX(Inflation!$D$126:$BD$166, MATCH($B243, Inflation!$B$126:$B$166,0), MATCH(AW$230, Inflation!$D$125:$BDR$125,0))</f>
        <v>#N/A</v>
      </c>
      <c r="AX243" s="732" t="e">
        <f>(AX189+AX211)*INDEX(Inflation!$D$126:$BD$166, MATCH($B243, Inflation!$B$126:$B$166,0), MATCH(AX$230, Inflation!$D$125:$BDR$125,0))</f>
        <v>#N/A</v>
      </c>
      <c r="AY243" s="732" t="e">
        <f>(AY189+AY211)*INDEX(Inflation!$D$126:$BD$166, MATCH($B243, Inflation!$B$126:$B$166,0), MATCH(AY$230, Inflation!$D$125:$BDR$125,0))</f>
        <v>#N/A</v>
      </c>
      <c r="AZ243" s="732" t="e">
        <f>(AZ189+AZ211)*INDEX(Inflation!$D$126:$BD$166, MATCH($B243, Inflation!$B$126:$B$166,0), MATCH(AZ$230, Inflation!$D$125:$BDR$125,0))</f>
        <v>#N/A</v>
      </c>
      <c r="BA243" s="732" t="e">
        <f>(BA189+BA211)*INDEX(Inflation!$D$126:$BD$166, MATCH($B243, Inflation!$B$126:$B$166,0), MATCH(BA$230, Inflation!$D$125:$BDR$125,0))</f>
        <v>#N/A</v>
      </c>
      <c r="BB243" s="732" t="e">
        <f>(BB189+BB211)*INDEX(Inflation!$D$126:$BD$166, MATCH($B243, Inflation!$B$126:$B$166,0), MATCH(BB$230, Inflation!$D$125:$BDR$125,0))</f>
        <v>#N/A</v>
      </c>
    </row>
    <row r="244" spans="1:54" ht="29">
      <c r="B244" s="6" t="s">
        <v>2870</v>
      </c>
      <c r="C244" s="47"/>
      <c r="D244" s="732">
        <f>(D190+D212)*INDEX(Inflation!$D$126:$BD$166, MATCH($B244, Inflation!$B$126:$B$166,0), MATCH(D$230, Inflation!$D$125:$BDR$125,0))</f>
        <v>44366.5489669503</v>
      </c>
      <c r="E244" s="732">
        <f>(E190+E212)*INDEX(Inflation!$D$126:$BD$166, MATCH($B244, Inflation!$B$126:$B$166,0), MATCH(E$230, Inflation!$D$125:$BDR$125,0))</f>
        <v>46754.795157249551</v>
      </c>
      <c r="F244" s="732">
        <f>(F190+F212)*INDEX(Inflation!$D$126:$BD$166, MATCH($B244, Inflation!$B$126:$B$166,0), MATCH(F$230, Inflation!$D$125:$BDR$125,0))</f>
        <v>48990.835905149659</v>
      </c>
      <c r="G244" s="732">
        <f>(G190+G212)*INDEX(Inflation!$D$126:$BD$166, MATCH($B244, Inflation!$B$126:$B$166,0), MATCH(G$230, Inflation!$D$125:$BDR$125,0))</f>
        <v>51139.233325777888</v>
      </c>
      <c r="H244" s="732">
        <f>(H190+H212)*INDEX(Inflation!$D$126:$BD$166, MATCH($B244, Inflation!$B$126:$B$166,0), MATCH(H$230, Inflation!$D$125:$BDR$125,0))</f>
        <v>53262.739305772404</v>
      </c>
      <c r="I244" s="732">
        <f>(I190+I212)*INDEX(Inflation!$D$126:$BD$166, MATCH($B244, Inflation!$B$126:$B$166,0), MATCH(I$230, Inflation!$D$125:$BDR$125,0))</f>
        <v>55397.214227915414</v>
      </c>
      <c r="J244" s="732">
        <f>(J190+J212)*INDEX(Inflation!$D$126:$BD$166, MATCH($B244, Inflation!$B$126:$B$166,0), MATCH(J$230, Inflation!$D$125:$BDR$125,0))</f>
        <v>57542.620578987582</v>
      </c>
      <c r="K244" s="732">
        <f>(K190+K212)*INDEX(Inflation!$D$126:$BD$166, MATCH($B244, Inflation!$B$126:$B$166,0), MATCH(K$230, Inflation!$D$125:$BDR$125,0))</f>
        <v>59716.839467988175</v>
      </c>
      <c r="L244" s="732">
        <f>(L190+L212)*INDEX(Inflation!$D$126:$BD$166, MATCH($B244, Inflation!$B$126:$B$166,0), MATCH(L$230, Inflation!$D$125:$BDR$125,0))</f>
        <v>62036.052063178264</v>
      </c>
      <c r="M244" s="732">
        <f>(M190+M212)*INDEX(Inflation!$D$126:$BD$166, MATCH($B244, Inflation!$B$126:$B$166,0), MATCH(M$230, Inflation!$D$125:$BDR$125,0))</f>
        <v>64428.861989541627</v>
      </c>
      <c r="N244" s="732">
        <f>(N190+N212)*INDEX(Inflation!$D$126:$BD$166, MATCH($B244, Inflation!$B$126:$B$166,0), MATCH(N$230, Inflation!$D$125:$BDR$125,0))</f>
        <v>66859.967528945082</v>
      </c>
      <c r="O244" s="732">
        <f>(O190+O212)*INDEX(Inflation!$D$126:$BD$166, MATCH($B244, Inflation!$B$126:$B$166,0), MATCH(O$230, Inflation!$D$125:$BDR$125,0))</f>
        <v>69313.75321091761</v>
      </c>
      <c r="P244" s="732">
        <f>(P190+P212)*INDEX(Inflation!$D$126:$BD$166, MATCH($B244, Inflation!$B$126:$B$166,0), MATCH(P$230, Inflation!$D$125:$BDR$125,0))</f>
        <v>71780.408519001081</v>
      </c>
      <c r="Q244" s="732">
        <f>(Q190+Q212)*INDEX(Inflation!$D$126:$BD$166, MATCH($B244, Inflation!$B$126:$B$166,0), MATCH(Q$230, Inflation!$D$125:$BDR$125,0))</f>
        <v>74281.714260145876</v>
      </c>
      <c r="R244" s="732">
        <f>(R190+R212)*INDEX(Inflation!$D$126:$BD$166, MATCH($B244, Inflation!$B$126:$B$166,0), MATCH(R$230, Inflation!$D$125:$BDR$125,0))</f>
        <v>76844.053481675655</v>
      </c>
      <c r="S244" s="732">
        <f>(S190+S212)*INDEX(Inflation!$D$126:$BD$166, MATCH($B244, Inflation!$B$126:$B$166,0), MATCH(S$230, Inflation!$D$125:$BDR$125,0))</f>
        <v>79471.876194291312</v>
      </c>
      <c r="T244" s="732">
        <f>(T190+T212)*INDEX(Inflation!$D$126:$BD$166, MATCH($B244, Inflation!$B$126:$B$166,0), MATCH(T$230, Inflation!$D$125:$BDR$125,0))</f>
        <v>82144.318052283576</v>
      </c>
      <c r="U244" s="732">
        <f>(U190+U212)*INDEX(Inflation!$D$126:$BD$166, MATCH($B244, Inflation!$B$126:$B$166,0), MATCH(U$230, Inflation!$D$125:$BDR$125,0))</f>
        <v>84865.254213704655</v>
      </c>
      <c r="V244" s="732">
        <f>(V190+V212)*INDEX(Inflation!$D$126:$BD$166, MATCH($B244, Inflation!$B$126:$B$166,0), MATCH(V$230, Inflation!$D$125:$BDR$125,0))</f>
        <v>87688.953242120959</v>
      </c>
      <c r="W244" s="732">
        <f>(W190+W212)*INDEX(Inflation!$D$126:$BD$166, MATCH($B244, Inflation!$B$126:$B$166,0), MATCH(W$230, Inflation!$D$125:$BDR$125,0))</f>
        <v>90571.846468141433</v>
      </c>
      <c r="X244" s="732">
        <f>(X190+X212)*INDEX(Inflation!$D$126:$BD$166, MATCH($B244, Inflation!$B$126:$B$166,0), MATCH(X$230, Inflation!$D$125:$BDR$125,0))</f>
        <v>93501.653833189295</v>
      </c>
      <c r="Y244" s="732">
        <f>(Y190+Y212)*INDEX(Inflation!$D$126:$BD$166, MATCH($B244, Inflation!$B$126:$B$166,0), MATCH(Y$230, Inflation!$D$125:$BDR$125,0))</f>
        <v>96476.768815796633</v>
      </c>
      <c r="Z244" s="732">
        <f>(Z190+Z212)*INDEX(Inflation!$D$126:$BD$166, MATCH($B244, Inflation!$B$126:$B$166,0), MATCH(Z$230, Inflation!$D$125:$BDR$125,0))</f>
        <v>99520.869429568891</v>
      </c>
      <c r="AA244" s="732">
        <f>(AA190+AA212)*INDEX(Inflation!$D$126:$BD$166, MATCH($B244, Inflation!$B$126:$B$166,0), MATCH(AA$230, Inflation!$D$125:$BDR$125,0))</f>
        <v>102629.69988536293</v>
      </c>
      <c r="AB244" s="732">
        <f>(AB190+AB212)*INDEX(Inflation!$D$126:$BD$166, MATCH($B244, Inflation!$B$126:$B$166,0), MATCH(AB$230, Inflation!$D$125:$BDR$125,0))</f>
        <v>105794.26394958839</v>
      </c>
      <c r="AC244" s="732">
        <f>(AC190+AC212)*INDEX(Inflation!$D$126:$BD$166, MATCH($B244, Inflation!$B$126:$B$166,0), MATCH(AC$230, Inflation!$D$125:$BDR$125,0))</f>
        <v>109007.34367655375</v>
      </c>
      <c r="AD244" s="732">
        <f>(AD190+AD212)*INDEX(Inflation!$D$126:$BD$166, MATCH($B244, Inflation!$B$126:$B$166,0), MATCH(AD$230, Inflation!$D$125:$BDR$125,0))</f>
        <v>112261.27644995715</v>
      </c>
      <c r="AE244" s="732">
        <f>(AE190+AE212)*INDEX(Inflation!$D$126:$BD$166, MATCH($B244, Inflation!$B$126:$B$166,0), MATCH(AE$230, Inflation!$D$125:$BDR$125,0))</f>
        <v>115550.045801092</v>
      </c>
      <c r="AF244" s="732">
        <f>(AF190+AF212)*INDEX(Inflation!$D$126:$BD$166, MATCH($B244, Inflation!$B$126:$B$166,0), MATCH(AF$230, Inflation!$D$125:$BDR$125,0))</f>
        <v>118867.77449031857</v>
      </c>
      <c r="AG244" s="732">
        <f>(AG190+AG212)*INDEX(Inflation!$D$126:$BD$166, MATCH($B244, Inflation!$B$126:$B$166,0), MATCH(AG$230, Inflation!$D$125:$BDR$125,0))</f>
        <v>122218.69514043433</v>
      </c>
      <c r="AH244" s="732">
        <f>(AH190+AH212)*INDEX(Inflation!$D$126:$BD$166, MATCH($B244, Inflation!$B$126:$B$166,0), MATCH(AH$230, Inflation!$D$125:$BDR$125,0))</f>
        <v>125627.35351310571</v>
      </c>
      <c r="AI244" s="732">
        <f>(AI190+AI212)*INDEX(Inflation!$D$126:$BD$166, MATCH($B244, Inflation!$B$126:$B$166,0), MATCH(AI$230, Inflation!$D$125:$BDR$125,0))</f>
        <v>129096.67840305224</v>
      </c>
      <c r="AJ244" s="732">
        <f>(AJ190+AJ212)*INDEX(Inflation!$D$126:$BD$166, MATCH($B244, Inflation!$B$126:$B$166,0), MATCH(AJ$230, Inflation!$D$125:$BDR$125,0))</f>
        <v>132636.66948754634</v>
      </c>
      <c r="AK244" s="732">
        <f>(AK190+AK212)*INDEX(Inflation!$D$126:$BD$166, MATCH($B244, Inflation!$B$126:$B$166,0), MATCH(AK$230, Inflation!$D$125:$BDR$125,0))</f>
        <v>136218.15899960211</v>
      </c>
      <c r="AL244" s="732">
        <f>(AL190+AL212)*INDEX(Inflation!$D$126:$BD$166, MATCH($B244, Inflation!$B$126:$B$166,0), MATCH(AL$230, Inflation!$D$125:$BDR$125,0))</f>
        <v>139817.72152222629</v>
      </c>
      <c r="AM244" s="732">
        <f>(AM190+AM212)*INDEX(Inflation!$D$126:$BD$166, MATCH($B244, Inflation!$B$126:$B$166,0), MATCH(AM$230, Inflation!$D$125:$BDR$125,0))</f>
        <v>143418.24332300769</v>
      </c>
      <c r="AN244" s="732">
        <f>(AN190+AN212)*INDEX(Inflation!$D$126:$BD$166, MATCH($B244, Inflation!$B$126:$B$166,0), MATCH(AN$230, Inflation!$D$125:$BDR$125,0))</f>
        <v>147027.6033629592</v>
      </c>
      <c r="AO244" s="732">
        <f>(AO190+AO212)*INDEX(Inflation!$D$126:$BD$166, MATCH($B244, Inflation!$B$126:$B$166,0), MATCH(AO$230, Inflation!$D$125:$BDR$125,0))</f>
        <v>150646.16098225315</v>
      </c>
      <c r="AP244" s="732">
        <f>(AP190+AP212)*INDEX(Inflation!$D$126:$BD$166, MATCH($B244, Inflation!$B$126:$B$166,0), MATCH(AP$230, Inflation!$D$125:$BDR$125,0))</f>
        <v>154267.78570360283</v>
      </c>
      <c r="AQ244" s="732">
        <f>(AQ190+AQ212)*INDEX(Inflation!$D$126:$BD$166, MATCH($B244, Inflation!$B$126:$B$166,0), MATCH(AQ$230, Inflation!$D$125:$BDR$125,0))</f>
        <v>157926.51751571585</v>
      </c>
      <c r="AR244" s="732">
        <f>(AR190+AR212)*INDEX(Inflation!$D$126:$BD$166, MATCH($B244, Inflation!$B$126:$B$166,0), MATCH(AR$230, Inflation!$D$125:$BDR$125,0))</f>
        <v>161662.53977571771</v>
      </c>
      <c r="AS244" s="732">
        <f>(AS190+AS212)*INDEX(Inflation!$D$126:$BD$166, MATCH($B244, Inflation!$B$126:$B$166,0), MATCH(AS$230, Inflation!$D$125:$BDR$125,0))</f>
        <v>165509.84704052139</v>
      </c>
      <c r="AT244" s="732">
        <f>(AT190+AT212)*INDEX(Inflation!$D$126:$BD$166, MATCH($B244, Inflation!$B$126:$B$166,0), MATCH(AT$230, Inflation!$D$125:$BDR$125,0))</f>
        <v>169249.94637439752</v>
      </c>
      <c r="AU244" s="732" t="e">
        <f>(AU190+AU212)*INDEX(Inflation!$D$126:$BD$166, MATCH($B244, Inflation!$B$126:$B$166,0), MATCH(AU$230, Inflation!$D$125:$BDR$125,0))</f>
        <v>#N/A</v>
      </c>
      <c r="AV244" s="732" t="e">
        <f>(AV190+AV212)*INDEX(Inflation!$D$126:$BD$166, MATCH($B244, Inflation!$B$126:$B$166,0), MATCH(AV$230, Inflation!$D$125:$BDR$125,0))</f>
        <v>#N/A</v>
      </c>
      <c r="AW244" s="732" t="e">
        <f>(AW190+AW212)*INDEX(Inflation!$D$126:$BD$166, MATCH($B244, Inflation!$B$126:$B$166,0), MATCH(AW$230, Inflation!$D$125:$BDR$125,0))</f>
        <v>#N/A</v>
      </c>
      <c r="AX244" s="732" t="e">
        <f>(AX190+AX212)*INDEX(Inflation!$D$126:$BD$166, MATCH($B244, Inflation!$B$126:$B$166,0), MATCH(AX$230, Inflation!$D$125:$BDR$125,0))</f>
        <v>#N/A</v>
      </c>
      <c r="AY244" s="732" t="e">
        <f>(AY190+AY212)*INDEX(Inflation!$D$126:$BD$166, MATCH($B244, Inflation!$B$126:$B$166,0), MATCH(AY$230, Inflation!$D$125:$BDR$125,0))</f>
        <v>#N/A</v>
      </c>
      <c r="AZ244" s="732" t="e">
        <f>(AZ190+AZ212)*INDEX(Inflation!$D$126:$BD$166, MATCH($B244, Inflation!$B$126:$B$166,0), MATCH(AZ$230, Inflation!$D$125:$BDR$125,0))</f>
        <v>#N/A</v>
      </c>
      <c r="BA244" s="732" t="e">
        <f>(BA190+BA212)*INDEX(Inflation!$D$126:$BD$166, MATCH($B244, Inflation!$B$126:$B$166,0), MATCH(BA$230, Inflation!$D$125:$BDR$125,0))</f>
        <v>#N/A</v>
      </c>
      <c r="BB244" s="732" t="e">
        <f>(BB190+BB212)*INDEX(Inflation!$D$126:$BD$166, MATCH($B244, Inflation!$B$126:$B$166,0), MATCH(BB$230, Inflation!$D$125:$BDR$125,0))</f>
        <v>#N/A</v>
      </c>
    </row>
    <row r="245" spans="1:54">
      <c r="B245" s="6" t="s">
        <v>102</v>
      </c>
      <c r="C245" s="47"/>
      <c r="D245" s="732">
        <f>(D191+D213)*INDEX(Inflation!$D$126:$BD$166, MATCH($B245, Inflation!$B$126:$B$166,0), MATCH(D$230, Inflation!$D$125:$BDR$125,0))</f>
        <v>2662.7865751745026</v>
      </c>
      <c r="E245" s="732">
        <f>(E191+E213)*INDEX(Inflation!$D$126:$BD$166, MATCH($B245, Inflation!$B$126:$B$166,0), MATCH(E$230, Inflation!$D$125:$BDR$125,0))</f>
        <v>3281.6128096704515</v>
      </c>
      <c r="F245" s="732">
        <f>(F191+F213)*INDEX(Inflation!$D$126:$BD$166, MATCH($B245, Inflation!$B$126:$B$166,0), MATCH(F$230, Inflation!$D$125:$BDR$125,0))</f>
        <v>3925.9337849064436</v>
      </c>
      <c r="G245" s="732">
        <f>(G191+G213)*INDEX(Inflation!$D$126:$BD$166, MATCH($B245, Inflation!$B$126:$B$166,0), MATCH(G$230, Inflation!$D$125:$BDR$125,0))</f>
        <v>4598.6511203077043</v>
      </c>
      <c r="H245" s="732">
        <f>(H191+H213)*INDEX(Inflation!$D$126:$BD$166, MATCH($B245, Inflation!$B$126:$B$166,0), MATCH(H$230, Inflation!$D$125:$BDR$125,0))</f>
        <v>5303.2312275084059</v>
      </c>
      <c r="I245" s="732">
        <f>(I191+I213)*INDEX(Inflation!$D$126:$BD$166, MATCH($B245, Inflation!$B$126:$B$166,0), MATCH(I$230, Inflation!$D$125:$BDR$125,0))</f>
        <v>6042.1933797726433</v>
      </c>
      <c r="J245" s="732">
        <f>(J191+J213)*INDEX(Inflation!$D$126:$BD$166, MATCH($B245, Inflation!$B$126:$B$166,0), MATCH(J$230, Inflation!$D$125:$BDR$125,0))</f>
        <v>6816.2936333980088</v>
      </c>
      <c r="K245" s="732">
        <f>(K191+K213)*INDEX(Inflation!$D$126:$BD$166, MATCH($B245, Inflation!$B$126:$B$166,0), MATCH(K$230, Inflation!$D$125:$BDR$125,0))</f>
        <v>7627.3774883546766</v>
      </c>
      <c r="L245" s="732">
        <f>(L191+L213)*INDEX(Inflation!$D$126:$BD$166, MATCH($B245, Inflation!$B$126:$B$166,0), MATCH(L$230, Inflation!$D$125:$BDR$125,0))</f>
        <v>8483.3965173936722</v>
      </c>
      <c r="M245" s="732">
        <f>(M191+M213)*INDEX(Inflation!$D$126:$BD$166, MATCH($B245, Inflation!$B$126:$B$166,0), MATCH(M$230, Inflation!$D$125:$BDR$125,0))</f>
        <v>9382.3080252574218</v>
      </c>
      <c r="N245" s="732">
        <f>(N191+N213)*INDEX(Inflation!$D$126:$BD$166, MATCH($B245, Inflation!$B$126:$B$166,0), MATCH(N$230, Inflation!$D$125:$BDR$125,0))</f>
        <v>10323.513071728645</v>
      </c>
      <c r="O245" s="732">
        <f>(O191+O213)*INDEX(Inflation!$D$126:$BD$166, MATCH($B245, Inflation!$B$126:$B$166,0), MATCH(O$230, Inflation!$D$125:$BDR$125,0))</f>
        <v>10733.284184463357</v>
      </c>
      <c r="P245" s="732">
        <f>(P191+P213)*INDEX(Inflation!$D$126:$BD$166, MATCH($B245, Inflation!$B$126:$B$166,0), MATCH(P$230, Inflation!$D$125:$BDR$125,0))</f>
        <v>11144.216883012774</v>
      </c>
      <c r="Q245" s="732">
        <f>(Q191+Q213)*INDEX(Inflation!$D$126:$BD$166, MATCH($B245, Inflation!$B$126:$B$166,0), MATCH(Q$230, Inflation!$D$125:$BDR$125,0))</f>
        <v>11559.732776584788</v>
      </c>
      <c r="R245" s="732">
        <f>(R191+R213)*INDEX(Inflation!$D$126:$BD$166, MATCH($B245, Inflation!$B$126:$B$166,0), MATCH(R$230, Inflation!$D$125:$BDR$125,0))</f>
        <v>11982.968068865266</v>
      </c>
      <c r="S245" s="732">
        <f>(S191+S213)*INDEX(Inflation!$D$126:$BD$166, MATCH($B245, Inflation!$B$126:$B$166,0), MATCH(S$230, Inflation!$D$125:$BDR$125,0))</f>
        <v>12415.243037947752</v>
      </c>
      <c r="T245" s="732">
        <f>(T191+T213)*INDEX(Inflation!$D$126:$BD$166, MATCH($B245, Inflation!$B$126:$B$166,0), MATCH(T$230, Inflation!$D$125:$BDR$125,0))</f>
        <v>12855.962432348279</v>
      </c>
      <c r="U245" s="732">
        <f>(U191+U213)*INDEX(Inflation!$D$126:$BD$166, MATCH($B245, Inflation!$B$126:$B$166,0), MATCH(U$230, Inflation!$D$125:$BDR$125,0))</f>
        <v>13305.805172279715</v>
      </c>
      <c r="V245" s="732">
        <f>(V191+V213)*INDEX(Inflation!$D$126:$BD$166, MATCH($B245, Inflation!$B$126:$B$166,0), MATCH(V$230, Inflation!$D$125:$BDR$125,0))</f>
        <v>13768.293371274758</v>
      </c>
      <c r="W245" s="732">
        <f>(W191+W213)*INDEX(Inflation!$D$126:$BD$166, MATCH($B245, Inflation!$B$126:$B$166,0), MATCH(W$230, Inflation!$D$125:$BDR$125,0))</f>
        <v>14240.1607946809</v>
      </c>
      <c r="X245" s="732">
        <f>(X191+X213)*INDEX(Inflation!$D$126:$BD$166, MATCH($B245, Inflation!$B$126:$B$166,0), MATCH(X$230, Inflation!$D$125:$BDR$125,0))</f>
        <v>14720.463410881912</v>
      </c>
      <c r="Y245" s="732">
        <f>(Y191+Y213)*INDEX(Inflation!$D$126:$BD$166, MATCH($B245, Inflation!$B$126:$B$166,0), MATCH(Y$230, Inflation!$D$125:$BDR$125,0))</f>
        <v>15209.218940238627</v>
      </c>
      <c r="Z245" s="732">
        <f>(Z191+Z213)*INDEX(Inflation!$D$126:$BD$166, MATCH($B245, Inflation!$B$126:$B$166,0), MATCH(Z$230, Inflation!$D$125:$BDR$125,0))</f>
        <v>15708.149592653663</v>
      </c>
      <c r="AA245" s="732">
        <f>(AA191+AA213)*INDEX(Inflation!$D$126:$BD$166, MATCH($B245, Inflation!$B$126:$B$166,0), MATCH(AA$230, Inflation!$D$125:$BDR$125,0))</f>
        <v>16217.687451656084</v>
      </c>
      <c r="AB245" s="732">
        <f>(AB191+AB213)*INDEX(Inflation!$D$126:$BD$166, MATCH($B245, Inflation!$B$126:$B$166,0), MATCH(AB$230, Inflation!$D$125:$BDR$125,0))</f>
        <v>16737.665767796479</v>
      </c>
      <c r="AC245" s="732">
        <f>(AC191+AC213)*INDEX(Inflation!$D$126:$BD$166, MATCH($B245, Inflation!$B$126:$B$166,0), MATCH(AC$230, Inflation!$D$125:$BDR$125,0))</f>
        <v>17267.593884211547</v>
      </c>
      <c r="AD245" s="732">
        <f>(AD191+AD213)*INDEX(Inflation!$D$126:$BD$166, MATCH($B245, Inflation!$B$126:$B$166,0), MATCH(AD$230, Inflation!$D$125:$BDR$125,0))</f>
        <v>17806.818438689803</v>
      </c>
      <c r="AE245" s="732">
        <f>(AE191+AE213)*INDEX(Inflation!$D$126:$BD$166, MATCH($B245, Inflation!$B$126:$B$166,0), MATCH(AE$230, Inflation!$D$125:$BDR$125,0))</f>
        <v>18354.968986617867</v>
      </c>
      <c r="AF245" s="732">
        <f>(AF191+AF213)*INDEX(Inflation!$D$126:$BD$166, MATCH($B245, Inflation!$B$126:$B$166,0), MATCH(AF$230, Inflation!$D$125:$BDR$125,0))</f>
        <v>18911.568649712251</v>
      </c>
      <c r="AG245" s="732">
        <f>(AG191+AG213)*INDEX(Inflation!$D$126:$BD$166, MATCH($B245, Inflation!$B$126:$B$166,0), MATCH(AG$230, Inflation!$D$125:$BDR$125,0))</f>
        <v>19475.979914770298</v>
      </c>
      <c r="AH245" s="732">
        <f>(AH191+AH213)*INDEX(Inflation!$D$126:$BD$166, MATCH($B245, Inflation!$B$126:$B$166,0), MATCH(AH$230, Inflation!$D$125:$BDR$125,0))</f>
        <v>20049.376481710915</v>
      </c>
      <c r="AI245" s="732">
        <f>(AI191+AI213)*INDEX(Inflation!$D$126:$BD$166, MATCH($B245, Inflation!$B$126:$B$166,0), MATCH(AI$230, Inflation!$D$125:$BDR$125,0))</f>
        <v>20632.050883846652</v>
      </c>
      <c r="AJ245" s="732">
        <f>(AJ191+AJ213)*INDEX(Inflation!$D$126:$BD$166, MATCH($B245, Inflation!$B$126:$B$166,0), MATCH(AJ$230, Inflation!$D$125:$BDR$125,0))</f>
        <v>21224.774424180192</v>
      </c>
      <c r="AK245" s="732">
        <f>(AK191+AK213)*INDEX(Inflation!$D$126:$BD$166, MATCH($B245, Inflation!$B$126:$B$166,0), MATCH(AK$230, Inflation!$D$125:$BDR$125,0))</f>
        <v>21825.771762074612</v>
      </c>
      <c r="AL245" s="732">
        <f>(AL191+AL213)*INDEX(Inflation!$D$126:$BD$166, MATCH($B245, Inflation!$B$126:$B$166,0), MATCH(AL$230, Inflation!$D$125:$BDR$125,0))</f>
        <v>22433.354187411576</v>
      </c>
      <c r="AM245" s="732">
        <f>(AM191+AM213)*INDEX(Inflation!$D$126:$BD$166, MATCH($B245, Inflation!$B$126:$B$166,0), MATCH(AM$230, Inflation!$D$125:$BDR$125,0))</f>
        <v>23046.071757095182</v>
      </c>
      <c r="AN245" s="732">
        <f>(AN191+AN213)*INDEX(Inflation!$D$126:$BD$166, MATCH($B245, Inflation!$B$126:$B$166,0), MATCH(AN$230, Inflation!$D$125:$BDR$125,0))</f>
        <v>23663.876467620688</v>
      </c>
      <c r="AO245" s="732">
        <f>(AO191+AO213)*INDEX(Inflation!$D$126:$BD$166, MATCH($B245, Inflation!$B$126:$B$166,0), MATCH(AO$230, Inflation!$D$125:$BDR$125,0))</f>
        <v>24286.4426776297</v>
      </c>
      <c r="AP245" s="732">
        <f>(AP191+AP213)*INDEX(Inflation!$D$126:$BD$166, MATCH($B245, Inflation!$B$126:$B$166,0), MATCH(AP$230, Inflation!$D$125:$BDR$125,0))</f>
        <v>24913.130328593375</v>
      </c>
      <c r="AQ245" s="732">
        <f>(AQ191+AQ213)*INDEX(Inflation!$D$126:$BD$166, MATCH($B245, Inflation!$B$126:$B$166,0), MATCH(AQ$230, Inflation!$D$125:$BDR$125,0))</f>
        <v>25545.715468789258</v>
      </c>
      <c r="AR245" s="732">
        <f>(AR191+AR213)*INDEX(Inflation!$D$126:$BD$166, MATCH($B245, Inflation!$B$126:$B$166,0), MATCH(AR$230, Inflation!$D$125:$BDR$125,0))</f>
        <v>26186.647845815365</v>
      </c>
      <c r="AS245" s="732">
        <f>(AS191+AS213)*INDEX(Inflation!$D$126:$BD$166, MATCH($B245, Inflation!$B$126:$B$166,0), MATCH(AS$230, Inflation!$D$125:$BDR$125,0))</f>
        <v>26838.119604080501</v>
      </c>
      <c r="AT245" s="732">
        <f>(AT191+AT213)*INDEX(Inflation!$D$126:$BD$166, MATCH($B245, Inflation!$B$126:$B$166,0), MATCH(AT$230, Inflation!$D$125:$BDR$125,0))</f>
        <v>27487.498447288079</v>
      </c>
      <c r="AU245" s="732" t="e">
        <f>(AU191+AU213)*INDEX(Inflation!$D$126:$BD$166, MATCH($B245, Inflation!$B$126:$B$166,0), MATCH(AU$230, Inflation!$D$125:$BDR$125,0))</f>
        <v>#N/A</v>
      </c>
      <c r="AV245" s="732" t="e">
        <f>(AV191+AV213)*INDEX(Inflation!$D$126:$BD$166, MATCH($B245, Inflation!$B$126:$B$166,0), MATCH(AV$230, Inflation!$D$125:$BDR$125,0))</f>
        <v>#N/A</v>
      </c>
      <c r="AW245" s="732" t="e">
        <f>(AW191+AW213)*INDEX(Inflation!$D$126:$BD$166, MATCH($B245, Inflation!$B$126:$B$166,0), MATCH(AW$230, Inflation!$D$125:$BDR$125,0))</f>
        <v>#N/A</v>
      </c>
      <c r="AX245" s="732" t="e">
        <f>(AX191+AX213)*INDEX(Inflation!$D$126:$BD$166, MATCH($B245, Inflation!$B$126:$B$166,0), MATCH(AX$230, Inflation!$D$125:$BDR$125,0))</f>
        <v>#N/A</v>
      </c>
      <c r="AY245" s="732" t="e">
        <f>(AY191+AY213)*INDEX(Inflation!$D$126:$BD$166, MATCH($B245, Inflation!$B$126:$B$166,0), MATCH(AY$230, Inflation!$D$125:$BDR$125,0))</f>
        <v>#N/A</v>
      </c>
      <c r="AZ245" s="732" t="e">
        <f>(AZ191+AZ213)*INDEX(Inflation!$D$126:$BD$166, MATCH($B245, Inflation!$B$126:$B$166,0), MATCH(AZ$230, Inflation!$D$125:$BDR$125,0))</f>
        <v>#N/A</v>
      </c>
      <c r="BA245" s="732" t="e">
        <f>(BA191+BA213)*INDEX(Inflation!$D$126:$BD$166, MATCH($B245, Inflation!$B$126:$B$166,0), MATCH(BA$230, Inflation!$D$125:$BDR$125,0))</f>
        <v>#N/A</v>
      </c>
      <c r="BB245" s="732" t="e">
        <f>(BB191+BB213)*INDEX(Inflation!$D$126:$BD$166, MATCH($B245, Inflation!$B$126:$B$166,0), MATCH(BB$230, Inflation!$D$125:$BDR$125,0))</f>
        <v>#N/A</v>
      </c>
    </row>
    <row r="246" spans="1:54">
      <c r="B246" s="6" t="s">
        <v>2831</v>
      </c>
      <c r="C246" s="47"/>
      <c r="D246" s="732">
        <f>(D192+D214)*INDEX(Inflation!$D$126:$BD$166, MATCH($B246, Inflation!$B$126:$B$166,0), MATCH(D$230, Inflation!$D$125:$BDR$125,0))</f>
        <v>182075.44756446945</v>
      </c>
      <c r="E246" s="732">
        <f>(E192+E214)*INDEX(Inflation!$D$126:$BD$166, MATCH($B246, Inflation!$B$126:$B$166,0), MATCH(E$230, Inflation!$D$125:$BDR$125,0))</f>
        <v>192826.62756274123</v>
      </c>
      <c r="F246" s="732">
        <f>(F192+F214)*INDEX(Inflation!$D$126:$BD$166, MATCH($B246, Inflation!$B$126:$B$166,0), MATCH(F$230, Inflation!$D$125:$BDR$125,0))</f>
        <v>203043.3046608631</v>
      </c>
      <c r="G246" s="732">
        <f>(G192+G214)*INDEX(Inflation!$D$126:$BD$166, MATCH($B246, Inflation!$B$126:$B$166,0), MATCH(G$230, Inflation!$D$125:$BDR$125,0))</f>
        <v>212986.50745936306</v>
      </c>
      <c r="H246" s="732">
        <f>(H192+H214)*INDEX(Inflation!$D$126:$BD$166, MATCH($B246, Inflation!$B$126:$B$166,0), MATCH(H$230, Inflation!$D$125:$BDR$125,0))</f>
        <v>222914.00050878187</v>
      </c>
      <c r="I246" s="732">
        <f>(I192+I214)*INDEX(Inflation!$D$126:$BD$166, MATCH($B246, Inflation!$B$126:$B$166,0), MATCH(I$230, Inflation!$D$125:$BDR$125,0))</f>
        <v>232975.31916551015</v>
      </c>
      <c r="J246" s="732">
        <f>(J192+J214)*INDEX(Inflation!$D$126:$BD$166, MATCH($B246, Inflation!$B$126:$B$166,0), MATCH(J$230, Inflation!$D$125:$BDR$125,0))</f>
        <v>243171.78111934999</v>
      </c>
      <c r="K246" s="732">
        <f>(K192+K214)*INDEX(Inflation!$D$126:$BD$166, MATCH($B246, Inflation!$B$126:$B$166,0), MATCH(K$230, Inflation!$D$125:$BDR$125,0))</f>
        <v>253580.19888724739</v>
      </c>
      <c r="L246" s="732">
        <f>(L192+L214)*INDEX(Inflation!$D$126:$BD$166, MATCH($B246, Inflation!$B$126:$B$166,0), MATCH(L$230, Inflation!$D$125:$BDR$125,0))</f>
        <v>264694.23197920161</v>
      </c>
      <c r="M246" s="732">
        <f>(M192+M214)*INDEX(Inflation!$D$126:$BD$166, MATCH($B246, Inflation!$B$126:$B$166,0), MATCH(M$230, Inflation!$D$125:$BDR$125,0))</f>
        <v>276219.50760738895</v>
      </c>
      <c r="N246" s="732">
        <f>(N192+N214)*INDEX(Inflation!$D$126:$BD$166, MATCH($B246, Inflation!$B$126:$B$166,0), MATCH(N$230, Inflation!$D$125:$BDR$125,0))</f>
        <v>288010.58268423728</v>
      </c>
      <c r="O246" s="732">
        <f>(O192+O214)*INDEX(Inflation!$D$126:$BD$166, MATCH($B246, Inflation!$B$126:$B$166,0), MATCH(O$230, Inflation!$D$125:$BDR$125,0))</f>
        <v>299709.94638360007</v>
      </c>
      <c r="P246" s="732">
        <f>(P192+P214)*INDEX(Inflation!$D$126:$BD$166, MATCH($B246, Inflation!$B$126:$B$166,0), MATCH(P$230, Inflation!$D$125:$BDR$125,0))</f>
        <v>311547.99022201385</v>
      </c>
      <c r="Q246" s="732">
        <f>(Q192+Q214)*INDEX(Inflation!$D$126:$BD$166, MATCH($B246, Inflation!$B$126:$B$166,0), MATCH(Q$230, Inflation!$D$125:$BDR$125,0))</f>
        <v>323620.7007885442</v>
      </c>
      <c r="R246" s="732">
        <f>(R192+R214)*INDEX(Inflation!$D$126:$BD$166, MATCH($B246, Inflation!$B$126:$B$166,0), MATCH(R$230, Inflation!$D$125:$BDR$125,0))</f>
        <v>336045.09390745248</v>
      </c>
      <c r="S246" s="732">
        <f>(S192+S214)*INDEX(Inflation!$D$126:$BD$166, MATCH($B246, Inflation!$B$126:$B$166,0), MATCH(S$230, Inflation!$D$125:$BDR$125,0))</f>
        <v>348844.47479672596</v>
      </c>
      <c r="T246" s="732">
        <f>(T192+T214)*INDEX(Inflation!$D$126:$BD$166, MATCH($B246, Inflation!$B$126:$B$166,0), MATCH(T$230, Inflation!$D$125:$BDR$125,0))</f>
        <v>361932.000408102</v>
      </c>
      <c r="U246" s="732">
        <f>(U192+U214)*INDEX(Inflation!$D$126:$BD$166, MATCH($B246, Inflation!$B$126:$B$166,0), MATCH(U$230, Inflation!$D$125:$BDR$125,0))</f>
        <v>375327.55352379981</v>
      </c>
      <c r="V246" s="732">
        <f>(V192+V214)*INDEX(Inflation!$D$126:$BD$166, MATCH($B246, Inflation!$B$126:$B$166,0), MATCH(V$230, Inflation!$D$125:$BDR$125,0))</f>
        <v>389272.33666511416</v>
      </c>
      <c r="W246" s="732">
        <f>(W192+W214)*INDEX(Inflation!$D$126:$BD$166, MATCH($B246, Inflation!$B$126:$B$166,0), MATCH(W$230, Inflation!$D$125:$BDR$125,0))</f>
        <v>403579.70659580117</v>
      </c>
      <c r="X246" s="732">
        <f>(X192+X214)*INDEX(Inflation!$D$126:$BD$166, MATCH($B246, Inflation!$B$126:$B$166,0), MATCH(X$230, Inflation!$D$125:$BDR$125,0))</f>
        <v>418198.75695280125</v>
      </c>
      <c r="Y246" s="732">
        <f>(Y192+Y214)*INDEX(Inflation!$D$126:$BD$166, MATCH($B246, Inflation!$B$126:$B$166,0), MATCH(Y$230, Inflation!$D$125:$BDR$125,0))</f>
        <v>433125.32957007922</v>
      </c>
      <c r="Z246" s="732">
        <f>(Z192+Z214)*INDEX(Inflation!$D$126:$BD$166, MATCH($B246, Inflation!$B$126:$B$166,0), MATCH(Z$230, Inflation!$D$125:$BDR$125,0))</f>
        <v>448467.90059594682</v>
      </c>
      <c r="AA246" s="732">
        <f>(AA192+AA214)*INDEX(Inflation!$D$126:$BD$166, MATCH($B246, Inflation!$B$126:$B$166,0), MATCH(AA$230, Inflation!$D$125:$BDR$125,0))</f>
        <v>464211.86463016819</v>
      </c>
      <c r="AB246" s="732">
        <f>(AB192+AB214)*INDEX(Inflation!$D$126:$BD$166, MATCH($B246, Inflation!$B$126:$B$166,0), MATCH(AB$230, Inflation!$D$125:$BDR$125,0))</f>
        <v>480320.92564845952</v>
      </c>
      <c r="AC246" s="732">
        <f>(AC192+AC214)*INDEX(Inflation!$D$126:$BD$166, MATCH($B246, Inflation!$B$126:$B$166,0), MATCH(AC$230, Inflation!$D$125:$BDR$125,0))</f>
        <v>496765.99315820204</v>
      </c>
      <c r="AD246" s="732">
        <f>(AD192+AD214)*INDEX(Inflation!$D$126:$BD$166, MATCH($B246, Inflation!$B$126:$B$166,0), MATCH(AD$230, Inflation!$D$125:$BDR$125,0))</f>
        <v>513515.43150070152</v>
      </c>
      <c r="AE246" s="732">
        <f>(AE192+AE214)*INDEX(Inflation!$D$126:$BD$166, MATCH($B246, Inflation!$B$126:$B$166,0), MATCH(AE$230, Inflation!$D$125:$BDR$125,0))</f>
        <v>530544.67822039849</v>
      </c>
      <c r="AF246" s="732">
        <f>(AF192+AF214)*INDEX(Inflation!$D$126:$BD$166, MATCH($B246, Inflation!$B$126:$B$166,0), MATCH(AF$230, Inflation!$D$125:$BDR$125,0))</f>
        <v>547829.35393221572</v>
      </c>
      <c r="AG246" s="732">
        <f>(AG192+AG214)*INDEX(Inflation!$D$126:$BD$166, MATCH($B246, Inflation!$B$126:$B$166,0), MATCH(AG$230, Inflation!$D$125:$BDR$125,0))</f>
        <v>565390.4945016416</v>
      </c>
      <c r="AH246" s="732">
        <f>(AH192+AH214)*INDEX(Inflation!$D$126:$BD$166, MATCH($B246, Inflation!$B$126:$B$166,0), MATCH(AH$230, Inflation!$D$125:$BDR$125,0))</f>
        <v>583342.96839067154</v>
      </c>
      <c r="AI246" s="732">
        <f>(AI192+AI214)*INDEX(Inflation!$D$126:$BD$166, MATCH($B246, Inflation!$B$126:$B$166,0), MATCH(AI$230, Inflation!$D$125:$BDR$125,0))</f>
        <v>601704.00332177232</v>
      </c>
      <c r="AJ246" s="732">
        <f>(AJ192+AJ214)*INDEX(Inflation!$D$126:$BD$166, MATCH($B246, Inflation!$B$126:$B$166,0), MATCH(AJ$230, Inflation!$D$125:$BDR$125,0))</f>
        <v>620523.77375450125</v>
      </c>
      <c r="AK246" s="732">
        <f>(AK192+AK214)*INDEX(Inflation!$D$126:$BD$166, MATCH($B246, Inflation!$B$126:$B$166,0), MATCH(AK$230, Inflation!$D$125:$BDR$125,0))</f>
        <v>639671.31650834368</v>
      </c>
      <c r="AL246" s="732">
        <f>(AL192+AL214)*INDEX(Inflation!$D$126:$BD$166, MATCH($B246, Inflation!$B$126:$B$166,0), MATCH(AL$230, Inflation!$D$125:$BDR$125,0))</f>
        <v>659040.28170286573</v>
      </c>
      <c r="AM246" s="732">
        <f>(AM192+AM214)*INDEX(Inflation!$D$126:$BD$166, MATCH($B246, Inflation!$B$126:$B$166,0), MATCH(AM$230, Inflation!$D$125:$BDR$125,0))</f>
        <v>678552.137758689</v>
      </c>
      <c r="AN246" s="732">
        <f>(AN192+AN214)*INDEX(Inflation!$D$126:$BD$166, MATCH($B246, Inflation!$B$126:$B$166,0), MATCH(AN$230, Inflation!$D$125:$BDR$125,0))</f>
        <v>698244.38657471398</v>
      </c>
      <c r="AO246" s="732">
        <f>(AO192+AO214)*INDEX(Inflation!$D$126:$BD$166, MATCH($B246, Inflation!$B$126:$B$166,0), MATCH(AO$230, Inflation!$D$125:$BDR$125,0))</f>
        <v>718119.76304920949</v>
      </c>
      <c r="AP246" s="732">
        <f>(AP192+AP214)*INDEX(Inflation!$D$126:$BD$166, MATCH($B246, Inflation!$B$126:$B$166,0), MATCH(AP$230, Inflation!$D$125:$BDR$125,0))</f>
        <v>738150.39416631975</v>
      </c>
      <c r="AQ246" s="732">
        <f>(AQ192+AQ214)*INDEX(Inflation!$D$126:$BD$166, MATCH($B246, Inflation!$B$126:$B$166,0), MATCH(AQ$230, Inflation!$D$125:$BDR$125,0))</f>
        <v>758498.59353779757</v>
      </c>
      <c r="AR246" s="732">
        <f>(AR192+AR214)*INDEX(Inflation!$D$126:$BD$166, MATCH($B246, Inflation!$B$126:$B$166,0), MATCH(AR$230, Inflation!$D$125:$BDR$125,0))</f>
        <v>779358.52020347526</v>
      </c>
      <c r="AS246" s="732">
        <f>(AS192+AS214)*INDEX(Inflation!$D$126:$BD$166, MATCH($B246, Inflation!$B$126:$B$166,0), MATCH(AS$230, Inflation!$D$125:$BDR$125,0))</f>
        <v>800897.68649370386</v>
      </c>
      <c r="AT246" s="732">
        <f>(AT192+AT214)*INDEX(Inflation!$D$126:$BD$166, MATCH($B246, Inflation!$B$126:$B$166,0), MATCH(AT$230, Inflation!$D$125:$BDR$125,0))</f>
        <v>822074.7354440263</v>
      </c>
      <c r="AU246" s="732" t="e">
        <f>(AU192+AU214)*INDEX(Inflation!$D$126:$BD$166, MATCH($B246, Inflation!$B$126:$B$166,0), MATCH(AU$230, Inflation!$D$125:$BDR$125,0))</f>
        <v>#N/A</v>
      </c>
      <c r="AV246" s="732" t="e">
        <f>(AV192+AV214)*INDEX(Inflation!$D$126:$BD$166, MATCH($B246, Inflation!$B$126:$B$166,0), MATCH(AV$230, Inflation!$D$125:$BDR$125,0))</f>
        <v>#N/A</v>
      </c>
      <c r="AW246" s="732" t="e">
        <f>(AW192+AW214)*INDEX(Inflation!$D$126:$BD$166, MATCH($B246, Inflation!$B$126:$B$166,0), MATCH(AW$230, Inflation!$D$125:$BDR$125,0))</f>
        <v>#N/A</v>
      </c>
      <c r="AX246" s="732" t="e">
        <f>(AX192+AX214)*INDEX(Inflation!$D$126:$BD$166, MATCH($B246, Inflation!$B$126:$B$166,0), MATCH(AX$230, Inflation!$D$125:$BDR$125,0))</f>
        <v>#N/A</v>
      </c>
      <c r="AY246" s="732" t="e">
        <f>(AY192+AY214)*INDEX(Inflation!$D$126:$BD$166, MATCH($B246, Inflation!$B$126:$B$166,0), MATCH(AY$230, Inflation!$D$125:$BDR$125,0))</f>
        <v>#N/A</v>
      </c>
      <c r="AZ246" s="732" t="e">
        <f>(AZ192+AZ214)*INDEX(Inflation!$D$126:$BD$166, MATCH($B246, Inflation!$B$126:$B$166,0), MATCH(AZ$230, Inflation!$D$125:$BDR$125,0))</f>
        <v>#N/A</v>
      </c>
      <c r="BA246" s="732" t="e">
        <f>(BA192+BA214)*INDEX(Inflation!$D$126:$BD$166, MATCH($B246, Inflation!$B$126:$B$166,0), MATCH(BA$230, Inflation!$D$125:$BDR$125,0))</f>
        <v>#N/A</v>
      </c>
      <c r="BB246" s="732" t="e">
        <f>(BB192+BB214)*INDEX(Inflation!$D$126:$BD$166, MATCH($B246, Inflation!$B$126:$B$166,0), MATCH(BB$230, Inflation!$D$125:$BDR$125,0))</f>
        <v>#N/A</v>
      </c>
    </row>
    <row r="247" spans="1:54">
      <c r="B247" s="6" t="s">
        <v>2832</v>
      </c>
      <c r="C247" s="47"/>
      <c r="D247" s="732">
        <f>(D193+D215)*INDEX(Inflation!$D$126:$BD$166, MATCH($B247, Inflation!$B$126:$B$166,0), MATCH(D$230, Inflation!$D$125:$BDR$125,0))</f>
        <v>74049.455846046461</v>
      </c>
      <c r="E247" s="732">
        <f>(E193+E215)*INDEX(Inflation!$D$126:$BD$166, MATCH($B247, Inflation!$B$126:$B$166,0), MATCH(E$230, Inflation!$D$125:$BDR$125,0))</f>
        <v>78480.330742360049</v>
      </c>
      <c r="F247" s="732">
        <f>(F193+F215)*INDEX(Inflation!$D$126:$BD$166, MATCH($B247, Inflation!$B$126:$B$166,0), MATCH(F$230, Inflation!$D$125:$BDR$125,0))</f>
        <v>82698.530418335082</v>
      </c>
      <c r="G247" s="732">
        <f>(G193+G215)*INDEX(Inflation!$D$126:$BD$166, MATCH($B247, Inflation!$B$126:$B$166,0), MATCH(G$230, Inflation!$D$125:$BDR$125,0))</f>
        <v>86810.144062715117</v>
      </c>
      <c r="H247" s="732">
        <f>(H193+H215)*INDEX(Inflation!$D$126:$BD$166, MATCH($B247, Inflation!$B$126:$B$166,0), MATCH(H$230, Inflation!$D$125:$BDR$125,0))</f>
        <v>90920.015609472379</v>
      </c>
      <c r="I247" s="732">
        <f>(I193+I215)*INDEX(Inflation!$D$126:$BD$166, MATCH($B247, Inflation!$B$126:$B$166,0), MATCH(I$230, Inflation!$D$125:$BDR$125,0))</f>
        <v>95089.055497815527</v>
      </c>
      <c r="J247" s="732">
        <f>(J193+J215)*INDEX(Inflation!$D$126:$BD$166, MATCH($B247, Inflation!$B$126:$B$166,0), MATCH(J$230, Inflation!$D$125:$BDR$125,0))</f>
        <v>99317.944564490987</v>
      </c>
      <c r="K247" s="732">
        <f>(K193+K215)*INDEX(Inflation!$D$126:$BD$166, MATCH($B247, Inflation!$B$126:$B$166,0), MATCH(K$230, Inflation!$D$125:$BDR$125,0))</f>
        <v>103638.07067232506</v>
      </c>
      <c r="L247" s="732">
        <f>(L193+L215)*INDEX(Inflation!$D$126:$BD$166, MATCH($B247, Inflation!$B$126:$B$166,0), MATCH(L$230, Inflation!$D$125:$BDR$125,0))</f>
        <v>108250.3797512517</v>
      </c>
      <c r="M247" s="732">
        <f>(M193+M215)*INDEX(Inflation!$D$126:$BD$166, MATCH($B247, Inflation!$B$126:$B$166,0), MATCH(M$230, Inflation!$D$125:$BDR$125,0))</f>
        <v>113035.48986809896</v>
      </c>
      <c r="N247" s="732">
        <f>(N193+N215)*INDEX(Inflation!$D$126:$BD$166, MATCH($B247, Inflation!$B$126:$B$166,0), MATCH(N$230, Inflation!$D$125:$BDR$125,0))</f>
        <v>117934.50113507852</v>
      </c>
      <c r="O247" s="732">
        <f>(O193+O215)*INDEX(Inflation!$D$126:$BD$166, MATCH($B247, Inflation!$B$126:$B$166,0), MATCH(O$230, Inflation!$D$125:$BDR$125,0))</f>
        <v>122729.04847830115</v>
      </c>
      <c r="P247" s="732">
        <f>(P193+P215)*INDEX(Inflation!$D$126:$BD$166, MATCH($B247, Inflation!$B$126:$B$166,0), MATCH(P$230, Inflation!$D$125:$BDR$125,0))</f>
        <v>127580.30711430781</v>
      </c>
      <c r="Q247" s="732">
        <f>(Q193+Q215)*INDEX(Inflation!$D$126:$BD$166, MATCH($B247, Inflation!$B$126:$B$166,0), MATCH(Q$230, Inflation!$D$125:$BDR$125,0))</f>
        <v>132527.588037034</v>
      </c>
      <c r="R247" s="732">
        <f>(R193+R215)*INDEX(Inflation!$D$126:$BD$166, MATCH($B247, Inflation!$B$126:$B$166,0), MATCH(R$230, Inflation!$D$125:$BDR$125,0))</f>
        <v>137618.68641242123</v>
      </c>
      <c r="S247" s="732">
        <f>(S193+S215)*INDEX(Inflation!$D$126:$BD$166, MATCH($B247, Inflation!$B$126:$B$166,0), MATCH(S$230, Inflation!$D$125:$BDR$125,0))</f>
        <v>142863.2240012383</v>
      </c>
      <c r="T247" s="732">
        <f>(T193+T215)*INDEX(Inflation!$D$126:$BD$166, MATCH($B247, Inflation!$B$126:$B$166,0), MATCH(T$230, Inflation!$D$125:$BDR$125,0))</f>
        <v>148225.97626441155</v>
      </c>
      <c r="U247" s="732">
        <f>(U193+U215)*INDEX(Inflation!$D$126:$BD$166, MATCH($B247, Inflation!$B$126:$B$166,0), MATCH(U$230, Inflation!$D$125:$BDR$125,0))</f>
        <v>153715.0975630153</v>
      </c>
      <c r="V247" s="732">
        <f>(V193+V215)*INDEX(Inflation!$D$126:$BD$166, MATCH($B247, Inflation!$B$126:$B$166,0), MATCH(V$230, Inflation!$D$125:$BDR$125,0))</f>
        <v>159428.72944335599</v>
      </c>
      <c r="W247" s="732">
        <f>(W193+W215)*INDEX(Inflation!$D$126:$BD$166, MATCH($B247, Inflation!$B$126:$B$166,0), MATCH(W$230, Inflation!$D$125:$BDR$125,0))</f>
        <v>165290.89028959698</v>
      </c>
      <c r="X247" s="732">
        <f>(X193+X215)*INDEX(Inflation!$D$126:$BD$166, MATCH($B247, Inflation!$B$126:$B$166,0), MATCH(X$230, Inflation!$D$125:$BDR$125,0))</f>
        <v>171280.85958510663</v>
      </c>
      <c r="Y247" s="732">
        <f>(Y193+Y215)*INDEX(Inflation!$D$126:$BD$166, MATCH($B247, Inflation!$B$126:$B$166,0), MATCH(Y$230, Inflation!$D$125:$BDR$125,0))</f>
        <v>177396.97130590718</v>
      </c>
      <c r="Z247" s="732">
        <f>(Z193+Z215)*INDEX(Inflation!$D$126:$BD$166, MATCH($B247, Inflation!$B$126:$B$166,0), MATCH(Z$230, Inflation!$D$125:$BDR$125,0))</f>
        <v>183683.39254347378</v>
      </c>
      <c r="AA247" s="732">
        <f>(AA193+AA215)*INDEX(Inflation!$D$126:$BD$166, MATCH($B247, Inflation!$B$126:$B$166,0), MATCH(AA$230, Inflation!$D$125:$BDR$125,0))</f>
        <v>190134.28573122644</v>
      </c>
      <c r="AB247" s="732">
        <f>(AB193+AB215)*INDEX(Inflation!$D$126:$BD$166, MATCH($B247, Inflation!$B$126:$B$166,0), MATCH(AB$230, Inflation!$D$125:$BDR$125,0))</f>
        <v>196734.95118248698</v>
      </c>
      <c r="AC247" s="732">
        <f>(AC193+AC215)*INDEX(Inflation!$D$126:$BD$166, MATCH($B247, Inflation!$B$126:$B$166,0), MATCH(AC$230, Inflation!$D$125:$BDR$125,0))</f>
        <v>203473.56266340864</v>
      </c>
      <c r="AD247" s="732">
        <f>(AD193+AD215)*INDEX(Inflation!$D$126:$BD$166, MATCH($B247, Inflation!$B$126:$B$166,0), MATCH(AD$230, Inflation!$D$125:$BDR$125,0))</f>
        <v>210337.2404660098</v>
      </c>
      <c r="AE247" s="732">
        <f>(AE193+AE215)*INDEX(Inflation!$D$126:$BD$166, MATCH($B247, Inflation!$B$126:$B$166,0), MATCH(AE$230, Inflation!$D$125:$BDR$125,0))</f>
        <v>217316.00614348258</v>
      </c>
      <c r="AF247" s="732">
        <f>(AF193+AF215)*INDEX(Inflation!$D$126:$BD$166, MATCH($B247, Inflation!$B$126:$B$166,0), MATCH(AF$230, Inflation!$D$125:$BDR$125,0))</f>
        <v>224399.94017987518</v>
      </c>
      <c r="AG247" s="732">
        <f>(AG193+AG215)*INDEX(Inflation!$D$126:$BD$166, MATCH($B247, Inflation!$B$126:$B$166,0), MATCH(AG$230, Inflation!$D$125:$BDR$125,0))</f>
        <v>231597.48850043691</v>
      </c>
      <c r="AH247" s="732">
        <f>(AH193+AH215)*INDEX(Inflation!$D$126:$BD$166, MATCH($B247, Inflation!$B$126:$B$166,0), MATCH(AH$230, Inflation!$D$125:$BDR$125,0))</f>
        <v>238955.33771278634</v>
      </c>
      <c r="AI247" s="732">
        <f>(AI193+AI215)*INDEX(Inflation!$D$126:$BD$166, MATCH($B247, Inflation!$B$126:$B$166,0), MATCH(AI$230, Inflation!$D$125:$BDR$125,0))</f>
        <v>246480.52090755824</v>
      </c>
      <c r="AJ247" s="732">
        <f>(AJ193+AJ215)*INDEX(Inflation!$D$126:$BD$166, MATCH($B247, Inflation!$B$126:$B$166,0), MATCH(AJ$230, Inflation!$D$125:$BDR$125,0))</f>
        <v>254193.47831064693</v>
      </c>
      <c r="AK247" s="732">
        <f>(AK193+AK215)*INDEX(Inflation!$D$126:$BD$166, MATCH($B247, Inflation!$B$126:$B$166,0), MATCH(AK$230, Inflation!$D$125:$BDR$125,0))</f>
        <v>262040.95541552632</v>
      </c>
      <c r="AL247" s="732">
        <f>(AL193+AL215)*INDEX(Inflation!$D$126:$BD$166, MATCH($B247, Inflation!$B$126:$B$166,0), MATCH(AL$230, Inflation!$D$125:$BDR$125,0))</f>
        <v>269979.67205107387</v>
      </c>
      <c r="AM247" s="732">
        <f>(AM193+AM215)*INDEX(Inflation!$D$126:$BD$166, MATCH($B247, Inflation!$B$126:$B$166,0), MATCH(AM$230, Inflation!$D$125:$BDR$125,0))</f>
        <v>277977.64162165049</v>
      </c>
      <c r="AN247" s="732">
        <f>(AN193+AN215)*INDEX(Inflation!$D$126:$BD$166, MATCH($B247, Inflation!$B$126:$B$166,0), MATCH(AN$230, Inflation!$D$125:$BDR$125,0))</f>
        <v>286050.05341993005</v>
      </c>
      <c r="AO247" s="732">
        <f>(AO193+AO215)*INDEX(Inflation!$D$126:$BD$166, MATCH($B247, Inflation!$B$126:$B$166,0), MATCH(AO$230, Inflation!$D$125:$BDR$125,0))</f>
        <v>294197.98049542034</v>
      </c>
      <c r="AP247" s="732">
        <f>(AP193+AP215)*INDEX(Inflation!$D$126:$BD$166, MATCH($B247, Inflation!$B$126:$B$166,0), MATCH(AP$230, Inflation!$D$125:$BDR$125,0))</f>
        <v>302410.05768768594</v>
      </c>
      <c r="AQ247" s="732">
        <f>(AQ193+AQ215)*INDEX(Inflation!$D$126:$BD$166, MATCH($B247, Inflation!$B$126:$B$166,0), MATCH(AQ$230, Inflation!$D$125:$BDR$125,0))</f>
        <v>310752.26830036717</v>
      </c>
      <c r="AR247" s="732">
        <f>(AR193+AR215)*INDEX(Inflation!$D$126:$BD$166, MATCH($B247, Inflation!$B$126:$B$166,0), MATCH(AR$230, Inflation!$D$125:$BDR$125,0))</f>
        <v>319303.58987418661</v>
      </c>
      <c r="AS247" s="732">
        <f>(AS193+AS215)*INDEX(Inflation!$D$126:$BD$166, MATCH($B247, Inflation!$B$126:$B$166,0), MATCH(AS$230, Inflation!$D$125:$BDR$125,0))</f>
        <v>328132.17918940046</v>
      </c>
      <c r="AT247" s="732">
        <f>(AT193+AT215)*INDEX(Inflation!$D$126:$BD$166, MATCH($B247, Inflation!$B$126:$B$166,0), MATCH(AT$230, Inflation!$D$125:$BDR$125,0))</f>
        <v>336814.59756007005</v>
      </c>
      <c r="AU247" s="732" t="e">
        <f>(AU193+AU215)*INDEX(Inflation!$D$126:$BD$166, MATCH($B247, Inflation!$B$126:$B$166,0), MATCH(AU$230, Inflation!$D$125:$BDR$125,0))</f>
        <v>#N/A</v>
      </c>
      <c r="AV247" s="732" t="e">
        <f>(AV193+AV215)*INDEX(Inflation!$D$126:$BD$166, MATCH($B247, Inflation!$B$126:$B$166,0), MATCH(AV$230, Inflation!$D$125:$BDR$125,0))</f>
        <v>#N/A</v>
      </c>
      <c r="AW247" s="732" t="e">
        <f>(AW193+AW215)*INDEX(Inflation!$D$126:$BD$166, MATCH($B247, Inflation!$B$126:$B$166,0), MATCH(AW$230, Inflation!$D$125:$BDR$125,0))</f>
        <v>#N/A</v>
      </c>
      <c r="AX247" s="732" t="e">
        <f>(AX193+AX215)*INDEX(Inflation!$D$126:$BD$166, MATCH($B247, Inflation!$B$126:$B$166,0), MATCH(AX$230, Inflation!$D$125:$BDR$125,0))</f>
        <v>#N/A</v>
      </c>
      <c r="AY247" s="732" t="e">
        <f>(AY193+AY215)*INDEX(Inflation!$D$126:$BD$166, MATCH($B247, Inflation!$B$126:$B$166,0), MATCH(AY$230, Inflation!$D$125:$BDR$125,0))</f>
        <v>#N/A</v>
      </c>
      <c r="AZ247" s="732" t="e">
        <f>(AZ193+AZ215)*INDEX(Inflation!$D$126:$BD$166, MATCH($B247, Inflation!$B$126:$B$166,0), MATCH(AZ$230, Inflation!$D$125:$BDR$125,0))</f>
        <v>#N/A</v>
      </c>
      <c r="BA247" s="732" t="e">
        <f>(BA193+BA215)*INDEX(Inflation!$D$126:$BD$166, MATCH($B247, Inflation!$B$126:$B$166,0), MATCH(BA$230, Inflation!$D$125:$BDR$125,0))</f>
        <v>#N/A</v>
      </c>
      <c r="BB247" s="732" t="e">
        <f>(BB193+BB215)*INDEX(Inflation!$D$126:$BD$166, MATCH($B247, Inflation!$B$126:$B$166,0), MATCH(BB$230, Inflation!$D$125:$BDR$125,0))</f>
        <v>#N/A</v>
      </c>
    </row>
    <row r="248" spans="1:54">
      <c r="B248" s="6" t="s">
        <v>2871</v>
      </c>
      <c r="C248" s="47"/>
      <c r="D248" s="732">
        <f>(D194+D216)*INDEX(Inflation!$D$126:$BD$166, MATCH($B248, Inflation!$B$126:$B$166,0), MATCH(D$230, Inflation!$D$125:$BDR$125,0))</f>
        <v>5042.0752259749761</v>
      </c>
      <c r="E248" s="732">
        <f>(E194+E216)*INDEX(Inflation!$D$126:$BD$166, MATCH($B248, Inflation!$B$126:$B$166,0), MATCH(E$230, Inflation!$D$125:$BDR$125,0))</f>
        <v>5313.4895511821742</v>
      </c>
      <c r="F248" s="732">
        <f>(F194+F216)*INDEX(Inflation!$D$126:$BD$166, MATCH($B248, Inflation!$B$126:$B$166,0), MATCH(F$230, Inflation!$D$125:$BDR$125,0))</f>
        <v>5567.6063558869128</v>
      </c>
      <c r="G248" s="732">
        <f>(G194+G216)*INDEX(Inflation!$D$126:$BD$166, MATCH($B248, Inflation!$B$126:$B$166,0), MATCH(G$230, Inflation!$D$125:$BDR$125,0))</f>
        <v>5811.7628580788551</v>
      </c>
      <c r="H248" s="732">
        <f>(H194+H216)*INDEX(Inflation!$D$126:$BD$166, MATCH($B248, Inflation!$B$126:$B$166,0), MATCH(H$230, Inflation!$D$125:$BDR$125,0))</f>
        <v>6053.0905507492016</v>
      </c>
      <c r="I248" s="732">
        <f>(I194+I216)*INDEX(Inflation!$D$126:$BD$166, MATCH($B248, Inflation!$B$126:$B$166,0), MATCH(I$230, Inflation!$D$125:$BDR$125,0))</f>
        <v>6295.664818434956</v>
      </c>
      <c r="J248" s="732">
        <f>(J194+J216)*INDEX(Inflation!$D$126:$BD$166, MATCH($B248, Inflation!$B$126:$B$166,0), MATCH(J$230, Inflation!$D$125:$BDR$125,0))</f>
        <v>6539.4813979135261</v>
      </c>
      <c r="K248" s="732">
        <f>(K194+K216)*INDEX(Inflation!$D$126:$BD$166, MATCH($B248, Inflation!$B$126:$B$166,0), MATCH(K$230, Inflation!$D$125:$BDR$125,0))</f>
        <v>6786.5724034421064</v>
      </c>
      <c r="L248" s="732">
        <f>(L194+L216)*INDEX(Inflation!$D$126:$BD$166, MATCH($B248, Inflation!$B$126:$B$166,0), MATCH(L$230, Inflation!$D$125:$BDR$125,0))</f>
        <v>7050.141345409801</v>
      </c>
      <c r="M248" s="732">
        <f>(M194+M216)*INDEX(Inflation!$D$126:$BD$166, MATCH($B248, Inflation!$B$126:$B$166,0), MATCH(M$230, Inflation!$D$125:$BDR$125,0))</f>
        <v>7322.0743203899165</v>
      </c>
      <c r="N248" s="732">
        <f>(N194+N216)*INDEX(Inflation!$D$126:$BD$166, MATCH($B248, Inflation!$B$126:$B$166,0), MATCH(N$230, Inflation!$D$125:$BDR$125,0))</f>
        <v>7598.3594337776613</v>
      </c>
      <c r="O248" s="732">
        <f>(O194+O216)*INDEX(Inflation!$D$126:$BD$166, MATCH($B248, Inflation!$B$126:$B$166,0), MATCH(O$230, Inflation!$D$125:$BDR$125,0))</f>
        <v>7877.2220517861524</v>
      </c>
      <c r="P248" s="732">
        <f>(P194+P216)*INDEX(Inflation!$D$126:$BD$166, MATCH($B248, Inflation!$B$126:$B$166,0), MATCH(P$230, Inflation!$D$125:$BDR$125,0))</f>
        <v>8157.5472496998336</v>
      </c>
      <c r="Q248" s="732">
        <f>(Q194+Q216)*INDEX(Inflation!$D$126:$BD$166, MATCH($B248, Inflation!$B$126:$B$166,0), MATCH(Q$230, Inflation!$D$125:$BDR$125,0))</f>
        <v>8441.8103263572029</v>
      </c>
      <c r="R248" s="732">
        <f>(R194+R216)*INDEX(Inflation!$D$126:$BD$166, MATCH($B248, Inflation!$B$126:$B$166,0), MATCH(R$230, Inflation!$D$125:$BDR$125,0))</f>
        <v>8733.0096062255416</v>
      </c>
      <c r="S248" s="732">
        <f>(S194+S216)*INDEX(Inflation!$D$126:$BD$166, MATCH($B248, Inflation!$B$126:$B$166,0), MATCH(S$230, Inflation!$D$125:$BDR$125,0))</f>
        <v>9031.6508146594861</v>
      </c>
      <c r="T248" s="732">
        <f>(T194+T216)*INDEX(Inflation!$D$126:$BD$166, MATCH($B248, Inflation!$B$126:$B$166,0), MATCH(T$230, Inflation!$D$125:$BDR$125,0))</f>
        <v>9335.3628048591036</v>
      </c>
      <c r="U248" s="732">
        <f>(U194+U216)*INDEX(Inflation!$D$126:$BD$166, MATCH($B248, Inflation!$B$126:$B$166,0), MATCH(U$230, Inflation!$D$125:$BDR$125,0))</f>
        <v>9644.5859725474565</v>
      </c>
      <c r="V248" s="732">
        <f>(V194+V216)*INDEX(Inflation!$D$126:$BD$166, MATCH($B248, Inflation!$B$126:$B$166,0), MATCH(V$230, Inflation!$D$125:$BDR$125,0))</f>
        <v>9965.4877160522992</v>
      </c>
      <c r="W248" s="732">
        <f>(W194+W216)*INDEX(Inflation!$D$126:$BD$166, MATCH($B248, Inflation!$B$126:$B$166,0), MATCH(W$230, Inflation!$D$125:$BDR$125,0))</f>
        <v>10293.116635869277</v>
      </c>
      <c r="X248" s="732">
        <f>(X194+X216)*INDEX(Inflation!$D$126:$BD$166, MATCH($B248, Inflation!$B$126:$B$166,0), MATCH(X$230, Inflation!$D$125:$BDR$125,0))</f>
        <v>10626.077154010796</v>
      </c>
      <c r="Y248" s="732">
        <f>(Y194+Y216)*INDEX(Inflation!$D$126:$BD$166, MATCH($B248, Inflation!$B$126:$B$166,0), MATCH(Y$230, Inflation!$D$125:$BDR$125,0))</f>
        <v>10964.186695940816</v>
      </c>
      <c r="Z248" s="732">
        <f>(Z194+Z216)*INDEX(Inflation!$D$126:$BD$166, MATCH($B248, Inflation!$B$126:$B$166,0), MATCH(Z$230, Inflation!$D$125:$BDR$125,0))</f>
        <v>11310.136170205986</v>
      </c>
      <c r="AA248" s="732">
        <f>(AA194+AA216)*INDEX(Inflation!$D$126:$BD$166, MATCH($B248, Inflation!$B$126:$B$166,0), MATCH(AA$230, Inflation!$D$125:$BDR$125,0))</f>
        <v>11663.44192393031</v>
      </c>
      <c r="AB248" s="732">
        <f>(AB194+AB216)*INDEX(Inflation!$D$126:$BD$166, MATCH($B248, Inflation!$B$126:$B$166,0), MATCH(AB$230, Inflation!$D$125:$BDR$125,0))</f>
        <v>12023.081572286281</v>
      </c>
      <c r="AC248" s="732">
        <f>(AC194+AC216)*INDEX(Inflation!$D$126:$BD$166, MATCH($B248, Inflation!$B$126:$B$166,0), MATCH(AC$230, Inflation!$D$125:$BDR$125,0))</f>
        <v>12388.234825528552</v>
      </c>
      <c r="AD248" s="732">
        <f>(AD194+AD216)*INDEX(Inflation!$D$126:$BD$166, MATCH($B248, Inflation!$B$126:$B$166,0), MATCH(AD$230, Inflation!$D$125:$BDR$125,0))</f>
        <v>12758.030858931716</v>
      </c>
      <c r="AE248" s="732">
        <f>(AE194+AE216)*INDEX(Inflation!$D$126:$BD$166, MATCH($B248, Inflation!$B$126:$B$166,0), MATCH(AE$230, Inflation!$D$125:$BDR$125,0))</f>
        <v>13131.785925652257</v>
      </c>
      <c r="AF248" s="732">
        <f>(AF194+AF216)*INDEX(Inflation!$D$126:$BD$166, MATCH($B248, Inflation!$B$126:$B$166,0), MATCH(AF$230, Inflation!$D$125:$BDR$125,0))</f>
        <v>13508.832101655647</v>
      </c>
      <c r="AG248" s="732">
        <f>(AG194+AG216)*INDEX(Inflation!$D$126:$BD$166, MATCH($B248, Inflation!$B$126:$B$166,0), MATCH(AG$230, Inflation!$D$125:$BDR$125,0))</f>
        <v>13889.650407058274</v>
      </c>
      <c r="AH248" s="732">
        <f>(AH194+AH216)*INDEX(Inflation!$D$126:$BD$166, MATCH($B248, Inflation!$B$126:$B$166,0), MATCH(AH$230, Inflation!$D$125:$BDR$125,0))</f>
        <v>14277.030366393432</v>
      </c>
      <c r="AI248" s="732">
        <f>(AI194+AI216)*INDEX(Inflation!$D$126:$BD$166, MATCH($B248, Inflation!$B$126:$B$166,0), MATCH(AI$230, Inflation!$D$125:$BDR$125,0))</f>
        <v>14671.30482509628</v>
      </c>
      <c r="AJ248" s="732">
        <f>(AJ194+AJ216)*INDEX(Inflation!$D$126:$BD$166, MATCH($B248, Inflation!$B$126:$B$166,0), MATCH(AJ$230, Inflation!$D$125:$BDR$125,0))</f>
        <v>15073.610205228419</v>
      </c>
      <c r="AK248" s="732">
        <f>(AK194+AK216)*INDEX(Inflation!$D$126:$BD$166, MATCH($B248, Inflation!$B$126:$B$166,0), MATCH(AK$230, Inflation!$D$125:$BDR$125,0))</f>
        <v>15480.631710423188</v>
      </c>
      <c r="AL248" s="732">
        <f>(AL194+AL216)*INDEX(Inflation!$D$126:$BD$166, MATCH($B248, Inflation!$B$126:$B$166,0), MATCH(AL$230, Inflation!$D$125:$BDR$125,0))</f>
        <v>15889.707138696662</v>
      </c>
      <c r="AM248" s="732">
        <f>(AM194+AM216)*INDEX(Inflation!$D$126:$BD$166, MATCH($B248, Inflation!$B$126:$B$166,0), MATCH(AM$230, Inflation!$D$125:$BDR$125,0))</f>
        <v>16298.891584974557</v>
      </c>
      <c r="AN248" s="732">
        <f>(AN194+AN216)*INDEX(Inflation!$D$126:$BD$166, MATCH($B248, Inflation!$B$126:$B$166,0), MATCH(AN$230, Inflation!$D$125:$BDR$125,0))</f>
        <v>16709.08046066602</v>
      </c>
      <c r="AO248" s="732">
        <f>(AO194+AO216)*INDEX(Inflation!$D$126:$BD$166, MATCH($B248, Inflation!$B$126:$B$166,0), MATCH(AO$230, Inflation!$D$125:$BDR$125,0))</f>
        <v>17120.314603298939</v>
      </c>
      <c r="AP248" s="732">
        <f>(AP194+AP216)*INDEX(Inflation!$D$126:$BD$166, MATCH($B248, Inflation!$B$126:$B$166,0), MATCH(AP$230, Inflation!$D$125:$BDR$125,0))</f>
        <v>17531.897309425087</v>
      </c>
      <c r="AQ248" s="732">
        <f>(AQ194+AQ216)*INDEX(Inflation!$D$126:$BD$166, MATCH($B248, Inflation!$B$126:$B$166,0), MATCH(AQ$230, Inflation!$D$125:$BDR$125,0))</f>
        <v>17947.697083306164</v>
      </c>
      <c r="AR248" s="732">
        <f>(AR194+AR216)*INDEX(Inflation!$D$126:$BD$166, MATCH($B248, Inflation!$B$126:$B$166,0), MATCH(AR$230, Inflation!$D$125:$BDR$125,0))</f>
        <v>18372.280597675934</v>
      </c>
      <c r="AS248" s="732">
        <f>(AS194+AS216)*INDEX(Inflation!$D$126:$BD$166, MATCH($B248, Inflation!$B$126:$B$166,0), MATCH(AS$230, Inflation!$D$125:$BDR$125,0))</f>
        <v>18809.511193660099</v>
      </c>
      <c r="AT248" s="732">
        <f>(AT194+AT216)*INDEX(Inflation!$D$126:$BD$166, MATCH($B248, Inflation!$B$126:$B$166,0), MATCH(AT$230, Inflation!$D$125:$BDR$125,0))</f>
        <v>19234.558050652962</v>
      </c>
      <c r="AU248" s="732" t="e">
        <f>(AU194+AU216)*INDEX(Inflation!$D$126:$BD$166, MATCH($B248, Inflation!$B$126:$B$166,0), MATCH(AU$230, Inflation!$D$125:$BDR$125,0))</f>
        <v>#N/A</v>
      </c>
      <c r="AV248" s="732" t="e">
        <f>(AV194+AV216)*INDEX(Inflation!$D$126:$BD$166, MATCH($B248, Inflation!$B$126:$B$166,0), MATCH(AV$230, Inflation!$D$125:$BDR$125,0))</f>
        <v>#N/A</v>
      </c>
      <c r="AW248" s="732" t="e">
        <f>(AW194+AW216)*INDEX(Inflation!$D$126:$BD$166, MATCH($B248, Inflation!$B$126:$B$166,0), MATCH(AW$230, Inflation!$D$125:$BDR$125,0))</f>
        <v>#N/A</v>
      </c>
      <c r="AX248" s="732" t="e">
        <f>(AX194+AX216)*INDEX(Inflation!$D$126:$BD$166, MATCH($B248, Inflation!$B$126:$B$166,0), MATCH(AX$230, Inflation!$D$125:$BDR$125,0))</f>
        <v>#N/A</v>
      </c>
      <c r="AY248" s="732" t="e">
        <f>(AY194+AY216)*INDEX(Inflation!$D$126:$BD$166, MATCH($B248, Inflation!$B$126:$B$166,0), MATCH(AY$230, Inflation!$D$125:$BDR$125,0))</f>
        <v>#N/A</v>
      </c>
      <c r="AZ248" s="732" t="e">
        <f>(AZ194+AZ216)*INDEX(Inflation!$D$126:$BD$166, MATCH($B248, Inflation!$B$126:$B$166,0), MATCH(AZ$230, Inflation!$D$125:$BDR$125,0))</f>
        <v>#N/A</v>
      </c>
      <c r="BA248" s="732" t="e">
        <f>(BA194+BA216)*INDEX(Inflation!$D$126:$BD$166, MATCH($B248, Inflation!$B$126:$B$166,0), MATCH(BA$230, Inflation!$D$125:$BDR$125,0))</f>
        <v>#N/A</v>
      </c>
      <c r="BB248" s="732" t="e">
        <f>(BB194+BB216)*INDEX(Inflation!$D$126:$BD$166, MATCH($B248, Inflation!$B$126:$B$166,0), MATCH(BB$230, Inflation!$D$125:$BDR$125,0))</f>
        <v>#N/A</v>
      </c>
    </row>
    <row r="249" spans="1:54">
      <c r="C249" s="47"/>
    </row>
    <row r="250" spans="1:54" s="9" customFormat="1" ht="15" customHeight="1">
      <c r="B250" s="91" t="s">
        <v>2520</v>
      </c>
      <c r="C250" s="47"/>
      <c r="D250" s="92">
        <f>SUM(D231:D248)</f>
        <v>1130977.0239964989</v>
      </c>
      <c r="E250" s="92">
        <f t="shared" ref="E250:AE250" si="186">SUM(E231:E248)</f>
        <v>1198095.5030719512</v>
      </c>
      <c r="F250" s="92">
        <f t="shared" si="186"/>
        <v>1262006.6628994222</v>
      </c>
      <c r="G250" s="92">
        <f t="shared" si="186"/>
        <v>1324338.9683280014</v>
      </c>
      <c r="H250" s="92">
        <f t="shared" si="186"/>
        <v>1386704.8582329417</v>
      </c>
      <c r="I250" s="92">
        <f t="shared" si="186"/>
        <v>1450046.6613154283</v>
      </c>
      <c r="J250" s="92">
        <f t="shared" si="186"/>
        <v>1514384.5696383088</v>
      </c>
      <c r="K250" s="92">
        <f t="shared" si="186"/>
        <v>1580211.2473129581</v>
      </c>
      <c r="L250" s="92">
        <f t="shared" si="186"/>
        <v>1650630.9811049225</v>
      </c>
      <c r="M250" s="92">
        <f t="shared" si="186"/>
        <v>1723823.4685203279</v>
      </c>
      <c r="N250" s="92">
        <f t="shared" si="186"/>
        <v>1798896.2030123114</v>
      </c>
      <c r="O250" s="92">
        <f t="shared" si="186"/>
        <v>1874389.6448430917</v>
      </c>
      <c r="P250" s="92">
        <f t="shared" si="186"/>
        <v>1951066.2139737387</v>
      </c>
      <c r="Q250" s="92">
        <f t="shared" si="186"/>
        <v>2029547.4287660532</v>
      </c>
      <c r="R250" s="92">
        <f t="shared" si="186"/>
        <v>2110592.541925393</v>
      </c>
      <c r="S250" s="92">
        <f t="shared" si="186"/>
        <v>2194374.6900167642</v>
      </c>
      <c r="T250" s="92">
        <f t="shared" si="186"/>
        <v>2280372.3348325659</v>
      </c>
      <c r="U250" s="92">
        <f t="shared" si="186"/>
        <v>2368738.6487240316</v>
      </c>
      <c r="V250" s="92">
        <f t="shared" si="186"/>
        <v>2461035.2556811674</v>
      </c>
      <c r="W250" s="92">
        <f t="shared" si="186"/>
        <v>2556114.2799933003</v>
      </c>
      <c r="X250" s="92">
        <f t="shared" si="186"/>
        <v>2653685.7042848971</v>
      </c>
      <c r="Y250" s="92">
        <f t="shared" si="186"/>
        <v>2753756.6501980731</v>
      </c>
      <c r="Z250" s="92">
        <f t="shared" si="186"/>
        <v>2857056.3127743481</v>
      </c>
      <c r="AA250" s="92">
        <f t="shared" si="186"/>
        <v>2963530.7474130113</v>
      </c>
      <c r="AB250" s="92">
        <f t="shared" si="186"/>
        <v>3072987.8492794526</v>
      </c>
      <c r="AC250" s="92">
        <f t="shared" si="186"/>
        <v>3185282.2043644986</v>
      </c>
      <c r="AD250" s="92">
        <f t="shared" si="186"/>
        <v>3300252.0748552764</v>
      </c>
      <c r="AE250" s="92">
        <f t="shared" si="186"/>
        <v>3417780.891168267</v>
      </c>
      <c r="AF250" s="92">
        <f t="shared" ref="AF250:AP250" si="187">SUM(AF231:AF248)</f>
        <v>3537753.4314086805</v>
      </c>
      <c r="AG250" s="92">
        <f t="shared" si="187"/>
        <v>3660351.2354203193</v>
      </c>
      <c r="AH250" s="92">
        <f t="shared" si="187"/>
        <v>3786370.2239782508</v>
      </c>
      <c r="AI250" s="92">
        <f t="shared" si="187"/>
        <v>3915976.4267658964</v>
      </c>
      <c r="AJ250" s="92">
        <f t="shared" si="187"/>
        <v>4049555.2407625476</v>
      </c>
      <c r="AK250" s="92">
        <f t="shared" si="187"/>
        <v>4186306.2351502879</v>
      </c>
      <c r="AL250" s="92">
        <f t="shared" si="187"/>
        <v>4325584.0762021514</v>
      </c>
      <c r="AM250" s="92">
        <f t="shared" si="187"/>
        <v>4466921.3253922602</v>
      </c>
      <c r="AN250" s="92">
        <f t="shared" si="187"/>
        <v>4610616.483071669</v>
      </c>
      <c r="AO250" s="92">
        <f t="shared" si="187"/>
        <v>4756740.7327274596</v>
      </c>
      <c r="AP250" s="92">
        <f t="shared" si="187"/>
        <v>4905162.3802486379</v>
      </c>
      <c r="AQ250" s="92">
        <f t="shared" ref="AQ250:BB250" si="188">SUM(AQ231:AQ248)</f>
        <v>5057024.2806026023</v>
      </c>
      <c r="AR250" s="92">
        <f t="shared" si="188"/>
        <v>5213699.5385705438</v>
      </c>
      <c r="AS250" s="92">
        <f t="shared" si="188"/>
        <v>5376401.6995681021</v>
      </c>
      <c r="AT250" s="92">
        <f t="shared" si="188"/>
        <v>5538170.3173880484</v>
      </c>
      <c r="AU250" s="92" t="e">
        <f t="shared" si="188"/>
        <v>#N/A</v>
      </c>
      <c r="AV250" s="92" t="e">
        <f t="shared" si="188"/>
        <v>#N/A</v>
      </c>
      <c r="AW250" s="92" t="e">
        <f t="shared" si="188"/>
        <v>#N/A</v>
      </c>
      <c r="AX250" s="92" t="e">
        <f t="shared" si="188"/>
        <v>#N/A</v>
      </c>
      <c r="AY250" s="92" t="e">
        <f t="shared" si="188"/>
        <v>#N/A</v>
      </c>
      <c r="AZ250" s="92" t="e">
        <f t="shared" si="188"/>
        <v>#N/A</v>
      </c>
      <c r="BA250" s="92" t="e">
        <f t="shared" si="188"/>
        <v>#N/A</v>
      </c>
      <c r="BB250" s="92" t="e">
        <f t="shared" si="188"/>
        <v>#N/A</v>
      </c>
    </row>
    <row r="251" spans="1:54" s="9" customFormat="1" ht="15" customHeight="1">
      <c r="C251"/>
    </row>
    <row r="252" spans="1:54" s="4" customFormat="1" ht="15" customHeight="1">
      <c r="B252" s="86" t="s">
        <v>180</v>
      </c>
      <c r="C252"/>
      <c r="D252" s="90" t="s">
        <v>181</v>
      </c>
      <c r="E252" s="137">
        <f>E250/D250-1</f>
        <v>5.9345572590217444E-2</v>
      </c>
      <c r="F252" s="137">
        <f t="shared" ref="F252:AE252" si="189">F250/E250-1</f>
        <v>5.3343961031153908E-2</v>
      </c>
      <c r="G252" s="137">
        <f t="shared" si="189"/>
        <v>4.9391423406095702E-2</v>
      </c>
      <c r="H252" s="137">
        <f t="shared" si="189"/>
        <v>4.7092090013539423E-2</v>
      </c>
      <c r="I252" s="137">
        <f t="shared" si="189"/>
        <v>4.5677926854025941E-2</v>
      </c>
      <c r="J252" s="137">
        <f t="shared" si="189"/>
        <v>4.436954343559929E-2</v>
      </c>
      <c r="K252" s="137">
        <f t="shared" si="189"/>
        <v>4.346760987558862E-2</v>
      </c>
      <c r="L252" s="137">
        <f t="shared" si="189"/>
        <v>4.4563493590941361E-2</v>
      </c>
      <c r="M252" s="137">
        <f t="shared" si="189"/>
        <v>4.4342126285798145E-2</v>
      </c>
      <c r="N252" s="137">
        <f t="shared" si="189"/>
        <v>4.3550129037530416E-2</v>
      </c>
      <c r="O252" s="137">
        <f t="shared" si="189"/>
        <v>4.1966535759186074E-2</v>
      </c>
      <c r="P252" s="137">
        <f t="shared" si="189"/>
        <v>4.0907486520533887E-2</v>
      </c>
      <c r="Q252" s="137">
        <f t="shared" si="189"/>
        <v>4.0224782854740626E-2</v>
      </c>
      <c r="R252" s="137">
        <f t="shared" si="189"/>
        <v>3.9932603698064062E-2</v>
      </c>
      <c r="S252" s="137">
        <f t="shared" si="189"/>
        <v>3.9696031530055853E-2</v>
      </c>
      <c r="T252" s="137">
        <f t="shared" si="189"/>
        <v>3.9190045896466685E-2</v>
      </c>
      <c r="U252" s="137">
        <f t="shared" si="189"/>
        <v>3.8750827021392542E-2</v>
      </c>
      <c r="V252" s="137">
        <f t="shared" si="189"/>
        <v>3.8964453510670349E-2</v>
      </c>
      <c r="W252" s="137">
        <f t="shared" si="189"/>
        <v>3.8633751423368778E-2</v>
      </c>
      <c r="X252" s="137">
        <f t="shared" si="189"/>
        <v>3.8171777003590091E-2</v>
      </c>
      <c r="Y252" s="137">
        <f t="shared" si="189"/>
        <v>3.7710172591875368E-2</v>
      </c>
      <c r="Z252" s="137">
        <f t="shared" si="189"/>
        <v>3.7512269854652835E-2</v>
      </c>
      <c r="AA252" s="137">
        <f t="shared" si="189"/>
        <v>3.726718096615711E-2</v>
      </c>
      <c r="AB252" s="137">
        <f t="shared" si="189"/>
        <v>3.6934694185977612E-2</v>
      </c>
      <c r="AC252" s="137">
        <f t="shared" si="189"/>
        <v>3.6542401269623159E-2</v>
      </c>
      <c r="AD252" s="137">
        <f t="shared" si="189"/>
        <v>3.6094092489904028E-2</v>
      </c>
      <c r="AE252" s="137">
        <f t="shared" si="189"/>
        <v>3.5612072546956641E-2</v>
      </c>
      <c r="AF252" s="137">
        <f t="shared" ref="AF252" si="190">AF250/AE250-1</f>
        <v>3.5102466793710763E-2</v>
      </c>
      <c r="AG252" s="137">
        <f t="shared" ref="AG252" si="191">AG250/AF250-1</f>
        <v>3.4654140371456643E-2</v>
      </c>
      <c r="AH252" s="137">
        <f t="shared" ref="AH252" si="192">AH250/AG250-1</f>
        <v>3.44281137117326E-2</v>
      </c>
      <c r="AI252" s="137">
        <f t="shared" ref="AI252" si="193">AI250/AH250-1</f>
        <v>3.4229669874033419E-2</v>
      </c>
      <c r="AJ252" s="137">
        <f t="shared" ref="AJ252" si="194">AJ250/AI250-1</f>
        <v>3.4111240579395075E-2</v>
      </c>
      <c r="AK252" s="137">
        <f t="shared" ref="AK252" si="195">AK250/AJ250-1</f>
        <v>3.3769386082504571E-2</v>
      </c>
      <c r="AL252" s="137">
        <f t="shared" ref="AL252" si="196">AL250/AK250-1</f>
        <v>3.3269864464863685E-2</v>
      </c>
      <c r="AM252" s="137">
        <f t="shared" ref="AM252" si="197">AM250/AL250-1</f>
        <v>3.2674720153446302E-2</v>
      </c>
      <c r="AN252" s="137">
        <f t="shared" ref="AN252" si="198">AN250/AM250-1</f>
        <v>3.2168723649232955E-2</v>
      </c>
      <c r="AO252" s="137">
        <f t="shared" ref="AO252" si="199">AO250/AN250-1</f>
        <v>3.1692995978368721E-2</v>
      </c>
      <c r="AP252" s="137">
        <f t="shared" ref="AP252" si="200">AP250/AO250-1</f>
        <v>3.1202383283159385E-2</v>
      </c>
      <c r="AQ252" s="137">
        <f t="shared" ref="AQ252" si="201">AQ250/AP250-1</f>
        <v>3.0959607161112235E-2</v>
      </c>
      <c r="AR252" s="137">
        <f t="shared" ref="AR252" si="202">AR250/AQ250-1</f>
        <v>3.0981709652632361E-2</v>
      </c>
      <c r="AS252" s="137">
        <f t="shared" ref="AS252" si="203">AS250/AR250-1</f>
        <v>3.1206662331402235E-2</v>
      </c>
      <c r="AT252" s="137">
        <f t="shared" ref="AT252" si="204">AT250/AS250-1</f>
        <v>3.0088640481038098E-2</v>
      </c>
      <c r="AU252" s="137" t="e">
        <f t="shared" ref="AU252" si="205">AU250/AT250-1</f>
        <v>#N/A</v>
      </c>
      <c r="AV252" s="137" t="e">
        <f t="shared" ref="AV252" si="206">AV250/AU250-1</f>
        <v>#N/A</v>
      </c>
      <c r="AW252" s="137" t="e">
        <f t="shared" ref="AW252" si="207">AW250/AV250-1</f>
        <v>#N/A</v>
      </c>
      <c r="AX252" s="137" t="e">
        <f t="shared" ref="AX252" si="208">AX250/AW250-1</f>
        <v>#N/A</v>
      </c>
      <c r="AY252" s="137" t="e">
        <f t="shared" ref="AY252" si="209">AY250/AX250-1</f>
        <v>#N/A</v>
      </c>
      <c r="AZ252" s="137" t="e">
        <f t="shared" ref="AZ252" si="210">AZ250/AY250-1</f>
        <v>#N/A</v>
      </c>
      <c r="BA252" s="137" t="e">
        <f t="shared" ref="BA252" si="211">BA250/AZ250-1</f>
        <v>#N/A</v>
      </c>
      <c r="BB252" s="137" t="e">
        <f t="shared" ref="BB252" si="212">BB250/BA250-1</f>
        <v>#N/A</v>
      </c>
    </row>
    <row r="253" spans="1:54">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row>
    <row r="254" spans="1:54">
      <c r="A254" s="81"/>
      <c r="B254" s="81"/>
      <c r="C254" s="81"/>
      <c r="D254" s="81"/>
      <c r="E254" s="81"/>
      <c r="AF254" s="15">
        <f>AF250/10^6</f>
        <v>3.5377534314086807</v>
      </c>
    </row>
    <row r="255" spans="1:54">
      <c r="B255" s="91" t="s">
        <v>2885</v>
      </c>
      <c r="C255" s="9"/>
      <c r="D255" s="92">
        <f>D250/'Prevalence projection'!C23</f>
        <v>3989.3369453139289</v>
      </c>
    </row>
    <row r="256" spans="1:54">
      <c r="B256" s="91" t="s">
        <v>2884</v>
      </c>
      <c r="C256" s="9"/>
      <c r="D256" s="92">
        <f>'Resource costs'!O46</f>
        <v>3381.3983128652135</v>
      </c>
    </row>
    <row r="257" spans="2:4">
      <c r="D257" s="19">
        <f>D255/D256-1</f>
        <v>0.1797891215996914</v>
      </c>
    </row>
    <row r="258" spans="2:4">
      <c r="B258" s="52"/>
      <c r="D258" s="81"/>
    </row>
  </sheetData>
  <pageMargins left="0.7" right="0.7" top="0.75" bottom="0.75" header="0.3" footer="0.3"/>
  <pageSetup paperSize="9" orientation="portrait"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tint="0.39997558519241921"/>
    <pageSetUpPr autoPageBreaks="0"/>
  </sheetPr>
  <dimension ref="A1:BC250"/>
  <sheetViews>
    <sheetView showGridLines="0" workbookViewId="0"/>
  </sheetViews>
  <sheetFormatPr defaultRowHeight="14.5"/>
  <cols>
    <col min="1" max="1" width="3.08984375" customWidth="1"/>
    <col min="2" max="2" width="21.36328125" customWidth="1"/>
    <col min="3" max="3" width="15" customWidth="1"/>
    <col min="4" max="4" width="17.08984375" customWidth="1"/>
    <col min="5" max="5" width="14.54296875" customWidth="1"/>
    <col min="6" max="6" width="16.08984375" customWidth="1"/>
    <col min="7" max="7" width="14.36328125" customWidth="1"/>
    <col min="8" max="8" width="15" customWidth="1"/>
    <col min="9" max="9" width="14.6328125" bestFit="1" customWidth="1"/>
    <col min="10" max="10" width="17.54296875" customWidth="1"/>
    <col min="11" max="11" width="16.54296875" customWidth="1"/>
    <col min="12" max="14" width="14.6328125" bestFit="1" customWidth="1"/>
    <col min="15" max="15" width="12.90625" customWidth="1"/>
    <col min="16" max="32" width="14.6328125" bestFit="1" customWidth="1"/>
    <col min="33" max="41" width="13.36328125" customWidth="1"/>
    <col min="42" max="54" width="16.6328125" customWidth="1"/>
  </cols>
  <sheetData>
    <row r="1" spans="1:53" s="777" customFormat="1" ht="18.5">
      <c r="A1" s="780" t="s">
        <v>3534</v>
      </c>
    </row>
    <row r="2" spans="1:53" s="777" customFormat="1">
      <c r="A2" s="777" t="s">
        <v>3535</v>
      </c>
    </row>
    <row r="3" spans="1:53" s="777" customFormat="1"/>
    <row r="4" spans="1:53" s="781" customFormat="1"/>
    <row r="6" spans="1:53">
      <c r="B6" s="63"/>
      <c r="C6" s="38"/>
      <c r="D6" s="38"/>
      <c r="E6" s="38"/>
      <c r="F6" s="38"/>
      <c r="G6" s="38"/>
      <c r="H6" s="38"/>
      <c r="I6" s="38"/>
      <c r="J6" s="38"/>
      <c r="K6" s="38"/>
      <c r="L6" s="38"/>
      <c r="M6" s="38"/>
      <c r="N6" s="38"/>
      <c r="O6" s="38"/>
      <c r="P6" s="38"/>
      <c r="Q6" s="38"/>
      <c r="R6" s="38"/>
      <c r="S6" s="38"/>
      <c r="T6" s="38"/>
      <c r="U6" s="38"/>
      <c r="V6" s="38"/>
      <c r="W6" s="38"/>
      <c r="X6" s="38"/>
      <c r="Y6" s="38"/>
      <c r="Z6" s="38"/>
      <c r="AA6" s="38"/>
      <c r="AB6" s="38"/>
      <c r="AC6" s="38"/>
      <c r="AD6" s="38"/>
      <c r="AE6" s="38"/>
    </row>
    <row r="7" spans="1:53" s="588" customFormat="1">
      <c r="A7" s="593" t="s">
        <v>10</v>
      </c>
      <c r="B7" s="639" t="s">
        <v>2989</v>
      </c>
      <c r="C7" s="640"/>
      <c r="D7" s="640"/>
      <c r="E7" s="640"/>
      <c r="F7" s="640"/>
      <c r="G7" s="640"/>
      <c r="H7" s="640"/>
      <c r="I7" s="640"/>
      <c r="J7" s="640"/>
      <c r="K7" s="640"/>
      <c r="L7" s="640"/>
      <c r="M7" s="640"/>
      <c r="N7" s="640"/>
      <c r="O7" s="640"/>
      <c r="P7" s="640"/>
      <c r="Q7" s="640"/>
      <c r="R7" s="640"/>
      <c r="S7" s="640"/>
      <c r="T7" s="640"/>
      <c r="U7" s="640"/>
      <c r="V7" s="640"/>
      <c r="W7" s="640"/>
      <c r="X7" s="640"/>
      <c r="Y7" s="640"/>
      <c r="Z7" s="640"/>
      <c r="AA7" s="640"/>
      <c r="AB7" s="640"/>
      <c r="AC7" s="640"/>
      <c r="AD7" s="640"/>
      <c r="AE7" s="640"/>
    </row>
    <row r="8" spans="1:53">
      <c r="B8" s="63"/>
      <c r="C8" s="38"/>
      <c r="D8" s="38"/>
      <c r="E8" s="75"/>
      <c r="F8" s="38"/>
      <c r="G8" s="38"/>
      <c r="H8" s="38"/>
      <c r="I8" s="38"/>
      <c r="J8" s="38"/>
      <c r="K8" s="38"/>
      <c r="L8" s="38"/>
      <c r="M8" s="38"/>
      <c r="N8" s="38"/>
      <c r="O8" s="38"/>
      <c r="P8" s="38"/>
      <c r="Q8" s="38"/>
      <c r="R8" s="38"/>
      <c r="S8" s="38"/>
      <c r="T8" s="38"/>
      <c r="U8" s="38"/>
      <c r="V8" s="38"/>
      <c r="W8" s="38"/>
      <c r="X8" s="38"/>
      <c r="Y8" s="38"/>
      <c r="Z8" s="38"/>
      <c r="AA8" s="38"/>
      <c r="AB8" s="38"/>
      <c r="AC8" s="38"/>
      <c r="AD8" s="38"/>
      <c r="AE8" s="38"/>
    </row>
    <row r="9" spans="1:53">
      <c r="C9" s="72"/>
      <c r="D9" s="69"/>
      <c r="E9" s="75"/>
      <c r="F9" s="38"/>
      <c r="G9" s="38"/>
      <c r="H9" s="38"/>
      <c r="I9" s="38"/>
      <c r="J9" s="38"/>
      <c r="K9" s="38"/>
      <c r="L9" s="38"/>
      <c r="M9" s="38"/>
      <c r="N9" s="38"/>
      <c r="O9" s="38"/>
      <c r="P9" s="38"/>
      <c r="Q9" s="38"/>
      <c r="R9" s="38"/>
      <c r="S9" s="38"/>
      <c r="T9" s="38"/>
      <c r="U9" s="38"/>
      <c r="V9" s="38"/>
      <c r="W9" s="38"/>
      <c r="X9" s="38"/>
      <c r="Y9" s="38"/>
      <c r="Z9" s="38"/>
      <c r="AA9" s="38"/>
      <c r="AB9" s="38"/>
      <c r="AC9" s="38"/>
      <c r="AD9" s="38"/>
      <c r="AE9" s="38"/>
    </row>
    <row r="10" spans="1:53" s="4" customFormat="1">
      <c r="B10" s="67"/>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row>
    <row r="11" spans="1:53" s="4" customFormat="1">
      <c r="C11" s="34">
        <f>'Prevalence projection'!C$21</f>
        <v>2020</v>
      </c>
      <c r="D11" s="34">
        <f>'Prevalence projection'!D$21</f>
        <v>2021</v>
      </c>
      <c r="E11" s="34">
        <f>'Prevalence projection'!E$21</f>
        <v>2022</v>
      </c>
      <c r="F11" s="34">
        <f>'Prevalence projection'!F$21</f>
        <v>2023</v>
      </c>
      <c r="G11" s="34">
        <f>'Prevalence projection'!G$21</f>
        <v>2024</v>
      </c>
      <c r="H11" s="34">
        <f>'Prevalence projection'!H$21</f>
        <v>2025</v>
      </c>
      <c r="I11" s="34">
        <f>'Prevalence projection'!I$21</f>
        <v>2026</v>
      </c>
      <c r="J11" s="34">
        <f>'Prevalence projection'!J$21</f>
        <v>2027</v>
      </c>
      <c r="K11" s="34">
        <f>'Prevalence projection'!K$21</f>
        <v>2028</v>
      </c>
      <c r="L11" s="34">
        <f>'Prevalence projection'!L$21</f>
        <v>2029</v>
      </c>
      <c r="M11" s="34">
        <f>'Prevalence projection'!M$21</f>
        <v>2030</v>
      </c>
      <c r="N11" s="34">
        <f>'Prevalence projection'!N$21</f>
        <v>2031</v>
      </c>
      <c r="O11" s="34">
        <f>'Prevalence projection'!O$21</f>
        <v>2032</v>
      </c>
      <c r="P11" s="34">
        <f>'Prevalence projection'!P$21</f>
        <v>2033</v>
      </c>
      <c r="Q11" s="34">
        <f>'Prevalence projection'!Q$21</f>
        <v>2034</v>
      </c>
      <c r="R11" s="34">
        <f>'Prevalence projection'!R$21</f>
        <v>2035</v>
      </c>
      <c r="S11" s="34">
        <f>'Prevalence projection'!S$21</f>
        <v>2036</v>
      </c>
      <c r="T11" s="34">
        <f>'Prevalence projection'!T$21</f>
        <v>2037</v>
      </c>
      <c r="U11" s="34">
        <f>'Prevalence projection'!U$21</f>
        <v>2038</v>
      </c>
      <c r="V11" s="34">
        <f>'Prevalence projection'!V$21</f>
        <v>2039</v>
      </c>
      <c r="W11" s="34">
        <f>'Prevalence projection'!W$21</f>
        <v>2040</v>
      </c>
      <c r="X11" s="34">
        <f>'Prevalence projection'!X$21</f>
        <v>2041</v>
      </c>
      <c r="Y11" s="34">
        <f>'Prevalence projection'!Y$21</f>
        <v>2042</v>
      </c>
      <c r="Z11" s="34">
        <f>'Prevalence projection'!Z$21</f>
        <v>2043</v>
      </c>
      <c r="AA11" s="34">
        <f>'Prevalence projection'!AA$21</f>
        <v>2044</v>
      </c>
      <c r="AB11" s="34">
        <f>'Prevalence projection'!AB$21</f>
        <v>2045</v>
      </c>
      <c r="AC11" s="34">
        <f>'Prevalence projection'!AC$21</f>
        <v>2046</v>
      </c>
      <c r="AD11" s="34">
        <f>'Prevalence projection'!AD$21</f>
        <v>2047</v>
      </c>
      <c r="AE11" s="34">
        <f>'Prevalence projection'!AE$21</f>
        <v>2048</v>
      </c>
      <c r="AF11" s="34">
        <f>'Prevalence projection'!AF$21</f>
        <v>2049</v>
      </c>
      <c r="AG11" s="34">
        <f>'Prevalence projection'!AG$21</f>
        <v>2050</v>
      </c>
      <c r="AH11" s="34">
        <f>'Prevalence projection'!AH$21</f>
        <v>2051</v>
      </c>
      <c r="AI11" s="34">
        <f>'Prevalence projection'!AI$21</f>
        <v>2052</v>
      </c>
      <c r="AJ11" s="34">
        <f>'Prevalence projection'!AJ$21</f>
        <v>2053</v>
      </c>
      <c r="AK11" s="34">
        <f>'Prevalence projection'!AK$21</f>
        <v>2054</v>
      </c>
      <c r="AL11" s="34">
        <f>'Prevalence projection'!AL$21</f>
        <v>2055</v>
      </c>
      <c r="AM11" s="34">
        <f>'Prevalence projection'!AM$21</f>
        <v>2056</v>
      </c>
      <c r="AN11" s="34">
        <f>'Prevalence projection'!AN$21</f>
        <v>2057</v>
      </c>
      <c r="AO11" s="34">
        <f>'Prevalence projection'!AO$21</f>
        <v>2058</v>
      </c>
      <c r="AP11" s="34">
        <f>'Prevalence projection'!AP$21</f>
        <v>2059</v>
      </c>
      <c r="AQ11" s="34">
        <f>'Prevalence projection'!AQ$21</f>
        <v>2060</v>
      </c>
      <c r="AR11" s="34">
        <f>'Prevalence projection'!AR$21</f>
        <v>2061</v>
      </c>
      <c r="AS11" s="34">
        <f>'Prevalence projection'!AS$21</f>
        <v>2062</v>
      </c>
      <c r="AT11" s="34">
        <f>'Prevalence projection'!AT$21</f>
        <v>2063</v>
      </c>
      <c r="AU11" s="34">
        <f>'Prevalence projection'!AU$21</f>
        <v>2064</v>
      </c>
      <c r="AV11" s="34">
        <f>'Prevalence projection'!AV$21</f>
        <v>2065</v>
      </c>
      <c r="AW11" s="34">
        <f>'Prevalence projection'!AW$21</f>
        <v>2066</v>
      </c>
      <c r="AX11" s="34">
        <f>'Prevalence projection'!AX$21</f>
        <v>2067</v>
      </c>
      <c r="AY11" s="34">
        <f>'Prevalence projection'!AY$21</f>
        <v>2068</v>
      </c>
      <c r="AZ11" s="34">
        <f>'Prevalence projection'!AZ$21</f>
        <v>2069</v>
      </c>
      <c r="BA11" s="34">
        <f>'Prevalence projection'!BA$21</f>
        <v>2070</v>
      </c>
    </row>
    <row r="12" spans="1:53" s="4" customFormat="1">
      <c r="B12" s="12" t="s">
        <v>2990</v>
      </c>
      <c r="C12" s="39">
        <f>'Prevalence projection'!C101</f>
        <v>34.5</v>
      </c>
      <c r="D12" s="39">
        <f>'Prevalence projection'!D101</f>
        <v>38.454128917855734</v>
      </c>
      <c r="E12" s="39">
        <f>'Prevalence projection'!E101</f>
        <v>42.457630958756774</v>
      </c>
      <c r="F12" s="39">
        <f>'Prevalence projection'!F101</f>
        <v>46.516040358715721</v>
      </c>
      <c r="G12" s="39">
        <f>'Prevalence projection'!G101</f>
        <v>50.638387568592549</v>
      </c>
      <c r="H12" s="39">
        <f>'Prevalence projection'!H101</f>
        <v>54.829561420828284</v>
      </c>
      <c r="I12" s="39">
        <f>'Prevalence projection'!I101</f>
        <v>59.086273926722946</v>
      </c>
      <c r="J12" s="39">
        <f>'Prevalence projection'!J101</f>
        <v>63.410302979667918</v>
      </c>
      <c r="K12" s="39">
        <f>'Prevalence projection'!K101</f>
        <v>67.831191783152875</v>
      </c>
      <c r="L12" s="39">
        <f>'Prevalence projection'!L101</f>
        <v>72.333730036701468</v>
      </c>
      <c r="M12" s="39">
        <f>'Prevalence projection'!M101</f>
        <v>76.908553995894138</v>
      </c>
      <c r="N12" s="39">
        <f>'Prevalence projection'!N101</f>
        <v>81.549670970508927</v>
      </c>
      <c r="O12" s="39">
        <f>'Prevalence projection'!O101</f>
        <v>86.251869495510277</v>
      </c>
      <c r="P12" s="39">
        <f>'Prevalence projection'!P101</f>
        <v>91.017411341000781</v>
      </c>
      <c r="Q12" s="39">
        <f>'Prevalence projection'!Q101</f>
        <v>95.850693865599013</v>
      </c>
      <c r="R12" s="39">
        <f>'Prevalence projection'!R101</f>
        <v>100.75199220352667</v>
      </c>
      <c r="S12" s="39">
        <f>'Prevalence projection'!S101</f>
        <v>105.71576477276294</v>
      </c>
      <c r="T12" s="39">
        <f>'Prevalence projection'!T101</f>
        <v>110.7412598192691</v>
      </c>
      <c r="U12" s="39">
        <f>'Prevalence projection'!U101</f>
        <v>115.83926725747473</v>
      </c>
      <c r="V12" s="39">
        <f>'Prevalence projection'!V101</f>
        <v>121.00096894283982</v>
      </c>
      <c r="W12" s="39">
        <f>'Prevalence projection'!W101</f>
        <v>126.22253923854976</v>
      </c>
      <c r="X12" s="39">
        <f>'Prevalence projection'!X101</f>
        <v>131.50193772831429</v>
      </c>
      <c r="Y12" s="39">
        <f>'Prevalence projection'!Y101</f>
        <v>136.84236567923674</v>
      </c>
      <c r="Z12" s="39">
        <f>'Prevalence projection'!Z101</f>
        <v>142.24213559294529</v>
      </c>
      <c r="AA12" s="39">
        <f>'Prevalence projection'!AA101</f>
        <v>147.69839945955746</v>
      </c>
      <c r="AB12" s="39">
        <f>'Prevalence projection'!AB101</f>
        <v>153.20831008248271</v>
      </c>
      <c r="AC12" s="39">
        <f>'Prevalence projection'!AC101</f>
        <v>158.76867284622162</v>
      </c>
      <c r="AD12" s="39">
        <f>'Prevalence projection'!AD101</f>
        <v>164.37635475729451</v>
      </c>
      <c r="AE12" s="39">
        <f>'Prevalence projection'!AE101</f>
        <v>170.0280738909787</v>
      </c>
      <c r="AF12" s="39">
        <f>'Prevalence projection'!AF101</f>
        <v>175.72225360870661</v>
      </c>
      <c r="AG12" s="39">
        <f>'Prevalence projection'!AG101</f>
        <v>181.46116457365477</v>
      </c>
      <c r="AH12" s="39">
        <f>'Prevalence projection'!AH101</f>
        <v>187.24405300800061</v>
      </c>
      <c r="AI12" s="39">
        <f>'Prevalence projection'!AI101</f>
        <v>193.07147026294766</v>
      </c>
      <c r="AJ12" s="39">
        <f>'Prevalence projection'!AJ101</f>
        <v>198.93757312433755</v>
      </c>
      <c r="AK12" s="39">
        <f>'Prevalence projection'!AK101</f>
        <v>204.83658775998202</v>
      </c>
      <c r="AL12" s="39">
        <f>'Prevalence projection'!AL101</f>
        <v>210.76312747680086</v>
      </c>
      <c r="AM12" s="39">
        <f>'Prevalence projection'!AM101</f>
        <v>216.71542026573081</v>
      </c>
      <c r="AN12" s="39">
        <f>'Prevalence projection'!AN101</f>
        <v>222.69082693765768</v>
      </c>
      <c r="AO12" s="39">
        <f>'Prevalence projection'!AO101</f>
        <v>228.68579665877621</v>
      </c>
      <c r="AP12" s="39">
        <f>'Prevalence projection'!AP101</f>
        <v>234.70281415288915</v>
      </c>
      <c r="AQ12" s="39">
        <f>'Prevalence projection'!AQ101</f>
        <v>240.746266296394</v>
      </c>
      <c r="AR12" s="39">
        <f>'Prevalence projection'!AR101</f>
        <v>246.8206948348469</v>
      </c>
      <c r="AS12" s="39">
        <f>'Prevalence projection'!AS101</f>
        <v>252.89512337329981</v>
      </c>
      <c r="AT12" s="39">
        <f>'Prevalence projection'!AT101</f>
        <v>258.96955191175272</v>
      </c>
      <c r="AU12" s="39">
        <f>'Prevalence projection'!AU101</f>
        <v>265.04398045020559</v>
      </c>
      <c r="AV12" s="39">
        <f>'Prevalence projection'!AV101</f>
        <v>271.11840898865847</v>
      </c>
      <c r="AW12" s="39">
        <f>'Prevalence projection'!AW101</f>
        <v>277.19283752711135</v>
      </c>
      <c r="AX12" s="39">
        <f>'Prevalence projection'!AX101</f>
        <v>283.26726606556423</v>
      </c>
      <c r="AY12" s="39">
        <f>'Prevalence projection'!AY101</f>
        <v>289.34169460401711</v>
      </c>
      <c r="AZ12" s="39">
        <f>'Prevalence projection'!AZ101</f>
        <v>295.41612314246998</v>
      </c>
      <c r="BA12" s="39">
        <f>'Prevalence projection'!BA101</f>
        <v>301.49055168092286</v>
      </c>
    </row>
    <row r="13" spans="1:53" s="4" customFormat="1">
      <c r="B13" s="12" t="s">
        <v>97</v>
      </c>
      <c r="C13" s="39">
        <f>'Prevalence projection'!C102</f>
        <v>0</v>
      </c>
      <c r="D13" s="39">
        <f>'Prevalence projection'!D102</f>
        <v>0</v>
      </c>
      <c r="E13" s="39">
        <f>'Prevalence projection'!E102</f>
        <v>0</v>
      </c>
      <c r="F13" s="39">
        <f>'Prevalence projection'!F102</f>
        <v>0</v>
      </c>
      <c r="G13" s="39">
        <f>'Prevalence projection'!G102</f>
        <v>0</v>
      </c>
      <c r="H13" s="39">
        <f>'Prevalence projection'!H102</f>
        <v>0</v>
      </c>
      <c r="I13" s="39">
        <f>'Prevalence projection'!I102</f>
        <v>0</v>
      </c>
      <c r="J13" s="39">
        <f>'Prevalence projection'!J102</f>
        <v>0</v>
      </c>
      <c r="K13" s="39">
        <f>'Prevalence projection'!K102</f>
        <v>0</v>
      </c>
      <c r="L13" s="39">
        <f>'Prevalence projection'!L102</f>
        <v>0</v>
      </c>
      <c r="M13" s="39">
        <f>'Prevalence projection'!M102</f>
        <v>0</v>
      </c>
      <c r="N13" s="39">
        <f>'Prevalence projection'!N102</f>
        <v>0</v>
      </c>
      <c r="O13" s="39">
        <f>'Prevalence projection'!O102</f>
        <v>0</v>
      </c>
      <c r="P13" s="39">
        <f>'Prevalence projection'!P102</f>
        <v>0</v>
      </c>
      <c r="Q13" s="39">
        <f>'Prevalence projection'!Q102</f>
        <v>0</v>
      </c>
      <c r="R13" s="39">
        <f>'Prevalence projection'!R102</f>
        <v>0</v>
      </c>
      <c r="S13" s="39">
        <f>'Prevalence projection'!S102</f>
        <v>0</v>
      </c>
      <c r="T13" s="39">
        <f>'Prevalence projection'!T102</f>
        <v>0</v>
      </c>
      <c r="U13" s="39">
        <f>'Prevalence projection'!U102</f>
        <v>0</v>
      </c>
      <c r="V13" s="39">
        <f>'Prevalence projection'!V102</f>
        <v>0</v>
      </c>
      <c r="W13" s="39">
        <f>'Prevalence projection'!W102</f>
        <v>0</v>
      </c>
      <c r="X13" s="39">
        <f>'Prevalence projection'!X102</f>
        <v>0</v>
      </c>
      <c r="Y13" s="39">
        <f>'Prevalence projection'!Y102</f>
        <v>0</v>
      </c>
      <c r="Z13" s="39">
        <f>'Prevalence projection'!Z102</f>
        <v>0</v>
      </c>
      <c r="AA13" s="39">
        <f>'Prevalence projection'!AA102</f>
        <v>0</v>
      </c>
      <c r="AB13" s="39">
        <f>'Prevalence projection'!AB102</f>
        <v>0</v>
      </c>
      <c r="AC13" s="39">
        <f>'Prevalence projection'!AC102</f>
        <v>0</v>
      </c>
      <c r="AD13" s="39">
        <f>'Prevalence projection'!AD102</f>
        <v>0</v>
      </c>
      <c r="AE13" s="39">
        <f>'Prevalence projection'!AE102</f>
        <v>0</v>
      </c>
      <c r="AF13" s="39">
        <f>'Prevalence projection'!AF102</f>
        <v>0</v>
      </c>
      <c r="AG13" s="39">
        <f>'Prevalence projection'!AG102</f>
        <v>0</v>
      </c>
      <c r="AH13" s="39">
        <f>'Prevalence projection'!AH102</f>
        <v>0</v>
      </c>
      <c r="AI13" s="39">
        <f>'Prevalence projection'!AI102</f>
        <v>0</v>
      </c>
      <c r="AJ13" s="39">
        <f>'Prevalence projection'!AJ102</f>
        <v>0</v>
      </c>
      <c r="AK13" s="39">
        <f>'Prevalence projection'!AK102</f>
        <v>0</v>
      </c>
      <c r="AL13" s="39">
        <f>'Prevalence projection'!AL102</f>
        <v>0</v>
      </c>
      <c r="AM13" s="39">
        <f>'Prevalence projection'!AM102</f>
        <v>0</v>
      </c>
      <c r="AN13" s="39">
        <f>'Prevalence projection'!AN102</f>
        <v>0</v>
      </c>
      <c r="AO13" s="39">
        <f>'Prevalence projection'!AO102</f>
        <v>0</v>
      </c>
      <c r="AP13" s="39">
        <f>'Prevalence projection'!AP102</f>
        <v>0</v>
      </c>
      <c r="AQ13" s="39">
        <f>'Prevalence projection'!AQ102</f>
        <v>0</v>
      </c>
      <c r="AR13" s="39">
        <f>'Prevalence projection'!AR102</f>
        <v>0</v>
      </c>
      <c r="AS13" s="39">
        <f>'Prevalence projection'!AS102</f>
        <v>0</v>
      </c>
      <c r="AT13" s="39">
        <f>'Prevalence projection'!AT102</f>
        <v>0</v>
      </c>
      <c r="AU13" s="39">
        <f>'Prevalence projection'!AU102</f>
        <v>0</v>
      </c>
      <c r="AV13" s="39">
        <f>'Prevalence projection'!AV102</f>
        <v>0</v>
      </c>
      <c r="AW13" s="39">
        <f>'Prevalence projection'!AW102</f>
        <v>0</v>
      </c>
      <c r="AX13" s="39">
        <f>'Prevalence projection'!AX102</f>
        <v>0</v>
      </c>
      <c r="AY13" s="39">
        <f>'Prevalence projection'!AY102</f>
        <v>0</v>
      </c>
      <c r="AZ13" s="39">
        <f>'Prevalence projection'!AZ102</f>
        <v>0</v>
      </c>
      <c r="BA13" s="39">
        <f>'Prevalence projection'!BA102</f>
        <v>0</v>
      </c>
    </row>
    <row r="14" spans="1:53" s="4" customFormat="1">
      <c r="B14" s="12" t="s">
        <v>98</v>
      </c>
      <c r="C14" s="39">
        <f>'Prevalence projection'!C103</f>
        <v>34.5</v>
      </c>
      <c r="D14" s="39">
        <f>'Prevalence projection'!D103</f>
        <v>38.454128917855734</v>
      </c>
      <c r="E14" s="39">
        <f>'Prevalence projection'!E103</f>
        <v>42.457630958756774</v>
      </c>
      <c r="F14" s="39">
        <f>'Prevalence projection'!F103</f>
        <v>46.516040358715721</v>
      </c>
      <c r="G14" s="39">
        <f>'Prevalence projection'!G103</f>
        <v>50.638387568592549</v>
      </c>
      <c r="H14" s="39">
        <f>'Prevalence projection'!H103</f>
        <v>54.829561420828284</v>
      </c>
      <c r="I14" s="39">
        <f>'Prevalence projection'!I103</f>
        <v>59.086273926722946</v>
      </c>
      <c r="J14" s="39">
        <f>'Prevalence projection'!J103</f>
        <v>63.410302979667918</v>
      </c>
      <c r="K14" s="39">
        <f>'Prevalence projection'!K103</f>
        <v>67.831191783152875</v>
      </c>
      <c r="L14" s="39">
        <f>'Prevalence projection'!L103</f>
        <v>72.333730036701468</v>
      </c>
      <c r="M14" s="39">
        <f>'Prevalence projection'!M103</f>
        <v>76.908553995894138</v>
      </c>
      <c r="N14" s="39">
        <f>'Prevalence projection'!N103</f>
        <v>81.549670970508927</v>
      </c>
      <c r="O14" s="39">
        <f>'Prevalence projection'!O103</f>
        <v>86.251869495510277</v>
      </c>
      <c r="P14" s="39">
        <f>'Prevalence projection'!P103</f>
        <v>91.017411341000781</v>
      </c>
      <c r="Q14" s="39">
        <f>'Prevalence projection'!Q103</f>
        <v>95.850693865599013</v>
      </c>
      <c r="R14" s="39">
        <f>'Prevalence projection'!R103</f>
        <v>100.75199220352667</v>
      </c>
      <c r="S14" s="39">
        <f>'Prevalence projection'!S103</f>
        <v>105.71576477276294</v>
      </c>
      <c r="T14" s="39">
        <f>'Prevalence projection'!T103</f>
        <v>110.7412598192691</v>
      </c>
      <c r="U14" s="39">
        <f>'Prevalence projection'!U103</f>
        <v>115.83926725747473</v>
      </c>
      <c r="V14" s="39">
        <f>'Prevalence projection'!V103</f>
        <v>121.00096894283982</v>
      </c>
      <c r="W14" s="39">
        <f>'Prevalence projection'!W103</f>
        <v>126.22253923854976</v>
      </c>
      <c r="X14" s="39">
        <f>'Prevalence projection'!X103</f>
        <v>131.50193772831429</v>
      </c>
      <c r="Y14" s="39">
        <f>'Prevalence projection'!Y103</f>
        <v>136.84236567923674</v>
      </c>
      <c r="Z14" s="39">
        <f>'Prevalence projection'!Z103</f>
        <v>142.24213559294529</v>
      </c>
      <c r="AA14" s="39">
        <f>'Prevalence projection'!AA103</f>
        <v>147.69839945955746</v>
      </c>
      <c r="AB14" s="39">
        <f>'Prevalence projection'!AB103</f>
        <v>153.20831008248271</v>
      </c>
      <c r="AC14" s="39">
        <f>'Prevalence projection'!AC103</f>
        <v>158.76867284622162</v>
      </c>
      <c r="AD14" s="39">
        <f>'Prevalence projection'!AD103</f>
        <v>164.37635475729451</v>
      </c>
      <c r="AE14" s="39">
        <f>'Prevalence projection'!AE103</f>
        <v>170.0280738909787</v>
      </c>
      <c r="AF14" s="39">
        <f>'Prevalence projection'!AF103</f>
        <v>175.72225360870661</v>
      </c>
      <c r="AG14" s="39">
        <f>'Prevalence projection'!AG103</f>
        <v>181.46116457365477</v>
      </c>
      <c r="AH14" s="39">
        <f>'Prevalence projection'!AH103</f>
        <v>187.24405300800061</v>
      </c>
      <c r="AI14" s="39">
        <f>'Prevalence projection'!AI103</f>
        <v>193.07147026294766</v>
      </c>
      <c r="AJ14" s="39">
        <f>'Prevalence projection'!AJ103</f>
        <v>198.93757312433755</v>
      </c>
      <c r="AK14" s="39">
        <f>'Prevalence projection'!AK103</f>
        <v>204.83658775998202</v>
      </c>
      <c r="AL14" s="39">
        <f>'Prevalence projection'!AL103</f>
        <v>210.76312747680086</v>
      </c>
      <c r="AM14" s="39">
        <f>'Prevalence projection'!AM103</f>
        <v>216.71542026573081</v>
      </c>
      <c r="AN14" s="39">
        <f>'Prevalence projection'!AN103</f>
        <v>222.69082693765768</v>
      </c>
      <c r="AO14" s="39">
        <f>'Prevalence projection'!AO103</f>
        <v>228.68579665877621</v>
      </c>
      <c r="AP14" s="39">
        <f>'Prevalence projection'!AP103</f>
        <v>234.70281415288915</v>
      </c>
      <c r="AQ14" s="39">
        <f>'Prevalence projection'!AQ103</f>
        <v>240.746266296394</v>
      </c>
      <c r="AR14" s="39">
        <f>'Prevalence projection'!AR103</f>
        <v>246.8206948348469</v>
      </c>
      <c r="AS14" s="39">
        <f>'Prevalence projection'!AS103</f>
        <v>252.89512337329981</v>
      </c>
      <c r="AT14" s="39">
        <f>'Prevalence projection'!AT103</f>
        <v>258.96955191175272</v>
      </c>
      <c r="AU14" s="39">
        <f>'Prevalence projection'!AU103</f>
        <v>265.04398045020559</v>
      </c>
      <c r="AV14" s="39">
        <f>'Prevalence projection'!AV103</f>
        <v>271.11840898865847</v>
      </c>
      <c r="AW14" s="39">
        <f>'Prevalence projection'!AW103</f>
        <v>277.19283752711135</v>
      </c>
      <c r="AX14" s="39">
        <f>'Prevalence projection'!AX103</f>
        <v>283.26726606556423</v>
      </c>
      <c r="AY14" s="39">
        <f>'Prevalence projection'!AY103</f>
        <v>289.34169460401711</v>
      </c>
      <c r="AZ14" s="39">
        <f>'Prevalence projection'!AZ103</f>
        <v>295.41612314246998</v>
      </c>
      <c r="BA14" s="39">
        <f>'Prevalence projection'!BA103</f>
        <v>301.49055168092286</v>
      </c>
    </row>
    <row r="15" spans="1:53" s="4" customFormat="1">
      <c r="C15" s="75" t="b">
        <f t="shared" ref="C15:AE15" si="0">C14/C12=$D$18</f>
        <v>1</v>
      </c>
      <c r="D15" s="75" t="b">
        <f t="shared" si="0"/>
        <v>1</v>
      </c>
      <c r="E15" s="75" t="b">
        <f t="shared" si="0"/>
        <v>1</v>
      </c>
      <c r="F15" s="75" t="b">
        <f t="shared" si="0"/>
        <v>1</v>
      </c>
      <c r="G15" s="75" t="b">
        <f t="shared" si="0"/>
        <v>1</v>
      </c>
      <c r="H15" s="75" t="b">
        <f t="shared" si="0"/>
        <v>1</v>
      </c>
      <c r="I15" s="75" t="b">
        <f t="shared" si="0"/>
        <v>1</v>
      </c>
      <c r="J15" s="75" t="b">
        <f t="shared" si="0"/>
        <v>1</v>
      </c>
      <c r="K15" s="75" t="b">
        <f t="shared" si="0"/>
        <v>1</v>
      </c>
      <c r="L15" s="75" t="b">
        <f t="shared" si="0"/>
        <v>1</v>
      </c>
      <c r="M15" s="75" t="b">
        <f t="shared" si="0"/>
        <v>1</v>
      </c>
      <c r="N15" s="75" t="b">
        <f t="shared" si="0"/>
        <v>1</v>
      </c>
      <c r="O15" s="75" t="b">
        <f t="shared" si="0"/>
        <v>1</v>
      </c>
      <c r="P15" s="75" t="b">
        <f t="shared" si="0"/>
        <v>1</v>
      </c>
      <c r="Q15" s="75" t="b">
        <f t="shared" si="0"/>
        <v>1</v>
      </c>
      <c r="R15" s="75" t="b">
        <f t="shared" si="0"/>
        <v>1</v>
      </c>
      <c r="S15" s="75" t="b">
        <f t="shared" si="0"/>
        <v>1</v>
      </c>
      <c r="T15" s="75" t="b">
        <f t="shared" si="0"/>
        <v>1</v>
      </c>
      <c r="U15" s="75" t="b">
        <f t="shared" si="0"/>
        <v>1</v>
      </c>
      <c r="V15" s="75" t="b">
        <f t="shared" si="0"/>
        <v>1</v>
      </c>
      <c r="W15" s="75" t="b">
        <f t="shared" si="0"/>
        <v>1</v>
      </c>
      <c r="X15" s="75" t="b">
        <f t="shared" si="0"/>
        <v>1</v>
      </c>
      <c r="Y15" s="75" t="b">
        <f t="shared" si="0"/>
        <v>1</v>
      </c>
      <c r="Z15" s="75" t="b">
        <f t="shared" si="0"/>
        <v>1</v>
      </c>
      <c r="AA15" s="75" t="b">
        <f t="shared" si="0"/>
        <v>1</v>
      </c>
      <c r="AB15" s="75" t="b">
        <f t="shared" si="0"/>
        <v>1</v>
      </c>
      <c r="AC15" s="75" t="b">
        <f t="shared" si="0"/>
        <v>1</v>
      </c>
      <c r="AD15" s="75" t="b">
        <f t="shared" si="0"/>
        <v>1</v>
      </c>
      <c r="AE15" s="75" t="b">
        <f t="shared" si="0"/>
        <v>1</v>
      </c>
      <c r="AF15" s="75" t="b">
        <f t="shared" ref="AF15:AN15" si="1">AF14/AF12=$D$18</f>
        <v>1</v>
      </c>
      <c r="AG15" s="75" t="b">
        <f t="shared" si="1"/>
        <v>1</v>
      </c>
      <c r="AH15" s="75" t="b">
        <f t="shared" si="1"/>
        <v>1</v>
      </c>
      <c r="AI15" s="75" t="b">
        <f t="shared" si="1"/>
        <v>1</v>
      </c>
      <c r="AJ15" s="75" t="b">
        <f t="shared" si="1"/>
        <v>1</v>
      </c>
      <c r="AK15" s="75" t="b">
        <f t="shared" si="1"/>
        <v>1</v>
      </c>
      <c r="AL15" s="75" t="b">
        <f t="shared" si="1"/>
        <v>1</v>
      </c>
      <c r="AM15" s="75" t="b">
        <f t="shared" si="1"/>
        <v>1</v>
      </c>
      <c r="AN15" s="75" t="b">
        <f t="shared" si="1"/>
        <v>1</v>
      </c>
      <c r="AO15" s="75" t="b">
        <f t="shared" ref="AO15:BA15" si="2">AO14/AO12=$D$18</f>
        <v>1</v>
      </c>
      <c r="AP15" s="75" t="b">
        <f t="shared" si="2"/>
        <v>1</v>
      </c>
      <c r="AQ15" s="75" t="b">
        <f t="shared" si="2"/>
        <v>1</v>
      </c>
      <c r="AR15" s="75" t="b">
        <f t="shared" si="2"/>
        <v>1</v>
      </c>
      <c r="AS15" s="75" t="b">
        <f t="shared" si="2"/>
        <v>1</v>
      </c>
      <c r="AT15" s="75" t="b">
        <f t="shared" si="2"/>
        <v>1</v>
      </c>
      <c r="AU15" s="75" t="b">
        <f t="shared" si="2"/>
        <v>1</v>
      </c>
      <c r="AV15" s="75" t="b">
        <f t="shared" si="2"/>
        <v>1</v>
      </c>
      <c r="AW15" s="75" t="b">
        <f t="shared" si="2"/>
        <v>1</v>
      </c>
      <c r="AX15" s="75" t="b">
        <f t="shared" si="2"/>
        <v>1</v>
      </c>
      <c r="AY15" s="75" t="b">
        <f t="shared" si="2"/>
        <v>1</v>
      </c>
      <c r="AZ15" s="75" t="b">
        <f t="shared" si="2"/>
        <v>1</v>
      </c>
      <c r="BA15" s="75" t="b">
        <f t="shared" si="2"/>
        <v>1</v>
      </c>
    </row>
    <row r="16" spans="1:53" s="4" customFormat="1">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75"/>
      <c r="AE16" s="75"/>
    </row>
    <row r="17" spans="1:55" ht="21.65" customHeight="1">
      <c r="B17" s="65"/>
      <c r="C17" s="59" t="s">
        <v>152</v>
      </c>
      <c r="D17" s="98" t="s">
        <v>153</v>
      </c>
      <c r="E17" s="75"/>
      <c r="G17" s="38"/>
      <c r="H17" s="38"/>
      <c r="I17" s="73"/>
      <c r="J17" s="74"/>
      <c r="K17" s="38"/>
      <c r="L17" s="38"/>
      <c r="M17" s="38"/>
      <c r="N17" s="38"/>
      <c r="O17" s="38"/>
      <c r="P17" s="38"/>
      <c r="Q17" s="38"/>
      <c r="R17" s="38"/>
      <c r="S17" s="38"/>
      <c r="T17" s="38"/>
      <c r="U17" s="38"/>
      <c r="V17" s="38"/>
      <c r="W17" s="38"/>
      <c r="X17" s="38"/>
      <c r="Y17" s="38"/>
      <c r="Z17" s="38"/>
      <c r="AA17" s="38"/>
      <c r="AB17" s="38"/>
      <c r="AC17" s="38"/>
      <c r="AD17" s="38"/>
      <c r="AE17" s="38"/>
      <c r="BB17" s="4"/>
      <c r="BC17" s="4"/>
    </row>
    <row r="18" spans="1:55">
      <c r="B18" s="12" t="s">
        <v>2954</v>
      </c>
      <c r="C18" s="24">
        <f>Epidemiology!C101</f>
        <v>0</v>
      </c>
      <c r="D18" s="24">
        <f>1-C18</f>
        <v>1</v>
      </c>
      <c r="E18" s="75"/>
      <c r="G18" s="38"/>
      <c r="H18" s="71"/>
      <c r="I18" s="71"/>
      <c r="J18" s="70"/>
      <c r="K18" s="38"/>
      <c r="L18" s="38"/>
      <c r="M18" s="38"/>
      <c r="N18" s="38"/>
      <c r="O18" s="38"/>
      <c r="P18" s="38"/>
      <c r="Q18" s="38"/>
      <c r="R18" s="38"/>
      <c r="S18" s="38"/>
      <c r="T18" s="38"/>
      <c r="U18" s="38"/>
      <c r="V18" s="38"/>
      <c r="W18" s="38"/>
      <c r="X18" s="38"/>
      <c r="Y18" s="38"/>
      <c r="Z18" s="38"/>
      <c r="AA18" s="38"/>
      <c r="AB18" s="38"/>
      <c r="AC18" s="38"/>
      <c r="AD18" s="38"/>
      <c r="AE18" s="38"/>
    </row>
    <row r="19" spans="1:55">
      <c r="E19" s="75"/>
      <c r="G19" s="38"/>
      <c r="H19" s="71"/>
      <c r="I19" s="71"/>
      <c r="J19" s="38"/>
      <c r="K19" s="38"/>
      <c r="L19" s="38"/>
      <c r="M19" s="38"/>
      <c r="N19" s="38"/>
      <c r="O19" s="38"/>
      <c r="P19" s="38"/>
      <c r="Q19" s="38"/>
      <c r="R19" s="38"/>
      <c r="S19" s="38"/>
      <c r="T19" s="38"/>
      <c r="U19" s="38"/>
      <c r="V19" s="38"/>
      <c r="W19" s="38"/>
      <c r="X19" s="38"/>
      <c r="Y19" s="38"/>
      <c r="Z19" s="38"/>
      <c r="AA19" s="38"/>
      <c r="AB19" s="38"/>
      <c r="AC19" s="38"/>
      <c r="AD19" s="38"/>
      <c r="AE19" s="38"/>
    </row>
    <row r="20" spans="1:55" s="4" customFormat="1">
      <c r="C20" s="75"/>
      <c r="D20" s="75"/>
      <c r="E20" s="75"/>
      <c r="F20" s="75"/>
      <c r="G20" s="75"/>
      <c r="H20" s="75"/>
      <c r="I20" s="75"/>
      <c r="J20" s="75"/>
      <c r="K20" s="75"/>
      <c r="L20" s="75"/>
      <c r="M20" s="75"/>
      <c r="N20" s="75"/>
      <c r="O20" s="75"/>
      <c r="P20" s="75"/>
      <c r="Q20" s="75"/>
      <c r="R20" s="75"/>
      <c r="S20" s="75"/>
      <c r="T20" s="75"/>
      <c r="U20" s="75"/>
      <c r="V20" s="75"/>
      <c r="W20" s="75"/>
      <c r="X20" s="75"/>
      <c r="Y20" s="75"/>
      <c r="Z20" s="75"/>
      <c r="AA20" s="75"/>
      <c r="AB20" s="75"/>
      <c r="AC20" s="75"/>
      <c r="AD20" s="75"/>
      <c r="AE20" s="75"/>
    </row>
    <row r="21" spans="1:55" s="4" customFormat="1">
      <c r="C21" s="38"/>
      <c r="D21" s="38"/>
      <c r="E21" s="38"/>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row>
    <row r="22" spans="1:55" s="588" customFormat="1">
      <c r="A22" s="593" t="s">
        <v>10</v>
      </c>
      <c r="B22" s="639" t="s">
        <v>2928</v>
      </c>
      <c r="J22" s="641"/>
    </row>
    <row r="23" spans="1:55">
      <c r="B23" s="66"/>
      <c r="J23" s="60"/>
    </row>
    <row r="24" spans="1:55">
      <c r="B24" s="108"/>
    </row>
    <row r="25" spans="1:55">
      <c r="A25" s="9"/>
      <c r="B25" s="372" t="s">
        <v>2880</v>
      </c>
    </row>
    <row r="26" spans="1:55">
      <c r="B26" s="7" t="s">
        <v>9</v>
      </c>
      <c r="C26" s="34" t="s">
        <v>2990</v>
      </c>
      <c r="E26" s="34" t="s">
        <v>97</v>
      </c>
      <c r="F26" s="34" t="s">
        <v>98</v>
      </c>
      <c r="H26" s="34" t="s">
        <v>155</v>
      </c>
      <c r="J26" s="79" t="s">
        <v>124</v>
      </c>
      <c r="L26" s="78"/>
    </row>
    <row r="27" spans="1:55" ht="16.25" customHeight="1">
      <c r="B27" s="100" t="s">
        <v>11</v>
      </c>
      <c r="C27" s="101">
        <f>INDEX('Resource costs'!$D$29:$N$29, MATCH(B27, 'Resource costs'!$D$27:$N$27,0))</f>
        <v>2.2502250225022502</v>
      </c>
      <c r="E27" s="101">
        <f t="shared" ref="E27:E33" si="3">C27/((H27*$D$18)+$C$18)</f>
        <v>0.92656324455975003</v>
      </c>
      <c r="F27" s="101">
        <f t="shared" ref="F27:F33" si="4">E27*H27</f>
        <v>2.2502250225022502</v>
      </c>
      <c r="H27" s="82">
        <f>INDEX('Resource costs'!$F$81:$F$94, MATCH(B27,'Resource costs'!$B$81:$B$94,0))</f>
        <v>2.4285714285714288</v>
      </c>
      <c r="J27" s="78" t="b">
        <f t="shared" ref="J27:J33" si="5">E27*$C$18+F27*$D$18=C27</f>
        <v>1</v>
      </c>
      <c r="L27" s="80"/>
      <c r="M27" s="81"/>
    </row>
    <row r="28" spans="1:55" ht="16.25" customHeight="1">
      <c r="B28" s="104" t="s">
        <v>14</v>
      </c>
      <c r="C28" s="105">
        <f>INDEX('Resource costs'!$D$29:$N$29, MATCH(B28, 'Resource costs'!$D$27:$N$27,0))</f>
        <v>0</v>
      </c>
      <c r="D28" s="106"/>
      <c r="E28" s="105">
        <f t="shared" si="3"/>
        <v>0</v>
      </c>
      <c r="F28" s="105">
        <f t="shared" si="4"/>
        <v>0</v>
      </c>
      <c r="G28" s="106"/>
      <c r="H28" s="107">
        <f>'Resource costs'!E65</f>
        <v>0.91666666666666663</v>
      </c>
      <c r="I28" s="108" t="s">
        <v>162</v>
      </c>
      <c r="J28" s="78" t="b">
        <f t="shared" si="5"/>
        <v>1</v>
      </c>
      <c r="L28" s="80"/>
      <c r="M28" s="81"/>
    </row>
    <row r="29" spans="1:55" ht="16.25" customHeight="1">
      <c r="B29" s="104" t="s">
        <v>15</v>
      </c>
      <c r="C29" s="105">
        <f>INDEX('Resource costs'!$D$29:$N$29, MATCH(B29, 'Resource costs'!$D$27:$N$27,0))</f>
        <v>0.24760688568856887</v>
      </c>
      <c r="D29" s="106"/>
      <c r="E29" s="105">
        <f t="shared" si="3"/>
        <v>0.12706142818229191</v>
      </c>
      <c r="F29" s="105">
        <f t="shared" si="4"/>
        <v>0.24760688568856884</v>
      </c>
      <c r="G29" s="106"/>
      <c r="H29" s="107">
        <f>'Resource costs'!E66</f>
        <v>1.9487179487179487</v>
      </c>
      <c r="I29" s="108" t="s">
        <v>162</v>
      </c>
      <c r="J29" s="78" t="b">
        <f t="shared" si="5"/>
        <v>1</v>
      </c>
      <c r="L29" s="80"/>
      <c r="M29" s="81"/>
    </row>
    <row r="30" spans="1:55" ht="16.25" customHeight="1">
      <c r="B30" s="100" t="s">
        <v>16</v>
      </c>
      <c r="C30" s="101">
        <f>INDEX('Resource costs'!$D$29:$N$29, MATCH(B30, 'Resource costs'!$D$27:$N$27,0))</f>
        <v>0.74045454545454548</v>
      </c>
      <c r="E30" s="101">
        <f t="shared" si="3"/>
        <v>7.4045454545454553E-2</v>
      </c>
      <c r="F30" s="101">
        <f t="shared" si="4"/>
        <v>0.74045454545454548</v>
      </c>
      <c r="H30" s="82">
        <f>INDEX('Resource costs'!$F$81:$F$94, MATCH(B30,'Resource costs'!$B$81:$B$94,0))</f>
        <v>10</v>
      </c>
      <c r="J30" s="78" t="b">
        <f t="shared" si="5"/>
        <v>1</v>
      </c>
      <c r="L30" s="80"/>
      <c r="M30" s="81"/>
    </row>
    <row r="31" spans="1:55" ht="16.25" customHeight="1">
      <c r="B31" s="100" t="s">
        <v>103</v>
      </c>
      <c r="C31" s="101">
        <f>INDEX('Resource costs'!$D$29:$N$29, MATCH(B31, 'Resource costs'!$D$27:$N$27,0))</f>
        <v>0.7499966246624663</v>
      </c>
      <c r="E31" s="101">
        <f t="shared" si="3"/>
        <v>0.37499831233123315</v>
      </c>
      <c r="F31" s="101">
        <f t="shared" si="4"/>
        <v>0.7499966246624663</v>
      </c>
      <c r="H31" s="82">
        <f>INDEX('Resource costs'!$F$81:$F$94, MATCH(B31,'Resource costs'!$B$81:$B$94,0))</f>
        <v>2</v>
      </c>
      <c r="J31" s="78" t="b">
        <f t="shared" si="5"/>
        <v>1</v>
      </c>
      <c r="L31" s="80"/>
      <c r="M31" s="81"/>
    </row>
    <row r="32" spans="1:55" ht="16.25" customHeight="1">
      <c r="B32" s="100" t="s">
        <v>104</v>
      </c>
      <c r="C32" s="101">
        <f>INDEX('Resource costs'!$D$29:$N$29, MATCH(B32, 'Resource costs'!$D$27:$N$27,0))</f>
        <v>6.7506750675067506</v>
      </c>
      <c r="E32" s="101">
        <f t="shared" si="3"/>
        <v>13.501350135013501</v>
      </c>
      <c r="F32" s="101">
        <f t="shared" si="4"/>
        <v>6.7506750675067506</v>
      </c>
      <c r="H32" s="82">
        <f>INDEX('Resource costs'!$F$81:$F$94, MATCH(B32,'Resource costs'!$B$81:$B$94,0))</f>
        <v>0.5</v>
      </c>
      <c r="J32" s="78" t="b">
        <f t="shared" si="5"/>
        <v>1</v>
      </c>
      <c r="L32" s="80"/>
      <c r="M32" s="81"/>
    </row>
    <row r="33" spans="2:13" s="106" customFormat="1" ht="16.25" customHeight="1">
      <c r="B33" s="104" t="s">
        <v>17</v>
      </c>
      <c r="C33" s="105">
        <f>INDEX('Resource costs'!$D$29:$N$29, MATCH(B33, 'Resource costs'!$D$27:$N$27,0))</f>
        <v>366.78667866786679</v>
      </c>
      <c r="E33" s="105">
        <f t="shared" si="3"/>
        <v>207.36720546875327</v>
      </c>
      <c r="F33" s="105">
        <f t="shared" si="4"/>
        <v>366.78667866786679</v>
      </c>
      <c r="H33" s="107">
        <f>'Resource costs'!E67</f>
        <v>1.7687786158797194</v>
      </c>
      <c r="I33" s="108" t="s">
        <v>162</v>
      </c>
      <c r="J33" s="78" t="b">
        <f t="shared" si="5"/>
        <v>1</v>
      </c>
      <c r="L33" s="109"/>
      <c r="M33" s="109"/>
    </row>
    <row r="34" spans="2:13" ht="16.25" customHeight="1">
      <c r="B34" s="100" t="s">
        <v>19</v>
      </c>
      <c r="C34" s="101">
        <f>INDEX('Resource costs'!$D$29:$N$29, MATCH(B34, 'Resource costs'!$D$27:$N$27,0))</f>
        <v>0.56255625562556255</v>
      </c>
      <c r="E34" s="143" t="s">
        <v>6</v>
      </c>
      <c r="F34" s="143" t="s">
        <v>6</v>
      </c>
      <c r="H34" s="143" t="s">
        <v>6</v>
      </c>
      <c r="I34" s="110" t="s">
        <v>157</v>
      </c>
      <c r="J34" s="78"/>
      <c r="L34" s="80"/>
      <c r="M34" s="81"/>
    </row>
    <row r="35" spans="2:13">
      <c r="J35" s="78"/>
    </row>
    <row r="36" spans="2:13">
      <c r="B36" s="371" t="s">
        <v>156</v>
      </c>
      <c r="J36" s="78"/>
    </row>
    <row r="37" spans="2:13" ht="29">
      <c r="B37" s="6" t="s">
        <v>106</v>
      </c>
      <c r="C37" s="102">
        <f>C$34*('Resource costs'!C91/SUM('Resource costs'!C$91:C$92))</f>
        <v>0.34192407335971692</v>
      </c>
      <c r="E37" s="102">
        <f>C37/((H37*$D$18)+$C$18)</f>
        <v>9.5966216015720973E-2</v>
      </c>
      <c r="F37" s="102">
        <f>E37*H37</f>
        <v>0.34192407335971692</v>
      </c>
      <c r="H37" s="82">
        <f>INDEX('Resource costs'!$F$81:$F$94, MATCH(B37,'Resource costs'!$B$81:$B$94,0))</f>
        <v>3.5629629629629624</v>
      </c>
      <c r="I37" s="146"/>
      <c r="J37" s="78" t="b">
        <f>E37*$C$18+F37*$D$18=C37</f>
        <v>1</v>
      </c>
    </row>
    <row r="38" spans="2:13" ht="29">
      <c r="B38" s="6" t="s">
        <v>107</v>
      </c>
      <c r="C38" s="102">
        <f>C$34*('Resource costs'!C92/SUM('Resource costs'!C$91:C$92))</f>
        <v>0.22063218226584563</v>
      </c>
      <c r="E38" s="102">
        <f>C38/((H38*$D$18)+$C$18)</f>
        <v>6.0727750493367934E-2</v>
      </c>
      <c r="F38" s="102">
        <f>E38*H38</f>
        <v>0.22063218226584563</v>
      </c>
      <c r="H38" s="82">
        <f>INDEX('Resource costs'!$F$81:$F$94, MATCH(B38,'Resource costs'!$B$81:$B$94,0))</f>
        <v>3.6331360946745561</v>
      </c>
      <c r="J38" s="78" t="b">
        <f>E38*$C$18+F38*$D$18=C38</f>
        <v>1</v>
      </c>
    </row>
    <row r="39" spans="2:13">
      <c r="C39" s="78" t="b">
        <f>SUM(C37:C38)=C34</f>
        <v>1</v>
      </c>
      <c r="E39" s="78"/>
      <c r="F39" s="78"/>
      <c r="G39" s="78"/>
      <c r="H39" s="78"/>
      <c r="J39" s="78"/>
    </row>
    <row r="40" spans="2:13">
      <c r="B40" s="52"/>
      <c r="C40" s="78"/>
      <c r="E40" s="111"/>
      <c r="F40" s="111"/>
      <c r="H40" s="112"/>
      <c r="J40" s="78"/>
    </row>
    <row r="41" spans="2:13">
      <c r="B41" s="52"/>
      <c r="C41" s="78"/>
      <c r="E41" s="111"/>
      <c r="F41" s="111"/>
      <c r="H41" s="112"/>
      <c r="J41" s="78"/>
    </row>
    <row r="42" spans="2:13">
      <c r="B42" s="370" t="s">
        <v>2881</v>
      </c>
      <c r="C42" s="78"/>
      <c r="H42" s="112"/>
      <c r="J42" s="78"/>
    </row>
    <row r="43" spans="2:13">
      <c r="B43" s="7" t="s">
        <v>125</v>
      </c>
      <c r="E43" s="344" t="s">
        <v>97</v>
      </c>
      <c r="F43" s="344" t="s">
        <v>2797</v>
      </c>
      <c r="H43" s="112"/>
      <c r="J43" s="78"/>
    </row>
    <row r="44" spans="2:13">
      <c r="B44" s="6" t="s">
        <v>2863</v>
      </c>
      <c r="E44" s="368">
        <f>'Arterial Care Pathways'!C91</f>
        <v>0</v>
      </c>
      <c r="F44" s="368">
        <f>'Arterial Care Pathways'!D91</f>
        <v>78</v>
      </c>
      <c r="H44" s="112"/>
      <c r="J44" s="78"/>
    </row>
    <row r="45" spans="2:13">
      <c r="B45" s="6" t="s">
        <v>2862</v>
      </c>
      <c r="E45" s="368">
        <f>'Arterial Care Pathways'!C92</f>
        <v>0</v>
      </c>
      <c r="F45" s="368">
        <f>'Arterial Care Pathways'!D92</f>
        <v>156</v>
      </c>
      <c r="H45" s="112"/>
      <c r="J45" s="78"/>
    </row>
    <row r="46" spans="2:13">
      <c r="B46" s="6" t="s">
        <v>131</v>
      </c>
      <c r="E46" s="368">
        <f>'Arterial Care Pathways'!C93</f>
        <v>0</v>
      </c>
      <c r="F46" s="368">
        <f>'Arterial Care Pathways'!D93</f>
        <v>0</v>
      </c>
      <c r="H46" s="112"/>
      <c r="J46" s="78"/>
    </row>
    <row r="47" spans="2:13" ht="29">
      <c r="B47" s="6" t="s">
        <v>2869</v>
      </c>
      <c r="E47" s="368">
        <f>'Arterial Care Pathways'!C94</f>
        <v>0</v>
      </c>
      <c r="F47" s="368">
        <f>'Arterial Care Pathways'!D94</f>
        <v>78</v>
      </c>
      <c r="H47" s="112"/>
      <c r="J47" s="78"/>
    </row>
    <row r="48" spans="2:13" ht="29">
      <c r="B48" s="6" t="s">
        <v>2870</v>
      </c>
      <c r="E48" s="368">
        <f>'Arterial Care Pathways'!C95</f>
        <v>0</v>
      </c>
      <c r="F48" s="368">
        <f>'Arterial Care Pathways'!D95</f>
        <v>0</v>
      </c>
      <c r="H48" s="112"/>
      <c r="J48" s="78"/>
    </row>
    <row r="49" spans="1:10">
      <c r="B49" s="6" t="s">
        <v>102</v>
      </c>
      <c r="E49" s="368">
        <f>'Arterial Care Pathways'!C96</f>
        <v>0</v>
      </c>
      <c r="F49" s="368">
        <f>'Arterial Care Pathways'!D96</f>
        <v>0</v>
      </c>
      <c r="H49" s="112"/>
      <c r="J49" s="78"/>
    </row>
    <row r="50" spans="1:10">
      <c r="B50" s="6" t="s">
        <v>2831</v>
      </c>
      <c r="E50" s="368">
        <f>'Arterial Care Pathways'!C97</f>
        <v>0</v>
      </c>
      <c r="F50" s="368">
        <f>'Arterial Care Pathways'!D97</f>
        <v>1638</v>
      </c>
      <c r="H50" s="112"/>
      <c r="J50" s="78"/>
    </row>
    <row r="51" spans="1:10">
      <c r="B51" s="6" t="s">
        <v>2832</v>
      </c>
      <c r="E51" s="368">
        <f>'Arterial Care Pathways'!C98</f>
        <v>0</v>
      </c>
      <c r="F51" s="368">
        <f>'Arterial Care Pathways'!D98</f>
        <v>624</v>
      </c>
      <c r="H51" s="112"/>
      <c r="J51" s="78"/>
    </row>
    <row r="52" spans="1:10">
      <c r="B52" s="6" t="s">
        <v>2871</v>
      </c>
      <c r="E52" s="368">
        <f>'Arterial Care Pathways'!C99</f>
        <v>0</v>
      </c>
      <c r="F52" s="368">
        <f>'Arterial Care Pathways'!D99</f>
        <v>0</v>
      </c>
      <c r="H52" s="112"/>
      <c r="J52" s="78"/>
    </row>
    <row r="53" spans="1:10">
      <c r="B53" s="52"/>
      <c r="C53" s="78"/>
      <c r="E53" s="111"/>
      <c r="F53" s="111"/>
      <c r="H53" s="112"/>
      <c r="J53" s="78"/>
    </row>
    <row r="54" spans="1:10">
      <c r="B54" s="52"/>
      <c r="C54" s="111"/>
      <c r="E54" s="111"/>
      <c r="F54" s="111"/>
      <c r="H54" s="112"/>
      <c r="J54" s="78"/>
    </row>
    <row r="55" spans="1:10">
      <c r="A55" s="9"/>
      <c r="B55" s="114" t="s">
        <v>2925</v>
      </c>
      <c r="C55" s="111"/>
      <c r="E55" s="111"/>
      <c r="F55" s="111"/>
      <c r="H55" s="112"/>
      <c r="J55" s="78"/>
    </row>
    <row r="56" spans="1:10">
      <c r="B56" s="369"/>
      <c r="C56" s="111"/>
      <c r="E56" s="111"/>
      <c r="F56" s="111"/>
      <c r="H56" s="112"/>
      <c r="J56" s="78"/>
    </row>
    <row r="57" spans="1:10">
      <c r="B57" s="7" t="s">
        <v>9</v>
      </c>
      <c r="C57" s="7" t="s">
        <v>97</v>
      </c>
      <c r="D57" s="7" t="s">
        <v>2797</v>
      </c>
      <c r="E57" s="111"/>
      <c r="H57" s="112"/>
      <c r="J57" s="78"/>
    </row>
    <row r="58" spans="1:10">
      <c r="B58" s="6" t="s">
        <v>11</v>
      </c>
      <c r="C58" s="68">
        <f t="shared" ref="C58:D75" si="6">INDEX(E$27:E$52, MATCH($B58, $B$27:$B$52,0))</f>
        <v>0.92656324455975003</v>
      </c>
      <c r="D58" s="68">
        <f t="shared" si="6"/>
        <v>2.2502250225022502</v>
      </c>
      <c r="E58" s="78"/>
      <c r="H58" s="112"/>
      <c r="J58" s="78"/>
    </row>
    <row r="59" spans="1:10">
      <c r="B59" s="6" t="s">
        <v>14</v>
      </c>
      <c r="C59" s="68">
        <f t="shared" si="6"/>
        <v>0</v>
      </c>
      <c r="D59" s="68">
        <f t="shared" si="6"/>
        <v>0</v>
      </c>
      <c r="E59" s="78"/>
      <c r="H59" s="112"/>
      <c r="J59" s="78"/>
    </row>
    <row r="60" spans="1:10">
      <c r="B60" s="6" t="s">
        <v>15</v>
      </c>
      <c r="C60" s="68">
        <f t="shared" si="6"/>
        <v>0.12706142818229191</v>
      </c>
      <c r="D60" s="68">
        <f t="shared" si="6"/>
        <v>0.24760688568856884</v>
      </c>
      <c r="E60" s="78"/>
      <c r="H60" s="112"/>
      <c r="J60" s="78"/>
    </row>
    <row r="61" spans="1:10" ht="29">
      <c r="B61" s="6" t="s">
        <v>16</v>
      </c>
      <c r="C61" s="68">
        <f t="shared" si="6"/>
        <v>7.4045454545454553E-2</v>
      </c>
      <c r="D61" s="68">
        <f t="shared" si="6"/>
        <v>0.74045454545454548</v>
      </c>
      <c r="E61" s="78"/>
      <c r="H61" s="112"/>
      <c r="J61" s="78"/>
    </row>
    <row r="62" spans="1:10">
      <c r="B62" s="6" t="s">
        <v>103</v>
      </c>
      <c r="C62" s="68">
        <f t="shared" si="6"/>
        <v>0.37499831233123315</v>
      </c>
      <c r="D62" s="68">
        <f t="shared" si="6"/>
        <v>0.7499966246624663</v>
      </c>
      <c r="E62" s="78"/>
      <c r="H62" s="112"/>
      <c r="J62" s="78"/>
    </row>
    <row r="63" spans="1:10">
      <c r="B63" s="6" t="s">
        <v>104</v>
      </c>
      <c r="C63" s="68">
        <f t="shared" si="6"/>
        <v>13.501350135013501</v>
      </c>
      <c r="D63" s="68">
        <f t="shared" si="6"/>
        <v>6.7506750675067506</v>
      </c>
      <c r="E63" s="78"/>
      <c r="H63" s="112"/>
      <c r="J63" s="78"/>
    </row>
    <row r="64" spans="1:10">
      <c r="B64" s="6" t="s">
        <v>17</v>
      </c>
      <c r="C64" s="68">
        <f t="shared" si="6"/>
        <v>207.36720546875327</v>
      </c>
      <c r="D64" s="68">
        <f t="shared" si="6"/>
        <v>366.78667866786679</v>
      </c>
      <c r="E64" s="78"/>
      <c r="H64" s="112"/>
      <c r="J64" s="78"/>
    </row>
    <row r="65" spans="1:10" ht="29">
      <c r="B65" s="6" t="s">
        <v>106</v>
      </c>
      <c r="C65" s="68">
        <f t="shared" si="6"/>
        <v>9.5966216015720973E-2</v>
      </c>
      <c r="D65" s="68">
        <f t="shared" si="6"/>
        <v>0.34192407335971692</v>
      </c>
      <c r="E65" s="78"/>
      <c r="H65" s="112"/>
      <c r="J65" s="78"/>
    </row>
    <row r="66" spans="1:10" ht="29">
      <c r="B66" s="6" t="s">
        <v>107</v>
      </c>
      <c r="C66" s="68">
        <f t="shared" si="6"/>
        <v>6.0727750493367934E-2</v>
      </c>
      <c r="D66" s="68">
        <f t="shared" si="6"/>
        <v>0.22063218226584563</v>
      </c>
      <c r="E66" s="78"/>
      <c r="H66" s="112"/>
      <c r="J66" s="78"/>
    </row>
    <row r="67" spans="1:10">
      <c r="B67" s="6" t="s">
        <v>2863</v>
      </c>
      <c r="C67" s="68">
        <f t="shared" si="6"/>
        <v>0</v>
      </c>
      <c r="D67" s="68">
        <f t="shared" si="6"/>
        <v>78</v>
      </c>
      <c r="H67" s="112"/>
      <c r="J67" s="78"/>
    </row>
    <row r="68" spans="1:10">
      <c r="B68" s="6" t="s">
        <v>2862</v>
      </c>
      <c r="C68" s="68">
        <f t="shared" si="6"/>
        <v>0</v>
      </c>
      <c r="D68" s="68">
        <f t="shared" si="6"/>
        <v>156</v>
      </c>
      <c r="H68" s="112"/>
      <c r="J68" s="78"/>
    </row>
    <row r="69" spans="1:10">
      <c r="B69" s="6" t="s">
        <v>131</v>
      </c>
      <c r="C69" s="68">
        <f t="shared" si="6"/>
        <v>0</v>
      </c>
      <c r="D69" s="68">
        <f t="shared" si="6"/>
        <v>0</v>
      </c>
      <c r="H69" s="112"/>
      <c r="J69" s="78"/>
    </row>
    <row r="70" spans="1:10" ht="29">
      <c r="B70" s="6" t="s">
        <v>2869</v>
      </c>
      <c r="C70" s="68">
        <f t="shared" si="6"/>
        <v>0</v>
      </c>
      <c r="D70" s="68">
        <f t="shared" si="6"/>
        <v>78</v>
      </c>
      <c r="H70" s="112"/>
      <c r="J70" s="78"/>
    </row>
    <row r="71" spans="1:10" ht="29">
      <c r="B71" s="6" t="s">
        <v>2870</v>
      </c>
      <c r="C71" s="68">
        <f t="shared" si="6"/>
        <v>0</v>
      </c>
      <c r="D71" s="68">
        <f t="shared" si="6"/>
        <v>0</v>
      </c>
      <c r="H71" s="112"/>
      <c r="J71" s="78"/>
    </row>
    <row r="72" spans="1:10">
      <c r="B72" s="6" t="s">
        <v>102</v>
      </c>
      <c r="C72" s="68">
        <f t="shared" si="6"/>
        <v>0</v>
      </c>
      <c r="D72" s="68">
        <f t="shared" si="6"/>
        <v>0</v>
      </c>
      <c r="H72" s="112"/>
      <c r="J72" s="78"/>
    </row>
    <row r="73" spans="1:10">
      <c r="B73" s="6" t="s">
        <v>2831</v>
      </c>
      <c r="C73" s="68">
        <f t="shared" si="6"/>
        <v>0</v>
      </c>
      <c r="D73" s="68">
        <f t="shared" si="6"/>
        <v>1638</v>
      </c>
      <c r="H73" s="112"/>
      <c r="J73" s="78"/>
    </row>
    <row r="74" spans="1:10">
      <c r="B74" s="6" t="s">
        <v>2832</v>
      </c>
      <c r="C74" s="68">
        <f t="shared" si="6"/>
        <v>0</v>
      </c>
      <c r="D74" s="68">
        <f t="shared" si="6"/>
        <v>624</v>
      </c>
      <c r="H74" s="112"/>
      <c r="J74" s="78"/>
    </row>
    <row r="75" spans="1:10">
      <c r="B75" s="6" t="s">
        <v>2871</v>
      </c>
      <c r="C75" s="68">
        <f t="shared" si="6"/>
        <v>0</v>
      </c>
      <c r="D75" s="68">
        <f t="shared" si="6"/>
        <v>0</v>
      </c>
      <c r="E75" s="111"/>
      <c r="H75" s="112"/>
      <c r="J75" s="78"/>
    </row>
    <row r="76" spans="1:10">
      <c r="C76" s="373" t="b">
        <f>SUM(C58:C75)=SUM(E27:E33,E37:E38,E44:E52)</f>
        <v>1</v>
      </c>
      <c r="D76" s="373" t="b">
        <f>SUM(D58:D75)=SUM(F27:F33,F37:F38,F44:F52)</f>
        <v>1</v>
      </c>
      <c r="H76" s="112"/>
      <c r="J76" s="78"/>
    </row>
    <row r="77" spans="1:10">
      <c r="C77" s="373"/>
      <c r="D77" s="373"/>
      <c r="H77" s="112"/>
      <c r="J77" s="78"/>
    </row>
    <row r="79" spans="1:10" s="588" customFormat="1">
      <c r="A79" s="593" t="s">
        <v>10</v>
      </c>
      <c r="B79" s="608" t="s">
        <v>2929</v>
      </c>
      <c r="C79" s="642"/>
      <c r="E79" s="643"/>
      <c r="F79" s="643"/>
      <c r="H79" s="644"/>
      <c r="J79" s="642"/>
    </row>
    <row r="80" spans="1:10">
      <c r="B80" s="410" t="s">
        <v>2930</v>
      </c>
      <c r="C80" s="78"/>
      <c r="E80" s="111"/>
      <c r="F80" s="111"/>
      <c r="H80" s="112"/>
      <c r="J80" s="78"/>
    </row>
    <row r="81" spans="2:53">
      <c r="B81" s="410" t="s">
        <v>2991</v>
      </c>
      <c r="C81" s="78"/>
      <c r="E81" s="111"/>
      <c r="F81" s="111"/>
      <c r="H81" s="112"/>
      <c r="J81" s="78"/>
    </row>
    <row r="82" spans="2:53">
      <c r="B82" s="392"/>
      <c r="C82" s="78"/>
      <c r="E82" s="111"/>
      <c r="F82" s="111"/>
      <c r="H82" s="112"/>
      <c r="J82" s="78"/>
    </row>
    <row r="83" spans="2:53">
      <c r="B83" s="52"/>
      <c r="C83" s="34">
        <f>'Prevalence projection'!C$21</f>
        <v>2020</v>
      </c>
      <c r="D83" s="34">
        <f>'Prevalence projection'!D$21</f>
        <v>2021</v>
      </c>
      <c r="E83" s="34">
        <f>'Prevalence projection'!E$21</f>
        <v>2022</v>
      </c>
      <c r="F83" s="34">
        <f>'Prevalence projection'!F$21</f>
        <v>2023</v>
      </c>
      <c r="G83" s="34">
        <f>'Prevalence projection'!G$21</f>
        <v>2024</v>
      </c>
      <c r="H83" s="34">
        <f>'Prevalence projection'!H$21</f>
        <v>2025</v>
      </c>
      <c r="I83" s="34">
        <f>'Prevalence projection'!I$21</f>
        <v>2026</v>
      </c>
      <c r="J83" s="34">
        <f>'Prevalence projection'!J$21</f>
        <v>2027</v>
      </c>
      <c r="K83" s="34">
        <f>'Prevalence projection'!K$21</f>
        <v>2028</v>
      </c>
      <c r="L83" s="34">
        <f>'Prevalence projection'!L$21</f>
        <v>2029</v>
      </c>
      <c r="M83" s="34">
        <f>'Prevalence projection'!M$21</f>
        <v>2030</v>
      </c>
      <c r="N83" s="34">
        <f>'Prevalence projection'!N$21</f>
        <v>2031</v>
      </c>
      <c r="O83" s="34">
        <f>'Prevalence projection'!O$21</f>
        <v>2032</v>
      </c>
      <c r="P83" s="34">
        <f>'Prevalence projection'!P$21</f>
        <v>2033</v>
      </c>
      <c r="Q83" s="34">
        <f>'Prevalence projection'!Q$21</f>
        <v>2034</v>
      </c>
      <c r="R83" s="34">
        <f>'Prevalence projection'!R$21</f>
        <v>2035</v>
      </c>
      <c r="S83" s="34">
        <f>'Prevalence projection'!S$21</f>
        <v>2036</v>
      </c>
      <c r="T83" s="34">
        <f>'Prevalence projection'!T$21</f>
        <v>2037</v>
      </c>
      <c r="U83" s="34">
        <f>'Prevalence projection'!U$21</f>
        <v>2038</v>
      </c>
      <c r="V83" s="34">
        <f>'Prevalence projection'!V$21</f>
        <v>2039</v>
      </c>
      <c r="W83" s="34">
        <f>'Prevalence projection'!W$21</f>
        <v>2040</v>
      </c>
      <c r="X83" s="34">
        <f>'Prevalence projection'!X$21</f>
        <v>2041</v>
      </c>
      <c r="Y83" s="34">
        <f>'Prevalence projection'!Y$21</f>
        <v>2042</v>
      </c>
      <c r="Z83" s="34">
        <f>'Prevalence projection'!Z$21</f>
        <v>2043</v>
      </c>
      <c r="AA83" s="34">
        <f>'Prevalence projection'!AA$21</f>
        <v>2044</v>
      </c>
      <c r="AB83" s="34">
        <f>'Prevalence projection'!AB$21</f>
        <v>2045</v>
      </c>
      <c r="AC83" s="34">
        <f>'Prevalence projection'!AC$21</f>
        <v>2046</v>
      </c>
      <c r="AD83" s="34">
        <f>'Prevalence projection'!AD$21</f>
        <v>2047</v>
      </c>
      <c r="AE83" s="34">
        <f>'Prevalence projection'!AE$21</f>
        <v>2048</v>
      </c>
      <c r="AF83" s="34">
        <f>'Prevalence projection'!AF$21</f>
        <v>2049</v>
      </c>
      <c r="AG83" s="34">
        <f>'Prevalence projection'!AG$21</f>
        <v>2050</v>
      </c>
      <c r="AH83" s="34">
        <f>'Prevalence projection'!AH$21</f>
        <v>2051</v>
      </c>
      <c r="AI83" s="34">
        <f>'Prevalence projection'!AI$21</f>
        <v>2052</v>
      </c>
      <c r="AJ83" s="34">
        <f>'Prevalence projection'!AJ$21</f>
        <v>2053</v>
      </c>
      <c r="AK83" s="34">
        <f>'Prevalence projection'!AK$21</f>
        <v>2054</v>
      </c>
      <c r="AL83" s="34">
        <f>'Prevalence projection'!AL$21</f>
        <v>2055</v>
      </c>
      <c r="AM83" s="34">
        <f>'Prevalence projection'!AM$21</f>
        <v>2056</v>
      </c>
      <c r="AN83" s="34">
        <f>'Prevalence projection'!AN$21</f>
        <v>2057</v>
      </c>
      <c r="AO83" s="34">
        <f>'Prevalence projection'!AO$21</f>
        <v>2058</v>
      </c>
      <c r="AP83" s="34">
        <f>'Prevalence projection'!AP$21</f>
        <v>2059</v>
      </c>
      <c r="AQ83" s="34">
        <f>'Prevalence projection'!AQ$21</f>
        <v>2060</v>
      </c>
      <c r="AR83" s="34">
        <f>'Prevalence projection'!AR$21</f>
        <v>2061</v>
      </c>
      <c r="AS83" s="34">
        <f>'Prevalence projection'!AS$21</f>
        <v>2062</v>
      </c>
      <c r="AT83" s="34">
        <f>'Prevalence projection'!AT$21</f>
        <v>2063</v>
      </c>
      <c r="AU83" s="34">
        <f>'Prevalence projection'!AU$21</f>
        <v>2064</v>
      </c>
      <c r="AV83" s="34">
        <f>'Prevalence projection'!AV$21</f>
        <v>2065</v>
      </c>
      <c r="AW83" s="34">
        <f>'Prevalence projection'!AW$21</f>
        <v>2066</v>
      </c>
      <c r="AX83" s="34">
        <f>'Prevalence projection'!AX$21</f>
        <v>2067</v>
      </c>
      <c r="AY83" s="34">
        <f>'Prevalence projection'!AY$21</f>
        <v>2068</v>
      </c>
      <c r="AZ83" s="34">
        <f>'Prevalence projection'!AZ$21</f>
        <v>2069</v>
      </c>
      <c r="BA83" s="34">
        <f>'Prevalence projection'!BA$21</f>
        <v>2070</v>
      </c>
    </row>
    <row r="84" spans="2:53" ht="43.5">
      <c r="B84" s="411" t="s">
        <v>2994</v>
      </c>
      <c r="C84" s="421">
        <v>0</v>
      </c>
      <c r="D84" s="421">
        <v>0</v>
      </c>
      <c r="E84" s="421">
        <v>0</v>
      </c>
      <c r="F84" s="421">
        <v>0</v>
      </c>
      <c r="G84" s="421">
        <v>0</v>
      </c>
      <c r="H84" s="421">
        <v>0</v>
      </c>
      <c r="I84" s="421">
        <v>0</v>
      </c>
      <c r="J84" s="421">
        <v>0</v>
      </c>
      <c r="K84" s="421">
        <v>0</v>
      </c>
      <c r="L84" s="421">
        <v>0</v>
      </c>
      <c r="M84" s="421">
        <v>0</v>
      </c>
      <c r="N84" s="421">
        <v>0</v>
      </c>
      <c r="O84" s="421">
        <v>0</v>
      </c>
      <c r="P84" s="421">
        <v>0</v>
      </c>
      <c r="Q84" s="421">
        <v>0</v>
      </c>
      <c r="R84" s="421">
        <v>0</v>
      </c>
      <c r="S84" s="421">
        <v>0</v>
      </c>
      <c r="T84" s="421">
        <v>0</v>
      </c>
      <c r="U84" s="421">
        <v>0</v>
      </c>
      <c r="V84" s="421">
        <v>0</v>
      </c>
      <c r="W84" s="421">
        <v>0</v>
      </c>
      <c r="X84" s="421">
        <v>0</v>
      </c>
      <c r="Y84" s="421">
        <v>0</v>
      </c>
      <c r="Z84" s="421">
        <v>0</v>
      </c>
      <c r="AA84" s="421">
        <v>0</v>
      </c>
      <c r="AB84" s="421">
        <v>0</v>
      </c>
      <c r="AC84" s="421">
        <v>0</v>
      </c>
      <c r="AD84" s="421">
        <v>0</v>
      </c>
      <c r="AE84" s="421">
        <v>0</v>
      </c>
      <c r="AF84" s="421">
        <v>0</v>
      </c>
      <c r="AG84" s="421">
        <v>0</v>
      </c>
      <c r="AH84" s="421">
        <v>0</v>
      </c>
      <c r="AI84" s="421">
        <v>0</v>
      </c>
      <c r="AJ84" s="421">
        <v>0</v>
      </c>
      <c r="AK84" s="421">
        <v>0</v>
      </c>
      <c r="AL84" s="421">
        <v>0</v>
      </c>
      <c r="AM84" s="421">
        <v>0</v>
      </c>
      <c r="AN84" s="421">
        <v>0</v>
      </c>
      <c r="AO84" s="421">
        <v>0</v>
      </c>
      <c r="AP84" s="421">
        <v>1</v>
      </c>
      <c r="AQ84" s="421">
        <v>2</v>
      </c>
      <c r="AR84" s="421">
        <v>3</v>
      </c>
      <c r="AS84" s="421">
        <v>4</v>
      </c>
      <c r="AT84" s="421">
        <v>5</v>
      </c>
      <c r="AU84" s="421">
        <v>6</v>
      </c>
      <c r="AV84" s="421">
        <v>7</v>
      </c>
      <c r="AW84" s="421">
        <v>8</v>
      </c>
      <c r="AX84" s="421">
        <v>9</v>
      </c>
      <c r="AY84" s="421">
        <v>10</v>
      </c>
      <c r="AZ84" s="421">
        <v>11</v>
      </c>
      <c r="BA84" s="421">
        <v>12</v>
      </c>
    </row>
    <row r="85" spans="2:53">
      <c r="B85" s="408"/>
      <c r="C85" s="409"/>
      <c r="D85" s="409"/>
      <c r="E85" s="409"/>
      <c r="F85" s="409"/>
      <c r="G85" s="409"/>
      <c r="H85" s="409"/>
      <c r="I85" s="409"/>
      <c r="J85" s="409"/>
      <c r="K85" s="409"/>
      <c r="L85" s="409"/>
      <c r="M85" s="409"/>
      <c r="N85" s="409"/>
      <c r="O85" s="409"/>
      <c r="P85" s="409"/>
      <c r="Q85" s="409"/>
      <c r="R85" s="409"/>
      <c r="S85" s="409"/>
      <c r="T85" s="409"/>
      <c r="U85" s="409"/>
      <c r="V85" s="409"/>
      <c r="W85" s="409"/>
      <c r="X85" s="409"/>
      <c r="Y85" s="409"/>
      <c r="Z85" s="409"/>
      <c r="AA85" s="409"/>
      <c r="AB85" s="409"/>
      <c r="AC85" s="409"/>
      <c r="AD85" s="409"/>
      <c r="AE85" s="409"/>
    </row>
    <row r="86" spans="2:53">
      <c r="B86" s="52"/>
      <c r="C86" s="78"/>
      <c r="E86" s="111"/>
      <c r="F86" s="111"/>
      <c r="H86" s="112"/>
      <c r="J86" s="78"/>
    </row>
    <row r="87" spans="2:53">
      <c r="B87" s="114" t="s">
        <v>2926</v>
      </c>
      <c r="C87" s="78"/>
      <c r="E87" s="111"/>
      <c r="F87" s="111"/>
      <c r="H87" s="112"/>
      <c r="J87" s="78"/>
    </row>
    <row r="88" spans="2:53">
      <c r="B88" s="114"/>
      <c r="C88" s="78"/>
      <c r="E88" s="111"/>
      <c r="F88" s="111"/>
      <c r="H88" s="112"/>
      <c r="J88" s="78"/>
    </row>
    <row r="89" spans="2:53">
      <c r="B89" s="7" t="s">
        <v>125</v>
      </c>
      <c r="C89" s="344" t="s">
        <v>97</v>
      </c>
      <c r="F89" s="111"/>
      <c r="H89" s="112"/>
      <c r="J89" s="78"/>
    </row>
    <row r="90" spans="2:53">
      <c r="B90" s="6" t="s">
        <v>2863</v>
      </c>
      <c r="C90" s="407">
        <v>0</v>
      </c>
      <c r="F90" s="111"/>
      <c r="H90" s="112"/>
      <c r="J90" s="78"/>
    </row>
    <row r="91" spans="2:53">
      <c r="B91" s="6" t="s">
        <v>2862</v>
      </c>
      <c r="C91" s="407">
        <v>0</v>
      </c>
      <c r="F91" s="111"/>
      <c r="H91" s="112"/>
      <c r="J91" s="78"/>
    </row>
    <row r="92" spans="2:53">
      <c r="B92" s="6" t="s">
        <v>131</v>
      </c>
      <c r="C92" s="407">
        <v>0</v>
      </c>
      <c r="F92" s="111"/>
      <c r="H92" s="112"/>
      <c r="J92" s="78"/>
    </row>
    <row r="93" spans="2:53" ht="29">
      <c r="B93" s="6" t="s">
        <v>2869</v>
      </c>
      <c r="C93" s="407">
        <v>0</v>
      </c>
      <c r="F93" s="111"/>
      <c r="H93" s="112"/>
      <c r="J93" s="78"/>
    </row>
    <row r="94" spans="2:53" ht="29">
      <c r="B94" s="6" t="s">
        <v>2870</v>
      </c>
      <c r="C94" s="407">
        <v>0</v>
      </c>
      <c r="F94" s="111"/>
      <c r="H94" s="112"/>
      <c r="J94" s="78"/>
    </row>
    <row r="95" spans="2:53">
      <c r="B95" s="6" t="s">
        <v>102</v>
      </c>
      <c r="C95" s="407">
        <v>0</v>
      </c>
      <c r="F95" s="111"/>
      <c r="H95" s="112"/>
      <c r="J95" s="78"/>
    </row>
    <row r="96" spans="2:53">
      <c r="B96" s="6" t="s">
        <v>2831</v>
      </c>
      <c r="C96" s="407">
        <v>0</v>
      </c>
      <c r="F96" s="111"/>
      <c r="H96" s="112"/>
      <c r="J96" s="78"/>
    </row>
    <row r="97" spans="2:54">
      <c r="B97" s="6" t="s">
        <v>2832</v>
      </c>
      <c r="C97" s="407">
        <v>0</v>
      </c>
      <c r="F97" s="111"/>
      <c r="H97" s="112"/>
      <c r="J97" s="78"/>
    </row>
    <row r="98" spans="2:54">
      <c r="B98" s="6" t="s">
        <v>2871</v>
      </c>
      <c r="C98" s="407">
        <v>0</v>
      </c>
      <c r="F98" s="111"/>
      <c r="H98" s="112"/>
      <c r="J98" s="78"/>
    </row>
    <row r="99" spans="2:54">
      <c r="B99" s="52"/>
      <c r="C99" s="52"/>
      <c r="D99" s="111"/>
      <c r="F99" s="111"/>
      <c r="H99" s="112"/>
      <c r="J99" s="78"/>
    </row>
    <row r="100" spans="2:54">
      <c r="B100" s="52"/>
      <c r="C100" s="52"/>
      <c r="F100" s="111"/>
      <c r="H100" s="112"/>
      <c r="J100" s="78"/>
    </row>
    <row r="101" spans="2:54">
      <c r="B101" s="114" t="s">
        <v>2927</v>
      </c>
      <c r="C101" s="52"/>
      <c r="D101" s="52"/>
      <c r="F101" s="111"/>
      <c r="H101" s="112"/>
      <c r="J101" s="78"/>
    </row>
    <row r="102" spans="2:54">
      <c r="B102" s="7" t="s">
        <v>9</v>
      </c>
      <c r="D102" s="34">
        <f>'Prevalence projection'!C$21</f>
        <v>2020</v>
      </c>
      <c r="E102" s="34">
        <f>'Prevalence projection'!D$21</f>
        <v>2021</v>
      </c>
      <c r="F102" s="34">
        <f>'Prevalence projection'!E$21</f>
        <v>2022</v>
      </c>
      <c r="G102" s="34">
        <f>'Prevalence projection'!F$21</f>
        <v>2023</v>
      </c>
      <c r="H102" s="34">
        <f>'Prevalence projection'!G$21</f>
        <v>2024</v>
      </c>
      <c r="I102" s="34">
        <f>'Prevalence projection'!H$21</f>
        <v>2025</v>
      </c>
      <c r="J102" s="34">
        <f>'Prevalence projection'!I$21</f>
        <v>2026</v>
      </c>
      <c r="K102" s="34">
        <f>'Prevalence projection'!J$21</f>
        <v>2027</v>
      </c>
      <c r="L102" s="34">
        <f>'Prevalence projection'!K$21</f>
        <v>2028</v>
      </c>
      <c r="M102" s="34">
        <f>'Prevalence projection'!L$21</f>
        <v>2029</v>
      </c>
      <c r="N102" s="34">
        <f>'Prevalence projection'!M$21</f>
        <v>2030</v>
      </c>
      <c r="O102" s="34">
        <f>'Prevalence projection'!N$21</f>
        <v>2031</v>
      </c>
      <c r="P102" s="34">
        <f>'Prevalence projection'!O$21</f>
        <v>2032</v>
      </c>
      <c r="Q102" s="34">
        <f>'Prevalence projection'!P$21</f>
        <v>2033</v>
      </c>
      <c r="R102" s="34">
        <f>'Prevalence projection'!Q$21</f>
        <v>2034</v>
      </c>
      <c r="S102" s="34">
        <f>'Prevalence projection'!R$21</f>
        <v>2035</v>
      </c>
      <c r="T102" s="34">
        <f>'Prevalence projection'!S$21</f>
        <v>2036</v>
      </c>
      <c r="U102" s="34">
        <f>'Prevalence projection'!T$21</f>
        <v>2037</v>
      </c>
      <c r="V102" s="34">
        <f>'Prevalence projection'!U$21</f>
        <v>2038</v>
      </c>
      <c r="W102" s="34">
        <f>'Prevalence projection'!V$21</f>
        <v>2039</v>
      </c>
      <c r="X102" s="34">
        <f>'Prevalence projection'!W$21</f>
        <v>2040</v>
      </c>
      <c r="Y102" s="34">
        <f>'Prevalence projection'!X$21</f>
        <v>2041</v>
      </c>
      <c r="Z102" s="34">
        <f>'Prevalence projection'!Y$21</f>
        <v>2042</v>
      </c>
      <c r="AA102" s="34">
        <f>'Prevalence projection'!Z$21</f>
        <v>2043</v>
      </c>
      <c r="AB102" s="34">
        <f>'Prevalence projection'!AA$21</f>
        <v>2044</v>
      </c>
      <c r="AC102" s="34">
        <f>'Prevalence projection'!AB$21</f>
        <v>2045</v>
      </c>
      <c r="AD102" s="34">
        <f>'Prevalence projection'!AC$21</f>
        <v>2046</v>
      </c>
      <c r="AE102" s="34">
        <f>'Prevalence projection'!AD$21</f>
        <v>2047</v>
      </c>
      <c r="AF102" s="34">
        <f>'Prevalence projection'!AE$21</f>
        <v>2048</v>
      </c>
      <c r="AG102" s="34">
        <f>'Prevalence projection'!AF$21</f>
        <v>2049</v>
      </c>
      <c r="AH102" s="34">
        <f>'Prevalence projection'!AG$21</f>
        <v>2050</v>
      </c>
      <c r="AI102" s="34">
        <f>'Prevalence projection'!AH$21</f>
        <v>2051</v>
      </c>
      <c r="AJ102" s="34">
        <f>'Prevalence projection'!AI$21</f>
        <v>2052</v>
      </c>
      <c r="AK102" s="34">
        <f>'Prevalence projection'!AJ$21</f>
        <v>2053</v>
      </c>
      <c r="AL102" s="34">
        <f>'Prevalence projection'!AK$21</f>
        <v>2054</v>
      </c>
      <c r="AM102" s="34">
        <f>'Prevalence projection'!AL$21</f>
        <v>2055</v>
      </c>
      <c r="AN102" s="34">
        <f>'Prevalence projection'!AM$21</f>
        <v>2056</v>
      </c>
      <c r="AO102" s="34">
        <f>'Prevalence projection'!AN$21</f>
        <v>2057</v>
      </c>
      <c r="AP102" s="34">
        <f>'Prevalence projection'!AO$21</f>
        <v>2058</v>
      </c>
      <c r="AQ102" s="34">
        <f>'Prevalence projection'!AP$21</f>
        <v>2059</v>
      </c>
      <c r="AR102" s="34">
        <f>'Prevalence projection'!AQ$21</f>
        <v>2060</v>
      </c>
      <c r="AS102" s="34">
        <f>'Prevalence projection'!AR$21</f>
        <v>2061</v>
      </c>
      <c r="AT102" s="34">
        <f>'Prevalence projection'!AS$21</f>
        <v>2062</v>
      </c>
      <c r="AU102" s="34">
        <f>'Prevalence projection'!AT$21</f>
        <v>2063</v>
      </c>
      <c r="AV102" s="34">
        <f>'Prevalence projection'!AU$21</f>
        <v>2064</v>
      </c>
      <c r="AW102" s="34">
        <f>'Prevalence projection'!AV$21</f>
        <v>2065</v>
      </c>
      <c r="AX102" s="34">
        <f>'Prevalence projection'!AW$21</f>
        <v>2066</v>
      </c>
      <c r="AY102" s="34">
        <f>'Prevalence projection'!AX$21</f>
        <v>2067</v>
      </c>
      <c r="AZ102" s="34">
        <f>'Prevalence projection'!AY$21</f>
        <v>2068</v>
      </c>
      <c r="BA102" s="34">
        <f>'Prevalence projection'!AZ$21</f>
        <v>2069</v>
      </c>
      <c r="BB102" s="34">
        <f>'Prevalence projection'!BA$21</f>
        <v>2070</v>
      </c>
    </row>
    <row r="103" spans="2:54">
      <c r="B103" s="6" t="s">
        <v>11</v>
      </c>
      <c r="D103" s="89">
        <f>SUMIFS($C$90:$C$98,$B$90:$B$98,$B103)*C$84</f>
        <v>0</v>
      </c>
      <c r="E103" s="89">
        <f t="shared" ref="E103:AF118" si="7">SUMIFS($C$90:$C$98,$B$90:$B$98,$B103)*D$84</f>
        <v>0</v>
      </c>
      <c r="F103" s="89">
        <f t="shared" si="7"/>
        <v>0</v>
      </c>
      <c r="G103" s="89">
        <f t="shared" si="7"/>
        <v>0</v>
      </c>
      <c r="H103" s="89">
        <f t="shared" si="7"/>
        <v>0</v>
      </c>
      <c r="I103" s="89">
        <f t="shared" si="7"/>
        <v>0</v>
      </c>
      <c r="J103" s="89">
        <f t="shared" si="7"/>
        <v>0</v>
      </c>
      <c r="K103" s="89">
        <f t="shared" si="7"/>
        <v>0</v>
      </c>
      <c r="L103" s="89">
        <f t="shared" si="7"/>
        <v>0</v>
      </c>
      <c r="M103" s="89">
        <f t="shared" si="7"/>
        <v>0</v>
      </c>
      <c r="N103" s="89">
        <f t="shared" si="7"/>
        <v>0</v>
      </c>
      <c r="O103" s="89">
        <f t="shared" si="7"/>
        <v>0</v>
      </c>
      <c r="P103" s="89">
        <f t="shared" si="7"/>
        <v>0</v>
      </c>
      <c r="Q103" s="89">
        <f t="shared" si="7"/>
        <v>0</v>
      </c>
      <c r="R103" s="89">
        <f t="shared" si="7"/>
        <v>0</v>
      </c>
      <c r="S103" s="89">
        <f t="shared" si="7"/>
        <v>0</v>
      </c>
      <c r="T103" s="89">
        <f t="shared" si="7"/>
        <v>0</v>
      </c>
      <c r="U103" s="89">
        <f t="shared" si="7"/>
        <v>0</v>
      </c>
      <c r="V103" s="89">
        <f t="shared" si="7"/>
        <v>0</v>
      </c>
      <c r="W103" s="89">
        <f t="shared" si="7"/>
        <v>0</v>
      </c>
      <c r="X103" s="89">
        <f t="shared" si="7"/>
        <v>0</v>
      </c>
      <c r="Y103" s="89">
        <f t="shared" si="7"/>
        <v>0</v>
      </c>
      <c r="Z103" s="89">
        <f t="shared" si="7"/>
        <v>0</v>
      </c>
      <c r="AA103" s="89">
        <f t="shared" si="7"/>
        <v>0</v>
      </c>
      <c r="AB103" s="89">
        <f t="shared" si="7"/>
        <v>0</v>
      </c>
      <c r="AC103" s="89">
        <f t="shared" si="7"/>
        <v>0</v>
      </c>
      <c r="AD103" s="89">
        <f t="shared" si="7"/>
        <v>0</v>
      </c>
      <c r="AE103" s="89">
        <f t="shared" si="7"/>
        <v>0</v>
      </c>
      <c r="AF103" s="89">
        <f t="shared" si="7"/>
        <v>0</v>
      </c>
      <c r="AG103" s="89">
        <f t="shared" ref="AG103:AG120" si="8">SUMIFS($C$90:$C$98,$B$90:$B$98,$B103)*AF$84</f>
        <v>0</v>
      </c>
      <c r="AH103" s="89">
        <f t="shared" ref="AH103:AH120" si="9">SUMIFS($C$90:$C$98,$B$90:$B$98,$B103)*AG$84</f>
        <v>0</v>
      </c>
      <c r="AI103" s="89">
        <f t="shared" ref="AI103:AI120" si="10">SUMIFS($C$90:$C$98,$B$90:$B$98,$B103)*AH$84</f>
        <v>0</v>
      </c>
      <c r="AJ103" s="89">
        <f t="shared" ref="AJ103:AJ120" si="11">SUMIFS($C$90:$C$98,$B$90:$B$98,$B103)*AI$84</f>
        <v>0</v>
      </c>
      <c r="AK103" s="89">
        <f t="shared" ref="AK103:AK120" si="12">SUMIFS($C$90:$C$98,$B$90:$B$98,$B103)*AJ$84</f>
        <v>0</v>
      </c>
      <c r="AL103" s="89">
        <f t="shared" ref="AL103:AL120" si="13">SUMIFS($C$90:$C$98,$B$90:$B$98,$B103)*AK$84</f>
        <v>0</v>
      </c>
      <c r="AM103" s="89">
        <f t="shared" ref="AM103:AM120" si="14">SUMIFS($C$90:$C$98,$B$90:$B$98,$B103)*AL$84</f>
        <v>0</v>
      </c>
      <c r="AN103" s="89">
        <f t="shared" ref="AN103:AN120" si="15">SUMIFS($C$90:$C$98,$B$90:$B$98,$B103)*AM$84</f>
        <v>0</v>
      </c>
      <c r="AO103" s="89">
        <f t="shared" ref="AO103:AP120" si="16">SUMIFS($C$90:$C$98,$B$90:$B$98,$B103)*AN$84</f>
        <v>0</v>
      </c>
      <c r="AP103" s="89">
        <f t="shared" si="16"/>
        <v>0</v>
      </c>
      <c r="AQ103" s="89">
        <f t="shared" ref="AQ103:AQ120" si="17">SUMIFS($C$90:$C$98,$B$90:$B$98,$B103)*AP$84</f>
        <v>0</v>
      </c>
      <c r="AR103" s="89">
        <f t="shared" ref="AR103:AR120" si="18">SUMIFS($C$90:$C$98,$B$90:$B$98,$B103)*AQ$84</f>
        <v>0</v>
      </c>
      <c r="AS103" s="89">
        <f t="shared" ref="AS103:AS120" si="19">SUMIFS($C$90:$C$98,$B$90:$B$98,$B103)*AR$84</f>
        <v>0</v>
      </c>
      <c r="AT103" s="89">
        <f t="shared" ref="AT103:AT120" si="20">SUMIFS($C$90:$C$98,$B$90:$B$98,$B103)*AS$84</f>
        <v>0</v>
      </c>
      <c r="AU103" s="89">
        <f t="shared" ref="AU103:AU120" si="21">SUMIFS($C$90:$C$98,$B$90:$B$98,$B103)*AT$84</f>
        <v>0</v>
      </c>
      <c r="AV103" s="89">
        <f t="shared" ref="AV103:AV120" si="22">SUMIFS($C$90:$C$98,$B$90:$B$98,$B103)*AU$84</f>
        <v>0</v>
      </c>
      <c r="AW103" s="89">
        <f t="shared" ref="AW103:AW120" si="23">SUMIFS($C$90:$C$98,$B$90:$B$98,$B103)*AV$84</f>
        <v>0</v>
      </c>
      <c r="AX103" s="89">
        <f t="shared" ref="AX103:AX120" si="24">SUMIFS($C$90:$C$98,$B$90:$B$98,$B103)*AW$84</f>
        <v>0</v>
      </c>
      <c r="AY103" s="89">
        <f t="shared" ref="AY103:AY120" si="25">SUMIFS($C$90:$C$98,$B$90:$B$98,$B103)*AX$84</f>
        <v>0</v>
      </c>
      <c r="AZ103" s="89">
        <f t="shared" ref="AZ103:AZ120" si="26">SUMIFS($C$90:$C$98,$B$90:$B$98,$B103)*AY$84</f>
        <v>0</v>
      </c>
      <c r="BA103" s="89">
        <f t="shared" ref="BA103:BA120" si="27">SUMIFS($C$90:$C$98,$B$90:$B$98,$B103)*AZ$84</f>
        <v>0</v>
      </c>
      <c r="BB103" s="89">
        <f t="shared" ref="BB103:BB120" si="28">SUMIFS($C$90:$C$98,$B$90:$B$98,$B103)*BA$84</f>
        <v>0</v>
      </c>
    </row>
    <row r="104" spans="2:54">
      <c r="B104" s="6" t="s">
        <v>14</v>
      </c>
      <c r="C104" s="52"/>
      <c r="D104" s="89">
        <f t="shared" ref="D104:S119" si="29">SUMIFS($C$90:$C$98,$B$90:$B$98,$B104)*C$84</f>
        <v>0</v>
      </c>
      <c r="E104" s="89">
        <f t="shared" si="29"/>
        <v>0</v>
      </c>
      <c r="F104" s="89">
        <f t="shared" si="29"/>
        <v>0</v>
      </c>
      <c r="G104" s="89">
        <f t="shared" si="29"/>
        <v>0</v>
      </c>
      <c r="H104" s="89">
        <f t="shared" si="29"/>
        <v>0</v>
      </c>
      <c r="I104" s="89">
        <f t="shared" si="29"/>
        <v>0</v>
      </c>
      <c r="J104" s="89">
        <f t="shared" si="29"/>
        <v>0</v>
      </c>
      <c r="K104" s="89">
        <f t="shared" si="29"/>
        <v>0</v>
      </c>
      <c r="L104" s="89">
        <f t="shared" si="29"/>
        <v>0</v>
      </c>
      <c r="M104" s="89">
        <f t="shared" si="29"/>
        <v>0</v>
      </c>
      <c r="N104" s="89">
        <f t="shared" si="29"/>
        <v>0</v>
      </c>
      <c r="O104" s="89">
        <f t="shared" si="29"/>
        <v>0</v>
      </c>
      <c r="P104" s="89">
        <f t="shared" si="29"/>
        <v>0</v>
      </c>
      <c r="Q104" s="89">
        <f t="shared" si="29"/>
        <v>0</v>
      </c>
      <c r="R104" s="89">
        <f t="shared" si="29"/>
        <v>0</v>
      </c>
      <c r="S104" s="89">
        <f t="shared" si="29"/>
        <v>0</v>
      </c>
      <c r="T104" s="89">
        <f t="shared" si="7"/>
        <v>0</v>
      </c>
      <c r="U104" s="89">
        <f t="shared" si="7"/>
        <v>0</v>
      </c>
      <c r="V104" s="89">
        <f t="shared" si="7"/>
        <v>0</v>
      </c>
      <c r="W104" s="89">
        <f t="shared" si="7"/>
        <v>0</v>
      </c>
      <c r="X104" s="89">
        <f t="shared" si="7"/>
        <v>0</v>
      </c>
      <c r="Y104" s="89">
        <f t="shared" si="7"/>
        <v>0</v>
      </c>
      <c r="Z104" s="89">
        <f t="shared" si="7"/>
        <v>0</v>
      </c>
      <c r="AA104" s="89">
        <f t="shared" si="7"/>
        <v>0</v>
      </c>
      <c r="AB104" s="89">
        <f t="shared" si="7"/>
        <v>0</v>
      </c>
      <c r="AC104" s="89">
        <f t="shared" si="7"/>
        <v>0</v>
      </c>
      <c r="AD104" s="89">
        <f t="shared" si="7"/>
        <v>0</v>
      </c>
      <c r="AE104" s="89">
        <f t="shared" si="7"/>
        <v>0</v>
      </c>
      <c r="AF104" s="89">
        <f t="shared" si="7"/>
        <v>0</v>
      </c>
      <c r="AG104" s="89">
        <f t="shared" si="8"/>
        <v>0</v>
      </c>
      <c r="AH104" s="89">
        <f t="shared" si="9"/>
        <v>0</v>
      </c>
      <c r="AI104" s="89">
        <f t="shared" si="10"/>
        <v>0</v>
      </c>
      <c r="AJ104" s="89">
        <f t="shared" si="11"/>
        <v>0</v>
      </c>
      <c r="AK104" s="89">
        <f t="shared" si="12"/>
        <v>0</v>
      </c>
      <c r="AL104" s="89">
        <f t="shared" si="13"/>
        <v>0</v>
      </c>
      <c r="AM104" s="89">
        <f t="shared" si="14"/>
        <v>0</v>
      </c>
      <c r="AN104" s="89">
        <f t="shared" si="15"/>
        <v>0</v>
      </c>
      <c r="AO104" s="89">
        <f t="shared" si="16"/>
        <v>0</v>
      </c>
      <c r="AP104" s="89">
        <f t="shared" si="16"/>
        <v>0</v>
      </c>
      <c r="AQ104" s="89">
        <f t="shared" si="17"/>
        <v>0</v>
      </c>
      <c r="AR104" s="89">
        <f t="shared" si="18"/>
        <v>0</v>
      </c>
      <c r="AS104" s="89">
        <f t="shared" si="19"/>
        <v>0</v>
      </c>
      <c r="AT104" s="89">
        <f t="shared" si="20"/>
        <v>0</v>
      </c>
      <c r="AU104" s="89">
        <f t="shared" si="21"/>
        <v>0</v>
      </c>
      <c r="AV104" s="89">
        <f t="shared" si="22"/>
        <v>0</v>
      </c>
      <c r="AW104" s="89">
        <f t="shared" si="23"/>
        <v>0</v>
      </c>
      <c r="AX104" s="89">
        <f t="shared" si="24"/>
        <v>0</v>
      </c>
      <c r="AY104" s="89">
        <f t="shared" si="25"/>
        <v>0</v>
      </c>
      <c r="AZ104" s="89">
        <f t="shared" si="26"/>
        <v>0</v>
      </c>
      <c r="BA104" s="89">
        <f t="shared" si="27"/>
        <v>0</v>
      </c>
      <c r="BB104" s="89">
        <f t="shared" si="28"/>
        <v>0</v>
      </c>
    </row>
    <row r="105" spans="2:54">
      <c r="B105" s="6" t="s">
        <v>15</v>
      </c>
      <c r="C105" s="52"/>
      <c r="D105" s="89">
        <f t="shared" si="29"/>
        <v>0</v>
      </c>
      <c r="E105" s="89">
        <f t="shared" si="29"/>
        <v>0</v>
      </c>
      <c r="F105" s="89">
        <f t="shared" si="29"/>
        <v>0</v>
      </c>
      <c r="G105" s="89">
        <f t="shared" si="29"/>
        <v>0</v>
      </c>
      <c r="H105" s="89">
        <f t="shared" si="29"/>
        <v>0</v>
      </c>
      <c r="I105" s="89">
        <f t="shared" si="29"/>
        <v>0</v>
      </c>
      <c r="J105" s="89">
        <f t="shared" si="29"/>
        <v>0</v>
      </c>
      <c r="K105" s="89">
        <f t="shared" si="29"/>
        <v>0</v>
      </c>
      <c r="L105" s="89">
        <f t="shared" si="29"/>
        <v>0</v>
      </c>
      <c r="M105" s="89">
        <f t="shared" si="29"/>
        <v>0</v>
      </c>
      <c r="N105" s="89">
        <f t="shared" si="29"/>
        <v>0</v>
      </c>
      <c r="O105" s="89">
        <f t="shared" si="29"/>
        <v>0</v>
      </c>
      <c r="P105" s="89">
        <f t="shared" si="29"/>
        <v>0</v>
      </c>
      <c r="Q105" s="89">
        <f t="shared" si="29"/>
        <v>0</v>
      </c>
      <c r="R105" s="89">
        <f t="shared" si="29"/>
        <v>0</v>
      </c>
      <c r="S105" s="89">
        <f t="shared" si="29"/>
        <v>0</v>
      </c>
      <c r="T105" s="89">
        <f t="shared" si="7"/>
        <v>0</v>
      </c>
      <c r="U105" s="89">
        <f t="shared" si="7"/>
        <v>0</v>
      </c>
      <c r="V105" s="89">
        <f t="shared" si="7"/>
        <v>0</v>
      </c>
      <c r="W105" s="89">
        <f t="shared" si="7"/>
        <v>0</v>
      </c>
      <c r="X105" s="89">
        <f t="shared" si="7"/>
        <v>0</v>
      </c>
      <c r="Y105" s="89">
        <f t="shared" si="7"/>
        <v>0</v>
      </c>
      <c r="Z105" s="89">
        <f t="shared" si="7"/>
        <v>0</v>
      </c>
      <c r="AA105" s="89">
        <f t="shared" si="7"/>
        <v>0</v>
      </c>
      <c r="AB105" s="89">
        <f t="shared" si="7"/>
        <v>0</v>
      </c>
      <c r="AC105" s="89">
        <f t="shared" si="7"/>
        <v>0</v>
      </c>
      <c r="AD105" s="89">
        <f t="shared" si="7"/>
        <v>0</v>
      </c>
      <c r="AE105" s="89">
        <f t="shared" si="7"/>
        <v>0</v>
      </c>
      <c r="AF105" s="89">
        <f t="shared" si="7"/>
        <v>0</v>
      </c>
      <c r="AG105" s="89">
        <f t="shared" si="8"/>
        <v>0</v>
      </c>
      <c r="AH105" s="89">
        <f t="shared" si="9"/>
        <v>0</v>
      </c>
      <c r="AI105" s="89">
        <f t="shared" si="10"/>
        <v>0</v>
      </c>
      <c r="AJ105" s="89">
        <f t="shared" si="11"/>
        <v>0</v>
      </c>
      <c r="AK105" s="89">
        <f t="shared" si="12"/>
        <v>0</v>
      </c>
      <c r="AL105" s="89">
        <f t="shared" si="13"/>
        <v>0</v>
      </c>
      <c r="AM105" s="89">
        <f t="shared" si="14"/>
        <v>0</v>
      </c>
      <c r="AN105" s="89">
        <f t="shared" si="15"/>
        <v>0</v>
      </c>
      <c r="AO105" s="89">
        <f t="shared" si="16"/>
        <v>0</v>
      </c>
      <c r="AP105" s="89">
        <f t="shared" si="16"/>
        <v>0</v>
      </c>
      <c r="AQ105" s="89">
        <f t="shared" si="17"/>
        <v>0</v>
      </c>
      <c r="AR105" s="89">
        <f t="shared" si="18"/>
        <v>0</v>
      </c>
      <c r="AS105" s="89">
        <f t="shared" si="19"/>
        <v>0</v>
      </c>
      <c r="AT105" s="89">
        <f t="shared" si="20"/>
        <v>0</v>
      </c>
      <c r="AU105" s="89">
        <f t="shared" si="21"/>
        <v>0</v>
      </c>
      <c r="AV105" s="89">
        <f t="shared" si="22"/>
        <v>0</v>
      </c>
      <c r="AW105" s="89">
        <f t="shared" si="23"/>
        <v>0</v>
      </c>
      <c r="AX105" s="89">
        <f t="shared" si="24"/>
        <v>0</v>
      </c>
      <c r="AY105" s="89">
        <f t="shared" si="25"/>
        <v>0</v>
      </c>
      <c r="AZ105" s="89">
        <f t="shared" si="26"/>
        <v>0</v>
      </c>
      <c r="BA105" s="89">
        <f t="shared" si="27"/>
        <v>0</v>
      </c>
      <c r="BB105" s="89">
        <f t="shared" si="28"/>
        <v>0</v>
      </c>
    </row>
    <row r="106" spans="2:54" ht="29">
      <c r="B106" s="6" t="s">
        <v>16</v>
      </c>
      <c r="C106" s="52"/>
      <c r="D106" s="89">
        <f t="shared" si="29"/>
        <v>0</v>
      </c>
      <c r="E106" s="89">
        <f t="shared" si="29"/>
        <v>0</v>
      </c>
      <c r="F106" s="89">
        <f t="shared" si="29"/>
        <v>0</v>
      </c>
      <c r="G106" s="89">
        <f t="shared" si="29"/>
        <v>0</v>
      </c>
      <c r="H106" s="89">
        <f t="shared" si="29"/>
        <v>0</v>
      </c>
      <c r="I106" s="89">
        <f t="shared" si="29"/>
        <v>0</v>
      </c>
      <c r="J106" s="89">
        <f t="shared" si="29"/>
        <v>0</v>
      </c>
      <c r="K106" s="89">
        <f t="shared" si="29"/>
        <v>0</v>
      </c>
      <c r="L106" s="89">
        <f t="shared" si="29"/>
        <v>0</v>
      </c>
      <c r="M106" s="89">
        <f t="shared" si="29"/>
        <v>0</v>
      </c>
      <c r="N106" s="89">
        <f t="shared" si="29"/>
        <v>0</v>
      </c>
      <c r="O106" s="89">
        <f t="shared" si="29"/>
        <v>0</v>
      </c>
      <c r="P106" s="89">
        <f t="shared" si="29"/>
        <v>0</v>
      </c>
      <c r="Q106" s="89">
        <f t="shared" si="29"/>
        <v>0</v>
      </c>
      <c r="R106" s="89">
        <f t="shared" si="29"/>
        <v>0</v>
      </c>
      <c r="S106" s="89">
        <f t="shared" si="29"/>
        <v>0</v>
      </c>
      <c r="T106" s="89">
        <f t="shared" si="7"/>
        <v>0</v>
      </c>
      <c r="U106" s="89">
        <f t="shared" si="7"/>
        <v>0</v>
      </c>
      <c r="V106" s="89">
        <f t="shared" si="7"/>
        <v>0</v>
      </c>
      <c r="W106" s="89">
        <f t="shared" si="7"/>
        <v>0</v>
      </c>
      <c r="X106" s="89">
        <f t="shared" si="7"/>
        <v>0</v>
      </c>
      <c r="Y106" s="89">
        <f t="shared" si="7"/>
        <v>0</v>
      </c>
      <c r="Z106" s="89">
        <f t="shared" si="7"/>
        <v>0</v>
      </c>
      <c r="AA106" s="89">
        <f t="shared" si="7"/>
        <v>0</v>
      </c>
      <c r="AB106" s="89">
        <f t="shared" si="7"/>
        <v>0</v>
      </c>
      <c r="AC106" s="89">
        <f t="shared" si="7"/>
        <v>0</v>
      </c>
      <c r="AD106" s="89">
        <f t="shared" si="7"/>
        <v>0</v>
      </c>
      <c r="AE106" s="89">
        <f t="shared" si="7"/>
        <v>0</v>
      </c>
      <c r="AF106" s="89">
        <f t="shared" si="7"/>
        <v>0</v>
      </c>
      <c r="AG106" s="89">
        <f t="shared" si="8"/>
        <v>0</v>
      </c>
      <c r="AH106" s="89">
        <f t="shared" si="9"/>
        <v>0</v>
      </c>
      <c r="AI106" s="89">
        <f t="shared" si="10"/>
        <v>0</v>
      </c>
      <c r="AJ106" s="89">
        <f t="shared" si="11"/>
        <v>0</v>
      </c>
      <c r="AK106" s="89">
        <f t="shared" si="12"/>
        <v>0</v>
      </c>
      <c r="AL106" s="89">
        <f t="shared" si="13"/>
        <v>0</v>
      </c>
      <c r="AM106" s="89">
        <f t="shared" si="14"/>
        <v>0</v>
      </c>
      <c r="AN106" s="89">
        <f t="shared" si="15"/>
        <v>0</v>
      </c>
      <c r="AO106" s="89">
        <f t="shared" si="16"/>
        <v>0</v>
      </c>
      <c r="AP106" s="89">
        <f t="shared" si="16"/>
        <v>0</v>
      </c>
      <c r="AQ106" s="89">
        <f t="shared" si="17"/>
        <v>0</v>
      </c>
      <c r="AR106" s="89">
        <f t="shared" si="18"/>
        <v>0</v>
      </c>
      <c r="AS106" s="89">
        <f t="shared" si="19"/>
        <v>0</v>
      </c>
      <c r="AT106" s="89">
        <f t="shared" si="20"/>
        <v>0</v>
      </c>
      <c r="AU106" s="89">
        <f t="shared" si="21"/>
        <v>0</v>
      </c>
      <c r="AV106" s="89">
        <f t="shared" si="22"/>
        <v>0</v>
      </c>
      <c r="AW106" s="89">
        <f t="shared" si="23"/>
        <v>0</v>
      </c>
      <c r="AX106" s="89">
        <f t="shared" si="24"/>
        <v>0</v>
      </c>
      <c r="AY106" s="89">
        <f t="shared" si="25"/>
        <v>0</v>
      </c>
      <c r="AZ106" s="89">
        <f t="shared" si="26"/>
        <v>0</v>
      </c>
      <c r="BA106" s="89">
        <f t="shared" si="27"/>
        <v>0</v>
      </c>
      <c r="BB106" s="89">
        <f t="shared" si="28"/>
        <v>0</v>
      </c>
    </row>
    <row r="107" spans="2:54">
      <c r="B107" s="6" t="s">
        <v>103</v>
      </c>
      <c r="C107" s="52"/>
      <c r="D107" s="89">
        <f t="shared" si="29"/>
        <v>0</v>
      </c>
      <c r="E107" s="89">
        <f t="shared" si="29"/>
        <v>0</v>
      </c>
      <c r="F107" s="89">
        <f t="shared" si="29"/>
        <v>0</v>
      </c>
      <c r="G107" s="89">
        <f t="shared" si="29"/>
        <v>0</v>
      </c>
      <c r="H107" s="89">
        <f t="shared" si="29"/>
        <v>0</v>
      </c>
      <c r="I107" s="89">
        <f t="shared" si="29"/>
        <v>0</v>
      </c>
      <c r="J107" s="89">
        <f t="shared" si="29"/>
        <v>0</v>
      </c>
      <c r="K107" s="89">
        <f t="shared" si="29"/>
        <v>0</v>
      </c>
      <c r="L107" s="89">
        <f t="shared" si="29"/>
        <v>0</v>
      </c>
      <c r="M107" s="89">
        <f t="shared" si="29"/>
        <v>0</v>
      </c>
      <c r="N107" s="89">
        <f t="shared" si="29"/>
        <v>0</v>
      </c>
      <c r="O107" s="89">
        <f t="shared" si="29"/>
        <v>0</v>
      </c>
      <c r="P107" s="89">
        <f t="shared" si="29"/>
        <v>0</v>
      </c>
      <c r="Q107" s="89">
        <f t="shared" si="29"/>
        <v>0</v>
      </c>
      <c r="R107" s="89">
        <f t="shared" si="29"/>
        <v>0</v>
      </c>
      <c r="S107" s="89">
        <f t="shared" si="29"/>
        <v>0</v>
      </c>
      <c r="T107" s="89">
        <f t="shared" si="7"/>
        <v>0</v>
      </c>
      <c r="U107" s="89">
        <f t="shared" si="7"/>
        <v>0</v>
      </c>
      <c r="V107" s="89">
        <f t="shared" si="7"/>
        <v>0</v>
      </c>
      <c r="W107" s="89">
        <f t="shared" si="7"/>
        <v>0</v>
      </c>
      <c r="X107" s="89">
        <f t="shared" si="7"/>
        <v>0</v>
      </c>
      <c r="Y107" s="89">
        <f t="shared" si="7"/>
        <v>0</v>
      </c>
      <c r="Z107" s="89">
        <f t="shared" si="7"/>
        <v>0</v>
      </c>
      <c r="AA107" s="89">
        <f t="shared" si="7"/>
        <v>0</v>
      </c>
      <c r="AB107" s="89">
        <f t="shared" si="7"/>
        <v>0</v>
      </c>
      <c r="AC107" s="89">
        <f t="shared" si="7"/>
        <v>0</v>
      </c>
      <c r="AD107" s="89">
        <f t="shared" si="7"/>
        <v>0</v>
      </c>
      <c r="AE107" s="89">
        <f t="shared" si="7"/>
        <v>0</v>
      </c>
      <c r="AF107" s="89">
        <f t="shared" si="7"/>
        <v>0</v>
      </c>
      <c r="AG107" s="89">
        <f t="shared" si="8"/>
        <v>0</v>
      </c>
      <c r="AH107" s="89">
        <f t="shared" si="9"/>
        <v>0</v>
      </c>
      <c r="AI107" s="89">
        <f t="shared" si="10"/>
        <v>0</v>
      </c>
      <c r="AJ107" s="89">
        <f t="shared" si="11"/>
        <v>0</v>
      </c>
      <c r="AK107" s="89">
        <f t="shared" si="12"/>
        <v>0</v>
      </c>
      <c r="AL107" s="89">
        <f t="shared" si="13"/>
        <v>0</v>
      </c>
      <c r="AM107" s="89">
        <f t="shared" si="14"/>
        <v>0</v>
      </c>
      <c r="AN107" s="89">
        <f t="shared" si="15"/>
        <v>0</v>
      </c>
      <c r="AO107" s="89">
        <f t="shared" si="16"/>
        <v>0</v>
      </c>
      <c r="AP107" s="89">
        <f t="shared" si="16"/>
        <v>0</v>
      </c>
      <c r="AQ107" s="89">
        <f t="shared" si="17"/>
        <v>0</v>
      </c>
      <c r="AR107" s="89">
        <f t="shared" si="18"/>
        <v>0</v>
      </c>
      <c r="AS107" s="89">
        <f t="shared" si="19"/>
        <v>0</v>
      </c>
      <c r="AT107" s="89">
        <f t="shared" si="20"/>
        <v>0</v>
      </c>
      <c r="AU107" s="89">
        <f t="shared" si="21"/>
        <v>0</v>
      </c>
      <c r="AV107" s="89">
        <f t="shared" si="22"/>
        <v>0</v>
      </c>
      <c r="AW107" s="89">
        <f t="shared" si="23"/>
        <v>0</v>
      </c>
      <c r="AX107" s="89">
        <f t="shared" si="24"/>
        <v>0</v>
      </c>
      <c r="AY107" s="89">
        <f t="shared" si="25"/>
        <v>0</v>
      </c>
      <c r="AZ107" s="89">
        <f t="shared" si="26"/>
        <v>0</v>
      </c>
      <c r="BA107" s="89">
        <f t="shared" si="27"/>
        <v>0</v>
      </c>
      <c r="BB107" s="89">
        <f t="shared" si="28"/>
        <v>0</v>
      </c>
    </row>
    <row r="108" spans="2:54">
      <c r="B108" s="6" t="s">
        <v>104</v>
      </c>
      <c r="C108" s="52"/>
      <c r="D108" s="89">
        <f t="shared" si="29"/>
        <v>0</v>
      </c>
      <c r="E108" s="89">
        <f t="shared" si="29"/>
        <v>0</v>
      </c>
      <c r="F108" s="89">
        <f t="shared" si="29"/>
        <v>0</v>
      </c>
      <c r="G108" s="89">
        <f t="shared" si="29"/>
        <v>0</v>
      </c>
      <c r="H108" s="89">
        <f t="shared" si="29"/>
        <v>0</v>
      </c>
      <c r="I108" s="89">
        <f t="shared" si="29"/>
        <v>0</v>
      </c>
      <c r="J108" s="89">
        <f t="shared" si="29"/>
        <v>0</v>
      </c>
      <c r="K108" s="89">
        <f t="shared" si="29"/>
        <v>0</v>
      </c>
      <c r="L108" s="89">
        <f t="shared" si="29"/>
        <v>0</v>
      </c>
      <c r="M108" s="89">
        <f t="shared" si="29"/>
        <v>0</v>
      </c>
      <c r="N108" s="89">
        <f t="shared" si="29"/>
        <v>0</v>
      </c>
      <c r="O108" s="89">
        <f t="shared" si="29"/>
        <v>0</v>
      </c>
      <c r="P108" s="89">
        <f t="shared" si="29"/>
        <v>0</v>
      </c>
      <c r="Q108" s="89">
        <f t="shared" si="29"/>
        <v>0</v>
      </c>
      <c r="R108" s="89">
        <f t="shared" si="29"/>
        <v>0</v>
      </c>
      <c r="S108" s="89">
        <f t="shared" si="29"/>
        <v>0</v>
      </c>
      <c r="T108" s="89">
        <f t="shared" si="7"/>
        <v>0</v>
      </c>
      <c r="U108" s="89">
        <f t="shared" si="7"/>
        <v>0</v>
      </c>
      <c r="V108" s="89">
        <f t="shared" si="7"/>
        <v>0</v>
      </c>
      <c r="W108" s="89">
        <f t="shared" si="7"/>
        <v>0</v>
      </c>
      <c r="X108" s="89">
        <f t="shared" si="7"/>
        <v>0</v>
      </c>
      <c r="Y108" s="89">
        <f t="shared" si="7"/>
        <v>0</v>
      </c>
      <c r="Z108" s="89">
        <f t="shared" si="7"/>
        <v>0</v>
      </c>
      <c r="AA108" s="89">
        <f t="shared" si="7"/>
        <v>0</v>
      </c>
      <c r="AB108" s="89">
        <f t="shared" si="7"/>
        <v>0</v>
      </c>
      <c r="AC108" s="89">
        <f t="shared" si="7"/>
        <v>0</v>
      </c>
      <c r="AD108" s="89">
        <f t="shared" si="7"/>
        <v>0</v>
      </c>
      <c r="AE108" s="89">
        <f t="shared" si="7"/>
        <v>0</v>
      </c>
      <c r="AF108" s="89">
        <f t="shared" si="7"/>
        <v>0</v>
      </c>
      <c r="AG108" s="89">
        <f t="shared" si="8"/>
        <v>0</v>
      </c>
      <c r="AH108" s="89">
        <f t="shared" si="9"/>
        <v>0</v>
      </c>
      <c r="AI108" s="89">
        <f t="shared" si="10"/>
        <v>0</v>
      </c>
      <c r="AJ108" s="89">
        <f t="shared" si="11"/>
        <v>0</v>
      </c>
      <c r="AK108" s="89">
        <f t="shared" si="12"/>
        <v>0</v>
      </c>
      <c r="AL108" s="89">
        <f t="shared" si="13"/>
        <v>0</v>
      </c>
      <c r="AM108" s="89">
        <f t="shared" si="14"/>
        <v>0</v>
      </c>
      <c r="AN108" s="89">
        <f t="shared" si="15"/>
        <v>0</v>
      </c>
      <c r="AO108" s="89">
        <f t="shared" si="16"/>
        <v>0</v>
      </c>
      <c r="AP108" s="89">
        <f t="shared" si="16"/>
        <v>0</v>
      </c>
      <c r="AQ108" s="89">
        <f t="shared" si="17"/>
        <v>0</v>
      </c>
      <c r="AR108" s="89">
        <f t="shared" si="18"/>
        <v>0</v>
      </c>
      <c r="AS108" s="89">
        <f t="shared" si="19"/>
        <v>0</v>
      </c>
      <c r="AT108" s="89">
        <f t="shared" si="20"/>
        <v>0</v>
      </c>
      <c r="AU108" s="89">
        <f t="shared" si="21"/>
        <v>0</v>
      </c>
      <c r="AV108" s="89">
        <f t="shared" si="22"/>
        <v>0</v>
      </c>
      <c r="AW108" s="89">
        <f t="shared" si="23"/>
        <v>0</v>
      </c>
      <c r="AX108" s="89">
        <f t="shared" si="24"/>
        <v>0</v>
      </c>
      <c r="AY108" s="89">
        <f t="shared" si="25"/>
        <v>0</v>
      </c>
      <c r="AZ108" s="89">
        <f t="shared" si="26"/>
        <v>0</v>
      </c>
      <c r="BA108" s="89">
        <f t="shared" si="27"/>
        <v>0</v>
      </c>
      <c r="BB108" s="89">
        <f t="shared" si="28"/>
        <v>0</v>
      </c>
    </row>
    <row r="109" spans="2:54">
      <c r="B109" s="6" t="s">
        <v>17</v>
      </c>
      <c r="C109" s="52"/>
      <c r="D109" s="89">
        <f t="shared" si="29"/>
        <v>0</v>
      </c>
      <c r="E109" s="89">
        <f t="shared" si="29"/>
        <v>0</v>
      </c>
      <c r="F109" s="89">
        <f t="shared" si="29"/>
        <v>0</v>
      </c>
      <c r="G109" s="89">
        <f t="shared" si="29"/>
        <v>0</v>
      </c>
      <c r="H109" s="89">
        <f t="shared" si="29"/>
        <v>0</v>
      </c>
      <c r="I109" s="89">
        <f t="shared" si="29"/>
        <v>0</v>
      </c>
      <c r="J109" s="89">
        <f t="shared" si="29"/>
        <v>0</v>
      </c>
      <c r="K109" s="89">
        <f t="shared" si="29"/>
        <v>0</v>
      </c>
      <c r="L109" s="89">
        <f t="shared" si="29"/>
        <v>0</v>
      </c>
      <c r="M109" s="89">
        <f t="shared" si="29"/>
        <v>0</v>
      </c>
      <c r="N109" s="89">
        <f t="shared" si="29"/>
        <v>0</v>
      </c>
      <c r="O109" s="89">
        <f t="shared" si="29"/>
        <v>0</v>
      </c>
      <c r="P109" s="89">
        <f t="shared" si="29"/>
        <v>0</v>
      </c>
      <c r="Q109" s="89">
        <f t="shared" si="29"/>
        <v>0</v>
      </c>
      <c r="R109" s="89">
        <f t="shared" si="29"/>
        <v>0</v>
      </c>
      <c r="S109" s="89">
        <f t="shared" si="29"/>
        <v>0</v>
      </c>
      <c r="T109" s="89">
        <f t="shared" si="7"/>
        <v>0</v>
      </c>
      <c r="U109" s="89">
        <f t="shared" si="7"/>
        <v>0</v>
      </c>
      <c r="V109" s="89">
        <f t="shared" si="7"/>
        <v>0</v>
      </c>
      <c r="W109" s="89">
        <f t="shared" si="7"/>
        <v>0</v>
      </c>
      <c r="X109" s="89">
        <f t="shared" si="7"/>
        <v>0</v>
      </c>
      <c r="Y109" s="89">
        <f t="shared" si="7"/>
        <v>0</v>
      </c>
      <c r="Z109" s="89">
        <f t="shared" si="7"/>
        <v>0</v>
      </c>
      <c r="AA109" s="89">
        <f t="shared" si="7"/>
        <v>0</v>
      </c>
      <c r="AB109" s="89">
        <f t="shared" si="7"/>
        <v>0</v>
      </c>
      <c r="AC109" s="89">
        <f t="shared" si="7"/>
        <v>0</v>
      </c>
      <c r="AD109" s="89">
        <f t="shared" si="7"/>
        <v>0</v>
      </c>
      <c r="AE109" s="89">
        <f t="shared" si="7"/>
        <v>0</v>
      </c>
      <c r="AF109" s="89">
        <f t="shared" si="7"/>
        <v>0</v>
      </c>
      <c r="AG109" s="89">
        <f t="shared" si="8"/>
        <v>0</v>
      </c>
      <c r="AH109" s="89">
        <f t="shared" si="9"/>
        <v>0</v>
      </c>
      <c r="AI109" s="89">
        <f t="shared" si="10"/>
        <v>0</v>
      </c>
      <c r="AJ109" s="89">
        <f t="shared" si="11"/>
        <v>0</v>
      </c>
      <c r="AK109" s="89">
        <f t="shared" si="12"/>
        <v>0</v>
      </c>
      <c r="AL109" s="89">
        <f t="shared" si="13"/>
        <v>0</v>
      </c>
      <c r="AM109" s="89">
        <f t="shared" si="14"/>
        <v>0</v>
      </c>
      <c r="AN109" s="89">
        <f t="shared" si="15"/>
        <v>0</v>
      </c>
      <c r="AO109" s="89">
        <f t="shared" si="16"/>
        <v>0</v>
      </c>
      <c r="AP109" s="89">
        <f t="shared" si="16"/>
        <v>0</v>
      </c>
      <c r="AQ109" s="89">
        <f t="shared" si="17"/>
        <v>0</v>
      </c>
      <c r="AR109" s="89">
        <f t="shared" si="18"/>
        <v>0</v>
      </c>
      <c r="AS109" s="89">
        <f t="shared" si="19"/>
        <v>0</v>
      </c>
      <c r="AT109" s="89">
        <f t="shared" si="20"/>
        <v>0</v>
      </c>
      <c r="AU109" s="89">
        <f t="shared" si="21"/>
        <v>0</v>
      </c>
      <c r="AV109" s="89">
        <f t="shared" si="22"/>
        <v>0</v>
      </c>
      <c r="AW109" s="89">
        <f t="shared" si="23"/>
        <v>0</v>
      </c>
      <c r="AX109" s="89">
        <f t="shared" si="24"/>
        <v>0</v>
      </c>
      <c r="AY109" s="89">
        <f t="shared" si="25"/>
        <v>0</v>
      </c>
      <c r="AZ109" s="89">
        <f t="shared" si="26"/>
        <v>0</v>
      </c>
      <c r="BA109" s="89">
        <f t="shared" si="27"/>
        <v>0</v>
      </c>
      <c r="BB109" s="89">
        <f t="shared" si="28"/>
        <v>0</v>
      </c>
    </row>
    <row r="110" spans="2:54" ht="29">
      <c r="B110" s="6" t="s">
        <v>106</v>
      </c>
      <c r="C110" s="52"/>
      <c r="D110" s="89">
        <f t="shared" si="29"/>
        <v>0</v>
      </c>
      <c r="E110" s="89">
        <f t="shared" si="29"/>
        <v>0</v>
      </c>
      <c r="F110" s="89">
        <f t="shared" si="29"/>
        <v>0</v>
      </c>
      <c r="G110" s="89">
        <f t="shared" si="29"/>
        <v>0</v>
      </c>
      <c r="H110" s="89">
        <f t="shared" si="29"/>
        <v>0</v>
      </c>
      <c r="I110" s="89">
        <f t="shared" si="29"/>
        <v>0</v>
      </c>
      <c r="J110" s="89">
        <f t="shared" si="29"/>
        <v>0</v>
      </c>
      <c r="K110" s="89">
        <f t="shared" si="29"/>
        <v>0</v>
      </c>
      <c r="L110" s="89">
        <f t="shared" si="29"/>
        <v>0</v>
      </c>
      <c r="M110" s="89">
        <f t="shared" si="29"/>
        <v>0</v>
      </c>
      <c r="N110" s="89">
        <f t="shared" si="29"/>
        <v>0</v>
      </c>
      <c r="O110" s="89">
        <f t="shared" si="29"/>
        <v>0</v>
      </c>
      <c r="P110" s="89">
        <f t="shared" si="29"/>
        <v>0</v>
      </c>
      <c r="Q110" s="89">
        <f t="shared" si="29"/>
        <v>0</v>
      </c>
      <c r="R110" s="89">
        <f t="shared" si="29"/>
        <v>0</v>
      </c>
      <c r="S110" s="89">
        <f t="shared" si="29"/>
        <v>0</v>
      </c>
      <c r="T110" s="89">
        <f t="shared" si="7"/>
        <v>0</v>
      </c>
      <c r="U110" s="89">
        <f t="shared" si="7"/>
        <v>0</v>
      </c>
      <c r="V110" s="89">
        <f t="shared" si="7"/>
        <v>0</v>
      </c>
      <c r="W110" s="89">
        <f t="shared" si="7"/>
        <v>0</v>
      </c>
      <c r="X110" s="89">
        <f t="shared" si="7"/>
        <v>0</v>
      </c>
      <c r="Y110" s="89">
        <f t="shared" si="7"/>
        <v>0</v>
      </c>
      <c r="Z110" s="89">
        <f t="shared" si="7"/>
        <v>0</v>
      </c>
      <c r="AA110" s="89">
        <f t="shared" si="7"/>
        <v>0</v>
      </c>
      <c r="AB110" s="89">
        <f t="shared" si="7"/>
        <v>0</v>
      </c>
      <c r="AC110" s="89">
        <f t="shared" si="7"/>
        <v>0</v>
      </c>
      <c r="AD110" s="89">
        <f t="shared" si="7"/>
        <v>0</v>
      </c>
      <c r="AE110" s="89">
        <f t="shared" si="7"/>
        <v>0</v>
      </c>
      <c r="AF110" s="89">
        <f t="shared" si="7"/>
        <v>0</v>
      </c>
      <c r="AG110" s="89">
        <f t="shared" si="8"/>
        <v>0</v>
      </c>
      <c r="AH110" s="89">
        <f t="shared" si="9"/>
        <v>0</v>
      </c>
      <c r="AI110" s="89">
        <f t="shared" si="10"/>
        <v>0</v>
      </c>
      <c r="AJ110" s="89">
        <f t="shared" si="11"/>
        <v>0</v>
      </c>
      <c r="AK110" s="89">
        <f t="shared" si="12"/>
        <v>0</v>
      </c>
      <c r="AL110" s="89">
        <f t="shared" si="13"/>
        <v>0</v>
      </c>
      <c r="AM110" s="89">
        <f t="shared" si="14"/>
        <v>0</v>
      </c>
      <c r="AN110" s="89">
        <f t="shared" si="15"/>
        <v>0</v>
      </c>
      <c r="AO110" s="89">
        <f t="shared" si="16"/>
        <v>0</v>
      </c>
      <c r="AP110" s="89">
        <f t="shared" si="16"/>
        <v>0</v>
      </c>
      <c r="AQ110" s="89">
        <f t="shared" si="17"/>
        <v>0</v>
      </c>
      <c r="AR110" s="89">
        <f t="shared" si="18"/>
        <v>0</v>
      </c>
      <c r="AS110" s="89">
        <f t="shared" si="19"/>
        <v>0</v>
      </c>
      <c r="AT110" s="89">
        <f t="shared" si="20"/>
        <v>0</v>
      </c>
      <c r="AU110" s="89">
        <f t="shared" si="21"/>
        <v>0</v>
      </c>
      <c r="AV110" s="89">
        <f t="shared" si="22"/>
        <v>0</v>
      </c>
      <c r="AW110" s="89">
        <f t="shared" si="23"/>
        <v>0</v>
      </c>
      <c r="AX110" s="89">
        <f t="shared" si="24"/>
        <v>0</v>
      </c>
      <c r="AY110" s="89">
        <f t="shared" si="25"/>
        <v>0</v>
      </c>
      <c r="AZ110" s="89">
        <f t="shared" si="26"/>
        <v>0</v>
      </c>
      <c r="BA110" s="89">
        <f t="shared" si="27"/>
        <v>0</v>
      </c>
      <c r="BB110" s="89">
        <f t="shared" si="28"/>
        <v>0</v>
      </c>
    </row>
    <row r="111" spans="2:54" ht="29">
      <c r="B111" s="6" t="s">
        <v>107</v>
      </c>
      <c r="C111" s="52"/>
      <c r="D111" s="89">
        <f t="shared" si="29"/>
        <v>0</v>
      </c>
      <c r="E111" s="89">
        <f t="shared" si="29"/>
        <v>0</v>
      </c>
      <c r="F111" s="89">
        <f t="shared" si="29"/>
        <v>0</v>
      </c>
      <c r="G111" s="89">
        <f t="shared" si="29"/>
        <v>0</v>
      </c>
      <c r="H111" s="89">
        <f t="shared" si="29"/>
        <v>0</v>
      </c>
      <c r="I111" s="89">
        <f t="shared" si="29"/>
        <v>0</v>
      </c>
      <c r="J111" s="89">
        <f t="shared" si="29"/>
        <v>0</v>
      </c>
      <c r="K111" s="89">
        <f t="shared" si="29"/>
        <v>0</v>
      </c>
      <c r="L111" s="89">
        <f t="shared" si="29"/>
        <v>0</v>
      </c>
      <c r="M111" s="89">
        <f t="shared" si="29"/>
        <v>0</v>
      </c>
      <c r="N111" s="89">
        <f t="shared" si="29"/>
        <v>0</v>
      </c>
      <c r="O111" s="89">
        <f t="shared" si="29"/>
        <v>0</v>
      </c>
      <c r="P111" s="89">
        <f t="shared" si="29"/>
        <v>0</v>
      </c>
      <c r="Q111" s="89">
        <f t="shared" si="29"/>
        <v>0</v>
      </c>
      <c r="R111" s="89">
        <f t="shared" si="29"/>
        <v>0</v>
      </c>
      <c r="S111" s="89">
        <f t="shared" si="29"/>
        <v>0</v>
      </c>
      <c r="T111" s="89">
        <f t="shared" si="7"/>
        <v>0</v>
      </c>
      <c r="U111" s="89">
        <f t="shared" si="7"/>
        <v>0</v>
      </c>
      <c r="V111" s="89">
        <f t="shared" si="7"/>
        <v>0</v>
      </c>
      <c r="W111" s="89">
        <f t="shared" si="7"/>
        <v>0</v>
      </c>
      <c r="X111" s="89">
        <f t="shared" si="7"/>
        <v>0</v>
      </c>
      <c r="Y111" s="89">
        <f t="shared" si="7"/>
        <v>0</v>
      </c>
      <c r="Z111" s="89">
        <f t="shared" si="7"/>
        <v>0</v>
      </c>
      <c r="AA111" s="89">
        <f t="shared" si="7"/>
        <v>0</v>
      </c>
      <c r="AB111" s="89">
        <f t="shared" si="7"/>
        <v>0</v>
      </c>
      <c r="AC111" s="89">
        <f t="shared" si="7"/>
        <v>0</v>
      </c>
      <c r="AD111" s="89">
        <f t="shared" si="7"/>
        <v>0</v>
      </c>
      <c r="AE111" s="89">
        <f t="shared" si="7"/>
        <v>0</v>
      </c>
      <c r="AF111" s="89">
        <f t="shared" si="7"/>
        <v>0</v>
      </c>
      <c r="AG111" s="89">
        <f t="shared" si="8"/>
        <v>0</v>
      </c>
      <c r="AH111" s="89">
        <f t="shared" si="9"/>
        <v>0</v>
      </c>
      <c r="AI111" s="89">
        <f t="shared" si="10"/>
        <v>0</v>
      </c>
      <c r="AJ111" s="89">
        <f t="shared" si="11"/>
        <v>0</v>
      </c>
      <c r="AK111" s="89">
        <f t="shared" si="12"/>
        <v>0</v>
      </c>
      <c r="AL111" s="89">
        <f t="shared" si="13"/>
        <v>0</v>
      </c>
      <c r="AM111" s="89">
        <f t="shared" si="14"/>
        <v>0</v>
      </c>
      <c r="AN111" s="89">
        <f t="shared" si="15"/>
        <v>0</v>
      </c>
      <c r="AO111" s="89">
        <f t="shared" si="16"/>
        <v>0</v>
      </c>
      <c r="AP111" s="89">
        <f t="shared" si="16"/>
        <v>0</v>
      </c>
      <c r="AQ111" s="89">
        <f t="shared" si="17"/>
        <v>0</v>
      </c>
      <c r="AR111" s="89">
        <f t="shared" si="18"/>
        <v>0</v>
      </c>
      <c r="AS111" s="89">
        <f t="shared" si="19"/>
        <v>0</v>
      </c>
      <c r="AT111" s="89">
        <f t="shared" si="20"/>
        <v>0</v>
      </c>
      <c r="AU111" s="89">
        <f t="shared" si="21"/>
        <v>0</v>
      </c>
      <c r="AV111" s="89">
        <f t="shared" si="22"/>
        <v>0</v>
      </c>
      <c r="AW111" s="89">
        <f t="shared" si="23"/>
        <v>0</v>
      </c>
      <c r="AX111" s="89">
        <f t="shared" si="24"/>
        <v>0</v>
      </c>
      <c r="AY111" s="89">
        <f t="shared" si="25"/>
        <v>0</v>
      </c>
      <c r="AZ111" s="89">
        <f t="shared" si="26"/>
        <v>0</v>
      </c>
      <c r="BA111" s="89">
        <f t="shared" si="27"/>
        <v>0</v>
      </c>
      <c r="BB111" s="89">
        <f t="shared" si="28"/>
        <v>0</v>
      </c>
    </row>
    <row r="112" spans="2:54">
      <c r="B112" s="6" t="s">
        <v>2863</v>
      </c>
      <c r="D112" s="89">
        <f t="shared" si="29"/>
        <v>0</v>
      </c>
      <c r="E112" s="89">
        <f t="shared" si="29"/>
        <v>0</v>
      </c>
      <c r="F112" s="89">
        <f t="shared" si="29"/>
        <v>0</v>
      </c>
      <c r="G112" s="89">
        <f t="shared" si="29"/>
        <v>0</v>
      </c>
      <c r="H112" s="89">
        <f t="shared" si="29"/>
        <v>0</v>
      </c>
      <c r="I112" s="89">
        <f t="shared" si="29"/>
        <v>0</v>
      </c>
      <c r="J112" s="89">
        <f t="shared" si="29"/>
        <v>0</v>
      </c>
      <c r="K112" s="89">
        <f t="shared" si="29"/>
        <v>0</v>
      </c>
      <c r="L112" s="89">
        <f t="shared" si="29"/>
        <v>0</v>
      </c>
      <c r="M112" s="89">
        <f t="shared" si="29"/>
        <v>0</v>
      </c>
      <c r="N112" s="89">
        <f t="shared" si="29"/>
        <v>0</v>
      </c>
      <c r="O112" s="89">
        <f t="shared" si="29"/>
        <v>0</v>
      </c>
      <c r="P112" s="89">
        <f t="shared" si="29"/>
        <v>0</v>
      </c>
      <c r="Q112" s="89">
        <f t="shared" si="29"/>
        <v>0</v>
      </c>
      <c r="R112" s="89">
        <f t="shared" si="29"/>
        <v>0</v>
      </c>
      <c r="S112" s="89">
        <f t="shared" si="29"/>
        <v>0</v>
      </c>
      <c r="T112" s="89">
        <f t="shared" si="7"/>
        <v>0</v>
      </c>
      <c r="U112" s="89">
        <f t="shared" si="7"/>
        <v>0</v>
      </c>
      <c r="V112" s="89">
        <f t="shared" si="7"/>
        <v>0</v>
      </c>
      <c r="W112" s="89">
        <f t="shared" si="7"/>
        <v>0</v>
      </c>
      <c r="X112" s="89">
        <f t="shared" si="7"/>
        <v>0</v>
      </c>
      <c r="Y112" s="89">
        <f t="shared" si="7"/>
        <v>0</v>
      </c>
      <c r="Z112" s="89">
        <f t="shared" si="7"/>
        <v>0</v>
      </c>
      <c r="AA112" s="89">
        <f t="shared" si="7"/>
        <v>0</v>
      </c>
      <c r="AB112" s="89">
        <f t="shared" si="7"/>
        <v>0</v>
      </c>
      <c r="AC112" s="89">
        <f t="shared" si="7"/>
        <v>0</v>
      </c>
      <c r="AD112" s="89">
        <f t="shared" si="7"/>
        <v>0</v>
      </c>
      <c r="AE112" s="89">
        <f t="shared" si="7"/>
        <v>0</v>
      </c>
      <c r="AF112" s="89">
        <f t="shared" si="7"/>
        <v>0</v>
      </c>
      <c r="AG112" s="89">
        <f t="shared" si="8"/>
        <v>0</v>
      </c>
      <c r="AH112" s="89">
        <f t="shared" si="9"/>
        <v>0</v>
      </c>
      <c r="AI112" s="89">
        <f t="shared" si="10"/>
        <v>0</v>
      </c>
      <c r="AJ112" s="89">
        <f t="shared" si="11"/>
        <v>0</v>
      </c>
      <c r="AK112" s="89">
        <f t="shared" si="12"/>
        <v>0</v>
      </c>
      <c r="AL112" s="89">
        <f t="shared" si="13"/>
        <v>0</v>
      </c>
      <c r="AM112" s="89">
        <f t="shared" si="14"/>
        <v>0</v>
      </c>
      <c r="AN112" s="89">
        <f t="shared" si="15"/>
        <v>0</v>
      </c>
      <c r="AO112" s="89">
        <f t="shared" si="16"/>
        <v>0</v>
      </c>
      <c r="AP112" s="89">
        <f t="shared" si="16"/>
        <v>0</v>
      </c>
      <c r="AQ112" s="89">
        <f t="shared" si="17"/>
        <v>0</v>
      </c>
      <c r="AR112" s="89">
        <f t="shared" si="18"/>
        <v>0</v>
      </c>
      <c r="AS112" s="89">
        <f t="shared" si="19"/>
        <v>0</v>
      </c>
      <c r="AT112" s="89">
        <f t="shared" si="20"/>
        <v>0</v>
      </c>
      <c r="AU112" s="89">
        <f t="shared" si="21"/>
        <v>0</v>
      </c>
      <c r="AV112" s="89">
        <f t="shared" si="22"/>
        <v>0</v>
      </c>
      <c r="AW112" s="89">
        <f t="shared" si="23"/>
        <v>0</v>
      </c>
      <c r="AX112" s="89">
        <f t="shared" si="24"/>
        <v>0</v>
      </c>
      <c r="AY112" s="89">
        <f t="shared" si="25"/>
        <v>0</v>
      </c>
      <c r="AZ112" s="89">
        <f t="shared" si="26"/>
        <v>0</v>
      </c>
      <c r="BA112" s="89">
        <f t="shared" si="27"/>
        <v>0</v>
      </c>
      <c r="BB112" s="89">
        <f t="shared" si="28"/>
        <v>0</v>
      </c>
    </row>
    <row r="113" spans="1:54">
      <c r="B113" s="6" t="s">
        <v>2862</v>
      </c>
      <c r="C113" s="52"/>
      <c r="D113" s="89">
        <f t="shared" si="29"/>
        <v>0</v>
      </c>
      <c r="E113" s="89">
        <f t="shared" si="29"/>
        <v>0</v>
      </c>
      <c r="F113" s="89">
        <f t="shared" si="29"/>
        <v>0</v>
      </c>
      <c r="G113" s="89">
        <f t="shared" si="29"/>
        <v>0</v>
      </c>
      <c r="H113" s="89">
        <f t="shared" si="29"/>
        <v>0</v>
      </c>
      <c r="I113" s="89">
        <f t="shared" si="29"/>
        <v>0</v>
      </c>
      <c r="J113" s="89">
        <f t="shared" si="29"/>
        <v>0</v>
      </c>
      <c r="K113" s="89">
        <f t="shared" si="29"/>
        <v>0</v>
      </c>
      <c r="L113" s="89">
        <f t="shared" si="29"/>
        <v>0</v>
      </c>
      <c r="M113" s="89">
        <f t="shared" si="29"/>
        <v>0</v>
      </c>
      <c r="N113" s="89">
        <f t="shared" si="29"/>
        <v>0</v>
      </c>
      <c r="O113" s="89">
        <f t="shared" si="29"/>
        <v>0</v>
      </c>
      <c r="P113" s="89">
        <f t="shared" si="29"/>
        <v>0</v>
      </c>
      <c r="Q113" s="89">
        <f t="shared" si="29"/>
        <v>0</v>
      </c>
      <c r="R113" s="89">
        <f t="shared" si="29"/>
        <v>0</v>
      </c>
      <c r="S113" s="89">
        <f t="shared" si="29"/>
        <v>0</v>
      </c>
      <c r="T113" s="89">
        <f t="shared" si="7"/>
        <v>0</v>
      </c>
      <c r="U113" s="89">
        <f t="shared" si="7"/>
        <v>0</v>
      </c>
      <c r="V113" s="89">
        <f t="shared" si="7"/>
        <v>0</v>
      </c>
      <c r="W113" s="89">
        <f t="shared" si="7"/>
        <v>0</v>
      </c>
      <c r="X113" s="89">
        <f t="shared" si="7"/>
        <v>0</v>
      </c>
      <c r="Y113" s="89">
        <f t="shared" si="7"/>
        <v>0</v>
      </c>
      <c r="Z113" s="89">
        <f t="shared" si="7"/>
        <v>0</v>
      </c>
      <c r="AA113" s="89">
        <f t="shared" si="7"/>
        <v>0</v>
      </c>
      <c r="AB113" s="89">
        <f t="shared" si="7"/>
        <v>0</v>
      </c>
      <c r="AC113" s="89">
        <f t="shared" si="7"/>
        <v>0</v>
      </c>
      <c r="AD113" s="89">
        <f t="shared" si="7"/>
        <v>0</v>
      </c>
      <c r="AE113" s="89">
        <f t="shared" si="7"/>
        <v>0</v>
      </c>
      <c r="AF113" s="89">
        <f t="shared" si="7"/>
        <v>0</v>
      </c>
      <c r="AG113" s="89">
        <f t="shared" si="8"/>
        <v>0</v>
      </c>
      <c r="AH113" s="89">
        <f t="shared" si="9"/>
        <v>0</v>
      </c>
      <c r="AI113" s="89">
        <f t="shared" si="10"/>
        <v>0</v>
      </c>
      <c r="AJ113" s="89">
        <f t="shared" si="11"/>
        <v>0</v>
      </c>
      <c r="AK113" s="89">
        <f t="shared" si="12"/>
        <v>0</v>
      </c>
      <c r="AL113" s="89">
        <f t="shared" si="13"/>
        <v>0</v>
      </c>
      <c r="AM113" s="89">
        <f t="shared" si="14"/>
        <v>0</v>
      </c>
      <c r="AN113" s="89">
        <f t="shared" si="15"/>
        <v>0</v>
      </c>
      <c r="AO113" s="89">
        <f t="shared" si="16"/>
        <v>0</v>
      </c>
      <c r="AP113" s="89">
        <f t="shared" si="16"/>
        <v>0</v>
      </c>
      <c r="AQ113" s="89">
        <f t="shared" si="17"/>
        <v>0</v>
      </c>
      <c r="AR113" s="89">
        <f t="shared" si="18"/>
        <v>0</v>
      </c>
      <c r="AS113" s="89">
        <f t="shared" si="19"/>
        <v>0</v>
      </c>
      <c r="AT113" s="89">
        <f t="shared" si="20"/>
        <v>0</v>
      </c>
      <c r="AU113" s="89">
        <f t="shared" si="21"/>
        <v>0</v>
      </c>
      <c r="AV113" s="89">
        <f t="shared" si="22"/>
        <v>0</v>
      </c>
      <c r="AW113" s="89">
        <f t="shared" si="23"/>
        <v>0</v>
      </c>
      <c r="AX113" s="89">
        <f t="shared" si="24"/>
        <v>0</v>
      </c>
      <c r="AY113" s="89">
        <f t="shared" si="25"/>
        <v>0</v>
      </c>
      <c r="AZ113" s="89">
        <f t="shared" si="26"/>
        <v>0</v>
      </c>
      <c r="BA113" s="89">
        <f t="shared" si="27"/>
        <v>0</v>
      </c>
      <c r="BB113" s="89">
        <f t="shared" si="28"/>
        <v>0</v>
      </c>
    </row>
    <row r="114" spans="1:54">
      <c r="B114" s="6" t="s">
        <v>131</v>
      </c>
      <c r="C114" s="52"/>
      <c r="D114" s="89">
        <f t="shared" si="29"/>
        <v>0</v>
      </c>
      <c r="E114" s="89">
        <f t="shared" si="29"/>
        <v>0</v>
      </c>
      <c r="F114" s="89">
        <f t="shared" si="29"/>
        <v>0</v>
      </c>
      <c r="G114" s="89">
        <f t="shared" si="29"/>
        <v>0</v>
      </c>
      <c r="H114" s="89">
        <f t="shared" si="29"/>
        <v>0</v>
      </c>
      <c r="I114" s="89">
        <f t="shared" si="29"/>
        <v>0</v>
      </c>
      <c r="J114" s="89">
        <f t="shared" si="29"/>
        <v>0</v>
      </c>
      <c r="K114" s="89">
        <f t="shared" si="29"/>
        <v>0</v>
      </c>
      <c r="L114" s="89">
        <f t="shared" si="29"/>
        <v>0</v>
      </c>
      <c r="M114" s="89">
        <f t="shared" si="29"/>
        <v>0</v>
      </c>
      <c r="N114" s="89">
        <f t="shared" si="29"/>
        <v>0</v>
      </c>
      <c r="O114" s="89">
        <f t="shared" si="29"/>
        <v>0</v>
      </c>
      <c r="P114" s="89">
        <f t="shared" si="29"/>
        <v>0</v>
      </c>
      <c r="Q114" s="89">
        <f t="shared" si="29"/>
        <v>0</v>
      </c>
      <c r="R114" s="89">
        <f t="shared" si="29"/>
        <v>0</v>
      </c>
      <c r="S114" s="89">
        <f t="shared" si="29"/>
        <v>0</v>
      </c>
      <c r="T114" s="89">
        <f t="shared" si="7"/>
        <v>0</v>
      </c>
      <c r="U114" s="89">
        <f t="shared" si="7"/>
        <v>0</v>
      </c>
      <c r="V114" s="89">
        <f t="shared" si="7"/>
        <v>0</v>
      </c>
      <c r="W114" s="89">
        <f t="shared" si="7"/>
        <v>0</v>
      </c>
      <c r="X114" s="89">
        <f t="shared" si="7"/>
        <v>0</v>
      </c>
      <c r="Y114" s="89">
        <f t="shared" si="7"/>
        <v>0</v>
      </c>
      <c r="Z114" s="89">
        <f t="shared" si="7"/>
        <v>0</v>
      </c>
      <c r="AA114" s="89">
        <f t="shared" si="7"/>
        <v>0</v>
      </c>
      <c r="AB114" s="89">
        <f t="shared" si="7"/>
        <v>0</v>
      </c>
      <c r="AC114" s="89">
        <f t="shared" si="7"/>
        <v>0</v>
      </c>
      <c r="AD114" s="89">
        <f t="shared" si="7"/>
        <v>0</v>
      </c>
      <c r="AE114" s="89">
        <f t="shared" si="7"/>
        <v>0</v>
      </c>
      <c r="AF114" s="89">
        <f t="shared" si="7"/>
        <v>0</v>
      </c>
      <c r="AG114" s="89">
        <f t="shared" si="8"/>
        <v>0</v>
      </c>
      <c r="AH114" s="89">
        <f t="shared" si="9"/>
        <v>0</v>
      </c>
      <c r="AI114" s="89">
        <f t="shared" si="10"/>
        <v>0</v>
      </c>
      <c r="AJ114" s="89">
        <f t="shared" si="11"/>
        <v>0</v>
      </c>
      <c r="AK114" s="89">
        <f t="shared" si="12"/>
        <v>0</v>
      </c>
      <c r="AL114" s="89">
        <f t="shared" si="13"/>
        <v>0</v>
      </c>
      <c r="AM114" s="89">
        <f t="shared" si="14"/>
        <v>0</v>
      </c>
      <c r="AN114" s="89">
        <f t="shared" si="15"/>
        <v>0</v>
      </c>
      <c r="AO114" s="89">
        <f t="shared" si="16"/>
        <v>0</v>
      </c>
      <c r="AP114" s="89">
        <f t="shared" si="16"/>
        <v>0</v>
      </c>
      <c r="AQ114" s="89">
        <f t="shared" si="17"/>
        <v>0</v>
      </c>
      <c r="AR114" s="89">
        <f t="shared" si="18"/>
        <v>0</v>
      </c>
      <c r="AS114" s="89">
        <f t="shared" si="19"/>
        <v>0</v>
      </c>
      <c r="AT114" s="89">
        <f t="shared" si="20"/>
        <v>0</v>
      </c>
      <c r="AU114" s="89">
        <f t="shared" si="21"/>
        <v>0</v>
      </c>
      <c r="AV114" s="89">
        <f t="shared" si="22"/>
        <v>0</v>
      </c>
      <c r="AW114" s="89">
        <f t="shared" si="23"/>
        <v>0</v>
      </c>
      <c r="AX114" s="89">
        <f t="shared" si="24"/>
        <v>0</v>
      </c>
      <c r="AY114" s="89">
        <f t="shared" si="25"/>
        <v>0</v>
      </c>
      <c r="AZ114" s="89">
        <f t="shared" si="26"/>
        <v>0</v>
      </c>
      <c r="BA114" s="89">
        <f t="shared" si="27"/>
        <v>0</v>
      </c>
      <c r="BB114" s="89">
        <f t="shared" si="28"/>
        <v>0</v>
      </c>
    </row>
    <row r="115" spans="1:54" ht="29">
      <c r="B115" s="6" t="s">
        <v>2869</v>
      </c>
      <c r="C115" s="52"/>
      <c r="D115" s="89">
        <f t="shared" si="29"/>
        <v>0</v>
      </c>
      <c r="E115" s="89">
        <f t="shared" si="29"/>
        <v>0</v>
      </c>
      <c r="F115" s="89">
        <f t="shared" si="29"/>
        <v>0</v>
      </c>
      <c r="G115" s="89">
        <f t="shared" si="29"/>
        <v>0</v>
      </c>
      <c r="H115" s="89">
        <f t="shared" si="29"/>
        <v>0</v>
      </c>
      <c r="I115" s="89">
        <f t="shared" si="29"/>
        <v>0</v>
      </c>
      <c r="J115" s="89">
        <f t="shared" si="29"/>
        <v>0</v>
      </c>
      <c r="K115" s="89">
        <f t="shared" si="29"/>
        <v>0</v>
      </c>
      <c r="L115" s="89">
        <f t="shared" si="29"/>
        <v>0</v>
      </c>
      <c r="M115" s="89">
        <f t="shared" si="29"/>
        <v>0</v>
      </c>
      <c r="N115" s="89">
        <f t="shared" si="29"/>
        <v>0</v>
      </c>
      <c r="O115" s="89">
        <f t="shared" si="29"/>
        <v>0</v>
      </c>
      <c r="P115" s="89">
        <f t="shared" si="29"/>
        <v>0</v>
      </c>
      <c r="Q115" s="89">
        <f t="shared" si="29"/>
        <v>0</v>
      </c>
      <c r="R115" s="89">
        <f t="shared" si="29"/>
        <v>0</v>
      </c>
      <c r="S115" s="89">
        <f t="shared" si="29"/>
        <v>0</v>
      </c>
      <c r="T115" s="89">
        <f t="shared" si="7"/>
        <v>0</v>
      </c>
      <c r="U115" s="89">
        <f t="shared" si="7"/>
        <v>0</v>
      </c>
      <c r="V115" s="89">
        <f t="shared" si="7"/>
        <v>0</v>
      </c>
      <c r="W115" s="89">
        <f t="shared" si="7"/>
        <v>0</v>
      </c>
      <c r="X115" s="89">
        <f t="shared" si="7"/>
        <v>0</v>
      </c>
      <c r="Y115" s="89">
        <f t="shared" si="7"/>
        <v>0</v>
      </c>
      <c r="Z115" s="89">
        <f t="shared" si="7"/>
        <v>0</v>
      </c>
      <c r="AA115" s="89">
        <f t="shared" si="7"/>
        <v>0</v>
      </c>
      <c r="AB115" s="89">
        <f t="shared" si="7"/>
        <v>0</v>
      </c>
      <c r="AC115" s="89">
        <f t="shared" si="7"/>
        <v>0</v>
      </c>
      <c r="AD115" s="89">
        <f t="shared" si="7"/>
        <v>0</v>
      </c>
      <c r="AE115" s="89">
        <f t="shared" si="7"/>
        <v>0</v>
      </c>
      <c r="AF115" s="89">
        <f t="shared" si="7"/>
        <v>0</v>
      </c>
      <c r="AG115" s="89">
        <f t="shared" si="8"/>
        <v>0</v>
      </c>
      <c r="AH115" s="89">
        <f t="shared" si="9"/>
        <v>0</v>
      </c>
      <c r="AI115" s="89">
        <f t="shared" si="10"/>
        <v>0</v>
      </c>
      <c r="AJ115" s="89">
        <f t="shared" si="11"/>
        <v>0</v>
      </c>
      <c r="AK115" s="89">
        <f t="shared" si="12"/>
        <v>0</v>
      </c>
      <c r="AL115" s="89">
        <f t="shared" si="13"/>
        <v>0</v>
      </c>
      <c r="AM115" s="89">
        <f t="shared" si="14"/>
        <v>0</v>
      </c>
      <c r="AN115" s="89">
        <f t="shared" si="15"/>
        <v>0</v>
      </c>
      <c r="AO115" s="89">
        <f t="shared" si="16"/>
        <v>0</v>
      </c>
      <c r="AP115" s="89">
        <f t="shared" si="16"/>
        <v>0</v>
      </c>
      <c r="AQ115" s="89">
        <f t="shared" si="17"/>
        <v>0</v>
      </c>
      <c r="AR115" s="89">
        <f t="shared" si="18"/>
        <v>0</v>
      </c>
      <c r="AS115" s="89">
        <f t="shared" si="19"/>
        <v>0</v>
      </c>
      <c r="AT115" s="89">
        <f t="shared" si="20"/>
        <v>0</v>
      </c>
      <c r="AU115" s="89">
        <f t="shared" si="21"/>
        <v>0</v>
      </c>
      <c r="AV115" s="89">
        <f t="shared" si="22"/>
        <v>0</v>
      </c>
      <c r="AW115" s="89">
        <f t="shared" si="23"/>
        <v>0</v>
      </c>
      <c r="AX115" s="89">
        <f t="shared" si="24"/>
        <v>0</v>
      </c>
      <c r="AY115" s="89">
        <f t="shared" si="25"/>
        <v>0</v>
      </c>
      <c r="AZ115" s="89">
        <f t="shared" si="26"/>
        <v>0</v>
      </c>
      <c r="BA115" s="89">
        <f t="shared" si="27"/>
        <v>0</v>
      </c>
      <c r="BB115" s="89">
        <f t="shared" si="28"/>
        <v>0</v>
      </c>
    </row>
    <row r="116" spans="1:54" ht="29">
      <c r="B116" s="6" t="s">
        <v>2870</v>
      </c>
      <c r="C116" s="52"/>
      <c r="D116" s="89">
        <f t="shared" si="29"/>
        <v>0</v>
      </c>
      <c r="E116" s="89">
        <f t="shared" si="29"/>
        <v>0</v>
      </c>
      <c r="F116" s="89">
        <f t="shared" si="29"/>
        <v>0</v>
      </c>
      <c r="G116" s="89">
        <f t="shared" si="29"/>
        <v>0</v>
      </c>
      <c r="H116" s="89">
        <f t="shared" si="29"/>
        <v>0</v>
      </c>
      <c r="I116" s="89">
        <f t="shared" si="29"/>
        <v>0</v>
      </c>
      <c r="J116" s="89">
        <f t="shared" si="29"/>
        <v>0</v>
      </c>
      <c r="K116" s="89">
        <f t="shared" si="29"/>
        <v>0</v>
      </c>
      <c r="L116" s="89">
        <f t="shared" si="29"/>
        <v>0</v>
      </c>
      <c r="M116" s="89">
        <f t="shared" si="29"/>
        <v>0</v>
      </c>
      <c r="N116" s="89">
        <f t="shared" si="29"/>
        <v>0</v>
      </c>
      <c r="O116" s="89">
        <f t="shared" si="29"/>
        <v>0</v>
      </c>
      <c r="P116" s="89">
        <f t="shared" si="29"/>
        <v>0</v>
      </c>
      <c r="Q116" s="89">
        <f t="shared" si="29"/>
        <v>0</v>
      </c>
      <c r="R116" s="89">
        <f t="shared" si="29"/>
        <v>0</v>
      </c>
      <c r="S116" s="89">
        <f t="shared" si="29"/>
        <v>0</v>
      </c>
      <c r="T116" s="89">
        <f t="shared" si="7"/>
        <v>0</v>
      </c>
      <c r="U116" s="89">
        <f t="shared" si="7"/>
        <v>0</v>
      </c>
      <c r="V116" s="89">
        <f t="shared" si="7"/>
        <v>0</v>
      </c>
      <c r="W116" s="89">
        <f t="shared" si="7"/>
        <v>0</v>
      </c>
      <c r="X116" s="89">
        <f t="shared" si="7"/>
        <v>0</v>
      </c>
      <c r="Y116" s="89">
        <f t="shared" si="7"/>
        <v>0</v>
      </c>
      <c r="Z116" s="89">
        <f t="shared" si="7"/>
        <v>0</v>
      </c>
      <c r="AA116" s="89">
        <f t="shared" si="7"/>
        <v>0</v>
      </c>
      <c r="AB116" s="89">
        <f t="shared" si="7"/>
        <v>0</v>
      </c>
      <c r="AC116" s="89">
        <f t="shared" si="7"/>
        <v>0</v>
      </c>
      <c r="AD116" s="89">
        <f t="shared" si="7"/>
        <v>0</v>
      </c>
      <c r="AE116" s="89">
        <f t="shared" si="7"/>
        <v>0</v>
      </c>
      <c r="AF116" s="89">
        <f t="shared" si="7"/>
        <v>0</v>
      </c>
      <c r="AG116" s="89">
        <f t="shared" si="8"/>
        <v>0</v>
      </c>
      <c r="AH116" s="89">
        <f t="shared" si="9"/>
        <v>0</v>
      </c>
      <c r="AI116" s="89">
        <f t="shared" si="10"/>
        <v>0</v>
      </c>
      <c r="AJ116" s="89">
        <f t="shared" si="11"/>
        <v>0</v>
      </c>
      <c r="AK116" s="89">
        <f t="shared" si="12"/>
        <v>0</v>
      </c>
      <c r="AL116" s="89">
        <f t="shared" si="13"/>
        <v>0</v>
      </c>
      <c r="AM116" s="89">
        <f t="shared" si="14"/>
        <v>0</v>
      </c>
      <c r="AN116" s="89">
        <f t="shared" si="15"/>
        <v>0</v>
      </c>
      <c r="AO116" s="89">
        <f t="shared" si="16"/>
        <v>0</v>
      </c>
      <c r="AP116" s="89">
        <f t="shared" si="16"/>
        <v>0</v>
      </c>
      <c r="AQ116" s="89">
        <f t="shared" si="17"/>
        <v>0</v>
      </c>
      <c r="AR116" s="89">
        <f t="shared" si="18"/>
        <v>0</v>
      </c>
      <c r="AS116" s="89">
        <f t="shared" si="19"/>
        <v>0</v>
      </c>
      <c r="AT116" s="89">
        <f t="shared" si="20"/>
        <v>0</v>
      </c>
      <c r="AU116" s="89">
        <f t="shared" si="21"/>
        <v>0</v>
      </c>
      <c r="AV116" s="89">
        <f t="shared" si="22"/>
        <v>0</v>
      </c>
      <c r="AW116" s="89">
        <f t="shared" si="23"/>
        <v>0</v>
      </c>
      <c r="AX116" s="89">
        <f t="shared" si="24"/>
        <v>0</v>
      </c>
      <c r="AY116" s="89">
        <f t="shared" si="25"/>
        <v>0</v>
      </c>
      <c r="AZ116" s="89">
        <f t="shared" si="26"/>
        <v>0</v>
      </c>
      <c r="BA116" s="89">
        <f t="shared" si="27"/>
        <v>0</v>
      </c>
      <c r="BB116" s="89">
        <f t="shared" si="28"/>
        <v>0</v>
      </c>
    </row>
    <row r="117" spans="1:54">
      <c r="B117" s="6" t="s">
        <v>102</v>
      </c>
      <c r="C117" s="52"/>
      <c r="D117" s="89">
        <f t="shared" si="29"/>
        <v>0</v>
      </c>
      <c r="E117" s="89">
        <f t="shared" si="29"/>
        <v>0</v>
      </c>
      <c r="F117" s="89">
        <f t="shared" si="29"/>
        <v>0</v>
      </c>
      <c r="G117" s="89">
        <f t="shared" si="29"/>
        <v>0</v>
      </c>
      <c r="H117" s="89">
        <f t="shared" si="29"/>
        <v>0</v>
      </c>
      <c r="I117" s="89">
        <f t="shared" si="29"/>
        <v>0</v>
      </c>
      <c r="J117" s="89">
        <f t="shared" si="29"/>
        <v>0</v>
      </c>
      <c r="K117" s="89">
        <f t="shared" si="29"/>
        <v>0</v>
      </c>
      <c r="L117" s="89">
        <f t="shared" si="29"/>
        <v>0</v>
      </c>
      <c r="M117" s="89">
        <f t="shared" si="29"/>
        <v>0</v>
      </c>
      <c r="N117" s="89">
        <f t="shared" si="29"/>
        <v>0</v>
      </c>
      <c r="O117" s="89">
        <f t="shared" si="29"/>
        <v>0</v>
      </c>
      <c r="P117" s="89">
        <f t="shared" si="29"/>
        <v>0</v>
      </c>
      <c r="Q117" s="89">
        <f t="shared" si="29"/>
        <v>0</v>
      </c>
      <c r="R117" s="89">
        <f t="shared" si="29"/>
        <v>0</v>
      </c>
      <c r="S117" s="89">
        <f t="shared" si="29"/>
        <v>0</v>
      </c>
      <c r="T117" s="89">
        <f t="shared" si="7"/>
        <v>0</v>
      </c>
      <c r="U117" s="89">
        <f t="shared" si="7"/>
        <v>0</v>
      </c>
      <c r="V117" s="89">
        <f t="shared" si="7"/>
        <v>0</v>
      </c>
      <c r="W117" s="89">
        <f t="shared" si="7"/>
        <v>0</v>
      </c>
      <c r="X117" s="89">
        <f t="shared" si="7"/>
        <v>0</v>
      </c>
      <c r="Y117" s="89">
        <f t="shared" si="7"/>
        <v>0</v>
      </c>
      <c r="Z117" s="89">
        <f t="shared" si="7"/>
        <v>0</v>
      </c>
      <c r="AA117" s="89">
        <f t="shared" si="7"/>
        <v>0</v>
      </c>
      <c r="AB117" s="89">
        <f t="shared" si="7"/>
        <v>0</v>
      </c>
      <c r="AC117" s="89">
        <f t="shared" si="7"/>
        <v>0</v>
      </c>
      <c r="AD117" s="89">
        <f t="shared" si="7"/>
        <v>0</v>
      </c>
      <c r="AE117" s="89">
        <f t="shared" si="7"/>
        <v>0</v>
      </c>
      <c r="AF117" s="89">
        <f t="shared" si="7"/>
        <v>0</v>
      </c>
      <c r="AG117" s="89">
        <f t="shared" si="8"/>
        <v>0</v>
      </c>
      <c r="AH117" s="89">
        <f t="shared" si="9"/>
        <v>0</v>
      </c>
      <c r="AI117" s="89">
        <f t="shared" si="10"/>
        <v>0</v>
      </c>
      <c r="AJ117" s="89">
        <f t="shared" si="11"/>
        <v>0</v>
      </c>
      <c r="AK117" s="89">
        <f t="shared" si="12"/>
        <v>0</v>
      </c>
      <c r="AL117" s="89">
        <f t="shared" si="13"/>
        <v>0</v>
      </c>
      <c r="AM117" s="89">
        <f t="shared" si="14"/>
        <v>0</v>
      </c>
      <c r="AN117" s="89">
        <f t="shared" si="15"/>
        <v>0</v>
      </c>
      <c r="AO117" s="89">
        <f t="shared" si="16"/>
        <v>0</v>
      </c>
      <c r="AP117" s="89">
        <f t="shared" si="16"/>
        <v>0</v>
      </c>
      <c r="AQ117" s="89">
        <f t="shared" si="17"/>
        <v>0</v>
      </c>
      <c r="AR117" s="89">
        <f t="shared" si="18"/>
        <v>0</v>
      </c>
      <c r="AS117" s="89">
        <f t="shared" si="19"/>
        <v>0</v>
      </c>
      <c r="AT117" s="89">
        <f t="shared" si="20"/>
        <v>0</v>
      </c>
      <c r="AU117" s="89">
        <f t="shared" si="21"/>
        <v>0</v>
      </c>
      <c r="AV117" s="89">
        <f t="shared" si="22"/>
        <v>0</v>
      </c>
      <c r="AW117" s="89">
        <f t="shared" si="23"/>
        <v>0</v>
      </c>
      <c r="AX117" s="89">
        <f t="shared" si="24"/>
        <v>0</v>
      </c>
      <c r="AY117" s="89">
        <f t="shared" si="25"/>
        <v>0</v>
      </c>
      <c r="AZ117" s="89">
        <f t="shared" si="26"/>
        <v>0</v>
      </c>
      <c r="BA117" s="89">
        <f t="shared" si="27"/>
        <v>0</v>
      </c>
      <c r="BB117" s="89">
        <f t="shared" si="28"/>
        <v>0</v>
      </c>
    </row>
    <row r="118" spans="1:54">
      <c r="B118" s="6" t="s">
        <v>2831</v>
      </c>
      <c r="C118" s="52"/>
      <c r="D118" s="89">
        <f t="shared" si="29"/>
        <v>0</v>
      </c>
      <c r="E118" s="89">
        <f t="shared" si="29"/>
        <v>0</v>
      </c>
      <c r="F118" s="89">
        <f t="shared" si="29"/>
        <v>0</v>
      </c>
      <c r="G118" s="89">
        <f t="shared" si="29"/>
        <v>0</v>
      </c>
      <c r="H118" s="89">
        <f t="shared" si="29"/>
        <v>0</v>
      </c>
      <c r="I118" s="89">
        <f t="shared" si="29"/>
        <v>0</v>
      </c>
      <c r="J118" s="89">
        <f t="shared" si="29"/>
        <v>0</v>
      </c>
      <c r="K118" s="89">
        <f t="shared" si="29"/>
        <v>0</v>
      </c>
      <c r="L118" s="89">
        <f t="shared" si="29"/>
        <v>0</v>
      </c>
      <c r="M118" s="89">
        <f t="shared" si="29"/>
        <v>0</v>
      </c>
      <c r="N118" s="89">
        <f t="shared" si="29"/>
        <v>0</v>
      </c>
      <c r="O118" s="89">
        <f t="shared" si="29"/>
        <v>0</v>
      </c>
      <c r="P118" s="89">
        <f t="shared" si="29"/>
        <v>0</v>
      </c>
      <c r="Q118" s="89">
        <f t="shared" si="29"/>
        <v>0</v>
      </c>
      <c r="R118" s="89">
        <f t="shared" si="29"/>
        <v>0</v>
      </c>
      <c r="S118" s="89">
        <f t="shared" si="29"/>
        <v>0</v>
      </c>
      <c r="T118" s="89">
        <f t="shared" si="7"/>
        <v>0</v>
      </c>
      <c r="U118" s="89">
        <f t="shared" si="7"/>
        <v>0</v>
      </c>
      <c r="V118" s="89">
        <f t="shared" si="7"/>
        <v>0</v>
      </c>
      <c r="W118" s="89">
        <f t="shared" si="7"/>
        <v>0</v>
      </c>
      <c r="X118" s="89">
        <f t="shared" si="7"/>
        <v>0</v>
      </c>
      <c r="Y118" s="89">
        <f t="shared" si="7"/>
        <v>0</v>
      </c>
      <c r="Z118" s="89">
        <f t="shared" si="7"/>
        <v>0</v>
      </c>
      <c r="AA118" s="89">
        <f t="shared" si="7"/>
        <v>0</v>
      </c>
      <c r="AB118" s="89">
        <f t="shared" si="7"/>
        <v>0</v>
      </c>
      <c r="AC118" s="89">
        <f t="shared" si="7"/>
        <v>0</v>
      </c>
      <c r="AD118" s="89">
        <f t="shared" si="7"/>
        <v>0</v>
      </c>
      <c r="AE118" s="89">
        <f t="shared" si="7"/>
        <v>0</v>
      </c>
      <c r="AF118" s="89">
        <f t="shared" si="7"/>
        <v>0</v>
      </c>
      <c r="AG118" s="89">
        <f t="shared" si="8"/>
        <v>0</v>
      </c>
      <c r="AH118" s="89">
        <f t="shared" si="9"/>
        <v>0</v>
      </c>
      <c r="AI118" s="89">
        <f t="shared" si="10"/>
        <v>0</v>
      </c>
      <c r="AJ118" s="89">
        <f t="shared" si="11"/>
        <v>0</v>
      </c>
      <c r="AK118" s="89">
        <f t="shared" si="12"/>
        <v>0</v>
      </c>
      <c r="AL118" s="89">
        <f t="shared" si="13"/>
        <v>0</v>
      </c>
      <c r="AM118" s="89">
        <f t="shared" si="14"/>
        <v>0</v>
      </c>
      <c r="AN118" s="89">
        <f t="shared" si="15"/>
        <v>0</v>
      </c>
      <c r="AO118" s="89">
        <f t="shared" si="16"/>
        <v>0</v>
      </c>
      <c r="AP118" s="89">
        <f t="shared" si="16"/>
        <v>0</v>
      </c>
      <c r="AQ118" s="89">
        <f t="shared" si="17"/>
        <v>0</v>
      </c>
      <c r="AR118" s="89">
        <f t="shared" si="18"/>
        <v>0</v>
      </c>
      <c r="AS118" s="89">
        <f t="shared" si="19"/>
        <v>0</v>
      </c>
      <c r="AT118" s="89">
        <f t="shared" si="20"/>
        <v>0</v>
      </c>
      <c r="AU118" s="89">
        <f t="shared" si="21"/>
        <v>0</v>
      </c>
      <c r="AV118" s="89">
        <f t="shared" si="22"/>
        <v>0</v>
      </c>
      <c r="AW118" s="89">
        <f t="shared" si="23"/>
        <v>0</v>
      </c>
      <c r="AX118" s="89">
        <f t="shared" si="24"/>
        <v>0</v>
      </c>
      <c r="AY118" s="89">
        <f t="shared" si="25"/>
        <v>0</v>
      </c>
      <c r="AZ118" s="89">
        <f t="shared" si="26"/>
        <v>0</v>
      </c>
      <c r="BA118" s="89">
        <f t="shared" si="27"/>
        <v>0</v>
      </c>
      <c r="BB118" s="89">
        <f t="shared" si="28"/>
        <v>0</v>
      </c>
    </row>
    <row r="119" spans="1:54">
      <c r="B119" s="6" t="s">
        <v>2832</v>
      </c>
      <c r="C119" s="52"/>
      <c r="D119" s="89">
        <f t="shared" si="29"/>
        <v>0</v>
      </c>
      <c r="E119" s="89">
        <f t="shared" si="29"/>
        <v>0</v>
      </c>
      <c r="F119" s="89">
        <f t="shared" si="29"/>
        <v>0</v>
      </c>
      <c r="G119" s="89">
        <f t="shared" si="29"/>
        <v>0</v>
      </c>
      <c r="H119" s="89">
        <f t="shared" si="29"/>
        <v>0</v>
      </c>
      <c r="I119" s="89">
        <f t="shared" si="29"/>
        <v>0</v>
      </c>
      <c r="J119" s="89">
        <f t="shared" si="29"/>
        <v>0</v>
      </c>
      <c r="K119" s="89">
        <f t="shared" si="29"/>
        <v>0</v>
      </c>
      <c r="L119" s="89">
        <f t="shared" si="29"/>
        <v>0</v>
      </c>
      <c r="M119" s="89">
        <f t="shared" si="29"/>
        <v>0</v>
      </c>
      <c r="N119" s="89">
        <f t="shared" si="29"/>
        <v>0</v>
      </c>
      <c r="O119" s="89">
        <f t="shared" si="29"/>
        <v>0</v>
      </c>
      <c r="P119" s="89">
        <f t="shared" si="29"/>
        <v>0</v>
      </c>
      <c r="Q119" s="89">
        <f t="shared" si="29"/>
        <v>0</v>
      </c>
      <c r="R119" s="89">
        <f t="shared" si="29"/>
        <v>0</v>
      </c>
      <c r="S119" s="89">
        <f t="shared" ref="S119:AF120" si="30">SUMIFS($C$90:$C$98,$B$90:$B$98,$B119)*R$84</f>
        <v>0</v>
      </c>
      <c r="T119" s="89">
        <f t="shared" si="30"/>
        <v>0</v>
      </c>
      <c r="U119" s="89">
        <f t="shared" si="30"/>
        <v>0</v>
      </c>
      <c r="V119" s="89">
        <f t="shared" si="30"/>
        <v>0</v>
      </c>
      <c r="W119" s="89">
        <f t="shared" si="30"/>
        <v>0</v>
      </c>
      <c r="X119" s="89">
        <f t="shared" si="30"/>
        <v>0</v>
      </c>
      <c r="Y119" s="89">
        <f t="shared" si="30"/>
        <v>0</v>
      </c>
      <c r="Z119" s="89">
        <f t="shared" si="30"/>
        <v>0</v>
      </c>
      <c r="AA119" s="89">
        <f t="shared" si="30"/>
        <v>0</v>
      </c>
      <c r="AB119" s="89">
        <f t="shared" si="30"/>
        <v>0</v>
      </c>
      <c r="AC119" s="89">
        <f t="shared" si="30"/>
        <v>0</v>
      </c>
      <c r="AD119" s="89">
        <f t="shared" si="30"/>
        <v>0</v>
      </c>
      <c r="AE119" s="89">
        <f t="shared" si="30"/>
        <v>0</v>
      </c>
      <c r="AF119" s="89">
        <f t="shared" si="30"/>
        <v>0</v>
      </c>
      <c r="AG119" s="89">
        <f t="shared" si="8"/>
        <v>0</v>
      </c>
      <c r="AH119" s="89">
        <f t="shared" si="9"/>
        <v>0</v>
      </c>
      <c r="AI119" s="89">
        <f t="shared" si="10"/>
        <v>0</v>
      </c>
      <c r="AJ119" s="89">
        <f t="shared" si="11"/>
        <v>0</v>
      </c>
      <c r="AK119" s="89">
        <f t="shared" si="12"/>
        <v>0</v>
      </c>
      <c r="AL119" s="89">
        <f t="shared" si="13"/>
        <v>0</v>
      </c>
      <c r="AM119" s="89">
        <f t="shared" si="14"/>
        <v>0</v>
      </c>
      <c r="AN119" s="89">
        <f t="shared" si="15"/>
        <v>0</v>
      </c>
      <c r="AO119" s="89">
        <f t="shared" si="16"/>
        <v>0</v>
      </c>
      <c r="AP119" s="89">
        <f t="shared" si="16"/>
        <v>0</v>
      </c>
      <c r="AQ119" s="89">
        <f t="shared" si="17"/>
        <v>0</v>
      </c>
      <c r="AR119" s="89">
        <f t="shared" si="18"/>
        <v>0</v>
      </c>
      <c r="AS119" s="89">
        <f t="shared" si="19"/>
        <v>0</v>
      </c>
      <c r="AT119" s="89">
        <f t="shared" si="20"/>
        <v>0</v>
      </c>
      <c r="AU119" s="89">
        <f t="shared" si="21"/>
        <v>0</v>
      </c>
      <c r="AV119" s="89">
        <f t="shared" si="22"/>
        <v>0</v>
      </c>
      <c r="AW119" s="89">
        <f t="shared" si="23"/>
        <v>0</v>
      </c>
      <c r="AX119" s="89">
        <f t="shared" si="24"/>
        <v>0</v>
      </c>
      <c r="AY119" s="89">
        <f t="shared" si="25"/>
        <v>0</v>
      </c>
      <c r="AZ119" s="89">
        <f t="shared" si="26"/>
        <v>0</v>
      </c>
      <c r="BA119" s="89">
        <f t="shared" si="27"/>
        <v>0</v>
      </c>
      <c r="BB119" s="89">
        <f t="shared" si="28"/>
        <v>0</v>
      </c>
    </row>
    <row r="120" spans="1:54">
      <c r="B120" s="6" t="s">
        <v>2871</v>
      </c>
      <c r="C120" s="52"/>
      <c r="D120" s="89">
        <f t="shared" ref="D120:S120" si="31">SUMIFS($C$90:$C$98,$B$90:$B$98,$B120)*C$84</f>
        <v>0</v>
      </c>
      <c r="E120" s="89">
        <f t="shared" si="31"/>
        <v>0</v>
      </c>
      <c r="F120" s="89">
        <f t="shared" si="31"/>
        <v>0</v>
      </c>
      <c r="G120" s="89">
        <f t="shared" si="31"/>
        <v>0</v>
      </c>
      <c r="H120" s="89">
        <f t="shared" si="31"/>
        <v>0</v>
      </c>
      <c r="I120" s="89">
        <f t="shared" si="31"/>
        <v>0</v>
      </c>
      <c r="J120" s="89">
        <f t="shared" si="31"/>
        <v>0</v>
      </c>
      <c r="K120" s="89">
        <f t="shared" si="31"/>
        <v>0</v>
      </c>
      <c r="L120" s="89">
        <f t="shared" si="31"/>
        <v>0</v>
      </c>
      <c r="M120" s="89">
        <f t="shared" si="31"/>
        <v>0</v>
      </c>
      <c r="N120" s="89">
        <f t="shared" si="31"/>
        <v>0</v>
      </c>
      <c r="O120" s="89">
        <f t="shared" si="31"/>
        <v>0</v>
      </c>
      <c r="P120" s="89">
        <f t="shared" si="31"/>
        <v>0</v>
      </c>
      <c r="Q120" s="89">
        <f t="shared" si="31"/>
        <v>0</v>
      </c>
      <c r="R120" s="89">
        <f t="shared" si="31"/>
        <v>0</v>
      </c>
      <c r="S120" s="89">
        <f t="shared" si="31"/>
        <v>0</v>
      </c>
      <c r="T120" s="89">
        <f t="shared" si="30"/>
        <v>0</v>
      </c>
      <c r="U120" s="89">
        <f t="shared" si="30"/>
        <v>0</v>
      </c>
      <c r="V120" s="89">
        <f t="shared" si="30"/>
        <v>0</v>
      </c>
      <c r="W120" s="89">
        <f t="shared" si="30"/>
        <v>0</v>
      </c>
      <c r="X120" s="89">
        <f t="shared" si="30"/>
        <v>0</v>
      </c>
      <c r="Y120" s="89">
        <f t="shared" si="30"/>
        <v>0</v>
      </c>
      <c r="Z120" s="89">
        <f t="shared" si="30"/>
        <v>0</v>
      </c>
      <c r="AA120" s="89">
        <f t="shared" si="30"/>
        <v>0</v>
      </c>
      <c r="AB120" s="89">
        <f t="shared" si="30"/>
        <v>0</v>
      </c>
      <c r="AC120" s="89">
        <f t="shared" si="30"/>
        <v>0</v>
      </c>
      <c r="AD120" s="89">
        <f t="shared" si="30"/>
        <v>0</v>
      </c>
      <c r="AE120" s="89">
        <f t="shared" si="30"/>
        <v>0</v>
      </c>
      <c r="AF120" s="89">
        <f t="shared" si="30"/>
        <v>0</v>
      </c>
      <c r="AG120" s="89">
        <f t="shared" si="8"/>
        <v>0</v>
      </c>
      <c r="AH120" s="89">
        <f t="shared" si="9"/>
        <v>0</v>
      </c>
      <c r="AI120" s="89">
        <f t="shared" si="10"/>
        <v>0</v>
      </c>
      <c r="AJ120" s="89">
        <f t="shared" si="11"/>
        <v>0</v>
      </c>
      <c r="AK120" s="89">
        <f t="shared" si="12"/>
        <v>0</v>
      </c>
      <c r="AL120" s="89">
        <f t="shared" si="13"/>
        <v>0</v>
      </c>
      <c r="AM120" s="89">
        <f t="shared" si="14"/>
        <v>0</v>
      </c>
      <c r="AN120" s="89">
        <f t="shared" si="15"/>
        <v>0</v>
      </c>
      <c r="AO120" s="89">
        <f t="shared" si="16"/>
        <v>0</v>
      </c>
      <c r="AP120" s="89">
        <f t="shared" si="16"/>
        <v>0</v>
      </c>
      <c r="AQ120" s="89">
        <f t="shared" si="17"/>
        <v>0</v>
      </c>
      <c r="AR120" s="89">
        <f t="shared" si="18"/>
        <v>0</v>
      </c>
      <c r="AS120" s="89">
        <f t="shared" si="19"/>
        <v>0</v>
      </c>
      <c r="AT120" s="89">
        <f t="shared" si="20"/>
        <v>0</v>
      </c>
      <c r="AU120" s="89">
        <f t="shared" si="21"/>
        <v>0</v>
      </c>
      <c r="AV120" s="89">
        <f t="shared" si="22"/>
        <v>0</v>
      </c>
      <c r="AW120" s="89">
        <f t="shared" si="23"/>
        <v>0</v>
      </c>
      <c r="AX120" s="89">
        <f t="shared" si="24"/>
        <v>0</v>
      </c>
      <c r="AY120" s="89">
        <f t="shared" si="25"/>
        <v>0</v>
      </c>
      <c r="AZ120" s="89">
        <f t="shared" si="26"/>
        <v>0</v>
      </c>
      <c r="BA120" s="89">
        <f t="shared" si="27"/>
        <v>0</v>
      </c>
      <c r="BB120" s="89">
        <f t="shared" si="28"/>
        <v>0</v>
      </c>
    </row>
    <row r="121" spans="1:54">
      <c r="B121" s="52"/>
      <c r="C121" s="52"/>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row>
    <row r="122" spans="1:54">
      <c r="B122" s="52"/>
      <c r="C122" s="52"/>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row>
    <row r="123" spans="1:54">
      <c r="A123" s="9"/>
      <c r="B123" s="9"/>
    </row>
    <row r="124" spans="1:54" s="588" customFormat="1">
      <c r="A124" s="593" t="s">
        <v>10</v>
      </c>
      <c r="B124" s="593" t="s">
        <v>2916</v>
      </c>
    </row>
    <row r="126" spans="1:54">
      <c r="B126" s="9" t="s">
        <v>97</v>
      </c>
    </row>
    <row r="128" spans="1:54">
      <c r="B128" s="7" t="s">
        <v>9</v>
      </c>
      <c r="D128" s="34">
        <f>'Prevalence projection'!C$21</f>
        <v>2020</v>
      </c>
      <c r="E128" s="34">
        <f>'Prevalence projection'!D$21</f>
        <v>2021</v>
      </c>
      <c r="F128" s="34">
        <f>'Prevalence projection'!E$21</f>
        <v>2022</v>
      </c>
      <c r="G128" s="34">
        <f>'Prevalence projection'!F$21</f>
        <v>2023</v>
      </c>
      <c r="H128" s="34">
        <f>'Prevalence projection'!G$21</f>
        <v>2024</v>
      </c>
      <c r="I128" s="34">
        <f>'Prevalence projection'!H$21</f>
        <v>2025</v>
      </c>
      <c r="J128" s="34">
        <f>'Prevalence projection'!I$21</f>
        <v>2026</v>
      </c>
      <c r="K128" s="34">
        <f>'Prevalence projection'!J$21</f>
        <v>2027</v>
      </c>
      <c r="L128" s="34">
        <f>'Prevalence projection'!K$21</f>
        <v>2028</v>
      </c>
      <c r="M128" s="34">
        <f>'Prevalence projection'!L$21</f>
        <v>2029</v>
      </c>
      <c r="N128" s="34">
        <f>'Prevalence projection'!M$21</f>
        <v>2030</v>
      </c>
      <c r="O128" s="34">
        <f>'Prevalence projection'!N$21</f>
        <v>2031</v>
      </c>
      <c r="P128" s="34">
        <f>'Prevalence projection'!O$21</f>
        <v>2032</v>
      </c>
      <c r="Q128" s="34">
        <f>'Prevalence projection'!P$21</f>
        <v>2033</v>
      </c>
      <c r="R128" s="34">
        <f>'Prevalence projection'!Q$21</f>
        <v>2034</v>
      </c>
      <c r="S128" s="34">
        <f>'Prevalence projection'!R$21</f>
        <v>2035</v>
      </c>
      <c r="T128" s="34">
        <f>'Prevalence projection'!S$21</f>
        <v>2036</v>
      </c>
      <c r="U128" s="34">
        <f>'Prevalence projection'!T$21</f>
        <v>2037</v>
      </c>
      <c r="V128" s="34">
        <f>'Prevalence projection'!U$21</f>
        <v>2038</v>
      </c>
      <c r="W128" s="34">
        <f>'Prevalence projection'!V$21</f>
        <v>2039</v>
      </c>
      <c r="X128" s="34">
        <f>'Prevalence projection'!W$21</f>
        <v>2040</v>
      </c>
      <c r="Y128" s="34">
        <f>'Prevalence projection'!X$21</f>
        <v>2041</v>
      </c>
      <c r="Z128" s="34">
        <f>'Prevalence projection'!Y$21</f>
        <v>2042</v>
      </c>
      <c r="AA128" s="34">
        <f>'Prevalence projection'!Z$21</f>
        <v>2043</v>
      </c>
      <c r="AB128" s="34">
        <f>'Prevalence projection'!AA$21</f>
        <v>2044</v>
      </c>
      <c r="AC128" s="34">
        <f>'Prevalence projection'!AB$21</f>
        <v>2045</v>
      </c>
      <c r="AD128" s="34">
        <f>'Prevalence projection'!AC$21</f>
        <v>2046</v>
      </c>
      <c r="AE128" s="34">
        <f>'Prevalence projection'!AD$21</f>
        <v>2047</v>
      </c>
      <c r="AF128" s="34">
        <f>'Prevalence projection'!AE$21</f>
        <v>2048</v>
      </c>
      <c r="AG128" s="34">
        <f>'Prevalence projection'!AF$21</f>
        <v>2049</v>
      </c>
      <c r="AH128" s="34">
        <f>'Prevalence projection'!AG$21</f>
        <v>2050</v>
      </c>
      <c r="AI128" s="34">
        <f>'Prevalence projection'!AH$21</f>
        <v>2051</v>
      </c>
      <c r="AJ128" s="34">
        <f>'Prevalence projection'!AI$21</f>
        <v>2052</v>
      </c>
      <c r="AK128" s="34">
        <f>'Prevalence projection'!AJ$21</f>
        <v>2053</v>
      </c>
      <c r="AL128" s="34">
        <f>'Prevalence projection'!AK$21</f>
        <v>2054</v>
      </c>
      <c r="AM128" s="34">
        <f>'Prevalence projection'!AL$21</f>
        <v>2055</v>
      </c>
      <c r="AN128" s="34">
        <f>'Prevalence projection'!AM$21</f>
        <v>2056</v>
      </c>
      <c r="AO128" s="34">
        <f>'Prevalence projection'!AN$21</f>
        <v>2057</v>
      </c>
      <c r="AP128" s="34">
        <f>'Prevalence projection'!AO$21</f>
        <v>2058</v>
      </c>
      <c r="AQ128" s="34">
        <f>'Prevalence projection'!AP$21</f>
        <v>2059</v>
      </c>
      <c r="AR128" s="34">
        <f>'Prevalence projection'!AQ$21</f>
        <v>2060</v>
      </c>
      <c r="AS128" s="34">
        <f>'Prevalence projection'!AR$21</f>
        <v>2061</v>
      </c>
      <c r="AT128" s="34">
        <f>'Prevalence projection'!AS$21</f>
        <v>2062</v>
      </c>
      <c r="AU128" s="34">
        <f>'Prevalence projection'!AT$21</f>
        <v>2063</v>
      </c>
      <c r="AV128" s="34">
        <f>'Prevalence projection'!AU$21</f>
        <v>2064</v>
      </c>
      <c r="AW128" s="34">
        <f>'Prevalence projection'!AV$21</f>
        <v>2065</v>
      </c>
      <c r="AX128" s="34">
        <f>'Prevalence projection'!AW$21</f>
        <v>2066</v>
      </c>
      <c r="AY128" s="34">
        <f>'Prevalence projection'!AX$21</f>
        <v>2067</v>
      </c>
      <c r="AZ128" s="34">
        <f>'Prevalence projection'!AY$21</f>
        <v>2068</v>
      </c>
      <c r="BA128" s="34">
        <f>'Prevalence projection'!AZ$21</f>
        <v>2069</v>
      </c>
      <c r="BB128" s="34">
        <f>'Prevalence projection'!BA$21</f>
        <v>2070</v>
      </c>
    </row>
    <row r="129" spans="2:54">
      <c r="B129" s="6" t="s">
        <v>11</v>
      </c>
      <c r="D129" s="89">
        <f t="shared" ref="D129:AF137" si="32">(INDEX($C$58:$C$75,MATCH($B129,$B$58:$B$75,0))*C$13)+D103</f>
        <v>0</v>
      </c>
      <c r="E129" s="89">
        <f t="shared" si="32"/>
        <v>0</v>
      </c>
      <c r="F129" s="89">
        <f t="shared" si="32"/>
        <v>0</v>
      </c>
      <c r="G129" s="89">
        <f t="shared" si="32"/>
        <v>0</v>
      </c>
      <c r="H129" s="89">
        <f t="shared" si="32"/>
        <v>0</v>
      </c>
      <c r="I129" s="89">
        <f t="shared" si="32"/>
        <v>0</v>
      </c>
      <c r="J129" s="89">
        <f t="shared" si="32"/>
        <v>0</v>
      </c>
      <c r="K129" s="89">
        <f t="shared" si="32"/>
        <v>0</v>
      </c>
      <c r="L129" s="89">
        <f t="shared" si="32"/>
        <v>0</v>
      </c>
      <c r="M129" s="89">
        <f t="shared" si="32"/>
        <v>0</v>
      </c>
      <c r="N129" s="89">
        <f t="shared" si="32"/>
        <v>0</v>
      </c>
      <c r="O129" s="89">
        <f t="shared" si="32"/>
        <v>0</v>
      </c>
      <c r="P129" s="89">
        <f t="shared" si="32"/>
        <v>0</v>
      </c>
      <c r="Q129" s="89">
        <f t="shared" si="32"/>
        <v>0</v>
      </c>
      <c r="R129" s="89">
        <f t="shared" si="32"/>
        <v>0</v>
      </c>
      <c r="S129" s="89">
        <f t="shared" si="32"/>
        <v>0</v>
      </c>
      <c r="T129" s="89">
        <f t="shared" si="32"/>
        <v>0</v>
      </c>
      <c r="U129" s="89">
        <f t="shared" si="32"/>
        <v>0</v>
      </c>
      <c r="V129" s="89">
        <f t="shared" si="32"/>
        <v>0</v>
      </c>
      <c r="W129" s="89">
        <f t="shared" si="32"/>
        <v>0</v>
      </c>
      <c r="X129" s="89">
        <f t="shared" si="32"/>
        <v>0</v>
      </c>
      <c r="Y129" s="89">
        <f t="shared" si="32"/>
        <v>0</v>
      </c>
      <c r="Z129" s="89">
        <f t="shared" si="32"/>
        <v>0</v>
      </c>
      <c r="AA129" s="89">
        <f t="shared" si="32"/>
        <v>0</v>
      </c>
      <c r="AB129" s="89">
        <f t="shared" si="32"/>
        <v>0</v>
      </c>
      <c r="AC129" s="89">
        <f t="shared" si="32"/>
        <v>0</v>
      </c>
      <c r="AD129" s="89">
        <f t="shared" si="32"/>
        <v>0</v>
      </c>
      <c r="AE129" s="89">
        <f t="shared" si="32"/>
        <v>0</v>
      </c>
      <c r="AF129" s="89">
        <f t="shared" si="32"/>
        <v>0</v>
      </c>
      <c r="AG129" s="89">
        <f t="shared" ref="AG129:AP144" si="33">(INDEX($C$58:$C$75,MATCH($B129,$B$58:$B$75,0))*AF$13)+AG103</f>
        <v>0</v>
      </c>
      <c r="AH129" s="89">
        <f t="shared" si="33"/>
        <v>0</v>
      </c>
      <c r="AI129" s="89">
        <f t="shared" si="33"/>
        <v>0</v>
      </c>
      <c r="AJ129" s="89">
        <f t="shared" si="33"/>
        <v>0</v>
      </c>
      <c r="AK129" s="89">
        <f t="shared" si="33"/>
        <v>0</v>
      </c>
      <c r="AL129" s="89">
        <f t="shared" si="33"/>
        <v>0</v>
      </c>
      <c r="AM129" s="89">
        <f t="shared" si="33"/>
        <v>0</v>
      </c>
      <c r="AN129" s="89">
        <f t="shared" si="33"/>
        <v>0</v>
      </c>
      <c r="AO129" s="89">
        <f t="shared" si="33"/>
        <v>0</v>
      </c>
      <c r="AP129" s="89">
        <f t="shared" si="33"/>
        <v>0</v>
      </c>
      <c r="AQ129" s="89">
        <f t="shared" ref="AQ129:AQ146" si="34">(INDEX($C$58:$C$75,MATCH($B129,$B$58:$B$75,0))*AP$13)+AQ103</f>
        <v>0</v>
      </c>
      <c r="AR129" s="89">
        <f t="shared" ref="AR129:AR146" si="35">(INDEX($C$58:$C$75,MATCH($B129,$B$58:$B$75,0))*AQ$13)+AR103</f>
        <v>0</v>
      </c>
      <c r="AS129" s="89">
        <f t="shared" ref="AS129:AS146" si="36">(INDEX($C$58:$C$75,MATCH($B129,$B$58:$B$75,0))*AR$13)+AS103</f>
        <v>0</v>
      </c>
      <c r="AT129" s="89">
        <f t="shared" ref="AT129:AT146" si="37">(INDEX($C$58:$C$75,MATCH($B129,$B$58:$B$75,0))*AS$13)+AT103</f>
        <v>0</v>
      </c>
      <c r="AU129" s="89">
        <f t="shared" ref="AU129:AU146" si="38">(INDEX($C$58:$C$75,MATCH($B129,$B$58:$B$75,0))*AT$13)+AU103</f>
        <v>0</v>
      </c>
      <c r="AV129" s="89">
        <f t="shared" ref="AV129:AV146" si="39">(INDEX($C$58:$C$75,MATCH($B129,$B$58:$B$75,0))*AU$13)+AV103</f>
        <v>0</v>
      </c>
      <c r="AW129" s="89">
        <f t="shared" ref="AW129:AW146" si="40">(INDEX($C$58:$C$75,MATCH($B129,$B$58:$B$75,0))*AV$13)+AW103</f>
        <v>0</v>
      </c>
      <c r="AX129" s="89">
        <f t="shared" ref="AX129:AX146" si="41">(INDEX($C$58:$C$75,MATCH($B129,$B$58:$B$75,0))*AW$13)+AX103</f>
        <v>0</v>
      </c>
      <c r="AY129" s="89">
        <f t="shared" ref="AY129:AY146" si="42">(INDEX($C$58:$C$75,MATCH($B129,$B$58:$B$75,0))*AX$13)+AY103</f>
        <v>0</v>
      </c>
      <c r="AZ129" s="89">
        <f t="shared" ref="AZ129:AZ146" si="43">(INDEX($C$58:$C$75,MATCH($B129,$B$58:$B$75,0))*AY$13)+AZ103</f>
        <v>0</v>
      </c>
      <c r="BA129" s="89">
        <f t="shared" ref="BA129:BA146" si="44">(INDEX($C$58:$C$75,MATCH($B129,$B$58:$B$75,0))*AZ$13)+BA103</f>
        <v>0</v>
      </c>
      <c r="BB129" s="89">
        <f t="shared" ref="BB129:BB146" si="45">(INDEX($C$58:$C$75,MATCH($B129,$B$58:$B$75,0))*BA$13)+BB103</f>
        <v>0</v>
      </c>
    </row>
    <row r="130" spans="2:54">
      <c r="B130" s="6" t="s">
        <v>14</v>
      </c>
      <c r="D130" s="89">
        <f t="shared" si="32"/>
        <v>0</v>
      </c>
      <c r="E130" s="89">
        <f t="shared" si="32"/>
        <v>0</v>
      </c>
      <c r="F130" s="89">
        <f t="shared" si="32"/>
        <v>0</v>
      </c>
      <c r="G130" s="89">
        <f t="shared" si="32"/>
        <v>0</v>
      </c>
      <c r="H130" s="89">
        <f t="shared" si="32"/>
        <v>0</v>
      </c>
      <c r="I130" s="89">
        <f t="shared" si="32"/>
        <v>0</v>
      </c>
      <c r="J130" s="89">
        <f t="shared" si="32"/>
        <v>0</v>
      </c>
      <c r="K130" s="89">
        <f t="shared" si="32"/>
        <v>0</v>
      </c>
      <c r="L130" s="89">
        <f t="shared" si="32"/>
        <v>0</v>
      </c>
      <c r="M130" s="89">
        <f t="shared" si="32"/>
        <v>0</v>
      </c>
      <c r="N130" s="89">
        <f t="shared" si="32"/>
        <v>0</v>
      </c>
      <c r="O130" s="89">
        <f t="shared" si="32"/>
        <v>0</v>
      </c>
      <c r="P130" s="89">
        <f t="shared" si="32"/>
        <v>0</v>
      </c>
      <c r="Q130" s="89">
        <f t="shared" si="32"/>
        <v>0</v>
      </c>
      <c r="R130" s="89">
        <f t="shared" si="32"/>
        <v>0</v>
      </c>
      <c r="S130" s="89">
        <f t="shared" si="32"/>
        <v>0</v>
      </c>
      <c r="T130" s="89">
        <f t="shared" si="32"/>
        <v>0</v>
      </c>
      <c r="U130" s="89">
        <f t="shared" si="32"/>
        <v>0</v>
      </c>
      <c r="V130" s="89">
        <f t="shared" si="32"/>
        <v>0</v>
      </c>
      <c r="W130" s="89">
        <f t="shared" si="32"/>
        <v>0</v>
      </c>
      <c r="X130" s="89">
        <f t="shared" si="32"/>
        <v>0</v>
      </c>
      <c r="Y130" s="89">
        <f t="shared" si="32"/>
        <v>0</v>
      </c>
      <c r="Z130" s="89">
        <f t="shared" si="32"/>
        <v>0</v>
      </c>
      <c r="AA130" s="89">
        <f t="shared" si="32"/>
        <v>0</v>
      </c>
      <c r="AB130" s="89">
        <f t="shared" si="32"/>
        <v>0</v>
      </c>
      <c r="AC130" s="89">
        <f t="shared" si="32"/>
        <v>0</v>
      </c>
      <c r="AD130" s="89">
        <f t="shared" si="32"/>
        <v>0</v>
      </c>
      <c r="AE130" s="89">
        <f t="shared" si="32"/>
        <v>0</v>
      </c>
      <c r="AF130" s="89">
        <f t="shared" si="32"/>
        <v>0</v>
      </c>
      <c r="AG130" s="89">
        <f t="shared" si="33"/>
        <v>0</v>
      </c>
      <c r="AH130" s="89">
        <f t="shared" si="33"/>
        <v>0</v>
      </c>
      <c r="AI130" s="89">
        <f t="shared" si="33"/>
        <v>0</v>
      </c>
      <c r="AJ130" s="89">
        <f t="shared" si="33"/>
        <v>0</v>
      </c>
      <c r="AK130" s="89">
        <f t="shared" si="33"/>
        <v>0</v>
      </c>
      <c r="AL130" s="89">
        <f t="shared" si="33"/>
        <v>0</v>
      </c>
      <c r="AM130" s="89">
        <f t="shared" si="33"/>
        <v>0</v>
      </c>
      <c r="AN130" s="89">
        <f t="shared" si="33"/>
        <v>0</v>
      </c>
      <c r="AO130" s="89">
        <f t="shared" si="33"/>
        <v>0</v>
      </c>
      <c r="AP130" s="89">
        <f t="shared" si="33"/>
        <v>0</v>
      </c>
      <c r="AQ130" s="89">
        <f t="shared" si="34"/>
        <v>0</v>
      </c>
      <c r="AR130" s="89">
        <f t="shared" si="35"/>
        <v>0</v>
      </c>
      <c r="AS130" s="89">
        <f t="shared" si="36"/>
        <v>0</v>
      </c>
      <c r="AT130" s="89">
        <f t="shared" si="37"/>
        <v>0</v>
      </c>
      <c r="AU130" s="89">
        <f t="shared" si="38"/>
        <v>0</v>
      </c>
      <c r="AV130" s="89">
        <f t="shared" si="39"/>
        <v>0</v>
      </c>
      <c r="AW130" s="89">
        <f t="shared" si="40"/>
        <v>0</v>
      </c>
      <c r="AX130" s="89">
        <f t="shared" si="41"/>
        <v>0</v>
      </c>
      <c r="AY130" s="89">
        <f t="shared" si="42"/>
        <v>0</v>
      </c>
      <c r="AZ130" s="89">
        <f t="shared" si="43"/>
        <v>0</v>
      </c>
      <c r="BA130" s="89">
        <f t="shared" si="44"/>
        <v>0</v>
      </c>
      <c r="BB130" s="89">
        <f t="shared" si="45"/>
        <v>0</v>
      </c>
    </row>
    <row r="131" spans="2:54">
      <c r="B131" s="6" t="s">
        <v>15</v>
      </c>
      <c r="D131" s="89">
        <f t="shared" si="32"/>
        <v>0</v>
      </c>
      <c r="E131" s="89">
        <f t="shared" si="32"/>
        <v>0</v>
      </c>
      <c r="F131" s="89">
        <f t="shared" si="32"/>
        <v>0</v>
      </c>
      <c r="G131" s="89">
        <f t="shared" si="32"/>
        <v>0</v>
      </c>
      <c r="H131" s="89">
        <f t="shared" si="32"/>
        <v>0</v>
      </c>
      <c r="I131" s="89">
        <f t="shared" si="32"/>
        <v>0</v>
      </c>
      <c r="J131" s="89">
        <f t="shared" si="32"/>
        <v>0</v>
      </c>
      <c r="K131" s="89">
        <f t="shared" si="32"/>
        <v>0</v>
      </c>
      <c r="L131" s="89">
        <f t="shared" si="32"/>
        <v>0</v>
      </c>
      <c r="M131" s="89">
        <f t="shared" si="32"/>
        <v>0</v>
      </c>
      <c r="N131" s="89">
        <f t="shared" si="32"/>
        <v>0</v>
      </c>
      <c r="O131" s="89">
        <f t="shared" si="32"/>
        <v>0</v>
      </c>
      <c r="P131" s="89">
        <f t="shared" si="32"/>
        <v>0</v>
      </c>
      <c r="Q131" s="89">
        <f t="shared" si="32"/>
        <v>0</v>
      </c>
      <c r="R131" s="89">
        <f t="shared" si="32"/>
        <v>0</v>
      </c>
      <c r="S131" s="89">
        <f t="shared" si="32"/>
        <v>0</v>
      </c>
      <c r="T131" s="89">
        <f t="shared" si="32"/>
        <v>0</v>
      </c>
      <c r="U131" s="89">
        <f t="shared" si="32"/>
        <v>0</v>
      </c>
      <c r="V131" s="89">
        <f t="shared" si="32"/>
        <v>0</v>
      </c>
      <c r="W131" s="89">
        <f t="shared" si="32"/>
        <v>0</v>
      </c>
      <c r="X131" s="89">
        <f t="shared" si="32"/>
        <v>0</v>
      </c>
      <c r="Y131" s="89">
        <f t="shared" si="32"/>
        <v>0</v>
      </c>
      <c r="Z131" s="89">
        <f t="shared" si="32"/>
        <v>0</v>
      </c>
      <c r="AA131" s="89">
        <f t="shared" si="32"/>
        <v>0</v>
      </c>
      <c r="AB131" s="89">
        <f t="shared" si="32"/>
        <v>0</v>
      </c>
      <c r="AC131" s="89">
        <f t="shared" si="32"/>
        <v>0</v>
      </c>
      <c r="AD131" s="89">
        <f t="shared" si="32"/>
        <v>0</v>
      </c>
      <c r="AE131" s="89">
        <f t="shared" si="32"/>
        <v>0</v>
      </c>
      <c r="AF131" s="89">
        <f t="shared" si="32"/>
        <v>0</v>
      </c>
      <c r="AG131" s="89">
        <f t="shared" si="33"/>
        <v>0</v>
      </c>
      <c r="AH131" s="89">
        <f t="shared" si="33"/>
        <v>0</v>
      </c>
      <c r="AI131" s="89">
        <f t="shared" si="33"/>
        <v>0</v>
      </c>
      <c r="AJ131" s="89">
        <f t="shared" si="33"/>
        <v>0</v>
      </c>
      <c r="AK131" s="89">
        <f t="shared" si="33"/>
        <v>0</v>
      </c>
      <c r="AL131" s="89">
        <f t="shared" si="33"/>
        <v>0</v>
      </c>
      <c r="AM131" s="89">
        <f t="shared" si="33"/>
        <v>0</v>
      </c>
      <c r="AN131" s="89">
        <f t="shared" si="33"/>
        <v>0</v>
      </c>
      <c r="AO131" s="89">
        <f t="shared" si="33"/>
        <v>0</v>
      </c>
      <c r="AP131" s="89">
        <f t="shared" si="33"/>
        <v>0</v>
      </c>
      <c r="AQ131" s="89">
        <f t="shared" si="34"/>
        <v>0</v>
      </c>
      <c r="AR131" s="89">
        <f t="shared" si="35"/>
        <v>0</v>
      </c>
      <c r="AS131" s="89">
        <f t="shared" si="36"/>
        <v>0</v>
      </c>
      <c r="AT131" s="89">
        <f t="shared" si="37"/>
        <v>0</v>
      </c>
      <c r="AU131" s="89">
        <f t="shared" si="38"/>
        <v>0</v>
      </c>
      <c r="AV131" s="89">
        <f t="shared" si="39"/>
        <v>0</v>
      </c>
      <c r="AW131" s="89">
        <f t="shared" si="40"/>
        <v>0</v>
      </c>
      <c r="AX131" s="89">
        <f t="shared" si="41"/>
        <v>0</v>
      </c>
      <c r="AY131" s="89">
        <f t="shared" si="42"/>
        <v>0</v>
      </c>
      <c r="AZ131" s="89">
        <f t="shared" si="43"/>
        <v>0</v>
      </c>
      <c r="BA131" s="89">
        <f t="shared" si="44"/>
        <v>0</v>
      </c>
      <c r="BB131" s="89">
        <f t="shared" si="45"/>
        <v>0</v>
      </c>
    </row>
    <row r="132" spans="2:54" ht="29">
      <c r="B132" s="6" t="s">
        <v>16</v>
      </c>
      <c r="D132" s="89">
        <f t="shared" si="32"/>
        <v>0</v>
      </c>
      <c r="E132" s="89">
        <f t="shared" si="32"/>
        <v>0</v>
      </c>
      <c r="F132" s="89">
        <f t="shared" si="32"/>
        <v>0</v>
      </c>
      <c r="G132" s="89">
        <f t="shared" si="32"/>
        <v>0</v>
      </c>
      <c r="H132" s="89">
        <f t="shared" si="32"/>
        <v>0</v>
      </c>
      <c r="I132" s="89">
        <f t="shared" si="32"/>
        <v>0</v>
      </c>
      <c r="J132" s="89">
        <f t="shared" si="32"/>
        <v>0</v>
      </c>
      <c r="K132" s="89">
        <f t="shared" si="32"/>
        <v>0</v>
      </c>
      <c r="L132" s="89">
        <f t="shared" si="32"/>
        <v>0</v>
      </c>
      <c r="M132" s="89">
        <f t="shared" si="32"/>
        <v>0</v>
      </c>
      <c r="N132" s="89">
        <f t="shared" si="32"/>
        <v>0</v>
      </c>
      <c r="O132" s="89">
        <f t="shared" si="32"/>
        <v>0</v>
      </c>
      <c r="P132" s="89">
        <f t="shared" si="32"/>
        <v>0</v>
      </c>
      <c r="Q132" s="89">
        <f t="shared" si="32"/>
        <v>0</v>
      </c>
      <c r="R132" s="89">
        <f t="shared" si="32"/>
        <v>0</v>
      </c>
      <c r="S132" s="89">
        <f t="shared" si="32"/>
        <v>0</v>
      </c>
      <c r="T132" s="89">
        <f t="shared" si="32"/>
        <v>0</v>
      </c>
      <c r="U132" s="89">
        <f t="shared" si="32"/>
        <v>0</v>
      </c>
      <c r="V132" s="89">
        <f t="shared" si="32"/>
        <v>0</v>
      </c>
      <c r="W132" s="89">
        <f t="shared" si="32"/>
        <v>0</v>
      </c>
      <c r="X132" s="89">
        <f t="shared" si="32"/>
        <v>0</v>
      </c>
      <c r="Y132" s="89">
        <f t="shared" si="32"/>
        <v>0</v>
      </c>
      <c r="Z132" s="89">
        <f t="shared" si="32"/>
        <v>0</v>
      </c>
      <c r="AA132" s="89">
        <f t="shared" si="32"/>
        <v>0</v>
      </c>
      <c r="AB132" s="89">
        <f t="shared" si="32"/>
        <v>0</v>
      </c>
      <c r="AC132" s="89">
        <f t="shared" si="32"/>
        <v>0</v>
      </c>
      <c r="AD132" s="89">
        <f t="shared" si="32"/>
        <v>0</v>
      </c>
      <c r="AE132" s="89">
        <f t="shared" si="32"/>
        <v>0</v>
      </c>
      <c r="AF132" s="89">
        <f t="shared" si="32"/>
        <v>0</v>
      </c>
      <c r="AG132" s="89">
        <f t="shared" si="33"/>
        <v>0</v>
      </c>
      <c r="AH132" s="89">
        <f t="shared" si="33"/>
        <v>0</v>
      </c>
      <c r="AI132" s="89">
        <f t="shared" si="33"/>
        <v>0</v>
      </c>
      <c r="AJ132" s="89">
        <f t="shared" si="33"/>
        <v>0</v>
      </c>
      <c r="AK132" s="89">
        <f t="shared" si="33"/>
        <v>0</v>
      </c>
      <c r="AL132" s="89">
        <f t="shared" si="33"/>
        <v>0</v>
      </c>
      <c r="AM132" s="89">
        <f t="shared" si="33"/>
        <v>0</v>
      </c>
      <c r="AN132" s="89">
        <f t="shared" si="33"/>
        <v>0</v>
      </c>
      <c r="AO132" s="89">
        <f t="shared" si="33"/>
        <v>0</v>
      </c>
      <c r="AP132" s="89">
        <f t="shared" si="33"/>
        <v>0</v>
      </c>
      <c r="AQ132" s="89">
        <f t="shared" si="34"/>
        <v>0</v>
      </c>
      <c r="AR132" s="89">
        <f t="shared" si="35"/>
        <v>0</v>
      </c>
      <c r="AS132" s="89">
        <f t="shared" si="36"/>
        <v>0</v>
      </c>
      <c r="AT132" s="89">
        <f t="shared" si="37"/>
        <v>0</v>
      </c>
      <c r="AU132" s="89">
        <f t="shared" si="38"/>
        <v>0</v>
      </c>
      <c r="AV132" s="89">
        <f t="shared" si="39"/>
        <v>0</v>
      </c>
      <c r="AW132" s="89">
        <f t="shared" si="40"/>
        <v>0</v>
      </c>
      <c r="AX132" s="89">
        <f t="shared" si="41"/>
        <v>0</v>
      </c>
      <c r="AY132" s="89">
        <f t="shared" si="42"/>
        <v>0</v>
      </c>
      <c r="AZ132" s="89">
        <f t="shared" si="43"/>
        <v>0</v>
      </c>
      <c r="BA132" s="89">
        <f t="shared" si="44"/>
        <v>0</v>
      </c>
      <c r="BB132" s="89">
        <f t="shared" si="45"/>
        <v>0</v>
      </c>
    </row>
    <row r="133" spans="2:54">
      <c r="B133" s="6" t="s">
        <v>103</v>
      </c>
      <c r="D133" s="89">
        <f t="shared" si="32"/>
        <v>0</v>
      </c>
      <c r="E133" s="89">
        <f t="shared" si="32"/>
        <v>0</v>
      </c>
      <c r="F133" s="89">
        <f t="shared" si="32"/>
        <v>0</v>
      </c>
      <c r="G133" s="89">
        <f t="shared" si="32"/>
        <v>0</v>
      </c>
      <c r="H133" s="89">
        <f t="shared" si="32"/>
        <v>0</v>
      </c>
      <c r="I133" s="89">
        <f t="shared" si="32"/>
        <v>0</v>
      </c>
      <c r="J133" s="89">
        <f t="shared" si="32"/>
        <v>0</v>
      </c>
      <c r="K133" s="89">
        <f t="shared" si="32"/>
        <v>0</v>
      </c>
      <c r="L133" s="89">
        <f t="shared" si="32"/>
        <v>0</v>
      </c>
      <c r="M133" s="89">
        <f t="shared" si="32"/>
        <v>0</v>
      </c>
      <c r="N133" s="89">
        <f t="shared" si="32"/>
        <v>0</v>
      </c>
      <c r="O133" s="89">
        <f t="shared" si="32"/>
        <v>0</v>
      </c>
      <c r="P133" s="89">
        <f t="shared" si="32"/>
        <v>0</v>
      </c>
      <c r="Q133" s="89">
        <f t="shared" si="32"/>
        <v>0</v>
      </c>
      <c r="R133" s="89">
        <f t="shared" si="32"/>
        <v>0</v>
      </c>
      <c r="S133" s="89">
        <f t="shared" si="32"/>
        <v>0</v>
      </c>
      <c r="T133" s="89">
        <f t="shared" si="32"/>
        <v>0</v>
      </c>
      <c r="U133" s="89">
        <f t="shared" si="32"/>
        <v>0</v>
      </c>
      <c r="V133" s="89">
        <f t="shared" si="32"/>
        <v>0</v>
      </c>
      <c r="W133" s="89">
        <f t="shared" si="32"/>
        <v>0</v>
      </c>
      <c r="X133" s="89">
        <f t="shared" si="32"/>
        <v>0</v>
      </c>
      <c r="Y133" s="89">
        <f t="shared" si="32"/>
        <v>0</v>
      </c>
      <c r="Z133" s="89">
        <f t="shared" si="32"/>
        <v>0</v>
      </c>
      <c r="AA133" s="89">
        <f t="shared" si="32"/>
        <v>0</v>
      </c>
      <c r="AB133" s="89">
        <f t="shared" si="32"/>
        <v>0</v>
      </c>
      <c r="AC133" s="89">
        <f t="shared" si="32"/>
        <v>0</v>
      </c>
      <c r="AD133" s="89">
        <f t="shared" si="32"/>
        <v>0</v>
      </c>
      <c r="AE133" s="89">
        <f t="shared" si="32"/>
        <v>0</v>
      </c>
      <c r="AF133" s="89">
        <f t="shared" si="32"/>
        <v>0</v>
      </c>
      <c r="AG133" s="89">
        <f t="shared" si="33"/>
        <v>0</v>
      </c>
      <c r="AH133" s="89">
        <f t="shared" si="33"/>
        <v>0</v>
      </c>
      <c r="AI133" s="89">
        <f t="shared" si="33"/>
        <v>0</v>
      </c>
      <c r="AJ133" s="89">
        <f t="shared" si="33"/>
        <v>0</v>
      </c>
      <c r="AK133" s="89">
        <f t="shared" si="33"/>
        <v>0</v>
      </c>
      <c r="AL133" s="89">
        <f t="shared" si="33"/>
        <v>0</v>
      </c>
      <c r="AM133" s="89">
        <f t="shared" si="33"/>
        <v>0</v>
      </c>
      <c r="AN133" s="89">
        <f t="shared" si="33"/>
        <v>0</v>
      </c>
      <c r="AO133" s="89">
        <f t="shared" si="33"/>
        <v>0</v>
      </c>
      <c r="AP133" s="89">
        <f t="shared" si="33"/>
        <v>0</v>
      </c>
      <c r="AQ133" s="89">
        <f t="shared" si="34"/>
        <v>0</v>
      </c>
      <c r="AR133" s="89">
        <f t="shared" si="35"/>
        <v>0</v>
      </c>
      <c r="AS133" s="89">
        <f t="shared" si="36"/>
        <v>0</v>
      </c>
      <c r="AT133" s="89">
        <f t="shared" si="37"/>
        <v>0</v>
      </c>
      <c r="AU133" s="89">
        <f t="shared" si="38"/>
        <v>0</v>
      </c>
      <c r="AV133" s="89">
        <f t="shared" si="39"/>
        <v>0</v>
      </c>
      <c r="AW133" s="89">
        <f t="shared" si="40"/>
        <v>0</v>
      </c>
      <c r="AX133" s="89">
        <f t="shared" si="41"/>
        <v>0</v>
      </c>
      <c r="AY133" s="89">
        <f t="shared" si="42"/>
        <v>0</v>
      </c>
      <c r="AZ133" s="89">
        <f t="shared" si="43"/>
        <v>0</v>
      </c>
      <c r="BA133" s="89">
        <f t="shared" si="44"/>
        <v>0</v>
      </c>
      <c r="BB133" s="89">
        <f t="shared" si="45"/>
        <v>0</v>
      </c>
    </row>
    <row r="134" spans="2:54">
      <c r="B134" s="6" t="s">
        <v>104</v>
      </c>
      <c r="D134" s="89">
        <f t="shared" si="32"/>
        <v>0</v>
      </c>
      <c r="E134" s="89">
        <f t="shared" si="32"/>
        <v>0</v>
      </c>
      <c r="F134" s="89">
        <f t="shared" si="32"/>
        <v>0</v>
      </c>
      <c r="G134" s="89">
        <f t="shared" si="32"/>
        <v>0</v>
      </c>
      <c r="H134" s="89">
        <f t="shared" si="32"/>
        <v>0</v>
      </c>
      <c r="I134" s="89">
        <f t="shared" si="32"/>
        <v>0</v>
      </c>
      <c r="J134" s="89">
        <f t="shared" si="32"/>
        <v>0</v>
      </c>
      <c r="K134" s="89">
        <f t="shared" si="32"/>
        <v>0</v>
      </c>
      <c r="L134" s="89">
        <f t="shared" si="32"/>
        <v>0</v>
      </c>
      <c r="M134" s="89">
        <f t="shared" si="32"/>
        <v>0</v>
      </c>
      <c r="N134" s="89">
        <f t="shared" si="32"/>
        <v>0</v>
      </c>
      <c r="O134" s="89">
        <f t="shared" si="32"/>
        <v>0</v>
      </c>
      <c r="P134" s="89">
        <f t="shared" si="32"/>
        <v>0</v>
      </c>
      <c r="Q134" s="89">
        <f t="shared" si="32"/>
        <v>0</v>
      </c>
      <c r="R134" s="89">
        <f t="shared" si="32"/>
        <v>0</v>
      </c>
      <c r="S134" s="89">
        <f t="shared" si="32"/>
        <v>0</v>
      </c>
      <c r="T134" s="89">
        <f t="shared" si="32"/>
        <v>0</v>
      </c>
      <c r="U134" s="89">
        <f t="shared" si="32"/>
        <v>0</v>
      </c>
      <c r="V134" s="89">
        <f t="shared" si="32"/>
        <v>0</v>
      </c>
      <c r="W134" s="89">
        <f t="shared" si="32"/>
        <v>0</v>
      </c>
      <c r="X134" s="89">
        <f t="shared" si="32"/>
        <v>0</v>
      </c>
      <c r="Y134" s="89">
        <f t="shared" si="32"/>
        <v>0</v>
      </c>
      <c r="Z134" s="89">
        <f t="shared" si="32"/>
        <v>0</v>
      </c>
      <c r="AA134" s="89">
        <f t="shared" si="32"/>
        <v>0</v>
      </c>
      <c r="AB134" s="89">
        <f t="shared" si="32"/>
        <v>0</v>
      </c>
      <c r="AC134" s="89">
        <f t="shared" si="32"/>
        <v>0</v>
      </c>
      <c r="AD134" s="89">
        <f t="shared" si="32"/>
        <v>0</v>
      </c>
      <c r="AE134" s="89">
        <f t="shared" si="32"/>
        <v>0</v>
      </c>
      <c r="AF134" s="89">
        <f t="shared" si="32"/>
        <v>0</v>
      </c>
      <c r="AG134" s="89">
        <f t="shared" si="33"/>
        <v>0</v>
      </c>
      <c r="AH134" s="89">
        <f t="shared" si="33"/>
        <v>0</v>
      </c>
      <c r="AI134" s="89">
        <f t="shared" si="33"/>
        <v>0</v>
      </c>
      <c r="AJ134" s="89">
        <f t="shared" si="33"/>
        <v>0</v>
      </c>
      <c r="AK134" s="89">
        <f t="shared" si="33"/>
        <v>0</v>
      </c>
      <c r="AL134" s="89">
        <f t="shared" si="33"/>
        <v>0</v>
      </c>
      <c r="AM134" s="89">
        <f t="shared" si="33"/>
        <v>0</v>
      </c>
      <c r="AN134" s="89">
        <f t="shared" si="33"/>
        <v>0</v>
      </c>
      <c r="AO134" s="89">
        <f t="shared" si="33"/>
        <v>0</v>
      </c>
      <c r="AP134" s="89">
        <f t="shared" si="33"/>
        <v>0</v>
      </c>
      <c r="AQ134" s="89">
        <f t="shared" si="34"/>
        <v>0</v>
      </c>
      <c r="AR134" s="89">
        <f t="shared" si="35"/>
        <v>0</v>
      </c>
      <c r="AS134" s="89">
        <f t="shared" si="36"/>
        <v>0</v>
      </c>
      <c r="AT134" s="89">
        <f t="shared" si="37"/>
        <v>0</v>
      </c>
      <c r="AU134" s="89">
        <f t="shared" si="38"/>
        <v>0</v>
      </c>
      <c r="AV134" s="89">
        <f t="shared" si="39"/>
        <v>0</v>
      </c>
      <c r="AW134" s="89">
        <f t="shared" si="40"/>
        <v>0</v>
      </c>
      <c r="AX134" s="89">
        <f t="shared" si="41"/>
        <v>0</v>
      </c>
      <c r="AY134" s="89">
        <f t="shared" si="42"/>
        <v>0</v>
      </c>
      <c r="AZ134" s="89">
        <f t="shared" si="43"/>
        <v>0</v>
      </c>
      <c r="BA134" s="89">
        <f t="shared" si="44"/>
        <v>0</v>
      </c>
      <c r="BB134" s="89">
        <f t="shared" si="45"/>
        <v>0</v>
      </c>
    </row>
    <row r="135" spans="2:54">
      <c r="B135" s="6" t="s">
        <v>17</v>
      </c>
      <c r="D135" s="89">
        <f t="shared" si="32"/>
        <v>0</v>
      </c>
      <c r="E135" s="89">
        <f t="shared" si="32"/>
        <v>0</v>
      </c>
      <c r="F135" s="89">
        <f t="shared" si="32"/>
        <v>0</v>
      </c>
      <c r="G135" s="89">
        <f t="shared" si="32"/>
        <v>0</v>
      </c>
      <c r="H135" s="89">
        <f t="shared" si="32"/>
        <v>0</v>
      </c>
      <c r="I135" s="89">
        <f t="shared" si="32"/>
        <v>0</v>
      </c>
      <c r="J135" s="89">
        <f t="shared" si="32"/>
        <v>0</v>
      </c>
      <c r="K135" s="89">
        <f t="shared" si="32"/>
        <v>0</v>
      </c>
      <c r="L135" s="89">
        <f t="shared" si="32"/>
        <v>0</v>
      </c>
      <c r="M135" s="89">
        <f t="shared" si="32"/>
        <v>0</v>
      </c>
      <c r="N135" s="89">
        <f t="shared" si="32"/>
        <v>0</v>
      </c>
      <c r="O135" s="89">
        <f t="shared" si="32"/>
        <v>0</v>
      </c>
      <c r="P135" s="89">
        <f t="shared" si="32"/>
        <v>0</v>
      </c>
      <c r="Q135" s="89">
        <f t="shared" si="32"/>
        <v>0</v>
      </c>
      <c r="R135" s="89">
        <f t="shared" si="32"/>
        <v>0</v>
      </c>
      <c r="S135" s="89">
        <f t="shared" si="32"/>
        <v>0</v>
      </c>
      <c r="T135" s="89">
        <f t="shared" si="32"/>
        <v>0</v>
      </c>
      <c r="U135" s="89">
        <f t="shared" si="32"/>
        <v>0</v>
      </c>
      <c r="V135" s="89">
        <f t="shared" si="32"/>
        <v>0</v>
      </c>
      <c r="W135" s="89">
        <f t="shared" si="32"/>
        <v>0</v>
      </c>
      <c r="X135" s="89">
        <f t="shared" si="32"/>
        <v>0</v>
      </c>
      <c r="Y135" s="89">
        <f t="shared" si="32"/>
        <v>0</v>
      </c>
      <c r="Z135" s="89">
        <f t="shared" si="32"/>
        <v>0</v>
      </c>
      <c r="AA135" s="89">
        <f t="shared" si="32"/>
        <v>0</v>
      </c>
      <c r="AB135" s="89">
        <f t="shared" si="32"/>
        <v>0</v>
      </c>
      <c r="AC135" s="89">
        <f t="shared" si="32"/>
        <v>0</v>
      </c>
      <c r="AD135" s="89">
        <f t="shared" si="32"/>
        <v>0</v>
      </c>
      <c r="AE135" s="89">
        <f t="shared" si="32"/>
        <v>0</v>
      </c>
      <c r="AF135" s="89">
        <f t="shared" si="32"/>
        <v>0</v>
      </c>
      <c r="AG135" s="89">
        <f t="shared" si="33"/>
        <v>0</v>
      </c>
      <c r="AH135" s="89">
        <f t="shared" si="33"/>
        <v>0</v>
      </c>
      <c r="AI135" s="89">
        <f t="shared" si="33"/>
        <v>0</v>
      </c>
      <c r="AJ135" s="89">
        <f t="shared" si="33"/>
        <v>0</v>
      </c>
      <c r="AK135" s="89">
        <f t="shared" si="33"/>
        <v>0</v>
      </c>
      <c r="AL135" s="89">
        <f t="shared" si="33"/>
        <v>0</v>
      </c>
      <c r="AM135" s="89">
        <f t="shared" si="33"/>
        <v>0</v>
      </c>
      <c r="AN135" s="89">
        <f t="shared" si="33"/>
        <v>0</v>
      </c>
      <c r="AO135" s="89">
        <f t="shared" si="33"/>
        <v>0</v>
      </c>
      <c r="AP135" s="89">
        <f t="shared" si="33"/>
        <v>0</v>
      </c>
      <c r="AQ135" s="89">
        <f t="shared" si="34"/>
        <v>0</v>
      </c>
      <c r="AR135" s="89">
        <f t="shared" si="35"/>
        <v>0</v>
      </c>
      <c r="AS135" s="89">
        <f t="shared" si="36"/>
        <v>0</v>
      </c>
      <c r="AT135" s="89">
        <f t="shared" si="37"/>
        <v>0</v>
      </c>
      <c r="AU135" s="89">
        <f t="shared" si="38"/>
        <v>0</v>
      </c>
      <c r="AV135" s="89">
        <f t="shared" si="39"/>
        <v>0</v>
      </c>
      <c r="AW135" s="89">
        <f t="shared" si="40"/>
        <v>0</v>
      </c>
      <c r="AX135" s="89">
        <f t="shared" si="41"/>
        <v>0</v>
      </c>
      <c r="AY135" s="89">
        <f t="shared" si="42"/>
        <v>0</v>
      </c>
      <c r="AZ135" s="89">
        <f t="shared" si="43"/>
        <v>0</v>
      </c>
      <c r="BA135" s="89">
        <f t="shared" si="44"/>
        <v>0</v>
      </c>
      <c r="BB135" s="89">
        <f t="shared" si="45"/>
        <v>0</v>
      </c>
    </row>
    <row r="136" spans="2:54" ht="29">
      <c r="B136" s="6" t="s">
        <v>106</v>
      </c>
      <c r="D136" s="89">
        <f t="shared" si="32"/>
        <v>0</v>
      </c>
      <c r="E136" s="89">
        <f t="shared" si="32"/>
        <v>0</v>
      </c>
      <c r="F136" s="89">
        <f t="shared" si="32"/>
        <v>0</v>
      </c>
      <c r="G136" s="89">
        <f t="shared" si="32"/>
        <v>0</v>
      </c>
      <c r="H136" s="89">
        <f t="shared" si="32"/>
        <v>0</v>
      </c>
      <c r="I136" s="89">
        <f t="shared" si="32"/>
        <v>0</v>
      </c>
      <c r="J136" s="89">
        <f t="shared" si="32"/>
        <v>0</v>
      </c>
      <c r="K136" s="89">
        <f t="shared" si="32"/>
        <v>0</v>
      </c>
      <c r="L136" s="89">
        <f t="shared" si="32"/>
        <v>0</v>
      </c>
      <c r="M136" s="89">
        <f t="shared" si="32"/>
        <v>0</v>
      </c>
      <c r="N136" s="89">
        <f t="shared" si="32"/>
        <v>0</v>
      </c>
      <c r="O136" s="89">
        <f t="shared" si="32"/>
        <v>0</v>
      </c>
      <c r="P136" s="89">
        <f t="shared" si="32"/>
        <v>0</v>
      </c>
      <c r="Q136" s="89">
        <f t="shared" si="32"/>
        <v>0</v>
      </c>
      <c r="R136" s="89">
        <f t="shared" si="32"/>
        <v>0</v>
      </c>
      <c r="S136" s="89">
        <f t="shared" si="32"/>
        <v>0</v>
      </c>
      <c r="T136" s="89">
        <f t="shared" si="32"/>
        <v>0</v>
      </c>
      <c r="U136" s="89">
        <f t="shared" si="32"/>
        <v>0</v>
      </c>
      <c r="V136" s="89">
        <f t="shared" si="32"/>
        <v>0</v>
      </c>
      <c r="W136" s="89">
        <f t="shared" si="32"/>
        <v>0</v>
      </c>
      <c r="X136" s="89">
        <f t="shared" si="32"/>
        <v>0</v>
      </c>
      <c r="Y136" s="89">
        <f t="shared" si="32"/>
        <v>0</v>
      </c>
      <c r="Z136" s="89">
        <f t="shared" si="32"/>
        <v>0</v>
      </c>
      <c r="AA136" s="89">
        <f t="shared" si="32"/>
        <v>0</v>
      </c>
      <c r="AB136" s="89">
        <f t="shared" si="32"/>
        <v>0</v>
      </c>
      <c r="AC136" s="89">
        <f t="shared" si="32"/>
        <v>0</v>
      </c>
      <c r="AD136" s="89">
        <f t="shared" si="32"/>
        <v>0</v>
      </c>
      <c r="AE136" s="89">
        <f t="shared" si="32"/>
        <v>0</v>
      </c>
      <c r="AF136" s="89">
        <f t="shared" si="32"/>
        <v>0</v>
      </c>
      <c r="AG136" s="89">
        <f t="shared" si="33"/>
        <v>0</v>
      </c>
      <c r="AH136" s="89">
        <f t="shared" si="33"/>
        <v>0</v>
      </c>
      <c r="AI136" s="89">
        <f t="shared" si="33"/>
        <v>0</v>
      </c>
      <c r="AJ136" s="89">
        <f t="shared" si="33"/>
        <v>0</v>
      </c>
      <c r="AK136" s="89">
        <f t="shared" si="33"/>
        <v>0</v>
      </c>
      <c r="AL136" s="89">
        <f t="shared" si="33"/>
        <v>0</v>
      </c>
      <c r="AM136" s="89">
        <f t="shared" si="33"/>
        <v>0</v>
      </c>
      <c r="AN136" s="89">
        <f t="shared" si="33"/>
        <v>0</v>
      </c>
      <c r="AO136" s="89">
        <f t="shared" si="33"/>
        <v>0</v>
      </c>
      <c r="AP136" s="89">
        <f t="shared" si="33"/>
        <v>0</v>
      </c>
      <c r="AQ136" s="89">
        <f t="shared" si="34"/>
        <v>0</v>
      </c>
      <c r="AR136" s="89">
        <f t="shared" si="35"/>
        <v>0</v>
      </c>
      <c r="AS136" s="89">
        <f t="shared" si="36"/>
        <v>0</v>
      </c>
      <c r="AT136" s="89">
        <f t="shared" si="37"/>
        <v>0</v>
      </c>
      <c r="AU136" s="89">
        <f t="shared" si="38"/>
        <v>0</v>
      </c>
      <c r="AV136" s="89">
        <f t="shared" si="39"/>
        <v>0</v>
      </c>
      <c r="AW136" s="89">
        <f t="shared" si="40"/>
        <v>0</v>
      </c>
      <c r="AX136" s="89">
        <f t="shared" si="41"/>
        <v>0</v>
      </c>
      <c r="AY136" s="89">
        <f t="shared" si="42"/>
        <v>0</v>
      </c>
      <c r="AZ136" s="89">
        <f t="shared" si="43"/>
        <v>0</v>
      </c>
      <c r="BA136" s="89">
        <f t="shared" si="44"/>
        <v>0</v>
      </c>
      <c r="BB136" s="89">
        <f t="shared" si="45"/>
        <v>0</v>
      </c>
    </row>
    <row r="137" spans="2:54" ht="29">
      <c r="B137" s="6" t="s">
        <v>107</v>
      </c>
      <c r="D137" s="89">
        <f t="shared" si="32"/>
        <v>0</v>
      </c>
      <c r="E137" s="89">
        <f t="shared" si="32"/>
        <v>0</v>
      </c>
      <c r="F137" s="89">
        <f t="shared" si="32"/>
        <v>0</v>
      </c>
      <c r="G137" s="89">
        <f t="shared" si="32"/>
        <v>0</v>
      </c>
      <c r="H137" s="89">
        <f t="shared" si="32"/>
        <v>0</v>
      </c>
      <c r="I137" s="89">
        <f t="shared" si="32"/>
        <v>0</v>
      </c>
      <c r="J137" s="89">
        <f t="shared" si="32"/>
        <v>0</v>
      </c>
      <c r="K137" s="89">
        <f t="shared" si="32"/>
        <v>0</v>
      </c>
      <c r="L137" s="89">
        <f t="shared" si="32"/>
        <v>0</v>
      </c>
      <c r="M137" s="89">
        <f t="shared" si="32"/>
        <v>0</v>
      </c>
      <c r="N137" s="89">
        <f t="shared" si="32"/>
        <v>0</v>
      </c>
      <c r="O137" s="89">
        <f t="shared" si="32"/>
        <v>0</v>
      </c>
      <c r="P137" s="89">
        <f t="shared" si="32"/>
        <v>0</v>
      </c>
      <c r="Q137" s="89">
        <f t="shared" si="32"/>
        <v>0</v>
      </c>
      <c r="R137" s="89">
        <f t="shared" si="32"/>
        <v>0</v>
      </c>
      <c r="S137" s="89">
        <f t="shared" si="32"/>
        <v>0</v>
      </c>
      <c r="T137" s="89">
        <f t="shared" si="32"/>
        <v>0</v>
      </c>
      <c r="U137" s="89">
        <f t="shared" si="32"/>
        <v>0</v>
      </c>
      <c r="V137" s="89">
        <f t="shared" si="32"/>
        <v>0</v>
      </c>
      <c r="W137" s="89">
        <f t="shared" si="32"/>
        <v>0</v>
      </c>
      <c r="X137" s="89">
        <f t="shared" si="32"/>
        <v>0</v>
      </c>
      <c r="Y137" s="89">
        <f t="shared" si="32"/>
        <v>0</v>
      </c>
      <c r="Z137" s="89">
        <f t="shared" si="32"/>
        <v>0</v>
      </c>
      <c r="AA137" s="89">
        <f t="shared" ref="AA137:AF137" si="46">(INDEX($C$58:$C$75,MATCH($B137,$B$58:$B$75,0))*Z$13)+AA111</f>
        <v>0</v>
      </c>
      <c r="AB137" s="89">
        <f t="shared" si="46"/>
        <v>0</v>
      </c>
      <c r="AC137" s="89">
        <f t="shared" si="46"/>
        <v>0</v>
      </c>
      <c r="AD137" s="89">
        <f t="shared" si="46"/>
        <v>0</v>
      </c>
      <c r="AE137" s="89">
        <f t="shared" si="46"/>
        <v>0</v>
      </c>
      <c r="AF137" s="89">
        <f t="shared" si="46"/>
        <v>0</v>
      </c>
      <c r="AG137" s="89">
        <f t="shared" si="33"/>
        <v>0</v>
      </c>
      <c r="AH137" s="89">
        <f t="shared" si="33"/>
        <v>0</v>
      </c>
      <c r="AI137" s="89">
        <f t="shared" si="33"/>
        <v>0</v>
      </c>
      <c r="AJ137" s="89">
        <f t="shared" si="33"/>
        <v>0</v>
      </c>
      <c r="AK137" s="89">
        <f t="shared" si="33"/>
        <v>0</v>
      </c>
      <c r="AL137" s="89">
        <f t="shared" si="33"/>
        <v>0</v>
      </c>
      <c r="AM137" s="89">
        <f t="shared" si="33"/>
        <v>0</v>
      </c>
      <c r="AN137" s="89">
        <f t="shared" si="33"/>
        <v>0</v>
      </c>
      <c r="AO137" s="89">
        <f t="shared" si="33"/>
        <v>0</v>
      </c>
      <c r="AP137" s="89">
        <f t="shared" si="33"/>
        <v>0</v>
      </c>
      <c r="AQ137" s="89">
        <f t="shared" si="34"/>
        <v>0</v>
      </c>
      <c r="AR137" s="89">
        <f t="shared" si="35"/>
        <v>0</v>
      </c>
      <c r="AS137" s="89">
        <f t="shared" si="36"/>
        <v>0</v>
      </c>
      <c r="AT137" s="89">
        <f t="shared" si="37"/>
        <v>0</v>
      </c>
      <c r="AU137" s="89">
        <f t="shared" si="38"/>
        <v>0</v>
      </c>
      <c r="AV137" s="89">
        <f t="shared" si="39"/>
        <v>0</v>
      </c>
      <c r="AW137" s="89">
        <f t="shared" si="40"/>
        <v>0</v>
      </c>
      <c r="AX137" s="89">
        <f t="shared" si="41"/>
        <v>0</v>
      </c>
      <c r="AY137" s="89">
        <f t="shared" si="42"/>
        <v>0</v>
      </c>
      <c r="AZ137" s="89">
        <f t="shared" si="43"/>
        <v>0</v>
      </c>
      <c r="BA137" s="89">
        <f t="shared" si="44"/>
        <v>0</v>
      </c>
      <c r="BB137" s="89">
        <f t="shared" si="45"/>
        <v>0</v>
      </c>
    </row>
    <row r="138" spans="2:54">
      <c r="B138" s="6" t="s">
        <v>2863</v>
      </c>
      <c r="D138" s="89">
        <f t="shared" ref="D138:AF146" si="47">(INDEX($C$58:$C$75,MATCH($B138,$B$58:$B$75,0))*C$13)+D112</f>
        <v>0</v>
      </c>
      <c r="E138" s="89">
        <f t="shared" si="47"/>
        <v>0</v>
      </c>
      <c r="F138" s="89">
        <f t="shared" si="47"/>
        <v>0</v>
      </c>
      <c r="G138" s="89">
        <f t="shared" si="47"/>
        <v>0</v>
      </c>
      <c r="H138" s="89">
        <f t="shared" si="47"/>
        <v>0</v>
      </c>
      <c r="I138" s="89">
        <f t="shared" si="47"/>
        <v>0</v>
      </c>
      <c r="J138" s="89">
        <f t="shared" si="47"/>
        <v>0</v>
      </c>
      <c r="K138" s="89">
        <f t="shared" si="47"/>
        <v>0</v>
      </c>
      <c r="L138" s="89">
        <f t="shared" si="47"/>
        <v>0</v>
      </c>
      <c r="M138" s="89">
        <f t="shared" si="47"/>
        <v>0</v>
      </c>
      <c r="N138" s="89">
        <f t="shared" si="47"/>
        <v>0</v>
      </c>
      <c r="O138" s="89">
        <f t="shared" si="47"/>
        <v>0</v>
      </c>
      <c r="P138" s="89">
        <f t="shared" si="47"/>
        <v>0</v>
      </c>
      <c r="Q138" s="89">
        <f t="shared" si="47"/>
        <v>0</v>
      </c>
      <c r="R138" s="89">
        <f t="shared" si="47"/>
        <v>0</v>
      </c>
      <c r="S138" s="89">
        <f t="shared" si="47"/>
        <v>0</v>
      </c>
      <c r="T138" s="89">
        <f t="shared" si="47"/>
        <v>0</v>
      </c>
      <c r="U138" s="89">
        <f t="shared" si="47"/>
        <v>0</v>
      </c>
      <c r="V138" s="89">
        <f t="shared" si="47"/>
        <v>0</v>
      </c>
      <c r="W138" s="89">
        <f t="shared" si="47"/>
        <v>0</v>
      </c>
      <c r="X138" s="89">
        <f t="shared" si="47"/>
        <v>0</v>
      </c>
      <c r="Y138" s="89">
        <f t="shared" si="47"/>
        <v>0</v>
      </c>
      <c r="Z138" s="89">
        <f t="shared" si="47"/>
        <v>0</v>
      </c>
      <c r="AA138" s="89">
        <f t="shared" si="47"/>
        <v>0</v>
      </c>
      <c r="AB138" s="89">
        <f t="shared" si="47"/>
        <v>0</v>
      </c>
      <c r="AC138" s="89">
        <f t="shared" si="47"/>
        <v>0</v>
      </c>
      <c r="AD138" s="89">
        <f t="shared" si="47"/>
        <v>0</v>
      </c>
      <c r="AE138" s="89">
        <f t="shared" si="47"/>
        <v>0</v>
      </c>
      <c r="AF138" s="89">
        <f t="shared" si="47"/>
        <v>0</v>
      </c>
      <c r="AG138" s="89">
        <f t="shared" si="33"/>
        <v>0</v>
      </c>
      <c r="AH138" s="89">
        <f t="shared" si="33"/>
        <v>0</v>
      </c>
      <c r="AI138" s="89">
        <f t="shared" si="33"/>
        <v>0</v>
      </c>
      <c r="AJ138" s="89">
        <f t="shared" si="33"/>
        <v>0</v>
      </c>
      <c r="AK138" s="89">
        <f t="shared" si="33"/>
        <v>0</v>
      </c>
      <c r="AL138" s="89">
        <f t="shared" si="33"/>
        <v>0</v>
      </c>
      <c r="AM138" s="89">
        <f t="shared" si="33"/>
        <v>0</v>
      </c>
      <c r="AN138" s="89">
        <f t="shared" si="33"/>
        <v>0</v>
      </c>
      <c r="AO138" s="89">
        <f t="shared" si="33"/>
        <v>0</v>
      </c>
      <c r="AP138" s="89">
        <f t="shared" si="33"/>
        <v>0</v>
      </c>
      <c r="AQ138" s="89">
        <f t="shared" si="34"/>
        <v>0</v>
      </c>
      <c r="AR138" s="89">
        <f t="shared" si="35"/>
        <v>0</v>
      </c>
      <c r="AS138" s="89">
        <f t="shared" si="36"/>
        <v>0</v>
      </c>
      <c r="AT138" s="89">
        <f t="shared" si="37"/>
        <v>0</v>
      </c>
      <c r="AU138" s="89">
        <f t="shared" si="38"/>
        <v>0</v>
      </c>
      <c r="AV138" s="89">
        <f t="shared" si="39"/>
        <v>0</v>
      </c>
      <c r="AW138" s="89">
        <f t="shared" si="40"/>
        <v>0</v>
      </c>
      <c r="AX138" s="89">
        <f t="shared" si="41"/>
        <v>0</v>
      </c>
      <c r="AY138" s="89">
        <f t="shared" si="42"/>
        <v>0</v>
      </c>
      <c r="AZ138" s="89">
        <f t="shared" si="43"/>
        <v>0</v>
      </c>
      <c r="BA138" s="89">
        <f t="shared" si="44"/>
        <v>0</v>
      </c>
      <c r="BB138" s="89">
        <f t="shared" si="45"/>
        <v>0</v>
      </c>
    </row>
    <row r="139" spans="2:54">
      <c r="B139" s="6" t="s">
        <v>2862</v>
      </c>
      <c r="D139" s="89">
        <f t="shared" si="47"/>
        <v>0</v>
      </c>
      <c r="E139" s="89">
        <f t="shared" si="47"/>
        <v>0</v>
      </c>
      <c r="F139" s="89">
        <f t="shared" si="47"/>
        <v>0</v>
      </c>
      <c r="G139" s="89">
        <f t="shared" si="47"/>
        <v>0</v>
      </c>
      <c r="H139" s="89">
        <f t="shared" si="47"/>
        <v>0</v>
      </c>
      <c r="I139" s="89">
        <f t="shared" si="47"/>
        <v>0</v>
      </c>
      <c r="J139" s="89">
        <f t="shared" si="47"/>
        <v>0</v>
      </c>
      <c r="K139" s="89">
        <f t="shared" si="47"/>
        <v>0</v>
      </c>
      <c r="L139" s="89">
        <f t="shared" si="47"/>
        <v>0</v>
      </c>
      <c r="M139" s="89">
        <f t="shared" si="47"/>
        <v>0</v>
      </c>
      <c r="N139" s="89">
        <f t="shared" si="47"/>
        <v>0</v>
      </c>
      <c r="O139" s="89">
        <f t="shared" si="47"/>
        <v>0</v>
      </c>
      <c r="P139" s="89">
        <f t="shared" si="47"/>
        <v>0</v>
      </c>
      <c r="Q139" s="89">
        <f t="shared" si="47"/>
        <v>0</v>
      </c>
      <c r="R139" s="89">
        <f t="shared" si="47"/>
        <v>0</v>
      </c>
      <c r="S139" s="89">
        <f t="shared" si="47"/>
        <v>0</v>
      </c>
      <c r="T139" s="89">
        <f t="shared" si="47"/>
        <v>0</v>
      </c>
      <c r="U139" s="89">
        <f t="shared" si="47"/>
        <v>0</v>
      </c>
      <c r="V139" s="89">
        <f t="shared" si="47"/>
        <v>0</v>
      </c>
      <c r="W139" s="89">
        <f t="shared" si="47"/>
        <v>0</v>
      </c>
      <c r="X139" s="89">
        <f t="shared" si="47"/>
        <v>0</v>
      </c>
      <c r="Y139" s="89">
        <f t="shared" si="47"/>
        <v>0</v>
      </c>
      <c r="Z139" s="89">
        <f t="shared" si="47"/>
        <v>0</v>
      </c>
      <c r="AA139" s="89">
        <f t="shared" si="47"/>
        <v>0</v>
      </c>
      <c r="AB139" s="89">
        <f t="shared" si="47"/>
        <v>0</v>
      </c>
      <c r="AC139" s="89">
        <f t="shared" si="47"/>
        <v>0</v>
      </c>
      <c r="AD139" s="89">
        <f t="shared" si="47"/>
        <v>0</v>
      </c>
      <c r="AE139" s="89">
        <f t="shared" si="47"/>
        <v>0</v>
      </c>
      <c r="AF139" s="89">
        <f t="shared" si="47"/>
        <v>0</v>
      </c>
      <c r="AG139" s="89">
        <f t="shared" si="33"/>
        <v>0</v>
      </c>
      <c r="AH139" s="89">
        <f t="shared" si="33"/>
        <v>0</v>
      </c>
      <c r="AI139" s="89">
        <f t="shared" si="33"/>
        <v>0</v>
      </c>
      <c r="AJ139" s="89">
        <f t="shared" si="33"/>
        <v>0</v>
      </c>
      <c r="AK139" s="89">
        <f t="shared" si="33"/>
        <v>0</v>
      </c>
      <c r="AL139" s="89">
        <f t="shared" si="33"/>
        <v>0</v>
      </c>
      <c r="AM139" s="89">
        <f t="shared" si="33"/>
        <v>0</v>
      </c>
      <c r="AN139" s="89">
        <f t="shared" si="33"/>
        <v>0</v>
      </c>
      <c r="AO139" s="89">
        <f t="shared" si="33"/>
        <v>0</v>
      </c>
      <c r="AP139" s="89">
        <f t="shared" si="33"/>
        <v>0</v>
      </c>
      <c r="AQ139" s="89">
        <f t="shared" si="34"/>
        <v>0</v>
      </c>
      <c r="AR139" s="89">
        <f t="shared" si="35"/>
        <v>0</v>
      </c>
      <c r="AS139" s="89">
        <f t="shared" si="36"/>
        <v>0</v>
      </c>
      <c r="AT139" s="89">
        <f t="shared" si="37"/>
        <v>0</v>
      </c>
      <c r="AU139" s="89">
        <f t="shared" si="38"/>
        <v>0</v>
      </c>
      <c r="AV139" s="89">
        <f t="shared" si="39"/>
        <v>0</v>
      </c>
      <c r="AW139" s="89">
        <f t="shared" si="40"/>
        <v>0</v>
      </c>
      <c r="AX139" s="89">
        <f t="shared" si="41"/>
        <v>0</v>
      </c>
      <c r="AY139" s="89">
        <f t="shared" si="42"/>
        <v>0</v>
      </c>
      <c r="AZ139" s="89">
        <f t="shared" si="43"/>
        <v>0</v>
      </c>
      <c r="BA139" s="89">
        <f t="shared" si="44"/>
        <v>0</v>
      </c>
      <c r="BB139" s="89">
        <f t="shared" si="45"/>
        <v>0</v>
      </c>
    </row>
    <row r="140" spans="2:54">
      <c r="B140" s="6" t="s">
        <v>131</v>
      </c>
      <c r="D140" s="89">
        <f t="shared" si="47"/>
        <v>0</v>
      </c>
      <c r="E140" s="89">
        <f t="shared" si="47"/>
        <v>0</v>
      </c>
      <c r="F140" s="89">
        <f t="shared" si="47"/>
        <v>0</v>
      </c>
      <c r="G140" s="89">
        <f t="shared" si="47"/>
        <v>0</v>
      </c>
      <c r="H140" s="89">
        <f t="shared" si="47"/>
        <v>0</v>
      </c>
      <c r="I140" s="89">
        <f t="shared" si="47"/>
        <v>0</v>
      </c>
      <c r="J140" s="89">
        <f t="shared" si="47"/>
        <v>0</v>
      </c>
      <c r="K140" s="89">
        <f t="shared" si="47"/>
        <v>0</v>
      </c>
      <c r="L140" s="89">
        <f t="shared" si="47"/>
        <v>0</v>
      </c>
      <c r="M140" s="89">
        <f t="shared" si="47"/>
        <v>0</v>
      </c>
      <c r="N140" s="89">
        <f t="shared" si="47"/>
        <v>0</v>
      </c>
      <c r="O140" s="89">
        <f t="shared" si="47"/>
        <v>0</v>
      </c>
      <c r="P140" s="89">
        <f t="shared" si="47"/>
        <v>0</v>
      </c>
      <c r="Q140" s="89">
        <f t="shared" si="47"/>
        <v>0</v>
      </c>
      <c r="R140" s="89">
        <f t="shared" si="47"/>
        <v>0</v>
      </c>
      <c r="S140" s="89">
        <f t="shared" si="47"/>
        <v>0</v>
      </c>
      <c r="T140" s="89">
        <f t="shared" si="47"/>
        <v>0</v>
      </c>
      <c r="U140" s="89">
        <f t="shared" si="47"/>
        <v>0</v>
      </c>
      <c r="V140" s="89">
        <f t="shared" si="47"/>
        <v>0</v>
      </c>
      <c r="W140" s="89">
        <f t="shared" si="47"/>
        <v>0</v>
      </c>
      <c r="X140" s="89">
        <f t="shared" si="47"/>
        <v>0</v>
      </c>
      <c r="Y140" s="89">
        <f t="shared" si="47"/>
        <v>0</v>
      </c>
      <c r="Z140" s="89">
        <f t="shared" si="47"/>
        <v>0</v>
      </c>
      <c r="AA140" s="89">
        <f t="shared" si="47"/>
        <v>0</v>
      </c>
      <c r="AB140" s="89">
        <f t="shared" si="47"/>
        <v>0</v>
      </c>
      <c r="AC140" s="89">
        <f t="shared" si="47"/>
        <v>0</v>
      </c>
      <c r="AD140" s="89">
        <f t="shared" si="47"/>
        <v>0</v>
      </c>
      <c r="AE140" s="89">
        <f t="shared" si="47"/>
        <v>0</v>
      </c>
      <c r="AF140" s="89">
        <f t="shared" si="47"/>
        <v>0</v>
      </c>
      <c r="AG140" s="89">
        <f t="shared" si="33"/>
        <v>0</v>
      </c>
      <c r="AH140" s="89">
        <f t="shared" si="33"/>
        <v>0</v>
      </c>
      <c r="AI140" s="89">
        <f t="shared" si="33"/>
        <v>0</v>
      </c>
      <c r="AJ140" s="89">
        <f t="shared" si="33"/>
        <v>0</v>
      </c>
      <c r="AK140" s="89">
        <f t="shared" si="33"/>
        <v>0</v>
      </c>
      <c r="AL140" s="89">
        <f t="shared" si="33"/>
        <v>0</v>
      </c>
      <c r="AM140" s="89">
        <f t="shared" si="33"/>
        <v>0</v>
      </c>
      <c r="AN140" s="89">
        <f t="shared" si="33"/>
        <v>0</v>
      </c>
      <c r="AO140" s="89">
        <f t="shared" si="33"/>
        <v>0</v>
      </c>
      <c r="AP140" s="89">
        <f t="shared" si="33"/>
        <v>0</v>
      </c>
      <c r="AQ140" s="89">
        <f t="shared" si="34"/>
        <v>0</v>
      </c>
      <c r="AR140" s="89">
        <f t="shared" si="35"/>
        <v>0</v>
      </c>
      <c r="AS140" s="89">
        <f t="shared" si="36"/>
        <v>0</v>
      </c>
      <c r="AT140" s="89">
        <f t="shared" si="37"/>
        <v>0</v>
      </c>
      <c r="AU140" s="89">
        <f t="shared" si="38"/>
        <v>0</v>
      </c>
      <c r="AV140" s="89">
        <f t="shared" si="39"/>
        <v>0</v>
      </c>
      <c r="AW140" s="89">
        <f t="shared" si="40"/>
        <v>0</v>
      </c>
      <c r="AX140" s="89">
        <f t="shared" si="41"/>
        <v>0</v>
      </c>
      <c r="AY140" s="89">
        <f t="shared" si="42"/>
        <v>0</v>
      </c>
      <c r="AZ140" s="89">
        <f t="shared" si="43"/>
        <v>0</v>
      </c>
      <c r="BA140" s="89">
        <f t="shared" si="44"/>
        <v>0</v>
      </c>
      <c r="BB140" s="89">
        <f t="shared" si="45"/>
        <v>0</v>
      </c>
    </row>
    <row r="141" spans="2:54" ht="29">
      <c r="B141" s="6" t="s">
        <v>2869</v>
      </c>
      <c r="D141" s="89">
        <f t="shared" si="47"/>
        <v>0</v>
      </c>
      <c r="E141" s="89">
        <f t="shared" si="47"/>
        <v>0</v>
      </c>
      <c r="F141" s="89">
        <f t="shared" si="47"/>
        <v>0</v>
      </c>
      <c r="G141" s="89">
        <f t="shared" si="47"/>
        <v>0</v>
      </c>
      <c r="H141" s="89">
        <f t="shared" si="47"/>
        <v>0</v>
      </c>
      <c r="I141" s="89">
        <f t="shared" si="47"/>
        <v>0</v>
      </c>
      <c r="J141" s="89">
        <f t="shared" si="47"/>
        <v>0</v>
      </c>
      <c r="K141" s="89">
        <f t="shared" si="47"/>
        <v>0</v>
      </c>
      <c r="L141" s="89">
        <f t="shared" si="47"/>
        <v>0</v>
      </c>
      <c r="M141" s="89">
        <f t="shared" si="47"/>
        <v>0</v>
      </c>
      <c r="N141" s="89">
        <f t="shared" si="47"/>
        <v>0</v>
      </c>
      <c r="O141" s="89">
        <f t="shared" si="47"/>
        <v>0</v>
      </c>
      <c r="P141" s="89">
        <f t="shared" si="47"/>
        <v>0</v>
      </c>
      <c r="Q141" s="89">
        <f t="shared" si="47"/>
        <v>0</v>
      </c>
      <c r="R141" s="89">
        <f t="shared" si="47"/>
        <v>0</v>
      </c>
      <c r="S141" s="89">
        <f t="shared" si="47"/>
        <v>0</v>
      </c>
      <c r="T141" s="89">
        <f t="shared" si="47"/>
        <v>0</v>
      </c>
      <c r="U141" s="89">
        <f t="shared" si="47"/>
        <v>0</v>
      </c>
      <c r="V141" s="89">
        <f t="shared" si="47"/>
        <v>0</v>
      </c>
      <c r="W141" s="89">
        <f t="shared" si="47"/>
        <v>0</v>
      </c>
      <c r="X141" s="89">
        <f t="shared" si="47"/>
        <v>0</v>
      </c>
      <c r="Y141" s="89">
        <f t="shared" si="47"/>
        <v>0</v>
      </c>
      <c r="Z141" s="89">
        <f t="shared" si="47"/>
        <v>0</v>
      </c>
      <c r="AA141" s="89">
        <f t="shared" si="47"/>
        <v>0</v>
      </c>
      <c r="AB141" s="89">
        <f t="shared" si="47"/>
        <v>0</v>
      </c>
      <c r="AC141" s="89">
        <f t="shared" si="47"/>
        <v>0</v>
      </c>
      <c r="AD141" s="89">
        <f t="shared" si="47"/>
        <v>0</v>
      </c>
      <c r="AE141" s="89">
        <f t="shared" si="47"/>
        <v>0</v>
      </c>
      <c r="AF141" s="89">
        <f t="shared" si="47"/>
        <v>0</v>
      </c>
      <c r="AG141" s="89">
        <f t="shared" si="33"/>
        <v>0</v>
      </c>
      <c r="AH141" s="89">
        <f t="shared" si="33"/>
        <v>0</v>
      </c>
      <c r="AI141" s="89">
        <f t="shared" si="33"/>
        <v>0</v>
      </c>
      <c r="AJ141" s="89">
        <f t="shared" si="33"/>
        <v>0</v>
      </c>
      <c r="AK141" s="89">
        <f t="shared" si="33"/>
        <v>0</v>
      </c>
      <c r="AL141" s="89">
        <f t="shared" si="33"/>
        <v>0</v>
      </c>
      <c r="AM141" s="89">
        <f t="shared" si="33"/>
        <v>0</v>
      </c>
      <c r="AN141" s="89">
        <f t="shared" si="33"/>
        <v>0</v>
      </c>
      <c r="AO141" s="89">
        <f t="shared" si="33"/>
        <v>0</v>
      </c>
      <c r="AP141" s="89">
        <f t="shared" si="33"/>
        <v>0</v>
      </c>
      <c r="AQ141" s="89">
        <f t="shared" si="34"/>
        <v>0</v>
      </c>
      <c r="AR141" s="89">
        <f t="shared" si="35"/>
        <v>0</v>
      </c>
      <c r="AS141" s="89">
        <f t="shared" si="36"/>
        <v>0</v>
      </c>
      <c r="AT141" s="89">
        <f t="shared" si="37"/>
        <v>0</v>
      </c>
      <c r="AU141" s="89">
        <f t="shared" si="38"/>
        <v>0</v>
      </c>
      <c r="AV141" s="89">
        <f t="shared" si="39"/>
        <v>0</v>
      </c>
      <c r="AW141" s="89">
        <f t="shared" si="40"/>
        <v>0</v>
      </c>
      <c r="AX141" s="89">
        <f t="shared" si="41"/>
        <v>0</v>
      </c>
      <c r="AY141" s="89">
        <f t="shared" si="42"/>
        <v>0</v>
      </c>
      <c r="AZ141" s="89">
        <f t="shared" si="43"/>
        <v>0</v>
      </c>
      <c r="BA141" s="89">
        <f t="shared" si="44"/>
        <v>0</v>
      </c>
      <c r="BB141" s="89">
        <f t="shared" si="45"/>
        <v>0</v>
      </c>
    </row>
    <row r="142" spans="2:54" ht="29">
      <c r="B142" s="6" t="s">
        <v>2870</v>
      </c>
      <c r="D142" s="89">
        <f t="shared" si="47"/>
        <v>0</v>
      </c>
      <c r="E142" s="89">
        <f t="shared" si="47"/>
        <v>0</v>
      </c>
      <c r="F142" s="89">
        <f t="shared" si="47"/>
        <v>0</v>
      </c>
      <c r="G142" s="89">
        <f t="shared" si="47"/>
        <v>0</v>
      </c>
      <c r="H142" s="89">
        <f t="shared" si="47"/>
        <v>0</v>
      </c>
      <c r="I142" s="89">
        <f t="shared" si="47"/>
        <v>0</v>
      </c>
      <c r="J142" s="89">
        <f t="shared" si="47"/>
        <v>0</v>
      </c>
      <c r="K142" s="89">
        <f t="shared" si="47"/>
        <v>0</v>
      </c>
      <c r="L142" s="89">
        <f t="shared" si="47"/>
        <v>0</v>
      </c>
      <c r="M142" s="89">
        <f t="shared" si="47"/>
        <v>0</v>
      </c>
      <c r="N142" s="89">
        <f t="shared" si="47"/>
        <v>0</v>
      </c>
      <c r="O142" s="89">
        <f t="shared" si="47"/>
        <v>0</v>
      </c>
      <c r="P142" s="89">
        <f t="shared" si="47"/>
        <v>0</v>
      </c>
      <c r="Q142" s="89">
        <f t="shared" si="47"/>
        <v>0</v>
      </c>
      <c r="R142" s="89">
        <f t="shared" si="47"/>
        <v>0</v>
      </c>
      <c r="S142" s="89">
        <f t="shared" si="47"/>
        <v>0</v>
      </c>
      <c r="T142" s="89">
        <f t="shared" si="47"/>
        <v>0</v>
      </c>
      <c r="U142" s="89">
        <f t="shared" si="47"/>
        <v>0</v>
      </c>
      <c r="V142" s="89">
        <f t="shared" si="47"/>
        <v>0</v>
      </c>
      <c r="W142" s="89">
        <f t="shared" si="47"/>
        <v>0</v>
      </c>
      <c r="X142" s="89">
        <f t="shared" si="47"/>
        <v>0</v>
      </c>
      <c r="Y142" s="89">
        <f t="shared" si="47"/>
        <v>0</v>
      </c>
      <c r="Z142" s="89">
        <f t="shared" si="47"/>
        <v>0</v>
      </c>
      <c r="AA142" s="89">
        <f t="shared" si="47"/>
        <v>0</v>
      </c>
      <c r="AB142" s="89">
        <f t="shared" si="47"/>
        <v>0</v>
      </c>
      <c r="AC142" s="89">
        <f t="shared" si="47"/>
        <v>0</v>
      </c>
      <c r="AD142" s="89">
        <f t="shared" si="47"/>
        <v>0</v>
      </c>
      <c r="AE142" s="89">
        <f t="shared" si="47"/>
        <v>0</v>
      </c>
      <c r="AF142" s="89">
        <f t="shared" si="47"/>
        <v>0</v>
      </c>
      <c r="AG142" s="89">
        <f t="shared" si="33"/>
        <v>0</v>
      </c>
      <c r="AH142" s="89">
        <f t="shared" si="33"/>
        <v>0</v>
      </c>
      <c r="AI142" s="89">
        <f t="shared" si="33"/>
        <v>0</v>
      </c>
      <c r="AJ142" s="89">
        <f t="shared" si="33"/>
        <v>0</v>
      </c>
      <c r="AK142" s="89">
        <f t="shared" si="33"/>
        <v>0</v>
      </c>
      <c r="AL142" s="89">
        <f t="shared" si="33"/>
        <v>0</v>
      </c>
      <c r="AM142" s="89">
        <f t="shared" si="33"/>
        <v>0</v>
      </c>
      <c r="AN142" s="89">
        <f t="shared" si="33"/>
        <v>0</v>
      </c>
      <c r="AO142" s="89">
        <f t="shared" si="33"/>
        <v>0</v>
      </c>
      <c r="AP142" s="89">
        <f t="shared" si="33"/>
        <v>0</v>
      </c>
      <c r="AQ142" s="89">
        <f t="shared" si="34"/>
        <v>0</v>
      </c>
      <c r="AR142" s="89">
        <f t="shared" si="35"/>
        <v>0</v>
      </c>
      <c r="AS142" s="89">
        <f t="shared" si="36"/>
        <v>0</v>
      </c>
      <c r="AT142" s="89">
        <f t="shared" si="37"/>
        <v>0</v>
      </c>
      <c r="AU142" s="89">
        <f t="shared" si="38"/>
        <v>0</v>
      </c>
      <c r="AV142" s="89">
        <f t="shared" si="39"/>
        <v>0</v>
      </c>
      <c r="AW142" s="89">
        <f t="shared" si="40"/>
        <v>0</v>
      </c>
      <c r="AX142" s="89">
        <f t="shared" si="41"/>
        <v>0</v>
      </c>
      <c r="AY142" s="89">
        <f t="shared" si="42"/>
        <v>0</v>
      </c>
      <c r="AZ142" s="89">
        <f t="shared" si="43"/>
        <v>0</v>
      </c>
      <c r="BA142" s="89">
        <f t="shared" si="44"/>
        <v>0</v>
      </c>
      <c r="BB142" s="89">
        <f t="shared" si="45"/>
        <v>0</v>
      </c>
    </row>
    <row r="143" spans="2:54">
      <c r="B143" s="6" t="s">
        <v>102</v>
      </c>
      <c r="D143" s="89">
        <f t="shared" si="47"/>
        <v>0</v>
      </c>
      <c r="E143" s="89">
        <f t="shared" si="47"/>
        <v>0</v>
      </c>
      <c r="F143" s="89">
        <f t="shared" si="47"/>
        <v>0</v>
      </c>
      <c r="G143" s="89">
        <f t="shared" si="47"/>
        <v>0</v>
      </c>
      <c r="H143" s="89">
        <f t="shared" si="47"/>
        <v>0</v>
      </c>
      <c r="I143" s="89">
        <f t="shared" si="47"/>
        <v>0</v>
      </c>
      <c r="J143" s="89">
        <f t="shared" si="47"/>
        <v>0</v>
      </c>
      <c r="K143" s="89">
        <f t="shared" si="47"/>
        <v>0</v>
      </c>
      <c r="L143" s="89">
        <f t="shared" si="47"/>
        <v>0</v>
      </c>
      <c r="M143" s="89">
        <f t="shared" si="47"/>
        <v>0</v>
      </c>
      <c r="N143" s="89">
        <f t="shared" si="47"/>
        <v>0</v>
      </c>
      <c r="O143" s="89">
        <f t="shared" si="47"/>
        <v>0</v>
      </c>
      <c r="P143" s="89">
        <f t="shared" si="47"/>
        <v>0</v>
      </c>
      <c r="Q143" s="89">
        <f t="shared" si="47"/>
        <v>0</v>
      </c>
      <c r="R143" s="89">
        <f t="shared" si="47"/>
        <v>0</v>
      </c>
      <c r="S143" s="89">
        <f t="shared" si="47"/>
        <v>0</v>
      </c>
      <c r="T143" s="89">
        <f t="shared" si="47"/>
        <v>0</v>
      </c>
      <c r="U143" s="89">
        <f t="shared" si="47"/>
        <v>0</v>
      </c>
      <c r="V143" s="89">
        <f t="shared" si="47"/>
        <v>0</v>
      </c>
      <c r="W143" s="89">
        <f t="shared" si="47"/>
        <v>0</v>
      </c>
      <c r="X143" s="89">
        <f t="shared" si="47"/>
        <v>0</v>
      </c>
      <c r="Y143" s="89">
        <f t="shared" si="47"/>
        <v>0</v>
      </c>
      <c r="Z143" s="89">
        <f t="shared" si="47"/>
        <v>0</v>
      </c>
      <c r="AA143" s="89">
        <f t="shared" si="47"/>
        <v>0</v>
      </c>
      <c r="AB143" s="89">
        <f t="shared" si="47"/>
        <v>0</v>
      </c>
      <c r="AC143" s="89">
        <f t="shared" si="47"/>
        <v>0</v>
      </c>
      <c r="AD143" s="89">
        <f t="shared" si="47"/>
        <v>0</v>
      </c>
      <c r="AE143" s="89">
        <f t="shared" si="47"/>
        <v>0</v>
      </c>
      <c r="AF143" s="89">
        <f t="shared" si="47"/>
        <v>0</v>
      </c>
      <c r="AG143" s="89">
        <f t="shared" si="33"/>
        <v>0</v>
      </c>
      <c r="AH143" s="89">
        <f t="shared" si="33"/>
        <v>0</v>
      </c>
      <c r="AI143" s="89">
        <f t="shared" si="33"/>
        <v>0</v>
      </c>
      <c r="AJ143" s="89">
        <f t="shared" si="33"/>
        <v>0</v>
      </c>
      <c r="AK143" s="89">
        <f t="shared" si="33"/>
        <v>0</v>
      </c>
      <c r="AL143" s="89">
        <f t="shared" si="33"/>
        <v>0</v>
      </c>
      <c r="AM143" s="89">
        <f t="shared" si="33"/>
        <v>0</v>
      </c>
      <c r="AN143" s="89">
        <f t="shared" si="33"/>
        <v>0</v>
      </c>
      <c r="AO143" s="89">
        <f t="shared" si="33"/>
        <v>0</v>
      </c>
      <c r="AP143" s="89">
        <f t="shared" si="33"/>
        <v>0</v>
      </c>
      <c r="AQ143" s="89">
        <f t="shared" si="34"/>
        <v>0</v>
      </c>
      <c r="AR143" s="89">
        <f t="shared" si="35"/>
        <v>0</v>
      </c>
      <c r="AS143" s="89">
        <f t="shared" si="36"/>
        <v>0</v>
      </c>
      <c r="AT143" s="89">
        <f t="shared" si="37"/>
        <v>0</v>
      </c>
      <c r="AU143" s="89">
        <f t="shared" si="38"/>
        <v>0</v>
      </c>
      <c r="AV143" s="89">
        <f t="shared" si="39"/>
        <v>0</v>
      </c>
      <c r="AW143" s="89">
        <f t="shared" si="40"/>
        <v>0</v>
      </c>
      <c r="AX143" s="89">
        <f t="shared" si="41"/>
        <v>0</v>
      </c>
      <c r="AY143" s="89">
        <f t="shared" si="42"/>
        <v>0</v>
      </c>
      <c r="AZ143" s="89">
        <f t="shared" si="43"/>
        <v>0</v>
      </c>
      <c r="BA143" s="89">
        <f t="shared" si="44"/>
        <v>0</v>
      </c>
      <c r="BB143" s="89">
        <f t="shared" si="45"/>
        <v>0</v>
      </c>
    </row>
    <row r="144" spans="2:54">
      <c r="B144" s="6" t="s">
        <v>2831</v>
      </c>
      <c r="D144" s="89">
        <f t="shared" si="47"/>
        <v>0</v>
      </c>
      <c r="E144" s="89">
        <f t="shared" si="47"/>
        <v>0</v>
      </c>
      <c r="F144" s="89">
        <f t="shared" si="47"/>
        <v>0</v>
      </c>
      <c r="G144" s="89">
        <f t="shared" si="47"/>
        <v>0</v>
      </c>
      <c r="H144" s="89">
        <f t="shared" si="47"/>
        <v>0</v>
      </c>
      <c r="I144" s="89">
        <f t="shared" si="47"/>
        <v>0</v>
      </c>
      <c r="J144" s="89">
        <f t="shared" si="47"/>
        <v>0</v>
      </c>
      <c r="K144" s="89">
        <f t="shared" si="47"/>
        <v>0</v>
      </c>
      <c r="L144" s="89">
        <f t="shared" si="47"/>
        <v>0</v>
      </c>
      <c r="M144" s="89">
        <f t="shared" si="47"/>
        <v>0</v>
      </c>
      <c r="N144" s="89">
        <f t="shared" si="47"/>
        <v>0</v>
      </c>
      <c r="O144" s="89">
        <f t="shared" si="47"/>
        <v>0</v>
      </c>
      <c r="P144" s="89">
        <f t="shared" si="47"/>
        <v>0</v>
      </c>
      <c r="Q144" s="89">
        <f t="shared" si="47"/>
        <v>0</v>
      </c>
      <c r="R144" s="89">
        <f t="shared" si="47"/>
        <v>0</v>
      </c>
      <c r="S144" s="89">
        <f t="shared" si="47"/>
        <v>0</v>
      </c>
      <c r="T144" s="89">
        <f t="shared" si="47"/>
        <v>0</v>
      </c>
      <c r="U144" s="89">
        <f t="shared" si="47"/>
        <v>0</v>
      </c>
      <c r="V144" s="89">
        <f t="shared" si="47"/>
        <v>0</v>
      </c>
      <c r="W144" s="89">
        <f t="shared" si="47"/>
        <v>0</v>
      </c>
      <c r="X144" s="89">
        <f t="shared" si="47"/>
        <v>0</v>
      </c>
      <c r="Y144" s="89">
        <f t="shared" si="47"/>
        <v>0</v>
      </c>
      <c r="Z144" s="89">
        <f t="shared" si="47"/>
        <v>0</v>
      </c>
      <c r="AA144" s="89">
        <f t="shared" si="47"/>
        <v>0</v>
      </c>
      <c r="AB144" s="89">
        <f t="shared" si="47"/>
        <v>0</v>
      </c>
      <c r="AC144" s="89">
        <f t="shared" si="47"/>
        <v>0</v>
      </c>
      <c r="AD144" s="89">
        <f t="shared" si="47"/>
        <v>0</v>
      </c>
      <c r="AE144" s="89">
        <f t="shared" si="47"/>
        <v>0</v>
      </c>
      <c r="AF144" s="89">
        <f t="shared" si="47"/>
        <v>0</v>
      </c>
      <c r="AG144" s="89">
        <f t="shared" si="33"/>
        <v>0</v>
      </c>
      <c r="AH144" s="89">
        <f t="shared" si="33"/>
        <v>0</v>
      </c>
      <c r="AI144" s="89">
        <f t="shared" si="33"/>
        <v>0</v>
      </c>
      <c r="AJ144" s="89">
        <f t="shared" si="33"/>
        <v>0</v>
      </c>
      <c r="AK144" s="89">
        <f t="shared" si="33"/>
        <v>0</v>
      </c>
      <c r="AL144" s="89">
        <f t="shared" si="33"/>
        <v>0</v>
      </c>
      <c r="AM144" s="89">
        <f t="shared" si="33"/>
        <v>0</v>
      </c>
      <c r="AN144" s="89">
        <f t="shared" si="33"/>
        <v>0</v>
      </c>
      <c r="AO144" s="89">
        <f t="shared" si="33"/>
        <v>0</v>
      </c>
      <c r="AP144" s="89">
        <f t="shared" si="33"/>
        <v>0</v>
      </c>
      <c r="AQ144" s="89">
        <f t="shared" si="34"/>
        <v>0</v>
      </c>
      <c r="AR144" s="89">
        <f t="shared" si="35"/>
        <v>0</v>
      </c>
      <c r="AS144" s="89">
        <f t="shared" si="36"/>
        <v>0</v>
      </c>
      <c r="AT144" s="89">
        <f t="shared" si="37"/>
        <v>0</v>
      </c>
      <c r="AU144" s="89">
        <f t="shared" si="38"/>
        <v>0</v>
      </c>
      <c r="AV144" s="89">
        <f t="shared" si="39"/>
        <v>0</v>
      </c>
      <c r="AW144" s="89">
        <f t="shared" si="40"/>
        <v>0</v>
      </c>
      <c r="AX144" s="89">
        <f t="shared" si="41"/>
        <v>0</v>
      </c>
      <c r="AY144" s="89">
        <f t="shared" si="42"/>
        <v>0</v>
      </c>
      <c r="AZ144" s="89">
        <f t="shared" si="43"/>
        <v>0</v>
      </c>
      <c r="BA144" s="89">
        <f t="shared" si="44"/>
        <v>0</v>
      </c>
      <c r="BB144" s="89">
        <f t="shared" si="45"/>
        <v>0</v>
      </c>
    </row>
    <row r="145" spans="2:54">
      <c r="B145" s="6" t="s">
        <v>2832</v>
      </c>
      <c r="D145" s="89">
        <f t="shared" si="47"/>
        <v>0</v>
      </c>
      <c r="E145" s="89">
        <f t="shared" si="47"/>
        <v>0</v>
      </c>
      <c r="F145" s="89">
        <f t="shared" si="47"/>
        <v>0</v>
      </c>
      <c r="G145" s="89">
        <f t="shared" si="47"/>
        <v>0</v>
      </c>
      <c r="H145" s="89">
        <f t="shared" si="47"/>
        <v>0</v>
      </c>
      <c r="I145" s="89">
        <f t="shared" si="47"/>
        <v>0</v>
      </c>
      <c r="J145" s="89">
        <f t="shared" si="47"/>
        <v>0</v>
      </c>
      <c r="K145" s="89">
        <f t="shared" si="47"/>
        <v>0</v>
      </c>
      <c r="L145" s="89">
        <f t="shared" si="47"/>
        <v>0</v>
      </c>
      <c r="M145" s="89">
        <f t="shared" si="47"/>
        <v>0</v>
      </c>
      <c r="N145" s="89">
        <f t="shared" si="47"/>
        <v>0</v>
      </c>
      <c r="O145" s="89">
        <f t="shared" si="47"/>
        <v>0</v>
      </c>
      <c r="P145" s="89">
        <f t="shared" si="47"/>
        <v>0</v>
      </c>
      <c r="Q145" s="89">
        <f t="shared" si="47"/>
        <v>0</v>
      </c>
      <c r="R145" s="89">
        <f t="shared" si="47"/>
        <v>0</v>
      </c>
      <c r="S145" s="89">
        <f t="shared" si="47"/>
        <v>0</v>
      </c>
      <c r="T145" s="89">
        <f t="shared" si="47"/>
        <v>0</v>
      </c>
      <c r="U145" s="89">
        <f t="shared" si="47"/>
        <v>0</v>
      </c>
      <c r="V145" s="89">
        <f t="shared" si="47"/>
        <v>0</v>
      </c>
      <c r="W145" s="89">
        <f t="shared" si="47"/>
        <v>0</v>
      </c>
      <c r="X145" s="89">
        <f t="shared" si="47"/>
        <v>0</v>
      </c>
      <c r="Y145" s="89">
        <f t="shared" si="47"/>
        <v>0</v>
      </c>
      <c r="Z145" s="89">
        <f t="shared" si="47"/>
        <v>0</v>
      </c>
      <c r="AA145" s="89">
        <f t="shared" si="47"/>
        <v>0</v>
      </c>
      <c r="AB145" s="89">
        <f t="shared" si="47"/>
        <v>0</v>
      </c>
      <c r="AC145" s="89">
        <f t="shared" si="47"/>
        <v>0</v>
      </c>
      <c r="AD145" s="89">
        <f t="shared" si="47"/>
        <v>0</v>
      </c>
      <c r="AE145" s="89">
        <f t="shared" si="47"/>
        <v>0</v>
      </c>
      <c r="AF145" s="89">
        <f t="shared" si="47"/>
        <v>0</v>
      </c>
      <c r="AG145" s="89">
        <f t="shared" ref="AG145:AP146" si="48">(INDEX($C$58:$C$75,MATCH($B145,$B$58:$B$75,0))*AF$13)+AG119</f>
        <v>0</v>
      </c>
      <c r="AH145" s="89">
        <f t="shared" si="48"/>
        <v>0</v>
      </c>
      <c r="AI145" s="89">
        <f t="shared" si="48"/>
        <v>0</v>
      </c>
      <c r="AJ145" s="89">
        <f t="shared" si="48"/>
        <v>0</v>
      </c>
      <c r="AK145" s="89">
        <f t="shared" si="48"/>
        <v>0</v>
      </c>
      <c r="AL145" s="89">
        <f t="shared" si="48"/>
        <v>0</v>
      </c>
      <c r="AM145" s="89">
        <f t="shared" si="48"/>
        <v>0</v>
      </c>
      <c r="AN145" s="89">
        <f t="shared" si="48"/>
        <v>0</v>
      </c>
      <c r="AO145" s="89">
        <f t="shared" si="48"/>
        <v>0</v>
      </c>
      <c r="AP145" s="89">
        <f t="shared" si="48"/>
        <v>0</v>
      </c>
      <c r="AQ145" s="89">
        <f t="shared" si="34"/>
        <v>0</v>
      </c>
      <c r="AR145" s="89">
        <f t="shared" si="35"/>
        <v>0</v>
      </c>
      <c r="AS145" s="89">
        <f t="shared" si="36"/>
        <v>0</v>
      </c>
      <c r="AT145" s="89">
        <f t="shared" si="37"/>
        <v>0</v>
      </c>
      <c r="AU145" s="89">
        <f t="shared" si="38"/>
        <v>0</v>
      </c>
      <c r="AV145" s="89">
        <f t="shared" si="39"/>
        <v>0</v>
      </c>
      <c r="AW145" s="89">
        <f t="shared" si="40"/>
        <v>0</v>
      </c>
      <c r="AX145" s="89">
        <f t="shared" si="41"/>
        <v>0</v>
      </c>
      <c r="AY145" s="89">
        <f t="shared" si="42"/>
        <v>0</v>
      </c>
      <c r="AZ145" s="89">
        <f t="shared" si="43"/>
        <v>0</v>
      </c>
      <c r="BA145" s="89">
        <f t="shared" si="44"/>
        <v>0</v>
      </c>
      <c r="BB145" s="89">
        <f t="shared" si="45"/>
        <v>0</v>
      </c>
    </row>
    <row r="146" spans="2:54">
      <c r="B146" s="6" t="s">
        <v>2871</v>
      </c>
      <c r="D146" s="89">
        <f t="shared" si="47"/>
        <v>0</v>
      </c>
      <c r="E146" s="89">
        <f t="shared" si="47"/>
        <v>0</v>
      </c>
      <c r="F146" s="89">
        <f t="shared" si="47"/>
        <v>0</v>
      </c>
      <c r="G146" s="89">
        <f t="shared" si="47"/>
        <v>0</v>
      </c>
      <c r="H146" s="89">
        <f t="shared" si="47"/>
        <v>0</v>
      </c>
      <c r="I146" s="89">
        <f t="shared" si="47"/>
        <v>0</v>
      </c>
      <c r="J146" s="89">
        <f t="shared" si="47"/>
        <v>0</v>
      </c>
      <c r="K146" s="89">
        <f t="shared" si="47"/>
        <v>0</v>
      </c>
      <c r="L146" s="89">
        <f t="shared" si="47"/>
        <v>0</v>
      </c>
      <c r="M146" s="89">
        <f t="shared" si="47"/>
        <v>0</v>
      </c>
      <c r="N146" s="89">
        <f t="shared" si="47"/>
        <v>0</v>
      </c>
      <c r="O146" s="89">
        <f t="shared" si="47"/>
        <v>0</v>
      </c>
      <c r="P146" s="89">
        <f t="shared" si="47"/>
        <v>0</v>
      </c>
      <c r="Q146" s="89">
        <f t="shared" si="47"/>
        <v>0</v>
      </c>
      <c r="R146" s="89">
        <f t="shared" si="47"/>
        <v>0</v>
      </c>
      <c r="S146" s="89">
        <f t="shared" si="47"/>
        <v>0</v>
      </c>
      <c r="T146" s="89">
        <f t="shared" si="47"/>
        <v>0</v>
      </c>
      <c r="U146" s="89">
        <f t="shared" si="47"/>
        <v>0</v>
      </c>
      <c r="V146" s="89">
        <f t="shared" si="47"/>
        <v>0</v>
      </c>
      <c r="W146" s="89">
        <f t="shared" si="47"/>
        <v>0</v>
      </c>
      <c r="X146" s="89">
        <f t="shared" si="47"/>
        <v>0</v>
      </c>
      <c r="Y146" s="89">
        <f t="shared" si="47"/>
        <v>0</v>
      </c>
      <c r="Z146" s="89">
        <f t="shared" si="47"/>
        <v>0</v>
      </c>
      <c r="AA146" s="89">
        <f t="shared" ref="AA146:AF146" si="49">(INDEX($C$58:$C$75,MATCH($B146,$B$58:$B$75,0))*Z$13)+AA120</f>
        <v>0</v>
      </c>
      <c r="AB146" s="89">
        <f t="shared" si="49"/>
        <v>0</v>
      </c>
      <c r="AC146" s="89">
        <f t="shared" si="49"/>
        <v>0</v>
      </c>
      <c r="AD146" s="89">
        <f t="shared" si="49"/>
        <v>0</v>
      </c>
      <c r="AE146" s="89">
        <f t="shared" si="49"/>
        <v>0</v>
      </c>
      <c r="AF146" s="89">
        <f t="shared" si="49"/>
        <v>0</v>
      </c>
      <c r="AG146" s="89">
        <f t="shared" si="48"/>
        <v>0</v>
      </c>
      <c r="AH146" s="89">
        <f t="shared" si="48"/>
        <v>0</v>
      </c>
      <c r="AI146" s="89">
        <f t="shared" si="48"/>
        <v>0</v>
      </c>
      <c r="AJ146" s="89">
        <f t="shared" si="48"/>
        <v>0</v>
      </c>
      <c r="AK146" s="89">
        <f t="shared" si="48"/>
        <v>0</v>
      </c>
      <c r="AL146" s="89">
        <f t="shared" si="48"/>
        <v>0</v>
      </c>
      <c r="AM146" s="89">
        <f t="shared" si="48"/>
        <v>0</v>
      </c>
      <c r="AN146" s="89">
        <f t="shared" si="48"/>
        <v>0</v>
      </c>
      <c r="AO146" s="89">
        <f t="shared" si="48"/>
        <v>0</v>
      </c>
      <c r="AP146" s="89">
        <f t="shared" si="48"/>
        <v>0</v>
      </c>
      <c r="AQ146" s="89">
        <f t="shared" si="34"/>
        <v>0</v>
      </c>
      <c r="AR146" s="89">
        <f t="shared" si="35"/>
        <v>0</v>
      </c>
      <c r="AS146" s="89">
        <f t="shared" si="36"/>
        <v>0</v>
      </c>
      <c r="AT146" s="89">
        <f t="shared" si="37"/>
        <v>0</v>
      </c>
      <c r="AU146" s="89">
        <f t="shared" si="38"/>
        <v>0</v>
      </c>
      <c r="AV146" s="89">
        <f t="shared" si="39"/>
        <v>0</v>
      </c>
      <c r="AW146" s="89">
        <f t="shared" si="40"/>
        <v>0</v>
      </c>
      <c r="AX146" s="89">
        <f t="shared" si="41"/>
        <v>0</v>
      </c>
      <c r="AY146" s="89">
        <f t="shared" si="42"/>
        <v>0</v>
      </c>
      <c r="AZ146" s="89">
        <f t="shared" si="43"/>
        <v>0</v>
      </c>
      <c r="BA146" s="89">
        <f t="shared" si="44"/>
        <v>0</v>
      </c>
      <c r="BB146" s="89">
        <f t="shared" si="45"/>
        <v>0</v>
      </c>
    </row>
    <row r="147" spans="2:54">
      <c r="B147" s="52"/>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row>
    <row r="148" spans="2:54">
      <c r="B148" s="113" t="s">
        <v>98</v>
      </c>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row>
    <row r="149" spans="2:54" ht="15" customHeight="1">
      <c r="B149" s="52"/>
      <c r="C149" s="52"/>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row>
    <row r="150" spans="2:54">
      <c r="B150" s="7" t="s">
        <v>9</v>
      </c>
      <c r="C150" s="52"/>
      <c r="D150" s="34">
        <f>'Prevalence projection'!C$21</f>
        <v>2020</v>
      </c>
      <c r="E150" s="34">
        <f>'Prevalence projection'!D$21</f>
        <v>2021</v>
      </c>
      <c r="F150" s="34">
        <f>'Prevalence projection'!E$21</f>
        <v>2022</v>
      </c>
      <c r="G150" s="34">
        <f>'Prevalence projection'!F$21</f>
        <v>2023</v>
      </c>
      <c r="H150" s="34">
        <f>'Prevalence projection'!G$21</f>
        <v>2024</v>
      </c>
      <c r="I150" s="34">
        <f>'Prevalence projection'!H$21</f>
        <v>2025</v>
      </c>
      <c r="J150" s="34">
        <f>'Prevalence projection'!I$21</f>
        <v>2026</v>
      </c>
      <c r="K150" s="34">
        <f>'Prevalence projection'!J$21</f>
        <v>2027</v>
      </c>
      <c r="L150" s="34">
        <f>'Prevalence projection'!K$21</f>
        <v>2028</v>
      </c>
      <c r="M150" s="34">
        <f>'Prevalence projection'!L$21</f>
        <v>2029</v>
      </c>
      <c r="N150" s="34">
        <f>'Prevalence projection'!M$21</f>
        <v>2030</v>
      </c>
      <c r="O150" s="34">
        <f>'Prevalence projection'!N$21</f>
        <v>2031</v>
      </c>
      <c r="P150" s="34">
        <f>'Prevalence projection'!O$21</f>
        <v>2032</v>
      </c>
      <c r="Q150" s="34">
        <f>'Prevalence projection'!P$21</f>
        <v>2033</v>
      </c>
      <c r="R150" s="34">
        <f>'Prevalence projection'!Q$21</f>
        <v>2034</v>
      </c>
      <c r="S150" s="34">
        <f>'Prevalence projection'!R$21</f>
        <v>2035</v>
      </c>
      <c r="T150" s="34">
        <f>'Prevalence projection'!S$21</f>
        <v>2036</v>
      </c>
      <c r="U150" s="34">
        <f>'Prevalence projection'!T$21</f>
        <v>2037</v>
      </c>
      <c r="V150" s="34">
        <f>'Prevalence projection'!U$21</f>
        <v>2038</v>
      </c>
      <c r="W150" s="34">
        <f>'Prevalence projection'!V$21</f>
        <v>2039</v>
      </c>
      <c r="X150" s="34">
        <f>'Prevalence projection'!W$21</f>
        <v>2040</v>
      </c>
      <c r="Y150" s="34">
        <f>'Prevalence projection'!X$21</f>
        <v>2041</v>
      </c>
      <c r="Z150" s="34">
        <f>'Prevalence projection'!Y$21</f>
        <v>2042</v>
      </c>
      <c r="AA150" s="34">
        <f>'Prevalence projection'!Z$21</f>
        <v>2043</v>
      </c>
      <c r="AB150" s="34">
        <f>'Prevalence projection'!AA$21</f>
        <v>2044</v>
      </c>
      <c r="AC150" s="34">
        <f>'Prevalence projection'!AB$21</f>
        <v>2045</v>
      </c>
      <c r="AD150" s="34">
        <f>'Prevalence projection'!AC$21</f>
        <v>2046</v>
      </c>
      <c r="AE150" s="34">
        <f>'Prevalence projection'!AD$21</f>
        <v>2047</v>
      </c>
      <c r="AF150" s="34">
        <f>'Prevalence projection'!AE$21</f>
        <v>2048</v>
      </c>
      <c r="AG150" s="34">
        <f>'Prevalence projection'!AF$21</f>
        <v>2049</v>
      </c>
      <c r="AH150" s="34">
        <f>'Prevalence projection'!AG$21</f>
        <v>2050</v>
      </c>
      <c r="AI150" s="34">
        <f>'Prevalence projection'!AH$21</f>
        <v>2051</v>
      </c>
      <c r="AJ150" s="34">
        <f>'Prevalence projection'!AI$21</f>
        <v>2052</v>
      </c>
      <c r="AK150" s="34">
        <f>'Prevalence projection'!AJ$21</f>
        <v>2053</v>
      </c>
      <c r="AL150" s="34">
        <f>'Prevalence projection'!AK$21</f>
        <v>2054</v>
      </c>
      <c r="AM150" s="34">
        <f>'Prevalence projection'!AL$21</f>
        <v>2055</v>
      </c>
      <c r="AN150" s="34">
        <f>'Prevalence projection'!AM$21</f>
        <v>2056</v>
      </c>
      <c r="AO150" s="34">
        <f>'Prevalence projection'!AN$21</f>
        <v>2057</v>
      </c>
      <c r="AP150" s="34">
        <f>'Prevalence projection'!AO$21</f>
        <v>2058</v>
      </c>
      <c r="AQ150" s="34">
        <f>'Prevalence projection'!AP$21</f>
        <v>2059</v>
      </c>
      <c r="AR150" s="34">
        <f>'Prevalence projection'!AQ$21</f>
        <v>2060</v>
      </c>
      <c r="AS150" s="34">
        <f>'Prevalence projection'!AR$21</f>
        <v>2061</v>
      </c>
      <c r="AT150" s="34">
        <f>'Prevalence projection'!AS$21</f>
        <v>2062</v>
      </c>
      <c r="AU150" s="34">
        <f>'Prevalence projection'!AT$21</f>
        <v>2063</v>
      </c>
      <c r="AV150" s="34">
        <f>'Prevalence projection'!AU$21</f>
        <v>2064</v>
      </c>
      <c r="AW150" s="34">
        <f>'Prevalence projection'!AV$21</f>
        <v>2065</v>
      </c>
      <c r="AX150" s="34">
        <f>'Prevalence projection'!AW$21</f>
        <v>2066</v>
      </c>
      <c r="AY150" s="34">
        <f>'Prevalence projection'!AX$21</f>
        <v>2067</v>
      </c>
      <c r="AZ150" s="34">
        <f>'Prevalence projection'!AY$21</f>
        <v>2068</v>
      </c>
      <c r="BA150" s="34">
        <f>'Prevalence projection'!AZ$21</f>
        <v>2069</v>
      </c>
      <c r="BB150" s="34">
        <f>'Prevalence projection'!BA$21</f>
        <v>2070</v>
      </c>
    </row>
    <row r="151" spans="2:54">
      <c r="B151" s="6" t="s">
        <v>11</v>
      </c>
      <c r="D151" s="89">
        <f t="shared" ref="D151:AF159" si="50">INDEX($D$58:$D$75,MATCH($B151,$B$58:$B$75,0))*C$14</f>
        <v>77.632763276327637</v>
      </c>
      <c r="E151" s="89">
        <f t="shared" si="50"/>
        <v>86.530443109486342</v>
      </c>
      <c r="F151" s="89">
        <f t="shared" si="50"/>
        <v>95.539223579560698</v>
      </c>
      <c r="G151" s="89">
        <f t="shared" si="50"/>
        <v>104.67155796290666</v>
      </c>
      <c r="H151" s="89">
        <f t="shared" si="50"/>
        <v>113.94776680601383</v>
      </c>
      <c r="I151" s="89">
        <f t="shared" si="50"/>
        <v>123.37885108197183</v>
      </c>
      <c r="J151" s="89">
        <f t="shared" si="50"/>
        <v>132.95741207633426</v>
      </c>
      <c r="K151" s="89">
        <f t="shared" si="50"/>
        <v>142.68745044929776</v>
      </c>
      <c r="L151" s="89">
        <f t="shared" si="50"/>
        <v>152.63544505659962</v>
      </c>
      <c r="M151" s="89">
        <f t="shared" si="50"/>
        <v>162.76716929950825</v>
      </c>
      <c r="N151" s="89">
        <f t="shared" si="50"/>
        <v>173.0615526460264</v>
      </c>
      <c r="O151" s="89">
        <f t="shared" si="50"/>
        <v>183.50511019466455</v>
      </c>
      <c r="P151" s="89">
        <f t="shared" si="50"/>
        <v>194.08611497639575</v>
      </c>
      <c r="Q151" s="89">
        <f t="shared" si="50"/>
        <v>204.80965648290004</v>
      </c>
      <c r="R151" s="89">
        <f t="shared" si="50"/>
        <v>215.68562976057385</v>
      </c>
      <c r="S151" s="89">
        <f t="shared" si="50"/>
        <v>226.71465392332735</v>
      </c>
      <c r="T151" s="89">
        <f t="shared" si="50"/>
        <v>237.88425916463308</v>
      </c>
      <c r="U151" s="89">
        <f t="shared" si="50"/>
        <v>249.19275386874236</v>
      </c>
      <c r="V151" s="89">
        <f t="shared" si="50"/>
        <v>260.66441777109526</v>
      </c>
      <c r="W151" s="89">
        <f t="shared" si="50"/>
        <v>272.27940806219578</v>
      </c>
      <c r="X151" s="89">
        <f t="shared" si="50"/>
        <v>284.0291161983568</v>
      </c>
      <c r="Y151" s="89">
        <f t="shared" si="50"/>
        <v>295.90895078378554</v>
      </c>
      <c r="Z151" s="89">
        <f t="shared" si="50"/>
        <v>307.92611538982163</v>
      </c>
      <c r="AA151" s="89">
        <f t="shared" si="50"/>
        <v>320.07681276540342</v>
      </c>
      <c r="AB151" s="89">
        <f t="shared" si="50"/>
        <v>332.35463424742903</v>
      </c>
      <c r="AC151" s="89">
        <f t="shared" si="50"/>
        <v>344.7531730028864</v>
      </c>
      <c r="AD151" s="89">
        <f t="shared" si="50"/>
        <v>357.26524042804147</v>
      </c>
      <c r="AE151" s="89">
        <f t="shared" si="50"/>
        <v>369.88378658257091</v>
      </c>
      <c r="AF151" s="89">
        <f t="shared" si="50"/>
        <v>382.60142639734181</v>
      </c>
      <c r="AG151" s="89">
        <f t="shared" ref="AG151:AP166" si="51">INDEX($D$58:$D$75,MATCH($B151,$B$58:$B$75,0))*AF$14</f>
        <v>395.41461208079795</v>
      </c>
      <c r="AH151" s="89">
        <f t="shared" si="51"/>
        <v>408.32845313603684</v>
      </c>
      <c r="AI151" s="89">
        <f t="shared" si="51"/>
        <v>421.34125339334071</v>
      </c>
      <c r="AJ151" s="89">
        <f t="shared" si="51"/>
        <v>434.4542535169839</v>
      </c>
      <c r="AK151" s="89">
        <f t="shared" si="51"/>
        <v>447.6543049602555</v>
      </c>
      <c r="AL151" s="89">
        <f t="shared" si="51"/>
        <v>460.92841530148968</v>
      </c>
      <c r="AM151" s="89">
        <f t="shared" si="51"/>
        <v>474.26446326912884</v>
      </c>
      <c r="AN151" s="89">
        <f t="shared" si="51"/>
        <v>487.65846144403872</v>
      </c>
      <c r="AO151" s="89">
        <f t="shared" si="51"/>
        <v>501.10447105683545</v>
      </c>
      <c r="AP151" s="89">
        <f t="shared" si="51"/>
        <v>514.5945019324397</v>
      </c>
      <c r="AQ151" s="89">
        <f t="shared" ref="AQ151:AQ168" si="52">INDEX($D$58:$D$75,MATCH($B151,$B$58:$B$75,0))*AP$14</f>
        <v>528.13414525852647</v>
      </c>
      <c r="AR151" s="89">
        <f t="shared" ref="AR151:AR168" si="53">INDEX($D$58:$D$75,MATCH($B151,$B$58:$B$75,0))*AQ$14</f>
        <v>541.73327249413592</v>
      </c>
      <c r="AS151" s="89">
        <f t="shared" ref="AS151:AS168" si="54">INDEX($D$58:$D$75,MATCH($B151,$B$58:$B$75,0))*AR$14</f>
        <v>555.40210358876436</v>
      </c>
      <c r="AT151" s="89">
        <f t="shared" ref="AT151:AT168" si="55">INDEX($D$58:$D$75,MATCH($B151,$B$58:$B$75,0))*AS$14</f>
        <v>569.07093468339292</v>
      </c>
      <c r="AU151" s="89">
        <f t="shared" ref="AU151:AU168" si="56">INDEX($D$58:$D$75,MATCH($B151,$B$58:$B$75,0))*AT$14</f>
        <v>582.73976577802136</v>
      </c>
      <c r="AV151" s="89">
        <f t="shared" ref="AV151:AV168" si="57">INDEX($D$58:$D$75,MATCH($B151,$B$58:$B$75,0))*AU$14</f>
        <v>596.40859687264981</v>
      </c>
      <c r="AW151" s="89">
        <f t="shared" ref="AW151:AW168" si="58">INDEX($D$58:$D$75,MATCH($B151,$B$58:$B$75,0))*AV$14</f>
        <v>610.07742796727825</v>
      </c>
      <c r="AX151" s="89">
        <f t="shared" ref="AX151:AX168" si="59">INDEX($D$58:$D$75,MATCH($B151,$B$58:$B$75,0))*AW$14</f>
        <v>623.7462590619067</v>
      </c>
      <c r="AY151" s="89">
        <f t="shared" ref="AY151:AY168" si="60">INDEX($D$58:$D$75,MATCH($B151,$B$58:$B$75,0))*AX$14</f>
        <v>637.41509015653514</v>
      </c>
      <c r="AZ151" s="89">
        <f t="shared" ref="AZ151:AZ168" si="61">INDEX($D$58:$D$75,MATCH($B151,$B$58:$B$75,0))*AY$14</f>
        <v>651.08392125116359</v>
      </c>
      <c r="BA151" s="89">
        <f t="shared" ref="BA151:BA168" si="62">INDEX($D$58:$D$75,MATCH($B151,$B$58:$B$75,0))*AZ$14</f>
        <v>664.75275234579203</v>
      </c>
      <c r="BB151" s="89">
        <f t="shared" ref="BB151:BB168" si="63">INDEX($D$58:$D$75,MATCH($B151,$B$58:$B$75,0))*BA$14</f>
        <v>678.42158344042048</v>
      </c>
    </row>
    <row r="152" spans="2:54">
      <c r="B152" s="6" t="s">
        <v>14</v>
      </c>
      <c r="D152" s="89">
        <f t="shared" si="50"/>
        <v>0</v>
      </c>
      <c r="E152" s="89">
        <f t="shared" si="50"/>
        <v>0</v>
      </c>
      <c r="F152" s="89">
        <f t="shared" si="50"/>
        <v>0</v>
      </c>
      <c r="G152" s="89">
        <f t="shared" si="50"/>
        <v>0</v>
      </c>
      <c r="H152" s="89">
        <f t="shared" si="50"/>
        <v>0</v>
      </c>
      <c r="I152" s="89">
        <f t="shared" si="50"/>
        <v>0</v>
      </c>
      <c r="J152" s="89">
        <f t="shared" si="50"/>
        <v>0</v>
      </c>
      <c r="K152" s="89">
        <f t="shared" si="50"/>
        <v>0</v>
      </c>
      <c r="L152" s="89">
        <f t="shared" si="50"/>
        <v>0</v>
      </c>
      <c r="M152" s="89">
        <f t="shared" si="50"/>
        <v>0</v>
      </c>
      <c r="N152" s="89">
        <f t="shared" si="50"/>
        <v>0</v>
      </c>
      <c r="O152" s="89">
        <f t="shared" si="50"/>
        <v>0</v>
      </c>
      <c r="P152" s="89">
        <f t="shared" si="50"/>
        <v>0</v>
      </c>
      <c r="Q152" s="89">
        <f t="shared" si="50"/>
        <v>0</v>
      </c>
      <c r="R152" s="89">
        <f t="shared" si="50"/>
        <v>0</v>
      </c>
      <c r="S152" s="89">
        <f t="shared" si="50"/>
        <v>0</v>
      </c>
      <c r="T152" s="89">
        <f t="shared" si="50"/>
        <v>0</v>
      </c>
      <c r="U152" s="89">
        <f t="shared" si="50"/>
        <v>0</v>
      </c>
      <c r="V152" s="89">
        <f t="shared" si="50"/>
        <v>0</v>
      </c>
      <c r="W152" s="89">
        <f t="shared" si="50"/>
        <v>0</v>
      </c>
      <c r="X152" s="89">
        <f t="shared" si="50"/>
        <v>0</v>
      </c>
      <c r="Y152" s="89">
        <f t="shared" si="50"/>
        <v>0</v>
      </c>
      <c r="Z152" s="89">
        <f t="shared" si="50"/>
        <v>0</v>
      </c>
      <c r="AA152" s="89">
        <f t="shared" si="50"/>
        <v>0</v>
      </c>
      <c r="AB152" s="89">
        <f t="shared" si="50"/>
        <v>0</v>
      </c>
      <c r="AC152" s="89">
        <f t="shared" si="50"/>
        <v>0</v>
      </c>
      <c r="AD152" s="89">
        <f t="shared" si="50"/>
        <v>0</v>
      </c>
      <c r="AE152" s="89">
        <f t="shared" si="50"/>
        <v>0</v>
      </c>
      <c r="AF152" s="89">
        <f t="shared" si="50"/>
        <v>0</v>
      </c>
      <c r="AG152" s="89">
        <f t="shared" si="51"/>
        <v>0</v>
      </c>
      <c r="AH152" s="89">
        <f t="shared" si="51"/>
        <v>0</v>
      </c>
      <c r="AI152" s="89">
        <f t="shared" si="51"/>
        <v>0</v>
      </c>
      <c r="AJ152" s="89">
        <f t="shared" si="51"/>
        <v>0</v>
      </c>
      <c r="AK152" s="89">
        <f t="shared" si="51"/>
        <v>0</v>
      </c>
      <c r="AL152" s="89">
        <f t="shared" si="51"/>
        <v>0</v>
      </c>
      <c r="AM152" s="89">
        <f t="shared" si="51"/>
        <v>0</v>
      </c>
      <c r="AN152" s="89">
        <f t="shared" si="51"/>
        <v>0</v>
      </c>
      <c r="AO152" s="89">
        <f t="shared" si="51"/>
        <v>0</v>
      </c>
      <c r="AP152" s="89">
        <f t="shared" si="51"/>
        <v>0</v>
      </c>
      <c r="AQ152" s="89">
        <f t="shared" si="52"/>
        <v>0</v>
      </c>
      <c r="AR152" s="89">
        <f t="shared" si="53"/>
        <v>0</v>
      </c>
      <c r="AS152" s="89">
        <f t="shared" si="54"/>
        <v>0</v>
      </c>
      <c r="AT152" s="89">
        <f t="shared" si="55"/>
        <v>0</v>
      </c>
      <c r="AU152" s="89">
        <f t="shared" si="56"/>
        <v>0</v>
      </c>
      <c r="AV152" s="89">
        <f t="shared" si="57"/>
        <v>0</v>
      </c>
      <c r="AW152" s="89">
        <f t="shared" si="58"/>
        <v>0</v>
      </c>
      <c r="AX152" s="89">
        <f t="shared" si="59"/>
        <v>0</v>
      </c>
      <c r="AY152" s="89">
        <f t="shared" si="60"/>
        <v>0</v>
      </c>
      <c r="AZ152" s="89">
        <f t="shared" si="61"/>
        <v>0</v>
      </c>
      <c r="BA152" s="89">
        <f t="shared" si="62"/>
        <v>0</v>
      </c>
      <c r="BB152" s="89">
        <f t="shared" si="63"/>
        <v>0</v>
      </c>
    </row>
    <row r="153" spans="2:54">
      <c r="B153" s="6" t="s">
        <v>15</v>
      </c>
      <c r="D153" s="89">
        <f t="shared" si="50"/>
        <v>8.5424375562556243</v>
      </c>
      <c r="E153" s="89">
        <f t="shared" si="50"/>
        <v>9.5215071032169938</v>
      </c>
      <c r="F153" s="89">
        <f t="shared" si="50"/>
        <v>10.51280177541233</v>
      </c>
      <c r="G153" s="89">
        <f t="shared" si="50"/>
        <v>11.517691887785379</v>
      </c>
      <c r="H153" s="89">
        <f t="shared" si="50"/>
        <v>12.53841344214994</v>
      </c>
      <c r="I153" s="89">
        <f t="shared" si="50"/>
        <v>13.576176947081393</v>
      </c>
      <c r="J153" s="89">
        <f t="shared" si="50"/>
        <v>14.630168273937555</v>
      </c>
      <c r="K153" s="89">
        <f t="shared" si="50"/>
        <v>15.70082764136415</v>
      </c>
      <c r="L153" s="89">
        <f t="shared" si="50"/>
        <v>16.795470149970523</v>
      </c>
      <c r="M153" s="89">
        <f t="shared" si="50"/>
        <v>17.910329624625337</v>
      </c>
      <c r="N153" s="89">
        <f t="shared" si="50"/>
        <v>19.043087537734483</v>
      </c>
      <c r="O153" s="89">
        <f t="shared" si="50"/>
        <v>20.192260057935204</v>
      </c>
      <c r="P153" s="89">
        <f t="shared" si="50"/>
        <v>21.35655679060017</v>
      </c>
      <c r="Q153" s="89">
        <f t="shared" si="50"/>
        <v>22.536537765580629</v>
      </c>
      <c r="R153" s="89">
        <f t="shared" si="50"/>
        <v>23.733291799149381</v>
      </c>
      <c r="S153" s="89">
        <f t="shared" si="50"/>
        <v>24.946887016434207</v>
      </c>
      <c r="T153" s="89">
        <f t="shared" si="50"/>
        <v>26.175951283569145</v>
      </c>
      <c r="U153" s="89">
        <f t="shared" si="50"/>
        <v>27.420298461077866</v>
      </c>
      <c r="V153" s="89">
        <f t="shared" si="50"/>
        <v>28.682600206069122</v>
      </c>
      <c r="W153" s="89">
        <f t="shared" si="50"/>
        <v>29.960673085235808</v>
      </c>
      <c r="X153" s="89">
        <f t="shared" si="50"/>
        <v>31.253569844560484</v>
      </c>
      <c r="Y153" s="89">
        <f t="shared" si="50"/>
        <v>32.560785262920014</v>
      </c>
      <c r="Z153" s="89">
        <f t="shared" si="50"/>
        <v>33.883111996092104</v>
      </c>
      <c r="AA153" s="89">
        <f t="shared" si="50"/>
        <v>35.22013220786031</v>
      </c>
      <c r="AB153" s="89">
        <f t="shared" si="50"/>
        <v>36.571140711367221</v>
      </c>
      <c r="AC153" s="89">
        <f t="shared" si="50"/>
        <v>37.935432521132107</v>
      </c>
      <c r="AD153" s="89">
        <f t="shared" si="50"/>
        <v>39.312216628360183</v>
      </c>
      <c r="AE153" s="89">
        <f t="shared" si="50"/>
        <v>40.700717282293063</v>
      </c>
      <c r="AF153" s="89">
        <f t="shared" si="50"/>
        <v>42.1001218557711</v>
      </c>
      <c r="AG153" s="89">
        <f t="shared" si="51"/>
        <v>43.510039962228717</v>
      </c>
      <c r="AH153" s="89">
        <f t="shared" si="51"/>
        <v>44.931033833503513</v>
      </c>
      <c r="AI153" s="89">
        <f t="shared" si="51"/>
        <v>46.362916829016328</v>
      </c>
      <c r="AJ153" s="89">
        <f t="shared" si="51"/>
        <v>47.805825467121601</v>
      </c>
      <c r="AK153" s="89">
        <f t="shared" si="51"/>
        <v>49.25831292775915</v>
      </c>
      <c r="AL153" s="89">
        <f t="shared" si="51"/>
        <v>50.718949570322366</v>
      </c>
      <c r="AM153" s="89">
        <f t="shared" si="51"/>
        <v>52.186401612513492</v>
      </c>
      <c r="AN153" s="89">
        <f t="shared" si="51"/>
        <v>53.660230292686961</v>
      </c>
      <c r="AO153" s="89">
        <f t="shared" si="51"/>
        <v>55.139782129445472</v>
      </c>
      <c r="AP153" s="89">
        <f t="shared" si="51"/>
        <v>56.6241779118889</v>
      </c>
      <c r="AQ153" s="89">
        <f t="shared" si="52"/>
        <v>58.114032874739841</v>
      </c>
      <c r="AR153" s="89">
        <f t="shared" si="53"/>
        <v>59.610433238800979</v>
      </c>
      <c r="AS153" s="89">
        <f t="shared" si="54"/>
        <v>61.114503571545072</v>
      </c>
      <c r="AT153" s="89">
        <f t="shared" si="55"/>
        <v>62.618573904289157</v>
      </c>
      <c r="AU153" s="89">
        <f t="shared" si="56"/>
        <v>64.122644237033242</v>
      </c>
      <c r="AV153" s="89">
        <f t="shared" si="57"/>
        <v>65.626714569777334</v>
      </c>
      <c r="AW153" s="89">
        <f t="shared" si="58"/>
        <v>67.130784902521413</v>
      </c>
      <c r="AX153" s="89">
        <f t="shared" si="59"/>
        <v>68.634855235265491</v>
      </c>
      <c r="AY153" s="89">
        <f t="shared" si="60"/>
        <v>70.138925568009583</v>
      </c>
      <c r="AZ153" s="89">
        <f t="shared" si="61"/>
        <v>71.642995900753661</v>
      </c>
      <c r="BA153" s="89">
        <f t="shared" si="62"/>
        <v>73.147066233497739</v>
      </c>
      <c r="BB153" s="89">
        <f t="shared" si="63"/>
        <v>74.651136566241817</v>
      </c>
    </row>
    <row r="154" spans="2:54" ht="29">
      <c r="B154" s="6" t="s">
        <v>16</v>
      </c>
      <c r="D154" s="89">
        <f t="shared" si="50"/>
        <v>25.545681818181819</v>
      </c>
      <c r="E154" s="89">
        <f t="shared" si="50"/>
        <v>28.473534548721361</v>
      </c>
      <c r="F154" s="89">
        <f t="shared" si="50"/>
        <v>31.437945832643084</v>
      </c>
      <c r="G154" s="89">
        <f t="shared" si="50"/>
        <v>34.443013520158139</v>
      </c>
      <c r="H154" s="89">
        <f t="shared" si="50"/>
        <v>37.495424249653304</v>
      </c>
      <c r="I154" s="89">
        <f t="shared" si="50"/>
        <v>40.598797979331486</v>
      </c>
      <c r="J154" s="89">
        <f t="shared" si="50"/>
        <v>43.750700103014402</v>
      </c>
      <c r="K154" s="89">
        <f t="shared" si="50"/>
        <v>46.952447069945016</v>
      </c>
      <c r="L154" s="89">
        <f t="shared" si="50"/>
        <v>50.225914279434562</v>
      </c>
      <c r="M154" s="89">
        <f t="shared" si="50"/>
        <v>53.55983919535759</v>
      </c>
      <c r="N154" s="89">
        <f t="shared" si="50"/>
        <v>56.947288390596164</v>
      </c>
      <c r="O154" s="89">
        <f t="shared" si="50"/>
        <v>60.383824550435932</v>
      </c>
      <c r="P154" s="89">
        <f t="shared" si="50"/>
        <v>63.86558882190284</v>
      </c>
      <c r="Q154" s="89">
        <f t="shared" si="50"/>
        <v>67.394255942950124</v>
      </c>
      <c r="R154" s="89">
        <f t="shared" si="50"/>
        <v>70.973081957754914</v>
      </c>
      <c r="S154" s="89">
        <f t="shared" si="50"/>
        <v>74.602270590702247</v>
      </c>
      <c r="T154" s="89">
        <f t="shared" si="50"/>
        <v>78.277718552195836</v>
      </c>
      <c r="U154" s="89">
        <f t="shared" si="50"/>
        <v>81.998869202540618</v>
      </c>
      <c r="V154" s="89">
        <f t="shared" si="50"/>
        <v>85.773711982921071</v>
      </c>
      <c r="W154" s="89">
        <f t="shared" si="50"/>
        <v>89.595717458130039</v>
      </c>
      <c r="X154" s="89">
        <f t="shared" si="50"/>
        <v>93.462052917998889</v>
      </c>
      <c r="Y154" s="89">
        <f t="shared" si="50"/>
        <v>97.371207527010895</v>
      </c>
      <c r="Z154" s="89">
        <f t="shared" si="50"/>
        <v>101.32555167794393</v>
      </c>
      <c r="AA154" s="89">
        <f t="shared" si="50"/>
        <v>105.32383585495813</v>
      </c>
      <c r="AB154" s="89">
        <f t="shared" si="50"/>
        <v>109.3639512361905</v>
      </c>
      <c r="AC154" s="89">
        <f t="shared" si="50"/>
        <v>113.4437896019838</v>
      </c>
      <c r="AD154" s="89">
        <f t="shared" si="50"/>
        <v>117.56098548477047</v>
      </c>
      <c r="AE154" s="89">
        <f t="shared" si="50"/>
        <v>121.71321904528762</v>
      </c>
      <c r="AF154" s="89">
        <f t="shared" si="50"/>
        <v>125.89806016745651</v>
      </c>
      <c r="AG154" s="89">
        <f t="shared" si="51"/>
        <v>130.11434142208321</v>
      </c>
      <c r="AH154" s="89">
        <f t="shared" si="51"/>
        <v>134.36374413203802</v>
      </c>
      <c r="AI154" s="89">
        <f t="shared" si="51"/>
        <v>138.6457101591059</v>
      </c>
      <c r="AJ154" s="89">
        <f t="shared" si="51"/>
        <v>142.9606477537917</v>
      </c>
      <c r="AK154" s="89">
        <f t="shared" si="51"/>
        <v>147.30423028161175</v>
      </c>
      <c r="AL154" s="89">
        <f t="shared" si="51"/>
        <v>151.67218248227761</v>
      </c>
      <c r="AM154" s="89">
        <f t="shared" si="51"/>
        <v>156.06051575441302</v>
      </c>
      <c r="AN154" s="89">
        <f t="shared" si="51"/>
        <v>160.46791800585251</v>
      </c>
      <c r="AO154" s="89">
        <f t="shared" si="51"/>
        <v>164.89243503702016</v>
      </c>
      <c r="AP154" s="89">
        <f t="shared" si="51"/>
        <v>169.33143761688476</v>
      </c>
      <c r="AQ154" s="89">
        <f t="shared" si="52"/>
        <v>173.78676557048018</v>
      </c>
      <c r="AR154" s="89">
        <f t="shared" si="53"/>
        <v>178.26166718037538</v>
      </c>
      <c r="AS154" s="89">
        <f t="shared" si="54"/>
        <v>182.75950540271165</v>
      </c>
      <c r="AT154" s="89">
        <f t="shared" si="55"/>
        <v>187.25734362504792</v>
      </c>
      <c r="AU154" s="89">
        <f t="shared" si="56"/>
        <v>191.75518184738416</v>
      </c>
      <c r="AV154" s="89">
        <f t="shared" si="57"/>
        <v>196.25302006972044</v>
      </c>
      <c r="AW154" s="89">
        <f t="shared" si="58"/>
        <v>200.75085829205668</v>
      </c>
      <c r="AX154" s="89">
        <f t="shared" si="59"/>
        <v>205.24869651439292</v>
      </c>
      <c r="AY154" s="89">
        <f t="shared" si="60"/>
        <v>209.74653473672916</v>
      </c>
      <c r="AZ154" s="89">
        <f t="shared" si="61"/>
        <v>214.2443729590654</v>
      </c>
      <c r="BA154" s="89">
        <f t="shared" si="62"/>
        <v>218.74221118140164</v>
      </c>
      <c r="BB154" s="89">
        <f t="shared" si="63"/>
        <v>223.24004940373788</v>
      </c>
    </row>
    <row r="155" spans="2:54">
      <c r="B155" s="6" t="s">
        <v>103</v>
      </c>
      <c r="D155" s="89">
        <f t="shared" si="50"/>
        <v>25.874883550855088</v>
      </c>
      <c r="E155" s="89">
        <f t="shared" si="50"/>
        <v>28.840466892727139</v>
      </c>
      <c r="F155" s="89">
        <f t="shared" si="50"/>
        <v>31.843079910232213</v>
      </c>
      <c r="G155" s="89">
        <f t="shared" si="50"/>
        <v>34.886873261699847</v>
      </c>
      <c r="H155" s="89">
        <f t="shared" si="50"/>
        <v>37.978619754794202</v>
      </c>
      <c r="I155" s="89">
        <f t="shared" si="50"/>
        <v>41.121985997344595</v>
      </c>
      <c r="J155" s="89">
        <f t="shared" si="50"/>
        <v>44.314506008924099</v>
      </c>
      <c r="K155" s="89">
        <f t="shared" si="50"/>
        <v>47.557513203575269</v>
      </c>
      <c r="L155" s="89">
        <f t="shared" si="50"/>
        <v>50.873164884197074</v>
      </c>
      <c r="M155" s="89">
        <f t="shared" si="50"/>
        <v>54.250053376772158</v>
      </c>
      <c r="N155" s="89">
        <f t="shared" si="50"/>
        <v>57.681155904591641</v>
      </c>
      <c r="O155" s="89">
        <f t="shared" si="50"/>
        <v>61.161977970216405</v>
      </c>
      <c r="P155" s="89">
        <f t="shared" si="50"/>
        <v>64.688610992460255</v>
      </c>
      <c r="Q155" s="89">
        <f t="shared" si="50"/>
        <v>68.262751291265872</v>
      </c>
      <c r="R155" s="89">
        <f t="shared" si="50"/>
        <v>71.887696870754624</v>
      </c>
      <c r="S155" s="89">
        <f t="shared" si="50"/>
        <v>75.563654080664122</v>
      </c>
      <c r="T155" s="89">
        <f t="shared" si="50"/>
        <v>79.286466753183461</v>
      </c>
      <c r="U155" s="89">
        <f t="shared" si="50"/>
        <v>83.055571075321026</v>
      </c>
      <c r="V155" s="89">
        <f t="shared" si="50"/>
        <v>86.879059446479403</v>
      </c>
      <c r="W155" s="89">
        <f t="shared" si="50"/>
        <v>90.75031828801778</v>
      </c>
      <c r="X155" s="89">
        <f t="shared" si="50"/>
        <v>94.666478385238022</v>
      </c>
      <c r="Y155" s="89">
        <f t="shared" si="50"/>
        <v>98.626009432809553</v>
      </c>
      <c r="Z155" s="89">
        <f t="shared" si="50"/>
        <v>102.63131237025448</v>
      </c>
      <c r="AA155" s="89">
        <f t="shared" si="50"/>
        <v>106.68112157948983</v>
      </c>
      <c r="AB155" s="89">
        <f t="shared" si="50"/>
        <v>110.77330106271674</v>
      </c>
      <c r="AC155" s="89">
        <f t="shared" si="50"/>
        <v>114.90571543210254</v>
      </c>
      <c r="AD155" s="89">
        <f t="shared" si="50"/>
        <v>119.07596873680558</v>
      </c>
      <c r="AE155" s="89">
        <f t="shared" si="50"/>
        <v>123.28171124229101</v>
      </c>
      <c r="AF155" s="89">
        <f t="shared" si="50"/>
        <v>127.52048151609443</v>
      </c>
      <c r="AG155" s="89">
        <f t="shared" si="51"/>
        <v>131.79109708461183</v>
      </c>
      <c r="AH155" s="89">
        <f t="shared" si="51"/>
        <v>136.09526093756139</v>
      </c>
      <c r="AI155" s="89">
        <f t="shared" si="51"/>
        <v>140.43240774412038</v>
      </c>
      <c r="AJ155" s="89">
        <f t="shared" si="51"/>
        <v>144.80295101583047</v>
      </c>
      <c r="AK155" s="89">
        <f t="shared" si="51"/>
        <v>149.20250836179574</v>
      </c>
      <c r="AL155" s="89">
        <f t="shared" si="51"/>
        <v>153.62674942736356</v>
      </c>
      <c r="AM155" s="89">
        <f t="shared" si="51"/>
        <v>158.07163421090576</v>
      </c>
      <c r="AN155" s="89">
        <f t="shared" si="51"/>
        <v>162.53583371160596</v>
      </c>
      <c r="AO155" s="89">
        <f t="shared" si="51"/>
        <v>167.01736854653669</v>
      </c>
      <c r="AP155" s="89">
        <f t="shared" si="51"/>
        <v>171.51357560232927</v>
      </c>
      <c r="AQ155" s="89">
        <f t="shared" si="52"/>
        <v>176.02631841344899</v>
      </c>
      <c r="AR155" s="89">
        <f t="shared" si="53"/>
        <v>180.55888712238678</v>
      </c>
      <c r="AS155" s="89">
        <f t="shared" si="54"/>
        <v>185.11468802297981</v>
      </c>
      <c r="AT155" s="89">
        <f t="shared" si="55"/>
        <v>189.67048892357286</v>
      </c>
      <c r="AU155" s="89">
        <f t="shared" si="56"/>
        <v>194.22628982416589</v>
      </c>
      <c r="AV155" s="89">
        <f t="shared" si="57"/>
        <v>198.78209072475892</v>
      </c>
      <c r="AW155" s="89">
        <f t="shared" si="58"/>
        <v>203.33789162535192</v>
      </c>
      <c r="AX155" s="89">
        <f t="shared" si="59"/>
        <v>207.89369252594494</v>
      </c>
      <c r="AY155" s="89">
        <f t="shared" si="60"/>
        <v>212.44949342653794</v>
      </c>
      <c r="AZ155" s="89">
        <f t="shared" si="61"/>
        <v>217.00529432713097</v>
      </c>
      <c r="BA155" s="89">
        <f t="shared" si="62"/>
        <v>221.561095227724</v>
      </c>
      <c r="BB155" s="89">
        <f t="shared" si="63"/>
        <v>226.11689612831699</v>
      </c>
    </row>
    <row r="156" spans="2:54">
      <c r="B156" s="6" t="s">
        <v>104</v>
      </c>
      <c r="D156" s="89">
        <f t="shared" si="50"/>
        <v>232.89828982898288</v>
      </c>
      <c r="E156" s="89">
        <f t="shared" si="50"/>
        <v>259.59132932845904</v>
      </c>
      <c r="F156" s="89">
        <f t="shared" si="50"/>
        <v>286.61767073868208</v>
      </c>
      <c r="G156" s="89">
        <f t="shared" si="50"/>
        <v>314.01467388871998</v>
      </c>
      <c r="H156" s="89">
        <f t="shared" si="50"/>
        <v>341.84330041804151</v>
      </c>
      <c r="I156" s="89">
        <f t="shared" si="50"/>
        <v>370.13655324591548</v>
      </c>
      <c r="J156" s="89">
        <f t="shared" si="50"/>
        <v>398.87223622900279</v>
      </c>
      <c r="K156" s="89">
        <f t="shared" si="50"/>
        <v>428.06235134789324</v>
      </c>
      <c r="L156" s="89">
        <f t="shared" si="50"/>
        <v>457.90633516979887</v>
      </c>
      <c r="M156" s="89">
        <f t="shared" si="50"/>
        <v>488.30150789852473</v>
      </c>
      <c r="N156" s="89">
        <f t="shared" si="50"/>
        <v>519.18465793807923</v>
      </c>
      <c r="O156" s="89">
        <f t="shared" si="50"/>
        <v>550.51533058399366</v>
      </c>
      <c r="P156" s="89">
        <f t="shared" si="50"/>
        <v>582.25834492918727</v>
      </c>
      <c r="Q156" s="89">
        <f t="shared" si="50"/>
        <v>614.42896944870017</v>
      </c>
      <c r="R156" s="89">
        <f t="shared" si="50"/>
        <v>647.05688928172151</v>
      </c>
      <c r="S156" s="89">
        <f t="shared" si="50"/>
        <v>680.14396176998196</v>
      </c>
      <c r="T156" s="89">
        <f t="shared" si="50"/>
        <v>713.65277749389918</v>
      </c>
      <c r="U156" s="89">
        <f t="shared" si="50"/>
        <v>747.5782616062271</v>
      </c>
      <c r="V156" s="89">
        <f t="shared" si="50"/>
        <v>781.99325331328578</v>
      </c>
      <c r="W156" s="89">
        <f t="shared" si="50"/>
        <v>816.83822418658747</v>
      </c>
      <c r="X156" s="89">
        <f t="shared" si="50"/>
        <v>852.08734859507035</v>
      </c>
      <c r="Y156" s="89">
        <f t="shared" si="50"/>
        <v>887.72685235135657</v>
      </c>
      <c r="Z156" s="89">
        <f t="shared" si="50"/>
        <v>923.77834616946495</v>
      </c>
      <c r="AA156" s="89">
        <f t="shared" si="50"/>
        <v>960.23043829621031</v>
      </c>
      <c r="AB156" s="89">
        <f t="shared" si="50"/>
        <v>997.06390274228715</v>
      </c>
      <c r="AC156" s="89">
        <f t="shared" si="50"/>
        <v>1034.2595190086593</v>
      </c>
      <c r="AD156" s="89">
        <f t="shared" si="50"/>
        <v>1071.7957212841243</v>
      </c>
      <c r="AE156" s="89">
        <f t="shared" si="50"/>
        <v>1109.6513597477126</v>
      </c>
      <c r="AF156" s="89">
        <f t="shared" si="50"/>
        <v>1147.8042791920254</v>
      </c>
      <c r="AG156" s="89">
        <f t="shared" si="51"/>
        <v>1186.2438362423939</v>
      </c>
      <c r="AH156" s="89">
        <f t="shared" si="51"/>
        <v>1224.9853594081105</v>
      </c>
      <c r="AI156" s="89">
        <f t="shared" si="51"/>
        <v>1264.023760180022</v>
      </c>
      <c r="AJ156" s="89">
        <f t="shared" si="51"/>
        <v>1303.3627605509519</v>
      </c>
      <c r="AK156" s="89">
        <f t="shared" si="51"/>
        <v>1342.9629148807664</v>
      </c>
      <c r="AL156" s="89">
        <f t="shared" si="51"/>
        <v>1382.7852459044691</v>
      </c>
      <c r="AM156" s="89">
        <f t="shared" si="51"/>
        <v>1422.7933898073866</v>
      </c>
      <c r="AN156" s="89">
        <f t="shared" si="51"/>
        <v>1462.9753843321162</v>
      </c>
      <c r="AO156" s="89">
        <f t="shared" si="51"/>
        <v>1503.3134131705062</v>
      </c>
      <c r="AP156" s="89">
        <f t="shared" si="51"/>
        <v>1543.7835057973191</v>
      </c>
      <c r="AQ156" s="89">
        <f t="shared" si="52"/>
        <v>1584.4024357755793</v>
      </c>
      <c r="AR156" s="89">
        <f t="shared" si="53"/>
        <v>1625.1998174824078</v>
      </c>
      <c r="AS156" s="89">
        <f t="shared" si="54"/>
        <v>1666.2063107662932</v>
      </c>
      <c r="AT156" s="89">
        <f t="shared" si="55"/>
        <v>1707.2128040501786</v>
      </c>
      <c r="AU156" s="89">
        <f t="shared" si="56"/>
        <v>1748.2192973340643</v>
      </c>
      <c r="AV156" s="89">
        <f t="shared" si="57"/>
        <v>1789.2257906179495</v>
      </c>
      <c r="AW156" s="89">
        <f t="shared" si="58"/>
        <v>1830.2322839018348</v>
      </c>
      <c r="AX156" s="89">
        <f t="shared" si="59"/>
        <v>1871.2387771857202</v>
      </c>
      <c r="AY156" s="89">
        <f t="shared" si="60"/>
        <v>1912.2452704696054</v>
      </c>
      <c r="AZ156" s="89">
        <f t="shared" si="61"/>
        <v>1953.2517637534909</v>
      </c>
      <c r="BA156" s="89">
        <f t="shared" si="62"/>
        <v>1994.2582570373761</v>
      </c>
      <c r="BB156" s="89">
        <f t="shared" si="63"/>
        <v>2035.2647503212615</v>
      </c>
    </row>
    <row r="157" spans="2:54">
      <c r="B157" s="6" t="s">
        <v>17</v>
      </c>
      <c r="D157" s="89">
        <f t="shared" si="50"/>
        <v>12654.140414041405</v>
      </c>
      <c r="E157" s="89">
        <f t="shared" si="50"/>
        <v>14104.462226846275</v>
      </c>
      <c r="F157" s="89">
        <f t="shared" si="50"/>
        <v>15572.893443468394</v>
      </c>
      <c r="G157" s="89">
        <f t="shared" si="50"/>
        <v>17061.463947953787</v>
      </c>
      <c r="H157" s="89">
        <f t="shared" si="50"/>
        <v>18573.485989380257</v>
      </c>
      <c r="I157" s="89">
        <f t="shared" si="50"/>
        <v>20110.75272636141</v>
      </c>
      <c r="J157" s="89">
        <f t="shared" si="50"/>
        <v>21672.058168442483</v>
      </c>
      <c r="K157" s="89">
        <f t="shared" si="50"/>
        <v>23258.054423235531</v>
      </c>
      <c r="L157" s="89">
        <f t="shared" si="50"/>
        <v>24879.57754422574</v>
      </c>
      <c r="M157" s="89">
        <f t="shared" si="50"/>
        <v>26531.048595819844</v>
      </c>
      <c r="N157" s="89">
        <f t="shared" si="50"/>
        <v>28209.033081302307</v>
      </c>
      <c r="O157" s="89">
        <f t="shared" si="50"/>
        <v>29911.332961730324</v>
      </c>
      <c r="P157" s="89">
        <f t="shared" si="50"/>
        <v>31636.036741152511</v>
      </c>
      <c r="Q157" s="89">
        <f t="shared" si="50"/>
        <v>33383.974006712706</v>
      </c>
      <c r="R157" s="89">
        <f t="shared" si="50"/>
        <v>35156.757650973537</v>
      </c>
      <c r="S157" s="89">
        <f t="shared" si="50"/>
        <v>36954.488589502354</v>
      </c>
      <c r="T157" s="89">
        <f t="shared" si="50"/>
        <v>38775.134243835193</v>
      </c>
      <c r="U157" s="89">
        <f t="shared" si="50"/>
        <v>40618.418880605008</v>
      </c>
      <c r="V157" s="89">
        <f t="shared" si="50"/>
        <v>42488.30009668853</v>
      </c>
      <c r="W157" s="89">
        <f t="shared" si="50"/>
        <v>44381.54351413792</v>
      </c>
      <c r="X157" s="89">
        <f t="shared" si="50"/>
        <v>46296.745940332155</v>
      </c>
      <c r="Y157" s="89">
        <f t="shared" si="50"/>
        <v>48233.158977757041</v>
      </c>
      <c r="Z157" s="89">
        <f t="shared" si="50"/>
        <v>50191.956808540926</v>
      </c>
      <c r="AA157" s="89">
        <f t="shared" si="50"/>
        <v>52172.520480760759</v>
      </c>
      <c r="AB157" s="89">
        <f t="shared" si="50"/>
        <v>54173.805382330931</v>
      </c>
      <c r="AC157" s="89">
        <f t="shared" si="50"/>
        <v>56194.76719947048</v>
      </c>
      <c r="AD157" s="89">
        <f t="shared" si="50"/>
        <v>58234.234189770759</v>
      </c>
      <c r="AE157" s="89">
        <f t="shared" si="50"/>
        <v>60291.057212959058</v>
      </c>
      <c r="AF157" s="89">
        <f t="shared" si="50"/>
        <v>62364.03250276672</v>
      </c>
      <c r="AG157" s="89">
        <f t="shared" si="51"/>
        <v>64452.581769170065</v>
      </c>
      <c r="AH157" s="89">
        <f t="shared" si="51"/>
        <v>66557.537861174002</v>
      </c>
      <c r="AI157" s="89">
        <f t="shared" si="51"/>
        <v>68678.624303114542</v>
      </c>
      <c r="AJ157" s="89">
        <f t="shared" si="51"/>
        <v>70816.043323268386</v>
      </c>
      <c r="AK157" s="89">
        <f t="shared" si="51"/>
        <v>72967.651708521647</v>
      </c>
      <c r="AL157" s="89">
        <f t="shared" si="51"/>
        <v>75131.33169414282</v>
      </c>
      <c r="AM157" s="89">
        <f t="shared" si="51"/>
        <v>77305.10751286801</v>
      </c>
      <c r="AN157" s="89">
        <f t="shared" si="51"/>
        <v>79488.329215378311</v>
      </c>
      <c r="AO157" s="89">
        <f t="shared" si="51"/>
        <v>81680.028782264184</v>
      </c>
      <c r="AP157" s="89">
        <f t="shared" si="51"/>
        <v>83878.903814987672</v>
      </c>
      <c r="AQ157" s="89">
        <f t="shared" si="52"/>
        <v>86085.865677139809</v>
      </c>
      <c r="AR157" s="89">
        <f t="shared" si="53"/>
        <v>88302.523416544151</v>
      </c>
      <c r="AS157" s="89">
        <f t="shared" si="54"/>
        <v>90530.5428849686</v>
      </c>
      <c r="AT157" s="89">
        <f t="shared" si="55"/>
        <v>92758.562353393048</v>
      </c>
      <c r="AU157" s="89">
        <f t="shared" si="56"/>
        <v>94986.581821817497</v>
      </c>
      <c r="AV157" s="89">
        <f t="shared" si="57"/>
        <v>97214.601290241932</v>
      </c>
      <c r="AW157" s="89">
        <f t="shared" si="58"/>
        <v>99442.620758666366</v>
      </c>
      <c r="AX157" s="89">
        <f t="shared" si="59"/>
        <v>101670.6402270908</v>
      </c>
      <c r="AY157" s="89">
        <f t="shared" si="60"/>
        <v>103898.65969551523</v>
      </c>
      <c r="AZ157" s="89">
        <f t="shared" si="61"/>
        <v>106126.67916393967</v>
      </c>
      <c r="BA157" s="89">
        <f t="shared" si="62"/>
        <v>108354.6986323641</v>
      </c>
      <c r="BB157" s="89">
        <f t="shared" si="63"/>
        <v>110582.71810078854</v>
      </c>
    </row>
    <row r="158" spans="2:54" ht="29">
      <c r="B158" s="6" t="s">
        <v>106</v>
      </c>
      <c r="D158" s="89">
        <f t="shared" si="50"/>
        <v>11.796380530910234</v>
      </c>
      <c r="E158" s="89">
        <f t="shared" si="50"/>
        <v>13.148392397092916</v>
      </c>
      <c r="F158" s="89">
        <f t="shared" si="50"/>
        <v>14.517286122621739</v>
      </c>
      <c r="G158" s="89">
        <f t="shared" si="50"/>
        <v>15.904953996017067</v>
      </c>
      <c r="H158" s="89">
        <f t="shared" si="50"/>
        <v>17.314483745821217</v>
      </c>
      <c r="I158" s="89">
        <f t="shared" si="50"/>
        <v>18.747546981536395</v>
      </c>
      <c r="J158" s="89">
        <f t="shared" si="50"/>
        <v>20.203019460673147</v>
      </c>
      <c r="K158" s="89">
        <f t="shared" si="50"/>
        <v>21.681509087781848</v>
      </c>
      <c r="L158" s="89">
        <f t="shared" si="50"/>
        <v>23.19311739533979</v>
      </c>
      <c r="M158" s="89">
        <f t="shared" si="50"/>
        <v>24.732643615451071</v>
      </c>
      <c r="N158" s="89">
        <f t="shared" si="50"/>
        <v>26.296886058481856</v>
      </c>
      <c r="O158" s="89">
        <f t="shared" si="50"/>
        <v>27.883795679381073</v>
      </c>
      <c r="P158" s="89">
        <f t="shared" si="50"/>
        <v>29.491590552795586</v>
      </c>
      <c r="Q158" s="89">
        <f t="shared" si="50"/>
        <v>31.121044032371881</v>
      </c>
      <c r="R158" s="89">
        <f t="shared" si="50"/>
        <v>32.773659680880847</v>
      </c>
      <c r="S158" s="89">
        <f t="shared" si="50"/>
        <v>34.44953157333628</v>
      </c>
      <c r="T158" s="89">
        <f t="shared" si="50"/>
        <v>36.146764909440769</v>
      </c>
      <c r="U158" s="89">
        <f t="shared" si="50"/>
        <v>37.865102646391243</v>
      </c>
      <c r="V158" s="89">
        <f t="shared" si="50"/>
        <v>39.608234115680645</v>
      </c>
      <c r="W158" s="89">
        <f t="shared" si="50"/>
        <v>41.373144181408392</v>
      </c>
      <c r="X158" s="89">
        <f t="shared" si="50"/>
        <v>43.158524766251631</v>
      </c>
      <c r="Y158" s="89">
        <f t="shared" si="50"/>
        <v>44.963678202761059</v>
      </c>
      <c r="Z158" s="89">
        <f t="shared" si="50"/>
        <v>46.789699081224548</v>
      </c>
      <c r="AA158" s="89">
        <f t="shared" si="50"/>
        <v>48.636010405325024</v>
      </c>
      <c r="AB158" s="89">
        <f t="shared" si="50"/>
        <v>50.501638371922503</v>
      </c>
      <c r="AC158" s="89">
        <f t="shared" si="50"/>
        <v>52.385609455961074</v>
      </c>
      <c r="AD158" s="89">
        <f t="shared" si="50"/>
        <v>54.286831341496374</v>
      </c>
      <c r="AE158" s="89">
        <f t="shared" si="50"/>
        <v>56.204232782636019</v>
      </c>
      <c r="AF158" s="89">
        <f t="shared" si="50"/>
        <v>58.136691610310372</v>
      </c>
      <c r="AG158" s="89">
        <f t="shared" si="51"/>
        <v>60.083668733838181</v>
      </c>
      <c r="AH158" s="89">
        <f t="shared" si="51"/>
        <v>62.045940547621996</v>
      </c>
      <c r="AI158" s="89">
        <f t="shared" si="51"/>
        <v>64.023249316878321</v>
      </c>
      <c r="AJ158" s="89">
        <f t="shared" si="51"/>
        <v>66.015783561856523</v>
      </c>
      <c r="AK158" s="89">
        <f t="shared" si="51"/>
        <v>68.021545346970044</v>
      </c>
      <c r="AL158" s="89">
        <f t="shared" si="51"/>
        <v>70.03856045999818</v>
      </c>
      <c r="AM158" s="89">
        <f t="shared" si="51"/>
        <v>72.064987060901032</v>
      </c>
      <c r="AN158" s="89">
        <f t="shared" si="51"/>
        <v>74.100219257121623</v>
      </c>
      <c r="AO158" s="89">
        <f t="shared" si="51"/>
        <v>76.143354646367683</v>
      </c>
      <c r="AP158" s="89">
        <f t="shared" si="51"/>
        <v>78.193179113080703</v>
      </c>
      <c r="AQ158" s="89">
        <f t="shared" si="52"/>
        <v>80.250542244144469</v>
      </c>
      <c r="AR158" s="89">
        <f t="shared" si="53"/>
        <v>82.316944018206172</v>
      </c>
      <c r="AS158" s="89">
        <f t="shared" si="54"/>
        <v>84.393937367406494</v>
      </c>
      <c r="AT158" s="89">
        <f t="shared" si="55"/>
        <v>86.47093071660683</v>
      </c>
      <c r="AU158" s="89">
        <f t="shared" si="56"/>
        <v>88.547924065807152</v>
      </c>
      <c r="AV158" s="89">
        <f t="shared" si="57"/>
        <v>90.624917415007474</v>
      </c>
      <c r="AW158" s="89">
        <f t="shared" si="58"/>
        <v>92.701910764207796</v>
      </c>
      <c r="AX158" s="89">
        <f t="shared" si="59"/>
        <v>94.778904113408117</v>
      </c>
      <c r="AY158" s="89">
        <f t="shared" si="60"/>
        <v>96.855897462608439</v>
      </c>
      <c r="AZ158" s="89">
        <f t="shared" si="61"/>
        <v>98.932890811808747</v>
      </c>
      <c r="BA158" s="89">
        <f t="shared" si="62"/>
        <v>101.00988416100907</v>
      </c>
      <c r="BB158" s="89">
        <f t="shared" si="63"/>
        <v>103.08687751020939</v>
      </c>
    </row>
    <row r="159" spans="2:54" ht="29">
      <c r="B159" s="6" t="s">
        <v>107</v>
      </c>
      <c r="D159" s="89">
        <f t="shared" si="50"/>
        <v>7.6118102881716743</v>
      </c>
      <c r="E159" s="89">
        <f t="shared" si="50"/>
        <v>8.484218380278671</v>
      </c>
      <c r="F159" s="89">
        <f t="shared" si="50"/>
        <v>9.3675197722684356</v>
      </c>
      <c r="G159" s="89">
        <f t="shared" si="50"/>
        <v>10.262935494709598</v>
      </c>
      <c r="H159" s="89">
        <f t="shared" si="50"/>
        <v>11.172457955682242</v>
      </c>
      <c r="I159" s="89">
        <f t="shared" si="50"/>
        <v>12.097165788956564</v>
      </c>
      <c r="J159" s="89">
        <f t="shared" si="50"/>
        <v>13.036333558410419</v>
      </c>
      <c r="K159" s="89">
        <f t="shared" si="50"/>
        <v>13.990353524542586</v>
      </c>
      <c r="L159" s="89">
        <f t="shared" si="50"/>
        <v>14.965743868810115</v>
      </c>
      <c r="M159" s="89">
        <f t="shared" si="50"/>
        <v>15.959148709425991</v>
      </c>
      <c r="N159" s="89">
        <f t="shared" si="50"/>
        <v>16.968502103024747</v>
      </c>
      <c r="O159" s="89">
        <f t="shared" si="50"/>
        <v>17.992481869285065</v>
      </c>
      <c r="P159" s="89">
        <f t="shared" si="50"/>
        <v>19.029938191303355</v>
      </c>
      <c r="Q159" s="89">
        <f t="shared" si="50"/>
        <v>20.081370088353129</v>
      </c>
      <c r="R159" s="89">
        <f t="shared" si="50"/>
        <v>21.147747759262614</v>
      </c>
      <c r="S159" s="89">
        <f t="shared" si="50"/>
        <v>22.229131907495553</v>
      </c>
      <c r="T159" s="89">
        <f t="shared" si="50"/>
        <v>23.324299881717497</v>
      </c>
      <c r="U159" s="89">
        <f t="shared" si="50"/>
        <v>24.43308582079435</v>
      </c>
      <c r="V159" s="89">
        <f t="shared" si="50"/>
        <v>25.55787032709317</v>
      </c>
      <c r="W159" s="89">
        <f t="shared" si="50"/>
        <v>26.696707834140561</v>
      </c>
      <c r="X159" s="89">
        <f t="shared" si="50"/>
        <v>27.848754283337563</v>
      </c>
      <c r="Y159" s="89">
        <f t="shared" si="50"/>
        <v>29.013559493185319</v>
      </c>
      <c r="Z159" s="89">
        <f t="shared" si="50"/>
        <v>30.191829766230857</v>
      </c>
      <c r="AA159" s="89">
        <f t="shared" ref="AA159:AF159" si="64">INDEX($D$58:$D$75,MATCH($B159,$B$58:$B$75,0))*Z$14</f>
        <v>31.383192786025834</v>
      </c>
      <c r="AB159" s="89">
        <f t="shared" si="64"/>
        <v>32.587020189934762</v>
      </c>
      <c r="AC159" s="89">
        <f t="shared" si="64"/>
        <v>33.802683794760519</v>
      </c>
      <c r="AD159" s="89">
        <f t="shared" si="64"/>
        <v>35.029478765513986</v>
      </c>
      <c r="AE159" s="89">
        <f t="shared" si="64"/>
        <v>36.266713863006707</v>
      </c>
      <c r="AF159" s="89">
        <f t="shared" si="64"/>
        <v>37.513664989025081</v>
      </c>
      <c r="AG159" s="89">
        <f t="shared" si="51"/>
        <v>38.769984286361307</v>
      </c>
      <c r="AH159" s="89">
        <f t="shared" si="51"/>
        <v>40.036172736387208</v>
      </c>
      <c r="AI159" s="89">
        <f t="shared" si="51"/>
        <v>41.312064031456849</v>
      </c>
      <c r="AJ159" s="89">
        <f t="shared" si="51"/>
        <v>42.597779817389466</v>
      </c>
      <c r="AK159" s="89">
        <f t="shared" si="51"/>
        <v>43.892030893093832</v>
      </c>
      <c r="AL159" s="89">
        <f t="shared" si="51"/>
        <v>45.193543365374239</v>
      </c>
      <c r="AM159" s="89">
        <f t="shared" si="51"/>
        <v>46.501128756381185</v>
      </c>
      <c r="AN159" s="89">
        <f t="shared" si="51"/>
        <v>47.814396103888058</v>
      </c>
      <c r="AO159" s="89">
        <f t="shared" si="51"/>
        <v>49.132763117841172</v>
      </c>
      <c r="AP159" s="89">
        <f t="shared" si="51"/>
        <v>50.455446370029229</v>
      </c>
      <c r="AQ159" s="89">
        <f t="shared" si="52"/>
        <v>51.782994070487135</v>
      </c>
      <c r="AR159" s="89">
        <f t="shared" si="53"/>
        <v>53.116374105327807</v>
      </c>
      <c r="AS159" s="89">
        <f t="shared" si="54"/>
        <v>54.456588529784604</v>
      </c>
      <c r="AT159" s="89">
        <f t="shared" si="55"/>
        <v>55.7968029542414</v>
      </c>
      <c r="AU159" s="89">
        <f t="shared" si="56"/>
        <v>57.137017378698197</v>
      </c>
      <c r="AV159" s="89">
        <f t="shared" si="57"/>
        <v>58.477231803154986</v>
      </c>
      <c r="AW159" s="89">
        <f t="shared" si="58"/>
        <v>59.817446227611775</v>
      </c>
      <c r="AX159" s="89">
        <f t="shared" si="59"/>
        <v>61.157660652068564</v>
      </c>
      <c r="AY159" s="89">
        <f t="shared" si="60"/>
        <v>62.497875076525354</v>
      </c>
      <c r="AZ159" s="89">
        <f t="shared" si="61"/>
        <v>63.838089500982143</v>
      </c>
      <c r="BA159" s="89">
        <f t="shared" si="62"/>
        <v>65.178303925438939</v>
      </c>
      <c r="BB159" s="89">
        <f t="shared" si="63"/>
        <v>66.518518349895729</v>
      </c>
    </row>
    <row r="160" spans="2:54">
      <c r="B160" s="6" t="s">
        <v>2863</v>
      </c>
      <c r="D160" s="89">
        <f t="shared" ref="D160:AF168" si="65">INDEX($D$58:$D$75,MATCH($B160,$B$58:$B$75,0))*C$14</f>
        <v>2691</v>
      </c>
      <c r="E160" s="89">
        <f t="shared" si="65"/>
        <v>2999.4220555927473</v>
      </c>
      <c r="F160" s="89">
        <f t="shared" si="65"/>
        <v>3311.6952147830284</v>
      </c>
      <c r="G160" s="89">
        <f t="shared" si="65"/>
        <v>3628.2511479798263</v>
      </c>
      <c r="H160" s="89">
        <f t="shared" si="65"/>
        <v>3949.7942303502186</v>
      </c>
      <c r="I160" s="89">
        <f t="shared" si="65"/>
        <v>4276.7057908246061</v>
      </c>
      <c r="J160" s="89">
        <f t="shared" si="65"/>
        <v>4608.7293662843895</v>
      </c>
      <c r="K160" s="89">
        <f t="shared" si="65"/>
        <v>4946.0036324140974</v>
      </c>
      <c r="L160" s="89">
        <f t="shared" si="65"/>
        <v>5290.8329590859239</v>
      </c>
      <c r="M160" s="89">
        <f t="shared" si="65"/>
        <v>5642.0309428627143</v>
      </c>
      <c r="N160" s="89">
        <f t="shared" si="65"/>
        <v>5998.8672116797425</v>
      </c>
      <c r="O160" s="89">
        <f t="shared" si="65"/>
        <v>6360.8743356996965</v>
      </c>
      <c r="P160" s="89">
        <f t="shared" si="65"/>
        <v>6727.6458206498019</v>
      </c>
      <c r="Q160" s="89">
        <f t="shared" si="65"/>
        <v>7099.3580845980605</v>
      </c>
      <c r="R160" s="89">
        <f t="shared" si="65"/>
        <v>7476.3541215167234</v>
      </c>
      <c r="S160" s="89">
        <f t="shared" si="65"/>
        <v>7858.6553918750806</v>
      </c>
      <c r="T160" s="89">
        <f t="shared" si="65"/>
        <v>8245.8296522755099</v>
      </c>
      <c r="U160" s="89">
        <f t="shared" si="65"/>
        <v>8637.8182659029899</v>
      </c>
      <c r="V160" s="89">
        <f t="shared" si="65"/>
        <v>9035.4628460830281</v>
      </c>
      <c r="W160" s="89">
        <f t="shared" si="65"/>
        <v>9438.0755775415055</v>
      </c>
      <c r="X160" s="89">
        <f t="shared" si="65"/>
        <v>9845.3580606068808</v>
      </c>
      <c r="Y160" s="89">
        <f t="shared" si="65"/>
        <v>10257.151142808514</v>
      </c>
      <c r="Z160" s="89">
        <f t="shared" si="65"/>
        <v>10673.704522980466</v>
      </c>
      <c r="AA160" s="89">
        <f t="shared" si="65"/>
        <v>11094.886576249732</v>
      </c>
      <c r="AB160" s="89">
        <f t="shared" si="65"/>
        <v>11520.475157845482</v>
      </c>
      <c r="AC160" s="89">
        <f t="shared" si="65"/>
        <v>11950.248186433651</v>
      </c>
      <c r="AD160" s="89">
        <f t="shared" si="65"/>
        <v>12383.956482005286</v>
      </c>
      <c r="AE160" s="89">
        <f t="shared" si="65"/>
        <v>12821.355671068972</v>
      </c>
      <c r="AF160" s="89">
        <f t="shared" si="65"/>
        <v>13262.189763496339</v>
      </c>
      <c r="AG160" s="89">
        <f t="shared" si="51"/>
        <v>13706.335781479116</v>
      </c>
      <c r="AH160" s="89">
        <f t="shared" si="51"/>
        <v>14153.970836745071</v>
      </c>
      <c r="AI160" s="89">
        <f t="shared" si="51"/>
        <v>14605.036134624048</v>
      </c>
      <c r="AJ160" s="89">
        <f t="shared" si="51"/>
        <v>15059.574680509917</v>
      </c>
      <c r="AK160" s="89">
        <f t="shared" si="51"/>
        <v>15517.130703698329</v>
      </c>
      <c r="AL160" s="89">
        <f t="shared" si="51"/>
        <v>15977.253845278598</v>
      </c>
      <c r="AM160" s="89">
        <f t="shared" si="51"/>
        <v>16439.523943190467</v>
      </c>
      <c r="AN160" s="89">
        <f t="shared" si="51"/>
        <v>16903.802780727005</v>
      </c>
      <c r="AO160" s="89">
        <f t="shared" si="51"/>
        <v>17369.884501137298</v>
      </c>
      <c r="AP160" s="89">
        <f t="shared" si="51"/>
        <v>17837.492139384543</v>
      </c>
      <c r="AQ160" s="89">
        <f t="shared" si="52"/>
        <v>18306.819503925355</v>
      </c>
      <c r="AR160" s="89">
        <f t="shared" si="53"/>
        <v>18778.208771118731</v>
      </c>
      <c r="AS160" s="89">
        <f t="shared" si="54"/>
        <v>19252.01419711806</v>
      </c>
      <c r="AT160" s="89">
        <f t="shared" si="55"/>
        <v>19725.819623117386</v>
      </c>
      <c r="AU160" s="89">
        <f t="shared" si="56"/>
        <v>20199.625049116712</v>
      </c>
      <c r="AV160" s="89">
        <f t="shared" si="57"/>
        <v>20673.430475116038</v>
      </c>
      <c r="AW160" s="89">
        <f t="shared" si="58"/>
        <v>21147.23590111536</v>
      </c>
      <c r="AX160" s="89">
        <f t="shared" si="59"/>
        <v>21621.041327114686</v>
      </c>
      <c r="AY160" s="89">
        <f t="shared" si="60"/>
        <v>22094.846753114009</v>
      </c>
      <c r="AZ160" s="89">
        <f t="shared" si="61"/>
        <v>22568.652179113335</v>
      </c>
      <c r="BA160" s="89">
        <f t="shared" si="62"/>
        <v>23042.457605112661</v>
      </c>
      <c r="BB160" s="89">
        <f t="shared" si="63"/>
        <v>23516.263031111983</v>
      </c>
    </row>
    <row r="161" spans="1:54">
      <c r="B161" s="6" t="s">
        <v>2862</v>
      </c>
      <c r="D161" s="89">
        <f t="shared" si="65"/>
        <v>5382</v>
      </c>
      <c r="E161" s="89">
        <f t="shared" si="65"/>
        <v>5998.8441111854945</v>
      </c>
      <c r="F161" s="89">
        <f t="shared" si="65"/>
        <v>6623.3904295660568</v>
      </c>
      <c r="G161" s="89">
        <f t="shared" si="65"/>
        <v>7256.5022959596527</v>
      </c>
      <c r="H161" s="89">
        <f t="shared" si="65"/>
        <v>7899.5884607004373</v>
      </c>
      <c r="I161" s="89">
        <f t="shared" si="65"/>
        <v>8553.4115816492122</v>
      </c>
      <c r="J161" s="89">
        <f t="shared" si="65"/>
        <v>9217.4587325687789</v>
      </c>
      <c r="K161" s="89">
        <f t="shared" si="65"/>
        <v>9892.0072648281948</v>
      </c>
      <c r="L161" s="89">
        <f t="shared" si="65"/>
        <v>10581.665918171848</v>
      </c>
      <c r="M161" s="89">
        <f t="shared" si="65"/>
        <v>11284.061885725429</v>
      </c>
      <c r="N161" s="89">
        <f t="shared" si="65"/>
        <v>11997.734423359485</v>
      </c>
      <c r="O161" s="89">
        <f t="shared" si="65"/>
        <v>12721.748671399393</v>
      </c>
      <c r="P161" s="89">
        <f t="shared" si="65"/>
        <v>13455.291641299604</v>
      </c>
      <c r="Q161" s="89">
        <f t="shared" si="65"/>
        <v>14198.716169196121</v>
      </c>
      <c r="R161" s="89">
        <f t="shared" si="65"/>
        <v>14952.708243033447</v>
      </c>
      <c r="S161" s="89">
        <f t="shared" si="65"/>
        <v>15717.310783750161</v>
      </c>
      <c r="T161" s="89">
        <f t="shared" si="65"/>
        <v>16491.65930455102</v>
      </c>
      <c r="U161" s="89">
        <f t="shared" si="65"/>
        <v>17275.63653180598</v>
      </c>
      <c r="V161" s="89">
        <f t="shared" si="65"/>
        <v>18070.925692166056</v>
      </c>
      <c r="W161" s="89">
        <f t="shared" si="65"/>
        <v>18876.151155083011</v>
      </c>
      <c r="X161" s="89">
        <f t="shared" si="65"/>
        <v>19690.716121213762</v>
      </c>
      <c r="Y161" s="89">
        <f t="shared" si="65"/>
        <v>20514.302285617028</v>
      </c>
      <c r="Z161" s="89">
        <f t="shared" si="65"/>
        <v>21347.409045960932</v>
      </c>
      <c r="AA161" s="89">
        <f t="shared" si="65"/>
        <v>22189.773152499463</v>
      </c>
      <c r="AB161" s="89">
        <f t="shared" si="65"/>
        <v>23040.950315690963</v>
      </c>
      <c r="AC161" s="89">
        <f t="shared" si="65"/>
        <v>23900.496372867303</v>
      </c>
      <c r="AD161" s="89">
        <f t="shared" si="65"/>
        <v>24767.912964010571</v>
      </c>
      <c r="AE161" s="89">
        <f t="shared" si="65"/>
        <v>25642.711342137944</v>
      </c>
      <c r="AF161" s="89">
        <f t="shared" si="65"/>
        <v>26524.379526992678</v>
      </c>
      <c r="AG161" s="89">
        <f t="shared" si="51"/>
        <v>27412.671562958232</v>
      </c>
      <c r="AH161" s="89">
        <f t="shared" si="51"/>
        <v>28307.941673490142</v>
      </c>
      <c r="AI161" s="89">
        <f t="shared" si="51"/>
        <v>29210.072269248096</v>
      </c>
      <c r="AJ161" s="89">
        <f t="shared" si="51"/>
        <v>30119.149361019834</v>
      </c>
      <c r="AK161" s="89">
        <f t="shared" si="51"/>
        <v>31034.261407396658</v>
      </c>
      <c r="AL161" s="89">
        <f t="shared" si="51"/>
        <v>31954.507690557195</v>
      </c>
      <c r="AM161" s="89">
        <f t="shared" si="51"/>
        <v>32879.047886380933</v>
      </c>
      <c r="AN161" s="89">
        <f t="shared" si="51"/>
        <v>33807.605561454009</v>
      </c>
      <c r="AO161" s="89">
        <f t="shared" si="51"/>
        <v>34739.769002274596</v>
      </c>
      <c r="AP161" s="89">
        <f t="shared" si="51"/>
        <v>35674.984278769087</v>
      </c>
      <c r="AQ161" s="89">
        <f t="shared" si="52"/>
        <v>36613.63900785071</v>
      </c>
      <c r="AR161" s="89">
        <f t="shared" si="53"/>
        <v>37556.417542237461</v>
      </c>
      <c r="AS161" s="89">
        <f t="shared" si="54"/>
        <v>38504.02839423612</v>
      </c>
      <c r="AT161" s="89">
        <f t="shared" si="55"/>
        <v>39451.639246234772</v>
      </c>
      <c r="AU161" s="89">
        <f t="shared" si="56"/>
        <v>40399.250098233424</v>
      </c>
      <c r="AV161" s="89">
        <f t="shared" si="57"/>
        <v>41346.860950232076</v>
      </c>
      <c r="AW161" s="89">
        <f t="shared" si="58"/>
        <v>42294.471802230721</v>
      </c>
      <c r="AX161" s="89">
        <f t="shared" si="59"/>
        <v>43242.082654229373</v>
      </c>
      <c r="AY161" s="89">
        <f t="shared" si="60"/>
        <v>44189.693506228017</v>
      </c>
      <c r="AZ161" s="89">
        <f t="shared" si="61"/>
        <v>45137.304358226669</v>
      </c>
      <c r="BA161" s="89">
        <f t="shared" si="62"/>
        <v>46084.915210225321</v>
      </c>
      <c r="BB161" s="89">
        <f t="shared" si="63"/>
        <v>47032.526062223966</v>
      </c>
    </row>
    <row r="162" spans="1:54">
      <c r="B162" s="6" t="s">
        <v>131</v>
      </c>
      <c r="D162" s="89">
        <f t="shared" si="65"/>
        <v>0</v>
      </c>
      <c r="E162" s="89">
        <f t="shared" si="65"/>
        <v>0</v>
      </c>
      <c r="F162" s="89">
        <f t="shared" si="65"/>
        <v>0</v>
      </c>
      <c r="G162" s="89">
        <f t="shared" si="65"/>
        <v>0</v>
      </c>
      <c r="H162" s="89">
        <f t="shared" si="65"/>
        <v>0</v>
      </c>
      <c r="I162" s="89">
        <f t="shared" si="65"/>
        <v>0</v>
      </c>
      <c r="J162" s="89">
        <f t="shared" si="65"/>
        <v>0</v>
      </c>
      <c r="K162" s="89">
        <f t="shared" si="65"/>
        <v>0</v>
      </c>
      <c r="L162" s="89">
        <f t="shared" si="65"/>
        <v>0</v>
      </c>
      <c r="M162" s="89">
        <f t="shared" si="65"/>
        <v>0</v>
      </c>
      <c r="N162" s="89">
        <f t="shared" si="65"/>
        <v>0</v>
      </c>
      <c r="O162" s="89">
        <f t="shared" si="65"/>
        <v>0</v>
      </c>
      <c r="P162" s="89">
        <f t="shared" si="65"/>
        <v>0</v>
      </c>
      <c r="Q162" s="89">
        <f t="shared" si="65"/>
        <v>0</v>
      </c>
      <c r="R162" s="89">
        <f t="shared" si="65"/>
        <v>0</v>
      </c>
      <c r="S162" s="89">
        <f t="shared" si="65"/>
        <v>0</v>
      </c>
      <c r="T162" s="89">
        <f t="shared" si="65"/>
        <v>0</v>
      </c>
      <c r="U162" s="89">
        <f t="shared" si="65"/>
        <v>0</v>
      </c>
      <c r="V162" s="89">
        <f t="shared" si="65"/>
        <v>0</v>
      </c>
      <c r="W162" s="89">
        <f t="shared" si="65"/>
        <v>0</v>
      </c>
      <c r="X162" s="89">
        <f t="shared" si="65"/>
        <v>0</v>
      </c>
      <c r="Y162" s="89">
        <f t="shared" si="65"/>
        <v>0</v>
      </c>
      <c r="Z162" s="89">
        <f t="shared" si="65"/>
        <v>0</v>
      </c>
      <c r="AA162" s="89">
        <f t="shared" si="65"/>
        <v>0</v>
      </c>
      <c r="AB162" s="89">
        <f t="shared" si="65"/>
        <v>0</v>
      </c>
      <c r="AC162" s="89">
        <f t="shared" si="65"/>
        <v>0</v>
      </c>
      <c r="AD162" s="89">
        <f t="shared" si="65"/>
        <v>0</v>
      </c>
      <c r="AE162" s="89">
        <f t="shared" si="65"/>
        <v>0</v>
      </c>
      <c r="AF162" s="89">
        <f t="shared" si="65"/>
        <v>0</v>
      </c>
      <c r="AG162" s="89">
        <f t="shared" si="51"/>
        <v>0</v>
      </c>
      <c r="AH162" s="89">
        <f t="shared" si="51"/>
        <v>0</v>
      </c>
      <c r="AI162" s="89">
        <f t="shared" si="51"/>
        <v>0</v>
      </c>
      <c r="AJ162" s="89">
        <f t="shared" si="51"/>
        <v>0</v>
      </c>
      <c r="AK162" s="89">
        <f t="shared" si="51"/>
        <v>0</v>
      </c>
      <c r="AL162" s="89">
        <f t="shared" si="51"/>
        <v>0</v>
      </c>
      <c r="AM162" s="89">
        <f t="shared" si="51"/>
        <v>0</v>
      </c>
      <c r="AN162" s="89">
        <f t="shared" si="51"/>
        <v>0</v>
      </c>
      <c r="AO162" s="89">
        <f t="shared" si="51"/>
        <v>0</v>
      </c>
      <c r="AP162" s="89">
        <f t="shared" si="51"/>
        <v>0</v>
      </c>
      <c r="AQ162" s="89">
        <f t="shared" si="52"/>
        <v>0</v>
      </c>
      <c r="AR162" s="89">
        <f t="shared" si="53"/>
        <v>0</v>
      </c>
      <c r="AS162" s="89">
        <f t="shared" si="54"/>
        <v>0</v>
      </c>
      <c r="AT162" s="89">
        <f t="shared" si="55"/>
        <v>0</v>
      </c>
      <c r="AU162" s="89">
        <f t="shared" si="56"/>
        <v>0</v>
      </c>
      <c r="AV162" s="89">
        <f t="shared" si="57"/>
        <v>0</v>
      </c>
      <c r="AW162" s="89">
        <f t="shared" si="58"/>
        <v>0</v>
      </c>
      <c r="AX162" s="89">
        <f t="shared" si="59"/>
        <v>0</v>
      </c>
      <c r="AY162" s="89">
        <f t="shared" si="60"/>
        <v>0</v>
      </c>
      <c r="AZ162" s="89">
        <f t="shared" si="61"/>
        <v>0</v>
      </c>
      <c r="BA162" s="89">
        <f t="shared" si="62"/>
        <v>0</v>
      </c>
      <c r="BB162" s="89">
        <f t="shared" si="63"/>
        <v>0</v>
      </c>
    </row>
    <row r="163" spans="1:54" ht="29">
      <c r="B163" s="6" t="s">
        <v>2869</v>
      </c>
      <c r="D163" s="89">
        <f t="shared" si="65"/>
        <v>2691</v>
      </c>
      <c r="E163" s="89">
        <f t="shared" si="65"/>
        <v>2999.4220555927473</v>
      </c>
      <c r="F163" s="89">
        <f t="shared" si="65"/>
        <v>3311.6952147830284</v>
      </c>
      <c r="G163" s="89">
        <f t="shared" si="65"/>
        <v>3628.2511479798263</v>
      </c>
      <c r="H163" s="89">
        <f t="shared" si="65"/>
        <v>3949.7942303502186</v>
      </c>
      <c r="I163" s="89">
        <f t="shared" si="65"/>
        <v>4276.7057908246061</v>
      </c>
      <c r="J163" s="89">
        <f t="shared" si="65"/>
        <v>4608.7293662843895</v>
      </c>
      <c r="K163" s="89">
        <f t="shared" si="65"/>
        <v>4946.0036324140974</v>
      </c>
      <c r="L163" s="89">
        <f t="shared" si="65"/>
        <v>5290.8329590859239</v>
      </c>
      <c r="M163" s="89">
        <f t="shared" si="65"/>
        <v>5642.0309428627143</v>
      </c>
      <c r="N163" s="89">
        <f t="shared" si="65"/>
        <v>5998.8672116797425</v>
      </c>
      <c r="O163" s="89">
        <f t="shared" si="65"/>
        <v>6360.8743356996965</v>
      </c>
      <c r="P163" s="89">
        <f t="shared" si="65"/>
        <v>6727.6458206498019</v>
      </c>
      <c r="Q163" s="89">
        <f t="shared" si="65"/>
        <v>7099.3580845980605</v>
      </c>
      <c r="R163" s="89">
        <f t="shared" si="65"/>
        <v>7476.3541215167234</v>
      </c>
      <c r="S163" s="89">
        <f t="shared" si="65"/>
        <v>7858.6553918750806</v>
      </c>
      <c r="T163" s="89">
        <f t="shared" si="65"/>
        <v>8245.8296522755099</v>
      </c>
      <c r="U163" s="89">
        <f t="shared" si="65"/>
        <v>8637.8182659029899</v>
      </c>
      <c r="V163" s="89">
        <f t="shared" si="65"/>
        <v>9035.4628460830281</v>
      </c>
      <c r="W163" s="89">
        <f t="shared" si="65"/>
        <v>9438.0755775415055</v>
      </c>
      <c r="X163" s="89">
        <f t="shared" si="65"/>
        <v>9845.3580606068808</v>
      </c>
      <c r="Y163" s="89">
        <f t="shared" si="65"/>
        <v>10257.151142808514</v>
      </c>
      <c r="Z163" s="89">
        <f t="shared" si="65"/>
        <v>10673.704522980466</v>
      </c>
      <c r="AA163" s="89">
        <f t="shared" si="65"/>
        <v>11094.886576249732</v>
      </c>
      <c r="AB163" s="89">
        <f t="shared" si="65"/>
        <v>11520.475157845482</v>
      </c>
      <c r="AC163" s="89">
        <f t="shared" si="65"/>
        <v>11950.248186433651</v>
      </c>
      <c r="AD163" s="89">
        <f t="shared" si="65"/>
        <v>12383.956482005286</v>
      </c>
      <c r="AE163" s="89">
        <f t="shared" si="65"/>
        <v>12821.355671068972</v>
      </c>
      <c r="AF163" s="89">
        <f t="shared" si="65"/>
        <v>13262.189763496339</v>
      </c>
      <c r="AG163" s="89">
        <f t="shared" si="51"/>
        <v>13706.335781479116</v>
      </c>
      <c r="AH163" s="89">
        <f t="shared" si="51"/>
        <v>14153.970836745071</v>
      </c>
      <c r="AI163" s="89">
        <f t="shared" si="51"/>
        <v>14605.036134624048</v>
      </c>
      <c r="AJ163" s="89">
        <f t="shared" si="51"/>
        <v>15059.574680509917</v>
      </c>
      <c r="AK163" s="89">
        <f t="shared" si="51"/>
        <v>15517.130703698329</v>
      </c>
      <c r="AL163" s="89">
        <f t="shared" si="51"/>
        <v>15977.253845278598</v>
      </c>
      <c r="AM163" s="89">
        <f t="shared" si="51"/>
        <v>16439.523943190467</v>
      </c>
      <c r="AN163" s="89">
        <f t="shared" si="51"/>
        <v>16903.802780727005</v>
      </c>
      <c r="AO163" s="89">
        <f t="shared" si="51"/>
        <v>17369.884501137298</v>
      </c>
      <c r="AP163" s="89">
        <f t="shared" si="51"/>
        <v>17837.492139384543</v>
      </c>
      <c r="AQ163" s="89">
        <f t="shared" si="52"/>
        <v>18306.819503925355</v>
      </c>
      <c r="AR163" s="89">
        <f t="shared" si="53"/>
        <v>18778.208771118731</v>
      </c>
      <c r="AS163" s="89">
        <f t="shared" si="54"/>
        <v>19252.01419711806</v>
      </c>
      <c r="AT163" s="89">
        <f t="shared" si="55"/>
        <v>19725.819623117386</v>
      </c>
      <c r="AU163" s="89">
        <f t="shared" si="56"/>
        <v>20199.625049116712</v>
      </c>
      <c r="AV163" s="89">
        <f t="shared" si="57"/>
        <v>20673.430475116038</v>
      </c>
      <c r="AW163" s="89">
        <f t="shared" si="58"/>
        <v>21147.23590111536</v>
      </c>
      <c r="AX163" s="89">
        <f t="shared" si="59"/>
        <v>21621.041327114686</v>
      </c>
      <c r="AY163" s="89">
        <f t="shared" si="60"/>
        <v>22094.846753114009</v>
      </c>
      <c r="AZ163" s="89">
        <f t="shared" si="61"/>
        <v>22568.652179113335</v>
      </c>
      <c r="BA163" s="89">
        <f t="shared" si="62"/>
        <v>23042.457605112661</v>
      </c>
      <c r="BB163" s="89">
        <f t="shared" si="63"/>
        <v>23516.263031111983</v>
      </c>
    </row>
    <row r="164" spans="1:54" ht="29">
      <c r="B164" s="6" t="s">
        <v>2870</v>
      </c>
      <c r="D164" s="89">
        <f t="shared" si="65"/>
        <v>0</v>
      </c>
      <c r="E164" s="89">
        <f t="shared" si="65"/>
        <v>0</v>
      </c>
      <c r="F164" s="89">
        <f t="shared" si="65"/>
        <v>0</v>
      </c>
      <c r="G164" s="89">
        <f t="shared" si="65"/>
        <v>0</v>
      </c>
      <c r="H164" s="89">
        <f t="shared" si="65"/>
        <v>0</v>
      </c>
      <c r="I164" s="89">
        <f t="shared" si="65"/>
        <v>0</v>
      </c>
      <c r="J164" s="89">
        <f t="shared" si="65"/>
        <v>0</v>
      </c>
      <c r="K164" s="89">
        <f t="shared" si="65"/>
        <v>0</v>
      </c>
      <c r="L164" s="89">
        <f t="shared" si="65"/>
        <v>0</v>
      </c>
      <c r="M164" s="89">
        <f t="shared" si="65"/>
        <v>0</v>
      </c>
      <c r="N164" s="89">
        <f t="shared" si="65"/>
        <v>0</v>
      </c>
      <c r="O164" s="89">
        <f t="shared" si="65"/>
        <v>0</v>
      </c>
      <c r="P164" s="89">
        <f t="shared" si="65"/>
        <v>0</v>
      </c>
      <c r="Q164" s="89">
        <f t="shared" si="65"/>
        <v>0</v>
      </c>
      <c r="R164" s="89">
        <f t="shared" si="65"/>
        <v>0</v>
      </c>
      <c r="S164" s="89">
        <f t="shared" si="65"/>
        <v>0</v>
      </c>
      <c r="T164" s="89">
        <f t="shared" si="65"/>
        <v>0</v>
      </c>
      <c r="U164" s="89">
        <f t="shared" si="65"/>
        <v>0</v>
      </c>
      <c r="V164" s="89">
        <f t="shared" si="65"/>
        <v>0</v>
      </c>
      <c r="W164" s="89">
        <f t="shared" si="65"/>
        <v>0</v>
      </c>
      <c r="X164" s="89">
        <f t="shared" si="65"/>
        <v>0</v>
      </c>
      <c r="Y164" s="89">
        <f t="shared" si="65"/>
        <v>0</v>
      </c>
      <c r="Z164" s="89">
        <f t="shared" si="65"/>
        <v>0</v>
      </c>
      <c r="AA164" s="89">
        <f t="shared" si="65"/>
        <v>0</v>
      </c>
      <c r="AB164" s="89">
        <f t="shared" si="65"/>
        <v>0</v>
      </c>
      <c r="AC164" s="89">
        <f t="shared" si="65"/>
        <v>0</v>
      </c>
      <c r="AD164" s="89">
        <f t="shared" si="65"/>
        <v>0</v>
      </c>
      <c r="AE164" s="89">
        <f t="shared" si="65"/>
        <v>0</v>
      </c>
      <c r="AF164" s="89">
        <f t="shared" si="65"/>
        <v>0</v>
      </c>
      <c r="AG164" s="89">
        <f t="shared" si="51"/>
        <v>0</v>
      </c>
      <c r="AH164" s="89">
        <f t="shared" si="51"/>
        <v>0</v>
      </c>
      <c r="AI164" s="89">
        <f t="shared" si="51"/>
        <v>0</v>
      </c>
      <c r="AJ164" s="89">
        <f t="shared" si="51"/>
        <v>0</v>
      </c>
      <c r="AK164" s="89">
        <f t="shared" si="51"/>
        <v>0</v>
      </c>
      <c r="AL164" s="89">
        <f t="shared" si="51"/>
        <v>0</v>
      </c>
      <c r="AM164" s="89">
        <f t="shared" si="51"/>
        <v>0</v>
      </c>
      <c r="AN164" s="89">
        <f t="shared" si="51"/>
        <v>0</v>
      </c>
      <c r="AO164" s="89">
        <f t="shared" si="51"/>
        <v>0</v>
      </c>
      <c r="AP164" s="89">
        <f t="shared" si="51"/>
        <v>0</v>
      </c>
      <c r="AQ164" s="89">
        <f t="shared" si="52"/>
        <v>0</v>
      </c>
      <c r="AR164" s="89">
        <f t="shared" si="53"/>
        <v>0</v>
      </c>
      <c r="AS164" s="89">
        <f t="shared" si="54"/>
        <v>0</v>
      </c>
      <c r="AT164" s="89">
        <f t="shared" si="55"/>
        <v>0</v>
      </c>
      <c r="AU164" s="89">
        <f t="shared" si="56"/>
        <v>0</v>
      </c>
      <c r="AV164" s="89">
        <f t="shared" si="57"/>
        <v>0</v>
      </c>
      <c r="AW164" s="89">
        <f t="shared" si="58"/>
        <v>0</v>
      </c>
      <c r="AX164" s="89">
        <f t="shared" si="59"/>
        <v>0</v>
      </c>
      <c r="AY164" s="89">
        <f t="shared" si="60"/>
        <v>0</v>
      </c>
      <c r="AZ164" s="89">
        <f t="shared" si="61"/>
        <v>0</v>
      </c>
      <c r="BA164" s="89">
        <f t="shared" si="62"/>
        <v>0</v>
      </c>
      <c r="BB164" s="89">
        <f t="shared" si="63"/>
        <v>0</v>
      </c>
    </row>
    <row r="165" spans="1:54">
      <c r="B165" s="6" t="s">
        <v>102</v>
      </c>
      <c r="D165" s="89">
        <f t="shared" si="65"/>
        <v>0</v>
      </c>
      <c r="E165" s="89">
        <f t="shared" si="65"/>
        <v>0</v>
      </c>
      <c r="F165" s="89">
        <f t="shared" si="65"/>
        <v>0</v>
      </c>
      <c r="G165" s="89">
        <f t="shared" si="65"/>
        <v>0</v>
      </c>
      <c r="H165" s="89">
        <f t="shared" si="65"/>
        <v>0</v>
      </c>
      <c r="I165" s="89">
        <f t="shared" si="65"/>
        <v>0</v>
      </c>
      <c r="J165" s="89">
        <f t="shared" si="65"/>
        <v>0</v>
      </c>
      <c r="K165" s="89">
        <f t="shared" si="65"/>
        <v>0</v>
      </c>
      <c r="L165" s="89">
        <f t="shared" si="65"/>
        <v>0</v>
      </c>
      <c r="M165" s="89">
        <f t="shared" si="65"/>
        <v>0</v>
      </c>
      <c r="N165" s="89">
        <f t="shared" si="65"/>
        <v>0</v>
      </c>
      <c r="O165" s="89">
        <f t="shared" si="65"/>
        <v>0</v>
      </c>
      <c r="P165" s="89">
        <f t="shared" si="65"/>
        <v>0</v>
      </c>
      <c r="Q165" s="89">
        <f t="shared" si="65"/>
        <v>0</v>
      </c>
      <c r="R165" s="89">
        <f t="shared" si="65"/>
        <v>0</v>
      </c>
      <c r="S165" s="89">
        <f t="shared" si="65"/>
        <v>0</v>
      </c>
      <c r="T165" s="89">
        <f t="shared" si="65"/>
        <v>0</v>
      </c>
      <c r="U165" s="89">
        <f t="shared" si="65"/>
        <v>0</v>
      </c>
      <c r="V165" s="89">
        <f t="shared" si="65"/>
        <v>0</v>
      </c>
      <c r="W165" s="89">
        <f t="shared" si="65"/>
        <v>0</v>
      </c>
      <c r="X165" s="89">
        <f t="shared" si="65"/>
        <v>0</v>
      </c>
      <c r="Y165" s="89">
        <f t="shared" si="65"/>
        <v>0</v>
      </c>
      <c r="Z165" s="89">
        <f t="shared" si="65"/>
        <v>0</v>
      </c>
      <c r="AA165" s="89">
        <f t="shared" si="65"/>
        <v>0</v>
      </c>
      <c r="AB165" s="89">
        <f t="shared" si="65"/>
        <v>0</v>
      </c>
      <c r="AC165" s="89">
        <f t="shared" si="65"/>
        <v>0</v>
      </c>
      <c r="AD165" s="89">
        <f t="shared" si="65"/>
        <v>0</v>
      </c>
      <c r="AE165" s="89">
        <f t="shared" si="65"/>
        <v>0</v>
      </c>
      <c r="AF165" s="89">
        <f t="shared" si="65"/>
        <v>0</v>
      </c>
      <c r="AG165" s="89">
        <f t="shared" si="51"/>
        <v>0</v>
      </c>
      <c r="AH165" s="89">
        <f t="shared" si="51"/>
        <v>0</v>
      </c>
      <c r="AI165" s="89">
        <f t="shared" si="51"/>
        <v>0</v>
      </c>
      <c r="AJ165" s="89">
        <f t="shared" si="51"/>
        <v>0</v>
      </c>
      <c r="AK165" s="89">
        <f t="shared" si="51"/>
        <v>0</v>
      </c>
      <c r="AL165" s="89">
        <f t="shared" si="51"/>
        <v>0</v>
      </c>
      <c r="AM165" s="89">
        <f t="shared" si="51"/>
        <v>0</v>
      </c>
      <c r="AN165" s="89">
        <f t="shared" si="51"/>
        <v>0</v>
      </c>
      <c r="AO165" s="89">
        <f t="shared" si="51"/>
        <v>0</v>
      </c>
      <c r="AP165" s="89">
        <f t="shared" si="51"/>
        <v>0</v>
      </c>
      <c r="AQ165" s="89">
        <f t="shared" si="52"/>
        <v>0</v>
      </c>
      <c r="AR165" s="89">
        <f t="shared" si="53"/>
        <v>0</v>
      </c>
      <c r="AS165" s="89">
        <f t="shared" si="54"/>
        <v>0</v>
      </c>
      <c r="AT165" s="89">
        <f t="shared" si="55"/>
        <v>0</v>
      </c>
      <c r="AU165" s="89">
        <f t="shared" si="56"/>
        <v>0</v>
      </c>
      <c r="AV165" s="89">
        <f t="shared" si="57"/>
        <v>0</v>
      </c>
      <c r="AW165" s="89">
        <f t="shared" si="58"/>
        <v>0</v>
      </c>
      <c r="AX165" s="89">
        <f t="shared" si="59"/>
        <v>0</v>
      </c>
      <c r="AY165" s="89">
        <f t="shared" si="60"/>
        <v>0</v>
      </c>
      <c r="AZ165" s="89">
        <f t="shared" si="61"/>
        <v>0</v>
      </c>
      <c r="BA165" s="89">
        <f t="shared" si="62"/>
        <v>0</v>
      </c>
      <c r="BB165" s="89">
        <f t="shared" si="63"/>
        <v>0</v>
      </c>
    </row>
    <row r="166" spans="1:54">
      <c r="B166" s="6" t="s">
        <v>2831</v>
      </c>
      <c r="D166" s="89">
        <f t="shared" si="65"/>
        <v>56511</v>
      </c>
      <c r="E166" s="89">
        <f t="shared" si="65"/>
        <v>62987.863167447693</v>
      </c>
      <c r="F166" s="89">
        <f t="shared" si="65"/>
        <v>69545.599510443601</v>
      </c>
      <c r="G166" s="89">
        <f t="shared" si="65"/>
        <v>76193.274107576348</v>
      </c>
      <c r="H166" s="89">
        <f t="shared" si="65"/>
        <v>82945.678837354601</v>
      </c>
      <c r="I166" s="89">
        <f t="shared" si="65"/>
        <v>89810.821607316728</v>
      </c>
      <c r="J166" s="89">
        <f t="shared" si="65"/>
        <v>96783.316691972184</v>
      </c>
      <c r="K166" s="89">
        <f t="shared" si="65"/>
        <v>103866.07628069606</v>
      </c>
      <c r="L166" s="89">
        <f t="shared" si="65"/>
        <v>111107.4921408044</v>
      </c>
      <c r="M166" s="89">
        <f t="shared" si="65"/>
        <v>118482.64980011701</v>
      </c>
      <c r="N166" s="89">
        <f t="shared" si="65"/>
        <v>125976.2114452746</v>
      </c>
      <c r="O166" s="89">
        <f t="shared" si="65"/>
        <v>133578.36104969363</v>
      </c>
      <c r="P166" s="89">
        <f t="shared" si="65"/>
        <v>141280.56223364585</v>
      </c>
      <c r="Q166" s="89">
        <f t="shared" si="65"/>
        <v>149086.51977655929</v>
      </c>
      <c r="R166" s="89">
        <f t="shared" si="65"/>
        <v>157003.43655185119</v>
      </c>
      <c r="S166" s="89">
        <f t="shared" si="65"/>
        <v>165031.76322937669</v>
      </c>
      <c r="T166" s="89">
        <f t="shared" si="65"/>
        <v>173162.42269778569</v>
      </c>
      <c r="U166" s="89">
        <f t="shared" si="65"/>
        <v>181394.18358396279</v>
      </c>
      <c r="V166" s="89">
        <f t="shared" si="65"/>
        <v>189744.71976774361</v>
      </c>
      <c r="W166" s="89">
        <f t="shared" si="65"/>
        <v>198199.58712837161</v>
      </c>
      <c r="X166" s="89">
        <f t="shared" si="65"/>
        <v>206752.51927274451</v>
      </c>
      <c r="Y166" s="89">
        <f t="shared" si="65"/>
        <v>215400.1739989788</v>
      </c>
      <c r="Z166" s="89">
        <f t="shared" si="65"/>
        <v>224147.79498258978</v>
      </c>
      <c r="AA166" s="89">
        <f t="shared" si="65"/>
        <v>232992.61810124438</v>
      </c>
      <c r="AB166" s="89">
        <f t="shared" si="65"/>
        <v>241929.97831475514</v>
      </c>
      <c r="AC166" s="89">
        <f t="shared" si="65"/>
        <v>250955.21191510669</v>
      </c>
      <c r="AD166" s="89">
        <f t="shared" si="65"/>
        <v>260063.08612211101</v>
      </c>
      <c r="AE166" s="89">
        <f t="shared" si="65"/>
        <v>269248.46909244842</v>
      </c>
      <c r="AF166" s="89">
        <f t="shared" si="65"/>
        <v>278505.98503342312</v>
      </c>
      <c r="AG166" s="89">
        <f t="shared" si="51"/>
        <v>287833.05141106143</v>
      </c>
      <c r="AH166" s="89">
        <f t="shared" si="51"/>
        <v>297233.38757164654</v>
      </c>
      <c r="AI166" s="89">
        <f t="shared" si="51"/>
        <v>306705.75882710499</v>
      </c>
      <c r="AJ166" s="89">
        <f t="shared" si="51"/>
        <v>316251.06829070824</v>
      </c>
      <c r="AK166" s="89">
        <f t="shared" si="51"/>
        <v>325859.74477766489</v>
      </c>
      <c r="AL166" s="89">
        <f t="shared" si="51"/>
        <v>335522.33075085055</v>
      </c>
      <c r="AM166" s="89">
        <f t="shared" si="51"/>
        <v>345230.00280699984</v>
      </c>
      <c r="AN166" s="89">
        <f t="shared" si="51"/>
        <v>354979.85839526705</v>
      </c>
      <c r="AO166" s="89">
        <f t="shared" si="51"/>
        <v>364767.57452388329</v>
      </c>
      <c r="AP166" s="89">
        <f t="shared" si="51"/>
        <v>374587.33492707543</v>
      </c>
      <c r="AQ166" s="89">
        <f t="shared" si="52"/>
        <v>384443.20958243241</v>
      </c>
      <c r="AR166" s="89">
        <f t="shared" si="53"/>
        <v>394342.38419349334</v>
      </c>
      <c r="AS166" s="89">
        <f t="shared" si="54"/>
        <v>404292.29813947924</v>
      </c>
      <c r="AT166" s="89">
        <f t="shared" si="55"/>
        <v>414242.21208546509</v>
      </c>
      <c r="AU166" s="89">
        <f t="shared" si="56"/>
        <v>424192.12603145093</v>
      </c>
      <c r="AV166" s="89">
        <f t="shared" si="57"/>
        <v>434142.03997743677</v>
      </c>
      <c r="AW166" s="89">
        <f t="shared" si="58"/>
        <v>444091.95392342255</v>
      </c>
      <c r="AX166" s="89">
        <f t="shared" si="59"/>
        <v>454041.86786940839</v>
      </c>
      <c r="AY166" s="89">
        <f t="shared" si="60"/>
        <v>463991.78181539424</v>
      </c>
      <c r="AZ166" s="89">
        <f t="shared" si="61"/>
        <v>473941.69576138002</v>
      </c>
      <c r="BA166" s="89">
        <f t="shared" si="62"/>
        <v>483891.60970736586</v>
      </c>
      <c r="BB166" s="89">
        <f t="shared" si="63"/>
        <v>493841.52365335164</v>
      </c>
    </row>
    <row r="167" spans="1:54">
      <c r="B167" s="6" t="s">
        <v>2832</v>
      </c>
      <c r="D167" s="89">
        <f t="shared" si="65"/>
        <v>21528</v>
      </c>
      <c r="E167" s="89">
        <f t="shared" si="65"/>
        <v>23995.376444741978</v>
      </c>
      <c r="F167" s="89">
        <f t="shared" si="65"/>
        <v>26493.561718264227</v>
      </c>
      <c r="G167" s="89">
        <f t="shared" si="65"/>
        <v>29026.009183838611</v>
      </c>
      <c r="H167" s="89">
        <f t="shared" si="65"/>
        <v>31598.353842801749</v>
      </c>
      <c r="I167" s="89">
        <f t="shared" si="65"/>
        <v>34213.646326596849</v>
      </c>
      <c r="J167" s="89">
        <f t="shared" si="65"/>
        <v>36869.834930275116</v>
      </c>
      <c r="K167" s="89">
        <f t="shared" si="65"/>
        <v>39568.029059312779</v>
      </c>
      <c r="L167" s="89">
        <f t="shared" si="65"/>
        <v>42326.663672687391</v>
      </c>
      <c r="M167" s="89">
        <f t="shared" si="65"/>
        <v>45136.247542901714</v>
      </c>
      <c r="N167" s="89">
        <f t="shared" si="65"/>
        <v>47990.93769343794</v>
      </c>
      <c r="O167" s="89">
        <f t="shared" si="65"/>
        <v>50886.994685597572</v>
      </c>
      <c r="P167" s="89">
        <f t="shared" si="65"/>
        <v>53821.166565198415</v>
      </c>
      <c r="Q167" s="89">
        <f t="shared" si="65"/>
        <v>56794.864676784484</v>
      </c>
      <c r="R167" s="89">
        <f t="shared" si="65"/>
        <v>59810.832972133787</v>
      </c>
      <c r="S167" s="89">
        <f t="shared" si="65"/>
        <v>62869.243135000645</v>
      </c>
      <c r="T167" s="89">
        <f t="shared" si="65"/>
        <v>65966.63721820408</v>
      </c>
      <c r="U167" s="89">
        <f t="shared" si="65"/>
        <v>69102.546127223919</v>
      </c>
      <c r="V167" s="89">
        <f t="shared" si="65"/>
        <v>72283.702768664225</v>
      </c>
      <c r="W167" s="89">
        <f t="shared" si="65"/>
        <v>75504.604620332044</v>
      </c>
      <c r="X167" s="89">
        <f t="shared" si="65"/>
        <v>78762.864484855047</v>
      </c>
      <c r="Y167" s="89">
        <f t="shared" si="65"/>
        <v>82057.209142468113</v>
      </c>
      <c r="Z167" s="89">
        <f t="shared" si="65"/>
        <v>85389.63618384373</v>
      </c>
      <c r="AA167" s="89">
        <f t="shared" si="65"/>
        <v>88759.092609997853</v>
      </c>
      <c r="AB167" s="89">
        <f t="shared" si="65"/>
        <v>92163.801262763853</v>
      </c>
      <c r="AC167" s="89">
        <f t="shared" si="65"/>
        <v>95601.985491469211</v>
      </c>
      <c r="AD167" s="89">
        <f t="shared" si="65"/>
        <v>99071.651856042285</v>
      </c>
      <c r="AE167" s="89">
        <f t="shared" si="65"/>
        <v>102570.84536855177</v>
      </c>
      <c r="AF167" s="89">
        <f t="shared" si="65"/>
        <v>106097.51810797071</v>
      </c>
      <c r="AG167" s="89">
        <f t="shared" ref="AG167:AP168" si="66">INDEX($D$58:$D$75,MATCH($B167,$B$58:$B$75,0))*AF$14</f>
        <v>109650.68625183293</v>
      </c>
      <c r="AH167" s="89">
        <f t="shared" si="66"/>
        <v>113231.76669396057</v>
      </c>
      <c r="AI167" s="89">
        <f t="shared" si="66"/>
        <v>116840.28907699238</v>
      </c>
      <c r="AJ167" s="89">
        <f t="shared" si="66"/>
        <v>120476.59744407934</v>
      </c>
      <c r="AK167" s="89">
        <f t="shared" si="66"/>
        <v>124137.04562958663</v>
      </c>
      <c r="AL167" s="89">
        <f t="shared" si="66"/>
        <v>127818.03076222878</v>
      </c>
      <c r="AM167" s="89">
        <f t="shared" si="66"/>
        <v>131516.19154552373</v>
      </c>
      <c r="AN167" s="89">
        <f t="shared" si="66"/>
        <v>135230.42224581604</v>
      </c>
      <c r="AO167" s="89">
        <f t="shared" si="66"/>
        <v>138959.07600909838</v>
      </c>
      <c r="AP167" s="89">
        <f t="shared" si="66"/>
        <v>142699.93711507635</v>
      </c>
      <c r="AQ167" s="89">
        <f t="shared" si="52"/>
        <v>146454.55603140284</v>
      </c>
      <c r="AR167" s="89">
        <f t="shared" si="53"/>
        <v>150225.67016894984</v>
      </c>
      <c r="AS167" s="89">
        <f t="shared" si="54"/>
        <v>154016.11357694448</v>
      </c>
      <c r="AT167" s="89">
        <f t="shared" si="55"/>
        <v>157806.55698493909</v>
      </c>
      <c r="AU167" s="89">
        <f t="shared" si="56"/>
        <v>161597.0003929337</v>
      </c>
      <c r="AV167" s="89">
        <f t="shared" si="57"/>
        <v>165387.4438009283</v>
      </c>
      <c r="AW167" s="89">
        <f t="shared" si="58"/>
        <v>169177.88720892288</v>
      </c>
      <c r="AX167" s="89">
        <f t="shared" si="59"/>
        <v>172968.33061691749</v>
      </c>
      <c r="AY167" s="89">
        <f t="shared" si="60"/>
        <v>176758.77402491207</v>
      </c>
      <c r="AZ167" s="89">
        <f t="shared" si="61"/>
        <v>180549.21743290668</v>
      </c>
      <c r="BA167" s="89">
        <f t="shared" si="62"/>
        <v>184339.66084090128</v>
      </c>
      <c r="BB167" s="89">
        <f t="shared" si="63"/>
        <v>188130.10424889586</v>
      </c>
    </row>
    <row r="168" spans="1:54">
      <c r="B168" s="6" t="s">
        <v>2871</v>
      </c>
      <c r="D168" s="89">
        <f t="shared" si="65"/>
        <v>0</v>
      </c>
      <c r="E168" s="89">
        <f t="shared" si="65"/>
        <v>0</v>
      </c>
      <c r="F168" s="89">
        <f t="shared" si="65"/>
        <v>0</v>
      </c>
      <c r="G168" s="89">
        <f t="shared" si="65"/>
        <v>0</v>
      </c>
      <c r="H168" s="89">
        <f t="shared" si="65"/>
        <v>0</v>
      </c>
      <c r="I168" s="89">
        <f t="shared" si="65"/>
        <v>0</v>
      </c>
      <c r="J168" s="89">
        <f t="shared" si="65"/>
        <v>0</v>
      </c>
      <c r="K168" s="89">
        <f t="shared" si="65"/>
        <v>0</v>
      </c>
      <c r="L168" s="89">
        <f t="shared" si="65"/>
        <v>0</v>
      </c>
      <c r="M168" s="89">
        <f t="shared" si="65"/>
        <v>0</v>
      </c>
      <c r="N168" s="89">
        <f t="shared" si="65"/>
        <v>0</v>
      </c>
      <c r="O168" s="89">
        <f t="shared" si="65"/>
        <v>0</v>
      </c>
      <c r="P168" s="89">
        <f t="shared" si="65"/>
        <v>0</v>
      </c>
      <c r="Q168" s="89">
        <f t="shared" si="65"/>
        <v>0</v>
      </c>
      <c r="R168" s="89">
        <f t="shared" si="65"/>
        <v>0</v>
      </c>
      <c r="S168" s="89">
        <f t="shared" si="65"/>
        <v>0</v>
      </c>
      <c r="T168" s="89">
        <f t="shared" si="65"/>
        <v>0</v>
      </c>
      <c r="U168" s="89">
        <f t="shared" si="65"/>
        <v>0</v>
      </c>
      <c r="V168" s="89">
        <f t="shared" si="65"/>
        <v>0</v>
      </c>
      <c r="W168" s="89">
        <f t="shared" si="65"/>
        <v>0</v>
      </c>
      <c r="X168" s="89">
        <f t="shared" si="65"/>
        <v>0</v>
      </c>
      <c r="Y168" s="89">
        <f t="shared" si="65"/>
        <v>0</v>
      </c>
      <c r="Z168" s="89">
        <f t="shared" si="65"/>
        <v>0</v>
      </c>
      <c r="AA168" s="89">
        <f t="shared" ref="AA168:AF168" si="67">INDEX($D$58:$D$75,MATCH($B168,$B$58:$B$75,0))*Z$14</f>
        <v>0</v>
      </c>
      <c r="AB168" s="89">
        <f t="shared" si="67"/>
        <v>0</v>
      </c>
      <c r="AC168" s="89">
        <f t="shared" si="67"/>
        <v>0</v>
      </c>
      <c r="AD168" s="89">
        <f t="shared" si="67"/>
        <v>0</v>
      </c>
      <c r="AE168" s="89">
        <f t="shared" si="67"/>
        <v>0</v>
      </c>
      <c r="AF168" s="89">
        <f t="shared" si="67"/>
        <v>0</v>
      </c>
      <c r="AG168" s="89">
        <f t="shared" si="66"/>
        <v>0</v>
      </c>
      <c r="AH168" s="89">
        <f t="shared" si="66"/>
        <v>0</v>
      </c>
      <c r="AI168" s="89">
        <f t="shared" si="66"/>
        <v>0</v>
      </c>
      <c r="AJ168" s="89">
        <f t="shared" si="66"/>
        <v>0</v>
      </c>
      <c r="AK168" s="89">
        <f t="shared" si="66"/>
        <v>0</v>
      </c>
      <c r="AL168" s="89">
        <f t="shared" si="66"/>
        <v>0</v>
      </c>
      <c r="AM168" s="89">
        <f t="shared" si="66"/>
        <v>0</v>
      </c>
      <c r="AN168" s="89">
        <f t="shared" si="66"/>
        <v>0</v>
      </c>
      <c r="AO168" s="89">
        <f t="shared" si="66"/>
        <v>0</v>
      </c>
      <c r="AP168" s="89">
        <f t="shared" si="66"/>
        <v>0</v>
      </c>
      <c r="AQ168" s="89">
        <f t="shared" si="52"/>
        <v>0</v>
      </c>
      <c r="AR168" s="89">
        <f t="shared" si="53"/>
        <v>0</v>
      </c>
      <c r="AS168" s="89">
        <f t="shared" si="54"/>
        <v>0</v>
      </c>
      <c r="AT168" s="89">
        <f t="shared" si="55"/>
        <v>0</v>
      </c>
      <c r="AU168" s="89">
        <f t="shared" si="56"/>
        <v>0</v>
      </c>
      <c r="AV168" s="89">
        <f t="shared" si="57"/>
        <v>0</v>
      </c>
      <c r="AW168" s="89">
        <f t="shared" si="58"/>
        <v>0</v>
      </c>
      <c r="AX168" s="89">
        <f t="shared" si="59"/>
        <v>0</v>
      </c>
      <c r="AY168" s="89">
        <f t="shared" si="60"/>
        <v>0</v>
      </c>
      <c r="AZ168" s="89">
        <f t="shared" si="61"/>
        <v>0</v>
      </c>
      <c r="BA168" s="89">
        <f t="shared" si="62"/>
        <v>0</v>
      </c>
      <c r="BB168" s="89">
        <f t="shared" si="63"/>
        <v>0</v>
      </c>
    </row>
    <row r="169" spans="1:54">
      <c r="B169" s="142"/>
      <c r="C169" s="52"/>
      <c r="D169" s="116" t="b">
        <f t="shared" ref="D169:AF169" si="68">SUM(D151:D168)/C14=SUM($D$58:$D$75)</f>
        <v>1</v>
      </c>
      <c r="E169" s="116" t="b">
        <f t="shared" si="68"/>
        <v>1</v>
      </c>
      <c r="F169" s="116" t="b">
        <f t="shared" si="68"/>
        <v>1</v>
      </c>
      <c r="G169" s="116" t="b">
        <f t="shared" si="68"/>
        <v>1</v>
      </c>
      <c r="H169" s="116" t="b">
        <f t="shared" si="68"/>
        <v>1</v>
      </c>
      <c r="I169" s="116" t="b">
        <f t="shared" si="68"/>
        <v>1</v>
      </c>
      <c r="J169" s="116" t="b">
        <f t="shared" si="68"/>
        <v>1</v>
      </c>
      <c r="K169" s="116" t="b">
        <f t="shared" si="68"/>
        <v>1</v>
      </c>
      <c r="L169" s="116" t="b">
        <f t="shared" si="68"/>
        <v>1</v>
      </c>
      <c r="M169" s="116" t="b">
        <f t="shared" si="68"/>
        <v>1</v>
      </c>
      <c r="N169" s="116" t="b">
        <f t="shared" si="68"/>
        <v>1</v>
      </c>
      <c r="O169" s="116" t="b">
        <f t="shared" si="68"/>
        <v>1</v>
      </c>
      <c r="P169" s="116" t="b">
        <f t="shared" si="68"/>
        <v>1</v>
      </c>
      <c r="Q169" s="116" t="b">
        <f t="shared" si="68"/>
        <v>1</v>
      </c>
      <c r="R169" s="116" t="b">
        <f t="shared" si="68"/>
        <v>1</v>
      </c>
      <c r="S169" s="116" t="b">
        <f t="shared" si="68"/>
        <v>1</v>
      </c>
      <c r="T169" s="116" t="b">
        <f t="shared" si="68"/>
        <v>1</v>
      </c>
      <c r="U169" s="116" t="b">
        <f t="shared" si="68"/>
        <v>1</v>
      </c>
      <c r="V169" s="116" t="b">
        <f t="shared" si="68"/>
        <v>1</v>
      </c>
      <c r="W169" s="116" t="b">
        <f t="shared" si="68"/>
        <v>1</v>
      </c>
      <c r="X169" s="116" t="b">
        <f t="shared" si="68"/>
        <v>1</v>
      </c>
      <c r="Y169" s="116" t="b">
        <f t="shared" si="68"/>
        <v>1</v>
      </c>
      <c r="Z169" s="116" t="b">
        <f t="shared" si="68"/>
        <v>1</v>
      </c>
      <c r="AA169" s="116" t="b">
        <f t="shared" si="68"/>
        <v>1</v>
      </c>
      <c r="AB169" s="116" t="b">
        <f t="shared" si="68"/>
        <v>1</v>
      </c>
      <c r="AC169" s="116" t="b">
        <f t="shared" si="68"/>
        <v>1</v>
      </c>
      <c r="AD169" s="116" t="b">
        <f t="shared" si="68"/>
        <v>1</v>
      </c>
      <c r="AE169" s="116" t="b">
        <f t="shared" si="68"/>
        <v>1</v>
      </c>
      <c r="AF169" s="116" t="b">
        <f t="shared" si="68"/>
        <v>1</v>
      </c>
      <c r="AG169" s="116" t="b">
        <f t="shared" ref="AG169" si="69">SUM(AG151:AG168)/AF14=SUM($D$58:$D$75)</f>
        <v>1</v>
      </c>
      <c r="AH169" s="116" t="b">
        <f t="shared" ref="AH169" si="70">SUM(AH151:AH168)/AG14=SUM($D$58:$D$75)</f>
        <v>1</v>
      </c>
      <c r="AI169" s="116" t="b">
        <f t="shared" ref="AI169" si="71">SUM(AI151:AI168)/AH14=SUM($D$58:$D$75)</f>
        <v>1</v>
      </c>
      <c r="AJ169" s="116" t="b">
        <f t="shared" ref="AJ169" si="72">SUM(AJ151:AJ168)/AI14=SUM($D$58:$D$75)</f>
        <v>1</v>
      </c>
      <c r="AK169" s="116" t="b">
        <f t="shared" ref="AK169" si="73">SUM(AK151:AK168)/AJ14=SUM($D$58:$D$75)</f>
        <v>1</v>
      </c>
      <c r="AL169" s="116" t="b">
        <f t="shared" ref="AL169" si="74">SUM(AL151:AL168)/AK14=SUM($D$58:$D$75)</f>
        <v>1</v>
      </c>
      <c r="AM169" s="116" t="b">
        <f t="shared" ref="AM169" si="75">SUM(AM151:AM168)/AL14=SUM($D$58:$D$75)</f>
        <v>1</v>
      </c>
      <c r="AN169" s="116" t="b">
        <f t="shared" ref="AN169" si="76">SUM(AN151:AN168)/AM14=SUM($D$58:$D$75)</f>
        <v>1</v>
      </c>
      <c r="AO169" s="116" t="b">
        <f t="shared" ref="AO169" si="77">SUM(AO151:AO168)/AN14=SUM($D$58:$D$75)</f>
        <v>1</v>
      </c>
      <c r="AP169" s="116" t="b">
        <f t="shared" ref="AP169" si="78">SUM(AP151:AP168)/AO14=SUM($D$58:$D$75)</f>
        <v>1</v>
      </c>
      <c r="AQ169" s="116" t="b">
        <f t="shared" ref="AQ169" si="79">SUM(AQ151:AQ168)/AP14=SUM($D$58:$D$75)</f>
        <v>1</v>
      </c>
      <c r="AR169" s="116" t="b">
        <f t="shared" ref="AR169" si="80">SUM(AR151:AR168)/AQ14=SUM($D$58:$D$75)</f>
        <v>1</v>
      </c>
      <c r="AS169" s="116" t="b">
        <f t="shared" ref="AS169" si="81">SUM(AS151:AS168)/AR14=SUM($D$58:$D$75)</f>
        <v>1</v>
      </c>
      <c r="AT169" s="116" t="b">
        <f t="shared" ref="AT169" si="82">SUM(AT151:AT168)/AS14=SUM($D$58:$D$75)</f>
        <v>1</v>
      </c>
      <c r="AU169" s="116" t="b">
        <f t="shared" ref="AU169" si="83">SUM(AU151:AU168)/AT14=SUM($D$58:$D$75)</f>
        <v>1</v>
      </c>
      <c r="AV169" s="116" t="b">
        <f t="shared" ref="AV169" si="84">SUM(AV151:AV168)/AU14=SUM($D$58:$D$75)</f>
        <v>1</v>
      </c>
      <c r="AW169" s="116" t="b">
        <f t="shared" ref="AW169" si="85">SUM(AW151:AW168)/AV14=SUM($D$58:$D$75)</f>
        <v>1</v>
      </c>
      <c r="AX169" s="116" t="b">
        <f t="shared" ref="AX169" si="86">SUM(AX151:AX168)/AW14=SUM($D$58:$D$75)</f>
        <v>1</v>
      </c>
      <c r="AY169" s="116" t="b">
        <f t="shared" ref="AY169" si="87">SUM(AY151:AY168)/AX14=SUM($D$58:$D$75)</f>
        <v>1</v>
      </c>
      <c r="AZ169" s="116" t="b">
        <f t="shared" ref="AZ169" si="88">SUM(AZ151:AZ168)/AY14=SUM($D$58:$D$75)</f>
        <v>1</v>
      </c>
      <c r="BA169" s="116" t="b">
        <f t="shared" ref="BA169" si="89">SUM(BA151:BA168)/AZ14=SUM($D$58:$D$75)</f>
        <v>1</v>
      </c>
      <c r="BB169" s="116" t="b">
        <f t="shared" ref="BB169" si="90">SUM(BB151:BB168)/BA14=SUM($D$58:$D$75)</f>
        <v>1</v>
      </c>
    </row>
    <row r="171" spans="1:54" s="588" customFormat="1">
      <c r="A171" s="593" t="s">
        <v>10</v>
      </c>
      <c r="B171" s="593" t="s">
        <v>2891</v>
      </c>
      <c r="C171" s="593"/>
      <c r="D171" s="645"/>
    </row>
    <row r="172" spans="1:54">
      <c r="D172" s="23"/>
    </row>
    <row r="174" spans="1:54">
      <c r="B174" s="9" t="s">
        <v>97</v>
      </c>
      <c r="C174" s="9"/>
    </row>
    <row r="176" spans="1:54">
      <c r="B176" s="7" t="s">
        <v>9</v>
      </c>
      <c r="D176" s="34">
        <f>'Prevalence projection'!C$21</f>
        <v>2020</v>
      </c>
      <c r="E176" s="34">
        <f>'Prevalence projection'!D$21</f>
        <v>2021</v>
      </c>
      <c r="F176" s="34">
        <f>'Prevalence projection'!E$21</f>
        <v>2022</v>
      </c>
      <c r="G176" s="34">
        <f>'Prevalence projection'!F$21</f>
        <v>2023</v>
      </c>
      <c r="H176" s="34">
        <f>'Prevalence projection'!G$21</f>
        <v>2024</v>
      </c>
      <c r="I176" s="34">
        <f>'Prevalence projection'!H$21</f>
        <v>2025</v>
      </c>
      <c r="J176" s="34">
        <f>'Prevalence projection'!I$21</f>
        <v>2026</v>
      </c>
      <c r="K176" s="34">
        <f>'Prevalence projection'!J$21</f>
        <v>2027</v>
      </c>
      <c r="L176" s="34">
        <f>'Prevalence projection'!K$21</f>
        <v>2028</v>
      </c>
      <c r="M176" s="34">
        <f>'Prevalence projection'!L$21</f>
        <v>2029</v>
      </c>
      <c r="N176" s="34">
        <f>'Prevalence projection'!M$21</f>
        <v>2030</v>
      </c>
      <c r="O176" s="34">
        <f>'Prevalence projection'!N$21</f>
        <v>2031</v>
      </c>
      <c r="P176" s="34">
        <f>'Prevalence projection'!O$21</f>
        <v>2032</v>
      </c>
      <c r="Q176" s="34">
        <f>'Prevalence projection'!P$21</f>
        <v>2033</v>
      </c>
      <c r="R176" s="34">
        <f>'Prevalence projection'!Q$21</f>
        <v>2034</v>
      </c>
      <c r="S176" s="34">
        <f>'Prevalence projection'!R$21</f>
        <v>2035</v>
      </c>
      <c r="T176" s="34">
        <f>'Prevalence projection'!S$21</f>
        <v>2036</v>
      </c>
      <c r="U176" s="34">
        <f>'Prevalence projection'!T$21</f>
        <v>2037</v>
      </c>
      <c r="V176" s="34">
        <f>'Prevalence projection'!U$21</f>
        <v>2038</v>
      </c>
      <c r="W176" s="34">
        <f>'Prevalence projection'!V$21</f>
        <v>2039</v>
      </c>
      <c r="X176" s="34">
        <f>'Prevalence projection'!W$21</f>
        <v>2040</v>
      </c>
      <c r="Y176" s="34">
        <f>'Prevalence projection'!X$21</f>
        <v>2041</v>
      </c>
      <c r="Z176" s="34">
        <f>'Prevalence projection'!Y$21</f>
        <v>2042</v>
      </c>
      <c r="AA176" s="34">
        <f>'Prevalence projection'!Z$21</f>
        <v>2043</v>
      </c>
      <c r="AB176" s="34">
        <f>'Prevalence projection'!AA$21</f>
        <v>2044</v>
      </c>
      <c r="AC176" s="34">
        <f>'Prevalence projection'!AB$21</f>
        <v>2045</v>
      </c>
      <c r="AD176" s="34">
        <f>'Prevalence projection'!AC$21</f>
        <v>2046</v>
      </c>
      <c r="AE176" s="34">
        <f>'Prevalence projection'!AD$21</f>
        <v>2047</v>
      </c>
      <c r="AF176" s="34">
        <f>'Prevalence projection'!AE$21</f>
        <v>2048</v>
      </c>
      <c r="AG176" s="34">
        <f>'Prevalence projection'!AF$21</f>
        <v>2049</v>
      </c>
      <c r="AH176" s="34">
        <f>'Prevalence projection'!AG$21</f>
        <v>2050</v>
      </c>
      <c r="AI176" s="34">
        <f>'Prevalence projection'!AH$21</f>
        <v>2051</v>
      </c>
      <c r="AJ176" s="34">
        <f>'Prevalence projection'!AI$21</f>
        <v>2052</v>
      </c>
      <c r="AK176" s="34">
        <f>'Prevalence projection'!AJ$21</f>
        <v>2053</v>
      </c>
      <c r="AL176" s="34">
        <f>'Prevalence projection'!AK$21</f>
        <v>2054</v>
      </c>
      <c r="AM176" s="34">
        <f>'Prevalence projection'!AL$21</f>
        <v>2055</v>
      </c>
      <c r="AN176" s="34">
        <f>'Prevalence projection'!AM$21</f>
        <v>2056</v>
      </c>
      <c r="AO176" s="34">
        <f>'Prevalence projection'!AN$21</f>
        <v>2057</v>
      </c>
      <c r="AP176" s="34">
        <f>'Prevalence projection'!AO$21</f>
        <v>2058</v>
      </c>
      <c r="AQ176" s="34">
        <f>'Prevalence projection'!AP$21</f>
        <v>2059</v>
      </c>
      <c r="AR176" s="34">
        <f>'Prevalence projection'!AQ$21</f>
        <v>2060</v>
      </c>
      <c r="AS176" s="34">
        <f>'Prevalence projection'!AR$21</f>
        <v>2061</v>
      </c>
      <c r="AT176" s="34">
        <f>'Prevalence projection'!AS$21</f>
        <v>2062</v>
      </c>
      <c r="AU176" s="34">
        <f>'Prevalence projection'!AT$21</f>
        <v>2063</v>
      </c>
      <c r="AV176" s="34">
        <f>'Prevalence projection'!AU$21</f>
        <v>2064</v>
      </c>
      <c r="AW176" s="34">
        <f>'Prevalence projection'!AV$21</f>
        <v>2065</v>
      </c>
      <c r="AX176" s="34">
        <f>'Prevalence projection'!AW$21</f>
        <v>2066</v>
      </c>
      <c r="AY176" s="34">
        <f>'Prevalence projection'!AX$21</f>
        <v>2067</v>
      </c>
      <c r="AZ176" s="34">
        <f>'Prevalence projection'!AY$21</f>
        <v>2068</v>
      </c>
      <c r="BA176" s="34">
        <f>'Prevalence projection'!AZ$21</f>
        <v>2069</v>
      </c>
      <c r="BB176" s="34">
        <f>'Prevalence projection'!BA$21</f>
        <v>2070</v>
      </c>
    </row>
    <row r="177" spans="2:54">
      <c r="B177" s="6" t="s">
        <v>11</v>
      </c>
      <c r="D177" s="90">
        <f>INDEX(D$129:D$146,MATCH($B177,$B$129:$B$146,0))*INDEX('Resource costs'!$C$121:$C$142, MATCH($B177, 'Resource costs'!$B$121:$B$142,0))</f>
        <v>0</v>
      </c>
      <c r="E177" s="90">
        <f>INDEX(E$129:E$146,MATCH($B177,$B$129:$B$146,0))*INDEX('Resource costs'!$C$121:$C$142, MATCH($B177, 'Resource costs'!$B$121:$B$142,0))</f>
        <v>0</v>
      </c>
      <c r="F177" s="90">
        <f>INDEX(F$129:F$146,MATCH($B177,$B$129:$B$146,0))*INDEX('Resource costs'!$C$121:$C$142, MATCH($B177, 'Resource costs'!$B$121:$B$142,0))</f>
        <v>0</v>
      </c>
      <c r="G177" s="90">
        <f>INDEX(G$129:G$146,MATCH($B177,$B$129:$B$146,0))*INDEX('Resource costs'!$C$121:$C$142, MATCH($B177, 'Resource costs'!$B$121:$B$142,0))</f>
        <v>0</v>
      </c>
      <c r="H177" s="90">
        <f>INDEX(H$129:H$146,MATCH($B177,$B$129:$B$146,0))*INDEX('Resource costs'!$C$121:$C$142, MATCH($B177, 'Resource costs'!$B$121:$B$142,0))</f>
        <v>0</v>
      </c>
      <c r="I177" s="90">
        <f>INDEX(I$129:I$146,MATCH($B177,$B$129:$B$146,0))*INDEX('Resource costs'!$C$121:$C$142, MATCH($B177, 'Resource costs'!$B$121:$B$142,0))</f>
        <v>0</v>
      </c>
      <c r="J177" s="90">
        <f>INDEX(J$129:J$146,MATCH($B177,$B$129:$B$146,0))*INDEX('Resource costs'!$C$121:$C$142, MATCH($B177, 'Resource costs'!$B$121:$B$142,0))</f>
        <v>0</v>
      </c>
      <c r="K177" s="90">
        <f>INDEX(K$129:K$146,MATCH($B177,$B$129:$B$146,0))*INDEX('Resource costs'!$C$121:$C$142, MATCH($B177, 'Resource costs'!$B$121:$B$142,0))</f>
        <v>0</v>
      </c>
      <c r="L177" s="90">
        <f>INDEX(L$129:L$146,MATCH($B177,$B$129:$B$146,0))*INDEX('Resource costs'!$C$121:$C$142, MATCH($B177, 'Resource costs'!$B$121:$B$142,0))</f>
        <v>0</v>
      </c>
      <c r="M177" s="90">
        <f>INDEX(M$129:M$146,MATCH($B177,$B$129:$B$146,0))*INDEX('Resource costs'!$C$121:$C$142, MATCH($B177, 'Resource costs'!$B$121:$B$142,0))</f>
        <v>0</v>
      </c>
      <c r="N177" s="90">
        <f>INDEX(N$129:N$146,MATCH($B177,$B$129:$B$146,0))*INDEX('Resource costs'!$C$121:$C$142, MATCH($B177, 'Resource costs'!$B$121:$B$142,0))</f>
        <v>0</v>
      </c>
      <c r="O177" s="90">
        <f>INDEX(O$129:O$146,MATCH($B177,$B$129:$B$146,0))*INDEX('Resource costs'!$C$121:$C$142, MATCH($B177, 'Resource costs'!$B$121:$B$142,0))</f>
        <v>0</v>
      </c>
      <c r="P177" s="90">
        <f>INDEX(P$129:P$146,MATCH($B177,$B$129:$B$146,0))*INDEX('Resource costs'!$C$121:$C$142, MATCH($B177, 'Resource costs'!$B$121:$B$142,0))</f>
        <v>0</v>
      </c>
      <c r="Q177" s="90">
        <f>INDEX(Q$129:Q$146,MATCH($B177,$B$129:$B$146,0))*INDEX('Resource costs'!$C$121:$C$142, MATCH($B177, 'Resource costs'!$B$121:$B$142,0))</f>
        <v>0</v>
      </c>
      <c r="R177" s="90">
        <f>INDEX(R$129:R$146,MATCH($B177,$B$129:$B$146,0))*INDEX('Resource costs'!$C$121:$C$142, MATCH($B177, 'Resource costs'!$B$121:$B$142,0))</f>
        <v>0</v>
      </c>
      <c r="S177" s="90">
        <f>INDEX(S$129:S$146,MATCH($B177,$B$129:$B$146,0))*INDEX('Resource costs'!$C$121:$C$142, MATCH($B177, 'Resource costs'!$B$121:$B$142,0))</f>
        <v>0</v>
      </c>
      <c r="T177" s="90">
        <f>INDEX(T$129:T$146,MATCH($B177,$B$129:$B$146,0))*INDEX('Resource costs'!$C$121:$C$142, MATCH($B177, 'Resource costs'!$B$121:$B$142,0))</f>
        <v>0</v>
      </c>
      <c r="U177" s="90">
        <f>INDEX(U$129:U$146,MATCH($B177,$B$129:$B$146,0))*INDEX('Resource costs'!$C$121:$C$142, MATCH($B177, 'Resource costs'!$B$121:$B$142,0))</f>
        <v>0</v>
      </c>
      <c r="V177" s="90">
        <f>INDEX(V$129:V$146,MATCH($B177,$B$129:$B$146,0))*INDEX('Resource costs'!$C$121:$C$142, MATCH($B177, 'Resource costs'!$B$121:$B$142,0))</f>
        <v>0</v>
      </c>
      <c r="W177" s="90">
        <f>INDEX(W$129:W$146,MATCH($B177,$B$129:$B$146,0))*INDEX('Resource costs'!$C$121:$C$142, MATCH($B177, 'Resource costs'!$B$121:$B$142,0))</f>
        <v>0</v>
      </c>
      <c r="X177" s="90">
        <f>INDEX(X$129:X$146,MATCH($B177,$B$129:$B$146,0))*INDEX('Resource costs'!$C$121:$C$142, MATCH($B177, 'Resource costs'!$B$121:$B$142,0))</f>
        <v>0</v>
      </c>
      <c r="Y177" s="90">
        <f>INDEX(Y$129:Y$146,MATCH($B177,$B$129:$B$146,0))*INDEX('Resource costs'!$C$121:$C$142, MATCH($B177, 'Resource costs'!$B$121:$B$142,0))</f>
        <v>0</v>
      </c>
      <c r="Z177" s="90">
        <f>INDEX(Z$129:Z$146,MATCH($B177,$B$129:$B$146,0))*INDEX('Resource costs'!$C$121:$C$142, MATCH($B177, 'Resource costs'!$B$121:$B$142,0))</f>
        <v>0</v>
      </c>
      <c r="AA177" s="90">
        <f>INDEX(AA$129:AA$146,MATCH($B177,$B$129:$B$146,0))*INDEX('Resource costs'!$C$121:$C$142, MATCH($B177, 'Resource costs'!$B$121:$B$142,0))</f>
        <v>0</v>
      </c>
      <c r="AB177" s="90">
        <f>INDEX(AB$129:AB$146,MATCH($B177,$B$129:$B$146,0))*INDEX('Resource costs'!$C$121:$C$142, MATCH($B177, 'Resource costs'!$B$121:$B$142,0))</f>
        <v>0</v>
      </c>
      <c r="AC177" s="90">
        <f>INDEX(AC$129:AC$146,MATCH($B177,$B$129:$B$146,0))*INDEX('Resource costs'!$C$121:$C$142, MATCH($B177, 'Resource costs'!$B$121:$B$142,0))</f>
        <v>0</v>
      </c>
      <c r="AD177" s="90">
        <f>INDEX(AD$129:AD$146,MATCH($B177,$B$129:$B$146,0))*INDEX('Resource costs'!$C$121:$C$142, MATCH($B177, 'Resource costs'!$B$121:$B$142,0))</f>
        <v>0</v>
      </c>
      <c r="AE177" s="90">
        <f>INDEX(AE$129:AE$146,MATCH($B177,$B$129:$B$146,0))*INDEX('Resource costs'!$C$121:$C$142, MATCH($B177, 'Resource costs'!$B$121:$B$142,0))</f>
        <v>0</v>
      </c>
      <c r="AF177" s="90">
        <f>INDEX(AF$129:AF$146,MATCH($B177,$B$129:$B$146,0))*INDEX('Resource costs'!$C$121:$C$142, MATCH($B177, 'Resource costs'!$B$121:$B$142,0))</f>
        <v>0</v>
      </c>
      <c r="AG177" s="90">
        <f>INDEX(AG$129:AG$146,MATCH($B177,$B$129:$B$146,0))*INDEX('Resource costs'!$C$121:$C$142, MATCH($B177, 'Resource costs'!$B$121:$B$142,0))</f>
        <v>0</v>
      </c>
      <c r="AH177" s="90">
        <f>INDEX(AH$129:AH$146,MATCH($B177,$B$129:$B$146,0))*INDEX('Resource costs'!$C$121:$C$142, MATCH($B177, 'Resource costs'!$B$121:$B$142,0))</f>
        <v>0</v>
      </c>
      <c r="AI177" s="90">
        <f>INDEX(AI$129:AI$146,MATCH($B177,$B$129:$B$146,0))*INDEX('Resource costs'!$C$121:$C$142, MATCH($B177, 'Resource costs'!$B$121:$B$142,0))</f>
        <v>0</v>
      </c>
      <c r="AJ177" s="90">
        <f>INDEX(AJ$129:AJ$146,MATCH($B177,$B$129:$B$146,0))*INDEX('Resource costs'!$C$121:$C$142, MATCH($B177, 'Resource costs'!$B$121:$B$142,0))</f>
        <v>0</v>
      </c>
      <c r="AK177" s="90">
        <f>INDEX(AK$129:AK$146,MATCH($B177,$B$129:$B$146,0))*INDEX('Resource costs'!$C$121:$C$142, MATCH($B177, 'Resource costs'!$B$121:$B$142,0))</f>
        <v>0</v>
      </c>
      <c r="AL177" s="90">
        <f>INDEX(AL$129:AL$146,MATCH($B177,$B$129:$B$146,0))*INDEX('Resource costs'!$C$121:$C$142, MATCH($B177, 'Resource costs'!$B$121:$B$142,0))</f>
        <v>0</v>
      </c>
      <c r="AM177" s="90">
        <f>INDEX(AM$129:AM$146,MATCH($B177,$B$129:$B$146,0))*INDEX('Resource costs'!$C$121:$C$142, MATCH($B177, 'Resource costs'!$B$121:$B$142,0))</f>
        <v>0</v>
      </c>
      <c r="AN177" s="90">
        <f>INDEX(AN$129:AN$146,MATCH($B177,$B$129:$B$146,0))*INDEX('Resource costs'!$C$121:$C$142, MATCH($B177, 'Resource costs'!$B$121:$B$142,0))</f>
        <v>0</v>
      </c>
      <c r="AO177" s="90">
        <f>INDEX(AO$129:AO$146,MATCH($B177,$B$129:$B$146,0))*INDEX('Resource costs'!$C$121:$C$142, MATCH($B177, 'Resource costs'!$B$121:$B$142,0))</f>
        <v>0</v>
      </c>
      <c r="AP177" s="90">
        <f>INDEX(AP$129:AP$146,MATCH($B177,$B$129:$B$146,0))*INDEX('Resource costs'!$C$121:$C$142, MATCH($B177, 'Resource costs'!$B$121:$B$142,0))</f>
        <v>0</v>
      </c>
      <c r="AQ177" s="90">
        <f>INDEX(AQ$129:AQ$146,MATCH($B177,$B$129:$B$146,0))*INDEX('Resource costs'!$C$121:$C$142, MATCH($B177, 'Resource costs'!$B$121:$B$142,0))</f>
        <v>0</v>
      </c>
      <c r="AR177" s="90">
        <f>INDEX(AR$129:AR$146,MATCH($B177,$B$129:$B$146,0))*INDEX('Resource costs'!$C$121:$C$142, MATCH($B177, 'Resource costs'!$B$121:$B$142,0))</f>
        <v>0</v>
      </c>
      <c r="AS177" s="90">
        <f>INDEX(AS$129:AS$146,MATCH($B177,$B$129:$B$146,0))*INDEX('Resource costs'!$C$121:$C$142, MATCH($B177, 'Resource costs'!$B$121:$B$142,0))</f>
        <v>0</v>
      </c>
      <c r="AT177" s="90">
        <f>INDEX(AT$129:AT$146,MATCH($B177,$B$129:$B$146,0))*INDEX('Resource costs'!$C$121:$C$142, MATCH($B177, 'Resource costs'!$B$121:$B$142,0))</f>
        <v>0</v>
      </c>
      <c r="AU177" s="90">
        <f>INDEX(AU$129:AU$146,MATCH($B177,$B$129:$B$146,0))*INDEX('Resource costs'!$C$121:$C$142, MATCH($B177, 'Resource costs'!$B$121:$B$142,0))</f>
        <v>0</v>
      </c>
      <c r="AV177" s="90">
        <f>INDEX(AV$129:AV$146,MATCH($B177,$B$129:$B$146,0))*INDEX('Resource costs'!$C$121:$C$142, MATCH($B177, 'Resource costs'!$B$121:$B$142,0))</f>
        <v>0</v>
      </c>
      <c r="AW177" s="90">
        <f>INDEX(AW$129:AW$146,MATCH($B177,$B$129:$B$146,0))*INDEX('Resource costs'!$C$121:$C$142, MATCH($B177, 'Resource costs'!$B$121:$B$142,0))</f>
        <v>0</v>
      </c>
      <c r="AX177" s="90">
        <f>INDEX(AX$129:AX$146,MATCH($B177,$B$129:$B$146,0))*INDEX('Resource costs'!$C$121:$C$142, MATCH($B177, 'Resource costs'!$B$121:$B$142,0))</f>
        <v>0</v>
      </c>
      <c r="AY177" s="90">
        <f>INDEX(AY$129:AY$146,MATCH($B177,$B$129:$B$146,0))*INDEX('Resource costs'!$C$121:$C$142, MATCH($B177, 'Resource costs'!$B$121:$B$142,0))</f>
        <v>0</v>
      </c>
      <c r="AZ177" s="90">
        <f>INDEX(AZ$129:AZ$146,MATCH($B177,$B$129:$B$146,0))*INDEX('Resource costs'!$C$121:$C$142, MATCH($B177, 'Resource costs'!$B$121:$B$142,0))</f>
        <v>0</v>
      </c>
      <c r="BA177" s="90">
        <f>INDEX(BA$129:BA$146,MATCH($B177,$B$129:$B$146,0))*INDEX('Resource costs'!$C$121:$C$142, MATCH($B177, 'Resource costs'!$B$121:$B$142,0))</f>
        <v>0</v>
      </c>
      <c r="BB177" s="90">
        <f>INDEX(BB$129:BB$146,MATCH($B177,$B$129:$B$146,0))*INDEX('Resource costs'!$C$121:$C$142, MATCH($B177, 'Resource costs'!$B$121:$B$142,0))</f>
        <v>0</v>
      </c>
    </row>
    <row r="178" spans="2:54" s="97" customFormat="1">
      <c r="B178" s="6" t="s">
        <v>14</v>
      </c>
      <c r="C178" s="315"/>
      <c r="D178" s="90">
        <f>INDEX(D$129:D$146,MATCH($B178,$B$129:$B$146,0))*INDEX('Resource costs'!$C$121:$C$142, MATCH($B178, 'Resource costs'!$B$121:$B$142,0))</f>
        <v>0</v>
      </c>
      <c r="E178" s="90">
        <f>INDEX(E$129:E$146,MATCH($B178,$B$129:$B$146,0))*INDEX('Resource costs'!$C$121:$C$142, MATCH($B178, 'Resource costs'!$B$121:$B$142,0))</f>
        <v>0</v>
      </c>
      <c r="F178" s="90">
        <f>INDEX(F$129:F$146,MATCH($B178,$B$129:$B$146,0))*INDEX('Resource costs'!$C$121:$C$142, MATCH($B178, 'Resource costs'!$B$121:$B$142,0))</f>
        <v>0</v>
      </c>
      <c r="G178" s="90">
        <f>INDEX(G$129:G$146,MATCH($B178,$B$129:$B$146,0))*INDEX('Resource costs'!$C$121:$C$142, MATCH($B178, 'Resource costs'!$B$121:$B$142,0))</f>
        <v>0</v>
      </c>
      <c r="H178" s="90">
        <f>INDEX(H$129:H$146,MATCH($B178,$B$129:$B$146,0))*INDEX('Resource costs'!$C$121:$C$142, MATCH($B178, 'Resource costs'!$B$121:$B$142,0))</f>
        <v>0</v>
      </c>
      <c r="I178" s="90">
        <f>INDEX(I$129:I$146,MATCH($B178,$B$129:$B$146,0))*INDEX('Resource costs'!$C$121:$C$142, MATCH($B178, 'Resource costs'!$B$121:$B$142,0))</f>
        <v>0</v>
      </c>
      <c r="J178" s="90">
        <f>INDEX(J$129:J$146,MATCH($B178,$B$129:$B$146,0))*INDEX('Resource costs'!$C$121:$C$142, MATCH($B178, 'Resource costs'!$B$121:$B$142,0))</f>
        <v>0</v>
      </c>
      <c r="K178" s="90">
        <f>INDEX(K$129:K$146,MATCH($B178,$B$129:$B$146,0))*INDEX('Resource costs'!$C$121:$C$142, MATCH($B178, 'Resource costs'!$B$121:$B$142,0))</f>
        <v>0</v>
      </c>
      <c r="L178" s="90">
        <f>INDEX(L$129:L$146,MATCH($B178,$B$129:$B$146,0))*INDEX('Resource costs'!$C$121:$C$142, MATCH($B178, 'Resource costs'!$B$121:$B$142,0))</f>
        <v>0</v>
      </c>
      <c r="M178" s="90">
        <f>INDEX(M$129:M$146,MATCH($B178,$B$129:$B$146,0))*INDEX('Resource costs'!$C$121:$C$142, MATCH($B178, 'Resource costs'!$B$121:$B$142,0))</f>
        <v>0</v>
      </c>
      <c r="N178" s="90">
        <f>INDEX(N$129:N$146,MATCH($B178,$B$129:$B$146,0))*INDEX('Resource costs'!$C$121:$C$142, MATCH($B178, 'Resource costs'!$B$121:$B$142,0))</f>
        <v>0</v>
      </c>
      <c r="O178" s="90">
        <f>INDEX(O$129:O$146,MATCH($B178,$B$129:$B$146,0))*INDEX('Resource costs'!$C$121:$C$142, MATCH($B178, 'Resource costs'!$B$121:$B$142,0))</f>
        <v>0</v>
      </c>
      <c r="P178" s="90">
        <f>INDEX(P$129:P$146,MATCH($B178,$B$129:$B$146,0))*INDEX('Resource costs'!$C$121:$C$142, MATCH($B178, 'Resource costs'!$B$121:$B$142,0))</f>
        <v>0</v>
      </c>
      <c r="Q178" s="90">
        <f>INDEX(Q$129:Q$146,MATCH($B178,$B$129:$B$146,0))*INDEX('Resource costs'!$C$121:$C$142, MATCH($B178, 'Resource costs'!$B$121:$B$142,0))</f>
        <v>0</v>
      </c>
      <c r="R178" s="90">
        <f>INDEX(R$129:R$146,MATCH($B178,$B$129:$B$146,0))*INDEX('Resource costs'!$C$121:$C$142, MATCH($B178, 'Resource costs'!$B$121:$B$142,0))</f>
        <v>0</v>
      </c>
      <c r="S178" s="90">
        <f>INDEX(S$129:S$146,MATCH($B178,$B$129:$B$146,0))*INDEX('Resource costs'!$C$121:$C$142, MATCH($B178, 'Resource costs'!$B$121:$B$142,0))</f>
        <v>0</v>
      </c>
      <c r="T178" s="90">
        <f>INDEX(T$129:T$146,MATCH($B178,$B$129:$B$146,0))*INDEX('Resource costs'!$C$121:$C$142, MATCH($B178, 'Resource costs'!$B$121:$B$142,0))</f>
        <v>0</v>
      </c>
      <c r="U178" s="90">
        <f>INDEX(U$129:U$146,MATCH($B178,$B$129:$B$146,0))*INDEX('Resource costs'!$C$121:$C$142, MATCH($B178, 'Resource costs'!$B$121:$B$142,0))</f>
        <v>0</v>
      </c>
      <c r="V178" s="90">
        <f>INDEX(V$129:V$146,MATCH($B178,$B$129:$B$146,0))*INDEX('Resource costs'!$C$121:$C$142, MATCH($B178, 'Resource costs'!$B$121:$B$142,0))</f>
        <v>0</v>
      </c>
      <c r="W178" s="90">
        <f>INDEX(W$129:W$146,MATCH($B178,$B$129:$B$146,0))*INDEX('Resource costs'!$C$121:$C$142, MATCH($B178, 'Resource costs'!$B$121:$B$142,0))</f>
        <v>0</v>
      </c>
      <c r="X178" s="90">
        <f>INDEX(X$129:X$146,MATCH($B178,$B$129:$B$146,0))*INDEX('Resource costs'!$C$121:$C$142, MATCH($B178, 'Resource costs'!$B$121:$B$142,0))</f>
        <v>0</v>
      </c>
      <c r="Y178" s="90">
        <f>INDEX(Y$129:Y$146,MATCH($B178,$B$129:$B$146,0))*INDEX('Resource costs'!$C$121:$C$142, MATCH($B178, 'Resource costs'!$B$121:$B$142,0))</f>
        <v>0</v>
      </c>
      <c r="Z178" s="90">
        <f>INDEX(Z$129:Z$146,MATCH($B178,$B$129:$B$146,0))*INDEX('Resource costs'!$C$121:$C$142, MATCH($B178, 'Resource costs'!$B$121:$B$142,0))</f>
        <v>0</v>
      </c>
      <c r="AA178" s="90">
        <f>INDEX(AA$129:AA$146,MATCH($B178,$B$129:$B$146,0))*INDEX('Resource costs'!$C$121:$C$142, MATCH($B178, 'Resource costs'!$B$121:$B$142,0))</f>
        <v>0</v>
      </c>
      <c r="AB178" s="90">
        <f>INDEX(AB$129:AB$146,MATCH($B178,$B$129:$B$146,0))*INDEX('Resource costs'!$C$121:$C$142, MATCH($B178, 'Resource costs'!$B$121:$B$142,0))</f>
        <v>0</v>
      </c>
      <c r="AC178" s="90">
        <f>INDEX(AC$129:AC$146,MATCH($B178,$B$129:$B$146,0))*INDEX('Resource costs'!$C$121:$C$142, MATCH($B178, 'Resource costs'!$B$121:$B$142,0))</f>
        <v>0</v>
      </c>
      <c r="AD178" s="90">
        <f>INDEX(AD$129:AD$146,MATCH($B178,$B$129:$B$146,0))*INDEX('Resource costs'!$C$121:$C$142, MATCH($B178, 'Resource costs'!$B$121:$B$142,0))</f>
        <v>0</v>
      </c>
      <c r="AE178" s="90">
        <f>INDEX(AE$129:AE$146,MATCH($B178,$B$129:$B$146,0))*INDEX('Resource costs'!$C$121:$C$142, MATCH($B178, 'Resource costs'!$B$121:$B$142,0))</f>
        <v>0</v>
      </c>
      <c r="AF178" s="90">
        <f>INDEX(AF$129:AF$146,MATCH($B178,$B$129:$B$146,0))*INDEX('Resource costs'!$C$121:$C$142, MATCH($B178, 'Resource costs'!$B$121:$B$142,0))</f>
        <v>0</v>
      </c>
      <c r="AG178" s="90">
        <f>INDEX(AG$129:AG$146,MATCH($B178,$B$129:$B$146,0))*INDEX('Resource costs'!$C$121:$C$142, MATCH($B178, 'Resource costs'!$B$121:$B$142,0))</f>
        <v>0</v>
      </c>
      <c r="AH178" s="90">
        <f>INDEX(AH$129:AH$146,MATCH($B178,$B$129:$B$146,0))*INDEX('Resource costs'!$C$121:$C$142, MATCH($B178, 'Resource costs'!$B$121:$B$142,0))</f>
        <v>0</v>
      </c>
      <c r="AI178" s="90">
        <f>INDEX(AI$129:AI$146,MATCH($B178,$B$129:$B$146,0))*INDEX('Resource costs'!$C$121:$C$142, MATCH($B178, 'Resource costs'!$B$121:$B$142,0))</f>
        <v>0</v>
      </c>
      <c r="AJ178" s="90">
        <f>INDEX(AJ$129:AJ$146,MATCH($B178,$B$129:$B$146,0))*INDEX('Resource costs'!$C$121:$C$142, MATCH($B178, 'Resource costs'!$B$121:$B$142,0))</f>
        <v>0</v>
      </c>
      <c r="AK178" s="90">
        <f>INDEX(AK$129:AK$146,MATCH($B178,$B$129:$B$146,0))*INDEX('Resource costs'!$C$121:$C$142, MATCH($B178, 'Resource costs'!$B$121:$B$142,0))</f>
        <v>0</v>
      </c>
      <c r="AL178" s="90">
        <f>INDEX(AL$129:AL$146,MATCH($B178,$B$129:$B$146,0))*INDEX('Resource costs'!$C$121:$C$142, MATCH($B178, 'Resource costs'!$B$121:$B$142,0))</f>
        <v>0</v>
      </c>
      <c r="AM178" s="90">
        <f>INDEX(AM$129:AM$146,MATCH($B178,$B$129:$B$146,0))*INDEX('Resource costs'!$C$121:$C$142, MATCH($B178, 'Resource costs'!$B$121:$B$142,0))</f>
        <v>0</v>
      </c>
      <c r="AN178" s="90">
        <f>INDEX(AN$129:AN$146,MATCH($B178,$B$129:$B$146,0))*INDEX('Resource costs'!$C$121:$C$142, MATCH($B178, 'Resource costs'!$B$121:$B$142,0))</f>
        <v>0</v>
      </c>
      <c r="AO178" s="90">
        <f>INDEX(AO$129:AO$146,MATCH($B178,$B$129:$B$146,0))*INDEX('Resource costs'!$C$121:$C$142, MATCH($B178, 'Resource costs'!$B$121:$B$142,0))</f>
        <v>0</v>
      </c>
      <c r="AP178" s="90">
        <f>INDEX(AP$129:AP$146,MATCH($B178,$B$129:$B$146,0))*INDEX('Resource costs'!$C$121:$C$142, MATCH($B178, 'Resource costs'!$B$121:$B$142,0))</f>
        <v>0</v>
      </c>
      <c r="AQ178" s="90">
        <f>INDEX(AQ$129:AQ$146,MATCH($B178,$B$129:$B$146,0))*INDEX('Resource costs'!$C$121:$C$142, MATCH($B178, 'Resource costs'!$B$121:$B$142,0))</f>
        <v>0</v>
      </c>
      <c r="AR178" s="90">
        <f>INDEX(AR$129:AR$146,MATCH($B178,$B$129:$B$146,0))*INDEX('Resource costs'!$C$121:$C$142, MATCH($B178, 'Resource costs'!$B$121:$B$142,0))</f>
        <v>0</v>
      </c>
      <c r="AS178" s="90">
        <f>INDEX(AS$129:AS$146,MATCH($B178,$B$129:$B$146,0))*INDEX('Resource costs'!$C$121:$C$142, MATCH($B178, 'Resource costs'!$B$121:$B$142,0))</f>
        <v>0</v>
      </c>
      <c r="AT178" s="90">
        <f>INDEX(AT$129:AT$146,MATCH($B178,$B$129:$B$146,0))*INDEX('Resource costs'!$C$121:$C$142, MATCH($B178, 'Resource costs'!$B$121:$B$142,0))</f>
        <v>0</v>
      </c>
      <c r="AU178" s="90">
        <f>INDEX(AU$129:AU$146,MATCH($B178,$B$129:$B$146,0))*INDEX('Resource costs'!$C$121:$C$142, MATCH($B178, 'Resource costs'!$B$121:$B$142,0))</f>
        <v>0</v>
      </c>
      <c r="AV178" s="90">
        <f>INDEX(AV$129:AV$146,MATCH($B178,$B$129:$B$146,0))*INDEX('Resource costs'!$C$121:$C$142, MATCH($B178, 'Resource costs'!$B$121:$B$142,0))</f>
        <v>0</v>
      </c>
      <c r="AW178" s="90">
        <f>INDEX(AW$129:AW$146,MATCH($B178,$B$129:$B$146,0))*INDEX('Resource costs'!$C$121:$C$142, MATCH($B178, 'Resource costs'!$B$121:$B$142,0))</f>
        <v>0</v>
      </c>
      <c r="AX178" s="90">
        <f>INDEX(AX$129:AX$146,MATCH($B178,$B$129:$B$146,0))*INDEX('Resource costs'!$C$121:$C$142, MATCH($B178, 'Resource costs'!$B$121:$B$142,0))</f>
        <v>0</v>
      </c>
      <c r="AY178" s="90">
        <f>INDEX(AY$129:AY$146,MATCH($B178,$B$129:$B$146,0))*INDEX('Resource costs'!$C$121:$C$142, MATCH($B178, 'Resource costs'!$B$121:$B$142,0))</f>
        <v>0</v>
      </c>
      <c r="AZ178" s="90">
        <f>INDEX(AZ$129:AZ$146,MATCH($B178,$B$129:$B$146,0))*INDEX('Resource costs'!$C$121:$C$142, MATCH($B178, 'Resource costs'!$B$121:$B$142,0))</f>
        <v>0</v>
      </c>
      <c r="BA178" s="90">
        <f>INDEX(BA$129:BA$146,MATCH($B178,$B$129:$B$146,0))*INDEX('Resource costs'!$C$121:$C$142, MATCH($B178, 'Resource costs'!$B$121:$B$142,0))</f>
        <v>0</v>
      </c>
      <c r="BB178" s="90">
        <f>INDEX(BB$129:BB$146,MATCH($B178,$B$129:$B$146,0))*INDEX('Resource costs'!$C$121:$C$142, MATCH($B178, 'Resource costs'!$B$121:$B$142,0))</f>
        <v>0</v>
      </c>
    </row>
    <row r="179" spans="2:54" s="97" customFormat="1">
      <c r="B179" s="6" t="s">
        <v>15</v>
      </c>
      <c r="C179" s="315"/>
      <c r="D179" s="90">
        <f>INDEX(D$129:D$146,MATCH($B179,$B$129:$B$146,0))*INDEX('Resource costs'!$C$121:$C$142, MATCH($B179, 'Resource costs'!$B$121:$B$142,0))</f>
        <v>0</v>
      </c>
      <c r="E179" s="90">
        <f>INDEX(E$129:E$146,MATCH($B179,$B$129:$B$146,0))*INDEX('Resource costs'!$C$121:$C$142, MATCH($B179, 'Resource costs'!$B$121:$B$142,0))</f>
        <v>0</v>
      </c>
      <c r="F179" s="90">
        <f>INDEX(F$129:F$146,MATCH($B179,$B$129:$B$146,0))*INDEX('Resource costs'!$C$121:$C$142, MATCH($B179, 'Resource costs'!$B$121:$B$142,0))</f>
        <v>0</v>
      </c>
      <c r="G179" s="90">
        <f>INDEX(G$129:G$146,MATCH($B179,$B$129:$B$146,0))*INDEX('Resource costs'!$C$121:$C$142, MATCH($B179, 'Resource costs'!$B$121:$B$142,0))</f>
        <v>0</v>
      </c>
      <c r="H179" s="90">
        <f>INDEX(H$129:H$146,MATCH($B179,$B$129:$B$146,0))*INDEX('Resource costs'!$C$121:$C$142, MATCH($B179, 'Resource costs'!$B$121:$B$142,0))</f>
        <v>0</v>
      </c>
      <c r="I179" s="90">
        <f>INDEX(I$129:I$146,MATCH($B179,$B$129:$B$146,0))*INDEX('Resource costs'!$C$121:$C$142, MATCH($B179, 'Resource costs'!$B$121:$B$142,0))</f>
        <v>0</v>
      </c>
      <c r="J179" s="90">
        <f>INDEX(J$129:J$146,MATCH($B179,$B$129:$B$146,0))*INDEX('Resource costs'!$C$121:$C$142, MATCH($B179, 'Resource costs'!$B$121:$B$142,0))</f>
        <v>0</v>
      </c>
      <c r="K179" s="90">
        <f>INDEX(K$129:K$146,MATCH($B179,$B$129:$B$146,0))*INDEX('Resource costs'!$C$121:$C$142, MATCH($B179, 'Resource costs'!$B$121:$B$142,0))</f>
        <v>0</v>
      </c>
      <c r="L179" s="90">
        <f>INDEX(L$129:L$146,MATCH($B179,$B$129:$B$146,0))*INDEX('Resource costs'!$C$121:$C$142, MATCH($B179, 'Resource costs'!$B$121:$B$142,0))</f>
        <v>0</v>
      </c>
      <c r="M179" s="90">
        <f>INDEX(M$129:M$146,MATCH($B179,$B$129:$B$146,0))*INDEX('Resource costs'!$C$121:$C$142, MATCH($B179, 'Resource costs'!$B$121:$B$142,0))</f>
        <v>0</v>
      </c>
      <c r="N179" s="90">
        <f>INDEX(N$129:N$146,MATCH($B179,$B$129:$B$146,0))*INDEX('Resource costs'!$C$121:$C$142, MATCH($B179, 'Resource costs'!$B$121:$B$142,0))</f>
        <v>0</v>
      </c>
      <c r="O179" s="90">
        <f>INDEX(O$129:O$146,MATCH($B179,$B$129:$B$146,0))*INDEX('Resource costs'!$C$121:$C$142, MATCH($B179, 'Resource costs'!$B$121:$B$142,0))</f>
        <v>0</v>
      </c>
      <c r="P179" s="90">
        <f>INDEX(P$129:P$146,MATCH($B179,$B$129:$B$146,0))*INDEX('Resource costs'!$C$121:$C$142, MATCH($B179, 'Resource costs'!$B$121:$B$142,0))</f>
        <v>0</v>
      </c>
      <c r="Q179" s="90">
        <f>INDEX(Q$129:Q$146,MATCH($B179,$B$129:$B$146,0))*INDEX('Resource costs'!$C$121:$C$142, MATCH($B179, 'Resource costs'!$B$121:$B$142,0))</f>
        <v>0</v>
      </c>
      <c r="R179" s="90">
        <f>INDEX(R$129:R$146,MATCH($B179,$B$129:$B$146,0))*INDEX('Resource costs'!$C$121:$C$142, MATCH($B179, 'Resource costs'!$B$121:$B$142,0))</f>
        <v>0</v>
      </c>
      <c r="S179" s="90">
        <f>INDEX(S$129:S$146,MATCH($B179,$B$129:$B$146,0))*INDEX('Resource costs'!$C$121:$C$142, MATCH($B179, 'Resource costs'!$B$121:$B$142,0))</f>
        <v>0</v>
      </c>
      <c r="T179" s="90">
        <f>INDEX(T$129:T$146,MATCH($B179,$B$129:$B$146,0))*INDEX('Resource costs'!$C$121:$C$142, MATCH($B179, 'Resource costs'!$B$121:$B$142,0))</f>
        <v>0</v>
      </c>
      <c r="U179" s="90">
        <f>INDEX(U$129:U$146,MATCH($B179,$B$129:$B$146,0))*INDEX('Resource costs'!$C$121:$C$142, MATCH($B179, 'Resource costs'!$B$121:$B$142,0))</f>
        <v>0</v>
      </c>
      <c r="V179" s="90">
        <f>INDEX(V$129:V$146,MATCH($B179,$B$129:$B$146,0))*INDEX('Resource costs'!$C$121:$C$142, MATCH($B179, 'Resource costs'!$B$121:$B$142,0))</f>
        <v>0</v>
      </c>
      <c r="W179" s="90">
        <f>INDEX(W$129:W$146,MATCH($B179,$B$129:$B$146,0))*INDEX('Resource costs'!$C$121:$C$142, MATCH($B179, 'Resource costs'!$B$121:$B$142,0))</f>
        <v>0</v>
      </c>
      <c r="X179" s="90">
        <f>INDEX(X$129:X$146,MATCH($B179,$B$129:$B$146,0))*INDEX('Resource costs'!$C$121:$C$142, MATCH($B179, 'Resource costs'!$B$121:$B$142,0))</f>
        <v>0</v>
      </c>
      <c r="Y179" s="90">
        <f>INDEX(Y$129:Y$146,MATCH($B179,$B$129:$B$146,0))*INDEX('Resource costs'!$C$121:$C$142, MATCH($B179, 'Resource costs'!$B$121:$B$142,0))</f>
        <v>0</v>
      </c>
      <c r="Z179" s="90">
        <f>INDEX(Z$129:Z$146,MATCH($B179,$B$129:$B$146,0))*INDEX('Resource costs'!$C$121:$C$142, MATCH($B179, 'Resource costs'!$B$121:$B$142,0))</f>
        <v>0</v>
      </c>
      <c r="AA179" s="90">
        <f>INDEX(AA$129:AA$146,MATCH($B179,$B$129:$B$146,0))*INDEX('Resource costs'!$C$121:$C$142, MATCH($B179, 'Resource costs'!$B$121:$B$142,0))</f>
        <v>0</v>
      </c>
      <c r="AB179" s="90">
        <f>INDEX(AB$129:AB$146,MATCH($B179,$B$129:$B$146,0))*INDEX('Resource costs'!$C$121:$C$142, MATCH($B179, 'Resource costs'!$B$121:$B$142,0))</f>
        <v>0</v>
      </c>
      <c r="AC179" s="90">
        <f>INDEX(AC$129:AC$146,MATCH($B179,$B$129:$B$146,0))*INDEX('Resource costs'!$C$121:$C$142, MATCH($B179, 'Resource costs'!$B$121:$B$142,0))</f>
        <v>0</v>
      </c>
      <c r="AD179" s="90">
        <f>INDEX(AD$129:AD$146,MATCH($B179,$B$129:$B$146,0))*INDEX('Resource costs'!$C$121:$C$142, MATCH($B179, 'Resource costs'!$B$121:$B$142,0))</f>
        <v>0</v>
      </c>
      <c r="AE179" s="90">
        <f>INDEX(AE$129:AE$146,MATCH($B179,$B$129:$B$146,0))*INDEX('Resource costs'!$C$121:$C$142, MATCH($B179, 'Resource costs'!$B$121:$B$142,0))</f>
        <v>0</v>
      </c>
      <c r="AF179" s="90">
        <f>INDEX(AF$129:AF$146,MATCH($B179,$B$129:$B$146,0))*INDEX('Resource costs'!$C$121:$C$142, MATCH($B179, 'Resource costs'!$B$121:$B$142,0))</f>
        <v>0</v>
      </c>
      <c r="AG179" s="90">
        <f>INDEX(AG$129:AG$146,MATCH($B179,$B$129:$B$146,0))*INDEX('Resource costs'!$C$121:$C$142, MATCH($B179, 'Resource costs'!$B$121:$B$142,0))</f>
        <v>0</v>
      </c>
      <c r="AH179" s="90">
        <f>INDEX(AH$129:AH$146,MATCH($B179,$B$129:$B$146,0))*INDEX('Resource costs'!$C$121:$C$142, MATCH($B179, 'Resource costs'!$B$121:$B$142,0))</f>
        <v>0</v>
      </c>
      <c r="AI179" s="90">
        <f>INDEX(AI$129:AI$146,MATCH($B179,$B$129:$B$146,0))*INDEX('Resource costs'!$C$121:$C$142, MATCH($B179, 'Resource costs'!$B$121:$B$142,0))</f>
        <v>0</v>
      </c>
      <c r="AJ179" s="90">
        <f>INDEX(AJ$129:AJ$146,MATCH($B179,$B$129:$B$146,0))*INDEX('Resource costs'!$C$121:$C$142, MATCH($B179, 'Resource costs'!$B$121:$B$142,0))</f>
        <v>0</v>
      </c>
      <c r="AK179" s="90">
        <f>INDEX(AK$129:AK$146,MATCH($B179,$B$129:$B$146,0))*INDEX('Resource costs'!$C$121:$C$142, MATCH($B179, 'Resource costs'!$B$121:$B$142,0))</f>
        <v>0</v>
      </c>
      <c r="AL179" s="90">
        <f>INDEX(AL$129:AL$146,MATCH($B179,$B$129:$B$146,0))*INDEX('Resource costs'!$C$121:$C$142, MATCH($B179, 'Resource costs'!$B$121:$B$142,0))</f>
        <v>0</v>
      </c>
      <c r="AM179" s="90">
        <f>INDEX(AM$129:AM$146,MATCH($B179,$B$129:$B$146,0))*INDEX('Resource costs'!$C$121:$C$142, MATCH($B179, 'Resource costs'!$B$121:$B$142,0))</f>
        <v>0</v>
      </c>
      <c r="AN179" s="90">
        <f>INDEX(AN$129:AN$146,MATCH($B179,$B$129:$B$146,0))*INDEX('Resource costs'!$C$121:$C$142, MATCH($B179, 'Resource costs'!$B$121:$B$142,0))</f>
        <v>0</v>
      </c>
      <c r="AO179" s="90">
        <f>INDEX(AO$129:AO$146,MATCH($B179,$B$129:$B$146,0))*INDEX('Resource costs'!$C$121:$C$142, MATCH($B179, 'Resource costs'!$B$121:$B$142,0))</f>
        <v>0</v>
      </c>
      <c r="AP179" s="90">
        <f>INDEX(AP$129:AP$146,MATCH($B179,$B$129:$B$146,0))*INDEX('Resource costs'!$C$121:$C$142, MATCH($B179, 'Resource costs'!$B$121:$B$142,0))</f>
        <v>0</v>
      </c>
      <c r="AQ179" s="90">
        <f>INDEX(AQ$129:AQ$146,MATCH($B179,$B$129:$B$146,0))*INDEX('Resource costs'!$C$121:$C$142, MATCH($B179, 'Resource costs'!$B$121:$B$142,0))</f>
        <v>0</v>
      </c>
      <c r="AR179" s="90">
        <f>INDEX(AR$129:AR$146,MATCH($B179,$B$129:$B$146,0))*INDEX('Resource costs'!$C$121:$C$142, MATCH($B179, 'Resource costs'!$B$121:$B$142,0))</f>
        <v>0</v>
      </c>
      <c r="AS179" s="90">
        <f>INDEX(AS$129:AS$146,MATCH($B179,$B$129:$B$146,0))*INDEX('Resource costs'!$C$121:$C$142, MATCH($B179, 'Resource costs'!$B$121:$B$142,0))</f>
        <v>0</v>
      </c>
      <c r="AT179" s="90">
        <f>INDEX(AT$129:AT$146,MATCH($B179,$B$129:$B$146,0))*INDEX('Resource costs'!$C$121:$C$142, MATCH($B179, 'Resource costs'!$B$121:$B$142,0))</f>
        <v>0</v>
      </c>
      <c r="AU179" s="90">
        <f>INDEX(AU$129:AU$146,MATCH($B179,$B$129:$B$146,0))*INDEX('Resource costs'!$C$121:$C$142, MATCH($B179, 'Resource costs'!$B$121:$B$142,0))</f>
        <v>0</v>
      </c>
      <c r="AV179" s="90">
        <f>INDEX(AV$129:AV$146,MATCH($B179,$B$129:$B$146,0))*INDEX('Resource costs'!$C$121:$C$142, MATCH($B179, 'Resource costs'!$B$121:$B$142,0))</f>
        <v>0</v>
      </c>
      <c r="AW179" s="90">
        <f>INDEX(AW$129:AW$146,MATCH($B179,$B$129:$B$146,0))*INDEX('Resource costs'!$C$121:$C$142, MATCH($B179, 'Resource costs'!$B$121:$B$142,0))</f>
        <v>0</v>
      </c>
      <c r="AX179" s="90">
        <f>INDEX(AX$129:AX$146,MATCH($B179,$B$129:$B$146,0))*INDEX('Resource costs'!$C$121:$C$142, MATCH($B179, 'Resource costs'!$B$121:$B$142,0))</f>
        <v>0</v>
      </c>
      <c r="AY179" s="90">
        <f>INDEX(AY$129:AY$146,MATCH($B179,$B$129:$B$146,0))*INDEX('Resource costs'!$C$121:$C$142, MATCH($B179, 'Resource costs'!$B$121:$B$142,0))</f>
        <v>0</v>
      </c>
      <c r="AZ179" s="90">
        <f>INDEX(AZ$129:AZ$146,MATCH($B179,$B$129:$B$146,0))*INDEX('Resource costs'!$C$121:$C$142, MATCH($B179, 'Resource costs'!$B$121:$B$142,0))</f>
        <v>0</v>
      </c>
      <c r="BA179" s="90">
        <f>INDEX(BA$129:BA$146,MATCH($B179,$B$129:$B$146,0))*INDEX('Resource costs'!$C$121:$C$142, MATCH($B179, 'Resource costs'!$B$121:$B$142,0))</f>
        <v>0</v>
      </c>
      <c r="BB179" s="90">
        <f>INDEX(BB$129:BB$146,MATCH($B179,$B$129:$B$146,0))*INDEX('Resource costs'!$C$121:$C$142, MATCH($B179, 'Resource costs'!$B$121:$B$142,0))</f>
        <v>0</v>
      </c>
    </row>
    <row r="180" spans="2:54" s="97" customFormat="1" ht="29">
      <c r="B180" s="6" t="s">
        <v>16</v>
      </c>
      <c r="C180" s="315"/>
      <c r="D180" s="90">
        <f>INDEX(D$129:D$146,MATCH($B180,$B$129:$B$146,0))*INDEX('Resource costs'!$C$121:$C$142, MATCH($B180, 'Resource costs'!$B$121:$B$142,0))</f>
        <v>0</v>
      </c>
      <c r="E180" s="90">
        <f>INDEX(E$129:E$146,MATCH($B180,$B$129:$B$146,0))*INDEX('Resource costs'!$C$121:$C$142, MATCH($B180, 'Resource costs'!$B$121:$B$142,0))</f>
        <v>0</v>
      </c>
      <c r="F180" s="90">
        <f>INDEX(F$129:F$146,MATCH($B180,$B$129:$B$146,0))*INDEX('Resource costs'!$C$121:$C$142, MATCH($B180, 'Resource costs'!$B$121:$B$142,0))</f>
        <v>0</v>
      </c>
      <c r="G180" s="90">
        <f>INDEX(G$129:G$146,MATCH($B180,$B$129:$B$146,0))*INDEX('Resource costs'!$C$121:$C$142, MATCH($B180, 'Resource costs'!$B$121:$B$142,0))</f>
        <v>0</v>
      </c>
      <c r="H180" s="90">
        <f>INDEX(H$129:H$146,MATCH($B180,$B$129:$B$146,0))*INDEX('Resource costs'!$C$121:$C$142, MATCH($B180, 'Resource costs'!$B$121:$B$142,0))</f>
        <v>0</v>
      </c>
      <c r="I180" s="90">
        <f>INDEX(I$129:I$146,MATCH($B180,$B$129:$B$146,0))*INDEX('Resource costs'!$C$121:$C$142, MATCH($B180, 'Resource costs'!$B$121:$B$142,0))</f>
        <v>0</v>
      </c>
      <c r="J180" s="90">
        <f>INDEX(J$129:J$146,MATCH($B180,$B$129:$B$146,0))*INDEX('Resource costs'!$C$121:$C$142, MATCH($B180, 'Resource costs'!$B$121:$B$142,0))</f>
        <v>0</v>
      </c>
      <c r="K180" s="90">
        <f>INDEX(K$129:K$146,MATCH($B180,$B$129:$B$146,0))*INDEX('Resource costs'!$C$121:$C$142, MATCH($B180, 'Resource costs'!$B$121:$B$142,0))</f>
        <v>0</v>
      </c>
      <c r="L180" s="90">
        <f>INDEX(L$129:L$146,MATCH($B180,$B$129:$B$146,0))*INDEX('Resource costs'!$C$121:$C$142, MATCH($B180, 'Resource costs'!$B$121:$B$142,0))</f>
        <v>0</v>
      </c>
      <c r="M180" s="90">
        <f>INDEX(M$129:M$146,MATCH($B180,$B$129:$B$146,0))*INDEX('Resource costs'!$C$121:$C$142, MATCH($B180, 'Resource costs'!$B$121:$B$142,0))</f>
        <v>0</v>
      </c>
      <c r="N180" s="90">
        <f>INDEX(N$129:N$146,MATCH($B180,$B$129:$B$146,0))*INDEX('Resource costs'!$C$121:$C$142, MATCH($B180, 'Resource costs'!$B$121:$B$142,0))</f>
        <v>0</v>
      </c>
      <c r="O180" s="90">
        <f>INDEX(O$129:O$146,MATCH($B180,$B$129:$B$146,0))*INDEX('Resource costs'!$C$121:$C$142, MATCH($B180, 'Resource costs'!$B$121:$B$142,0))</f>
        <v>0</v>
      </c>
      <c r="P180" s="90">
        <f>INDEX(P$129:P$146,MATCH($B180,$B$129:$B$146,0))*INDEX('Resource costs'!$C$121:$C$142, MATCH($B180, 'Resource costs'!$B$121:$B$142,0))</f>
        <v>0</v>
      </c>
      <c r="Q180" s="90">
        <f>INDEX(Q$129:Q$146,MATCH($B180,$B$129:$B$146,0))*INDEX('Resource costs'!$C$121:$C$142, MATCH($B180, 'Resource costs'!$B$121:$B$142,0))</f>
        <v>0</v>
      </c>
      <c r="R180" s="90">
        <f>INDEX(R$129:R$146,MATCH($B180,$B$129:$B$146,0))*INDEX('Resource costs'!$C$121:$C$142, MATCH($B180, 'Resource costs'!$B$121:$B$142,0))</f>
        <v>0</v>
      </c>
      <c r="S180" s="90">
        <f>INDEX(S$129:S$146,MATCH($B180,$B$129:$B$146,0))*INDEX('Resource costs'!$C$121:$C$142, MATCH($B180, 'Resource costs'!$B$121:$B$142,0))</f>
        <v>0</v>
      </c>
      <c r="T180" s="90">
        <f>INDEX(T$129:T$146,MATCH($B180,$B$129:$B$146,0))*INDEX('Resource costs'!$C$121:$C$142, MATCH($B180, 'Resource costs'!$B$121:$B$142,0))</f>
        <v>0</v>
      </c>
      <c r="U180" s="90">
        <f>INDEX(U$129:U$146,MATCH($B180,$B$129:$B$146,0))*INDEX('Resource costs'!$C$121:$C$142, MATCH($B180, 'Resource costs'!$B$121:$B$142,0))</f>
        <v>0</v>
      </c>
      <c r="V180" s="90">
        <f>INDEX(V$129:V$146,MATCH($B180,$B$129:$B$146,0))*INDEX('Resource costs'!$C$121:$C$142, MATCH($B180, 'Resource costs'!$B$121:$B$142,0))</f>
        <v>0</v>
      </c>
      <c r="W180" s="90">
        <f>INDEX(W$129:W$146,MATCH($B180,$B$129:$B$146,0))*INDEX('Resource costs'!$C$121:$C$142, MATCH($B180, 'Resource costs'!$B$121:$B$142,0))</f>
        <v>0</v>
      </c>
      <c r="X180" s="90">
        <f>INDEX(X$129:X$146,MATCH($B180,$B$129:$B$146,0))*INDEX('Resource costs'!$C$121:$C$142, MATCH($B180, 'Resource costs'!$B$121:$B$142,0))</f>
        <v>0</v>
      </c>
      <c r="Y180" s="90">
        <f>INDEX(Y$129:Y$146,MATCH($B180,$B$129:$B$146,0))*INDEX('Resource costs'!$C$121:$C$142, MATCH($B180, 'Resource costs'!$B$121:$B$142,0))</f>
        <v>0</v>
      </c>
      <c r="Z180" s="90">
        <f>INDEX(Z$129:Z$146,MATCH($B180,$B$129:$B$146,0))*INDEX('Resource costs'!$C$121:$C$142, MATCH($B180, 'Resource costs'!$B$121:$B$142,0))</f>
        <v>0</v>
      </c>
      <c r="AA180" s="90">
        <f>INDEX(AA$129:AA$146,MATCH($B180,$B$129:$B$146,0))*INDEX('Resource costs'!$C$121:$C$142, MATCH($B180, 'Resource costs'!$B$121:$B$142,0))</f>
        <v>0</v>
      </c>
      <c r="AB180" s="90">
        <f>INDEX(AB$129:AB$146,MATCH($B180,$B$129:$B$146,0))*INDEX('Resource costs'!$C$121:$C$142, MATCH($B180, 'Resource costs'!$B$121:$B$142,0))</f>
        <v>0</v>
      </c>
      <c r="AC180" s="90">
        <f>INDEX(AC$129:AC$146,MATCH($B180,$B$129:$B$146,0))*INDEX('Resource costs'!$C$121:$C$142, MATCH($B180, 'Resource costs'!$B$121:$B$142,0))</f>
        <v>0</v>
      </c>
      <c r="AD180" s="90">
        <f>INDEX(AD$129:AD$146,MATCH($B180,$B$129:$B$146,0))*INDEX('Resource costs'!$C$121:$C$142, MATCH($B180, 'Resource costs'!$B$121:$B$142,0))</f>
        <v>0</v>
      </c>
      <c r="AE180" s="90">
        <f>INDEX(AE$129:AE$146,MATCH($B180,$B$129:$B$146,0))*INDEX('Resource costs'!$C$121:$C$142, MATCH($B180, 'Resource costs'!$B$121:$B$142,0))</f>
        <v>0</v>
      </c>
      <c r="AF180" s="90">
        <f>INDEX(AF$129:AF$146,MATCH($B180,$B$129:$B$146,0))*INDEX('Resource costs'!$C$121:$C$142, MATCH($B180, 'Resource costs'!$B$121:$B$142,0))</f>
        <v>0</v>
      </c>
      <c r="AG180" s="90">
        <f>INDEX(AG$129:AG$146,MATCH($B180,$B$129:$B$146,0))*INDEX('Resource costs'!$C$121:$C$142, MATCH($B180, 'Resource costs'!$B$121:$B$142,0))</f>
        <v>0</v>
      </c>
      <c r="AH180" s="90">
        <f>INDEX(AH$129:AH$146,MATCH($B180,$B$129:$B$146,0))*INDEX('Resource costs'!$C$121:$C$142, MATCH($B180, 'Resource costs'!$B$121:$B$142,0))</f>
        <v>0</v>
      </c>
      <c r="AI180" s="90">
        <f>INDEX(AI$129:AI$146,MATCH($B180,$B$129:$B$146,0))*INDEX('Resource costs'!$C$121:$C$142, MATCH($B180, 'Resource costs'!$B$121:$B$142,0))</f>
        <v>0</v>
      </c>
      <c r="AJ180" s="90">
        <f>INDEX(AJ$129:AJ$146,MATCH($B180,$B$129:$B$146,0))*INDEX('Resource costs'!$C$121:$C$142, MATCH($B180, 'Resource costs'!$B$121:$B$142,0))</f>
        <v>0</v>
      </c>
      <c r="AK180" s="90">
        <f>INDEX(AK$129:AK$146,MATCH($B180,$B$129:$B$146,0))*INDEX('Resource costs'!$C$121:$C$142, MATCH($B180, 'Resource costs'!$B$121:$B$142,0))</f>
        <v>0</v>
      </c>
      <c r="AL180" s="90">
        <f>INDEX(AL$129:AL$146,MATCH($B180,$B$129:$B$146,0))*INDEX('Resource costs'!$C$121:$C$142, MATCH($B180, 'Resource costs'!$B$121:$B$142,0))</f>
        <v>0</v>
      </c>
      <c r="AM180" s="90">
        <f>INDEX(AM$129:AM$146,MATCH($B180,$B$129:$B$146,0))*INDEX('Resource costs'!$C$121:$C$142, MATCH($B180, 'Resource costs'!$B$121:$B$142,0))</f>
        <v>0</v>
      </c>
      <c r="AN180" s="90">
        <f>INDEX(AN$129:AN$146,MATCH($B180,$B$129:$B$146,0))*INDEX('Resource costs'!$C$121:$C$142, MATCH($B180, 'Resource costs'!$B$121:$B$142,0))</f>
        <v>0</v>
      </c>
      <c r="AO180" s="90">
        <f>INDEX(AO$129:AO$146,MATCH($B180,$B$129:$B$146,0))*INDEX('Resource costs'!$C$121:$C$142, MATCH($B180, 'Resource costs'!$B$121:$B$142,0))</f>
        <v>0</v>
      </c>
      <c r="AP180" s="90">
        <f>INDEX(AP$129:AP$146,MATCH($B180,$B$129:$B$146,0))*INDEX('Resource costs'!$C$121:$C$142, MATCH($B180, 'Resource costs'!$B$121:$B$142,0))</f>
        <v>0</v>
      </c>
      <c r="AQ180" s="90">
        <f>INDEX(AQ$129:AQ$146,MATCH($B180,$B$129:$B$146,0))*INDEX('Resource costs'!$C$121:$C$142, MATCH($B180, 'Resource costs'!$B$121:$B$142,0))</f>
        <v>0</v>
      </c>
      <c r="AR180" s="90">
        <f>INDEX(AR$129:AR$146,MATCH($B180,$B$129:$B$146,0))*INDEX('Resource costs'!$C$121:$C$142, MATCH($B180, 'Resource costs'!$B$121:$B$142,0))</f>
        <v>0</v>
      </c>
      <c r="AS180" s="90">
        <f>INDEX(AS$129:AS$146,MATCH($B180,$B$129:$B$146,0))*INDEX('Resource costs'!$C$121:$C$142, MATCH($B180, 'Resource costs'!$B$121:$B$142,0))</f>
        <v>0</v>
      </c>
      <c r="AT180" s="90">
        <f>INDEX(AT$129:AT$146,MATCH($B180,$B$129:$B$146,0))*INDEX('Resource costs'!$C$121:$C$142, MATCH($B180, 'Resource costs'!$B$121:$B$142,0))</f>
        <v>0</v>
      </c>
      <c r="AU180" s="90">
        <f>INDEX(AU$129:AU$146,MATCH($B180,$B$129:$B$146,0))*INDEX('Resource costs'!$C$121:$C$142, MATCH($B180, 'Resource costs'!$B$121:$B$142,0))</f>
        <v>0</v>
      </c>
      <c r="AV180" s="90">
        <f>INDEX(AV$129:AV$146,MATCH($B180,$B$129:$B$146,0))*INDEX('Resource costs'!$C$121:$C$142, MATCH($B180, 'Resource costs'!$B$121:$B$142,0))</f>
        <v>0</v>
      </c>
      <c r="AW180" s="90">
        <f>INDEX(AW$129:AW$146,MATCH($B180,$B$129:$B$146,0))*INDEX('Resource costs'!$C$121:$C$142, MATCH($B180, 'Resource costs'!$B$121:$B$142,0))</f>
        <v>0</v>
      </c>
      <c r="AX180" s="90">
        <f>INDEX(AX$129:AX$146,MATCH($B180,$B$129:$B$146,0))*INDEX('Resource costs'!$C$121:$C$142, MATCH($B180, 'Resource costs'!$B$121:$B$142,0))</f>
        <v>0</v>
      </c>
      <c r="AY180" s="90">
        <f>INDEX(AY$129:AY$146,MATCH($B180,$B$129:$B$146,0))*INDEX('Resource costs'!$C$121:$C$142, MATCH($B180, 'Resource costs'!$B$121:$B$142,0))</f>
        <v>0</v>
      </c>
      <c r="AZ180" s="90">
        <f>INDEX(AZ$129:AZ$146,MATCH($B180,$B$129:$B$146,0))*INDEX('Resource costs'!$C$121:$C$142, MATCH($B180, 'Resource costs'!$B$121:$B$142,0))</f>
        <v>0</v>
      </c>
      <c r="BA180" s="90">
        <f>INDEX(BA$129:BA$146,MATCH($B180,$B$129:$B$146,0))*INDEX('Resource costs'!$C$121:$C$142, MATCH($B180, 'Resource costs'!$B$121:$B$142,0))</f>
        <v>0</v>
      </c>
      <c r="BB180" s="90">
        <f>INDEX(BB$129:BB$146,MATCH($B180,$B$129:$B$146,0))*INDEX('Resource costs'!$C$121:$C$142, MATCH($B180, 'Resource costs'!$B$121:$B$142,0))</f>
        <v>0</v>
      </c>
    </row>
    <row r="181" spans="2:54" s="97" customFormat="1">
      <c r="B181" s="6" t="s">
        <v>103</v>
      </c>
      <c r="C181" s="315"/>
      <c r="D181" s="90">
        <f>INDEX(D$129:D$146,MATCH($B181,$B$129:$B$146,0))*INDEX('Resource costs'!$C$121:$C$142, MATCH($B181, 'Resource costs'!$B$121:$B$142,0))</f>
        <v>0</v>
      </c>
      <c r="E181" s="90">
        <f>INDEX(E$129:E$146,MATCH($B181,$B$129:$B$146,0))*INDEX('Resource costs'!$C$121:$C$142, MATCH($B181, 'Resource costs'!$B$121:$B$142,0))</f>
        <v>0</v>
      </c>
      <c r="F181" s="90">
        <f>INDEX(F$129:F$146,MATCH($B181,$B$129:$B$146,0))*INDEX('Resource costs'!$C$121:$C$142, MATCH($B181, 'Resource costs'!$B$121:$B$142,0))</f>
        <v>0</v>
      </c>
      <c r="G181" s="90">
        <f>INDEX(G$129:G$146,MATCH($B181,$B$129:$B$146,0))*INDEX('Resource costs'!$C$121:$C$142, MATCH($B181, 'Resource costs'!$B$121:$B$142,0))</f>
        <v>0</v>
      </c>
      <c r="H181" s="90">
        <f>INDEX(H$129:H$146,MATCH($B181,$B$129:$B$146,0))*INDEX('Resource costs'!$C$121:$C$142, MATCH($B181, 'Resource costs'!$B$121:$B$142,0))</f>
        <v>0</v>
      </c>
      <c r="I181" s="90">
        <f>INDEX(I$129:I$146,MATCH($B181,$B$129:$B$146,0))*INDEX('Resource costs'!$C$121:$C$142, MATCH($B181, 'Resource costs'!$B$121:$B$142,0))</f>
        <v>0</v>
      </c>
      <c r="J181" s="90">
        <f>INDEX(J$129:J$146,MATCH($B181,$B$129:$B$146,0))*INDEX('Resource costs'!$C$121:$C$142, MATCH($B181, 'Resource costs'!$B$121:$B$142,0))</f>
        <v>0</v>
      </c>
      <c r="K181" s="90">
        <f>INDEX(K$129:K$146,MATCH($B181,$B$129:$B$146,0))*INDEX('Resource costs'!$C$121:$C$142, MATCH($B181, 'Resource costs'!$B$121:$B$142,0))</f>
        <v>0</v>
      </c>
      <c r="L181" s="90">
        <f>INDEX(L$129:L$146,MATCH($B181,$B$129:$B$146,0))*INDEX('Resource costs'!$C$121:$C$142, MATCH($B181, 'Resource costs'!$B$121:$B$142,0))</f>
        <v>0</v>
      </c>
      <c r="M181" s="90">
        <f>INDEX(M$129:M$146,MATCH($B181,$B$129:$B$146,0))*INDEX('Resource costs'!$C$121:$C$142, MATCH($B181, 'Resource costs'!$B$121:$B$142,0))</f>
        <v>0</v>
      </c>
      <c r="N181" s="90">
        <f>INDEX(N$129:N$146,MATCH($B181,$B$129:$B$146,0))*INDEX('Resource costs'!$C$121:$C$142, MATCH($B181, 'Resource costs'!$B$121:$B$142,0))</f>
        <v>0</v>
      </c>
      <c r="O181" s="90">
        <f>INDEX(O$129:O$146,MATCH($B181,$B$129:$B$146,0))*INDEX('Resource costs'!$C$121:$C$142, MATCH($B181, 'Resource costs'!$B$121:$B$142,0))</f>
        <v>0</v>
      </c>
      <c r="P181" s="90">
        <f>INDEX(P$129:P$146,MATCH($B181,$B$129:$B$146,0))*INDEX('Resource costs'!$C$121:$C$142, MATCH($B181, 'Resource costs'!$B$121:$B$142,0))</f>
        <v>0</v>
      </c>
      <c r="Q181" s="90">
        <f>INDEX(Q$129:Q$146,MATCH($B181,$B$129:$B$146,0))*INDEX('Resource costs'!$C$121:$C$142, MATCH($B181, 'Resource costs'!$B$121:$B$142,0))</f>
        <v>0</v>
      </c>
      <c r="R181" s="90">
        <f>INDEX(R$129:R$146,MATCH($B181,$B$129:$B$146,0))*INDEX('Resource costs'!$C$121:$C$142, MATCH($B181, 'Resource costs'!$B$121:$B$142,0))</f>
        <v>0</v>
      </c>
      <c r="S181" s="90">
        <f>INDEX(S$129:S$146,MATCH($B181,$B$129:$B$146,0))*INDEX('Resource costs'!$C$121:$C$142, MATCH($B181, 'Resource costs'!$B$121:$B$142,0))</f>
        <v>0</v>
      </c>
      <c r="T181" s="90">
        <f>INDEX(T$129:T$146,MATCH($B181,$B$129:$B$146,0))*INDEX('Resource costs'!$C$121:$C$142, MATCH($B181, 'Resource costs'!$B$121:$B$142,0))</f>
        <v>0</v>
      </c>
      <c r="U181" s="90">
        <f>INDEX(U$129:U$146,MATCH($B181,$B$129:$B$146,0))*INDEX('Resource costs'!$C$121:$C$142, MATCH($B181, 'Resource costs'!$B$121:$B$142,0))</f>
        <v>0</v>
      </c>
      <c r="V181" s="90">
        <f>INDEX(V$129:V$146,MATCH($B181,$B$129:$B$146,0))*INDEX('Resource costs'!$C$121:$C$142, MATCH($B181, 'Resource costs'!$B$121:$B$142,0))</f>
        <v>0</v>
      </c>
      <c r="W181" s="90">
        <f>INDEX(W$129:W$146,MATCH($B181,$B$129:$B$146,0))*INDEX('Resource costs'!$C$121:$C$142, MATCH($B181, 'Resource costs'!$B$121:$B$142,0))</f>
        <v>0</v>
      </c>
      <c r="X181" s="90">
        <f>INDEX(X$129:X$146,MATCH($B181,$B$129:$B$146,0))*INDEX('Resource costs'!$C$121:$C$142, MATCH($B181, 'Resource costs'!$B$121:$B$142,0))</f>
        <v>0</v>
      </c>
      <c r="Y181" s="90">
        <f>INDEX(Y$129:Y$146,MATCH($B181,$B$129:$B$146,0))*INDEX('Resource costs'!$C$121:$C$142, MATCH($B181, 'Resource costs'!$B$121:$B$142,0))</f>
        <v>0</v>
      </c>
      <c r="Z181" s="90">
        <f>INDEX(Z$129:Z$146,MATCH($B181,$B$129:$B$146,0))*INDEX('Resource costs'!$C$121:$C$142, MATCH($B181, 'Resource costs'!$B$121:$B$142,0))</f>
        <v>0</v>
      </c>
      <c r="AA181" s="90">
        <f>INDEX(AA$129:AA$146,MATCH($B181,$B$129:$B$146,0))*INDEX('Resource costs'!$C$121:$C$142, MATCH($B181, 'Resource costs'!$B$121:$B$142,0))</f>
        <v>0</v>
      </c>
      <c r="AB181" s="90">
        <f>INDEX(AB$129:AB$146,MATCH($B181,$B$129:$B$146,0))*INDEX('Resource costs'!$C$121:$C$142, MATCH($B181, 'Resource costs'!$B$121:$B$142,0))</f>
        <v>0</v>
      </c>
      <c r="AC181" s="90">
        <f>INDEX(AC$129:AC$146,MATCH($B181,$B$129:$B$146,0))*INDEX('Resource costs'!$C$121:$C$142, MATCH($B181, 'Resource costs'!$B$121:$B$142,0))</f>
        <v>0</v>
      </c>
      <c r="AD181" s="90">
        <f>INDEX(AD$129:AD$146,MATCH($B181,$B$129:$B$146,0))*INDEX('Resource costs'!$C$121:$C$142, MATCH($B181, 'Resource costs'!$B$121:$B$142,0))</f>
        <v>0</v>
      </c>
      <c r="AE181" s="90">
        <f>INDEX(AE$129:AE$146,MATCH($B181,$B$129:$B$146,0))*INDEX('Resource costs'!$C$121:$C$142, MATCH($B181, 'Resource costs'!$B$121:$B$142,0))</f>
        <v>0</v>
      </c>
      <c r="AF181" s="90">
        <f>INDEX(AF$129:AF$146,MATCH($B181,$B$129:$B$146,0))*INDEX('Resource costs'!$C$121:$C$142, MATCH($B181, 'Resource costs'!$B$121:$B$142,0))</f>
        <v>0</v>
      </c>
      <c r="AG181" s="90">
        <f>INDEX(AG$129:AG$146,MATCH($B181,$B$129:$B$146,0))*INDEX('Resource costs'!$C$121:$C$142, MATCH($B181, 'Resource costs'!$B$121:$B$142,0))</f>
        <v>0</v>
      </c>
      <c r="AH181" s="90">
        <f>INDEX(AH$129:AH$146,MATCH($B181,$B$129:$B$146,0))*INDEX('Resource costs'!$C$121:$C$142, MATCH($B181, 'Resource costs'!$B$121:$B$142,0))</f>
        <v>0</v>
      </c>
      <c r="AI181" s="90">
        <f>INDEX(AI$129:AI$146,MATCH($B181,$B$129:$B$146,0))*INDEX('Resource costs'!$C$121:$C$142, MATCH($B181, 'Resource costs'!$B$121:$B$142,0))</f>
        <v>0</v>
      </c>
      <c r="AJ181" s="90">
        <f>INDEX(AJ$129:AJ$146,MATCH($B181,$B$129:$B$146,0))*INDEX('Resource costs'!$C$121:$C$142, MATCH($B181, 'Resource costs'!$B$121:$B$142,0))</f>
        <v>0</v>
      </c>
      <c r="AK181" s="90">
        <f>INDEX(AK$129:AK$146,MATCH($B181,$B$129:$B$146,0))*INDEX('Resource costs'!$C$121:$C$142, MATCH($B181, 'Resource costs'!$B$121:$B$142,0))</f>
        <v>0</v>
      </c>
      <c r="AL181" s="90">
        <f>INDEX(AL$129:AL$146,MATCH($B181,$B$129:$B$146,0))*INDEX('Resource costs'!$C$121:$C$142, MATCH($B181, 'Resource costs'!$B$121:$B$142,0))</f>
        <v>0</v>
      </c>
      <c r="AM181" s="90">
        <f>INDEX(AM$129:AM$146,MATCH($B181,$B$129:$B$146,0))*INDEX('Resource costs'!$C$121:$C$142, MATCH($B181, 'Resource costs'!$B$121:$B$142,0))</f>
        <v>0</v>
      </c>
      <c r="AN181" s="90">
        <f>INDEX(AN$129:AN$146,MATCH($B181,$B$129:$B$146,0))*INDEX('Resource costs'!$C$121:$C$142, MATCH($B181, 'Resource costs'!$B$121:$B$142,0))</f>
        <v>0</v>
      </c>
      <c r="AO181" s="90">
        <f>INDEX(AO$129:AO$146,MATCH($B181,$B$129:$B$146,0))*INDEX('Resource costs'!$C$121:$C$142, MATCH($B181, 'Resource costs'!$B$121:$B$142,0))</f>
        <v>0</v>
      </c>
      <c r="AP181" s="90">
        <f>INDEX(AP$129:AP$146,MATCH($B181,$B$129:$B$146,0))*INDEX('Resource costs'!$C$121:$C$142, MATCH($B181, 'Resource costs'!$B$121:$B$142,0))</f>
        <v>0</v>
      </c>
      <c r="AQ181" s="90">
        <f>INDEX(AQ$129:AQ$146,MATCH($B181,$B$129:$B$146,0))*INDEX('Resource costs'!$C$121:$C$142, MATCH($B181, 'Resource costs'!$B$121:$B$142,0))</f>
        <v>0</v>
      </c>
      <c r="AR181" s="90">
        <f>INDEX(AR$129:AR$146,MATCH($B181,$B$129:$B$146,0))*INDEX('Resource costs'!$C$121:$C$142, MATCH($B181, 'Resource costs'!$B$121:$B$142,0))</f>
        <v>0</v>
      </c>
      <c r="AS181" s="90">
        <f>INDEX(AS$129:AS$146,MATCH($B181,$B$129:$B$146,0))*INDEX('Resource costs'!$C$121:$C$142, MATCH($B181, 'Resource costs'!$B$121:$B$142,0))</f>
        <v>0</v>
      </c>
      <c r="AT181" s="90">
        <f>INDEX(AT$129:AT$146,MATCH($B181,$B$129:$B$146,0))*INDEX('Resource costs'!$C$121:$C$142, MATCH($B181, 'Resource costs'!$B$121:$B$142,0))</f>
        <v>0</v>
      </c>
      <c r="AU181" s="90">
        <f>INDEX(AU$129:AU$146,MATCH($B181,$B$129:$B$146,0))*INDEX('Resource costs'!$C$121:$C$142, MATCH($B181, 'Resource costs'!$B$121:$B$142,0))</f>
        <v>0</v>
      </c>
      <c r="AV181" s="90">
        <f>INDEX(AV$129:AV$146,MATCH($B181,$B$129:$B$146,0))*INDEX('Resource costs'!$C$121:$C$142, MATCH($B181, 'Resource costs'!$B$121:$B$142,0))</f>
        <v>0</v>
      </c>
      <c r="AW181" s="90">
        <f>INDEX(AW$129:AW$146,MATCH($B181,$B$129:$B$146,0))*INDEX('Resource costs'!$C$121:$C$142, MATCH($B181, 'Resource costs'!$B$121:$B$142,0))</f>
        <v>0</v>
      </c>
      <c r="AX181" s="90">
        <f>INDEX(AX$129:AX$146,MATCH($B181,$B$129:$B$146,0))*INDEX('Resource costs'!$C$121:$C$142, MATCH($B181, 'Resource costs'!$B$121:$B$142,0))</f>
        <v>0</v>
      </c>
      <c r="AY181" s="90">
        <f>INDEX(AY$129:AY$146,MATCH($B181,$B$129:$B$146,0))*INDEX('Resource costs'!$C$121:$C$142, MATCH($B181, 'Resource costs'!$B$121:$B$142,0))</f>
        <v>0</v>
      </c>
      <c r="AZ181" s="90">
        <f>INDEX(AZ$129:AZ$146,MATCH($B181,$B$129:$B$146,0))*INDEX('Resource costs'!$C$121:$C$142, MATCH($B181, 'Resource costs'!$B$121:$B$142,0))</f>
        <v>0</v>
      </c>
      <c r="BA181" s="90">
        <f>INDEX(BA$129:BA$146,MATCH($B181,$B$129:$B$146,0))*INDEX('Resource costs'!$C$121:$C$142, MATCH($B181, 'Resource costs'!$B$121:$B$142,0))</f>
        <v>0</v>
      </c>
      <c r="BB181" s="90">
        <f>INDEX(BB$129:BB$146,MATCH($B181,$B$129:$B$146,0))*INDEX('Resource costs'!$C$121:$C$142, MATCH($B181, 'Resource costs'!$B$121:$B$142,0))</f>
        <v>0</v>
      </c>
    </row>
    <row r="182" spans="2:54">
      <c r="B182" s="6" t="s">
        <v>104</v>
      </c>
      <c r="C182" s="52"/>
      <c r="D182" s="90">
        <f>INDEX(D$129:D$146,MATCH($B182,$B$129:$B$146,0))*INDEX('Resource costs'!$C$121:$C$142, MATCH($B182, 'Resource costs'!$B$121:$B$142,0))</f>
        <v>0</v>
      </c>
      <c r="E182" s="90">
        <f>INDEX(E$129:E$146,MATCH($B182,$B$129:$B$146,0))*INDEX('Resource costs'!$C$121:$C$142, MATCH($B182, 'Resource costs'!$B$121:$B$142,0))</f>
        <v>0</v>
      </c>
      <c r="F182" s="90">
        <f>INDEX(F$129:F$146,MATCH($B182,$B$129:$B$146,0))*INDEX('Resource costs'!$C$121:$C$142, MATCH($B182, 'Resource costs'!$B$121:$B$142,0))</f>
        <v>0</v>
      </c>
      <c r="G182" s="90">
        <f>INDEX(G$129:G$146,MATCH($B182,$B$129:$B$146,0))*INDEX('Resource costs'!$C$121:$C$142, MATCH($B182, 'Resource costs'!$B$121:$B$142,0))</f>
        <v>0</v>
      </c>
      <c r="H182" s="90">
        <f>INDEX(H$129:H$146,MATCH($B182,$B$129:$B$146,0))*INDEX('Resource costs'!$C$121:$C$142, MATCH($B182, 'Resource costs'!$B$121:$B$142,0))</f>
        <v>0</v>
      </c>
      <c r="I182" s="90">
        <f>INDEX(I$129:I$146,MATCH($B182,$B$129:$B$146,0))*INDEX('Resource costs'!$C$121:$C$142, MATCH($B182, 'Resource costs'!$B$121:$B$142,0))</f>
        <v>0</v>
      </c>
      <c r="J182" s="90">
        <f>INDEX(J$129:J$146,MATCH($B182,$B$129:$B$146,0))*INDEX('Resource costs'!$C$121:$C$142, MATCH($B182, 'Resource costs'!$B$121:$B$142,0))</f>
        <v>0</v>
      </c>
      <c r="K182" s="90">
        <f>INDEX(K$129:K$146,MATCH($B182,$B$129:$B$146,0))*INDEX('Resource costs'!$C$121:$C$142, MATCH($B182, 'Resource costs'!$B$121:$B$142,0))</f>
        <v>0</v>
      </c>
      <c r="L182" s="90">
        <f>INDEX(L$129:L$146,MATCH($B182,$B$129:$B$146,0))*INDEX('Resource costs'!$C$121:$C$142, MATCH($B182, 'Resource costs'!$B$121:$B$142,0))</f>
        <v>0</v>
      </c>
      <c r="M182" s="90">
        <f>INDEX(M$129:M$146,MATCH($B182,$B$129:$B$146,0))*INDEX('Resource costs'!$C$121:$C$142, MATCH($B182, 'Resource costs'!$B$121:$B$142,0))</f>
        <v>0</v>
      </c>
      <c r="N182" s="90">
        <f>INDEX(N$129:N$146,MATCH($B182,$B$129:$B$146,0))*INDEX('Resource costs'!$C$121:$C$142, MATCH($B182, 'Resource costs'!$B$121:$B$142,0))</f>
        <v>0</v>
      </c>
      <c r="O182" s="90">
        <f>INDEX(O$129:O$146,MATCH($B182,$B$129:$B$146,0))*INDEX('Resource costs'!$C$121:$C$142, MATCH($B182, 'Resource costs'!$B$121:$B$142,0))</f>
        <v>0</v>
      </c>
      <c r="P182" s="90">
        <f>INDEX(P$129:P$146,MATCH($B182,$B$129:$B$146,0))*INDEX('Resource costs'!$C$121:$C$142, MATCH($B182, 'Resource costs'!$B$121:$B$142,0))</f>
        <v>0</v>
      </c>
      <c r="Q182" s="90">
        <f>INDEX(Q$129:Q$146,MATCH($B182,$B$129:$B$146,0))*INDEX('Resource costs'!$C$121:$C$142, MATCH($B182, 'Resource costs'!$B$121:$B$142,0))</f>
        <v>0</v>
      </c>
      <c r="R182" s="90">
        <f>INDEX(R$129:R$146,MATCH($B182,$B$129:$B$146,0))*INDEX('Resource costs'!$C$121:$C$142, MATCH($B182, 'Resource costs'!$B$121:$B$142,0))</f>
        <v>0</v>
      </c>
      <c r="S182" s="90">
        <f>INDEX(S$129:S$146,MATCH($B182,$B$129:$B$146,0))*INDEX('Resource costs'!$C$121:$C$142, MATCH($B182, 'Resource costs'!$B$121:$B$142,0))</f>
        <v>0</v>
      </c>
      <c r="T182" s="90">
        <f>INDEX(T$129:T$146,MATCH($B182,$B$129:$B$146,0))*INDEX('Resource costs'!$C$121:$C$142, MATCH($B182, 'Resource costs'!$B$121:$B$142,0))</f>
        <v>0</v>
      </c>
      <c r="U182" s="90">
        <f>INDEX(U$129:U$146,MATCH($B182,$B$129:$B$146,0))*INDEX('Resource costs'!$C$121:$C$142, MATCH($B182, 'Resource costs'!$B$121:$B$142,0))</f>
        <v>0</v>
      </c>
      <c r="V182" s="90">
        <f>INDEX(V$129:V$146,MATCH($B182,$B$129:$B$146,0))*INDEX('Resource costs'!$C$121:$C$142, MATCH($B182, 'Resource costs'!$B$121:$B$142,0))</f>
        <v>0</v>
      </c>
      <c r="W182" s="90">
        <f>INDEX(W$129:W$146,MATCH($B182,$B$129:$B$146,0))*INDEX('Resource costs'!$C$121:$C$142, MATCH($B182, 'Resource costs'!$B$121:$B$142,0))</f>
        <v>0</v>
      </c>
      <c r="X182" s="90">
        <f>INDEX(X$129:X$146,MATCH($B182,$B$129:$B$146,0))*INDEX('Resource costs'!$C$121:$C$142, MATCH($B182, 'Resource costs'!$B$121:$B$142,0))</f>
        <v>0</v>
      </c>
      <c r="Y182" s="90">
        <f>INDEX(Y$129:Y$146,MATCH($B182,$B$129:$B$146,0))*INDEX('Resource costs'!$C$121:$C$142, MATCH($B182, 'Resource costs'!$B$121:$B$142,0))</f>
        <v>0</v>
      </c>
      <c r="Z182" s="90">
        <f>INDEX(Z$129:Z$146,MATCH($B182,$B$129:$B$146,0))*INDEX('Resource costs'!$C$121:$C$142, MATCH($B182, 'Resource costs'!$B$121:$B$142,0))</f>
        <v>0</v>
      </c>
      <c r="AA182" s="90">
        <f>INDEX(AA$129:AA$146,MATCH($B182,$B$129:$B$146,0))*INDEX('Resource costs'!$C$121:$C$142, MATCH($B182, 'Resource costs'!$B$121:$B$142,0))</f>
        <v>0</v>
      </c>
      <c r="AB182" s="90">
        <f>INDEX(AB$129:AB$146,MATCH($B182,$B$129:$B$146,0))*INDEX('Resource costs'!$C$121:$C$142, MATCH($B182, 'Resource costs'!$B$121:$B$142,0))</f>
        <v>0</v>
      </c>
      <c r="AC182" s="90">
        <f>INDEX(AC$129:AC$146,MATCH($B182,$B$129:$B$146,0))*INDEX('Resource costs'!$C$121:$C$142, MATCH($B182, 'Resource costs'!$B$121:$B$142,0))</f>
        <v>0</v>
      </c>
      <c r="AD182" s="90">
        <f>INDEX(AD$129:AD$146,MATCH($B182,$B$129:$B$146,0))*INDEX('Resource costs'!$C$121:$C$142, MATCH($B182, 'Resource costs'!$B$121:$B$142,0))</f>
        <v>0</v>
      </c>
      <c r="AE182" s="90">
        <f>INDEX(AE$129:AE$146,MATCH($B182,$B$129:$B$146,0))*INDEX('Resource costs'!$C$121:$C$142, MATCH($B182, 'Resource costs'!$B$121:$B$142,0))</f>
        <v>0</v>
      </c>
      <c r="AF182" s="90">
        <f>INDEX(AF$129:AF$146,MATCH($B182,$B$129:$B$146,0))*INDEX('Resource costs'!$C$121:$C$142, MATCH($B182, 'Resource costs'!$B$121:$B$142,0))</f>
        <v>0</v>
      </c>
      <c r="AG182" s="90">
        <f>INDEX(AG$129:AG$146,MATCH($B182,$B$129:$B$146,0))*INDEX('Resource costs'!$C$121:$C$142, MATCH($B182, 'Resource costs'!$B$121:$B$142,0))</f>
        <v>0</v>
      </c>
      <c r="AH182" s="90">
        <f>INDEX(AH$129:AH$146,MATCH($B182,$B$129:$B$146,0))*INDEX('Resource costs'!$C$121:$C$142, MATCH($B182, 'Resource costs'!$B$121:$B$142,0))</f>
        <v>0</v>
      </c>
      <c r="AI182" s="90">
        <f>INDEX(AI$129:AI$146,MATCH($B182,$B$129:$B$146,0))*INDEX('Resource costs'!$C$121:$C$142, MATCH($B182, 'Resource costs'!$B$121:$B$142,0))</f>
        <v>0</v>
      </c>
      <c r="AJ182" s="90">
        <f>INDEX(AJ$129:AJ$146,MATCH($B182,$B$129:$B$146,0))*INDEX('Resource costs'!$C$121:$C$142, MATCH($B182, 'Resource costs'!$B$121:$B$142,0))</f>
        <v>0</v>
      </c>
      <c r="AK182" s="90">
        <f>INDEX(AK$129:AK$146,MATCH($B182,$B$129:$B$146,0))*INDEX('Resource costs'!$C$121:$C$142, MATCH($B182, 'Resource costs'!$B$121:$B$142,0))</f>
        <v>0</v>
      </c>
      <c r="AL182" s="90">
        <f>INDEX(AL$129:AL$146,MATCH($B182,$B$129:$B$146,0))*INDEX('Resource costs'!$C$121:$C$142, MATCH($B182, 'Resource costs'!$B$121:$B$142,0))</f>
        <v>0</v>
      </c>
      <c r="AM182" s="90">
        <f>INDEX(AM$129:AM$146,MATCH($B182,$B$129:$B$146,0))*INDEX('Resource costs'!$C$121:$C$142, MATCH($B182, 'Resource costs'!$B$121:$B$142,0))</f>
        <v>0</v>
      </c>
      <c r="AN182" s="90">
        <f>INDEX(AN$129:AN$146,MATCH($B182,$B$129:$B$146,0))*INDEX('Resource costs'!$C$121:$C$142, MATCH($B182, 'Resource costs'!$B$121:$B$142,0))</f>
        <v>0</v>
      </c>
      <c r="AO182" s="90">
        <f>INDEX(AO$129:AO$146,MATCH($B182,$B$129:$B$146,0))*INDEX('Resource costs'!$C$121:$C$142, MATCH($B182, 'Resource costs'!$B$121:$B$142,0))</f>
        <v>0</v>
      </c>
      <c r="AP182" s="90">
        <f>INDEX(AP$129:AP$146,MATCH($B182,$B$129:$B$146,0))*INDEX('Resource costs'!$C$121:$C$142, MATCH($B182, 'Resource costs'!$B$121:$B$142,0))</f>
        <v>0</v>
      </c>
      <c r="AQ182" s="90">
        <f>INDEX(AQ$129:AQ$146,MATCH($B182,$B$129:$B$146,0))*INDEX('Resource costs'!$C$121:$C$142, MATCH($B182, 'Resource costs'!$B$121:$B$142,0))</f>
        <v>0</v>
      </c>
      <c r="AR182" s="90">
        <f>INDEX(AR$129:AR$146,MATCH($B182,$B$129:$B$146,0))*INDEX('Resource costs'!$C$121:$C$142, MATCH($B182, 'Resource costs'!$B$121:$B$142,0))</f>
        <v>0</v>
      </c>
      <c r="AS182" s="90">
        <f>INDEX(AS$129:AS$146,MATCH($B182,$B$129:$B$146,0))*INDEX('Resource costs'!$C$121:$C$142, MATCH($B182, 'Resource costs'!$B$121:$B$142,0))</f>
        <v>0</v>
      </c>
      <c r="AT182" s="90">
        <f>INDEX(AT$129:AT$146,MATCH($B182,$B$129:$B$146,0))*INDEX('Resource costs'!$C$121:$C$142, MATCH($B182, 'Resource costs'!$B$121:$B$142,0))</f>
        <v>0</v>
      </c>
      <c r="AU182" s="90">
        <f>INDEX(AU$129:AU$146,MATCH($B182,$B$129:$B$146,0))*INDEX('Resource costs'!$C$121:$C$142, MATCH($B182, 'Resource costs'!$B$121:$B$142,0))</f>
        <v>0</v>
      </c>
      <c r="AV182" s="90">
        <f>INDEX(AV$129:AV$146,MATCH($B182,$B$129:$B$146,0))*INDEX('Resource costs'!$C$121:$C$142, MATCH($B182, 'Resource costs'!$B$121:$B$142,0))</f>
        <v>0</v>
      </c>
      <c r="AW182" s="90">
        <f>INDEX(AW$129:AW$146,MATCH($B182,$B$129:$B$146,0))*INDEX('Resource costs'!$C$121:$C$142, MATCH($B182, 'Resource costs'!$B$121:$B$142,0))</f>
        <v>0</v>
      </c>
      <c r="AX182" s="90">
        <f>INDEX(AX$129:AX$146,MATCH($B182,$B$129:$B$146,0))*INDEX('Resource costs'!$C$121:$C$142, MATCH($B182, 'Resource costs'!$B$121:$B$142,0))</f>
        <v>0</v>
      </c>
      <c r="AY182" s="90">
        <f>INDEX(AY$129:AY$146,MATCH($B182,$B$129:$B$146,0))*INDEX('Resource costs'!$C$121:$C$142, MATCH($B182, 'Resource costs'!$B$121:$B$142,0))</f>
        <v>0</v>
      </c>
      <c r="AZ182" s="90">
        <f>INDEX(AZ$129:AZ$146,MATCH($B182,$B$129:$B$146,0))*INDEX('Resource costs'!$C$121:$C$142, MATCH($B182, 'Resource costs'!$B$121:$B$142,0))</f>
        <v>0</v>
      </c>
      <c r="BA182" s="90">
        <f>INDEX(BA$129:BA$146,MATCH($B182,$B$129:$B$146,0))*INDEX('Resource costs'!$C$121:$C$142, MATCH($B182, 'Resource costs'!$B$121:$B$142,0))</f>
        <v>0</v>
      </c>
      <c r="BB182" s="90">
        <f>INDEX(BB$129:BB$146,MATCH($B182,$B$129:$B$146,0))*INDEX('Resource costs'!$C$121:$C$142, MATCH($B182, 'Resource costs'!$B$121:$B$142,0))</f>
        <v>0</v>
      </c>
    </row>
    <row r="183" spans="2:54" s="97" customFormat="1">
      <c r="B183" s="6" t="s">
        <v>17</v>
      </c>
      <c r="C183" s="315"/>
      <c r="D183" s="90">
        <f>INDEX(D$129:D$146,MATCH($B183,$B$129:$B$146,0))*INDEX('Resource costs'!$C$121:$C$142, MATCH($B183, 'Resource costs'!$B$121:$B$142,0))</f>
        <v>0</v>
      </c>
      <c r="E183" s="90">
        <f>INDEX(E$129:E$146,MATCH($B183,$B$129:$B$146,0))*INDEX('Resource costs'!$C$121:$C$142, MATCH($B183, 'Resource costs'!$B$121:$B$142,0))</f>
        <v>0</v>
      </c>
      <c r="F183" s="90">
        <f>INDEX(F$129:F$146,MATCH($B183,$B$129:$B$146,0))*INDEX('Resource costs'!$C$121:$C$142, MATCH($B183, 'Resource costs'!$B$121:$B$142,0))</f>
        <v>0</v>
      </c>
      <c r="G183" s="90">
        <f>INDEX(G$129:G$146,MATCH($B183,$B$129:$B$146,0))*INDEX('Resource costs'!$C$121:$C$142, MATCH($B183, 'Resource costs'!$B$121:$B$142,0))</f>
        <v>0</v>
      </c>
      <c r="H183" s="90">
        <f>INDEX(H$129:H$146,MATCH($B183,$B$129:$B$146,0))*INDEX('Resource costs'!$C$121:$C$142, MATCH($B183, 'Resource costs'!$B$121:$B$142,0))</f>
        <v>0</v>
      </c>
      <c r="I183" s="90">
        <f>INDEX(I$129:I$146,MATCH($B183,$B$129:$B$146,0))*INDEX('Resource costs'!$C$121:$C$142, MATCH($B183, 'Resource costs'!$B$121:$B$142,0))</f>
        <v>0</v>
      </c>
      <c r="J183" s="90">
        <f>INDEX(J$129:J$146,MATCH($B183,$B$129:$B$146,0))*INDEX('Resource costs'!$C$121:$C$142, MATCH($B183, 'Resource costs'!$B$121:$B$142,0))</f>
        <v>0</v>
      </c>
      <c r="K183" s="90">
        <f>INDEX(K$129:K$146,MATCH($B183,$B$129:$B$146,0))*INDEX('Resource costs'!$C$121:$C$142, MATCH($B183, 'Resource costs'!$B$121:$B$142,0))</f>
        <v>0</v>
      </c>
      <c r="L183" s="90">
        <f>INDEX(L$129:L$146,MATCH($B183,$B$129:$B$146,0))*INDEX('Resource costs'!$C$121:$C$142, MATCH($B183, 'Resource costs'!$B$121:$B$142,0))</f>
        <v>0</v>
      </c>
      <c r="M183" s="90">
        <f>INDEX(M$129:M$146,MATCH($B183,$B$129:$B$146,0))*INDEX('Resource costs'!$C$121:$C$142, MATCH($B183, 'Resource costs'!$B$121:$B$142,0))</f>
        <v>0</v>
      </c>
      <c r="N183" s="90">
        <f>INDEX(N$129:N$146,MATCH($B183,$B$129:$B$146,0))*INDEX('Resource costs'!$C$121:$C$142, MATCH($B183, 'Resource costs'!$B$121:$B$142,0))</f>
        <v>0</v>
      </c>
      <c r="O183" s="90">
        <f>INDEX(O$129:O$146,MATCH($B183,$B$129:$B$146,0))*INDEX('Resource costs'!$C$121:$C$142, MATCH($B183, 'Resource costs'!$B$121:$B$142,0))</f>
        <v>0</v>
      </c>
      <c r="P183" s="90">
        <f>INDEX(P$129:P$146,MATCH($B183,$B$129:$B$146,0))*INDEX('Resource costs'!$C$121:$C$142, MATCH($B183, 'Resource costs'!$B$121:$B$142,0))</f>
        <v>0</v>
      </c>
      <c r="Q183" s="90">
        <f>INDEX(Q$129:Q$146,MATCH($B183,$B$129:$B$146,0))*INDEX('Resource costs'!$C$121:$C$142, MATCH($B183, 'Resource costs'!$B$121:$B$142,0))</f>
        <v>0</v>
      </c>
      <c r="R183" s="90">
        <f>INDEX(R$129:R$146,MATCH($B183,$B$129:$B$146,0))*INDEX('Resource costs'!$C$121:$C$142, MATCH($B183, 'Resource costs'!$B$121:$B$142,0))</f>
        <v>0</v>
      </c>
      <c r="S183" s="90">
        <f>INDEX(S$129:S$146,MATCH($B183,$B$129:$B$146,0))*INDEX('Resource costs'!$C$121:$C$142, MATCH($B183, 'Resource costs'!$B$121:$B$142,0))</f>
        <v>0</v>
      </c>
      <c r="T183" s="90">
        <f>INDEX(T$129:T$146,MATCH($B183,$B$129:$B$146,0))*INDEX('Resource costs'!$C$121:$C$142, MATCH($B183, 'Resource costs'!$B$121:$B$142,0))</f>
        <v>0</v>
      </c>
      <c r="U183" s="90">
        <f>INDEX(U$129:U$146,MATCH($B183,$B$129:$B$146,0))*INDEX('Resource costs'!$C$121:$C$142, MATCH($B183, 'Resource costs'!$B$121:$B$142,0))</f>
        <v>0</v>
      </c>
      <c r="V183" s="90">
        <f>INDEX(V$129:V$146,MATCH($B183,$B$129:$B$146,0))*INDEX('Resource costs'!$C$121:$C$142, MATCH($B183, 'Resource costs'!$B$121:$B$142,0))</f>
        <v>0</v>
      </c>
      <c r="W183" s="90">
        <f>INDEX(W$129:W$146,MATCH($B183,$B$129:$B$146,0))*INDEX('Resource costs'!$C$121:$C$142, MATCH($B183, 'Resource costs'!$B$121:$B$142,0))</f>
        <v>0</v>
      </c>
      <c r="X183" s="90">
        <f>INDEX(X$129:X$146,MATCH($B183,$B$129:$B$146,0))*INDEX('Resource costs'!$C$121:$C$142, MATCH($B183, 'Resource costs'!$B$121:$B$142,0))</f>
        <v>0</v>
      </c>
      <c r="Y183" s="90">
        <f>INDEX(Y$129:Y$146,MATCH($B183,$B$129:$B$146,0))*INDEX('Resource costs'!$C$121:$C$142, MATCH($B183, 'Resource costs'!$B$121:$B$142,0))</f>
        <v>0</v>
      </c>
      <c r="Z183" s="90">
        <f>INDEX(Z$129:Z$146,MATCH($B183,$B$129:$B$146,0))*INDEX('Resource costs'!$C$121:$C$142, MATCH($B183, 'Resource costs'!$B$121:$B$142,0))</f>
        <v>0</v>
      </c>
      <c r="AA183" s="90">
        <f>INDEX(AA$129:AA$146,MATCH($B183,$B$129:$B$146,0))*INDEX('Resource costs'!$C$121:$C$142, MATCH($B183, 'Resource costs'!$B$121:$B$142,0))</f>
        <v>0</v>
      </c>
      <c r="AB183" s="90">
        <f>INDEX(AB$129:AB$146,MATCH($B183,$B$129:$B$146,0))*INDEX('Resource costs'!$C$121:$C$142, MATCH($B183, 'Resource costs'!$B$121:$B$142,0))</f>
        <v>0</v>
      </c>
      <c r="AC183" s="90">
        <f>INDEX(AC$129:AC$146,MATCH($B183,$B$129:$B$146,0))*INDEX('Resource costs'!$C$121:$C$142, MATCH($B183, 'Resource costs'!$B$121:$B$142,0))</f>
        <v>0</v>
      </c>
      <c r="AD183" s="90">
        <f>INDEX(AD$129:AD$146,MATCH($B183,$B$129:$B$146,0))*INDEX('Resource costs'!$C$121:$C$142, MATCH($B183, 'Resource costs'!$B$121:$B$142,0))</f>
        <v>0</v>
      </c>
      <c r="AE183" s="90">
        <f>INDEX(AE$129:AE$146,MATCH($B183,$B$129:$B$146,0))*INDEX('Resource costs'!$C$121:$C$142, MATCH($B183, 'Resource costs'!$B$121:$B$142,0))</f>
        <v>0</v>
      </c>
      <c r="AF183" s="90">
        <f>INDEX(AF$129:AF$146,MATCH($B183,$B$129:$B$146,0))*INDEX('Resource costs'!$C$121:$C$142, MATCH($B183, 'Resource costs'!$B$121:$B$142,0))</f>
        <v>0</v>
      </c>
      <c r="AG183" s="90">
        <f>INDEX(AG$129:AG$146,MATCH($B183,$B$129:$B$146,0))*INDEX('Resource costs'!$C$121:$C$142, MATCH($B183, 'Resource costs'!$B$121:$B$142,0))</f>
        <v>0</v>
      </c>
      <c r="AH183" s="90">
        <f>INDEX(AH$129:AH$146,MATCH($B183,$B$129:$B$146,0))*INDEX('Resource costs'!$C$121:$C$142, MATCH($B183, 'Resource costs'!$B$121:$B$142,0))</f>
        <v>0</v>
      </c>
      <c r="AI183" s="90">
        <f>INDEX(AI$129:AI$146,MATCH($B183,$B$129:$B$146,0))*INDEX('Resource costs'!$C$121:$C$142, MATCH($B183, 'Resource costs'!$B$121:$B$142,0))</f>
        <v>0</v>
      </c>
      <c r="AJ183" s="90">
        <f>INDEX(AJ$129:AJ$146,MATCH($B183,$B$129:$B$146,0))*INDEX('Resource costs'!$C$121:$C$142, MATCH($B183, 'Resource costs'!$B$121:$B$142,0))</f>
        <v>0</v>
      </c>
      <c r="AK183" s="90">
        <f>INDEX(AK$129:AK$146,MATCH($B183,$B$129:$B$146,0))*INDEX('Resource costs'!$C$121:$C$142, MATCH($B183, 'Resource costs'!$B$121:$B$142,0))</f>
        <v>0</v>
      </c>
      <c r="AL183" s="90">
        <f>INDEX(AL$129:AL$146,MATCH($B183,$B$129:$B$146,0))*INDEX('Resource costs'!$C$121:$C$142, MATCH($B183, 'Resource costs'!$B$121:$B$142,0))</f>
        <v>0</v>
      </c>
      <c r="AM183" s="90">
        <f>INDEX(AM$129:AM$146,MATCH($B183,$B$129:$B$146,0))*INDEX('Resource costs'!$C$121:$C$142, MATCH($B183, 'Resource costs'!$B$121:$B$142,0))</f>
        <v>0</v>
      </c>
      <c r="AN183" s="90">
        <f>INDEX(AN$129:AN$146,MATCH($B183,$B$129:$B$146,0))*INDEX('Resource costs'!$C$121:$C$142, MATCH($B183, 'Resource costs'!$B$121:$B$142,0))</f>
        <v>0</v>
      </c>
      <c r="AO183" s="90">
        <f>INDEX(AO$129:AO$146,MATCH($B183,$B$129:$B$146,0))*INDEX('Resource costs'!$C$121:$C$142, MATCH($B183, 'Resource costs'!$B$121:$B$142,0))</f>
        <v>0</v>
      </c>
      <c r="AP183" s="90">
        <f>INDEX(AP$129:AP$146,MATCH($B183,$B$129:$B$146,0))*INDEX('Resource costs'!$C$121:$C$142, MATCH($B183, 'Resource costs'!$B$121:$B$142,0))</f>
        <v>0</v>
      </c>
      <c r="AQ183" s="90">
        <f>INDEX(AQ$129:AQ$146,MATCH($B183,$B$129:$B$146,0))*INDEX('Resource costs'!$C$121:$C$142, MATCH($B183, 'Resource costs'!$B$121:$B$142,0))</f>
        <v>0</v>
      </c>
      <c r="AR183" s="90">
        <f>INDEX(AR$129:AR$146,MATCH($B183,$B$129:$B$146,0))*INDEX('Resource costs'!$C$121:$C$142, MATCH($B183, 'Resource costs'!$B$121:$B$142,0))</f>
        <v>0</v>
      </c>
      <c r="AS183" s="90">
        <f>INDEX(AS$129:AS$146,MATCH($B183,$B$129:$B$146,0))*INDEX('Resource costs'!$C$121:$C$142, MATCH($B183, 'Resource costs'!$B$121:$B$142,0))</f>
        <v>0</v>
      </c>
      <c r="AT183" s="90">
        <f>INDEX(AT$129:AT$146,MATCH($B183,$B$129:$B$146,0))*INDEX('Resource costs'!$C$121:$C$142, MATCH($B183, 'Resource costs'!$B$121:$B$142,0))</f>
        <v>0</v>
      </c>
      <c r="AU183" s="90">
        <f>INDEX(AU$129:AU$146,MATCH($B183,$B$129:$B$146,0))*INDEX('Resource costs'!$C$121:$C$142, MATCH($B183, 'Resource costs'!$B$121:$B$142,0))</f>
        <v>0</v>
      </c>
      <c r="AV183" s="90">
        <f>INDEX(AV$129:AV$146,MATCH($B183,$B$129:$B$146,0))*INDEX('Resource costs'!$C$121:$C$142, MATCH($B183, 'Resource costs'!$B$121:$B$142,0))</f>
        <v>0</v>
      </c>
      <c r="AW183" s="90">
        <f>INDEX(AW$129:AW$146,MATCH($B183,$B$129:$B$146,0))*INDEX('Resource costs'!$C$121:$C$142, MATCH($B183, 'Resource costs'!$B$121:$B$142,0))</f>
        <v>0</v>
      </c>
      <c r="AX183" s="90">
        <f>INDEX(AX$129:AX$146,MATCH($B183,$B$129:$B$146,0))*INDEX('Resource costs'!$C$121:$C$142, MATCH($B183, 'Resource costs'!$B$121:$B$142,0))</f>
        <v>0</v>
      </c>
      <c r="AY183" s="90">
        <f>INDEX(AY$129:AY$146,MATCH($B183,$B$129:$B$146,0))*INDEX('Resource costs'!$C$121:$C$142, MATCH($B183, 'Resource costs'!$B$121:$B$142,0))</f>
        <v>0</v>
      </c>
      <c r="AZ183" s="90">
        <f>INDEX(AZ$129:AZ$146,MATCH($B183,$B$129:$B$146,0))*INDEX('Resource costs'!$C$121:$C$142, MATCH($B183, 'Resource costs'!$B$121:$B$142,0))</f>
        <v>0</v>
      </c>
      <c r="BA183" s="90">
        <f>INDEX(BA$129:BA$146,MATCH($B183,$B$129:$B$146,0))*INDEX('Resource costs'!$C$121:$C$142, MATCH($B183, 'Resource costs'!$B$121:$B$142,0))</f>
        <v>0</v>
      </c>
      <c r="BB183" s="90">
        <f>INDEX(BB$129:BB$146,MATCH($B183,$B$129:$B$146,0))*INDEX('Resource costs'!$C$121:$C$142, MATCH($B183, 'Resource costs'!$B$121:$B$142,0))</f>
        <v>0</v>
      </c>
    </row>
    <row r="184" spans="2:54" ht="29">
      <c r="B184" s="6" t="s">
        <v>106</v>
      </c>
      <c r="C184" s="52"/>
      <c r="D184" s="90">
        <f>INDEX(D$129:D$146,MATCH($B184,$B$129:$B$146,0))*INDEX('Resource costs'!$C$121:$C$142, MATCH($B184, 'Resource costs'!$B$121:$B$142,0))</f>
        <v>0</v>
      </c>
      <c r="E184" s="90">
        <f>INDEX(E$129:E$146,MATCH($B184,$B$129:$B$146,0))*INDEX('Resource costs'!$C$121:$C$142, MATCH($B184, 'Resource costs'!$B$121:$B$142,0))</f>
        <v>0</v>
      </c>
      <c r="F184" s="90">
        <f>INDEX(F$129:F$146,MATCH($B184,$B$129:$B$146,0))*INDEX('Resource costs'!$C$121:$C$142, MATCH($B184, 'Resource costs'!$B$121:$B$142,0))</f>
        <v>0</v>
      </c>
      <c r="G184" s="90">
        <f>INDEX(G$129:G$146,MATCH($B184,$B$129:$B$146,0))*INDEX('Resource costs'!$C$121:$C$142, MATCH($B184, 'Resource costs'!$B$121:$B$142,0))</f>
        <v>0</v>
      </c>
      <c r="H184" s="90">
        <f>INDEX(H$129:H$146,MATCH($B184,$B$129:$B$146,0))*INDEX('Resource costs'!$C$121:$C$142, MATCH($B184, 'Resource costs'!$B$121:$B$142,0))</f>
        <v>0</v>
      </c>
      <c r="I184" s="90">
        <f>INDEX(I$129:I$146,MATCH($B184,$B$129:$B$146,0))*INDEX('Resource costs'!$C$121:$C$142, MATCH($B184, 'Resource costs'!$B$121:$B$142,0))</f>
        <v>0</v>
      </c>
      <c r="J184" s="90">
        <f>INDEX(J$129:J$146,MATCH($B184,$B$129:$B$146,0))*INDEX('Resource costs'!$C$121:$C$142, MATCH($B184, 'Resource costs'!$B$121:$B$142,0))</f>
        <v>0</v>
      </c>
      <c r="K184" s="90">
        <f>INDEX(K$129:K$146,MATCH($B184,$B$129:$B$146,0))*INDEX('Resource costs'!$C$121:$C$142, MATCH($B184, 'Resource costs'!$B$121:$B$142,0))</f>
        <v>0</v>
      </c>
      <c r="L184" s="90">
        <f>INDEX(L$129:L$146,MATCH($B184,$B$129:$B$146,0))*INDEX('Resource costs'!$C$121:$C$142, MATCH($B184, 'Resource costs'!$B$121:$B$142,0))</f>
        <v>0</v>
      </c>
      <c r="M184" s="90">
        <f>INDEX(M$129:M$146,MATCH($B184,$B$129:$B$146,0))*INDEX('Resource costs'!$C$121:$C$142, MATCH($B184, 'Resource costs'!$B$121:$B$142,0))</f>
        <v>0</v>
      </c>
      <c r="N184" s="90">
        <f>INDEX(N$129:N$146,MATCH($B184,$B$129:$B$146,0))*INDEX('Resource costs'!$C$121:$C$142, MATCH($B184, 'Resource costs'!$B$121:$B$142,0))</f>
        <v>0</v>
      </c>
      <c r="O184" s="90">
        <f>INDEX(O$129:O$146,MATCH($B184,$B$129:$B$146,0))*INDEX('Resource costs'!$C$121:$C$142, MATCH($B184, 'Resource costs'!$B$121:$B$142,0))</f>
        <v>0</v>
      </c>
      <c r="P184" s="90">
        <f>INDEX(P$129:P$146,MATCH($B184,$B$129:$B$146,0))*INDEX('Resource costs'!$C$121:$C$142, MATCH($B184, 'Resource costs'!$B$121:$B$142,0))</f>
        <v>0</v>
      </c>
      <c r="Q184" s="90">
        <f>INDEX(Q$129:Q$146,MATCH($B184,$B$129:$B$146,0))*INDEX('Resource costs'!$C$121:$C$142, MATCH($B184, 'Resource costs'!$B$121:$B$142,0))</f>
        <v>0</v>
      </c>
      <c r="R184" s="90">
        <f>INDEX(R$129:R$146,MATCH($B184,$B$129:$B$146,0))*INDEX('Resource costs'!$C$121:$C$142, MATCH($B184, 'Resource costs'!$B$121:$B$142,0))</f>
        <v>0</v>
      </c>
      <c r="S184" s="90">
        <f>INDEX(S$129:S$146,MATCH($B184,$B$129:$B$146,0))*INDEX('Resource costs'!$C$121:$C$142, MATCH($B184, 'Resource costs'!$B$121:$B$142,0))</f>
        <v>0</v>
      </c>
      <c r="T184" s="90">
        <f>INDEX(T$129:T$146,MATCH($B184,$B$129:$B$146,0))*INDEX('Resource costs'!$C$121:$C$142, MATCH($B184, 'Resource costs'!$B$121:$B$142,0))</f>
        <v>0</v>
      </c>
      <c r="U184" s="90">
        <f>INDEX(U$129:U$146,MATCH($B184,$B$129:$B$146,0))*INDEX('Resource costs'!$C$121:$C$142, MATCH($B184, 'Resource costs'!$B$121:$B$142,0))</f>
        <v>0</v>
      </c>
      <c r="V184" s="90">
        <f>INDEX(V$129:V$146,MATCH($B184,$B$129:$B$146,0))*INDEX('Resource costs'!$C$121:$C$142, MATCH($B184, 'Resource costs'!$B$121:$B$142,0))</f>
        <v>0</v>
      </c>
      <c r="W184" s="90">
        <f>INDEX(W$129:W$146,MATCH($B184,$B$129:$B$146,0))*INDEX('Resource costs'!$C$121:$C$142, MATCH($B184, 'Resource costs'!$B$121:$B$142,0))</f>
        <v>0</v>
      </c>
      <c r="X184" s="90">
        <f>INDEX(X$129:X$146,MATCH($B184,$B$129:$B$146,0))*INDEX('Resource costs'!$C$121:$C$142, MATCH($B184, 'Resource costs'!$B$121:$B$142,0))</f>
        <v>0</v>
      </c>
      <c r="Y184" s="90">
        <f>INDEX(Y$129:Y$146,MATCH($B184,$B$129:$B$146,0))*INDEX('Resource costs'!$C$121:$C$142, MATCH($B184, 'Resource costs'!$B$121:$B$142,0))</f>
        <v>0</v>
      </c>
      <c r="Z184" s="90">
        <f>INDEX(Z$129:Z$146,MATCH($B184,$B$129:$B$146,0))*INDEX('Resource costs'!$C$121:$C$142, MATCH($B184, 'Resource costs'!$B$121:$B$142,0))</f>
        <v>0</v>
      </c>
      <c r="AA184" s="90">
        <f>INDEX(AA$129:AA$146,MATCH($B184,$B$129:$B$146,0))*INDEX('Resource costs'!$C$121:$C$142, MATCH($B184, 'Resource costs'!$B$121:$B$142,0))</f>
        <v>0</v>
      </c>
      <c r="AB184" s="90">
        <f>INDEX(AB$129:AB$146,MATCH($B184,$B$129:$B$146,0))*INDEX('Resource costs'!$C$121:$C$142, MATCH($B184, 'Resource costs'!$B$121:$B$142,0))</f>
        <v>0</v>
      </c>
      <c r="AC184" s="90">
        <f>INDEX(AC$129:AC$146,MATCH($B184,$B$129:$B$146,0))*INDEX('Resource costs'!$C$121:$C$142, MATCH($B184, 'Resource costs'!$B$121:$B$142,0))</f>
        <v>0</v>
      </c>
      <c r="AD184" s="90">
        <f>INDEX(AD$129:AD$146,MATCH($B184,$B$129:$B$146,0))*INDEX('Resource costs'!$C$121:$C$142, MATCH($B184, 'Resource costs'!$B$121:$B$142,0))</f>
        <v>0</v>
      </c>
      <c r="AE184" s="90">
        <f>INDEX(AE$129:AE$146,MATCH($B184,$B$129:$B$146,0))*INDEX('Resource costs'!$C$121:$C$142, MATCH($B184, 'Resource costs'!$B$121:$B$142,0))</f>
        <v>0</v>
      </c>
      <c r="AF184" s="90">
        <f>INDEX(AF$129:AF$146,MATCH($B184,$B$129:$B$146,0))*INDEX('Resource costs'!$C$121:$C$142, MATCH($B184, 'Resource costs'!$B$121:$B$142,0))</f>
        <v>0</v>
      </c>
      <c r="AG184" s="90">
        <f>INDEX(AG$129:AG$146,MATCH($B184,$B$129:$B$146,0))*INDEX('Resource costs'!$C$121:$C$142, MATCH($B184, 'Resource costs'!$B$121:$B$142,0))</f>
        <v>0</v>
      </c>
      <c r="AH184" s="90">
        <f>INDEX(AH$129:AH$146,MATCH($B184,$B$129:$B$146,0))*INDEX('Resource costs'!$C$121:$C$142, MATCH($B184, 'Resource costs'!$B$121:$B$142,0))</f>
        <v>0</v>
      </c>
      <c r="AI184" s="90">
        <f>INDEX(AI$129:AI$146,MATCH($B184,$B$129:$B$146,0))*INDEX('Resource costs'!$C$121:$C$142, MATCH($B184, 'Resource costs'!$B$121:$B$142,0))</f>
        <v>0</v>
      </c>
      <c r="AJ184" s="90">
        <f>INDEX(AJ$129:AJ$146,MATCH($B184,$B$129:$B$146,0))*INDEX('Resource costs'!$C$121:$C$142, MATCH($B184, 'Resource costs'!$B$121:$B$142,0))</f>
        <v>0</v>
      </c>
      <c r="AK184" s="90">
        <f>INDEX(AK$129:AK$146,MATCH($B184,$B$129:$B$146,0))*INDEX('Resource costs'!$C$121:$C$142, MATCH($B184, 'Resource costs'!$B$121:$B$142,0))</f>
        <v>0</v>
      </c>
      <c r="AL184" s="90">
        <f>INDEX(AL$129:AL$146,MATCH($B184,$B$129:$B$146,0))*INDEX('Resource costs'!$C$121:$C$142, MATCH($B184, 'Resource costs'!$B$121:$B$142,0))</f>
        <v>0</v>
      </c>
      <c r="AM184" s="90">
        <f>INDEX(AM$129:AM$146,MATCH($B184,$B$129:$B$146,0))*INDEX('Resource costs'!$C$121:$C$142, MATCH($B184, 'Resource costs'!$B$121:$B$142,0))</f>
        <v>0</v>
      </c>
      <c r="AN184" s="90">
        <f>INDEX(AN$129:AN$146,MATCH($B184,$B$129:$B$146,0))*INDEX('Resource costs'!$C$121:$C$142, MATCH($B184, 'Resource costs'!$B$121:$B$142,0))</f>
        <v>0</v>
      </c>
      <c r="AO184" s="90">
        <f>INDEX(AO$129:AO$146,MATCH($B184,$B$129:$B$146,0))*INDEX('Resource costs'!$C$121:$C$142, MATCH($B184, 'Resource costs'!$B$121:$B$142,0))</f>
        <v>0</v>
      </c>
      <c r="AP184" s="90">
        <f>INDEX(AP$129:AP$146,MATCH($B184,$B$129:$B$146,0))*INDEX('Resource costs'!$C$121:$C$142, MATCH($B184, 'Resource costs'!$B$121:$B$142,0))</f>
        <v>0</v>
      </c>
      <c r="AQ184" s="90">
        <f>INDEX(AQ$129:AQ$146,MATCH($B184,$B$129:$B$146,0))*INDEX('Resource costs'!$C$121:$C$142, MATCH($B184, 'Resource costs'!$B$121:$B$142,0))</f>
        <v>0</v>
      </c>
      <c r="AR184" s="90">
        <f>INDEX(AR$129:AR$146,MATCH($B184,$B$129:$B$146,0))*INDEX('Resource costs'!$C$121:$C$142, MATCH($B184, 'Resource costs'!$B$121:$B$142,0))</f>
        <v>0</v>
      </c>
      <c r="AS184" s="90">
        <f>INDEX(AS$129:AS$146,MATCH($B184,$B$129:$B$146,0))*INDEX('Resource costs'!$C$121:$C$142, MATCH($B184, 'Resource costs'!$B$121:$B$142,0))</f>
        <v>0</v>
      </c>
      <c r="AT184" s="90">
        <f>INDEX(AT$129:AT$146,MATCH($B184,$B$129:$B$146,0))*INDEX('Resource costs'!$C$121:$C$142, MATCH($B184, 'Resource costs'!$B$121:$B$142,0))</f>
        <v>0</v>
      </c>
      <c r="AU184" s="90">
        <f>INDEX(AU$129:AU$146,MATCH($B184,$B$129:$B$146,0))*INDEX('Resource costs'!$C$121:$C$142, MATCH($B184, 'Resource costs'!$B$121:$B$142,0))</f>
        <v>0</v>
      </c>
      <c r="AV184" s="90">
        <f>INDEX(AV$129:AV$146,MATCH($B184,$B$129:$B$146,0))*INDEX('Resource costs'!$C$121:$C$142, MATCH($B184, 'Resource costs'!$B$121:$B$142,0))</f>
        <v>0</v>
      </c>
      <c r="AW184" s="90">
        <f>INDEX(AW$129:AW$146,MATCH($B184,$B$129:$B$146,0))*INDEX('Resource costs'!$C$121:$C$142, MATCH($B184, 'Resource costs'!$B$121:$B$142,0))</f>
        <v>0</v>
      </c>
      <c r="AX184" s="90">
        <f>INDEX(AX$129:AX$146,MATCH($B184,$B$129:$B$146,0))*INDEX('Resource costs'!$C$121:$C$142, MATCH($B184, 'Resource costs'!$B$121:$B$142,0))</f>
        <v>0</v>
      </c>
      <c r="AY184" s="90">
        <f>INDEX(AY$129:AY$146,MATCH($B184,$B$129:$B$146,0))*INDEX('Resource costs'!$C$121:$C$142, MATCH($B184, 'Resource costs'!$B$121:$B$142,0))</f>
        <v>0</v>
      </c>
      <c r="AZ184" s="90">
        <f>INDEX(AZ$129:AZ$146,MATCH($B184,$B$129:$B$146,0))*INDEX('Resource costs'!$C$121:$C$142, MATCH($B184, 'Resource costs'!$B$121:$B$142,0))</f>
        <v>0</v>
      </c>
      <c r="BA184" s="90">
        <f>INDEX(BA$129:BA$146,MATCH($B184,$B$129:$B$146,0))*INDEX('Resource costs'!$C$121:$C$142, MATCH($B184, 'Resource costs'!$B$121:$B$142,0))</f>
        <v>0</v>
      </c>
      <c r="BB184" s="90">
        <f>INDEX(BB$129:BB$146,MATCH($B184,$B$129:$B$146,0))*INDEX('Resource costs'!$C$121:$C$142, MATCH($B184, 'Resource costs'!$B$121:$B$142,0))</f>
        <v>0</v>
      </c>
    </row>
    <row r="185" spans="2:54" ht="29">
      <c r="B185" s="6" t="s">
        <v>107</v>
      </c>
      <c r="C185" s="52"/>
      <c r="D185" s="90">
        <f>INDEX(D$129:D$146,MATCH($B185,$B$129:$B$146,0))*INDEX('Resource costs'!$C$121:$C$142, MATCH($B185, 'Resource costs'!$B$121:$B$142,0))</f>
        <v>0</v>
      </c>
      <c r="E185" s="90">
        <f>INDEX(E$129:E$146,MATCH($B185,$B$129:$B$146,0))*INDEX('Resource costs'!$C$121:$C$142, MATCH($B185, 'Resource costs'!$B$121:$B$142,0))</f>
        <v>0</v>
      </c>
      <c r="F185" s="90">
        <f>INDEX(F$129:F$146,MATCH($B185,$B$129:$B$146,0))*INDEX('Resource costs'!$C$121:$C$142, MATCH($B185, 'Resource costs'!$B$121:$B$142,0))</f>
        <v>0</v>
      </c>
      <c r="G185" s="90">
        <f>INDEX(G$129:G$146,MATCH($B185,$B$129:$B$146,0))*INDEX('Resource costs'!$C$121:$C$142, MATCH($B185, 'Resource costs'!$B$121:$B$142,0))</f>
        <v>0</v>
      </c>
      <c r="H185" s="90">
        <f>INDEX(H$129:H$146,MATCH($B185,$B$129:$B$146,0))*INDEX('Resource costs'!$C$121:$C$142, MATCH($B185, 'Resource costs'!$B$121:$B$142,0))</f>
        <v>0</v>
      </c>
      <c r="I185" s="90">
        <f>INDEX(I$129:I$146,MATCH($B185,$B$129:$B$146,0))*INDEX('Resource costs'!$C$121:$C$142, MATCH($B185, 'Resource costs'!$B$121:$B$142,0))</f>
        <v>0</v>
      </c>
      <c r="J185" s="90">
        <f>INDEX(J$129:J$146,MATCH($B185,$B$129:$B$146,0))*INDEX('Resource costs'!$C$121:$C$142, MATCH($B185, 'Resource costs'!$B$121:$B$142,0))</f>
        <v>0</v>
      </c>
      <c r="K185" s="90">
        <f>INDEX(K$129:K$146,MATCH($B185,$B$129:$B$146,0))*INDEX('Resource costs'!$C$121:$C$142, MATCH($B185, 'Resource costs'!$B$121:$B$142,0))</f>
        <v>0</v>
      </c>
      <c r="L185" s="90">
        <f>INDEX(L$129:L$146,MATCH($B185,$B$129:$B$146,0))*INDEX('Resource costs'!$C$121:$C$142, MATCH($B185, 'Resource costs'!$B$121:$B$142,0))</f>
        <v>0</v>
      </c>
      <c r="M185" s="90">
        <f>INDEX(M$129:M$146,MATCH($B185,$B$129:$B$146,0))*INDEX('Resource costs'!$C$121:$C$142, MATCH($B185, 'Resource costs'!$B$121:$B$142,0))</f>
        <v>0</v>
      </c>
      <c r="N185" s="90">
        <f>INDEX(N$129:N$146,MATCH($B185,$B$129:$B$146,0))*INDEX('Resource costs'!$C$121:$C$142, MATCH($B185, 'Resource costs'!$B$121:$B$142,0))</f>
        <v>0</v>
      </c>
      <c r="O185" s="90">
        <f>INDEX(O$129:O$146,MATCH($B185,$B$129:$B$146,0))*INDEX('Resource costs'!$C$121:$C$142, MATCH($B185, 'Resource costs'!$B$121:$B$142,0))</f>
        <v>0</v>
      </c>
      <c r="P185" s="90">
        <f>INDEX(P$129:P$146,MATCH($B185,$B$129:$B$146,0))*INDEX('Resource costs'!$C$121:$C$142, MATCH($B185, 'Resource costs'!$B$121:$B$142,0))</f>
        <v>0</v>
      </c>
      <c r="Q185" s="90">
        <f>INDEX(Q$129:Q$146,MATCH($B185,$B$129:$B$146,0))*INDEX('Resource costs'!$C$121:$C$142, MATCH($B185, 'Resource costs'!$B$121:$B$142,0))</f>
        <v>0</v>
      </c>
      <c r="R185" s="90">
        <f>INDEX(R$129:R$146,MATCH($B185,$B$129:$B$146,0))*INDEX('Resource costs'!$C$121:$C$142, MATCH($B185, 'Resource costs'!$B$121:$B$142,0))</f>
        <v>0</v>
      </c>
      <c r="S185" s="90">
        <f>INDEX(S$129:S$146,MATCH($B185,$B$129:$B$146,0))*INDEX('Resource costs'!$C$121:$C$142, MATCH($B185, 'Resource costs'!$B$121:$B$142,0))</f>
        <v>0</v>
      </c>
      <c r="T185" s="90">
        <f>INDEX(T$129:T$146,MATCH($B185,$B$129:$B$146,0))*INDEX('Resource costs'!$C$121:$C$142, MATCH($B185, 'Resource costs'!$B$121:$B$142,0))</f>
        <v>0</v>
      </c>
      <c r="U185" s="90">
        <f>INDEX(U$129:U$146,MATCH($B185,$B$129:$B$146,0))*INDEX('Resource costs'!$C$121:$C$142, MATCH($B185, 'Resource costs'!$B$121:$B$142,0))</f>
        <v>0</v>
      </c>
      <c r="V185" s="90">
        <f>INDEX(V$129:V$146,MATCH($B185,$B$129:$B$146,0))*INDEX('Resource costs'!$C$121:$C$142, MATCH($B185, 'Resource costs'!$B$121:$B$142,0))</f>
        <v>0</v>
      </c>
      <c r="W185" s="90">
        <f>INDEX(W$129:W$146,MATCH($B185,$B$129:$B$146,0))*INDEX('Resource costs'!$C$121:$C$142, MATCH($B185, 'Resource costs'!$B$121:$B$142,0))</f>
        <v>0</v>
      </c>
      <c r="X185" s="90">
        <f>INDEX(X$129:X$146,MATCH($B185,$B$129:$B$146,0))*INDEX('Resource costs'!$C$121:$C$142, MATCH($B185, 'Resource costs'!$B$121:$B$142,0))</f>
        <v>0</v>
      </c>
      <c r="Y185" s="90">
        <f>INDEX(Y$129:Y$146,MATCH($B185,$B$129:$B$146,0))*INDEX('Resource costs'!$C$121:$C$142, MATCH($B185, 'Resource costs'!$B$121:$B$142,0))</f>
        <v>0</v>
      </c>
      <c r="Z185" s="90">
        <f>INDEX(Z$129:Z$146,MATCH($B185,$B$129:$B$146,0))*INDEX('Resource costs'!$C$121:$C$142, MATCH($B185, 'Resource costs'!$B$121:$B$142,0))</f>
        <v>0</v>
      </c>
      <c r="AA185" s="90">
        <f>INDEX(AA$129:AA$146,MATCH($B185,$B$129:$B$146,0))*INDEX('Resource costs'!$C$121:$C$142, MATCH($B185, 'Resource costs'!$B$121:$B$142,0))</f>
        <v>0</v>
      </c>
      <c r="AB185" s="90">
        <f>INDEX(AB$129:AB$146,MATCH($B185,$B$129:$B$146,0))*INDEX('Resource costs'!$C$121:$C$142, MATCH($B185, 'Resource costs'!$B$121:$B$142,0))</f>
        <v>0</v>
      </c>
      <c r="AC185" s="90">
        <f>INDEX(AC$129:AC$146,MATCH($B185,$B$129:$B$146,0))*INDEX('Resource costs'!$C$121:$C$142, MATCH($B185, 'Resource costs'!$B$121:$B$142,0))</f>
        <v>0</v>
      </c>
      <c r="AD185" s="90">
        <f>INDEX(AD$129:AD$146,MATCH($B185,$B$129:$B$146,0))*INDEX('Resource costs'!$C$121:$C$142, MATCH($B185, 'Resource costs'!$B$121:$B$142,0))</f>
        <v>0</v>
      </c>
      <c r="AE185" s="90">
        <f>INDEX(AE$129:AE$146,MATCH($B185,$B$129:$B$146,0))*INDEX('Resource costs'!$C$121:$C$142, MATCH($B185, 'Resource costs'!$B$121:$B$142,0))</f>
        <v>0</v>
      </c>
      <c r="AF185" s="90">
        <f>INDEX(AF$129:AF$146,MATCH($B185,$B$129:$B$146,0))*INDEX('Resource costs'!$C$121:$C$142, MATCH($B185, 'Resource costs'!$B$121:$B$142,0))</f>
        <v>0</v>
      </c>
      <c r="AG185" s="90">
        <f>INDEX(AG$129:AG$146,MATCH($B185,$B$129:$B$146,0))*INDEX('Resource costs'!$C$121:$C$142, MATCH($B185, 'Resource costs'!$B$121:$B$142,0))</f>
        <v>0</v>
      </c>
      <c r="AH185" s="90">
        <f>INDEX(AH$129:AH$146,MATCH($B185,$B$129:$B$146,0))*INDEX('Resource costs'!$C$121:$C$142, MATCH($B185, 'Resource costs'!$B$121:$B$142,0))</f>
        <v>0</v>
      </c>
      <c r="AI185" s="90">
        <f>INDEX(AI$129:AI$146,MATCH($B185,$B$129:$B$146,0))*INDEX('Resource costs'!$C$121:$C$142, MATCH($B185, 'Resource costs'!$B$121:$B$142,0))</f>
        <v>0</v>
      </c>
      <c r="AJ185" s="90">
        <f>INDEX(AJ$129:AJ$146,MATCH($B185,$B$129:$B$146,0))*INDEX('Resource costs'!$C$121:$C$142, MATCH($B185, 'Resource costs'!$B$121:$B$142,0))</f>
        <v>0</v>
      </c>
      <c r="AK185" s="90">
        <f>INDEX(AK$129:AK$146,MATCH($B185,$B$129:$B$146,0))*INDEX('Resource costs'!$C$121:$C$142, MATCH($B185, 'Resource costs'!$B$121:$B$142,0))</f>
        <v>0</v>
      </c>
      <c r="AL185" s="90">
        <f>INDEX(AL$129:AL$146,MATCH($B185,$B$129:$B$146,0))*INDEX('Resource costs'!$C$121:$C$142, MATCH($B185, 'Resource costs'!$B$121:$B$142,0))</f>
        <v>0</v>
      </c>
      <c r="AM185" s="90">
        <f>INDEX(AM$129:AM$146,MATCH($B185,$B$129:$B$146,0))*INDEX('Resource costs'!$C$121:$C$142, MATCH($B185, 'Resource costs'!$B$121:$B$142,0))</f>
        <v>0</v>
      </c>
      <c r="AN185" s="90">
        <f>INDEX(AN$129:AN$146,MATCH($B185,$B$129:$B$146,0))*INDEX('Resource costs'!$C$121:$C$142, MATCH($B185, 'Resource costs'!$B$121:$B$142,0))</f>
        <v>0</v>
      </c>
      <c r="AO185" s="90">
        <f>INDEX(AO$129:AO$146,MATCH($B185,$B$129:$B$146,0))*INDEX('Resource costs'!$C$121:$C$142, MATCH($B185, 'Resource costs'!$B$121:$B$142,0))</f>
        <v>0</v>
      </c>
      <c r="AP185" s="90">
        <f>INDEX(AP$129:AP$146,MATCH($B185,$B$129:$B$146,0))*INDEX('Resource costs'!$C$121:$C$142, MATCH($B185, 'Resource costs'!$B$121:$B$142,0))</f>
        <v>0</v>
      </c>
      <c r="AQ185" s="90">
        <f>INDEX(AQ$129:AQ$146,MATCH($B185,$B$129:$B$146,0))*INDEX('Resource costs'!$C$121:$C$142, MATCH($B185, 'Resource costs'!$B$121:$B$142,0))</f>
        <v>0</v>
      </c>
      <c r="AR185" s="90">
        <f>INDEX(AR$129:AR$146,MATCH($B185,$B$129:$B$146,0))*INDEX('Resource costs'!$C$121:$C$142, MATCH($B185, 'Resource costs'!$B$121:$B$142,0))</f>
        <v>0</v>
      </c>
      <c r="AS185" s="90">
        <f>INDEX(AS$129:AS$146,MATCH($B185,$B$129:$B$146,0))*INDEX('Resource costs'!$C$121:$C$142, MATCH($B185, 'Resource costs'!$B$121:$B$142,0))</f>
        <v>0</v>
      </c>
      <c r="AT185" s="90">
        <f>INDEX(AT$129:AT$146,MATCH($B185,$B$129:$B$146,0))*INDEX('Resource costs'!$C$121:$C$142, MATCH($B185, 'Resource costs'!$B$121:$B$142,0))</f>
        <v>0</v>
      </c>
      <c r="AU185" s="90">
        <f>INDEX(AU$129:AU$146,MATCH($B185,$B$129:$B$146,0))*INDEX('Resource costs'!$C$121:$C$142, MATCH($B185, 'Resource costs'!$B$121:$B$142,0))</f>
        <v>0</v>
      </c>
      <c r="AV185" s="90">
        <f>INDEX(AV$129:AV$146,MATCH($B185,$B$129:$B$146,0))*INDEX('Resource costs'!$C$121:$C$142, MATCH($B185, 'Resource costs'!$B$121:$B$142,0))</f>
        <v>0</v>
      </c>
      <c r="AW185" s="90">
        <f>INDEX(AW$129:AW$146,MATCH($B185,$B$129:$B$146,0))*INDEX('Resource costs'!$C$121:$C$142, MATCH($B185, 'Resource costs'!$B$121:$B$142,0))</f>
        <v>0</v>
      </c>
      <c r="AX185" s="90">
        <f>INDEX(AX$129:AX$146,MATCH($B185,$B$129:$B$146,0))*INDEX('Resource costs'!$C$121:$C$142, MATCH($B185, 'Resource costs'!$B$121:$B$142,0))</f>
        <v>0</v>
      </c>
      <c r="AY185" s="90">
        <f>INDEX(AY$129:AY$146,MATCH($B185,$B$129:$B$146,0))*INDEX('Resource costs'!$C$121:$C$142, MATCH($B185, 'Resource costs'!$B$121:$B$142,0))</f>
        <v>0</v>
      </c>
      <c r="AZ185" s="90">
        <f>INDEX(AZ$129:AZ$146,MATCH($B185,$B$129:$B$146,0))*INDEX('Resource costs'!$C$121:$C$142, MATCH($B185, 'Resource costs'!$B$121:$B$142,0))</f>
        <v>0</v>
      </c>
      <c r="BA185" s="90">
        <f>INDEX(BA$129:BA$146,MATCH($B185,$B$129:$B$146,0))*INDEX('Resource costs'!$C$121:$C$142, MATCH($B185, 'Resource costs'!$B$121:$B$142,0))</f>
        <v>0</v>
      </c>
      <c r="BB185" s="90">
        <f>INDEX(BB$129:BB$146,MATCH($B185,$B$129:$B$146,0))*INDEX('Resource costs'!$C$121:$C$142, MATCH($B185, 'Resource costs'!$B$121:$B$142,0))</f>
        <v>0</v>
      </c>
    </row>
    <row r="186" spans="2:54">
      <c r="B186" s="6" t="s">
        <v>2863</v>
      </c>
      <c r="C186" s="52"/>
      <c r="D186" s="90">
        <f>INDEX(D$129:D$146,MATCH($B186,$B$129:$B$146,0))*INDEX('Resource costs'!$C$121:$C$142, MATCH($B186, 'Resource costs'!$B$121:$B$142,0))</f>
        <v>0</v>
      </c>
      <c r="E186" s="90">
        <f>INDEX(E$129:E$146,MATCH($B186,$B$129:$B$146,0))*INDEX('Resource costs'!$C$121:$C$142, MATCH($B186, 'Resource costs'!$B$121:$B$142,0))</f>
        <v>0</v>
      </c>
      <c r="F186" s="90">
        <f>INDEX(F$129:F$146,MATCH($B186,$B$129:$B$146,0))*INDEX('Resource costs'!$C$121:$C$142, MATCH($B186, 'Resource costs'!$B$121:$B$142,0))</f>
        <v>0</v>
      </c>
      <c r="G186" s="90">
        <f>INDEX(G$129:G$146,MATCH($B186,$B$129:$B$146,0))*INDEX('Resource costs'!$C$121:$C$142, MATCH($B186, 'Resource costs'!$B$121:$B$142,0))</f>
        <v>0</v>
      </c>
      <c r="H186" s="90">
        <f>INDEX(H$129:H$146,MATCH($B186,$B$129:$B$146,0))*INDEX('Resource costs'!$C$121:$C$142, MATCH($B186, 'Resource costs'!$B$121:$B$142,0))</f>
        <v>0</v>
      </c>
      <c r="I186" s="90">
        <f>INDEX(I$129:I$146,MATCH($B186,$B$129:$B$146,0))*INDEX('Resource costs'!$C$121:$C$142, MATCH($B186, 'Resource costs'!$B$121:$B$142,0))</f>
        <v>0</v>
      </c>
      <c r="J186" s="90">
        <f>INDEX(J$129:J$146,MATCH($B186,$B$129:$B$146,0))*INDEX('Resource costs'!$C$121:$C$142, MATCH($B186, 'Resource costs'!$B$121:$B$142,0))</f>
        <v>0</v>
      </c>
      <c r="K186" s="90">
        <f>INDEX(K$129:K$146,MATCH($B186,$B$129:$B$146,0))*INDEX('Resource costs'!$C$121:$C$142, MATCH($B186, 'Resource costs'!$B$121:$B$142,0))</f>
        <v>0</v>
      </c>
      <c r="L186" s="90">
        <f>INDEX(L$129:L$146,MATCH($B186,$B$129:$B$146,0))*INDEX('Resource costs'!$C$121:$C$142, MATCH($B186, 'Resource costs'!$B$121:$B$142,0))</f>
        <v>0</v>
      </c>
      <c r="M186" s="90">
        <f>INDEX(M$129:M$146,MATCH($B186,$B$129:$B$146,0))*INDEX('Resource costs'!$C$121:$C$142, MATCH($B186, 'Resource costs'!$B$121:$B$142,0))</f>
        <v>0</v>
      </c>
      <c r="N186" s="90">
        <f>INDEX(N$129:N$146,MATCH($B186,$B$129:$B$146,0))*INDEX('Resource costs'!$C$121:$C$142, MATCH($B186, 'Resource costs'!$B$121:$B$142,0))</f>
        <v>0</v>
      </c>
      <c r="O186" s="90">
        <f>INDEX(O$129:O$146,MATCH($B186,$B$129:$B$146,0))*INDEX('Resource costs'!$C$121:$C$142, MATCH($B186, 'Resource costs'!$B$121:$B$142,0))</f>
        <v>0</v>
      </c>
      <c r="P186" s="90">
        <f>INDEX(P$129:P$146,MATCH($B186,$B$129:$B$146,0))*INDEX('Resource costs'!$C$121:$C$142, MATCH($B186, 'Resource costs'!$B$121:$B$142,0))</f>
        <v>0</v>
      </c>
      <c r="Q186" s="90">
        <f>INDEX(Q$129:Q$146,MATCH($B186,$B$129:$B$146,0))*INDEX('Resource costs'!$C$121:$C$142, MATCH($B186, 'Resource costs'!$B$121:$B$142,0))</f>
        <v>0</v>
      </c>
      <c r="R186" s="90">
        <f>INDEX(R$129:R$146,MATCH($B186,$B$129:$B$146,0))*INDEX('Resource costs'!$C$121:$C$142, MATCH($B186, 'Resource costs'!$B$121:$B$142,0))</f>
        <v>0</v>
      </c>
      <c r="S186" s="90">
        <f>INDEX(S$129:S$146,MATCH($B186,$B$129:$B$146,0))*INDEX('Resource costs'!$C$121:$C$142, MATCH($B186, 'Resource costs'!$B$121:$B$142,0))</f>
        <v>0</v>
      </c>
      <c r="T186" s="90">
        <f>INDEX(T$129:T$146,MATCH($B186,$B$129:$B$146,0))*INDEX('Resource costs'!$C$121:$C$142, MATCH($B186, 'Resource costs'!$B$121:$B$142,0))</f>
        <v>0</v>
      </c>
      <c r="U186" s="90">
        <f>INDEX(U$129:U$146,MATCH($B186,$B$129:$B$146,0))*INDEX('Resource costs'!$C$121:$C$142, MATCH($B186, 'Resource costs'!$B$121:$B$142,0))</f>
        <v>0</v>
      </c>
      <c r="V186" s="90">
        <f>INDEX(V$129:V$146,MATCH($B186,$B$129:$B$146,0))*INDEX('Resource costs'!$C$121:$C$142, MATCH($B186, 'Resource costs'!$B$121:$B$142,0))</f>
        <v>0</v>
      </c>
      <c r="W186" s="90">
        <f>INDEX(W$129:W$146,MATCH($B186,$B$129:$B$146,0))*INDEX('Resource costs'!$C$121:$C$142, MATCH($B186, 'Resource costs'!$B$121:$B$142,0))</f>
        <v>0</v>
      </c>
      <c r="X186" s="90">
        <f>INDEX(X$129:X$146,MATCH($B186,$B$129:$B$146,0))*INDEX('Resource costs'!$C$121:$C$142, MATCH($B186, 'Resource costs'!$B$121:$B$142,0))</f>
        <v>0</v>
      </c>
      <c r="Y186" s="90">
        <f>INDEX(Y$129:Y$146,MATCH($B186,$B$129:$B$146,0))*INDEX('Resource costs'!$C$121:$C$142, MATCH($B186, 'Resource costs'!$B$121:$B$142,0))</f>
        <v>0</v>
      </c>
      <c r="Z186" s="90">
        <f>INDEX(Z$129:Z$146,MATCH($B186,$B$129:$B$146,0))*INDEX('Resource costs'!$C$121:$C$142, MATCH($B186, 'Resource costs'!$B$121:$B$142,0))</f>
        <v>0</v>
      </c>
      <c r="AA186" s="90">
        <f>INDEX(AA$129:AA$146,MATCH($B186,$B$129:$B$146,0))*INDEX('Resource costs'!$C$121:$C$142, MATCH($B186, 'Resource costs'!$B$121:$B$142,0))</f>
        <v>0</v>
      </c>
      <c r="AB186" s="90">
        <f>INDEX(AB$129:AB$146,MATCH($B186,$B$129:$B$146,0))*INDEX('Resource costs'!$C$121:$C$142, MATCH($B186, 'Resource costs'!$B$121:$B$142,0))</f>
        <v>0</v>
      </c>
      <c r="AC186" s="90">
        <f>INDEX(AC$129:AC$146,MATCH($B186,$B$129:$B$146,0))*INDEX('Resource costs'!$C$121:$C$142, MATCH($B186, 'Resource costs'!$B$121:$B$142,0))</f>
        <v>0</v>
      </c>
      <c r="AD186" s="90">
        <f>INDEX(AD$129:AD$146,MATCH($B186,$B$129:$B$146,0))*INDEX('Resource costs'!$C$121:$C$142, MATCH($B186, 'Resource costs'!$B$121:$B$142,0))</f>
        <v>0</v>
      </c>
      <c r="AE186" s="90">
        <f>INDEX(AE$129:AE$146,MATCH($B186,$B$129:$B$146,0))*INDEX('Resource costs'!$C$121:$C$142, MATCH($B186, 'Resource costs'!$B$121:$B$142,0))</f>
        <v>0</v>
      </c>
      <c r="AF186" s="90">
        <f>INDEX(AF$129:AF$146,MATCH($B186,$B$129:$B$146,0))*INDEX('Resource costs'!$C$121:$C$142, MATCH($B186, 'Resource costs'!$B$121:$B$142,0))</f>
        <v>0</v>
      </c>
      <c r="AG186" s="90">
        <f>INDEX(AG$129:AG$146,MATCH($B186,$B$129:$B$146,0))*INDEX('Resource costs'!$C$121:$C$142, MATCH($B186, 'Resource costs'!$B$121:$B$142,0))</f>
        <v>0</v>
      </c>
      <c r="AH186" s="90">
        <f>INDEX(AH$129:AH$146,MATCH($B186,$B$129:$B$146,0))*INDEX('Resource costs'!$C$121:$C$142, MATCH($B186, 'Resource costs'!$B$121:$B$142,0))</f>
        <v>0</v>
      </c>
      <c r="AI186" s="90">
        <f>INDEX(AI$129:AI$146,MATCH($B186,$B$129:$B$146,0))*INDEX('Resource costs'!$C$121:$C$142, MATCH($B186, 'Resource costs'!$B$121:$B$142,0))</f>
        <v>0</v>
      </c>
      <c r="AJ186" s="90">
        <f>INDEX(AJ$129:AJ$146,MATCH($B186,$B$129:$B$146,0))*INDEX('Resource costs'!$C$121:$C$142, MATCH($B186, 'Resource costs'!$B$121:$B$142,0))</f>
        <v>0</v>
      </c>
      <c r="AK186" s="90">
        <f>INDEX(AK$129:AK$146,MATCH($B186,$B$129:$B$146,0))*INDEX('Resource costs'!$C$121:$C$142, MATCH($B186, 'Resource costs'!$B$121:$B$142,0))</f>
        <v>0</v>
      </c>
      <c r="AL186" s="90">
        <f>INDEX(AL$129:AL$146,MATCH($B186,$B$129:$B$146,0))*INDEX('Resource costs'!$C$121:$C$142, MATCH($B186, 'Resource costs'!$B$121:$B$142,0))</f>
        <v>0</v>
      </c>
      <c r="AM186" s="90">
        <f>INDEX(AM$129:AM$146,MATCH($B186,$B$129:$B$146,0))*INDEX('Resource costs'!$C$121:$C$142, MATCH($B186, 'Resource costs'!$B$121:$B$142,0))</f>
        <v>0</v>
      </c>
      <c r="AN186" s="90">
        <f>INDEX(AN$129:AN$146,MATCH($B186,$B$129:$B$146,0))*INDEX('Resource costs'!$C$121:$C$142, MATCH($B186, 'Resource costs'!$B$121:$B$142,0))</f>
        <v>0</v>
      </c>
      <c r="AO186" s="90">
        <f>INDEX(AO$129:AO$146,MATCH($B186,$B$129:$B$146,0))*INDEX('Resource costs'!$C$121:$C$142, MATCH($B186, 'Resource costs'!$B$121:$B$142,0))</f>
        <v>0</v>
      </c>
      <c r="AP186" s="90">
        <f>INDEX(AP$129:AP$146,MATCH($B186,$B$129:$B$146,0))*INDEX('Resource costs'!$C$121:$C$142, MATCH($B186, 'Resource costs'!$B$121:$B$142,0))</f>
        <v>0</v>
      </c>
      <c r="AQ186" s="90">
        <f>INDEX(AQ$129:AQ$146,MATCH($B186,$B$129:$B$146,0))*INDEX('Resource costs'!$C$121:$C$142, MATCH($B186, 'Resource costs'!$B$121:$B$142,0))</f>
        <v>0</v>
      </c>
      <c r="AR186" s="90">
        <f>INDEX(AR$129:AR$146,MATCH($B186,$B$129:$B$146,0))*INDEX('Resource costs'!$C$121:$C$142, MATCH($B186, 'Resource costs'!$B$121:$B$142,0))</f>
        <v>0</v>
      </c>
      <c r="AS186" s="90">
        <f>INDEX(AS$129:AS$146,MATCH($B186,$B$129:$B$146,0))*INDEX('Resource costs'!$C$121:$C$142, MATCH($B186, 'Resource costs'!$B$121:$B$142,0))</f>
        <v>0</v>
      </c>
      <c r="AT186" s="90">
        <f>INDEX(AT$129:AT$146,MATCH($B186,$B$129:$B$146,0))*INDEX('Resource costs'!$C$121:$C$142, MATCH($B186, 'Resource costs'!$B$121:$B$142,0))</f>
        <v>0</v>
      </c>
      <c r="AU186" s="90">
        <f>INDEX(AU$129:AU$146,MATCH($B186,$B$129:$B$146,0))*INDEX('Resource costs'!$C$121:$C$142, MATCH($B186, 'Resource costs'!$B$121:$B$142,0))</f>
        <v>0</v>
      </c>
      <c r="AV186" s="90">
        <f>INDEX(AV$129:AV$146,MATCH($B186,$B$129:$B$146,0))*INDEX('Resource costs'!$C$121:$C$142, MATCH($B186, 'Resource costs'!$B$121:$B$142,0))</f>
        <v>0</v>
      </c>
      <c r="AW186" s="90">
        <f>INDEX(AW$129:AW$146,MATCH($B186,$B$129:$B$146,0))*INDEX('Resource costs'!$C$121:$C$142, MATCH($B186, 'Resource costs'!$B$121:$B$142,0))</f>
        <v>0</v>
      </c>
      <c r="AX186" s="90">
        <f>INDEX(AX$129:AX$146,MATCH($B186,$B$129:$B$146,0))*INDEX('Resource costs'!$C$121:$C$142, MATCH($B186, 'Resource costs'!$B$121:$B$142,0))</f>
        <v>0</v>
      </c>
      <c r="AY186" s="90">
        <f>INDEX(AY$129:AY$146,MATCH($B186,$B$129:$B$146,0))*INDEX('Resource costs'!$C$121:$C$142, MATCH($B186, 'Resource costs'!$B$121:$B$142,0))</f>
        <v>0</v>
      </c>
      <c r="AZ186" s="90">
        <f>INDEX(AZ$129:AZ$146,MATCH($B186,$B$129:$B$146,0))*INDEX('Resource costs'!$C$121:$C$142, MATCH($B186, 'Resource costs'!$B$121:$B$142,0))</f>
        <v>0</v>
      </c>
      <c r="BA186" s="90">
        <f>INDEX(BA$129:BA$146,MATCH($B186,$B$129:$B$146,0))*INDEX('Resource costs'!$C$121:$C$142, MATCH($B186, 'Resource costs'!$B$121:$B$142,0))</f>
        <v>0</v>
      </c>
      <c r="BB186" s="90">
        <f>INDEX(BB$129:BB$146,MATCH($B186,$B$129:$B$146,0))*INDEX('Resource costs'!$C$121:$C$142, MATCH($B186, 'Resource costs'!$B$121:$B$142,0))</f>
        <v>0</v>
      </c>
    </row>
    <row r="187" spans="2:54">
      <c r="B187" s="6" t="s">
        <v>2862</v>
      </c>
      <c r="C187" s="52"/>
      <c r="D187" s="90">
        <f>INDEX(D$129:D$146,MATCH($B187,$B$129:$B$146,0))*INDEX('Resource costs'!$C$121:$C$142, MATCH($B187, 'Resource costs'!$B$121:$B$142,0))</f>
        <v>0</v>
      </c>
      <c r="E187" s="90">
        <f>INDEX(E$129:E$146,MATCH($B187,$B$129:$B$146,0))*INDEX('Resource costs'!$C$121:$C$142, MATCH($B187, 'Resource costs'!$B$121:$B$142,0))</f>
        <v>0</v>
      </c>
      <c r="F187" s="90">
        <f>INDEX(F$129:F$146,MATCH($B187,$B$129:$B$146,0))*INDEX('Resource costs'!$C$121:$C$142, MATCH($B187, 'Resource costs'!$B$121:$B$142,0))</f>
        <v>0</v>
      </c>
      <c r="G187" s="90">
        <f>INDEX(G$129:G$146,MATCH($B187,$B$129:$B$146,0))*INDEX('Resource costs'!$C$121:$C$142, MATCH($B187, 'Resource costs'!$B$121:$B$142,0))</f>
        <v>0</v>
      </c>
      <c r="H187" s="90">
        <f>INDEX(H$129:H$146,MATCH($B187,$B$129:$B$146,0))*INDEX('Resource costs'!$C$121:$C$142, MATCH($B187, 'Resource costs'!$B$121:$B$142,0))</f>
        <v>0</v>
      </c>
      <c r="I187" s="90">
        <f>INDEX(I$129:I$146,MATCH($B187,$B$129:$B$146,0))*INDEX('Resource costs'!$C$121:$C$142, MATCH($B187, 'Resource costs'!$B$121:$B$142,0))</f>
        <v>0</v>
      </c>
      <c r="J187" s="90">
        <f>INDEX(J$129:J$146,MATCH($B187,$B$129:$B$146,0))*INDEX('Resource costs'!$C$121:$C$142, MATCH($B187, 'Resource costs'!$B$121:$B$142,0))</f>
        <v>0</v>
      </c>
      <c r="K187" s="90">
        <f>INDEX(K$129:K$146,MATCH($B187,$B$129:$B$146,0))*INDEX('Resource costs'!$C$121:$C$142, MATCH($B187, 'Resource costs'!$B$121:$B$142,0))</f>
        <v>0</v>
      </c>
      <c r="L187" s="90">
        <f>INDEX(L$129:L$146,MATCH($B187,$B$129:$B$146,0))*INDEX('Resource costs'!$C$121:$C$142, MATCH($B187, 'Resource costs'!$B$121:$B$142,0))</f>
        <v>0</v>
      </c>
      <c r="M187" s="90">
        <f>INDEX(M$129:M$146,MATCH($B187,$B$129:$B$146,0))*INDEX('Resource costs'!$C$121:$C$142, MATCH($B187, 'Resource costs'!$B$121:$B$142,0))</f>
        <v>0</v>
      </c>
      <c r="N187" s="90">
        <f>INDEX(N$129:N$146,MATCH($B187,$B$129:$B$146,0))*INDEX('Resource costs'!$C$121:$C$142, MATCH($B187, 'Resource costs'!$B$121:$B$142,0))</f>
        <v>0</v>
      </c>
      <c r="O187" s="90">
        <f>INDEX(O$129:O$146,MATCH($B187,$B$129:$B$146,0))*INDEX('Resource costs'!$C$121:$C$142, MATCH($B187, 'Resource costs'!$B$121:$B$142,0))</f>
        <v>0</v>
      </c>
      <c r="P187" s="90">
        <f>INDEX(P$129:P$146,MATCH($B187,$B$129:$B$146,0))*INDEX('Resource costs'!$C$121:$C$142, MATCH($B187, 'Resource costs'!$B$121:$B$142,0))</f>
        <v>0</v>
      </c>
      <c r="Q187" s="90">
        <f>INDEX(Q$129:Q$146,MATCH($B187,$B$129:$B$146,0))*INDEX('Resource costs'!$C$121:$C$142, MATCH($B187, 'Resource costs'!$B$121:$B$142,0))</f>
        <v>0</v>
      </c>
      <c r="R187" s="90">
        <f>INDEX(R$129:R$146,MATCH($B187,$B$129:$B$146,0))*INDEX('Resource costs'!$C$121:$C$142, MATCH($B187, 'Resource costs'!$B$121:$B$142,0))</f>
        <v>0</v>
      </c>
      <c r="S187" s="90">
        <f>INDEX(S$129:S$146,MATCH($B187,$B$129:$B$146,0))*INDEX('Resource costs'!$C$121:$C$142, MATCH($B187, 'Resource costs'!$B$121:$B$142,0))</f>
        <v>0</v>
      </c>
      <c r="T187" s="90">
        <f>INDEX(T$129:T$146,MATCH($B187,$B$129:$B$146,0))*INDEX('Resource costs'!$C$121:$C$142, MATCH($B187, 'Resource costs'!$B$121:$B$142,0))</f>
        <v>0</v>
      </c>
      <c r="U187" s="90">
        <f>INDEX(U$129:U$146,MATCH($B187,$B$129:$B$146,0))*INDEX('Resource costs'!$C$121:$C$142, MATCH($B187, 'Resource costs'!$B$121:$B$142,0))</f>
        <v>0</v>
      </c>
      <c r="V187" s="90">
        <f>INDEX(V$129:V$146,MATCH($B187,$B$129:$B$146,0))*INDEX('Resource costs'!$C$121:$C$142, MATCH($B187, 'Resource costs'!$B$121:$B$142,0))</f>
        <v>0</v>
      </c>
      <c r="W187" s="90">
        <f>INDEX(W$129:W$146,MATCH($B187,$B$129:$B$146,0))*INDEX('Resource costs'!$C$121:$C$142, MATCH($B187, 'Resource costs'!$B$121:$B$142,0))</f>
        <v>0</v>
      </c>
      <c r="X187" s="90">
        <f>INDEX(X$129:X$146,MATCH($B187,$B$129:$B$146,0))*INDEX('Resource costs'!$C$121:$C$142, MATCH($B187, 'Resource costs'!$B$121:$B$142,0))</f>
        <v>0</v>
      </c>
      <c r="Y187" s="90">
        <f>INDEX(Y$129:Y$146,MATCH($B187,$B$129:$B$146,0))*INDEX('Resource costs'!$C$121:$C$142, MATCH($B187, 'Resource costs'!$B$121:$B$142,0))</f>
        <v>0</v>
      </c>
      <c r="Z187" s="90">
        <f>INDEX(Z$129:Z$146,MATCH($B187,$B$129:$B$146,0))*INDEX('Resource costs'!$C$121:$C$142, MATCH($B187, 'Resource costs'!$B$121:$B$142,0))</f>
        <v>0</v>
      </c>
      <c r="AA187" s="90">
        <f>INDEX(AA$129:AA$146,MATCH($B187,$B$129:$B$146,0))*INDEX('Resource costs'!$C$121:$C$142, MATCH($B187, 'Resource costs'!$B$121:$B$142,0))</f>
        <v>0</v>
      </c>
      <c r="AB187" s="90">
        <f>INDEX(AB$129:AB$146,MATCH($B187,$B$129:$B$146,0))*INDEX('Resource costs'!$C$121:$C$142, MATCH($B187, 'Resource costs'!$B$121:$B$142,0))</f>
        <v>0</v>
      </c>
      <c r="AC187" s="90">
        <f>INDEX(AC$129:AC$146,MATCH($B187,$B$129:$B$146,0))*INDEX('Resource costs'!$C$121:$C$142, MATCH($B187, 'Resource costs'!$B$121:$B$142,0))</f>
        <v>0</v>
      </c>
      <c r="AD187" s="90">
        <f>INDEX(AD$129:AD$146,MATCH($B187,$B$129:$B$146,0))*INDEX('Resource costs'!$C$121:$C$142, MATCH($B187, 'Resource costs'!$B$121:$B$142,0))</f>
        <v>0</v>
      </c>
      <c r="AE187" s="90">
        <f>INDEX(AE$129:AE$146,MATCH($B187,$B$129:$B$146,0))*INDEX('Resource costs'!$C$121:$C$142, MATCH($B187, 'Resource costs'!$B$121:$B$142,0))</f>
        <v>0</v>
      </c>
      <c r="AF187" s="90">
        <f>INDEX(AF$129:AF$146,MATCH($B187,$B$129:$B$146,0))*INDEX('Resource costs'!$C$121:$C$142, MATCH($B187, 'Resource costs'!$B$121:$B$142,0))</f>
        <v>0</v>
      </c>
      <c r="AG187" s="90">
        <f>INDEX(AG$129:AG$146,MATCH($B187,$B$129:$B$146,0))*INDEX('Resource costs'!$C$121:$C$142, MATCH($B187, 'Resource costs'!$B$121:$B$142,0))</f>
        <v>0</v>
      </c>
      <c r="AH187" s="90">
        <f>INDEX(AH$129:AH$146,MATCH($B187,$B$129:$B$146,0))*INDEX('Resource costs'!$C$121:$C$142, MATCH($B187, 'Resource costs'!$B$121:$B$142,0))</f>
        <v>0</v>
      </c>
      <c r="AI187" s="90">
        <f>INDEX(AI$129:AI$146,MATCH($B187,$B$129:$B$146,0))*INDEX('Resource costs'!$C$121:$C$142, MATCH($B187, 'Resource costs'!$B$121:$B$142,0))</f>
        <v>0</v>
      </c>
      <c r="AJ187" s="90">
        <f>INDEX(AJ$129:AJ$146,MATCH($B187,$B$129:$B$146,0))*INDEX('Resource costs'!$C$121:$C$142, MATCH($B187, 'Resource costs'!$B$121:$B$142,0))</f>
        <v>0</v>
      </c>
      <c r="AK187" s="90">
        <f>INDEX(AK$129:AK$146,MATCH($B187,$B$129:$B$146,0))*INDEX('Resource costs'!$C$121:$C$142, MATCH($B187, 'Resource costs'!$B$121:$B$142,0))</f>
        <v>0</v>
      </c>
      <c r="AL187" s="90">
        <f>INDEX(AL$129:AL$146,MATCH($B187,$B$129:$B$146,0))*INDEX('Resource costs'!$C$121:$C$142, MATCH($B187, 'Resource costs'!$B$121:$B$142,0))</f>
        <v>0</v>
      </c>
      <c r="AM187" s="90">
        <f>INDEX(AM$129:AM$146,MATCH($B187,$B$129:$B$146,0))*INDEX('Resource costs'!$C$121:$C$142, MATCH($B187, 'Resource costs'!$B$121:$B$142,0))</f>
        <v>0</v>
      </c>
      <c r="AN187" s="90">
        <f>INDEX(AN$129:AN$146,MATCH($B187,$B$129:$B$146,0))*INDEX('Resource costs'!$C$121:$C$142, MATCH($B187, 'Resource costs'!$B$121:$B$142,0))</f>
        <v>0</v>
      </c>
      <c r="AO187" s="90">
        <f>INDEX(AO$129:AO$146,MATCH($B187,$B$129:$B$146,0))*INDEX('Resource costs'!$C$121:$C$142, MATCH($B187, 'Resource costs'!$B$121:$B$142,0))</f>
        <v>0</v>
      </c>
      <c r="AP187" s="90">
        <f>INDEX(AP$129:AP$146,MATCH($B187,$B$129:$B$146,0))*INDEX('Resource costs'!$C$121:$C$142, MATCH($B187, 'Resource costs'!$B$121:$B$142,0))</f>
        <v>0</v>
      </c>
      <c r="AQ187" s="90">
        <f>INDEX(AQ$129:AQ$146,MATCH($B187,$B$129:$B$146,0))*INDEX('Resource costs'!$C$121:$C$142, MATCH($B187, 'Resource costs'!$B$121:$B$142,0))</f>
        <v>0</v>
      </c>
      <c r="AR187" s="90">
        <f>INDEX(AR$129:AR$146,MATCH($B187,$B$129:$B$146,0))*INDEX('Resource costs'!$C$121:$C$142, MATCH($B187, 'Resource costs'!$B$121:$B$142,0))</f>
        <v>0</v>
      </c>
      <c r="AS187" s="90">
        <f>INDEX(AS$129:AS$146,MATCH($B187,$B$129:$B$146,0))*INDEX('Resource costs'!$C$121:$C$142, MATCH($B187, 'Resource costs'!$B$121:$B$142,0))</f>
        <v>0</v>
      </c>
      <c r="AT187" s="90">
        <f>INDEX(AT$129:AT$146,MATCH($B187,$B$129:$B$146,0))*INDEX('Resource costs'!$C$121:$C$142, MATCH($B187, 'Resource costs'!$B$121:$B$142,0))</f>
        <v>0</v>
      </c>
      <c r="AU187" s="90">
        <f>INDEX(AU$129:AU$146,MATCH($B187,$B$129:$B$146,0))*INDEX('Resource costs'!$C$121:$C$142, MATCH($B187, 'Resource costs'!$B$121:$B$142,0))</f>
        <v>0</v>
      </c>
      <c r="AV187" s="90">
        <f>INDEX(AV$129:AV$146,MATCH($B187,$B$129:$B$146,0))*INDEX('Resource costs'!$C$121:$C$142, MATCH($B187, 'Resource costs'!$B$121:$B$142,0))</f>
        <v>0</v>
      </c>
      <c r="AW187" s="90">
        <f>INDEX(AW$129:AW$146,MATCH($B187,$B$129:$B$146,0))*INDEX('Resource costs'!$C$121:$C$142, MATCH($B187, 'Resource costs'!$B$121:$B$142,0))</f>
        <v>0</v>
      </c>
      <c r="AX187" s="90">
        <f>INDEX(AX$129:AX$146,MATCH($B187,$B$129:$B$146,0))*INDEX('Resource costs'!$C$121:$C$142, MATCH($B187, 'Resource costs'!$B$121:$B$142,0))</f>
        <v>0</v>
      </c>
      <c r="AY187" s="90">
        <f>INDEX(AY$129:AY$146,MATCH($B187,$B$129:$B$146,0))*INDEX('Resource costs'!$C$121:$C$142, MATCH($B187, 'Resource costs'!$B$121:$B$142,0))</f>
        <v>0</v>
      </c>
      <c r="AZ187" s="90">
        <f>INDEX(AZ$129:AZ$146,MATCH($B187,$B$129:$B$146,0))*INDEX('Resource costs'!$C$121:$C$142, MATCH($B187, 'Resource costs'!$B$121:$B$142,0))</f>
        <v>0</v>
      </c>
      <c r="BA187" s="90">
        <f>INDEX(BA$129:BA$146,MATCH($B187,$B$129:$B$146,0))*INDEX('Resource costs'!$C$121:$C$142, MATCH($B187, 'Resource costs'!$B$121:$B$142,0))</f>
        <v>0</v>
      </c>
      <c r="BB187" s="90">
        <f>INDEX(BB$129:BB$146,MATCH($B187,$B$129:$B$146,0))*INDEX('Resource costs'!$C$121:$C$142, MATCH($B187, 'Resource costs'!$B$121:$B$142,0))</f>
        <v>0</v>
      </c>
    </row>
    <row r="188" spans="2:54" s="97" customFormat="1">
      <c r="B188" s="6" t="s">
        <v>131</v>
      </c>
      <c r="C188" s="315"/>
      <c r="D188" s="90">
        <f>INDEX(D$129:D$146,MATCH($B188,$B$129:$B$146,0))*INDEX('Resource costs'!$C$121:$C$142, MATCH($B188, 'Resource costs'!$B$121:$B$142,0))</f>
        <v>0</v>
      </c>
      <c r="E188" s="90">
        <f>INDEX(E$129:E$146,MATCH($B188,$B$129:$B$146,0))*INDEX('Resource costs'!$C$121:$C$142, MATCH($B188, 'Resource costs'!$B$121:$B$142,0))</f>
        <v>0</v>
      </c>
      <c r="F188" s="90">
        <f>INDEX(F$129:F$146,MATCH($B188,$B$129:$B$146,0))*INDEX('Resource costs'!$C$121:$C$142, MATCH($B188, 'Resource costs'!$B$121:$B$142,0))</f>
        <v>0</v>
      </c>
      <c r="G188" s="90">
        <f>INDEX(G$129:G$146,MATCH($B188,$B$129:$B$146,0))*INDEX('Resource costs'!$C$121:$C$142, MATCH($B188, 'Resource costs'!$B$121:$B$142,0))</f>
        <v>0</v>
      </c>
      <c r="H188" s="90">
        <f>INDEX(H$129:H$146,MATCH($B188,$B$129:$B$146,0))*INDEX('Resource costs'!$C$121:$C$142, MATCH($B188, 'Resource costs'!$B$121:$B$142,0))</f>
        <v>0</v>
      </c>
      <c r="I188" s="90">
        <f>INDEX(I$129:I$146,MATCH($B188,$B$129:$B$146,0))*INDEX('Resource costs'!$C$121:$C$142, MATCH($B188, 'Resource costs'!$B$121:$B$142,0))</f>
        <v>0</v>
      </c>
      <c r="J188" s="90">
        <f>INDEX(J$129:J$146,MATCH($B188,$B$129:$B$146,0))*INDEX('Resource costs'!$C$121:$C$142, MATCH($B188, 'Resource costs'!$B$121:$B$142,0))</f>
        <v>0</v>
      </c>
      <c r="K188" s="90">
        <f>INDEX(K$129:K$146,MATCH($B188,$B$129:$B$146,0))*INDEX('Resource costs'!$C$121:$C$142, MATCH($B188, 'Resource costs'!$B$121:$B$142,0))</f>
        <v>0</v>
      </c>
      <c r="L188" s="90">
        <f>INDEX(L$129:L$146,MATCH($B188,$B$129:$B$146,0))*INDEX('Resource costs'!$C$121:$C$142, MATCH($B188, 'Resource costs'!$B$121:$B$142,0))</f>
        <v>0</v>
      </c>
      <c r="M188" s="90">
        <f>INDEX(M$129:M$146,MATCH($B188,$B$129:$B$146,0))*INDEX('Resource costs'!$C$121:$C$142, MATCH($B188, 'Resource costs'!$B$121:$B$142,0))</f>
        <v>0</v>
      </c>
      <c r="N188" s="90">
        <f>INDEX(N$129:N$146,MATCH($B188,$B$129:$B$146,0))*INDEX('Resource costs'!$C$121:$C$142, MATCH($B188, 'Resource costs'!$B$121:$B$142,0))</f>
        <v>0</v>
      </c>
      <c r="O188" s="90">
        <f>INDEX(O$129:O$146,MATCH($B188,$B$129:$B$146,0))*INDEX('Resource costs'!$C$121:$C$142, MATCH($B188, 'Resource costs'!$B$121:$B$142,0))</f>
        <v>0</v>
      </c>
      <c r="P188" s="90">
        <f>INDEX(P$129:P$146,MATCH($B188,$B$129:$B$146,0))*INDEX('Resource costs'!$C$121:$C$142, MATCH($B188, 'Resource costs'!$B$121:$B$142,0))</f>
        <v>0</v>
      </c>
      <c r="Q188" s="90">
        <f>INDEX(Q$129:Q$146,MATCH($B188,$B$129:$B$146,0))*INDEX('Resource costs'!$C$121:$C$142, MATCH($B188, 'Resource costs'!$B$121:$B$142,0))</f>
        <v>0</v>
      </c>
      <c r="R188" s="90">
        <f>INDEX(R$129:R$146,MATCH($B188,$B$129:$B$146,0))*INDEX('Resource costs'!$C$121:$C$142, MATCH($B188, 'Resource costs'!$B$121:$B$142,0))</f>
        <v>0</v>
      </c>
      <c r="S188" s="90">
        <f>INDEX(S$129:S$146,MATCH($B188,$B$129:$B$146,0))*INDEX('Resource costs'!$C$121:$C$142, MATCH($B188, 'Resource costs'!$B$121:$B$142,0))</f>
        <v>0</v>
      </c>
      <c r="T188" s="90">
        <f>INDEX(T$129:T$146,MATCH($B188,$B$129:$B$146,0))*INDEX('Resource costs'!$C$121:$C$142, MATCH($B188, 'Resource costs'!$B$121:$B$142,0))</f>
        <v>0</v>
      </c>
      <c r="U188" s="90">
        <f>INDEX(U$129:U$146,MATCH($B188,$B$129:$B$146,0))*INDEX('Resource costs'!$C$121:$C$142, MATCH($B188, 'Resource costs'!$B$121:$B$142,0))</f>
        <v>0</v>
      </c>
      <c r="V188" s="90">
        <f>INDEX(V$129:V$146,MATCH($B188,$B$129:$B$146,0))*INDEX('Resource costs'!$C$121:$C$142, MATCH($B188, 'Resource costs'!$B$121:$B$142,0))</f>
        <v>0</v>
      </c>
      <c r="W188" s="90">
        <f>INDEX(W$129:W$146,MATCH($B188,$B$129:$B$146,0))*INDEX('Resource costs'!$C$121:$C$142, MATCH($B188, 'Resource costs'!$B$121:$B$142,0))</f>
        <v>0</v>
      </c>
      <c r="X188" s="90">
        <f>INDEX(X$129:X$146,MATCH($B188,$B$129:$B$146,0))*INDEX('Resource costs'!$C$121:$C$142, MATCH($B188, 'Resource costs'!$B$121:$B$142,0))</f>
        <v>0</v>
      </c>
      <c r="Y188" s="90">
        <f>INDEX(Y$129:Y$146,MATCH($B188,$B$129:$B$146,0))*INDEX('Resource costs'!$C$121:$C$142, MATCH($B188, 'Resource costs'!$B$121:$B$142,0))</f>
        <v>0</v>
      </c>
      <c r="Z188" s="90">
        <f>INDEX(Z$129:Z$146,MATCH($B188,$B$129:$B$146,0))*INDEX('Resource costs'!$C$121:$C$142, MATCH($B188, 'Resource costs'!$B$121:$B$142,0))</f>
        <v>0</v>
      </c>
      <c r="AA188" s="90">
        <f>INDEX(AA$129:AA$146,MATCH($B188,$B$129:$B$146,0))*INDEX('Resource costs'!$C$121:$C$142, MATCH($B188, 'Resource costs'!$B$121:$B$142,0))</f>
        <v>0</v>
      </c>
      <c r="AB188" s="90">
        <f>INDEX(AB$129:AB$146,MATCH($B188,$B$129:$B$146,0))*INDEX('Resource costs'!$C$121:$C$142, MATCH($B188, 'Resource costs'!$B$121:$B$142,0))</f>
        <v>0</v>
      </c>
      <c r="AC188" s="90">
        <f>INDEX(AC$129:AC$146,MATCH($B188,$B$129:$B$146,0))*INDEX('Resource costs'!$C$121:$C$142, MATCH($B188, 'Resource costs'!$B$121:$B$142,0))</f>
        <v>0</v>
      </c>
      <c r="AD188" s="90">
        <f>INDEX(AD$129:AD$146,MATCH($B188,$B$129:$B$146,0))*INDEX('Resource costs'!$C$121:$C$142, MATCH($B188, 'Resource costs'!$B$121:$B$142,0))</f>
        <v>0</v>
      </c>
      <c r="AE188" s="90">
        <f>INDEX(AE$129:AE$146,MATCH($B188,$B$129:$B$146,0))*INDEX('Resource costs'!$C$121:$C$142, MATCH($B188, 'Resource costs'!$B$121:$B$142,0))</f>
        <v>0</v>
      </c>
      <c r="AF188" s="90">
        <f>INDEX(AF$129:AF$146,MATCH($B188,$B$129:$B$146,0))*INDEX('Resource costs'!$C$121:$C$142, MATCH($B188, 'Resource costs'!$B$121:$B$142,0))</f>
        <v>0</v>
      </c>
      <c r="AG188" s="90">
        <f>INDEX(AG$129:AG$146,MATCH($B188,$B$129:$B$146,0))*INDEX('Resource costs'!$C$121:$C$142, MATCH($B188, 'Resource costs'!$B$121:$B$142,0))</f>
        <v>0</v>
      </c>
      <c r="AH188" s="90">
        <f>INDEX(AH$129:AH$146,MATCH($B188,$B$129:$B$146,0))*INDEX('Resource costs'!$C$121:$C$142, MATCH($B188, 'Resource costs'!$B$121:$B$142,0))</f>
        <v>0</v>
      </c>
      <c r="AI188" s="90">
        <f>INDEX(AI$129:AI$146,MATCH($B188,$B$129:$B$146,0))*INDEX('Resource costs'!$C$121:$C$142, MATCH($B188, 'Resource costs'!$B$121:$B$142,0))</f>
        <v>0</v>
      </c>
      <c r="AJ188" s="90">
        <f>INDEX(AJ$129:AJ$146,MATCH($B188,$B$129:$B$146,0))*INDEX('Resource costs'!$C$121:$C$142, MATCH($B188, 'Resource costs'!$B$121:$B$142,0))</f>
        <v>0</v>
      </c>
      <c r="AK188" s="90">
        <f>INDEX(AK$129:AK$146,MATCH($B188,$B$129:$B$146,0))*INDEX('Resource costs'!$C$121:$C$142, MATCH($B188, 'Resource costs'!$B$121:$B$142,0))</f>
        <v>0</v>
      </c>
      <c r="AL188" s="90">
        <f>INDEX(AL$129:AL$146,MATCH($B188,$B$129:$B$146,0))*INDEX('Resource costs'!$C$121:$C$142, MATCH($B188, 'Resource costs'!$B$121:$B$142,0))</f>
        <v>0</v>
      </c>
      <c r="AM188" s="90">
        <f>INDEX(AM$129:AM$146,MATCH($B188,$B$129:$B$146,0))*INDEX('Resource costs'!$C$121:$C$142, MATCH($B188, 'Resource costs'!$B$121:$B$142,0))</f>
        <v>0</v>
      </c>
      <c r="AN188" s="90">
        <f>INDEX(AN$129:AN$146,MATCH($B188,$B$129:$B$146,0))*INDEX('Resource costs'!$C$121:$C$142, MATCH($B188, 'Resource costs'!$B$121:$B$142,0))</f>
        <v>0</v>
      </c>
      <c r="AO188" s="90">
        <f>INDEX(AO$129:AO$146,MATCH($B188,$B$129:$B$146,0))*INDEX('Resource costs'!$C$121:$C$142, MATCH($B188, 'Resource costs'!$B$121:$B$142,0))</f>
        <v>0</v>
      </c>
      <c r="AP188" s="90">
        <f>INDEX(AP$129:AP$146,MATCH($B188,$B$129:$B$146,0))*INDEX('Resource costs'!$C$121:$C$142, MATCH($B188, 'Resource costs'!$B$121:$B$142,0))</f>
        <v>0</v>
      </c>
      <c r="AQ188" s="90">
        <f>INDEX(AQ$129:AQ$146,MATCH($B188,$B$129:$B$146,0))*INDEX('Resource costs'!$C$121:$C$142, MATCH($B188, 'Resource costs'!$B$121:$B$142,0))</f>
        <v>0</v>
      </c>
      <c r="AR188" s="90">
        <f>INDEX(AR$129:AR$146,MATCH($B188,$B$129:$B$146,0))*INDEX('Resource costs'!$C$121:$C$142, MATCH($B188, 'Resource costs'!$B$121:$B$142,0))</f>
        <v>0</v>
      </c>
      <c r="AS188" s="90">
        <f>INDEX(AS$129:AS$146,MATCH($B188,$B$129:$B$146,0))*INDEX('Resource costs'!$C$121:$C$142, MATCH($B188, 'Resource costs'!$B$121:$B$142,0))</f>
        <v>0</v>
      </c>
      <c r="AT188" s="90">
        <f>INDEX(AT$129:AT$146,MATCH($B188,$B$129:$B$146,0))*INDEX('Resource costs'!$C$121:$C$142, MATCH($B188, 'Resource costs'!$B$121:$B$142,0))</f>
        <v>0</v>
      </c>
      <c r="AU188" s="90">
        <f>INDEX(AU$129:AU$146,MATCH($B188,$B$129:$B$146,0))*INDEX('Resource costs'!$C$121:$C$142, MATCH($B188, 'Resource costs'!$B$121:$B$142,0))</f>
        <v>0</v>
      </c>
      <c r="AV188" s="90">
        <f>INDEX(AV$129:AV$146,MATCH($B188,$B$129:$B$146,0))*INDEX('Resource costs'!$C$121:$C$142, MATCH($B188, 'Resource costs'!$B$121:$B$142,0))</f>
        <v>0</v>
      </c>
      <c r="AW188" s="90">
        <f>INDEX(AW$129:AW$146,MATCH($B188,$B$129:$B$146,0))*INDEX('Resource costs'!$C$121:$C$142, MATCH($B188, 'Resource costs'!$B$121:$B$142,0))</f>
        <v>0</v>
      </c>
      <c r="AX188" s="90">
        <f>INDEX(AX$129:AX$146,MATCH($B188,$B$129:$B$146,0))*INDEX('Resource costs'!$C$121:$C$142, MATCH($B188, 'Resource costs'!$B$121:$B$142,0))</f>
        <v>0</v>
      </c>
      <c r="AY188" s="90">
        <f>INDEX(AY$129:AY$146,MATCH($B188,$B$129:$B$146,0))*INDEX('Resource costs'!$C$121:$C$142, MATCH($B188, 'Resource costs'!$B$121:$B$142,0))</f>
        <v>0</v>
      </c>
      <c r="AZ188" s="90">
        <f>INDEX(AZ$129:AZ$146,MATCH($B188,$B$129:$B$146,0))*INDEX('Resource costs'!$C$121:$C$142, MATCH($B188, 'Resource costs'!$B$121:$B$142,0))</f>
        <v>0</v>
      </c>
      <c r="BA188" s="90">
        <f>INDEX(BA$129:BA$146,MATCH($B188,$B$129:$B$146,0))*INDEX('Resource costs'!$C$121:$C$142, MATCH($B188, 'Resource costs'!$B$121:$B$142,0))</f>
        <v>0</v>
      </c>
      <c r="BB188" s="90">
        <f>INDEX(BB$129:BB$146,MATCH($B188,$B$129:$B$146,0))*INDEX('Resource costs'!$C$121:$C$142, MATCH($B188, 'Resource costs'!$B$121:$B$142,0))</f>
        <v>0</v>
      </c>
    </row>
    <row r="189" spans="2:54" ht="29">
      <c r="B189" s="6" t="s">
        <v>2869</v>
      </c>
      <c r="C189" s="52"/>
      <c r="D189" s="90">
        <f>INDEX(D$129:D$146,MATCH($B189,$B$129:$B$146,0))*INDEX('Resource costs'!$C$121:$C$142, MATCH($B189, 'Resource costs'!$B$121:$B$142,0))</f>
        <v>0</v>
      </c>
      <c r="E189" s="90">
        <f>INDEX(E$129:E$146,MATCH($B189,$B$129:$B$146,0))*INDEX('Resource costs'!$C$121:$C$142, MATCH($B189, 'Resource costs'!$B$121:$B$142,0))</f>
        <v>0</v>
      </c>
      <c r="F189" s="90">
        <f>INDEX(F$129:F$146,MATCH($B189,$B$129:$B$146,0))*INDEX('Resource costs'!$C$121:$C$142, MATCH($B189, 'Resource costs'!$B$121:$B$142,0))</f>
        <v>0</v>
      </c>
      <c r="G189" s="90">
        <f>INDEX(G$129:G$146,MATCH($B189,$B$129:$B$146,0))*INDEX('Resource costs'!$C$121:$C$142, MATCH($B189, 'Resource costs'!$B$121:$B$142,0))</f>
        <v>0</v>
      </c>
      <c r="H189" s="90">
        <f>INDEX(H$129:H$146,MATCH($B189,$B$129:$B$146,0))*INDEX('Resource costs'!$C$121:$C$142, MATCH($B189, 'Resource costs'!$B$121:$B$142,0))</f>
        <v>0</v>
      </c>
      <c r="I189" s="90">
        <f>INDEX(I$129:I$146,MATCH($B189,$B$129:$B$146,0))*INDEX('Resource costs'!$C$121:$C$142, MATCH($B189, 'Resource costs'!$B$121:$B$142,0))</f>
        <v>0</v>
      </c>
      <c r="J189" s="90">
        <f>INDEX(J$129:J$146,MATCH($B189,$B$129:$B$146,0))*INDEX('Resource costs'!$C$121:$C$142, MATCH($B189, 'Resource costs'!$B$121:$B$142,0))</f>
        <v>0</v>
      </c>
      <c r="K189" s="90">
        <f>INDEX(K$129:K$146,MATCH($B189,$B$129:$B$146,0))*INDEX('Resource costs'!$C$121:$C$142, MATCH($B189, 'Resource costs'!$B$121:$B$142,0))</f>
        <v>0</v>
      </c>
      <c r="L189" s="90">
        <f>INDEX(L$129:L$146,MATCH($B189,$B$129:$B$146,0))*INDEX('Resource costs'!$C$121:$C$142, MATCH($B189, 'Resource costs'!$B$121:$B$142,0))</f>
        <v>0</v>
      </c>
      <c r="M189" s="90">
        <f>INDEX(M$129:M$146,MATCH($B189,$B$129:$B$146,0))*INDEX('Resource costs'!$C$121:$C$142, MATCH($B189, 'Resource costs'!$B$121:$B$142,0))</f>
        <v>0</v>
      </c>
      <c r="N189" s="90">
        <f>INDEX(N$129:N$146,MATCH($B189,$B$129:$B$146,0))*INDEX('Resource costs'!$C$121:$C$142, MATCH($B189, 'Resource costs'!$B$121:$B$142,0))</f>
        <v>0</v>
      </c>
      <c r="O189" s="90">
        <f>INDEX(O$129:O$146,MATCH($B189,$B$129:$B$146,0))*INDEX('Resource costs'!$C$121:$C$142, MATCH($B189, 'Resource costs'!$B$121:$B$142,0))</f>
        <v>0</v>
      </c>
      <c r="P189" s="90">
        <f>INDEX(P$129:P$146,MATCH($B189,$B$129:$B$146,0))*INDEX('Resource costs'!$C$121:$C$142, MATCH($B189, 'Resource costs'!$B$121:$B$142,0))</f>
        <v>0</v>
      </c>
      <c r="Q189" s="90">
        <f>INDEX(Q$129:Q$146,MATCH($B189,$B$129:$B$146,0))*INDEX('Resource costs'!$C$121:$C$142, MATCH($B189, 'Resource costs'!$B$121:$B$142,0))</f>
        <v>0</v>
      </c>
      <c r="R189" s="90">
        <f>INDEX(R$129:R$146,MATCH($B189,$B$129:$B$146,0))*INDEX('Resource costs'!$C$121:$C$142, MATCH($B189, 'Resource costs'!$B$121:$B$142,0))</f>
        <v>0</v>
      </c>
      <c r="S189" s="90">
        <f>INDEX(S$129:S$146,MATCH($B189,$B$129:$B$146,0))*INDEX('Resource costs'!$C$121:$C$142, MATCH($B189, 'Resource costs'!$B$121:$B$142,0))</f>
        <v>0</v>
      </c>
      <c r="T189" s="90">
        <f>INDEX(T$129:T$146,MATCH($B189,$B$129:$B$146,0))*INDEX('Resource costs'!$C$121:$C$142, MATCH($B189, 'Resource costs'!$B$121:$B$142,0))</f>
        <v>0</v>
      </c>
      <c r="U189" s="90">
        <f>INDEX(U$129:U$146,MATCH($B189,$B$129:$B$146,0))*INDEX('Resource costs'!$C$121:$C$142, MATCH($B189, 'Resource costs'!$B$121:$B$142,0))</f>
        <v>0</v>
      </c>
      <c r="V189" s="90">
        <f>INDEX(V$129:V$146,MATCH($B189,$B$129:$B$146,0))*INDEX('Resource costs'!$C$121:$C$142, MATCH($B189, 'Resource costs'!$B$121:$B$142,0))</f>
        <v>0</v>
      </c>
      <c r="W189" s="90">
        <f>INDEX(W$129:W$146,MATCH($B189,$B$129:$B$146,0))*INDEX('Resource costs'!$C$121:$C$142, MATCH($B189, 'Resource costs'!$B$121:$B$142,0))</f>
        <v>0</v>
      </c>
      <c r="X189" s="90">
        <f>INDEX(X$129:X$146,MATCH($B189,$B$129:$B$146,0))*INDEX('Resource costs'!$C$121:$C$142, MATCH($B189, 'Resource costs'!$B$121:$B$142,0))</f>
        <v>0</v>
      </c>
      <c r="Y189" s="90">
        <f>INDEX(Y$129:Y$146,MATCH($B189,$B$129:$B$146,0))*INDEX('Resource costs'!$C$121:$C$142, MATCH($B189, 'Resource costs'!$B$121:$B$142,0))</f>
        <v>0</v>
      </c>
      <c r="Z189" s="90">
        <f>INDEX(Z$129:Z$146,MATCH($B189,$B$129:$B$146,0))*INDEX('Resource costs'!$C$121:$C$142, MATCH($B189, 'Resource costs'!$B$121:$B$142,0))</f>
        <v>0</v>
      </c>
      <c r="AA189" s="90">
        <f>INDEX(AA$129:AA$146,MATCH($B189,$B$129:$B$146,0))*INDEX('Resource costs'!$C$121:$C$142, MATCH($B189, 'Resource costs'!$B$121:$B$142,0))</f>
        <v>0</v>
      </c>
      <c r="AB189" s="90">
        <f>INDEX(AB$129:AB$146,MATCH($B189,$B$129:$B$146,0))*INDEX('Resource costs'!$C$121:$C$142, MATCH($B189, 'Resource costs'!$B$121:$B$142,0))</f>
        <v>0</v>
      </c>
      <c r="AC189" s="90">
        <f>INDEX(AC$129:AC$146,MATCH($B189,$B$129:$B$146,0))*INDEX('Resource costs'!$C$121:$C$142, MATCH($B189, 'Resource costs'!$B$121:$B$142,0))</f>
        <v>0</v>
      </c>
      <c r="AD189" s="90">
        <f>INDEX(AD$129:AD$146,MATCH($B189,$B$129:$B$146,0))*INDEX('Resource costs'!$C$121:$C$142, MATCH($B189, 'Resource costs'!$B$121:$B$142,0))</f>
        <v>0</v>
      </c>
      <c r="AE189" s="90">
        <f>INDEX(AE$129:AE$146,MATCH($B189,$B$129:$B$146,0))*INDEX('Resource costs'!$C$121:$C$142, MATCH($B189, 'Resource costs'!$B$121:$B$142,0))</f>
        <v>0</v>
      </c>
      <c r="AF189" s="90">
        <f>INDEX(AF$129:AF$146,MATCH($B189,$B$129:$B$146,0))*INDEX('Resource costs'!$C$121:$C$142, MATCH($B189, 'Resource costs'!$B$121:$B$142,0))</f>
        <v>0</v>
      </c>
      <c r="AG189" s="90">
        <f>INDEX(AG$129:AG$146,MATCH($B189,$B$129:$B$146,0))*INDEX('Resource costs'!$C$121:$C$142, MATCH($B189, 'Resource costs'!$B$121:$B$142,0))</f>
        <v>0</v>
      </c>
      <c r="AH189" s="90">
        <f>INDEX(AH$129:AH$146,MATCH($B189,$B$129:$B$146,0))*INDEX('Resource costs'!$C$121:$C$142, MATCH($B189, 'Resource costs'!$B$121:$B$142,0))</f>
        <v>0</v>
      </c>
      <c r="AI189" s="90">
        <f>INDEX(AI$129:AI$146,MATCH($B189,$B$129:$B$146,0))*INDEX('Resource costs'!$C$121:$C$142, MATCH($B189, 'Resource costs'!$B$121:$B$142,0))</f>
        <v>0</v>
      </c>
      <c r="AJ189" s="90">
        <f>INDEX(AJ$129:AJ$146,MATCH($B189,$B$129:$B$146,0))*INDEX('Resource costs'!$C$121:$C$142, MATCH($B189, 'Resource costs'!$B$121:$B$142,0))</f>
        <v>0</v>
      </c>
      <c r="AK189" s="90">
        <f>INDEX(AK$129:AK$146,MATCH($B189,$B$129:$B$146,0))*INDEX('Resource costs'!$C$121:$C$142, MATCH($B189, 'Resource costs'!$B$121:$B$142,0))</f>
        <v>0</v>
      </c>
      <c r="AL189" s="90">
        <f>INDEX(AL$129:AL$146,MATCH($B189,$B$129:$B$146,0))*INDEX('Resource costs'!$C$121:$C$142, MATCH($B189, 'Resource costs'!$B$121:$B$142,0))</f>
        <v>0</v>
      </c>
      <c r="AM189" s="90">
        <f>INDEX(AM$129:AM$146,MATCH($B189,$B$129:$B$146,0))*INDEX('Resource costs'!$C$121:$C$142, MATCH($B189, 'Resource costs'!$B$121:$B$142,0))</f>
        <v>0</v>
      </c>
      <c r="AN189" s="90">
        <f>INDEX(AN$129:AN$146,MATCH($B189,$B$129:$B$146,0))*INDEX('Resource costs'!$C$121:$C$142, MATCH($B189, 'Resource costs'!$B$121:$B$142,0))</f>
        <v>0</v>
      </c>
      <c r="AO189" s="90">
        <f>INDEX(AO$129:AO$146,MATCH($B189,$B$129:$B$146,0))*INDEX('Resource costs'!$C$121:$C$142, MATCH($B189, 'Resource costs'!$B$121:$B$142,0))</f>
        <v>0</v>
      </c>
      <c r="AP189" s="90">
        <f>INDEX(AP$129:AP$146,MATCH($B189,$B$129:$B$146,0))*INDEX('Resource costs'!$C$121:$C$142, MATCH($B189, 'Resource costs'!$B$121:$B$142,0))</f>
        <v>0</v>
      </c>
      <c r="AQ189" s="90">
        <f>INDEX(AQ$129:AQ$146,MATCH($B189,$B$129:$B$146,0))*INDEX('Resource costs'!$C$121:$C$142, MATCH($B189, 'Resource costs'!$B$121:$B$142,0))</f>
        <v>0</v>
      </c>
      <c r="AR189" s="90">
        <f>INDEX(AR$129:AR$146,MATCH($B189,$B$129:$B$146,0))*INDEX('Resource costs'!$C$121:$C$142, MATCH($B189, 'Resource costs'!$B$121:$B$142,0))</f>
        <v>0</v>
      </c>
      <c r="AS189" s="90">
        <f>INDEX(AS$129:AS$146,MATCH($B189,$B$129:$B$146,0))*INDEX('Resource costs'!$C$121:$C$142, MATCH($B189, 'Resource costs'!$B$121:$B$142,0))</f>
        <v>0</v>
      </c>
      <c r="AT189" s="90">
        <f>INDEX(AT$129:AT$146,MATCH($B189,$B$129:$B$146,0))*INDEX('Resource costs'!$C$121:$C$142, MATCH($B189, 'Resource costs'!$B$121:$B$142,0))</f>
        <v>0</v>
      </c>
      <c r="AU189" s="90">
        <f>INDEX(AU$129:AU$146,MATCH($B189,$B$129:$B$146,0))*INDEX('Resource costs'!$C$121:$C$142, MATCH($B189, 'Resource costs'!$B$121:$B$142,0))</f>
        <v>0</v>
      </c>
      <c r="AV189" s="90">
        <f>INDEX(AV$129:AV$146,MATCH($B189,$B$129:$B$146,0))*INDEX('Resource costs'!$C$121:$C$142, MATCH($B189, 'Resource costs'!$B$121:$B$142,0))</f>
        <v>0</v>
      </c>
      <c r="AW189" s="90">
        <f>INDEX(AW$129:AW$146,MATCH($B189,$B$129:$B$146,0))*INDEX('Resource costs'!$C$121:$C$142, MATCH($B189, 'Resource costs'!$B$121:$B$142,0))</f>
        <v>0</v>
      </c>
      <c r="AX189" s="90">
        <f>INDEX(AX$129:AX$146,MATCH($B189,$B$129:$B$146,0))*INDEX('Resource costs'!$C$121:$C$142, MATCH($B189, 'Resource costs'!$B$121:$B$142,0))</f>
        <v>0</v>
      </c>
      <c r="AY189" s="90">
        <f>INDEX(AY$129:AY$146,MATCH($B189,$B$129:$B$146,0))*INDEX('Resource costs'!$C$121:$C$142, MATCH($B189, 'Resource costs'!$B$121:$B$142,0))</f>
        <v>0</v>
      </c>
      <c r="AZ189" s="90">
        <f>INDEX(AZ$129:AZ$146,MATCH($B189,$B$129:$B$146,0))*INDEX('Resource costs'!$C$121:$C$142, MATCH($B189, 'Resource costs'!$B$121:$B$142,0))</f>
        <v>0</v>
      </c>
      <c r="BA189" s="90">
        <f>INDEX(BA$129:BA$146,MATCH($B189,$B$129:$B$146,0))*INDEX('Resource costs'!$C$121:$C$142, MATCH($B189, 'Resource costs'!$B$121:$B$142,0))</f>
        <v>0</v>
      </c>
      <c r="BB189" s="90">
        <f>INDEX(BB$129:BB$146,MATCH($B189,$B$129:$B$146,0))*INDEX('Resource costs'!$C$121:$C$142, MATCH($B189, 'Resource costs'!$B$121:$B$142,0))</f>
        <v>0</v>
      </c>
    </row>
    <row r="190" spans="2:54" ht="29">
      <c r="B190" s="6" t="s">
        <v>2870</v>
      </c>
      <c r="C190" s="52"/>
      <c r="D190" s="90">
        <f>INDEX(D$129:D$146,MATCH($B190,$B$129:$B$146,0))*INDEX('Resource costs'!$C$121:$C$142, MATCH($B190, 'Resource costs'!$B$121:$B$142,0))</f>
        <v>0</v>
      </c>
      <c r="E190" s="90">
        <f>INDEX(E$129:E$146,MATCH($B190,$B$129:$B$146,0))*INDEX('Resource costs'!$C$121:$C$142, MATCH($B190, 'Resource costs'!$B$121:$B$142,0))</f>
        <v>0</v>
      </c>
      <c r="F190" s="90">
        <f>INDEX(F$129:F$146,MATCH($B190,$B$129:$B$146,0))*INDEX('Resource costs'!$C$121:$C$142, MATCH($B190, 'Resource costs'!$B$121:$B$142,0))</f>
        <v>0</v>
      </c>
      <c r="G190" s="90">
        <f>INDEX(G$129:G$146,MATCH($B190,$B$129:$B$146,0))*INDEX('Resource costs'!$C$121:$C$142, MATCH($B190, 'Resource costs'!$B$121:$B$142,0))</f>
        <v>0</v>
      </c>
      <c r="H190" s="90">
        <f>INDEX(H$129:H$146,MATCH($B190,$B$129:$B$146,0))*INDEX('Resource costs'!$C$121:$C$142, MATCH($B190, 'Resource costs'!$B$121:$B$142,0))</f>
        <v>0</v>
      </c>
      <c r="I190" s="90">
        <f>INDEX(I$129:I$146,MATCH($B190,$B$129:$B$146,0))*INDEX('Resource costs'!$C$121:$C$142, MATCH($B190, 'Resource costs'!$B$121:$B$142,0))</f>
        <v>0</v>
      </c>
      <c r="J190" s="90">
        <f>INDEX(J$129:J$146,MATCH($B190,$B$129:$B$146,0))*INDEX('Resource costs'!$C$121:$C$142, MATCH($B190, 'Resource costs'!$B$121:$B$142,0))</f>
        <v>0</v>
      </c>
      <c r="K190" s="90">
        <f>INDEX(K$129:K$146,MATCH($B190,$B$129:$B$146,0))*INDEX('Resource costs'!$C$121:$C$142, MATCH($B190, 'Resource costs'!$B$121:$B$142,0))</f>
        <v>0</v>
      </c>
      <c r="L190" s="90">
        <f>INDEX(L$129:L$146,MATCH($B190,$B$129:$B$146,0))*INDEX('Resource costs'!$C$121:$C$142, MATCH($B190, 'Resource costs'!$B$121:$B$142,0))</f>
        <v>0</v>
      </c>
      <c r="M190" s="90">
        <f>INDEX(M$129:M$146,MATCH($B190,$B$129:$B$146,0))*INDEX('Resource costs'!$C$121:$C$142, MATCH($B190, 'Resource costs'!$B$121:$B$142,0))</f>
        <v>0</v>
      </c>
      <c r="N190" s="90">
        <f>INDEX(N$129:N$146,MATCH($B190,$B$129:$B$146,0))*INDEX('Resource costs'!$C$121:$C$142, MATCH($B190, 'Resource costs'!$B$121:$B$142,0))</f>
        <v>0</v>
      </c>
      <c r="O190" s="90">
        <f>INDEX(O$129:O$146,MATCH($B190,$B$129:$B$146,0))*INDEX('Resource costs'!$C$121:$C$142, MATCH($B190, 'Resource costs'!$B$121:$B$142,0))</f>
        <v>0</v>
      </c>
      <c r="P190" s="90">
        <f>INDEX(P$129:P$146,MATCH($B190,$B$129:$B$146,0))*INDEX('Resource costs'!$C$121:$C$142, MATCH($B190, 'Resource costs'!$B$121:$B$142,0))</f>
        <v>0</v>
      </c>
      <c r="Q190" s="90">
        <f>INDEX(Q$129:Q$146,MATCH($B190,$B$129:$B$146,0))*INDEX('Resource costs'!$C$121:$C$142, MATCH($B190, 'Resource costs'!$B$121:$B$142,0))</f>
        <v>0</v>
      </c>
      <c r="R190" s="90">
        <f>INDEX(R$129:R$146,MATCH($B190,$B$129:$B$146,0))*INDEX('Resource costs'!$C$121:$C$142, MATCH($B190, 'Resource costs'!$B$121:$B$142,0))</f>
        <v>0</v>
      </c>
      <c r="S190" s="90">
        <f>INDEX(S$129:S$146,MATCH($B190,$B$129:$B$146,0))*INDEX('Resource costs'!$C$121:$C$142, MATCH($B190, 'Resource costs'!$B$121:$B$142,0))</f>
        <v>0</v>
      </c>
      <c r="T190" s="90">
        <f>INDEX(T$129:T$146,MATCH($B190,$B$129:$B$146,0))*INDEX('Resource costs'!$C$121:$C$142, MATCH($B190, 'Resource costs'!$B$121:$B$142,0))</f>
        <v>0</v>
      </c>
      <c r="U190" s="90">
        <f>INDEX(U$129:U$146,MATCH($B190,$B$129:$B$146,0))*INDEX('Resource costs'!$C$121:$C$142, MATCH($B190, 'Resource costs'!$B$121:$B$142,0))</f>
        <v>0</v>
      </c>
      <c r="V190" s="90">
        <f>INDEX(V$129:V$146,MATCH($B190,$B$129:$B$146,0))*INDEX('Resource costs'!$C$121:$C$142, MATCH($B190, 'Resource costs'!$B$121:$B$142,0))</f>
        <v>0</v>
      </c>
      <c r="W190" s="90">
        <f>INDEX(W$129:W$146,MATCH($B190,$B$129:$B$146,0))*INDEX('Resource costs'!$C$121:$C$142, MATCH($B190, 'Resource costs'!$B$121:$B$142,0))</f>
        <v>0</v>
      </c>
      <c r="X190" s="90">
        <f>INDEX(X$129:X$146,MATCH($B190,$B$129:$B$146,0))*INDEX('Resource costs'!$C$121:$C$142, MATCH($B190, 'Resource costs'!$B$121:$B$142,0))</f>
        <v>0</v>
      </c>
      <c r="Y190" s="90">
        <f>INDEX(Y$129:Y$146,MATCH($B190,$B$129:$B$146,0))*INDEX('Resource costs'!$C$121:$C$142, MATCH($B190, 'Resource costs'!$B$121:$B$142,0))</f>
        <v>0</v>
      </c>
      <c r="Z190" s="90">
        <f>INDEX(Z$129:Z$146,MATCH($B190,$B$129:$B$146,0))*INDEX('Resource costs'!$C$121:$C$142, MATCH($B190, 'Resource costs'!$B$121:$B$142,0))</f>
        <v>0</v>
      </c>
      <c r="AA190" s="90">
        <f>INDEX(AA$129:AA$146,MATCH($B190,$B$129:$B$146,0))*INDEX('Resource costs'!$C$121:$C$142, MATCH($B190, 'Resource costs'!$B$121:$B$142,0))</f>
        <v>0</v>
      </c>
      <c r="AB190" s="90">
        <f>INDEX(AB$129:AB$146,MATCH($B190,$B$129:$B$146,0))*INDEX('Resource costs'!$C$121:$C$142, MATCH($B190, 'Resource costs'!$B$121:$B$142,0))</f>
        <v>0</v>
      </c>
      <c r="AC190" s="90">
        <f>INDEX(AC$129:AC$146,MATCH($B190,$B$129:$B$146,0))*INDEX('Resource costs'!$C$121:$C$142, MATCH($B190, 'Resource costs'!$B$121:$B$142,0))</f>
        <v>0</v>
      </c>
      <c r="AD190" s="90">
        <f>INDEX(AD$129:AD$146,MATCH($B190,$B$129:$B$146,0))*INDEX('Resource costs'!$C$121:$C$142, MATCH($B190, 'Resource costs'!$B$121:$B$142,0))</f>
        <v>0</v>
      </c>
      <c r="AE190" s="90">
        <f>INDEX(AE$129:AE$146,MATCH($B190,$B$129:$B$146,0))*INDEX('Resource costs'!$C$121:$C$142, MATCH($B190, 'Resource costs'!$B$121:$B$142,0))</f>
        <v>0</v>
      </c>
      <c r="AF190" s="90">
        <f>INDEX(AF$129:AF$146,MATCH($B190,$B$129:$B$146,0))*INDEX('Resource costs'!$C$121:$C$142, MATCH($B190, 'Resource costs'!$B$121:$B$142,0))</f>
        <v>0</v>
      </c>
      <c r="AG190" s="90">
        <f>INDEX(AG$129:AG$146,MATCH($B190,$B$129:$B$146,0))*INDEX('Resource costs'!$C$121:$C$142, MATCH($B190, 'Resource costs'!$B$121:$B$142,0))</f>
        <v>0</v>
      </c>
      <c r="AH190" s="90">
        <f>INDEX(AH$129:AH$146,MATCH($B190,$B$129:$B$146,0))*INDEX('Resource costs'!$C$121:$C$142, MATCH($B190, 'Resource costs'!$B$121:$B$142,0))</f>
        <v>0</v>
      </c>
      <c r="AI190" s="90">
        <f>INDEX(AI$129:AI$146,MATCH($B190,$B$129:$B$146,0))*INDEX('Resource costs'!$C$121:$C$142, MATCH($B190, 'Resource costs'!$B$121:$B$142,0))</f>
        <v>0</v>
      </c>
      <c r="AJ190" s="90">
        <f>INDEX(AJ$129:AJ$146,MATCH($B190,$B$129:$B$146,0))*INDEX('Resource costs'!$C$121:$C$142, MATCH($B190, 'Resource costs'!$B$121:$B$142,0))</f>
        <v>0</v>
      </c>
      <c r="AK190" s="90">
        <f>INDEX(AK$129:AK$146,MATCH($B190,$B$129:$B$146,0))*INDEX('Resource costs'!$C$121:$C$142, MATCH($B190, 'Resource costs'!$B$121:$B$142,0))</f>
        <v>0</v>
      </c>
      <c r="AL190" s="90">
        <f>INDEX(AL$129:AL$146,MATCH($B190,$B$129:$B$146,0))*INDEX('Resource costs'!$C$121:$C$142, MATCH($B190, 'Resource costs'!$B$121:$B$142,0))</f>
        <v>0</v>
      </c>
      <c r="AM190" s="90">
        <f>INDEX(AM$129:AM$146,MATCH($B190,$B$129:$B$146,0))*INDEX('Resource costs'!$C$121:$C$142, MATCH($B190, 'Resource costs'!$B$121:$B$142,0))</f>
        <v>0</v>
      </c>
      <c r="AN190" s="90">
        <f>INDEX(AN$129:AN$146,MATCH($B190,$B$129:$B$146,0))*INDEX('Resource costs'!$C$121:$C$142, MATCH($B190, 'Resource costs'!$B$121:$B$142,0))</f>
        <v>0</v>
      </c>
      <c r="AO190" s="90">
        <f>INDEX(AO$129:AO$146,MATCH($B190,$B$129:$B$146,0))*INDEX('Resource costs'!$C$121:$C$142, MATCH($B190, 'Resource costs'!$B$121:$B$142,0))</f>
        <v>0</v>
      </c>
      <c r="AP190" s="90">
        <f>INDEX(AP$129:AP$146,MATCH($B190,$B$129:$B$146,0))*INDEX('Resource costs'!$C$121:$C$142, MATCH($B190, 'Resource costs'!$B$121:$B$142,0))</f>
        <v>0</v>
      </c>
      <c r="AQ190" s="90">
        <f>INDEX(AQ$129:AQ$146,MATCH($B190,$B$129:$B$146,0))*INDEX('Resource costs'!$C$121:$C$142, MATCH($B190, 'Resource costs'!$B$121:$B$142,0))</f>
        <v>0</v>
      </c>
      <c r="AR190" s="90">
        <f>INDEX(AR$129:AR$146,MATCH($B190,$B$129:$B$146,0))*INDEX('Resource costs'!$C$121:$C$142, MATCH($B190, 'Resource costs'!$B$121:$B$142,0))</f>
        <v>0</v>
      </c>
      <c r="AS190" s="90">
        <f>INDEX(AS$129:AS$146,MATCH($B190,$B$129:$B$146,0))*INDEX('Resource costs'!$C$121:$C$142, MATCH($B190, 'Resource costs'!$B$121:$B$142,0))</f>
        <v>0</v>
      </c>
      <c r="AT190" s="90">
        <f>INDEX(AT$129:AT$146,MATCH($B190,$B$129:$B$146,0))*INDEX('Resource costs'!$C$121:$C$142, MATCH($B190, 'Resource costs'!$B$121:$B$142,0))</f>
        <v>0</v>
      </c>
      <c r="AU190" s="90">
        <f>INDEX(AU$129:AU$146,MATCH($B190,$B$129:$B$146,0))*INDEX('Resource costs'!$C$121:$C$142, MATCH($B190, 'Resource costs'!$B$121:$B$142,0))</f>
        <v>0</v>
      </c>
      <c r="AV190" s="90">
        <f>INDEX(AV$129:AV$146,MATCH($B190,$B$129:$B$146,0))*INDEX('Resource costs'!$C$121:$C$142, MATCH($B190, 'Resource costs'!$B$121:$B$142,0))</f>
        <v>0</v>
      </c>
      <c r="AW190" s="90">
        <f>INDEX(AW$129:AW$146,MATCH($B190,$B$129:$B$146,0))*INDEX('Resource costs'!$C$121:$C$142, MATCH($B190, 'Resource costs'!$B$121:$B$142,0))</f>
        <v>0</v>
      </c>
      <c r="AX190" s="90">
        <f>INDEX(AX$129:AX$146,MATCH($B190,$B$129:$B$146,0))*INDEX('Resource costs'!$C$121:$C$142, MATCH($B190, 'Resource costs'!$B$121:$B$142,0))</f>
        <v>0</v>
      </c>
      <c r="AY190" s="90">
        <f>INDEX(AY$129:AY$146,MATCH($B190,$B$129:$B$146,0))*INDEX('Resource costs'!$C$121:$C$142, MATCH($B190, 'Resource costs'!$B$121:$B$142,0))</f>
        <v>0</v>
      </c>
      <c r="AZ190" s="90">
        <f>INDEX(AZ$129:AZ$146,MATCH($B190,$B$129:$B$146,0))*INDEX('Resource costs'!$C$121:$C$142, MATCH($B190, 'Resource costs'!$B$121:$B$142,0))</f>
        <v>0</v>
      </c>
      <c r="BA190" s="90">
        <f>INDEX(BA$129:BA$146,MATCH($B190,$B$129:$B$146,0))*INDEX('Resource costs'!$C$121:$C$142, MATCH($B190, 'Resource costs'!$B$121:$B$142,0))</f>
        <v>0</v>
      </c>
      <c r="BB190" s="90">
        <f>INDEX(BB$129:BB$146,MATCH($B190,$B$129:$B$146,0))*INDEX('Resource costs'!$C$121:$C$142, MATCH($B190, 'Resource costs'!$B$121:$B$142,0))</f>
        <v>0</v>
      </c>
    </row>
    <row r="191" spans="2:54">
      <c r="B191" s="6" t="s">
        <v>102</v>
      </c>
      <c r="C191" s="52"/>
      <c r="D191" s="90">
        <f>INDEX(D$129:D$146,MATCH($B191,$B$129:$B$146,0))*INDEX('Resource costs'!$C$121:$C$142, MATCH($B191, 'Resource costs'!$B$121:$B$142,0))</f>
        <v>0</v>
      </c>
      <c r="E191" s="90">
        <f>INDEX(E$129:E$146,MATCH($B191,$B$129:$B$146,0))*INDEX('Resource costs'!$C$121:$C$142, MATCH($B191, 'Resource costs'!$B$121:$B$142,0))</f>
        <v>0</v>
      </c>
      <c r="F191" s="90">
        <f>INDEX(F$129:F$146,MATCH($B191,$B$129:$B$146,0))*INDEX('Resource costs'!$C$121:$C$142, MATCH($B191, 'Resource costs'!$B$121:$B$142,0))</f>
        <v>0</v>
      </c>
      <c r="G191" s="90">
        <f>INDEX(G$129:G$146,MATCH($B191,$B$129:$B$146,0))*INDEX('Resource costs'!$C$121:$C$142, MATCH($B191, 'Resource costs'!$B$121:$B$142,0))</f>
        <v>0</v>
      </c>
      <c r="H191" s="90">
        <f>INDEX(H$129:H$146,MATCH($B191,$B$129:$B$146,0))*INDEX('Resource costs'!$C$121:$C$142, MATCH($B191, 'Resource costs'!$B$121:$B$142,0))</f>
        <v>0</v>
      </c>
      <c r="I191" s="90">
        <f>INDEX(I$129:I$146,MATCH($B191,$B$129:$B$146,0))*INDEX('Resource costs'!$C$121:$C$142, MATCH($B191, 'Resource costs'!$B$121:$B$142,0))</f>
        <v>0</v>
      </c>
      <c r="J191" s="90">
        <f>INDEX(J$129:J$146,MATCH($B191,$B$129:$B$146,0))*INDEX('Resource costs'!$C$121:$C$142, MATCH($B191, 'Resource costs'!$B$121:$B$142,0))</f>
        <v>0</v>
      </c>
      <c r="K191" s="90">
        <f>INDEX(K$129:K$146,MATCH($B191,$B$129:$B$146,0))*INDEX('Resource costs'!$C$121:$C$142, MATCH($B191, 'Resource costs'!$B$121:$B$142,0))</f>
        <v>0</v>
      </c>
      <c r="L191" s="90">
        <f>INDEX(L$129:L$146,MATCH($B191,$B$129:$B$146,0))*INDEX('Resource costs'!$C$121:$C$142, MATCH($B191, 'Resource costs'!$B$121:$B$142,0))</f>
        <v>0</v>
      </c>
      <c r="M191" s="90">
        <f>INDEX(M$129:M$146,MATCH($B191,$B$129:$B$146,0))*INDEX('Resource costs'!$C$121:$C$142, MATCH($B191, 'Resource costs'!$B$121:$B$142,0))</f>
        <v>0</v>
      </c>
      <c r="N191" s="90">
        <f>INDEX(N$129:N$146,MATCH($B191,$B$129:$B$146,0))*INDEX('Resource costs'!$C$121:$C$142, MATCH($B191, 'Resource costs'!$B$121:$B$142,0))</f>
        <v>0</v>
      </c>
      <c r="O191" s="90">
        <f>INDEX(O$129:O$146,MATCH($B191,$B$129:$B$146,0))*INDEX('Resource costs'!$C$121:$C$142, MATCH($B191, 'Resource costs'!$B$121:$B$142,0))</f>
        <v>0</v>
      </c>
      <c r="P191" s="90">
        <f>INDEX(P$129:P$146,MATCH($B191,$B$129:$B$146,0))*INDEX('Resource costs'!$C$121:$C$142, MATCH($B191, 'Resource costs'!$B$121:$B$142,0))</f>
        <v>0</v>
      </c>
      <c r="Q191" s="90">
        <f>INDEX(Q$129:Q$146,MATCH($B191,$B$129:$B$146,0))*INDEX('Resource costs'!$C$121:$C$142, MATCH($B191, 'Resource costs'!$B$121:$B$142,0))</f>
        <v>0</v>
      </c>
      <c r="R191" s="90">
        <f>INDEX(R$129:R$146,MATCH($B191,$B$129:$B$146,0))*INDEX('Resource costs'!$C$121:$C$142, MATCH($B191, 'Resource costs'!$B$121:$B$142,0))</f>
        <v>0</v>
      </c>
      <c r="S191" s="90">
        <f>INDEX(S$129:S$146,MATCH($B191,$B$129:$B$146,0))*INDEX('Resource costs'!$C$121:$C$142, MATCH($B191, 'Resource costs'!$B$121:$B$142,0))</f>
        <v>0</v>
      </c>
      <c r="T191" s="90">
        <f>INDEX(T$129:T$146,MATCH($B191,$B$129:$B$146,0))*INDEX('Resource costs'!$C$121:$C$142, MATCH($B191, 'Resource costs'!$B$121:$B$142,0))</f>
        <v>0</v>
      </c>
      <c r="U191" s="90">
        <f>INDEX(U$129:U$146,MATCH($B191,$B$129:$B$146,0))*INDEX('Resource costs'!$C$121:$C$142, MATCH($B191, 'Resource costs'!$B$121:$B$142,0))</f>
        <v>0</v>
      </c>
      <c r="V191" s="90">
        <f>INDEX(V$129:V$146,MATCH($B191,$B$129:$B$146,0))*INDEX('Resource costs'!$C$121:$C$142, MATCH($B191, 'Resource costs'!$B$121:$B$142,0))</f>
        <v>0</v>
      </c>
      <c r="W191" s="90">
        <f>INDEX(W$129:W$146,MATCH($B191,$B$129:$B$146,0))*INDEX('Resource costs'!$C$121:$C$142, MATCH($B191, 'Resource costs'!$B$121:$B$142,0))</f>
        <v>0</v>
      </c>
      <c r="X191" s="90">
        <f>INDEX(X$129:X$146,MATCH($B191,$B$129:$B$146,0))*INDEX('Resource costs'!$C$121:$C$142, MATCH($B191, 'Resource costs'!$B$121:$B$142,0))</f>
        <v>0</v>
      </c>
      <c r="Y191" s="90">
        <f>INDEX(Y$129:Y$146,MATCH($B191,$B$129:$B$146,0))*INDEX('Resource costs'!$C$121:$C$142, MATCH($B191, 'Resource costs'!$B$121:$B$142,0))</f>
        <v>0</v>
      </c>
      <c r="Z191" s="90">
        <f>INDEX(Z$129:Z$146,MATCH($B191,$B$129:$B$146,0))*INDEX('Resource costs'!$C$121:$C$142, MATCH($B191, 'Resource costs'!$B$121:$B$142,0))</f>
        <v>0</v>
      </c>
      <c r="AA191" s="90">
        <f>INDEX(AA$129:AA$146,MATCH($B191,$B$129:$B$146,0))*INDEX('Resource costs'!$C$121:$C$142, MATCH($B191, 'Resource costs'!$B$121:$B$142,0))</f>
        <v>0</v>
      </c>
      <c r="AB191" s="90">
        <f>INDEX(AB$129:AB$146,MATCH($B191,$B$129:$B$146,0))*INDEX('Resource costs'!$C$121:$C$142, MATCH($B191, 'Resource costs'!$B$121:$B$142,0))</f>
        <v>0</v>
      </c>
      <c r="AC191" s="90">
        <f>INDEX(AC$129:AC$146,MATCH($B191,$B$129:$B$146,0))*INDEX('Resource costs'!$C$121:$C$142, MATCH($B191, 'Resource costs'!$B$121:$B$142,0))</f>
        <v>0</v>
      </c>
      <c r="AD191" s="90">
        <f>INDEX(AD$129:AD$146,MATCH($B191,$B$129:$B$146,0))*INDEX('Resource costs'!$C$121:$C$142, MATCH($B191, 'Resource costs'!$B$121:$B$142,0))</f>
        <v>0</v>
      </c>
      <c r="AE191" s="90">
        <f>INDEX(AE$129:AE$146,MATCH($B191,$B$129:$B$146,0))*INDEX('Resource costs'!$C$121:$C$142, MATCH($B191, 'Resource costs'!$B$121:$B$142,0))</f>
        <v>0</v>
      </c>
      <c r="AF191" s="90">
        <f>INDEX(AF$129:AF$146,MATCH($B191,$B$129:$B$146,0))*INDEX('Resource costs'!$C$121:$C$142, MATCH($B191, 'Resource costs'!$B$121:$B$142,0))</f>
        <v>0</v>
      </c>
      <c r="AG191" s="90">
        <f>INDEX(AG$129:AG$146,MATCH($B191,$B$129:$B$146,0))*INDEX('Resource costs'!$C$121:$C$142, MATCH($B191, 'Resource costs'!$B$121:$B$142,0))</f>
        <v>0</v>
      </c>
      <c r="AH191" s="90">
        <f>INDEX(AH$129:AH$146,MATCH($B191,$B$129:$B$146,0))*INDEX('Resource costs'!$C$121:$C$142, MATCH($B191, 'Resource costs'!$B$121:$B$142,0))</f>
        <v>0</v>
      </c>
      <c r="AI191" s="90">
        <f>INDEX(AI$129:AI$146,MATCH($B191,$B$129:$B$146,0))*INDEX('Resource costs'!$C$121:$C$142, MATCH($B191, 'Resource costs'!$B$121:$B$142,0))</f>
        <v>0</v>
      </c>
      <c r="AJ191" s="90">
        <f>INDEX(AJ$129:AJ$146,MATCH($B191,$B$129:$B$146,0))*INDEX('Resource costs'!$C$121:$C$142, MATCH($B191, 'Resource costs'!$B$121:$B$142,0))</f>
        <v>0</v>
      </c>
      <c r="AK191" s="90">
        <f>INDEX(AK$129:AK$146,MATCH($B191,$B$129:$B$146,0))*INDEX('Resource costs'!$C$121:$C$142, MATCH($B191, 'Resource costs'!$B$121:$B$142,0))</f>
        <v>0</v>
      </c>
      <c r="AL191" s="90">
        <f>INDEX(AL$129:AL$146,MATCH($B191,$B$129:$B$146,0))*INDEX('Resource costs'!$C$121:$C$142, MATCH($B191, 'Resource costs'!$B$121:$B$142,0))</f>
        <v>0</v>
      </c>
      <c r="AM191" s="90">
        <f>INDEX(AM$129:AM$146,MATCH($B191,$B$129:$B$146,0))*INDEX('Resource costs'!$C$121:$C$142, MATCH($B191, 'Resource costs'!$B$121:$B$142,0))</f>
        <v>0</v>
      </c>
      <c r="AN191" s="90">
        <f>INDEX(AN$129:AN$146,MATCH($B191,$B$129:$B$146,0))*INDEX('Resource costs'!$C$121:$C$142, MATCH($B191, 'Resource costs'!$B$121:$B$142,0))</f>
        <v>0</v>
      </c>
      <c r="AO191" s="90">
        <f>INDEX(AO$129:AO$146,MATCH($B191,$B$129:$B$146,0))*INDEX('Resource costs'!$C$121:$C$142, MATCH($B191, 'Resource costs'!$B$121:$B$142,0))</f>
        <v>0</v>
      </c>
      <c r="AP191" s="90">
        <f>INDEX(AP$129:AP$146,MATCH($B191,$B$129:$B$146,0))*INDEX('Resource costs'!$C$121:$C$142, MATCH($B191, 'Resource costs'!$B$121:$B$142,0))</f>
        <v>0</v>
      </c>
      <c r="AQ191" s="90">
        <f>INDEX(AQ$129:AQ$146,MATCH($B191,$B$129:$B$146,0))*INDEX('Resource costs'!$C$121:$C$142, MATCH($B191, 'Resource costs'!$B$121:$B$142,0))</f>
        <v>0</v>
      </c>
      <c r="AR191" s="90">
        <f>INDEX(AR$129:AR$146,MATCH($B191,$B$129:$B$146,0))*INDEX('Resource costs'!$C$121:$C$142, MATCH($B191, 'Resource costs'!$B$121:$B$142,0))</f>
        <v>0</v>
      </c>
      <c r="AS191" s="90">
        <f>INDEX(AS$129:AS$146,MATCH($B191,$B$129:$B$146,0))*INDEX('Resource costs'!$C$121:$C$142, MATCH($B191, 'Resource costs'!$B$121:$B$142,0))</f>
        <v>0</v>
      </c>
      <c r="AT191" s="90">
        <f>INDEX(AT$129:AT$146,MATCH($B191,$B$129:$B$146,0))*INDEX('Resource costs'!$C$121:$C$142, MATCH($B191, 'Resource costs'!$B$121:$B$142,0))</f>
        <v>0</v>
      </c>
      <c r="AU191" s="90">
        <f>INDEX(AU$129:AU$146,MATCH($B191,$B$129:$B$146,0))*INDEX('Resource costs'!$C$121:$C$142, MATCH($B191, 'Resource costs'!$B$121:$B$142,0))</f>
        <v>0</v>
      </c>
      <c r="AV191" s="90">
        <f>INDEX(AV$129:AV$146,MATCH($B191,$B$129:$B$146,0))*INDEX('Resource costs'!$C$121:$C$142, MATCH($B191, 'Resource costs'!$B$121:$B$142,0))</f>
        <v>0</v>
      </c>
      <c r="AW191" s="90">
        <f>INDEX(AW$129:AW$146,MATCH($B191,$B$129:$B$146,0))*INDEX('Resource costs'!$C$121:$C$142, MATCH($B191, 'Resource costs'!$B$121:$B$142,0))</f>
        <v>0</v>
      </c>
      <c r="AX191" s="90">
        <f>INDEX(AX$129:AX$146,MATCH($B191,$B$129:$B$146,0))*INDEX('Resource costs'!$C$121:$C$142, MATCH($B191, 'Resource costs'!$B$121:$B$142,0))</f>
        <v>0</v>
      </c>
      <c r="AY191" s="90">
        <f>INDEX(AY$129:AY$146,MATCH($B191,$B$129:$B$146,0))*INDEX('Resource costs'!$C$121:$C$142, MATCH($B191, 'Resource costs'!$B$121:$B$142,0))</f>
        <v>0</v>
      </c>
      <c r="AZ191" s="90">
        <f>INDEX(AZ$129:AZ$146,MATCH($B191,$B$129:$B$146,0))*INDEX('Resource costs'!$C$121:$C$142, MATCH($B191, 'Resource costs'!$B$121:$B$142,0))</f>
        <v>0</v>
      </c>
      <c r="BA191" s="90">
        <f>INDEX(BA$129:BA$146,MATCH($B191,$B$129:$B$146,0))*INDEX('Resource costs'!$C$121:$C$142, MATCH($B191, 'Resource costs'!$B$121:$B$142,0))</f>
        <v>0</v>
      </c>
      <c r="BB191" s="90">
        <f>INDEX(BB$129:BB$146,MATCH($B191,$B$129:$B$146,0))*INDEX('Resource costs'!$C$121:$C$142, MATCH($B191, 'Resource costs'!$B$121:$B$142,0))</f>
        <v>0</v>
      </c>
    </row>
    <row r="192" spans="2:54">
      <c r="B192" s="6" t="s">
        <v>2831</v>
      </c>
      <c r="D192" s="90">
        <f>INDEX(D$129:D$146,MATCH($B192,$B$129:$B$146,0))*INDEX('Resource costs'!$C$121:$C$142, MATCH($B192, 'Resource costs'!$B$121:$B$142,0))</f>
        <v>0</v>
      </c>
      <c r="E192" s="90">
        <f>INDEX(E$129:E$146,MATCH($B192,$B$129:$B$146,0))*INDEX('Resource costs'!$C$121:$C$142, MATCH($B192, 'Resource costs'!$B$121:$B$142,0))</f>
        <v>0</v>
      </c>
      <c r="F192" s="90">
        <f>INDEX(F$129:F$146,MATCH($B192,$B$129:$B$146,0))*INDEX('Resource costs'!$C$121:$C$142, MATCH($B192, 'Resource costs'!$B$121:$B$142,0))</f>
        <v>0</v>
      </c>
      <c r="G192" s="90">
        <f>INDEX(G$129:G$146,MATCH($B192,$B$129:$B$146,0))*INDEX('Resource costs'!$C$121:$C$142, MATCH($B192, 'Resource costs'!$B$121:$B$142,0))</f>
        <v>0</v>
      </c>
      <c r="H192" s="90">
        <f>INDEX(H$129:H$146,MATCH($B192,$B$129:$B$146,0))*INDEX('Resource costs'!$C$121:$C$142, MATCH($B192, 'Resource costs'!$B$121:$B$142,0))</f>
        <v>0</v>
      </c>
      <c r="I192" s="90">
        <f>INDEX(I$129:I$146,MATCH($B192,$B$129:$B$146,0))*INDEX('Resource costs'!$C$121:$C$142, MATCH($B192, 'Resource costs'!$B$121:$B$142,0))</f>
        <v>0</v>
      </c>
      <c r="J192" s="90">
        <f>INDEX(J$129:J$146,MATCH($B192,$B$129:$B$146,0))*INDEX('Resource costs'!$C$121:$C$142, MATCH($B192, 'Resource costs'!$B$121:$B$142,0))</f>
        <v>0</v>
      </c>
      <c r="K192" s="90">
        <f>INDEX(K$129:K$146,MATCH($B192,$B$129:$B$146,0))*INDEX('Resource costs'!$C$121:$C$142, MATCH($B192, 'Resource costs'!$B$121:$B$142,0))</f>
        <v>0</v>
      </c>
      <c r="L192" s="90">
        <f>INDEX(L$129:L$146,MATCH($B192,$B$129:$B$146,0))*INDEX('Resource costs'!$C$121:$C$142, MATCH($B192, 'Resource costs'!$B$121:$B$142,0))</f>
        <v>0</v>
      </c>
      <c r="M192" s="90">
        <f>INDEX(M$129:M$146,MATCH($B192,$B$129:$B$146,0))*INDEX('Resource costs'!$C$121:$C$142, MATCH($B192, 'Resource costs'!$B$121:$B$142,0))</f>
        <v>0</v>
      </c>
      <c r="N192" s="90">
        <f>INDEX(N$129:N$146,MATCH($B192,$B$129:$B$146,0))*INDEX('Resource costs'!$C$121:$C$142, MATCH($B192, 'Resource costs'!$B$121:$B$142,0))</f>
        <v>0</v>
      </c>
      <c r="O192" s="90">
        <f>INDEX(O$129:O$146,MATCH($B192,$B$129:$B$146,0))*INDEX('Resource costs'!$C$121:$C$142, MATCH($B192, 'Resource costs'!$B$121:$B$142,0))</f>
        <v>0</v>
      </c>
      <c r="P192" s="90">
        <f>INDEX(P$129:P$146,MATCH($B192,$B$129:$B$146,0))*INDEX('Resource costs'!$C$121:$C$142, MATCH($B192, 'Resource costs'!$B$121:$B$142,0))</f>
        <v>0</v>
      </c>
      <c r="Q192" s="90">
        <f>INDEX(Q$129:Q$146,MATCH($B192,$B$129:$B$146,0))*INDEX('Resource costs'!$C$121:$C$142, MATCH($B192, 'Resource costs'!$B$121:$B$142,0))</f>
        <v>0</v>
      </c>
      <c r="R192" s="90">
        <f>INDEX(R$129:R$146,MATCH($B192,$B$129:$B$146,0))*INDEX('Resource costs'!$C$121:$C$142, MATCH($B192, 'Resource costs'!$B$121:$B$142,0))</f>
        <v>0</v>
      </c>
      <c r="S192" s="90">
        <f>INDEX(S$129:S$146,MATCH($B192,$B$129:$B$146,0))*INDEX('Resource costs'!$C$121:$C$142, MATCH($B192, 'Resource costs'!$B$121:$B$142,0))</f>
        <v>0</v>
      </c>
      <c r="T192" s="90">
        <f>INDEX(T$129:T$146,MATCH($B192,$B$129:$B$146,0))*INDEX('Resource costs'!$C$121:$C$142, MATCH($B192, 'Resource costs'!$B$121:$B$142,0))</f>
        <v>0</v>
      </c>
      <c r="U192" s="90">
        <f>INDEX(U$129:U$146,MATCH($B192,$B$129:$B$146,0))*INDEX('Resource costs'!$C$121:$C$142, MATCH($B192, 'Resource costs'!$B$121:$B$142,0))</f>
        <v>0</v>
      </c>
      <c r="V192" s="90">
        <f>INDEX(V$129:V$146,MATCH($B192,$B$129:$B$146,0))*INDEX('Resource costs'!$C$121:$C$142, MATCH($B192, 'Resource costs'!$B$121:$B$142,0))</f>
        <v>0</v>
      </c>
      <c r="W192" s="90">
        <f>INDEX(W$129:W$146,MATCH($B192,$B$129:$B$146,0))*INDEX('Resource costs'!$C$121:$C$142, MATCH($B192, 'Resource costs'!$B$121:$B$142,0))</f>
        <v>0</v>
      </c>
      <c r="X192" s="90">
        <f>INDEX(X$129:X$146,MATCH($B192,$B$129:$B$146,0))*INDEX('Resource costs'!$C$121:$C$142, MATCH($B192, 'Resource costs'!$B$121:$B$142,0))</f>
        <v>0</v>
      </c>
      <c r="Y192" s="90">
        <f>INDEX(Y$129:Y$146,MATCH($B192,$B$129:$B$146,0))*INDEX('Resource costs'!$C$121:$C$142, MATCH($B192, 'Resource costs'!$B$121:$B$142,0))</f>
        <v>0</v>
      </c>
      <c r="Z192" s="90">
        <f>INDEX(Z$129:Z$146,MATCH($B192,$B$129:$B$146,0))*INDEX('Resource costs'!$C$121:$C$142, MATCH($B192, 'Resource costs'!$B$121:$B$142,0))</f>
        <v>0</v>
      </c>
      <c r="AA192" s="90">
        <f>INDEX(AA$129:AA$146,MATCH($B192,$B$129:$B$146,0))*INDEX('Resource costs'!$C$121:$C$142, MATCH($B192, 'Resource costs'!$B$121:$B$142,0))</f>
        <v>0</v>
      </c>
      <c r="AB192" s="90">
        <f>INDEX(AB$129:AB$146,MATCH($B192,$B$129:$B$146,0))*INDEX('Resource costs'!$C$121:$C$142, MATCH($B192, 'Resource costs'!$B$121:$B$142,0))</f>
        <v>0</v>
      </c>
      <c r="AC192" s="90">
        <f>INDEX(AC$129:AC$146,MATCH($B192,$B$129:$B$146,0))*INDEX('Resource costs'!$C$121:$C$142, MATCH($B192, 'Resource costs'!$B$121:$B$142,0))</f>
        <v>0</v>
      </c>
      <c r="AD192" s="90">
        <f>INDEX(AD$129:AD$146,MATCH($B192,$B$129:$B$146,0))*INDEX('Resource costs'!$C$121:$C$142, MATCH($B192, 'Resource costs'!$B$121:$B$142,0))</f>
        <v>0</v>
      </c>
      <c r="AE192" s="90">
        <f>INDEX(AE$129:AE$146,MATCH($B192,$B$129:$B$146,0))*INDEX('Resource costs'!$C$121:$C$142, MATCH($B192, 'Resource costs'!$B$121:$B$142,0))</f>
        <v>0</v>
      </c>
      <c r="AF192" s="90">
        <f>INDEX(AF$129:AF$146,MATCH($B192,$B$129:$B$146,0))*INDEX('Resource costs'!$C$121:$C$142, MATCH($B192, 'Resource costs'!$B$121:$B$142,0))</f>
        <v>0</v>
      </c>
      <c r="AG192" s="90">
        <f>INDEX(AG$129:AG$146,MATCH($B192,$B$129:$B$146,0))*INDEX('Resource costs'!$C$121:$C$142, MATCH($B192, 'Resource costs'!$B$121:$B$142,0))</f>
        <v>0</v>
      </c>
      <c r="AH192" s="90">
        <f>INDEX(AH$129:AH$146,MATCH($B192,$B$129:$B$146,0))*INDEX('Resource costs'!$C$121:$C$142, MATCH($B192, 'Resource costs'!$B$121:$B$142,0))</f>
        <v>0</v>
      </c>
      <c r="AI192" s="90">
        <f>INDEX(AI$129:AI$146,MATCH($B192,$B$129:$B$146,0))*INDEX('Resource costs'!$C$121:$C$142, MATCH($B192, 'Resource costs'!$B$121:$B$142,0))</f>
        <v>0</v>
      </c>
      <c r="AJ192" s="90">
        <f>INDEX(AJ$129:AJ$146,MATCH($B192,$B$129:$B$146,0))*INDEX('Resource costs'!$C$121:$C$142, MATCH($B192, 'Resource costs'!$B$121:$B$142,0))</f>
        <v>0</v>
      </c>
      <c r="AK192" s="90">
        <f>INDEX(AK$129:AK$146,MATCH($B192,$B$129:$B$146,0))*INDEX('Resource costs'!$C$121:$C$142, MATCH($B192, 'Resource costs'!$B$121:$B$142,0))</f>
        <v>0</v>
      </c>
      <c r="AL192" s="90">
        <f>INDEX(AL$129:AL$146,MATCH($B192,$B$129:$B$146,0))*INDEX('Resource costs'!$C$121:$C$142, MATCH($B192, 'Resource costs'!$B$121:$B$142,0))</f>
        <v>0</v>
      </c>
      <c r="AM192" s="90">
        <f>INDEX(AM$129:AM$146,MATCH($B192,$B$129:$B$146,0))*INDEX('Resource costs'!$C$121:$C$142, MATCH($B192, 'Resource costs'!$B$121:$B$142,0))</f>
        <v>0</v>
      </c>
      <c r="AN192" s="90">
        <f>INDEX(AN$129:AN$146,MATCH($B192,$B$129:$B$146,0))*INDEX('Resource costs'!$C$121:$C$142, MATCH($B192, 'Resource costs'!$B$121:$B$142,0))</f>
        <v>0</v>
      </c>
      <c r="AO192" s="90">
        <f>INDEX(AO$129:AO$146,MATCH($B192,$B$129:$B$146,0))*INDEX('Resource costs'!$C$121:$C$142, MATCH($B192, 'Resource costs'!$B$121:$B$142,0))</f>
        <v>0</v>
      </c>
      <c r="AP192" s="90">
        <f>INDEX(AP$129:AP$146,MATCH($B192,$B$129:$B$146,0))*INDEX('Resource costs'!$C$121:$C$142, MATCH($B192, 'Resource costs'!$B$121:$B$142,0))</f>
        <v>0</v>
      </c>
      <c r="AQ192" s="90">
        <f>INDEX(AQ$129:AQ$146,MATCH($B192,$B$129:$B$146,0))*INDEX('Resource costs'!$C$121:$C$142, MATCH($B192, 'Resource costs'!$B$121:$B$142,0))</f>
        <v>0</v>
      </c>
      <c r="AR192" s="90">
        <f>INDEX(AR$129:AR$146,MATCH($B192,$B$129:$B$146,0))*INDEX('Resource costs'!$C$121:$C$142, MATCH($B192, 'Resource costs'!$B$121:$B$142,0))</f>
        <v>0</v>
      </c>
      <c r="AS192" s="90">
        <f>INDEX(AS$129:AS$146,MATCH($B192,$B$129:$B$146,0))*INDEX('Resource costs'!$C$121:$C$142, MATCH($B192, 'Resource costs'!$B$121:$B$142,0))</f>
        <v>0</v>
      </c>
      <c r="AT192" s="90">
        <f>INDEX(AT$129:AT$146,MATCH($B192,$B$129:$B$146,0))*INDEX('Resource costs'!$C$121:$C$142, MATCH($B192, 'Resource costs'!$B$121:$B$142,0))</f>
        <v>0</v>
      </c>
      <c r="AU192" s="90">
        <f>INDEX(AU$129:AU$146,MATCH($B192,$B$129:$B$146,0))*INDEX('Resource costs'!$C$121:$C$142, MATCH($B192, 'Resource costs'!$B$121:$B$142,0))</f>
        <v>0</v>
      </c>
      <c r="AV192" s="90">
        <f>INDEX(AV$129:AV$146,MATCH($B192,$B$129:$B$146,0))*INDEX('Resource costs'!$C$121:$C$142, MATCH($B192, 'Resource costs'!$B$121:$B$142,0))</f>
        <v>0</v>
      </c>
      <c r="AW192" s="90">
        <f>INDEX(AW$129:AW$146,MATCH($B192,$B$129:$B$146,0))*INDEX('Resource costs'!$C$121:$C$142, MATCH($B192, 'Resource costs'!$B$121:$B$142,0))</f>
        <v>0</v>
      </c>
      <c r="AX192" s="90">
        <f>INDEX(AX$129:AX$146,MATCH($B192,$B$129:$B$146,0))*INDEX('Resource costs'!$C$121:$C$142, MATCH($B192, 'Resource costs'!$B$121:$B$142,0))</f>
        <v>0</v>
      </c>
      <c r="AY192" s="90">
        <f>INDEX(AY$129:AY$146,MATCH($B192,$B$129:$B$146,0))*INDEX('Resource costs'!$C$121:$C$142, MATCH($B192, 'Resource costs'!$B$121:$B$142,0))</f>
        <v>0</v>
      </c>
      <c r="AZ192" s="90">
        <f>INDEX(AZ$129:AZ$146,MATCH($B192,$B$129:$B$146,0))*INDEX('Resource costs'!$C$121:$C$142, MATCH($B192, 'Resource costs'!$B$121:$B$142,0))</f>
        <v>0</v>
      </c>
      <c r="BA192" s="90">
        <f>INDEX(BA$129:BA$146,MATCH($B192,$B$129:$B$146,0))*INDEX('Resource costs'!$C$121:$C$142, MATCH($B192, 'Resource costs'!$B$121:$B$142,0))</f>
        <v>0</v>
      </c>
      <c r="BB192" s="90">
        <f>INDEX(BB$129:BB$146,MATCH($B192,$B$129:$B$146,0))*INDEX('Resource costs'!$C$121:$C$142, MATCH($B192, 'Resource costs'!$B$121:$B$142,0))</f>
        <v>0</v>
      </c>
    </row>
    <row r="193" spans="2:54" s="97" customFormat="1">
      <c r="B193" s="6" t="s">
        <v>2832</v>
      </c>
      <c r="C193" s="315"/>
      <c r="D193" s="90">
        <f>INDEX(D$129:D$146,MATCH($B193,$B$129:$B$146,0))*INDEX('Resource costs'!$C$121:$C$142, MATCH($B193, 'Resource costs'!$B$121:$B$142,0))</f>
        <v>0</v>
      </c>
      <c r="E193" s="90">
        <f>INDEX(E$129:E$146,MATCH($B193,$B$129:$B$146,0))*INDEX('Resource costs'!$C$121:$C$142, MATCH($B193, 'Resource costs'!$B$121:$B$142,0))</f>
        <v>0</v>
      </c>
      <c r="F193" s="90">
        <f>INDEX(F$129:F$146,MATCH($B193,$B$129:$B$146,0))*INDEX('Resource costs'!$C$121:$C$142, MATCH($B193, 'Resource costs'!$B$121:$B$142,0))</f>
        <v>0</v>
      </c>
      <c r="G193" s="90">
        <f>INDEX(G$129:G$146,MATCH($B193,$B$129:$B$146,0))*INDEX('Resource costs'!$C$121:$C$142, MATCH($B193, 'Resource costs'!$B$121:$B$142,0))</f>
        <v>0</v>
      </c>
      <c r="H193" s="90">
        <f>INDEX(H$129:H$146,MATCH($B193,$B$129:$B$146,0))*INDEX('Resource costs'!$C$121:$C$142, MATCH($B193, 'Resource costs'!$B$121:$B$142,0))</f>
        <v>0</v>
      </c>
      <c r="I193" s="90">
        <f>INDEX(I$129:I$146,MATCH($B193,$B$129:$B$146,0))*INDEX('Resource costs'!$C$121:$C$142, MATCH($B193, 'Resource costs'!$B$121:$B$142,0))</f>
        <v>0</v>
      </c>
      <c r="J193" s="90">
        <f>INDEX(J$129:J$146,MATCH($B193,$B$129:$B$146,0))*INDEX('Resource costs'!$C$121:$C$142, MATCH($B193, 'Resource costs'!$B$121:$B$142,0))</f>
        <v>0</v>
      </c>
      <c r="K193" s="90">
        <f>INDEX(K$129:K$146,MATCH($B193,$B$129:$B$146,0))*INDEX('Resource costs'!$C$121:$C$142, MATCH($B193, 'Resource costs'!$B$121:$B$142,0))</f>
        <v>0</v>
      </c>
      <c r="L193" s="90">
        <f>INDEX(L$129:L$146,MATCH($B193,$B$129:$B$146,0))*INDEX('Resource costs'!$C$121:$C$142, MATCH($B193, 'Resource costs'!$B$121:$B$142,0))</f>
        <v>0</v>
      </c>
      <c r="M193" s="90">
        <f>INDEX(M$129:M$146,MATCH($B193,$B$129:$B$146,0))*INDEX('Resource costs'!$C$121:$C$142, MATCH($B193, 'Resource costs'!$B$121:$B$142,0))</f>
        <v>0</v>
      </c>
      <c r="N193" s="90">
        <f>INDEX(N$129:N$146,MATCH($B193,$B$129:$B$146,0))*INDEX('Resource costs'!$C$121:$C$142, MATCH($B193, 'Resource costs'!$B$121:$B$142,0))</f>
        <v>0</v>
      </c>
      <c r="O193" s="90">
        <f>INDEX(O$129:O$146,MATCH($B193,$B$129:$B$146,0))*INDEX('Resource costs'!$C$121:$C$142, MATCH($B193, 'Resource costs'!$B$121:$B$142,0))</f>
        <v>0</v>
      </c>
      <c r="P193" s="90">
        <f>INDEX(P$129:P$146,MATCH($B193,$B$129:$B$146,0))*INDEX('Resource costs'!$C$121:$C$142, MATCH($B193, 'Resource costs'!$B$121:$B$142,0))</f>
        <v>0</v>
      </c>
      <c r="Q193" s="90">
        <f>INDEX(Q$129:Q$146,MATCH($B193,$B$129:$B$146,0))*INDEX('Resource costs'!$C$121:$C$142, MATCH($B193, 'Resource costs'!$B$121:$B$142,0))</f>
        <v>0</v>
      </c>
      <c r="R193" s="90">
        <f>INDEX(R$129:R$146,MATCH($B193,$B$129:$B$146,0))*INDEX('Resource costs'!$C$121:$C$142, MATCH($B193, 'Resource costs'!$B$121:$B$142,0))</f>
        <v>0</v>
      </c>
      <c r="S193" s="90">
        <f>INDEX(S$129:S$146,MATCH($B193,$B$129:$B$146,0))*INDEX('Resource costs'!$C$121:$C$142, MATCH($B193, 'Resource costs'!$B$121:$B$142,0))</f>
        <v>0</v>
      </c>
      <c r="T193" s="90">
        <f>INDEX(T$129:T$146,MATCH($B193,$B$129:$B$146,0))*INDEX('Resource costs'!$C$121:$C$142, MATCH($B193, 'Resource costs'!$B$121:$B$142,0))</f>
        <v>0</v>
      </c>
      <c r="U193" s="90">
        <f>INDEX(U$129:U$146,MATCH($B193,$B$129:$B$146,0))*INDEX('Resource costs'!$C$121:$C$142, MATCH($B193, 'Resource costs'!$B$121:$B$142,0))</f>
        <v>0</v>
      </c>
      <c r="V193" s="90">
        <f>INDEX(V$129:V$146,MATCH($B193,$B$129:$B$146,0))*INDEX('Resource costs'!$C$121:$C$142, MATCH($B193, 'Resource costs'!$B$121:$B$142,0))</f>
        <v>0</v>
      </c>
      <c r="W193" s="90">
        <f>INDEX(W$129:W$146,MATCH($B193,$B$129:$B$146,0))*INDEX('Resource costs'!$C$121:$C$142, MATCH($B193, 'Resource costs'!$B$121:$B$142,0))</f>
        <v>0</v>
      </c>
      <c r="X193" s="90">
        <f>INDEX(X$129:X$146,MATCH($B193,$B$129:$B$146,0))*INDEX('Resource costs'!$C$121:$C$142, MATCH($B193, 'Resource costs'!$B$121:$B$142,0))</f>
        <v>0</v>
      </c>
      <c r="Y193" s="90">
        <f>INDEX(Y$129:Y$146,MATCH($B193,$B$129:$B$146,0))*INDEX('Resource costs'!$C$121:$C$142, MATCH($B193, 'Resource costs'!$B$121:$B$142,0))</f>
        <v>0</v>
      </c>
      <c r="Z193" s="90">
        <f>INDEX(Z$129:Z$146,MATCH($B193,$B$129:$B$146,0))*INDEX('Resource costs'!$C$121:$C$142, MATCH($B193, 'Resource costs'!$B$121:$B$142,0))</f>
        <v>0</v>
      </c>
      <c r="AA193" s="90">
        <f>INDEX(AA$129:AA$146,MATCH($B193,$B$129:$B$146,0))*INDEX('Resource costs'!$C$121:$C$142, MATCH($B193, 'Resource costs'!$B$121:$B$142,0))</f>
        <v>0</v>
      </c>
      <c r="AB193" s="90">
        <f>INDEX(AB$129:AB$146,MATCH($B193,$B$129:$B$146,0))*INDEX('Resource costs'!$C$121:$C$142, MATCH($B193, 'Resource costs'!$B$121:$B$142,0))</f>
        <v>0</v>
      </c>
      <c r="AC193" s="90">
        <f>INDEX(AC$129:AC$146,MATCH($B193,$B$129:$B$146,0))*INDEX('Resource costs'!$C$121:$C$142, MATCH($B193, 'Resource costs'!$B$121:$B$142,0))</f>
        <v>0</v>
      </c>
      <c r="AD193" s="90">
        <f>INDEX(AD$129:AD$146,MATCH($B193,$B$129:$B$146,0))*INDEX('Resource costs'!$C$121:$C$142, MATCH($B193, 'Resource costs'!$B$121:$B$142,0))</f>
        <v>0</v>
      </c>
      <c r="AE193" s="90">
        <f>INDEX(AE$129:AE$146,MATCH($B193,$B$129:$B$146,0))*INDEX('Resource costs'!$C$121:$C$142, MATCH($B193, 'Resource costs'!$B$121:$B$142,0))</f>
        <v>0</v>
      </c>
      <c r="AF193" s="90">
        <f>INDEX(AF$129:AF$146,MATCH($B193,$B$129:$B$146,0))*INDEX('Resource costs'!$C$121:$C$142, MATCH($B193, 'Resource costs'!$B$121:$B$142,0))</f>
        <v>0</v>
      </c>
      <c r="AG193" s="90">
        <f>INDEX(AG$129:AG$146,MATCH($B193,$B$129:$B$146,0))*INDEX('Resource costs'!$C$121:$C$142, MATCH($B193, 'Resource costs'!$B$121:$B$142,0))</f>
        <v>0</v>
      </c>
      <c r="AH193" s="90">
        <f>INDEX(AH$129:AH$146,MATCH($B193,$B$129:$B$146,0))*INDEX('Resource costs'!$C$121:$C$142, MATCH($B193, 'Resource costs'!$B$121:$B$142,0))</f>
        <v>0</v>
      </c>
      <c r="AI193" s="90">
        <f>INDEX(AI$129:AI$146,MATCH($B193,$B$129:$B$146,0))*INDEX('Resource costs'!$C$121:$C$142, MATCH($B193, 'Resource costs'!$B$121:$B$142,0))</f>
        <v>0</v>
      </c>
      <c r="AJ193" s="90">
        <f>INDEX(AJ$129:AJ$146,MATCH($B193,$B$129:$B$146,0))*INDEX('Resource costs'!$C$121:$C$142, MATCH($B193, 'Resource costs'!$B$121:$B$142,0))</f>
        <v>0</v>
      </c>
      <c r="AK193" s="90">
        <f>INDEX(AK$129:AK$146,MATCH($B193,$B$129:$B$146,0))*INDEX('Resource costs'!$C$121:$C$142, MATCH($B193, 'Resource costs'!$B$121:$B$142,0))</f>
        <v>0</v>
      </c>
      <c r="AL193" s="90">
        <f>INDEX(AL$129:AL$146,MATCH($B193,$B$129:$B$146,0))*INDEX('Resource costs'!$C$121:$C$142, MATCH($B193, 'Resource costs'!$B$121:$B$142,0))</f>
        <v>0</v>
      </c>
      <c r="AM193" s="90">
        <f>INDEX(AM$129:AM$146,MATCH($B193,$B$129:$B$146,0))*INDEX('Resource costs'!$C$121:$C$142, MATCH($B193, 'Resource costs'!$B$121:$B$142,0))</f>
        <v>0</v>
      </c>
      <c r="AN193" s="90">
        <f>INDEX(AN$129:AN$146,MATCH($B193,$B$129:$B$146,0))*INDEX('Resource costs'!$C$121:$C$142, MATCH($B193, 'Resource costs'!$B$121:$B$142,0))</f>
        <v>0</v>
      </c>
      <c r="AO193" s="90">
        <f>INDEX(AO$129:AO$146,MATCH($B193,$B$129:$B$146,0))*INDEX('Resource costs'!$C$121:$C$142, MATCH($B193, 'Resource costs'!$B$121:$B$142,0))</f>
        <v>0</v>
      </c>
      <c r="AP193" s="90">
        <f>INDEX(AP$129:AP$146,MATCH($B193,$B$129:$B$146,0))*INDEX('Resource costs'!$C$121:$C$142, MATCH($B193, 'Resource costs'!$B$121:$B$142,0))</f>
        <v>0</v>
      </c>
      <c r="AQ193" s="90">
        <f>INDEX(AQ$129:AQ$146,MATCH($B193,$B$129:$B$146,0))*INDEX('Resource costs'!$C$121:$C$142, MATCH($B193, 'Resource costs'!$B$121:$B$142,0))</f>
        <v>0</v>
      </c>
      <c r="AR193" s="90">
        <f>INDEX(AR$129:AR$146,MATCH($B193,$B$129:$B$146,0))*INDEX('Resource costs'!$C$121:$C$142, MATCH($B193, 'Resource costs'!$B$121:$B$142,0))</f>
        <v>0</v>
      </c>
      <c r="AS193" s="90">
        <f>INDEX(AS$129:AS$146,MATCH($B193,$B$129:$B$146,0))*INDEX('Resource costs'!$C$121:$C$142, MATCH($B193, 'Resource costs'!$B$121:$B$142,0))</f>
        <v>0</v>
      </c>
      <c r="AT193" s="90">
        <f>INDEX(AT$129:AT$146,MATCH($B193,$B$129:$B$146,0))*INDEX('Resource costs'!$C$121:$C$142, MATCH($B193, 'Resource costs'!$B$121:$B$142,0))</f>
        <v>0</v>
      </c>
      <c r="AU193" s="90">
        <f>INDEX(AU$129:AU$146,MATCH($B193,$B$129:$B$146,0))*INDEX('Resource costs'!$C$121:$C$142, MATCH($B193, 'Resource costs'!$B$121:$B$142,0))</f>
        <v>0</v>
      </c>
      <c r="AV193" s="90">
        <f>INDEX(AV$129:AV$146,MATCH($B193,$B$129:$B$146,0))*INDEX('Resource costs'!$C$121:$C$142, MATCH($B193, 'Resource costs'!$B$121:$B$142,0))</f>
        <v>0</v>
      </c>
      <c r="AW193" s="90">
        <f>INDEX(AW$129:AW$146,MATCH($B193,$B$129:$B$146,0))*INDEX('Resource costs'!$C$121:$C$142, MATCH($B193, 'Resource costs'!$B$121:$B$142,0))</f>
        <v>0</v>
      </c>
      <c r="AX193" s="90">
        <f>INDEX(AX$129:AX$146,MATCH($B193,$B$129:$B$146,0))*INDEX('Resource costs'!$C$121:$C$142, MATCH($B193, 'Resource costs'!$B$121:$B$142,0))</f>
        <v>0</v>
      </c>
      <c r="AY193" s="90">
        <f>INDEX(AY$129:AY$146,MATCH($B193,$B$129:$B$146,0))*INDEX('Resource costs'!$C$121:$C$142, MATCH($B193, 'Resource costs'!$B$121:$B$142,0))</f>
        <v>0</v>
      </c>
      <c r="AZ193" s="90">
        <f>INDEX(AZ$129:AZ$146,MATCH($B193,$B$129:$B$146,0))*INDEX('Resource costs'!$C$121:$C$142, MATCH($B193, 'Resource costs'!$B$121:$B$142,0))</f>
        <v>0</v>
      </c>
      <c r="BA193" s="90">
        <f>INDEX(BA$129:BA$146,MATCH($B193,$B$129:$B$146,0))*INDEX('Resource costs'!$C$121:$C$142, MATCH($B193, 'Resource costs'!$B$121:$B$142,0))</f>
        <v>0</v>
      </c>
      <c r="BB193" s="90">
        <f>INDEX(BB$129:BB$146,MATCH($B193,$B$129:$B$146,0))*INDEX('Resource costs'!$C$121:$C$142, MATCH($B193, 'Resource costs'!$B$121:$B$142,0))</f>
        <v>0</v>
      </c>
    </row>
    <row r="194" spans="2:54" s="97" customFormat="1">
      <c r="B194" s="6" t="s">
        <v>2871</v>
      </c>
      <c r="C194" s="315"/>
      <c r="D194" s="90">
        <f>INDEX(D$129:D$146,MATCH($B194,$B$129:$B$146,0))*INDEX('Resource costs'!$C$121:$C$142, MATCH($B194, 'Resource costs'!$B$121:$B$142,0))</f>
        <v>0</v>
      </c>
      <c r="E194" s="90">
        <f>INDEX(E$129:E$146,MATCH($B194,$B$129:$B$146,0))*INDEX('Resource costs'!$C$121:$C$142, MATCH($B194, 'Resource costs'!$B$121:$B$142,0))</f>
        <v>0</v>
      </c>
      <c r="F194" s="90">
        <f>INDEX(F$129:F$146,MATCH($B194,$B$129:$B$146,0))*INDEX('Resource costs'!$C$121:$C$142, MATCH($B194, 'Resource costs'!$B$121:$B$142,0))</f>
        <v>0</v>
      </c>
      <c r="G194" s="90">
        <f>INDEX(G$129:G$146,MATCH($B194,$B$129:$B$146,0))*INDEX('Resource costs'!$C$121:$C$142, MATCH($B194, 'Resource costs'!$B$121:$B$142,0))</f>
        <v>0</v>
      </c>
      <c r="H194" s="90">
        <f>INDEX(H$129:H$146,MATCH($B194,$B$129:$B$146,0))*INDEX('Resource costs'!$C$121:$C$142, MATCH($B194, 'Resource costs'!$B$121:$B$142,0))</f>
        <v>0</v>
      </c>
      <c r="I194" s="90">
        <f>INDEX(I$129:I$146,MATCH($B194,$B$129:$B$146,0))*INDEX('Resource costs'!$C$121:$C$142, MATCH($B194, 'Resource costs'!$B$121:$B$142,0))</f>
        <v>0</v>
      </c>
      <c r="J194" s="90">
        <f>INDEX(J$129:J$146,MATCH($B194,$B$129:$B$146,0))*INDEX('Resource costs'!$C$121:$C$142, MATCH($B194, 'Resource costs'!$B$121:$B$142,0))</f>
        <v>0</v>
      </c>
      <c r="K194" s="90">
        <f>INDEX(K$129:K$146,MATCH($B194,$B$129:$B$146,0))*INDEX('Resource costs'!$C$121:$C$142, MATCH($B194, 'Resource costs'!$B$121:$B$142,0))</f>
        <v>0</v>
      </c>
      <c r="L194" s="90">
        <f>INDEX(L$129:L$146,MATCH($B194,$B$129:$B$146,0))*INDEX('Resource costs'!$C$121:$C$142, MATCH($B194, 'Resource costs'!$B$121:$B$142,0))</f>
        <v>0</v>
      </c>
      <c r="M194" s="90">
        <f>INDEX(M$129:M$146,MATCH($B194,$B$129:$B$146,0))*INDEX('Resource costs'!$C$121:$C$142, MATCH($B194, 'Resource costs'!$B$121:$B$142,0))</f>
        <v>0</v>
      </c>
      <c r="N194" s="90">
        <f>INDEX(N$129:N$146,MATCH($B194,$B$129:$B$146,0))*INDEX('Resource costs'!$C$121:$C$142, MATCH($B194, 'Resource costs'!$B$121:$B$142,0))</f>
        <v>0</v>
      </c>
      <c r="O194" s="90">
        <f>INDEX(O$129:O$146,MATCH($B194,$B$129:$B$146,0))*INDEX('Resource costs'!$C$121:$C$142, MATCH($B194, 'Resource costs'!$B$121:$B$142,0))</f>
        <v>0</v>
      </c>
      <c r="P194" s="90">
        <f>INDEX(P$129:P$146,MATCH($B194,$B$129:$B$146,0))*INDEX('Resource costs'!$C$121:$C$142, MATCH($B194, 'Resource costs'!$B$121:$B$142,0))</f>
        <v>0</v>
      </c>
      <c r="Q194" s="90">
        <f>INDEX(Q$129:Q$146,MATCH($B194,$B$129:$B$146,0))*INDEX('Resource costs'!$C$121:$C$142, MATCH($B194, 'Resource costs'!$B$121:$B$142,0))</f>
        <v>0</v>
      </c>
      <c r="R194" s="90">
        <f>INDEX(R$129:R$146,MATCH($B194,$B$129:$B$146,0))*INDEX('Resource costs'!$C$121:$C$142, MATCH($B194, 'Resource costs'!$B$121:$B$142,0))</f>
        <v>0</v>
      </c>
      <c r="S194" s="90">
        <f>INDEX(S$129:S$146,MATCH($B194,$B$129:$B$146,0))*INDEX('Resource costs'!$C$121:$C$142, MATCH($B194, 'Resource costs'!$B$121:$B$142,0))</f>
        <v>0</v>
      </c>
      <c r="T194" s="90">
        <f>INDEX(T$129:T$146,MATCH($B194,$B$129:$B$146,0))*INDEX('Resource costs'!$C$121:$C$142, MATCH($B194, 'Resource costs'!$B$121:$B$142,0))</f>
        <v>0</v>
      </c>
      <c r="U194" s="90">
        <f>INDEX(U$129:U$146,MATCH($B194,$B$129:$B$146,0))*INDEX('Resource costs'!$C$121:$C$142, MATCH($B194, 'Resource costs'!$B$121:$B$142,0))</f>
        <v>0</v>
      </c>
      <c r="V194" s="90">
        <f>INDEX(V$129:V$146,MATCH($B194,$B$129:$B$146,0))*INDEX('Resource costs'!$C$121:$C$142, MATCH($B194, 'Resource costs'!$B$121:$B$142,0))</f>
        <v>0</v>
      </c>
      <c r="W194" s="90">
        <f>INDEX(W$129:W$146,MATCH($B194,$B$129:$B$146,0))*INDEX('Resource costs'!$C$121:$C$142, MATCH($B194, 'Resource costs'!$B$121:$B$142,0))</f>
        <v>0</v>
      </c>
      <c r="X194" s="90">
        <f>INDEX(X$129:X$146,MATCH($B194,$B$129:$B$146,0))*INDEX('Resource costs'!$C$121:$C$142, MATCH($B194, 'Resource costs'!$B$121:$B$142,0))</f>
        <v>0</v>
      </c>
      <c r="Y194" s="90">
        <f>INDEX(Y$129:Y$146,MATCH($B194,$B$129:$B$146,0))*INDEX('Resource costs'!$C$121:$C$142, MATCH($B194, 'Resource costs'!$B$121:$B$142,0))</f>
        <v>0</v>
      </c>
      <c r="Z194" s="90">
        <f>INDEX(Z$129:Z$146,MATCH($B194,$B$129:$B$146,0))*INDEX('Resource costs'!$C$121:$C$142, MATCH($B194, 'Resource costs'!$B$121:$B$142,0))</f>
        <v>0</v>
      </c>
      <c r="AA194" s="90">
        <f>INDEX(AA$129:AA$146,MATCH($B194,$B$129:$B$146,0))*INDEX('Resource costs'!$C$121:$C$142, MATCH($B194, 'Resource costs'!$B$121:$B$142,0))</f>
        <v>0</v>
      </c>
      <c r="AB194" s="90">
        <f>INDEX(AB$129:AB$146,MATCH($B194,$B$129:$B$146,0))*INDEX('Resource costs'!$C$121:$C$142, MATCH($B194, 'Resource costs'!$B$121:$B$142,0))</f>
        <v>0</v>
      </c>
      <c r="AC194" s="90">
        <f>INDEX(AC$129:AC$146,MATCH($B194,$B$129:$B$146,0))*INDEX('Resource costs'!$C$121:$C$142, MATCH($B194, 'Resource costs'!$B$121:$B$142,0))</f>
        <v>0</v>
      </c>
      <c r="AD194" s="90">
        <f>INDEX(AD$129:AD$146,MATCH($B194,$B$129:$B$146,0))*INDEX('Resource costs'!$C$121:$C$142, MATCH($B194, 'Resource costs'!$B$121:$B$142,0))</f>
        <v>0</v>
      </c>
      <c r="AE194" s="90">
        <f>INDEX(AE$129:AE$146,MATCH($B194,$B$129:$B$146,0))*INDEX('Resource costs'!$C$121:$C$142, MATCH($B194, 'Resource costs'!$B$121:$B$142,0))</f>
        <v>0</v>
      </c>
      <c r="AF194" s="90">
        <f>INDEX(AF$129:AF$146,MATCH($B194,$B$129:$B$146,0))*INDEX('Resource costs'!$C$121:$C$142, MATCH($B194, 'Resource costs'!$B$121:$B$142,0))</f>
        <v>0</v>
      </c>
      <c r="AG194" s="90">
        <f>INDEX(AG$129:AG$146,MATCH($B194,$B$129:$B$146,0))*INDEX('Resource costs'!$C$121:$C$142, MATCH($B194, 'Resource costs'!$B$121:$B$142,0))</f>
        <v>0</v>
      </c>
      <c r="AH194" s="90">
        <f>INDEX(AH$129:AH$146,MATCH($B194,$B$129:$B$146,0))*INDEX('Resource costs'!$C$121:$C$142, MATCH($B194, 'Resource costs'!$B$121:$B$142,0))</f>
        <v>0</v>
      </c>
      <c r="AI194" s="90">
        <f>INDEX(AI$129:AI$146,MATCH($B194,$B$129:$B$146,0))*INDEX('Resource costs'!$C$121:$C$142, MATCH($B194, 'Resource costs'!$B$121:$B$142,0))</f>
        <v>0</v>
      </c>
      <c r="AJ194" s="90">
        <f>INDEX(AJ$129:AJ$146,MATCH($B194,$B$129:$B$146,0))*INDEX('Resource costs'!$C$121:$C$142, MATCH($B194, 'Resource costs'!$B$121:$B$142,0))</f>
        <v>0</v>
      </c>
      <c r="AK194" s="90">
        <f>INDEX(AK$129:AK$146,MATCH($B194,$B$129:$B$146,0))*INDEX('Resource costs'!$C$121:$C$142, MATCH($B194, 'Resource costs'!$B$121:$B$142,0))</f>
        <v>0</v>
      </c>
      <c r="AL194" s="90">
        <f>INDEX(AL$129:AL$146,MATCH($B194,$B$129:$B$146,0))*INDEX('Resource costs'!$C$121:$C$142, MATCH($B194, 'Resource costs'!$B$121:$B$142,0))</f>
        <v>0</v>
      </c>
      <c r="AM194" s="90">
        <f>INDEX(AM$129:AM$146,MATCH($B194,$B$129:$B$146,0))*INDEX('Resource costs'!$C$121:$C$142, MATCH($B194, 'Resource costs'!$B$121:$B$142,0))</f>
        <v>0</v>
      </c>
      <c r="AN194" s="90">
        <f>INDEX(AN$129:AN$146,MATCH($B194,$B$129:$B$146,0))*INDEX('Resource costs'!$C$121:$C$142, MATCH($B194, 'Resource costs'!$B$121:$B$142,0))</f>
        <v>0</v>
      </c>
      <c r="AO194" s="90">
        <f>INDEX(AO$129:AO$146,MATCH($B194,$B$129:$B$146,0))*INDEX('Resource costs'!$C$121:$C$142, MATCH($B194, 'Resource costs'!$B$121:$B$142,0))</f>
        <v>0</v>
      </c>
      <c r="AP194" s="90">
        <f>INDEX(AP$129:AP$146,MATCH($B194,$B$129:$B$146,0))*INDEX('Resource costs'!$C$121:$C$142, MATCH($B194, 'Resource costs'!$B$121:$B$142,0))</f>
        <v>0</v>
      </c>
      <c r="AQ194" s="90">
        <f>INDEX(AQ$129:AQ$146,MATCH($B194,$B$129:$B$146,0))*INDEX('Resource costs'!$C$121:$C$142, MATCH($B194, 'Resource costs'!$B$121:$B$142,0))</f>
        <v>0</v>
      </c>
      <c r="AR194" s="90">
        <f>INDEX(AR$129:AR$146,MATCH($B194,$B$129:$B$146,0))*INDEX('Resource costs'!$C$121:$C$142, MATCH($B194, 'Resource costs'!$B$121:$B$142,0))</f>
        <v>0</v>
      </c>
      <c r="AS194" s="90">
        <f>INDEX(AS$129:AS$146,MATCH($B194,$B$129:$B$146,0))*INDEX('Resource costs'!$C$121:$C$142, MATCH($B194, 'Resource costs'!$B$121:$B$142,0))</f>
        <v>0</v>
      </c>
      <c r="AT194" s="90">
        <f>INDEX(AT$129:AT$146,MATCH($B194,$B$129:$B$146,0))*INDEX('Resource costs'!$C$121:$C$142, MATCH($B194, 'Resource costs'!$B$121:$B$142,0))</f>
        <v>0</v>
      </c>
      <c r="AU194" s="90">
        <f>INDEX(AU$129:AU$146,MATCH($B194,$B$129:$B$146,0))*INDEX('Resource costs'!$C$121:$C$142, MATCH($B194, 'Resource costs'!$B$121:$B$142,0))</f>
        <v>0</v>
      </c>
      <c r="AV194" s="90">
        <f>INDEX(AV$129:AV$146,MATCH($B194,$B$129:$B$146,0))*INDEX('Resource costs'!$C$121:$C$142, MATCH($B194, 'Resource costs'!$B$121:$B$142,0))</f>
        <v>0</v>
      </c>
      <c r="AW194" s="90">
        <f>INDEX(AW$129:AW$146,MATCH($B194,$B$129:$B$146,0))*INDEX('Resource costs'!$C$121:$C$142, MATCH($B194, 'Resource costs'!$B$121:$B$142,0))</f>
        <v>0</v>
      </c>
      <c r="AX194" s="90">
        <f>INDEX(AX$129:AX$146,MATCH($B194,$B$129:$B$146,0))*INDEX('Resource costs'!$C$121:$C$142, MATCH($B194, 'Resource costs'!$B$121:$B$142,0))</f>
        <v>0</v>
      </c>
      <c r="AY194" s="90">
        <f>INDEX(AY$129:AY$146,MATCH($B194,$B$129:$B$146,0))*INDEX('Resource costs'!$C$121:$C$142, MATCH($B194, 'Resource costs'!$B$121:$B$142,0))</f>
        <v>0</v>
      </c>
      <c r="AZ194" s="90">
        <f>INDEX(AZ$129:AZ$146,MATCH($B194,$B$129:$B$146,0))*INDEX('Resource costs'!$C$121:$C$142, MATCH($B194, 'Resource costs'!$B$121:$B$142,0))</f>
        <v>0</v>
      </c>
      <c r="BA194" s="90">
        <f>INDEX(BA$129:BA$146,MATCH($B194,$B$129:$B$146,0))*INDEX('Resource costs'!$C$121:$C$142, MATCH($B194, 'Resource costs'!$B$121:$B$142,0))</f>
        <v>0</v>
      </c>
      <c r="BB194" s="90">
        <f>INDEX(BB$129:BB$146,MATCH($B194,$B$129:$B$146,0))*INDEX('Resource costs'!$C$121:$C$142, MATCH($B194, 'Resource costs'!$B$121:$B$142,0))</f>
        <v>0</v>
      </c>
    </row>
    <row r="195" spans="2:54">
      <c r="B195" s="52"/>
      <c r="C195" s="52"/>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row>
    <row r="196" spans="2:54">
      <c r="B196" s="113" t="s">
        <v>98</v>
      </c>
      <c r="C196" s="113"/>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row>
    <row r="197" spans="2:54" ht="15" customHeight="1">
      <c r="B197" s="52"/>
      <c r="C197" s="113"/>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row>
    <row r="198" spans="2:54">
      <c r="B198" s="7" t="s">
        <v>9</v>
      </c>
      <c r="C198" s="113"/>
      <c r="D198" s="34">
        <f>'Prevalence projection'!C$21</f>
        <v>2020</v>
      </c>
      <c r="E198" s="34">
        <f>'Prevalence projection'!D$21</f>
        <v>2021</v>
      </c>
      <c r="F198" s="34">
        <f>'Prevalence projection'!E$21</f>
        <v>2022</v>
      </c>
      <c r="G198" s="34">
        <f>'Prevalence projection'!F$21</f>
        <v>2023</v>
      </c>
      <c r="H198" s="34">
        <f>'Prevalence projection'!G$21</f>
        <v>2024</v>
      </c>
      <c r="I198" s="34">
        <f>'Prevalence projection'!H$21</f>
        <v>2025</v>
      </c>
      <c r="J198" s="34">
        <f>'Prevalence projection'!I$21</f>
        <v>2026</v>
      </c>
      <c r="K198" s="34">
        <f>'Prevalence projection'!J$21</f>
        <v>2027</v>
      </c>
      <c r="L198" s="34">
        <f>'Prevalence projection'!K$21</f>
        <v>2028</v>
      </c>
      <c r="M198" s="34">
        <f>'Prevalence projection'!L$21</f>
        <v>2029</v>
      </c>
      <c r="N198" s="34">
        <f>'Prevalence projection'!M$21</f>
        <v>2030</v>
      </c>
      <c r="O198" s="34">
        <f>'Prevalence projection'!N$21</f>
        <v>2031</v>
      </c>
      <c r="P198" s="34">
        <f>'Prevalence projection'!O$21</f>
        <v>2032</v>
      </c>
      <c r="Q198" s="34">
        <f>'Prevalence projection'!P$21</f>
        <v>2033</v>
      </c>
      <c r="R198" s="34">
        <f>'Prevalence projection'!Q$21</f>
        <v>2034</v>
      </c>
      <c r="S198" s="34">
        <f>'Prevalence projection'!R$21</f>
        <v>2035</v>
      </c>
      <c r="T198" s="34">
        <f>'Prevalence projection'!S$21</f>
        <v>2036</v>
      </c>
      <c r="U198" s="34">
        <f>'Prevalence projection'!T$21</f>
        <v>2037</v>
      </c>
      <c r="V198" s="34">
        <f>'Prevalence projection'!U$21</f>
        <v>2038</v>
      </c>
      <c r="W198" s="34">
        <f>'Prevalence projection'!V$21</f>
        <v>2039</v>
      </c>
      <c r="X198" s="34">
        <f>'Prevalence projection'!W$21</f>
        <v>2040</v>
      </c>
      <c r="Y198" s="34">
        <f>'Prevalence projection'!X$21</f>
        <v>2041</v>
      </c>
      <c r="Z198" s="34">
        <f>'Prevalence projection'!Y$21</f>
        <v>2042</v>
      </c>
      <c r="AA198" s="34">
        <f>'Prevalence projection'!Z$21</f>
        <v>2043</v>
      </c>
      <c r="AB198" s="34">
        <f>'Prevalence projection'!AA$21</f>
        <v>2044</v>
      </c>
      <c r="AC198" s="34">
        <f>'Prevalence projection'!AB$21</f>
        <v>2045</v>
      </c>
      <c r="AD198" s="34">
        <f>'Prevalence projection'!AC$21</f>
        <v>2046</v>
      </c>
      <c r="AE198" s="34">
        <f>'Prevalence projection'!AD$21</f>
        <v>2047</v>
      </c>
      <c r="AF198" s="34">
        <f>'Prevalence projection'!AE$21</f>
        <v>2048</v>
      </c>
      <c r="AG198" s="34">
        <f>'Prevalence projection'!AF$21</f>
        <v>2049</v>
      </c>
      <c r="AH198" s="34">
        <f>'Prevalence projection'!AG$21</f>
        <v>2050</v>
      </c>
      <c r="AI198" s="34">
        <f>'Prevalence projection'!AH$21</f>
        <v>2051</v>
      </c>
      <c r="AJ198" s="34">
        <f>'Prevalence projection'!AI$21</f>
        <v>2052</v>
      </c>
      <c r="AK198" s="34">
        <f>'Prevalence projection'!AJ$21</f>
        <v>2053</v>
      </c>
      <c r="AL198" s="34">
        <f>'Prevalence projection'!AK$21</f>
        <v>2054</v>
      </c>
      <c r="AM198" s="34">
        <f>'Prevalence projection'!AL$21</f>
        <v>2055</v>
      </c>
      <c r="AN198" s="34">
        <f>'Prevalence projection'!AM$21</f>
        <v>2056</v>
      </c>
      <c r="AO198" s="34">
        <f>'Prevalence projection'!AN$21</f>
        <v>2057</v>
      </c>
      <c r="AP198" s="34">
        <f>'Prevalence projection'!AO$21</f>
        <v>2058</v>
      </c>
      <c r="AQ198" s="34">
        <f>'Prevalence projection'!AP$21</f>
        <v>2059</v>
      </c>
      <c r="AR198" s="34">
        <f>'Prevalence projection'!AQ$21</f>
        <v>2060</v>
      </c>
      <c r="AS198" s="34">
        <f>'Prevalence projection'!AR$21</f>
        <v>2061</v>
      </c>
      <c r="AT198" s="34">
        <f>'Prevalence projection'!AS$21</f>
        <v>2062</v>
      </c>
      <c r="AU198" s="34">
        <f>'Prevalence projection'!AT$21</f>
        <v>2063</v>
      </c>
      <c r="AV198" s="34">
        <f>'Prevalence projection'!AU$21</f>
        <v>2064</v>
      </c>
      <c r="AW198" s="34">
        <f>'Prevalence projection'!AV$21</f>
        <v>2065</v>
      </c>
      <c r="AX198" s="34">
        <f>'Prevalence projection'!AW$21</f>
        <v>2066</v>
      </c>
      <c r="AY198" s="34">
        <f>'Prevalence projection'!AX$21</f>
        <v>2067</v>
      </c>
      <c r="AZ198" s="34">
        <f>'Prevalence projection'!AY$21</f>
        <v>2068</v>
      </c>
      <c r="BA198" s="34">
        <f>'Prevalence projection'!AZ$21</f>
        <v>2069</v>
      </c>
      <c r="BB198" s="34">
        <f>'Prevalence projection'!BA$21</f>
        <v>2070</v>
      </c>
    </row>
    <row r="199" spans="2:54">
      <c r="B199" s="6" t="s">
        <v>11</v>
      </c>
      <c r="C199" s="113"/>
      <c r="D199" s="90">
        <f>INDEX(D$151:D$168,MATCH($B177,$B$151:$B$168,0))*INDEX('Resource costs'!$C$121:$C$142, MATCH($B177, 'Resource costs'!$B$121:$B$142,0))</f>
        <v>7465.7978160453395</v>
      </c>
      <c r="E199" s="90">
        <f>INDEX(E$151:E$168,MATCH($B177,$B$151:$B$168,0))*INDEX('Resource costs'!$C$121:$C$142, MATCH($B177, 'Resource costs'!$B$121:$B$142,0))</f>
        <v>8321.4710635609645</v>
      </c>
      <c r="F199" s="90">
        <f>INDEX(F$151:F$168,MATCH($B177,$B$151:$B$168,0))*INDEX('Resource costs'!$C$121:$C$142, MATCH($B177, 'Resource costs'!$B$121:$B$142,0))</f>
        <v>9187.8286517781253</v>
      </c>
      <c r="G199" s="90">
        <f>INDEX(G$151:G$168,MATCH($B177,$B$151:$B$168,0))*INDEX('Resource costs'!$C$121:$C$142, MATCH($B177, 'Resource costs'!$B$121:$B$142,0))</f>
        <v>10066.068189019614</v>
      </c>
      <c r="H199" s="90">
        <f>INDEX(H$151:H$168,MATCH($B177,$B$151:$B$168,0))*INDEX('Resource costs'!$C$121:$C$142, MATCH($B177, 'Resource costs'!$B$121:$B$142,0))</f>
        <v>10958.143864279875</v>
      </c>
      <c r="I199" s="90">
        <f>INDEX(I$151:I$168,MATCH($B177,$B$151:$B$168,0))*INDEX('Resource costs'!$C$121:$C$142, MATCH($B177, 'Resource costs'!$B$121:$B$142,0))</f>
        <v>11865.113620589669</v>
      </c>
      <c r="J199" s="90">
        <f>INDEX(J$151:J$168,MATCH($B177,$B$151:$B$168,0))*INDEX('Resource costs'!$C$121:$C$142, MATCH($B177, 'Resource costs'!$B$121:$B$142,0))</f>
        <v>12786.265937402461</v>
      </c>
      <c r="K199" s="90">
        <f>INDEX(K$151:K$168,MATCH($B177,$B$151:$B$168,0))*INDEX('Resource costs'!$C$121:$C$142, MATCH($B177, 'Resource costs'!$B$121:$B$142,0))</f>
        <v>13721.985550735597</v>
      </c>
      <c r="L199" s="90">
        <f>INDEX(L$151:L$168,MATCH($B177,$B$151:$B$168,0))*INDEX('Resource costs'!$C$121:$C$142, MATCH($B177, 'Resource costs'!$B$121:$B$142,0))</f>
        <v>14678.665607954066</v>
      </c>
      <c r="M199" s="90">
        <f>INDEX(M$151:M$168,MATCH($B177,$B$151:$B$168,0))*INDEX('Resource costs'!$C$121:$C$142, MATCH($B177, 'Resource costs'!$B$121:$B$142,0))</f>
        <v>15653.014600997652</v>
      </c>
      <c r="N199" s="90">
        <f>INDEX(N$151:N$168,MATCH($B177,$B$151:$B$168,0))*INDEX('Resource costs'!$C$121:$C$142, MATCH($B177, 'Resource costs'!$B$121:$B$142,0))</f>
        <v>16643.006216166708</v>
      </c>
      <c r="O199" s="90">
        <f>INDEX(O$151:O$168,MATCH($B177,$B$151:$B$168,0))*INDEX('Resource costs'!$C$121:$C$142, MATCH($B177, 'Resource costs'!$B$121:$B$142,0))</f>
        <v>17647.343635676567</v>
      </c>
      <c r="P199" s="90">
        <f>INDEX(P$151:P$168,MATCH($B177,$B$151:$B$168,0))*INDEX('Resource costs'!$C$121:$C$142, MATCH($B177, 'Resource costs'!$B$121:$B$142,0))</f>
        <v>18664.899098823425</v>
      </c>
      <c r="Q199" s="90">
        <f>INDEX(Q$151:Q$168,MATCH($B177,$B$151:$B$168,0))*INDEX('Resource costs'!$C$121:$C$142, MATCH($B177, 'Resource costs'!$B$121:$B$142,0))</f>
        <v>19696.162052514315</v>
      </c>
      <c r="R199" s="90">
        <f>INDEX(R$151:R$168,MATCH($B177,$B$151:$B$168,0))*INDEX('Resource costs'!$C$121:$C$142, MATCH($B177, 'Resource costs'!$B$121:$B$142,0))</f>
        <v>20742.084084875929</v>
      </c>
      <c r="S199" s="90">
        <f>INDEX(S$151:S$168,MATCH($B177,$B$151:$B$168,0))*INDEX('Resource costs'!$C$121:$C$142, MATCH($B177, 'Resource costs'!$B$121:$B$142,0))</f>
        <v>21802.724734936419</v>
      </c>
      <c r="T199" s="90">
        <f>INDEX(T$151:T$168,MATCH($B177,$B$151:$B$168,0))*INDEX('Resource costs'!$C$121:$C$142, MATCH($B177, 'Resource costs'!$B$121:$B$142,0))</f>
        <v>22876.884804697285</v>
      </c>
      <c r="U199" s="90">
        <f>INDEX(U$151:U$168,MATCH($B177,$B$151:$B$168,0))*INDEX('Resource costs'!$C$121:$C$142, MATCH($B177, 'Resource costs'!$B$121:$B$142,0))</f>
        <v>23964.401614632137</v>
      </c>
      <c r="V199" s="90">
        <f>INDEX(V$151:V$168,MATCH($B177,$B$151:$B$168,0))*INDEX('Resource costs'!$C$121:$C$142, MATCH($B177, 'Resource costs'!$B$121:$B$142,0))</f>
        <v>25067.6101015405</v>
      </c>
      <c r="W199" s="90">
        <f>INDEX(W$151:W$168,MATCH($B177,$B$151:$B$168,0))*INDEX('Resource costs'!$C$121:$C$142, MATCH($B177, 'Resource costs'!$B$121:$B$142,0))</f>
        <v>26184.602019502126</v>
      </c>
      <c r="X199" s="90">
        <f>INDEX(X$151:X$168,MATCH($B177,$B$151:$B$168,0))*INDEX('Resource costs'!$C$121:$C$142, MATCH($B177, 'Resource costs'!$B$121:$B$142,0))</f>
        <v>27314.549500952522</v>
      </c>
      <c r="Y199" s="90">
        <f>INDEX(Y$151:Y$168,MATCH($B177,$B$151:$B$168,0))*INDEX('Resource costs'!$C$121:$C$142, MATCH($B177, 'Resource costs'!$B$121:$B$142,0))</f>
        <v>28457.010999935625</v>
      </c>
      <c r="Z199" s="90">
        <f>INDEX(Z$151:Z$168,MATCH($B177,$B$151:$B$168,0))*INDEX('Resource costs'!$C$121:$C$142, MATCH($B177, 'Resource costs'!$B$121:$B$142,0))</f>
        <v>29612.679270449953</v>
      </c>
      <c r="AA199" s="90">
        <f>INDEX(AA$151:AA$168,MATCH($B177,$B$151:$B$168,0))*INDEX('Resource costs'!$C$121:$C$142, MATCH($B177, 'Resource costs'!$B$121:$B$142,0))</f>
        <v>30781.189137954665</v>
      </c>
      <c r="AB199" s="90">
        <f>INDEX(AB$151:AB$168,MATCH($B177,$B$151:$B$168,0))*INDEX('Resource costs'!$C$121:$C$142, MATCH($B177, 'Resource costs'!$B$121:$B$142,0))</f>
        <v>31961.924293291486</v>
      </c>
      <c r="AC199" s="90">
        <f>INDEX(AC$151:AC$168,MATCH($B177,$B$151:$B$168,0))*INDEX('Resource costs'!$C$121:$C$142, MATCH($B177, 'Resource costs'!$B$121:$B$142,0))</f>
        <v>33154.268603298457</v>
      </c>
      <c r="AD199" s="90">
        <f>INDEX(AD$151:AD$168,MATCH($B177,$B$151:$B$168,0))*INDEX('Resource costs'!$C$121:$C$142, MATCH($B177, 'Resource costs'!$B$121:$B$142,0))</f>
        <v>34357.530753383726</v>
      </c>
      <c r="AE199" s="90">
        <f>INDEX(AE$151:AE$168,MATCH($B177,$B$151:$B$168,0))*INDEX('Resource costs'!$C$121:$C$142, MATCH($B177, 'Resource costs'!$B$121:$B$142,0))</f>
        <v>35571.032763956617</v>
      </c>
      <c r="AF199" s="90">
        <f>INDEX(AF$151:AF$168,MATCH($B177,$B$151:$B$168,0))*INDEX('Resource costs'!$C$121:$C$142, MATCH($B177, 'Resource costs'!$B$121:$B$142,0))</f>
        <v>36794.064426714911</v>
      </c>
      <c r="AG199" s="90">
        <f>INDEX(AG$151:AG$168,MATCH($B177,$B$151:$B$168,0))*INDEX('Resource costs'!$C$121:$C$142, MATCH($B177, 'Resource costs'!$B$121:$B$142,0))</f>
        <v>38026.284557172381</v>
      </c>
      <c r="AH199" s="90">
        <f>INDEX(AH$151:AH$168,MATCH($B177,$B$151:$B$168,0))*INDEX('Resource costs'!$C$121:$C$142, MATCH($B177, 'Resource costs'!$B$121:$B$142,0))</f>
        <v>39268.184526696685</v>
      </c>
      <c r="AI199" s="90">
        <f>INDEX(AI$151:AI$168,MATCH($B177,$B$151:$B$168,0))*INDEX('Resource costs'!$C$121:$C$142, MATCH($B177, 'Resource costs'!$B$121:$B$142,0))</f>
        <v>40519.601217814743</v>
      </c>
      <c r="AJ199" s="90">
        <f>INDEX(AJ$151:AJ$168,MATCH($B177,$B$151:$B$168,0))*INDEX('Resource costs'!$C$121:$C$142, MATCH($B177, 'Resource costs'!$B$121:$B$142,0))</f>
        <v>41780.653942892095</v>
      </c>
      <c r="AK199" s="90">
        <f>INDEX(AK$151:AK$168,MATCH($B177,$B$151:$B$168,0))*INDEX('Resource costs'!$C$121:$C$142, MATCH($B177, 'Resource costs'!$B$121:$B$142,0))</f>
        <v>43050.078230754763</v>
      </c>
      <c r="AL199" s="90">
        <f>INDEX(AL$151:AL$168,MATCH($B177,$B$151:$B$168,0))*INDEX('Resource costs'!$C$121:$C$142, MATCH($B177, 'Resource costs'!$B$121:$B$142,0))</f>
        <v>44326.624624482705</v>
      </c>
      <c r="AM199" s="90">
        <f>INDEX(AM$151:AM$168,MATCH($B177,$B$151:$B$168,0))*INDEX('Resource costs'!$C$121:$C$142, MATCH($B177, 'Resource costs'!$B$121:$B$142,0))</f>
        <v>45609.127444034355</v>
      </c>
      <c r="AN199" s="90">
        <f>INDEX(AN$151:AN$168,MATCH($B177,$B$151:$B$168,0))*INDEX('Resource costs'!$C$121:$C$142, MATCH($B177, 'Resource costs'!$B$121:$B$142,0))</f>
        <v>46897.203226760605</v>
      </c>
      <c r="AO199" s="90">
        <f>INDEX(AO$151:AO$168,MATCH($B177,$B$151:$B$168,0))*INDEX('Resource costs'!$C$121:$C$142, MATCH($B177, 'Resource costs'!$B$121:$B$142,0))</f>
        <v>48190.280852304211</v>
      </c>
      <c r="AP199" s="90">
        <f>INDEX(AP$151:AP$168,MATCH($B177,$B$151:$B$168,0))*INDEX('Resource costs'!$C$121:$C$142, MATCH($B177, 'Resource costs'!$B$121:$B$142,0))</f>
        <v>49487.591920454492</v>
      </c>
      <c r="AQ199" s="90">
        <f>INDEX(AQ$151:AQ$168,MATCH($B177,$B$151:$B$168,0))*INDEX('Resource costs'!$C$121:$C$142, MATCH($B177, 'Resource costs'!$B$121:$B$142,0))</f>
        <v>50789.674125285077</v>
      </c>
      <c r="AR199" s="90">
        <f>INDEX(AR$151:AR$168,MATCH($B177,$B$151:$B$168,0))*INDEX('Resource costs'!$C$121:$C$142, MATCH($B177, 'Resource costs'!$B$121:$B$142,0))</f>
        <v>52097.476786570667</v>
      </c>
      <c r="AS199" s="90">
        <f>INDEX(AS$151:AS$168,MATCH($B177,$B$151:$B$168,0))*INDEX('Resource costs'!$C$121:$C$142, MATCH($B177, 'Resource costs'!$B$121:$B$142,0))</f>
        <v>53411.982737762119</v>
      </c>
      <c r="AT199" s="90">
        <f>INDEX(AT$151:AT$168,MATCH($B177,$B$151:$B$168,0))*INDEX('Resource costs'!$C$121:$C$142, MATCH($B177, 'Resource costs'!$B$121:$B$142,0))</f>
        <v>54726.488688953577</v>
      </c>
      <c r="AU199" s="90">
        <f>INDEX(AU$151:AU$168,MATCH($B177,$B$151:$B$168,0))*INDEX('Resource costs'!$C$121:$C$142, MATCH($B177, 'Resource costs'!$B$121:$B$142,0))</f>
        <v>56040.994640145029</v>
      </c>
      <c r="AV199" s="90">
        <f>INDEX(AV$151:AV$168,MATCH($B177,$B$151:$B$168,0))*INDEX('Resource costs'!$C$121:$C$142, MATCH($B177, 'Resource costs'!$B$121:$B$142,0))</f>
        <v>57355.50059133648</v>
      </c>
      <c r="AW199" s="90">
        <f>INDEX(AW$151:AW$168,MATCH($B177,$B$151:$B$168,0))*INDEX('Resource costs'!$C$121:$C$142, MATCH($B177, 'Resource costs'!$B$121:$B$142,0))</f>
        <v>58670.006542527924</v>
      </c>
      <c r="AX199" s="90">
        <f>INDEX(AX$151:AX$168,MATCH($B177,$B$151:$B$168,0))*INDEX('Resource costs'!$C$121:$C$142, MATCH($B177, 'Resource costs'!$B$121:$B$142,0))</f>
        <v>59984.512493719376</v>
      </c>
      <c r="AY199" s="90">
        <f>INDEX(AY$151:AY$168,MATCH($B177,$B$151:$B$168,0))*INDEX('Resource costs'!$C$121:$C$142, MATCH($B177, 'Resource costs'!$B$121:$B$142,0))</f>
        <v>61299.018444910827</v>
      </c>
      <c r="AZ199" s="90">
        <f>INDEX(AZ$151:AZ$168,MATCH($B177,$B$151:$B$168,0))*INDEX('Resource costs'!$C$121:$C$142, MATCH($B177, 'Resource costs'!$B$121:$B$142,0))</f>
        <v>62613.524396102272</v>
      </c>
      <c r="BA199" s="90">
        <f>INDEX(BA$151:BA$168,MATCH($B177,$B$151:$B$168,0))*INDEX('Resource costs'!$C$121:$C$142, MATCH($B177, 'Resource costs'!$B$121:$B$142,0))</f>
        <v>63928.030347293723</v>
      </c>
      <c r="BB199" s="90">
        <f>INDEX(BB$151:BB$168,MATCH($B177,$B$151:$B$168,0))*INDEX('Resource costs'!$C$121:$C$142, MATCH($B177, 'Resource costs'!$B$121:$B$142,0))</f>
        <v>65242.536298485174</v>
      </c>
    </row>
    <row r="200" spans="2:54" s="97" customFormat="1">
      <c r="B200" s="6" t="s">
        <v>14</v>
      </c>
      <c r="C200" s="316"/>
      <c r="D200" s="90">
        <f>INDEX(D$151:D$168,MATCH($B178,$B$151:$B$168,0))*INDEX('Resource costs'!$C$121:$C$142, MATCH($B178, 'Resource costs'!$B$121:$B$142,0))</f>
        <v>0</v>
      </c>
      <c r="E200" s="90">
        <f>INDEX(E$151:E$168,MATCH($B178,$B$151:$B$168,0))*INDEX('Resource costs'!$C$121:$C$142, MATCH($B178, 'Resource costs'!$B$121:$B$142,0))</f>
        <v>0</v>
      </c>
      <c r="F200" s="90">
        <f>INDEX(F$151:F$168,MATCH($B178,$B$151:$B$168,0))*INDEX('Resource costs'!$C$121:$C$142, MATCH($B178, 'Resource costs'!$B$121:$B$142,0))</f>
        <v>0</v>
      </c>
      <c r="G200" s="90">
        <f>INDEX(G$151:G$168,MATCH($B178,$B$151:$B$168,0))*INDEX('Resource costs'!$C$121:$C$142, MATCH($B178, 'Resource costs'!$B$121:$B$142,0))</f>
        <v>0</v>
      </c>
      <c r="H200" s="90">
        <f>INDEX(H$151:H$168,MATCH($B178,$B$151:$B$168,0))*INDEX('Resource costs'!$C$121:$C$142, MATCH($B178, 'Resource costs'!$B$121:$B$142,0))</f>
        <v>0</v>
      </c>
      <c r="I200" s="90">
        <f>INDEX(I$151:I$168,MATCH($B178,$B$151:$B$168,0))*INDEX('Resource costs'!$C$121:$C$142, MATCH($B178, 'Resource costs'!$B$121:$B$142,0))</f>
        <v>0</v>
      </c>
      <c r="J200" s="90">
        <f>INDEX(J$151:J$168,MATCH($B178,$B$151:$B$168,0))*INDEX('Resource costs'!$C$121:$C$142, MATCH($B178, 'Resource costs'!$B$121:$B$142,0))</f>
        <v>0</v>
      </c>
      <c r="K200" s="90">
        <f>INDEX(K$151:K$168,MATCH($B178,$B$151:$B$168,0))*INDEX('Resource costs'!$C$121:$C$142, MATCH($B178, 'Resource costs'!$B$121:$B$142,0))</f>
        <v>0</v>
      </c>
      <c r="L200" s="90">
        <f>INDEX(L$151:L$168,MATCH($B178,$B$151:$B$168,0))*INDEX('Resource costs'!$C$121:$C$142, MATCH($B178, 'Resource costs'!$B$121:$B$142,0))</f>
        <v>0</v>
      </c>
      <c r="M200" s="90">
        <f>INDEX(M$151:M$168,MATCH($B178,$B$151:$B$168,0))*INDEX('Resource costs'!$C$121:$C$142, MATCH($B178, 'Resource costs'!$B$121:$B$142,0))</f>
        <v>0</v>
      </c>
      <c r="N200" s="90">
        <f>INDEX(N$151:N$168,MATCH($B178,$B$151:$B$168,0))*INDEX('Resource costs'!$C$121:$C$142, MATCH($B178, 'Resource costs'!$B$121:$B$142,0))</f>
        <v>0</v>
      </c>
      <c r="O200" s="90">
        <f>INDEX(O$151:O$168,MATCH($B178,$B$151:$B$168,0))*INDEX('Resource costs'!$C$121:$C$142, MATCH($B178, 'Resource costs'!$B$121:$B$142,0))</f>
        <v>0</v>
      </c>
      <c r="P200" s="90">
        <f>INDEX(P$151:P$168,MATCH($B178,$B$151:$B$168,0))*INDEX('Resource costs'!$C$121:$C$142, MATCH($B178, 'Resource costs'!$B$121:$B$142,0))</f>
        <v>0</v>
      </c>
      <c r="Q200" s="90">
        <f>INDEX(Q$151:Q$168,MATCH($B178,$B$151:$B$168,0))*INDEX('Resource costs'!$C$121:$C$142, MATCH($B178, 'Resource costs'!$B$121:$B$142,0))</f>
        <v>0</v>
      </c>
      <c r="R200" s="90">
        <f>INDEX(R$151:R$168,MATCH($B178,$B$151:$B$168,0))*INDEX('Resource costs'!$C$121:$C$142, MATCH($B178, 'Resource costs'!$B$121:$B$142,0))</f>
        <v>0</v>
      </c>
      <c r="S200" s="90">
        <f>INDEX(S$151:S$168,MATCH($B178,$B$151:$B$168,0))*INDEX('Resource costs'!$C$121:$C$142, MATCH($B178, 'Resource costs'!$B$121:$B$142,0))</f>
        <v>0</v>
      </c>
      <c r="T200" s="90">
        <f>INDEX(T$151:T$168,MATCH($B178,$B$151:$B$168,0))*INDEX('Resource costs'!$C$121:$C$142, MATCH($B178, 'Resource costs'!$B$121:$B$142,0))</f>
        <v>0</v>
      </c>
      <c r="U200" s="90">
        <f>INDEX(U$151:U$168,MATCH($B178,$B$151:$B$168,0))*INDEX('Resource costs'!$C$121:$C$142, MATCH($B178, 'Resource costs'!$B$121:$B$142,0))</f>
        <v>0</v>
      </c>
      <c r="V200" s="90">
        <f>INDEX(V$151:V$168,MATCH($B178,$B$151:$B$168,0))*INDEX('Resource costs'!$C$121:$C$142, MATCH($B178, 'Resource costs'!$B$121:$B$142,0))</f>
        <v>0</v>
      </c>
      <c r="W200" s="90">
        <f>INDEX(W$151:W$168,MATCH($B178,$B$151:$B$168,0))*INDEX('Resource costs'!$C$121:$C$142, MATCH($B178, 'Resource costs'!$B$121:$B$142,0))</f>
        <v>0</v>
      </c>
      <c r="X200" s="90">
        <f>INDEX(X$151:X$168,MATCH($B178,$B$151:$B$168,0))*INDEX('Resource costs'!$C$121:$C$142, MATCH($B178, 'Resource costs'!$B$121:$B$142,0))</f>
        <v>0</v>
      </c>
      <c r="Y200" s="90">
        <f>INDEX(Y$151:Y$168,MATCH($B178,$B$151:$B$168,0))*INDEX('Resource costs'!$C$121:$C$142, MATCH($B178, 'Resource costs'!$B$121:$B$142,0))</f>
        <v>0</v>
      </c>
      <c r="Z200" s="90">
        <f>INDEX(Z$151:Z$168,MATCH($B178,$B$151:$B$168,0))*INDEX('Resource costs'!$C$121:$C$142, MATCH($B178, 'Resource costs'!$B$121:$B$142,0))</f>
        <v>0</v>
      </c>
      <c r="AA200" s="90">
        <f>INDEX(AA$151:AA$168,MATCH($B178,$B$151:$B$168,0))*INDEX('Resource costs'!$C$121:$C$142, MATCH($B178, 'Resource costs'!$B$121:$B$142,0))</f>
        <v>0</v>
      </c>
      <c r="AB200" s="90">
        <f>INDEX(AB$151:AB$168,MATCH($B178,$B$151:$B$168,0))*INDEX('Resource costs'!$C$121:$C$142, MATCH($B178, 'Resource costs'!$B$121:$B$142,0))</f>
        <v>0</v>
      </c>
      <c r="AC200" s="90">
        <f>INDEX(AC$151:AC$168,MATCH($B178,$B$151:$B$168,0))*INDEX('Resource costs'!$C$121:$C$142, MATCH($B178, 'Resource costs'!$B$121:$B$142,0))</f>
        <v>0</v>
      </c>
      <c r="AD200" s="90">
        <f>INDEX(AD$151:AD$168,MATCH($B178,$B$151:$B$168,0))*INDEX('Resource costs'!$C$121:$C$142, MATCH($B178, 'Resource costs'!$B$121:$B$142,0))</f>
        <v>0</v>
      </c>
      <c r="AE200" s="90">
        <f>INDEX(AE$151:AE$168,MATCH($B178,$B$151:$B$168,0))*INDEX('Resource costs'!$C$121:$C$142, MATCH($B178, 'Resource costs'!$B$121:$B$142,0))</f>
        <v>0</v>
      </c>
      <c r="AF200" s="90">
        <f>INDEX(AF$151:AF$168,MATCH($B178,$B$151:$B$168,0))*INDEX('Resource costs'!$C$121:$C$142, MATCH($B178, 'Resource costs'!$B$121:$B$142,0))</f>
        <v>0</v>
      </c>
      <c r="AG200" s="90">
        <f>INDEX(AG$151:AG$168,MATCH($B178,$B$151:$B$168,0))*INDEX('Resource costs'!$C$121:$C$142, MATCH($B178, 'Resource costs'!$B$121:$B$142,0))</f>
        <v>0</v>
      </c>
      <c r="AH200" s="90">
        <f>INDEX(AH$151:AH$168,MATCH($B178,$B$151:$B$168,0))*INDEX('Resource costs'!$C$121:$C$142, MATCH($B178, 'Resource costs'!$B$121:$B$142,0))</f>
        <v>0</v>
      </c>
      <c r="AI200" s="90">
        <f>INDEX(AI$151:AI$168,MATCH($B178,$B$151:$B$168,0))*INDEX('Resource costs'!$C$121:$C$142, MATCH($B178, 'Resource costs'!$B$121:$B$142,0))</f>
        <v>0</v>
      </c>
      <c r="AJ200" s="90">
        <f>INDEX(AJ$151:AJ$168,MATCH($B178,$B$151:$B$168,0))*INDEX('Resource costs'!$C$121:$C$142, MATCH($B178, 'Resource costs'!$B$121:$B$142,0))</f>
        <v>0</v>
      </c>
      <c r="AK200" s="90">
        <f>INDEX(AK$151:AK$168,MATCH($B178,$B$151:$B$168,0))*INDEX('Resource costs'!$C$121:$C$142, MATCH($B178, 'Resource costs'!$B$121:$B$142,0))</f>
        <v>0</v>
      </c>
      <c r="AL200" s="90">
        <f>INDEX(AL$151:AL$168,MATCH($B178,$B$151:$B$168,0))*INDEX('Resource costs'!$C$121:$C$142, MATCH($B178, 'Resource costs'!$B$121:$B$142,0))</f>
        <v>0</v>
      </c>
      <c r="AM200" s="90">
        <f>INDEX(AM$151:AM$168,MATCH($B178,$B$151:$B$168,0))*INDEX('Resource costs'!$C$121:$C$142, MATCH($B178, 'Resource costs'!$B$121:$B$142,0))</f>
        <v>0</v>
      </c>
      <c r="AN200" s="90">
        <f>INDEX(AN$151:AN$168,MATCH($B178,$B$151:$B$168,0))*INDEX('Resource costs'!$C$121:$C$142, MATCH($B178, 'Resource costs'!$B$121:$B$142,0))</f>
        <v>0</v>
      </c>
      <c r="AO200" s="90">
        <f>INDEX(AO$151:AO$168,MATCH($B178,$B$151:$B$168,0))*INDEX('Resource costs'!$C$121:$C$142, MATCH($B178, 'Resource costs'!$B$121:$B$142,0))</f>
        <v>0</v>
      </c>
      <c r="AP200" s="90">
        <f>INDEX(AP$151:AP$168,MATCH($B178,$B$151:$B$168,0))*INDEX('Resource costs'!$C$121:$C$142, MATCH($B178, 'Resource costs'!$B$121:$B$142,0))</f>
        <v>0</v>
      </c>
      <c r="AQ200" s="90">
        <f>INDEX(AQ$151:AQ$168,MATCH($B178,$B$151:$B$168,0))*INDEX('Resource costs'!$C$121:$C$142, MATCH($B178, 'Resource costs'!$B$121:$B$142,0))</f>
        <v>0</v>
      </c>
      <c r="AR200" s="90">
        <f>INDEX(AR$151:AR$168,MATCH($B178,$B$151:$B$168,0))*INDEX('Resource costs'!$C$121:$C$142, MATCH($B178, 'Resource costs'!$B$121:$B$142,0))</f>
        <v>0</v>
      </c>
      <c r="AS200" s="90">
        <f>INDEX(AS$151:AS$168,MATCH($B178,$B$151:$B$168,0))*INDEX('Resource costs'!$C$121:$C$142, MATCH($B178, 'Resource costs'!$B$121:$B$142,0))</f>
        <v>0</v>
      </c>
      <c r="AT200" s="90">
        <f>INDEX(AT$151:AT$168,MATCH($B178,$B$151:$B$168,0))*INDEX('Resource costs'!$C$121:$C$142, MATCH($B178, 'Resource costs'!$B$121:$B$142,0))</f>
        <v>0</v>
      </c>
      <c r="AU200" s="90">
        <f>INDEX(AU$151:AU$168,MATCH($B178,$B$151:$B$168,0))*INDEX('Resource costs'!$C$121:$C$142, MATCH($B178, 'Resource costs'!$B$121:$B$142,0))</f>
        <v>0</v>
      </c>
      <c r="AV200" s="90">
        <f>INDEX(AV$151:AV$168,MATCH($B178,$B$151:$B$168,0))*INDEX('Resource costs'!$C$121:$C$142, MATCH($B178, 'Resource costs'!$B$121:$B$142,0))</f>
        <v>0</v>
      </c>
      <c r="AW200" s="90">
        <f>INDEX(AW$151:AW$168,MATCH($B178,$B$151:$B$168,0))*INDEX('Resource costs'!$C$121:$C$142, MATCH($B178, 'Resource costs'!$B$121:$B$142,0))</f>
        <v>0</v>
      </c>
      <c r="AX200" s="90">
        <f>INDEX(AX$151:AX$168,MATCH($B178,$B$151:$B$168,0))*INDEX('Resource costs'!$C$121:$C$142, MATCH($B178, 'Resource costs'!$B$121:$B$142,0))</f>
        <v>0</v>
      </c>
      <c r="AY200" s="90">
        <f>INDEX(AY$151:AY$168,MATCH($B178,$B$151:$B$168,0))*INDEX('Resource costs'!$C$121:$C$142, MATCH($B178, 'Resource costs'!$B$121:$B$142,0))</f>
        <v>0</v>
      </c>
      <c r="AZ200" s="90">
        <f>INDEX(AZ$151:AZ$168,MATCH($B178,$B$151:$B$168,0))*INDEX('Resource costs'!$C$121:$C$142, MATCH($B178, 'Resource costs'!$B$121:$B$142,0))</f>
        <v>0</v>
      </c>
      <c r="BA200" s="90">
        <f>INDEX(BA$151:BA$168,MATCH($B178,$B$151:$B$168,0))*INDEX('Resource costs'!$C$121:$C$142, MATCH($B178, 'Resource costs'!$B$121:$B$142,0))</f>
        <v>0</v>
      </c>
      <c r="BB200" s="90">
        <f>INDEX(BB$151:BB$168,MATCH($B178,$B$151:$B$168,0))*INDEX('Resource costs'!$C$121:$C$142, MATCH($B178, 'Resource costs'!$B$121:$B$142,0))</f>
        <v>0</v>
      </c>
    </row>
    <row r="201" spans="2:54" s="97" customFormat="1">
      <c r="B201" s="6" t="s">
        <v>15</v>
      </c>
      <c r="C201" s="316"/>
      <c r="D201" s="90">
        <f>INDEX(D$151:D$168,MATCH($B179,$B$151:$B$168,0))*INDEX('Resource costs'!$C$121:$C$142, MATCH($B179, 'Resource costs'!$B$121:$B$142,0))</f>
        <v>636.21687609940375</v>
      </c>
      <c r="E201" s="90">
        <f>INDEX(E$151:E$168,MATCH($B179,$B$151:$B$168,0))*INDEX('Resource costs'!$C$121:$C$142, MATCH($B179, 'Resource costs'!$B$121:$B$142,0))</f>
        <v>709.13523980411367</v>
      </c>
      <c r="F201" s="90">
        <f>INDEX(F$151:F$168,MATCH($B179,$B$151:$B$168,0))*INDEX('Resource costs'!$C$121:$C$142, MATCH($B179, 'Resource costs'!$B$121:$B$142,0))</f>
        <v>782.96409667134992</v>
      </c>
      <c r="G201" s="90">
        <f>INDEX(G$151:G$168,MATCH($B179,$B$151:$B$168,0))*INDEX('Resource costs'!$C$121:$C$142, MATCH($B179, 'Resource costs'!$B$121:$B$142,0))</f>
        <v>857.80550392857708</v>
      </c>
      <c r="H201" s="90">
        <f>INDEX(H$151:H$168,MATCH($B179,$B$151:$B$168,0))*INDEX('Resource costs'!$C$121:$C$142, MATCH($B179, 'Resource costs'!$B$121:$B$142,0))</f>
        <v>933.82599274205324</v>
      </c>
      <c r="I201" s="90">
        <f>INDEX(I$151:I$168,MATCH($B179,$B$151:$B$168,0))*INDEX('Resource costs'!$C$121:$C$142, MATCH($B179, 'Resource costs'!$B$121:$B$142,0))</f>
        <v>1011.1157184075294</v>
      </c>
      <c r="J201" s="90">
        <f>INDEX(J$151:J$168,MATCH($B179,$B$151:$B$168,0))*INDEX('Resource costs'!$C$121:$C$142, MATCH($B179, 'Resource costs'!$B$121:$B$142,0))</f>
        <v>1089.6140468989372</v>
      </c>
      <c r="K201" s="90">
        <f>INDEX(K$151:K$168,MATCH($B179,$B$151:$B$168,0))*INDEX('Resource costs'!$C$121:$C$142, MATCH($B179, 'Resource costs'!$B$121:$B$142,0))</f>
        <v>1169.3537644707549</v>
      </c>
      <c r="L201" s="90">
        <f>INDEX(L$151:L$168,MATCH($B179,$B$151:$B$168,0))*INDEX('Resource costs'!$C$121:$C$142, MATCH($B179, 'Resource costs'!$B$121:$B$142,0))</f>
        <v>1250.8796793732483</v>
      </c>
      <c r="M201" s="90">
        <f>INDEX(M$151:M$168,MATCH($B179,$B$151:$B$168,0))*INDEX('Resource costs'!$C$121:$C$142, MATCH($B179, 'Resource costs'!$B$121:$B$142,0))</f>
        <v>1333.911297407763</v>
      </c>
      <c r="N201" s="90">
        <f>INDEX(N$151:N$168,MATCH($B179,$B$151:$B$168,0))*INDEX('Resource costs'!$C$121:$C$142, MATCH($B179, 'Resource costs'!$B$121:$B$142,0))</f>
        <v>1418.2759411185532</v>
      </c>
      <c r="O201" s="90">
        <f>INDEX(O$151:O$168,MATCH($B179,$B$151:$B$168,0))*INDEX('Resource costs'!$C$121:$C$142, MATCH($B179, 'Resource costs'!$B$121:$B$142,0))</f>
        <v>1503.8630988925051</v>
      </c>
      <c r="P201" s="90">
        <f>INDEX(P$151:P$168,MATCH($B179,$B$151:$B$168,0))*INDEX('Resource costs'!$C$121:$C$142, MATCH($B179, 'Resource costs'!$B$121:$B$142,0))</f>
        <v>1590.5766657439713</v>
      </c>
      <c r="Q201" s="90">
        <f>INDEX(Q$151:Q$168,MATCH($B179,$B$151:$B$168,0))*INDEX('Resource costs'!$C$121:$C$142, MATCH($B179, 'Resource costs'!$B$121:$B$142,0))</f>
        <v>1678.4583511311876</v>
      </c>
      <c r="R201" s="90">
        <f>INDEX(R$151:R$168,MATCH($B179,$B$151:$B$168,0))*INDEX('Resource costs'!$C$121:$C$142, MATCH($B179, 'Resource costs'!$B$121:$B$142,0))</f>
        <v>1767.5892470472954</v>
      </c>
      <c r="S201" s="90">
        <f>INDEX(S$151:S$168,MATCH($B179,$B$151:$B$168,0))*INDEX('Resource costs'!$C$121:$C$142, MATCH($B179, 'Resource costs'!$B$121:$B$142,0))</f>
        <v>1857.9744272614269</v>
      </c>
      <c r="T201" s="90">
        <f>INDEX(T$151:T$168,MATCH($B179,$B$151:$B$168,0))*INDEX('Resource costs'!$C$121:$C$142, MATCH($B179, 'Resource costs'!$B$121:$B$142,0))</f>
        <v>1949.5116990778736</v>
      </c>
      <c r="U201" s="90">
        <f>INDEX(U$151:U$168,MATCH($B179,$B$151:$B$168,0))*INDEX('Resource costs'!$C$121:$C$142, MATCH($B179, 'Resource costs'!$B$121:$B$142,0))</f>
        <v>2042.1871993486325</v>
      </c>
      <c r="V201" s="90">
        <f>INDEX(V$151:V$168,MATCH($B179,$B$151:$B$168,0))*INDEX('Resource costs'!$C$121:$C$142, MATCH($B179, 'Resource costs'!$B$121:$B$142,0))</f>
        <v>2136.1999056288269</v>
      </c>
      <c r="W201" s="90">
        <f>INDEX(W$151:W$168,MATCH($B179,$B$151:$B$168,0))*INDEX('Resource costs'!$C$121:$C$142, MATCH($B179, 'Resource costs'!$B$121:$B$142,0))</f>
        <v>2231.3872019076675</v>
      </c>
      <c r="X201" s="90">
        <f>INDEX(X$151:X$168,MATCH($B179,$B$151:$B$168,0))*INDEX('Resource costs'!$C$121:$C$142, MATCH($B179, 'Resource costs'!$B$121:$B$142,0))</f>
        <v>2327.6785393531754</v>
      </c>
      <c r="Y201" s="90">
        <f>INDEX(Y$151:Y$168,MATCH($B179,$B$151:$B$168,0))*INDEX('Resource costs'!$C$121:$C$142, MATCH($B179, 'Resource costs'!$B$121:$B$142,0))</f>
        <v>2425.0362905080133</v>
      </c>
      <c r="Z201" s="90">
        <f>INDEX(Z$151:Z$168,MATCH($B179,$B$151:$B$168,0))*INDEX('Resource costs'!$C$121:$C$142, MATCH($B179, 'Resource costs'!$B$121:$B$142,0))</f>
        <v>2523.5194901593122</v>
      </c>
      <c r="AA201" s="90">
        <f>INDEX(AA$151:AA$168,MATCH($B179,$B$151:$B$168,0))*INDEX('Resource costs'!$C$121:$C$142, MATCH($B179, 'Resource costs'!$B$121:$B$142,0))</f>
        <v>2623.097019033376</v>
      </c>
      <c r="AB201" s="90">
        <f>INDEX(AB$151:AB$168,MATCH($B179,$B$151:$B$168,0))*INDEX('Resource costs'!$C$121:$C$142, MATCH($B179, 'Resource costs'!$B$121:$B$142,0))</f>
        <v>2723.7163567838124</v>
      </c>
      <c r="AC201" s="90">
        <f>INDEX(AC$151:AC$168,MATCH($B179,$B$151:$B$168,0))*INDEX('Resource costs'!$C$121:$C$142, MATCH($B179, 'Resource costs'!$B$121:$B$142,0))</f>
        <v>2825.3249980622013</v>
      </c>
      <c r="AD201" s="90">
        <f>INDEX(AD$151:AD$168,MATCH($B179,$B$151:$B$168,0))*INDEX('Resource costs'!$C$121:$C$142, MATCH($B179, 'Resource costs'!$B$121:$B$142,0))</f>
        <v>2927.8640307440978</v>
      </c>
      <c r="AE201" s="90">
        <f>INDEX(AE$151:AE$168,MATCH($B179,$B$151:$B$168,0))*INDEX('Resource costs'!$C$121:$C$142, MATCH($B179, 'Resource costs'!$B$121:$B$142,0))</f>
        <v>3031.2756790809653</v>
      </c>
      <c r="AF201" s="90">
        <f>INDEX(AF$151:AF$168,MATCH($B179,$B$151:$B$168,0))*INDEX('Resource costs'!$C$121:$C$142, MATCH($B179, 'Resource costs'!$B$121:$B$142,0))</f>
        <v>3135.499420872959</v>
      </c>
      <c r="AG201" s="90">
        <f>INDEX(AG$151:AG$168,MATCH($B179,$B$151:$B$168,0))*INDEX('Resource costs'!$C$121:$C$142, MATCH($B179, 'Resource costs'!$B$121:$B$142,0))</f>
        <v>3240.5061812196668</v>
      </c>
      <c r="AH201" s="90">
        <f>INDEX(AH$151:AH$168,MATCH($B179,$B$151:$B$168,0))*INDEX('Resource costs'!$C$121:$C$142, MATCH($B179, 'Resource costs'!$B$121:$B$142,0))</f>
        <v>3346.3378335771145</v>
      </c>
      <c r="AI201" s="90">
        <f>INDEX(AI$151:AI$168,MATCH($B179,$B$151:$B$168,0))*INDEX('Resource costs'!$C$121:$C$142, MATCH($B179, 'Resource costs'!$B$121:$B$142,0))</f>
        <v>3452.9804774765603</v>
      </c>
      <c r="AJ201" s="90">
        <f>INDEX(AJ$151:AJ$168,MATCH($B179,$B$151:$B$168,0))*INDEX('Resource costs'!$C$121:$C$142, MATCH($B179, 'Resource costs'!$B$121:$B$142,0))</f>
        <v>3560.4442804235218</v>
      </c>
      <c r="AK201" s="90">
        <f>INDEX(AK$151:AK$168,MATCH($B179,$B$151:$B$168,0))*INDEX('Resource costs'!$C$121:$C$142, MATCH($B179, 'Resource costs'!$B$121:$B$142,0))</f>
        <v>3668.6214873032682</v>
      </c>
      <c r="AL201" s="90">
        <f>INDEX(AL$151:AL$168,MATCH($B179,$B$151:$B$168,0))*INDEX('Resource costs'!$C$121:$C$142, MATCH($B179, 'Resource costs'!$B$121:$B$142,0))</f>
        <v>3777.4056224787578</v>
      </c>
      <c r="AM201" s="90">
        <f>INDEX(AM$151:AM$168,MATCH($B179,$B$151:$B$168,0))*INDEX('Resource costs'!$C$121:$C$142, MATCH($B179, 'Resource costs'!$B$121:$B$142,0))</f>
        <v>3886.6973495719035</v>
      </c>
      <c r="AN201" s="90">
        <f>INDEX(AN$151:AN$168,MATCH($B179,$B$151:$B$168,0))*INDEX('Resource costs'!$C$121:$C$142, MATCH($B179, 'Resource costs'!$B$121:$B$142,0))</f>
        <v>3996.463990841527</v>
      </c>
      <c r="AO201" s="90">
        <f>INDEX(AO$151:AO$168,MATCH($B179,$B$151:$B$168,0))*INDEX('Resource costs'!$C$121:$C$142, MATCH($B179, 'Resource costs'!$B$121:$B$142,0))</f>
        <v>4106.6568768194074</v>
      </c>
      <c r="AP201" s="90">
        <f>INDEX(AP$151:AP$168,MATCH($B179,$B$151:$B$168,0))*INDEX('Resource costs'!$C$121:$C$142, MATCH($B179, 'Resource costs'!$B$121:$B$142,0))</f>
        <v>4217.2105263347848</v>
      </c>
      <c r="AQ201" s="90">
        <f>INDEX(AQ$151:AQ$168,MATCH($B179,$B$151:$B$168,0))*INDEX('Resource costs'!$C$121:$C$142, MATCH($B179, 'Resource costs'!$B$121:$B$142,0))</f>
        <v>4328.1707603504374</v>
      </c>
      <c r="AR201" s="90">
        <f>INDEX(AR$151:AR$168,MATCH($B179,$B$151:$B$168,0))*INDEX('Resource costs'!$C$121:$C$142, MATCH($B179, 'Resource costs'!$B$121:$B$142,0))</f>
        <v>4439.6184775561442</v>
      </c>
      <c r="AS201" s="90">
        <f>INDEX(AS$151:AS$168,MATCH($B179,$B$151:$B$168,0))*INDEX('Resource costs'!$C$121:$C$142, MATCH($B179, 'Resource costs'!$B$121:$B$142,0))</f>
        <v>4551.6374325945089</v>
      </c>
      <c r="AT201" s="90">
        <f>INDEX(AT$151:AT$168,MATCH($B179,$B$151:$B$168,0))*INDEX('Resource costs'!$C$121:$C$142, MATCH($B179, 'Resource costs'!$B$121:$B$142,0))</f>
        <v>4663.6563876328737</v>
      </c>
      <c r="AU201" s="90">
        <f>INDEX(AU$151:AU$168,MATCH($B179,$B$151:$B$168,0))*INDEX('Resource costs'!$C$121:$C$142, MATCH($B179, 'Resource costs'!$B$121:$B$142,0))</f>
        <v>4775.6753426712376</v>
      </c>
      <c r="AV201" s="90">
        <f>INDEX(AV$151:AV$168,MATCH($B179,$B$151:$B$168,0))*INDEX('Resource costs'!$C$121:$C$142, MATCH($B179, 'Resource costs'!$B$121:$B$142,0))</f>
        <v>4887.6942977096023</v>
      </c>
      <c r="AW201" s="90">
        <f>INDEX(AW$151:AW$168,MATCH($B179,$B$151:$B$168,0))*INDEX('Resource costs'!$C$121:$C$142, MATCH($B179, 'Resource costs'!$B$121:$B$142,0))</f>
        <v>4999.7132527479662</v>
      </c>
      <c r="AX201" s="90">
        <f>INDEX(AX$151:AX$168,MATCH($B179,$B$151:$B$168,0))*INDEX('Resource costs'!$C$121:$C$142, MATCH($B179, 'Resource costs'!$B$121:$B$142,0))</f>
        <v>5111.73220778633</v>
      </c>
      <c r="AY201" s="90">
        <f>INDEX(AY$151:AY$168,MATCH($B179,$B$151:$B$168,0))*INDEX('Resource costs'!$C$121:$C$142, MATCH($B179, 'Resource costs'!$B$121:$B$142,0))</f>
        <v>5223.7511628246948</v>
      </c>
      <c r="AZ201" s="90">
        <f>INDEX(AZ$151:AZ$168,MATCH($B179,$B$151:$B$168,0))*INDEX('Resource costs'!$C$121:$C$142, MATCH($B179, 'Resource costs'!$B$121:$B$142,0))</f>
        <v>5335.7701178630577</v>
      </c>
      <c r="BA201" s="90">
        <f>INDEX(BA$151:BA$168,MATCH($B179,$B$151:$B$168,0))*INDEX('Resource costs'!$C$121:$C$142, MATCH($B179, 'Resource costs'!$B$121:$B$142,0))</f>
        <v>5447.7890729014216</v>
      </c>
      <c r="BB201" s="90">
        <f>INDEX(BB$151:BB$168,MATCH($B179,$B$151:$B$168,0))*INDEX('Resource costs'!$C$121:$C$142, MATCH($B179, 'Resource costs'!$B$121:$B$142,0))</f>
        <v>5559.8080279397855</v>
      </c>
    </row>
    <row r="202" spans="2:54" s="97" customFormat="1" ht="29">
      <c r="B202" s="6" t="s">
        <v>16</v>
      </c>
      <c r="C202" s="316"/>
      <c r="D202" s="90">
        <f>INDEX(D$151:D$168,MATCH($B180,$B$151:$B$168,0))*INDEX('Resource costs'!$C$121:$C$142, MATCH($B180, 'Resource costs'!$B$121:$B$142,0))</f>
        <v>3776.745454130004</v>
      </c>
      <c r="E202" s="90">
        <f>INDEX(E$151:E$168,MATCH($B180,$B$151:$B$168,0))*INDEX('Resource costs'!$C$121:$C$142, MATCH($B180, 'Resource costs'!$B$121:$B$142,0))</f>
        <v>4209.6074371895875</v>
      </c>
      <c r="F202" s="90">
        <f>INDEX(F$151:F$168,MATCH($B180,$B$151:$B$168,0))*INDEX('Resource costs'!$C$121:$C$142, MATCH($B180, 'Resource costs'!$B$121:$B$142,0))</f>
        <v>4647.8743396119989</v>
      </c>
      <c r="G202" s="90">
        <f>INDEX(G$151:G$168,MATCH($B180,$B$151:$B$168,0))*INDEX('Resource costs'!$C$121:$C$142, MATCH($B180, 'Resource costs'!$B$121:$B$142,0))</f>
        <v>5092.1519990987654</v>
      </c>
      <c r="H202" s="90">
        <f>INDEX(H$151:H$168,MATCH($B180,$B$151:$B$168,0))*INDEX('Resource costs'!$C$121:$C$142, MATCH($B180, 'Resource costs'!$B$121:$B$142,0))</f>
        <v>5543.4289870769635</v>
      </c>
      <c r="I202" s="90">
        <f>INDEX(I$151:I$168,MATCH($B180,$B$151:$B$168,0))*INDEX('Resource costs'!$C$121:$C$142, MATCH($B180, 'Resource costs'!$B$121:$B$142,0))</f>
        <v>6002.2404883494219</v>
      </c>
      <c r="J202" s="90">
        <f>INDEX(J$151:J$168,MATCH($B180,$B$151:$B$168,0))*INDEX('Resource costs'!$C$121:$C$142, MATCH($B180, 'Resource costs'!$B$121:$B$142,0))</f>
        <v>6468.2265638907556</v>
      </c>
      <c r="K202" s="90">
        <f>INDEX(K$151:K$168,MATCH($B180,$B$151:$B$168,0))*INDEX('Resource costs'!$C$121:$C$142, MATCH($B180, 'Resource costs'!$B$121:$B$142,0))</f>
        <v>6941.5818412599147</v>
      </c>
      <c r="L202" s="90">
        <f>INDEX(L$151:L$168,MATCH($B180,$B$151:$B$168,0))*INDEX('Resource costs'!$C$121:$C$142, MATCH($B180, 'Resource costs'!$B$121:$B$142,0))</f>
        <v>7425.5404410215397</v>
      </c>
      <c r="M202" s="90">
        <f>INDEX(M$151:M$168,MATCH($B180,$B$151:$B$168,0))*INDEX('Resource costs'!$C$121:$C$142, MATCH($B180, 'Resource costs'!$B$121:$B$142,0))</f>
        <v>7918.4372781559196</v>
      </c>
      <c r="N202" s="90">
        <f>INDEX(N$151:N$168,MATCH($B180,$B$151:$B$168,0))*INDEX('Resource costs'!$C$121:$C$142, MATCH($B180, 'Resource costs'!$B$121:$B$142,0))</f>
        <v>8419.2472952958015</v>
      </c>
      <c r="O202" s="90">
        <f>INDEX(O$151:O$168,MATCH($B180,$B$151:$B$168,0))*INDEX('Resource costs'!$C$121:$C$142, MATCH($B180, 'Resource costs'!$B$121:$B$142,0))</f>
        <v>8927.3144673526713</v>
      </c>
      <c r="P202" s="90">
        <f>INDEX(P$151:P$168,MATCH($B180,$B$151:$B$168,0))*INDEX('Resource costs'!$C$121:$C$142, MATCH($B180, 'Resource costs'!$B$121:$B$142,0))</f>
        <v>9442.0682906487782</v>
      </c>
      <c r="Q202" s="90">
        <f>INDEX(Q$151:Q$168,MATCH($B180,$B$151:$B$168,0))*INDEX('Resource costs'!$C$121:$C$142, MATCH($B180, 'Resource costs'!$B$121:$B$142,0))</f>
        <v>9963.7563631537796</v>
      </c>
      <c r="R202" s="90">
        <f>INDEX(R$151:R$168,MATCH($B180,$B$151:$B$168,0))*INDEX('Resource costs'!$C$121:$C$142, MATCH($B180, 'Resource costs'!$B$121:$B$142,0))</f>
        <v>10492.860067597327</v>
      </c>
      <c r="S202" s="90">
        <f>INDEX(S$151:S$168,MATCH($B180,$B$151:$B$168,0))*INDEX('Resource costs'!$C$121:$C$142, MATCH($B180, 'Resource costs'!$B$121:$B$142,0))</f>
        <v>11029.409523165536</v>
      </c>
      <c r="T202" s="90">
        <f>INDEX(T$151:T$168,MATCH($B180,$B$151:$B$168,0))*INDEX('Resource costs'!$C$121:$C$142, MATCH($B180, 'Resource costs'!$B$121:$B$142,0))</f>
        <v>11572.798087982877</v>
      </c>
      <c r="U202" s="90">
        <f>INDEX(U$151:U$168,MATCH($B180,$B$151:$B$168,0))*INDEX('Resource costs'!$C$121:$C$142, MATCH($B180, 'Resource costs'!$B$121:$B$142,0))</f>
        <v>12122.943466871136</v>
      </c>
      <c r="V202" s="90">
        <f>INDEX(V$151:V$168,MATCH($B180,$B$151:$B$168,0))*INDEX('Resource costs'!$C$121:$C$142, MATCH($B180, 'Resource costs'!$B$121:$B$142,0))</f>
        <v>12681.026841287488</v>
      </c>
      <c r="W202" s="90">
        <f>INDEX(W$151:W$168,MATCH($B180,$B$151:$B$168,0))*INDEX('Resource costs'!$C$121:$C$142, MATCH($B180, 'Resource costs'!$B$121:$B$142,0))</f>
        <v>13246.082881165104</v>
      </c>
      <c r="X202" s="90">
        <f>INDEX(X$151:X$168,MATCH($B180,$B$151:$B$168,0))*INDEX('Resource costs'!$C$121:$C$142, MATCH($B180, 'Resource costs'!$B$121:$B$142,0))</f>
        <v>13817.692790664894</v>
      </c>
      <c r="Y202" s="90">
        <f>INDEX(Y$151:Y$168,MATCH($B180,$B$151:$B$168,0))*INDEX('Resource costs'!$C$121:$C$142, MATCH($B180, 'Resource costs'!$B$121:$B$142,0))</f>
        <v>14395.63320361443</v>
      </c>
      <c r="Z202" s="90">
        <f>INDEX(Z$151:Z$168,MATCH($B180,$B$151:$B$168,0))*INDEX('Resource costs'!$C$121:$C$142, MATCH($B180, 'Resource costs'!$B$121:$B$142,0))</f>
        <v>14980.254565549363</v>
      </c>
      <c r="AA202" s="90">
        <f>INDEX(AA$151:AA$168,MATCH($B180,$B$151:$B$168,0))*INDEX('Resource costs'!$C$121:$C$142, MATCH($B180, 'Resource costs'!$B$121:$B$142,0))</f>
        <v>15571.372144533329</v>
      </c>
      <c r="AB202" s="90">
        <f>INDEX(AB$151:AB$168,MATCH($B180,$B$151:$B$168,0))*INDEX('Resource costs'!$C$121:$C$142, MATCH($B180, 'Resource costs'!$B$121:$B$142,0))</f>
        <v>16168.674166410467</v>
      </c>
      <c r="AC202" s="90">
        <f>INDEX(AC$151:AC$168,MATCH($B180,$B$151:$B$168,0))*INDEX('Resource costs'!$C$121:$C$142, MATCH($B180, 'Resource costs'!$B$121:$B$142,0))</f>
        <v>16771.848946056714</v>
      </c>
      <c r="AD202" s="90">
        <f>INDEX(AD$151:AD$168,MATCH($B180,$B$151:$B$168,0))*INDEX('Resource costs'!$C$121:$C$142, MATCH($B180, 'Resource costs'!$B$121:$B$142,0))</f>
        <v>17380.546766093372</v>
      </c>
      <c r="AE202" s="90">
        <f>INDEX(AE$151:AE$168,MATCH($B180,$B$151:$B$168,0))*INDEX('Resource costs'!$C$121:$C$142, MATCH($B180, 'Resource costs'!$B$121:$B$142,0))</f>
        <v>17994.424654958635</v>
      </c>
      <c r="AF202" s="90">
        <f>INDEX(AF$151:AF$168,MATCH($B180,$B$151:$B$168,0))*INDEX('Resource costs'!$C$121:$C$142, MATCH($B180, 'Resource costs'!$B$121:$B$142,0))</f>
        <v>18613.123337456065</v>
      </c>
      <c r="AG202" s="90">
        <f>INDEX(AG$151:AG$168,MATCH($B180,$B$151:$B$168,0))*INDEX('Resource costs'!$C$121:$C$142, MATCH($B180, 'Resource costs'!$B$121:$B$142,0))</f>
        <v>19236.470217569924</v>
      </c>
      <c r="AH202" s="90">
        <f>INDEX(AH$151:AH$168,MATCH($B180,$B$151:$B$168,0))*INDEX('Resource costs'!$C$121:$C$142, MATCH($B180, 'Resource costs'!$B$121:$B$142,0))</f>
        <v>19864.713866802529</v>
      </c>
      <c r="AI202" s="90">
        <f>INDEX(AI$151:AI$168,MATCH($B180,$B$151:$B$168,0))*INDEX('Resource costs'!$C$121:$C$142, MATCH($B180, 'Resource costs'!$B$121:$B$142,0))</f>
        <v>20497.771768430255</v>
      </c>
      <c r="AJ202" s="90">
        <f>INDEX(AJ$151:AJ$168,MATCH($B180,$B$151:$B$168,0))*INDEX('Resource costs'!$C$121:$C$142, MATCH($B180, 'Resource costs'!$B$121:$B$142,0))</f>
        <v>21135.704279356054</v>
      </c>
      <c r="AK202" s="90">
        <f>INDEX(AK$151:AK$168,MATCH($B180,$B$151:$B$168,0))*INDEX('Resource costs'!$C$121:$C$142, MATCH($B180, 'Resource costs'!$B$121:$B$142,0))</f>
        <v>21777.87173776803</v>
      </c>
      <c r="AL202" s="90">
        <f>INDEX(AL$151:AL$168,MATCH($B180,$B$151:$B$168,0))*INDEX('Resource costs'!$C$121:$C$142, MATCH($B180, 'Resource costs'!$B$121:$B$142,0))</f>
        <v>22423.64207715982</v>
      </c>
      <c r="AM202" s="90">
        <f>INDEX(AM$151:AM$168,MATCH($B180,$B$151:$B$168,0))*INDEX('Resource costs'!$C$121:$C$142, MATCH($B180, 'Resource costs'!$B$121:$B$142,0))</f>
        <v>23072.425611484934</v>
      </c>
      <c r="AN202" s="90">
        <f>INDEX(AN$151:AN$168,MATCH($B180,$B$151:$B$168,0))*INDEX('Resource costs'!$C$121:$C$142, MATCH($B180, 'Resource costs'!$B$121:$B$142,0))</f>
        <v>23724.028357347022</v>
      </c>
      <c r="AO202" s="90">
        <f>INDEX(AO$151:AO$168,MATCH($B180,$B$151:$B$168,0))*INDEX('Resource costs'!$C$121:$C$142, MATCH($B180, 'Resource costs'!$B$121:$B$142,0))</f>
        <v>24378.161400384059</v>
      </c>
      <c r="AP202" s="90">
        <f>INDEX(AP$151:AP$168,MATCH($B180,$B$151:$B$168,0))*INDEX('Resource costs'!$C$121:$C$142, MATCH($B180, 'Resource costs'!$B$121:$B$142,0))</f>
        <v>25034.436027684973</v>
      </c>
      <c r="AQ202" s="90">
        <f>INDEX(AQ$151:AQ$168,MATCH($B180,$B$151:$B$168,0))*INDEX('Resource costs'!$C$121:$C$142, MATCH($B180, 'Resource costs'!$B$121:$B$142,0))</f>
        <v>25693.124244157774</v>
      </c>
      <c r="AR202" s="90">
        <f>INDEX(AR$151:AR$168,MATCH($B180,$B$151:$B$168,0))*INDEX('Resource costs'!$C$121:$C$142, MATCH($B180, 'Resource costs'!$B$121:$B$142,0))</f>
        <v>26354.706285034128</v>
      </c>
      <c r="AS202" s="90">
        <f>INDEX(AS$151:AS$168,MATCH($B180,$B$151:$B$168,0))*INDEX('Resource costs'!$C$121:$C$142, MATCH($B180, 'Resource costs'!$B$121:$B$142,0))</f>
        <v>27019.679339209189</v>
      </c>
      <c r="AT202" s="90">
        <f>INDEX(AT$151:AT$168,MATCH($B180,$B$151:$B$168,0))*INDEX('Resource costs'!$C$121:$C$142, MATCH($B180, 'Resource costs'!$B$121:$B$142,0))</f>
        <v>27684.652393384251</v>
      </c>
      <c r="AU202" s="90">
        <f>INDEX(AU$151:AU$168,MATCH($B180,$B$151:$B$168,0))*INDEX('Resource costs'!$C$121:$C$142, MATCH($B180, 'Resource costs'!$B$121:$B$142,0))</f>
        <v>28349.625447559309</v>
      </c>
      <c r="AV202" s="90">
        <f>INDEX(AV$151:AV$168,MATCH($B180,$B$151:$B$168,0))*INDEX('Resource costs'!$C$121:$C$142, MATCH($B180, 'Resource costs'!$B$121:$B$142,0))</f>
        <v>29014.59850173437</v>
      </c>
      <c r="AW202" s="90">
        <f>INDEX(AW$151:AW$168,MATCH($B180,$B$151:$B$168,0))*INDEX('Resource costs'!$C$121:$C$142, MATCH($B180, 'Resource costs'!$B$121:$B$142,0))</f>
        <v>29679.571555909424</v>
      </c>
      <c r="AX202" s="90">
        <f>INDEX(AX$151:AX$168,MATCH($B180,$B$151:$B$168,0))*INDEX('Resource costs'!$C$121:$C$142, MATCH($B180, 'Resource costs'!$B$121:$B$142,0))</f>
        <v>30344.544610084482</v>
      </c>
      <c r="AY202" s="90">
        <f>INDEX(AY$151:AY$168,MATCH($B180,$B$151:$B$168,0))*INDEX('Resource costs'!$C$121:$C$142, MATCH($B180, 'Resource costs'!$B$121:$B$142,0))</f>
        <v>31009.51766425954</v>
      </c>
      <c r="AZ202" s="90">
        <f>INDEX(AZ$151:AZ$168,MATCH($B180,$B$151:$B$168,0))*INDEX('Resource costs'!$C$121:$C$142, MATCH($B180, 'Resource costs'!$B$121:$B$142,0))</f>
        <v>31674.490718434598</v>
      </c>
      <c r="BA202" s="90">
        <f>INDEX(BA$151:BA$168,MATCH($B180,$B$151:$B$168,0))*INDEX('Resource costs'!$C$121:$C$142, MATCH($B180, 'Resource costs'!$B$121:$B$142,0))</f>
        <v>32339.463772609652</v>
      </c>
      <c r="BB202" s="90">
        <f>INDEX(BB$151:BB$168,MATCH($B180,$B$151:$B$168,0))*INDEX('Resource costs'!$C$121:$C$142, MATCH($B180, 'Resource costs'!$B$121:$B$142,0))</f>
        <v>33004.436826784709</v>
      </c>
    </row>
    <row r="203" spans="2:54" s="97" customFormat="1">
      <c r="B203" s="6" t="s">
        <v>103</v>
      </c>
      <c r="C203" s="316"/>
      <c r="D203" s="90">
        <f>INDEX(D$151:D$168,MATCH($B181,$B$151:$B$168,0))*INDEX('Resource costs'!$C$121:$C$142, MATCH($B181, 'Resource costs'!$B$121:$B$142,0))</f>
        <v>85205.991532965811</v>
      </c>
      <c r="E203" s="90">
        <f>INDEX(E$151:E$168,MATCH($B181,$B$151:$B$168,0))*INDEX('Resource costs'!$C$121:$C$142, MATCH($B181, 'Resource costs'!$B$121:$B$142,0))</f>
        <v>94971.657477750472</v>
      </c>
      <c r="F203" s="90">
        <f>INDEX(F$151:F$168,MATCH($B181,$B$151:$B$168,0))*INDEX('Resource costs'!$C$121:$C$142, MATCH($B181, 'Resource costs'!$B$121:$B$142,0))</f>
        <v>104859.26214439467</v>
      </c>
      <c r="G203" s="90">
        <f>INDEX(G$151:G$168,MATCH($B181,$B$151:$B$168,0))*INDEX('Resource costs'!$C$121:$C$142, MATCH($B181, 'Resource costs'!$B$121:$B$142,0))</f>
        <v>114882.4736507776</v>
      </c>
      <c r="H203" s="90">
        <f>INDEX(H$151:H$168,MATCH($B181,$B$151:$B$168,0))*INDEX('Resource costs'!$C$121:$C$142, MATCH($B181, 'Resource costs'!$B$121:$B$142,0))</f>
        <v>125063.59485253731</v>
      </c>
      <c r="I203" s="90">
        <f>INDEX(I$151:I$168,MATCH($B181,$B$151:$B$168,0))*INDEX('Resource costs'!$C$121:$C$142, MATCH($B181, 'Resource costs'!$B$121:$B$142,0))</f>
        <v>135414.69988925575</v>
      </c>
      <c r="J203" s="90">
        <f>INDEX(J$151:J$168,MATCH($B181,$B$151:$B$168,0))*INDEX('Resource costs'!$C$121:$C$142, MATCH($B181, 'Resource costs'!$B$121:$B$142,0))</f>
        <v>145927.66828738706</v>
      </c>
      <c r="K203" s="90">
        <f>INDEX(K$151:K$168,MATCH($B181,$B$151:$B$168,0))*INDEX('Resource costs'!$C$121:$C$142, MATCH($B181, 'Resource costs'!$B$121:$B$142,0))</f>
        <v>156606.89097937336</v>
      </c>
      <c r="L203" s="90">
        <f>INDEX(L$151:L$168,MATCH($B181,$B$151:$B$168,0))*INDEX('Resource costs'!$C$121:$C$142, MATCH($B181, 'Resource costs'!$B$121:$B$142,0))</f>
        <v>167525.33196366095</v>
      </c>
      <c r="M203" s="90">
        <f>INDEX(M$151:M$168,MATCH($B181,$B$151:$B$168,0))*INDEX('Resource costs'!$C$121:$C$142, MATCH($B181, 'Resource costs'!$B$121:$B$142,0))</f>
        <v>178645.42576971071</v>
      </c>
      <c r="N203" s="90">
        <f>INDEX(N$151:N$168,MATCH($B181,$B$151:$B$168,0))*INDEX('Resource costs'!$C$121:$C$142, MATCH($B181, 'Resource costs'!$B$121:$B$142,0))</f>
        <v>189944.04639382029</v>
      </c>
      <c r="O203" s="90">
        <f>INDEX(O$151:O$168,MATCH($B181,$B$151:$B$168,0))*INDEX('Resource costs'!$C$121:$C$142, MATCH($B181, 'Resource costs'!$B$121:$B$142,0))</f>
        <v>201406.39345592263</v>
      </c>
      <c r="P203" s="90">
        <f>INDEX(P$151:P$168,MATCH($B181,$B$151:$B$168,0))*INDEX('Resource costs'!$C$121:$C$142, MATCH($B181, 'Resource costs'!$B$121:$B$142,0))</f>
        <v>213019.59599817163</v>
      </c>
      <c r="Q203" s="90">
        <f>INDEX(Q$151:Q$168,MATCH($B181,$B$151:$B$168,0))*INDEX('Resource costs'!$C$121:$C$142, MATCH($B181, 'Resource costs'!$B$121:$B$142,0))</f>
        <v>224789.24000213851</v>
      </c>
      <c r="R203" s="90">
        <f>INDEX(R$151:R$168,MATCH($B181,$B$151:$B$168,0))*INDEX('Resource costs'!$C$121:$C$142, MATCH($B181, 'Resource costs'!$B$121:$B$142,0))</f>
        <v>236726.18579539497</v>
      </c>
      <c r="S203" s="90">
        <f>INDEX(S$151:S$168,MATCH($B181,$B$151:$B$168,0))*INDEX('Resource costs'!$C$121:$C$142, MATCH($B181, 'Resource costs'!$B$121:$B$142,0))</f>
        <v>248831.11288762695</v>
      </c>
      <c r="T203" s="90">
        <f>INDEX(T$151:T$168,MATCH($B181,$B$151:$B$168,0))*INDEX('Resource costs'!$C$121:$C$142, MATCH($B181, 'Resource costs'!$B$121:$B$142,0))</f>
        <v>261090.33501823313</v>
      </c>
      <c r="U203" s="90">
        <f>INDEX(U$151:U$168,MATCH($B181,$B$151:$B$168,0))*INDEX('Resource costs'!$C$121:$C$142, MATCH($B181, 'Resource costs'!$B$121:$B$142,0))</f>
        <v>273501.99555103213</v>
      </c>
      <c r="V203" s="90">
        <f>INDEX(V$151:V$168,MATCH($B181,$B$151:$B$168,0))*INDEX('Resource costs'!$C$121:$C$142, MATCH($B181, 'Resource costs'!$B$121:$B$142,0))</f>
        <v>286092.74275725667</v>
      </c>
      <c r="W203" s="90">
        <f>INDEX(W$151:W$168,MATCH($B181,$B$151:$B$168,0))*INDEX('Resource costs'!$C$121:$C$142, MATCH($B181, 'Resource costs'!$B$121:$B$142,0))</f>
        <v>298840.79812244256</v>
      </c>
      <c r="X203" s="90">
        <f>INDEX(X$151:X$168,MATCH($B181,$B$151:$B$168,0))*INDEX('Resource costs'!$C$121:$C$142, MATCH($B181, 'Resource costs'!$B$121:$B$142,0))</f>
        <v>311736.71332258882</v>
      </c>
      <c r="Y203" s="90">
        <f>INDEX(Y$151:Y$168,MATCH($B181,$B$151:$B$168,0))*INDEX('Resource costs'!$C$121:$C$142, MATCH($B181, 'Resource costs'!$B$121:$B$142,0))</f>
        <v>324775.44906224188</v>
      </c>
      <c r="Z203" s="90">
        <f>INDEX(Z$151:Z$168,MATCH($B181,$B$151:$B$168,0))*INDEX('Resource costs'!$C$121:$C$142, MATCH($B181, 'Resource costs'!$B$121:$B$142,0))</f>
        <v>337964.91163524799</v>
      </c>
      <c r="AA203" s="90">
        <f>INDEX(AA$151:AA$168,MATCH($B181,$B$151:$B$168,0))*INDEX('Resource costs'!$C$121:$C$142, MATCH($B181, 'Resource costs'!$B$121:$B$142,0))</f>
        <v>351300.93336125999</v>
      </c>
      <c r="AB203" s="90">
        <f>INDEX(AB$151:AB$168,MATCH($B181,$B$151:$B$168,0))*INDEX('Resource costs'!$C$121:$C$142, MATCH($B181, 'Resource costs'!$B$121:$B$142,0))</f>
        <v>364776.48039952625</v>
      </c>
      <c r="AC203" s="90">
        <f>INDEX(AC$151:AC$168,MATCH($B181,$B$151:$B$168,0))*INDEX('Resource costs'!$C$121:$C$142, MATCH($B181, 'Resource costs'!$B$121:$B$142,0))</f>
        <v>378384.52091791364</v>
      </c>
      <c r="AD203" s="90">
        <f>INDEX(AD$151:AD$168,MATCH($B181,$B$151:$B$168,0))*INDEX('Resource costs'!$C$121:$C$142, MATCH($B181, 'Resource costs'!$B$121:$B$142,0))</f>
        <v>392117.16505030077</v>
      </c>
      <c r="AE203" s="90">
        <f>INDEX(AE$151:AE$168,MATCH($B181,$B$151:$B$168,0))*INDEX('Resource costs'!$C$121:$C$142, MATCH($B181, 'Resource costs'!$B$121:$B$142,0))</f>
        <v>405966.6751208643</v>
      </c>
      <c r="AF203" s="90">
        <f>INDEX(AF$151:AF$168,MATCH($B181,$B$151:$B$168,0))*INDEX('Resource costs'!$C$121:$C$142, MATCH($B181, 'Resource costs'!$B$121:$B$142,0))</f>
        <v>419924.945632499</v>
      </c>
      <c r="AG203" s="90">
        <f>INDEX(AG$151:AG$168,MATCH($B181,$B$151:$B$168,0))*INDEX('Resource costs'!$C$121:$C$142, MATCH($B181, 'Resource costs'!$B$121:$B$142,0))</f>
        <v>433988.08269962674</v>
      </c>
      <c r="AH203" s="90">
        <f>INDEX(AH$151:AH$168,MATCH($B181,$B$151:$B$168,0))*INDEX('Resource costs'!$C$121:$C$142, MATCH($B181, 'Resource costs'!$B$121:$B$142,0))</f>
        <v>448161.69426738966</v>
      </c>
      <c r="AI203" s="90">
        <f>INDEX(AI$151:AI$168,MATCH($B181,$B$151:$B$168,0))*INDEX('Resource costs'!$C$121:$C$142, MATCH($B181, 'Resource costs'!$B$121:$B$142,0))</f>
        <v>462443.91870138841</v>
      </c>
      <c r="AJ203" s="90">
        <f>INDEX(AJ$151:AJ$168,MATCH($B181,$B$151:$B$168,0))*INDEX('Resource costs'!$C$121:$C$142, MATCH($B181, 'Resource costs'!$B$121:$B$142,0))</f>
        <v>476836.11769512977</v>
      </c>
      <c r="AK203" s="90">
        <f>INDEX(AK$151:AK$168,MATCH($B181,$B$151:$B$168,0))*INDEX('Resource costs'!$C$121:$C$142, MATCH($B181, 'Resource costs'!$B$121:$B$142,0))</f>
        <v>491323.86003539339</v>
      </c>
      <c r="AL203" s="90">
        <f>INDEX(AL$151:AL$168,MATCH($B181,$B$151:$B$168,0))*INDEX('Resource costs'!$C$121:$C$142, MATCH($B181, 'Resource costs'!$B$121:$B$142,0))</f>
        <v>505892.88586430822</v>
      </c>
      <c r="AM203" s="90">
        <f>INDEX(AM$151:AM$168,MATCH($B181,$B$151:$B$168,0))*INDEX('Resource costs'!$C$121:$C$142, MATCH($B181, 'Resource costs'!$B$121:$B$142,0))</f>
        <v>520529.89145651268</v>
      </c>
      <c r="AN203" s="90">
        <f>INDEX(AN$151:AN$168,MATCH($B181,$B$151:$B$168,0))*INDEX('Resource costs'!$C$121:$C$142, MATCH($B181, 'Resource costs'!$B$121:$B$142,0))</f>
        <v>535230.50041231839</v>
      </c>
      <c r="AO203" s="90">
        <f>INDEX(AO$151:AO$168,MATCH($B181,$B$151:$B$168,0))*INDEX('Resource costs'!$C$121:$C$142, MATCH($B181, 'Resource costs'!$B$121:$B$142,0))</f>
        <v>549988.19462374528</v>
      </c>
      <c r="AP203" s="90">
        <f>INDEX(AP$151:AP$168,MATCH($B181,$B$151:$B$168,0))*INDEX('Resource costs'!$C$121:$C$142, MATCH($B181, 'Resource costs'!$B$121:$B$142,0))</f>
        <v>564794.20445847022</v>
      </c>
      <c r="AQ203" s="90">
        <f>INDEX(AQ$151:AQ$168,MATCH($B181,$B$151:$B$168,0))*INDEX('Resource costs'!$C$121:$C$142, MATCH($B181, 'Resource costs'!$B$121:$B$142,0))</f>
        <v>579654.66653548751</v>
      </c>
      <c r="AR203" s="90">
        <f>INDEX(AR$151:AR$168,MATCH($B181,$B$151:$B$168,0))*INDEX('Resource costs'!$C$121:$C$142, MATCH($B181, 'Resource costs'!$B$121:$B$142,0))</f>
        <v>594580.41529401962</v>
      </c>
      <c r="AS203" s="90">
        <f>INDEX(AS$151:AS$168,MATCH($B181,$B$151:$B$168,0))*INDEX('Resource costs'!$C$121:$C$142, MATCH($B181, 'Resource costs'!$B$121:$B$142,0))</f>
        <v>609582.66765967244</v>
      </c>
      <c r="AT203" s="90">
        <f>INDEX(AT$151:AT$168,MATCH($B181,$B$151:$B$168,0))*INDEX('Resource costs'!$C$121:$C$142, MATCH($B181, 'Resource costs'!$B$121:$B$142,0))</f>
        <v>624584.92002532538</v>
      </c>
      <c r="AU203" s="90">
        <f>INDEX(AU$151:AU$168,MATCH($B181,$B$151:$B$168,0))*INDEX('Resource costs'!$C$121:$C$142, MATCH($B181, 'Resource costs'!$B$121:$B$142,0))</f>
        <v>639587.17239097832</v>
      </c>
      <c r="AV203" s="90">
        <f>INDEX(AV$151:AV$168,MATCH($B181,$B$151:$B$168,0))*INDEX('Resource costs'!$C$121:$C$142, MATCH($B181, 'Resource costs'!$B$121:$B$142,0))</f>
        <v>654589.42475663114</v>
      </c>
      <c r="AW203" s="90">
        <f>INDEX(AW$151:AW$168,MATCH($B181,$B$151:$B$168,0))*INDEX('Resource costs'!$C$121:$C$142, MATCH($B181, 'Resource costs'!$B$121:$B$142,0))</f>
        <v>669591.67712228384</v>
      </c>
      <c r="AX203" s="90">
        <f>INDEX(AX$151:AX$168,MATCH($B181,$B$151:$B$168,0))*INDEX('Resource costs'!$C$121:$C$142, MATCH($B181, 'Resource costs'!$B$121:$B$142,0))</f>
        <v>684593.92948793666</v>
      </c>
      <c r="AY203" s="90">
        <f>INDEX(AY$151:AY$168,MATCH($B181,$B$151:$B$168,0))*INDEX('Resource costs'!$C$121:$C$142, MATCH($B181, 'Resource costs'!$B$121:$B$142,0))</f>
        <v>699596.18185358949</v>
      </c>
      <c r="AZ203" s="90">
        <f>INDEX(AZ$151:AZ$168,MATCH($B181,$B$151:$B$168,0))*INDEX('Resource costs'!$C$121:$C$142, MATCH($B181, 'Resource costs'!$B$121:$B$142,0))</f>
        <v>714598.43421924231</v>
      </c>
      <c r="BA203" s="90">
        <f>INDEX(BA$151:BA$168,MATCH($B181,$B$151:$B$168,0))*INDEX('Resource costs'!$C$121:$C$142, MATCH($B181, 'Resource costs'!$B$121:$B$142,0))</f>
        <v>729600.68658489513</v>
      </c>
      <c r="BB203" s="90">
        <f>INDEX(BB$151:BB$168,MATCH($B181,$B$151:$B$168,0))*INDEX('Resource costs'!$C$121:$C$142, MATCH($B181, 'Resource costs'!$B$121:$B$142,0))</f>
        <v>744602.93895054783</v>
      </c>
    </row>
    <row r="204" spans="2:54" s="97" customFormat="1">
      <c r="B204" s="6" t="s">
        <v>104</v>
      </c>
      <c r="C204" s="315"/>
      <c r="D204" s="90">
        <f>INDEX(D$151:D$168,MATCH($B182,$B$151:$B$168,0))*INDEX('Resource costs'!$C$121:$C$142, MATCH($B182, 'Resource costs'!$B$121:$B$142,0))</f>
        <v>1757.7660639054104</v>
      </c>
      <c r="E204" s="90">
        <f>INDEX(E$151:E$168,MATCH($B182,$B$151:$B$168,0))*INDEX('Resource costs'!$C$121:$C$142, MATCH($B182, 'Resource costs'!$B$121:$B$142,0))</f>
        <v>1959.2279080826229</v>
      </c>
      <c r="F204" s="90">
        <f>INDEX(F$151:F$168,MATCH($B182,$B$151:$B$168,0))*INDEX('Resource costs'!$C$121:$C$142, MATCH($B182, 'Resource costs'!$B$121:$B$142,0))</f>
        <v>2163.2053000905039</v>
      </c>
      <c r="G204" s="90">
        <f>INDEX(G$151:G$168,MATCH($B182,$B$151:$B$168,0))*INDEX('Resource costs'!$C$121:$C$142, MATCH($B182, 'Resource costs'!$B$121:$B$142,0))</f>
        <v>2369.9802078204334</v>
      </c>
      <c r="H204" s="90">
        <f>INDEX(H$151:H$168,MATCH($B182,$B$151:$B$168,0))*INDEX('Resource costs'!$C$121:$C$142, MATCH($B182, 'Resource costs'!$B$121:$B$142,0))</f>
        <v>2580.0127304046837</v>
      </c>
      <c r="I204" s="90">
        <f>INDEX(I$151:I$168,MATCH($B182,$B$151:$B$168,0))*INDEX('Resource costs'!$C$121:$C$142, MATCH($B182, 'Resource costs'!$B$121:$B$142,0))</f>
        <v>2793.5519525898339</v>
      </c>
      <c r="J204" s="90">
        <f>INDEX(J$151:J$168,MATCH($B182,$B$151:$B$168,0))*INDEX('Resource costs'!$C$121:$C$142, MATCH($B182, 'Resource costs'!$B$121:$B$142,0))</f>
        <v>3010.430352203266</v>
      </c>
      <c r="K204" s="90">
        <f>INDEX(K$151:K$168,MATCH($B182,$B$151:$B$168,0))*INDEX('Resource costs'!$C$121:$C$142, MATCH($B182, 'Resource costs'!$B$121:$B$142,0))</f>
        <v>3230.738512452765</v>
      </c>
      <c r="L204" s="90">
        <f>INDEX(L$151:L$168,MATCH($B182,$B$151:$B$168,0))*INDEX('Resource costs'!$C$121:$C$142, MATCH($B182, 'Resource costs'!$B$121:$B$142,0))</f>
        <v>3455.9816519039318</v>
      </c>
      <c r="M204" s="90">
        <f>INDEX(M$151:M$168,MATCH($B182,$B$151:$B$168,0))*INDEX('Resource costs'!$C$121:$C$142, MATCH($B182, 'Resource costs'!$B$121:$B$142,0))</f>
        <v>3685.3848096872257</v>
      </c>
      <c r="N204" s="90">
        <f>INDEX(N$151:N$168,MATCH($B182,$B$151:$B$168,0))*INDEX('Resource costs'!$C$121:$C$142, MATCH($B182, 'Resource costs'!$B$121:$B$142,0))</f>
        <v>3918.4709054498426</v>
      </c>
      <c r="O204" s="90">
        <f>INDEX(O$151:O$168,MATCH($B182,$B$151:$B$168,0))*INDEX('Resource costs'!$C$121:$C$142, MATCH($B182, 'Resource costs'!$B$121:$B$142,0))</f>
        <v>4154.9346131771827</v>
      </c>
      <c r="P204" s="90">
        <f>INDEX(P$151:P$168,MATCH($B182,$B$151:$B$168,0))*INDEX('Resource costs'!$C$121:$C$142, MATCH($B182, 'Resource costs'!$B$121:$B$142,0))</f>
        <v>4394.5104100755434</v>
      </c>
      <c r="Q204" s="90">
        <f>INDEX(Q$151:Q$168,MATCH($B182,$B$151:$B$168,0))*INDEX('Resource costs'!$C$121:$C$142, MATCH($B182, 'Resource costs'!$B$121:$B$142,0))</f>
        <v>4637.3135327458149</v>
      </c>
      <c r="R204" s="90">
        <f>INDEX(R$151:R$168,MATCH($B182,$B$151:$B$168,0))*INDEX('Resource costs'!$C$121:$C$142, MATCH($B182, 'Resource costs'!$B$121:$B$142,0))</f>
        <v>4883.5680254706213</v>
      </c>
      <c r="S204" s="90">
        <f>INDEX(S$151:S$168,MATCH($B182,$B$151:$B$168,0))*INDEX('Resource costs'!$C$121:$C$142, MATCH($B182, 'Resource costs'!$B$121:$B$142,0))</f>
        <v>5133.2879062672946</v>
      </c>
      <c r="T204" s="90">
        <f>INDEX(T$151:T$168,MATCH($B182,$B$151:$B$168,0))*INDEX('Resource costs'!$C$121:$C$142, MATCH($B182, 'Resource costs'!$B$121:$B$142,0))</f>
        <v>5386.1908329672387</v>
      </c>
      <c r="U204" s="90">
        <f>INDEX(U$151:U$168,MATCH($B182,$B$151:$B$168,0))*INDEX('Resource costs'!$C$121:$C$142, MATCH($B182, 'Resource costs'!$B$121:$B$142,0))</f>
        <v>5642.2385038968996</v>
      </c>
      <c r="V204" s="90">
        <f>INDEX(V$151:V$168,MATCH($B182,$B$151:$B$168,0))*INDEX('Resource costs'!$C$121:$C$142, MATCH($B182, 'Resource costs'!$B$121:$B$142,0))</f>
        <v>5901.9806624016883</v>
      </c>
      <c r="W204" s="90">
        <f>INDEX(W$151:W$168,MATCH($B182,$B$151:$B$168,0))*INDEX('Resource costs'!$C$121:$C$142, MATCH($B182, 'Resource costs'!$B$121:$B$142,0))</f>
        <v>6164.9680263013443</v>
      </c>
      <c r="X204" s="90">
        <f>INDEX(X$151:X$168,MATCH($B182,$B$151:$B$168,0))*INDEX('Resource costs'!$C$121:$C$142, MATCH($B182, 'Resource costs'!$B$121:$B$142,0))</f>
        <v>6431.0056803910675</v>
      </c>
      <c r="Y204" s="90">
        <f>INDEX(Y$151:Y$168,MATCH($B182,$B$151:$B$168,0))*INDEX('Resource costs'!$C$121:$C$142, MATCH($B182, 'Resource costs'!$B$121:$B$142,0))</f>
        <v>6699.9896659893739</v>
      </c>
      <c r="Z204" s="90">
        <f>INDEX(Z$151:Z$168,MATCH($B182,$B$151:$B$168,0))*INDEX('Resource costs'!$C$121:$C$142, MATCH($B182, 'Resource costs'!$B$121:$B$142,0))</f>
        <v>6972.0830868259936</v>
      </c>
      <c r="AA204" s="90">
        <f>INDEX(AA$151:AA$168,MATCH($B182,$B$151:$B$168,0))*INDEX('Resource costs'!$C$121:$C$142, MATCH($B182, 'Resource costs'!$B$121:$B$142,0))</f>
        <v>7247.1999652959748</v>
      </c>
      <c r="AB204" s="90">
        <f>INDEX(AB$151:AB$168,MATCH($B182,$B$151:$B$168,0))*INDEX('Resource costs'!$C$121:$C$142, MATCH($B182, 'Resource costs'!$B$121:$B$142,0))</f>
        <v>7525.1951960334882</v>
      </c>
      <c r="AC204" s="90">
        <f>INDEX(AC$151:AC$168,MATCH($B182,$B$151:$B$168,0))*INDEX('Resource costs'!$C$121:$C$142, MATCH($B182, 'Resource costs'!$B$121:$B$142,0))</f>
        <v>7805.9237151097177</v>
      </c>
      <c r="AD204" s="90">
        <f>INDEX(AD$151:AD$168,MATCH($B182,$B$151:$B$168,0))*INDEX('Resource costs'!$C$121:$C$142, MATCH($B182, 'Resource costs'!$B$121:$B$142,0))</f>
        <v>8089.2227576924288</v>
      </c>
      <c r="AE204" s="90">
        <f>INDEX(AE$151:AE$168,MATCH($B182,$B$151:$B$168,0))*INDEX('Resource costs'!$C$121:$C$142, MATCH($B182, 'Resource costs'!$B$121:$B$142,0))</f>
        <v>8374.9326985753305</v>
      </c>
      <c r="AF204" s="90">
        <f>INDEX(AF$151:AF$168,MATCH($B182,$B$151:$B$168,0))*INDEX('Resource costs'!$C$121:$C$142, MATCH($B182, 'Resource costs'!$B$121:$B$142,0))</f>
        <v>8662.8863245438824</v>
      </c>
      <c r="AG204" s="90">
        <f>INDEX(AG$151:AG$168,MATCH($B182,$B$151:$B$168,0))*INDEX('Resource costs'!$C$121:$C$142, MATCH($B182, 'Resource costs'!$B$121:$B$142,0))</f>
        <v>8953.0033062714356</v>
      </c>
      <c r="AH204" s="90">
        <f>INDEX(AH$151:AH$168,MATCH($B182,$B$151:$B$168,0))*INDEX('Resource costs'!$C$121:$C$142, MATCH($B182, 'Resource costs'!$B$121:$B$142,0))</f>
        <v>9245.3993334586976</v>
      </c>
      <c r="AI204" s="90">
        <f>INDEX(AI$151:AI$168,MATCH($B182,$B$151:$B$168,0))*INDEX('Resource costs'!$C$121:$C$142, MATCH($B182, 'Resource costs'!$B$121:$B$142,0))</f>
        <v>9540.0360013208465</v>
      </c>
      <c r="AJ204" s="90">
        <f>INDEX(AJ$151:AJ$168,MATCH($B182,$B$151:$B$168,0))*INDEX('Resource costs'!$C$121:$C$142, MATCH($B182, 'Resource costs'!$B$121:$B$142,0))</f>
        <v>9836.9414010588989</v>
      </c>
      <c r="AK204" s="90">
        <f>INDEX(AK$151:AK$168,MATCH($B182,$B$151:$B$168,0))*INDEX('Resource costs'!$C$121:$C$142, MATCH($B182, 'Resource costs'!$B$121:$B$142,0))</f>
        <v>10135.817822424973</v>
      </c>
      <c r="AL204" s="90">
        <f>INDEX(AL$151:AL$168,MATCH($B182,$B$151:$B$168,0))*INDEX('Resource costs'!$C$121:$C$142, MATCH($B182, 'Resource costs'!$B$121:$B$142,0))</f>
        <v>10436.371090164603</v>
      </c>
      <c r="AM204" s="90">
        <f>INDEX(AM$151:AM$168,MATCH($B182,$B$151:$B$168,0))*INDEX('Resource costs'!$C$121:$C$142, MATCH($B182, 'Resource costs'!$B$121:$B$142,0))</f>
        <v>10738.326753660594</v>
      </c>
      <c r="AN204" s="90">
        <f>INDEX(AN$151:AN$168,MATCH($B182,$B$151:$B$168,0))*INDEX('Resource costs'!$C$121:$C$142, MATCH($B182, 'Resource costs'!$B$121:$B$142,0))</f>
        <v>11041.594529510157</v>
      </c>
      <c r="AO204" s="90">
        <f>INDEX(AO$151:AO$168,MATCH($B182,$B$151:$B$168,0))*INDEX('Resource costs'!$C$121:$C$142, MATCH($B182, 'Resource costs'!$B$121:$B$142,0))</f>
        <v>11346.03995171152</v>
      </c>
      <c r="AP204" s="90">
        <f>INDEX(AP$151:AP$168,MATCH($B182,$B$151:$B$168,0))*INDEX('Resource costs'!$C$121:$C$142, MATCH($B182, 'Resource costs'!$B$121:$B$142,0))</f>
        <v>11651.482106202033</v>
      </c>
      <c r="AQ204" s="90">
        <f>INDEX(AQ$151:AQ$168,MATCH($B182,$B$151:$B$168,0))*INDEX('Resource costs'!$C$121:$C$142, MATCH($B182, 'Resource costs'!$B$121:$B$142,0))</f>
        <v>11958.047589015856</v>
      </c>
      <c r="AR204" s="90">
        <f>INDEX(AR$151:AR$168,MATCH($B182,$B$151:$B$168,0))*INDEX('Resource costs'!$C$121:$C$142, MATCH($B182, 'Resource costs'!$B$121:$B$142,0))</f>
        <v>12265.959910369167</v>
      </c>
      <c r="AS204" s="90">
        <f>INDEX(AS$151:AS$168,MATCH($B182,$B$151:$B$168,0))*INDEX('Resource costs'!$C$121:$C$142, MATCH($B182, 'Resource costs'!$B$121:$B$142,0))</f>
        <v>12575.450471021661</v>
      </c>
      <c r="AT204" s="90">
        <f>INDEX(AT$151:AT$168,MATCH($B182,$B$151:$B$168,0))*INDEX('Resource costs'!$C$121:$C$142, MATCH($B182, 'Resource costs'!$B$121:$B$142,0))</f>
        <v>12884.941031674154</v>
      </c>
      <c r="AU204" s="90">
        <f>INDEX(AU$151:AU$168,MATCH($B182,$B$151:$B$168,0))*INDEX('Resource costs'!$C$121:$C$142, MATCH($B182, 'Resource costs'!$B$121:$B$142,0))</f>
        <v>13194.431592326651</v>
      </c>
      <c r="AV204" s="90">
        <f>INDEX(AV$151:AV$168,MATCH($B182,$B$151:$B$168,0))*INDEX('Resource costs'!$C$121:$C$142, MATCH($B182, 'Resource costs'!$B$121:$B$142,0))</f>
        <v>13503.922152979143</v>
      </c>
      <c r="AW204" s="90">
        <f>INDEX(AW$151:AW$168,MATCH($B182,$B$151:$B$168,0))*INDEX('Resource costs'!$C$121:$C$142, MATCH($B182, 'Resource costs'!$B$121:$B$142,0))</f>
        <v>13813.412713631635</v>
      </c>
      <c r="AX204" s="90">
        <f>INDEX(AX$151:AX$168,MATCH($B182,$B$151:$B$168,0))*INDEX('Resource costs'!$C$121:$C$142, MATCH($B182, 'Resource costs'!$B$121:$B$142,0))</f>
        <v>14122.90327428413</v>
      </c>
      <c r="AY204" s="90">
        <f>INDEX(AY$151:AY$168,MATCH($B182,$B$151:$B$168,0))*INDEX('Resource costs'!$C$121:$C$142, MATCH($B182, 'Resource costs'!$B$121:$B$142,0))</f>
        <v>14432.393834936622</v>
      </c>
      <c r="AZ204" s="90">
        <f>INDEX(AZ$151:AZ$168,MATCH($B182,$B$151:$B$168,0))*INDEX('Resource costs'!$C$121:$C$142, MATCH($B182, 'Resource costs'!$B$121:$B$142,0))</f>
        <v>14741.884395589115</v>
      </c>
      <c r="BA204" s="90">
        <f>INDEX(BA$151:BA$168,MATCH($B182,$B$151:$B$168,0))*INDEX('Resource costs'!$C$121:$C$142, MATCH($B182, 'Resource costs'!$B$121:$B$142,0))</f>
        <v>15051.374956241609</v>
      </c>
      <c r="BB204" s="90">
        <f>INDEX(BB$151:BB$168,MATCH($B182,$B$151:$B$168,0))*INDEX('Resource costs'!$C$121:$C$142, MATCH($B182, 'Resource costs'!$B$121:$B$142,0))</f>
        <v>15360.865516894102</v>
      </c>
    </row>
    <row r="205" spans="2:54" s="97" customFormat="1">
      <c r="B205" s="6" t="s">
        <v>17</v>
      </c>
      <c r="C205" s="315"/>
      <c r="D205" s="90">
        <f>INDEX(D$151:D$168,MATCH($B183,$B$151:$B$168,0))*INDEX('Resource costs'!$C$121:$C$142, MATCH($B183, 'Resource costs'!$B$121:$B$142,0))</f>
        <v>8792.8864552825289</v>
      </c>
      <c r="E205" s="90">
        <f>INDEX(E$151:E$168,MATCH($B183,$B$151:$B$168,0))*INDEX('Resource costs'!$C$121:$C$142, MATCH($B183, 'Resource costs'!$B$121:$B$142,0))</f>
        <v>9800.6605597536782</v>
      </c>
      <c r="F205" s="90">
        <f>INDEX(F$151:F$168,MATCH($B183,$B$151:$B$168,0))*INDEX('Resource costs'!$C$121:$C$142, MATCH($B183, 'Resource costs'!$B$121:$B$142,0))</f>
        <v>10821.018208134394</v>
      </c>
      <c r="G205" s="90">
        <f>INDEX(G$151:G$168,MATCH($B183,$B$151:$B$168,0))*INDEX('Resource costs'!$C$121:$C$142, MATCH($B183, 'Resource costs'!$B$121:$B$142,0))</f>
        <v>11855.369890537013</v>
      </c>
      <c r="H205" s="90">
        <f>INDEX(H$151:H$168,MATCH($B183,$B$151:$B$168,0))*INDEX('Resource costs'!$C$121:$C$142, MATCH($B183, 'Resource costs'!$B$121:$B$142,0))</f>
        <v>12906.017164325352</v>
      </c>
      <c r="I205" s="90">
        <f>INDEX(I$151:I$168,MATCH($B183,$B$151:$B$168,0))*INDEX('Resource costs'!$C$121:$C$142, MATCH($B183, 'Resource costs'!$B$121:$B$142,0))</f>
        <v>13974.20602800819</v>
      </c>
      <c r="J205" s="90">
        <f>INDEX(J$151:J$168,MATCH($B183,$B$151:$B$168,0))*INDEX('Resource costs'!$C$121:$C$142, MATCH($B183, 'Resource costs'!$B$121:$B$142,0))</f>
        <v>15059.098484156388</v>
      </c>
      <c r="K205" s="90">
        <f>INDEX(K$151:K$168,MATCH($B183,$B$151:$B$168,0))*INDEX('Resource costs'!$C$121:$C$142, MATCH($B183, 'Resource costs'!$B$121:$B$142,0))</f>
        <v>16161.147657834301</v>
      </c>
      <c r="L205" s="90">
        <f>INDEX(L$151:L$168,MATCH($B183,$B$151:$B$168,0))*INDEX('Resource costs'!$C$121:$C$142, MATCH($B183, 'Resource costs'!$B$121:$B$142,0))</f>
        <v>17287.883115239318</v>
      </c>
      <c r="M205" s="90">
        <f>INDEX(M$151:M$168,MATCH($B183,$B$151:$B$168,0))*INDEX('Resource costs'!$C$121:$C$142, MATCH($B183, 'Resource costs'!$B$121:$B$142,0))</f>
        <v>18435.428263761602</v>
      </c>
      <c r="N205" s="90">
        <f>INDEX(N$151:N$168,MATCH($B183,$B$151:$B$168,0))*INDEX('Resource costs'!$C$121:$C$142, MATCH($B183, 'Resource costs'!$B$121:$B$142,0))</f>
        <v>19601.396600749642</v>
      </c>
      <c r="O205" s="90">
        <f>INDEX(O$151:O$168,MATCH($B183,$B$151:$B$168,0))*INDEX('Resource costs'!$C$121:$C$142, MATCH($B183, 'Resource costs'!$B$121:$B$142,0))</f>
        <v>20784.260791574921</v>
      </c>
      <c r="P205" s="90">
        <f>INDEX(P$151:P$168,MATCH($B183,$B$151:$B$168,0))*INDEX('Resource costs'!$C$121:$C$142, MATCH($B183, 'Resource costs'!$B$121:$B$142,0))</f>
        <v>21982.692609561411</v>
      </c>
      <c r="Q205" s="90">
        <f>INDEX(Q$151:Q$168,MATCH($B183,$B$151:$B$168,0))*INDEX('Resource costs'!$C$121:$C$142, MATCH($B183, 'Resource costs'!$B$121:$B$142,0))</f>
        <v>23197.268503627947</v>
      </c>
      <c r="R205" s="90">
        <f>INDEX(R$151:R$168,MATCH($B183,$B$151:$B$168,0))*INDEX('Resource costs'!$C$121:$C$142, MATCH($B183, 'Resource costs'!$B$121:$B$142,0))</f>
        <v>24429.109212181385</v>
      </c>
      <c r="S205" s="90">
        <f>INDEX(S$151:S$168,MATCH($B183,$B$151:$B$168,0))*INDEX('Resource costs'!$C$121:$C$142, MATCH($B183, 'Resource costs'!$B$121:$B$142,0))</f>
        <v>25678.284857655668</v>
      </c>
      <c r="T205" s="90">
        <f>INDEX(T$151:T$168,MATCH($B183,$B$151:$B$168,0))*INDEX('Resource costs'!$C$121:$C$142, MATCH($B183, 'Resource costs'!$B$121:$B$142,0))</f>
        <v>26943.38307768873</v>
      </c>
      <c r="U205" s="90">
        <f>INDEX(U$151:U$168,MATCH($B183,$B$151:$B$168,0))*INDEX('Resource costs'!$C$121:$C$142, MATCH($B183, 'Resource costs'!$B$121:$B$142,0))</f>
        <v>28224.212275529702</v>
      </c>
      <c r="V205" s="90">
        <f>INDEX(V$151:V$168,MATCH($B183,$B$151:$B$168,0))*INDEX('Resource costs'!$C$121:$C$142, MATCH($B183, 'Resource costs'!$B$121:$B$142,0))</f>
        <v>29523.522436466741</v>
      </c>
      <c r="W205" s="90">
        <f>INDEX(W$151:W$168,MATCH($B183,$B$151:$B$168,0))*INDEX('Resource costs'!$C$121:$C$142, MATCH($B183, 'Resource costs'!$B$121:$B$142,0))</f>
        <v>30839.066112856759</v>
      </c>
      <c r="X205" s="90">
        <f>INDEX(X$151:X$168,MATCH($B183,$B$151:$B$168,0))*INDEX('Resource costs'!$C$121:$C$142, MATCH($B183, 'Resource costs'!$B$121:$B$142,0))</f>
        <v>32169.868278898888</v>
      </c>
      <c r="Y205" s="90">
        <f>INDEX(Y$151:Y$168,MATCH($B183,$B$151:$B$168,0))*INDEX('Resource costs'!$C$121:$C$142, MATCH($B183, 'Resource costs'!$B$121:$B$142,0))</f>
        <v>33515.40890129569</v>
      </c>
      <c r="Z205" s="90">
        <f>INDEX(Z$151:Z$168,MATCH($B183,$B$151:$B$168,0))*INDEX('Resource costs'!$C$121:$C$142, MATCH($B183, 'Resource costs'!$B$121:$B$142,0))</f>
        <v>34876.503875066068</v>
      </c>
      <c r="AA205" s="90">
        <f>INDEX(AA$151:AA$168,MATCH($B183,$B$151:$B$168,0))*INDEX('Resource costs'!$C$121:$C$142, MATCH($B183, 'Resource costs'!$B$121:$B$142,0))</f>
        <v>36252.723113787521</v>
      </c>
      <c r="AB205" s="90">
        <f>INDEX(AB$151:AB$168,MATCH($B183,$B$151:$B$168,0))*INDEX('Resource costs'!$C$121:$C$142, MATCH($B183, 'Resource costs'!$B$121:$B$142,0))</f>
        <v>37643.340755792786</v>
      </c>
      <c r="AC205" s="90">
        <f>INDEX(AC$151:AC$168,MATCH($B183,$B$151:$B$168,0))*INDEX('Resource costs'!$C$121:$C$142, MATCH($B183, 'Resource costs'!$B$121:$B$142,0))</f>
        <v>39047.631146695298</v>
      </c>
      <c r="AD205" s="90">
        <f>INDEX(AD$151:AD$168,MATCH($B183,$B$151:$B$168,0))*INDEX('Resource costs'!$C$121:$C$142, MATCH($B183, 'Resource costs'!$B$121:$B$142,0))</f>
        <v>40464.780086745654</v>
      </c>
      <c r="AE205" s="90">
        <f>INDEX(AE$151:AE$168,MATCH($B183,$B$151:$B$168,0))*INDEX('Resource costs'!$C$121:$C$142, MATCH($B183, 'Resource costs'!$B$121:$B$142,0))</f>
        <v>41893.989081569009</v>
      </c>
      <c r="AF205" s="90">
        <f>INDEX(AF$151:AF$168,MATCH($B183,$B$151:$B$168,0))*INDEX('Resource costs'!$C$121:$C$142, MATCH($B183, 'Resource costs'!$B$121:$B$142,0))</f>
        <v>43334.421679239524</v>
      </c>
      <c r="AG205" s="90">
        <f>INDEX(AG$151:AG$168,MATCH($B183,$B$151:$B$168,0))*INDEX('Resource costs'!$C$121:$C$142, MATCH($B183, 'Resource costs'!$B$121:$B$142,0))</f>
        <v>44785.676047759938</v>
      </c>
      <c r="AH205" s="90">
        <f>INDEX(AH$151:AH$168,MATCH($B183,$B$151:$B$168,0))*INDEX('Resource costs'!$C$121:$C$142, MATCH($B183, 'Resource costs'!$B$121:$B$142,0))</f>
        <v>46248.330902593705</v>
      </c>
      <c r="AI205" s="90">
        <f>INDEX(AI$151:AI$168,MATCH($B183,$B$151:$B$168,0))*INDEX('Resource costs'!$C$121:$C$142, MATCH($B183, 'Resource costs'!$B$121:$B$142,0))</f>
        <v>47722.194131195727</v>
      </c>
      <c r="AJ205" s="90">
        <f>INDEX(AJ$151:AJ$168,MATCH($B183,$B$151:$B$168,0))*INDEX('Resource costs'!$C$121:$C$142, MATCH($B183, 'Resource costs'!$B$121:$B$142,0))</f>
        <v>49207.406254392932</v>
      </c>
      <c r="AK205" s="90">
        <f>INDEX(AK$151:AK$168,MATCH($B183,$B$151:$B$168,0))*INDEX('Resource costs'!$C$121:$C$142, MATCH($B183, 'Resource costs'!$B$121:$B$142,0))</f>
        <v>50702.478033964209</v>
      </c>
      <c r="AL205" s="90">
        <f>INDEX(AL$151:AL$168,MATCH($B183,$B$151:$B$168,0))*INDEX('Resource costs'!$C$121:$C$142, MATCH($B183, 'Resource costs'!$B$121:$B$142,0))</f>
        <v>52205.937914812661</v>
      </c>
      <c r="AM205" s="90">
        <f>INDEX(AM$151:AM$168,MATCH($B183,$B$151:$B$168,0))*INDEX('Resource costs'!$C$121:$C$142, MATCH($B183, 'Resource costs'!$B$121:$B$142,0))</f>
        <v>53716.413010543401</v>
      </c>
      <c r="AN205" s="90">
        <f>INDEX(AN$151:AN$168,MATCH($B183,$B$151:$B$168,0))*INDEX('Resource costs'!$C$121:$C$142, MATCH($B183, 'Resource costs'!$B$121:$B$142,0))</f>
        <v>55233.45169580885</v>
      </c>
      <c r="AO205" s="90">
        <f>INDEX(AO$151:AO$168,MATCH($B183,$B$151:$B$168,0))*INDEX('Resource costs'!$C$121:$C$142, MATCH($B183, 'Resource costs'!$B$121:$B$142,0))</f>
        <v>56756.381330312928</v>
      </c>
      <c r="AP205" s="90">
        <f>INDEX(AP$151:AP$168,MATCH($B183,$B$151:$B$168,0))*INDEX('Resource costs'!$C$121:$C$142, MATCH($B183, 'Resource costs'!$B$121:$B$142,0))</f>
        <v>58284.296926273848</v>
      </c>
      <c r="AQ205" s="90">
        <f>INDEX(AQ$151:AQ$168,MATCH($B183,$B$151:$B$168,0))*INDEX('Resource costs'!$C$121:$C$142, MATCH($B183, 'Resource costs'!$B$121:$B$142,0))</f>
        <v>59817.831755989318</v>
      </c>
      <c r="AR205" s="90">
        <f>INDEX(AR$151:AR$168,MATCH($B183,$B$151:$B$168,0))*INDEX('Resource costs'!$C$121:$C$142, MATCH($B183, 'Resource costs'!$B$121:$B$142,0))</f>
        <v>61358.103886301549</v>
      </c>
      <c r="AS205" s="90">
        <f>INDEX(AS$151:AS$168,MATCH($B183,$B$151:$B$168,0))*INDEX('Resource costs'!$C$121:$C$142, MATCH($B183, 'Resource costs'!$B$121:$B$142,0))</f>
        <v>62906.270854978196</v>
      </c>
      <c r="AT205" s="90">
        <f>INDEX(AT$151:AT$168,MATCH($B183,$B$151:$B$168,0))*INDEX('Resource costs'!$C$121:$C$142, MATCH($B183, 'Resource costs'!$B$121:$B$142,0))</f>
        <v>64454.437823654844</v>
      </c>
      <c r="AU205" s="90">
        <f>INDEX(AU$151:AU$168,MATCH($B183,$B$151:$B$168,0))*INDEX('Resource costs'!$C$121:$C$142, MATCH($B183, 'Resource costs'!$B$121:$B$142,0))</f>
        <v>66002.604792331491</v>
      </c>
      <c r="AV205" s="90">
        <f>INDEX(AV$151:AV$168,MATCH($B183,$B$151:$B$168,0))*INDEX('Resource costs'!$C$121:$C$142, MATCH($B183, 'Resource costs'!$B$121:$B$142,0))</f>
        <v>67550.771761008116</v>
      </c>
      <c r="AW205" s="90">
        <f>INDEX(AW$151:AW$168,MATCH($B183,$B$151:$B$168,0))*INDEX('Resource costs'!$C$121:$C$142, MATCH($B183, 'Resource costs'!$B$121:$B$142,0))</f>
        <v>69098.938729684756</v>
      </c>
      <c r="AX205" s="90">
        <f>INDEX(AX$151:AX$168,MATCH($B183,$B$151:$B$168,0))*INDEX('Resource costs'!$C$121:$C$142, MATCH($B183, 'Resource costs'!$B$121:$B$142,0))</f>
        <v>70647.105698361396</v>
      </c>
      <c r="AY205" s="90">
        <f>INDEX(AY$151:AY$168,MATCH($B183,$B$151:$B$168,0))*INDEX('Resource costs'!$C$121:$C$142, MATCH($B183, 'Resource costs'!$B$121:$B$142,0))</f>
        <v>72195.272667038036</v>
      </c>
      <c r="AZ205" s="90">
        <f>INDEX(AZ$151:AZ$168,MATCH($B183,$B$151:$B$168,0))*INDEX('Resource costs'!$C$121:$C$142, MATCH($B183, 'Resource costs'!$B$121:$B$142,0))</f>
        <v>73743.439635714662</v>
      </c>
      <c r="BA205" s="90">
        <f>INDEX(BA$151:BA$168,MATCH($B183,$B$151:$B$168,0))*INDEX('Resource costs'!$C$121:$C$142, MATCH($B183, 'Resource costs'!$B$121:$B$142,0))</f>
        <v>75291.606604391302</v>
      </c>
      <c r="BB205" s="90">
        <f>INDEX(BB$151:BB$168,MATCH($B183,$B$151:$B$168,0))*INDEX('Resource costs'!$C$121:$C$142, MATCH($B183, 'Resource costs'!$B$121:$B$142,0))</f>
        <v>76839.773573067941</v>
      </c>
    </row>
    <row r="206" spans="2:54" s="97" customFormat="1" ht="29">
      <c r="B206" s="6" t="s">
        <v>106</v>
      </c>
      <c r="C206" s="315"/>
      <c r="D206" s="90">
        <f>INDEX(D$151:D$168,MATCH($B184,$B$151:$B$168,0))*INDEX('Resource costs'!$C$121:$C$142, MATCH($B184, 'Resource costs'!$B$121:$B$142,0))</f>
        <v>54.690627601714731</v>
      </c>
      <c r="E206" s="90">
        <f>INDEX(E$151:E$168,MATCH($B184,$B$151:$B$168,0))*INDEX('Resource costs'!$C$121:$C$142, MATCH($B184, 'Resource costs'!$B$121:$B$142,0))</f>
        <v>60.958853460718181</v>
      </c>
      <c r="F206" s="90">
        <f>INDEX(F$151:F$168,MATCH($B184,$B$151:$B$168,0))*INDEX('Resource costs'!$C$121:$C$142, MATCH($B184, 'Resource costs'!$B$121:$B$142,0))</f>
        <v>67.305347351200027</v>
      </c>
      <c r="G206" s="90">
        <f>INDEX(G$151:G$168,MATCH($B184,$B$151:$B$168,0))*INDEX('Resource costs'!$C$121:$C$142, MATCH($B184, 'Resource costs'!$B$121:$B$142,0))</f>
        <v>73.738882341010267</v>
      </c>
      <c r="H206" s="90">
        <f>INDEX(H$151:H$168,MATCH($B184,$B$151:$B$168,0))*INDEX('Resource costs'!$C$121:$C$142, MATCH($B184, 'Resource costs'!$B$121:$B$142,0))</f>
        <v>80.273773822179592</v>
      </c>
      <c r="I206" s="90">
        <f>INDEX(I$151:I$168,MATCH($B184,$B$151:$B$168,0))*INDEX('Resource costs'!$C$121:$C$142, MATCH($B184, 'Resource costs'!$B$121:$B$142,0))</f>
        <v>86.917771745851141</v>
      </c>
      <c r="J206" s="90">
        <f>INDEX(J$151:J$168,MATCH($B184,$B$151:$B$168,0))*INDEX('Resource costs'!$C$121:$C$142, MATCH($B184, 'Resource costs'!$B$121:$B$142,0))</f>
        <v>93.665663875342361</v>
      </c>
      <c r="K206" s="90">
        <f>INDEX(K$151:K$168,MATCH($B184,$B$151:$B$168,0))*INDEX('Resource costs'!$C$121:$C$142, MATCH($B184, 'Resource costs'!$B$121:$B$142,0))</f>
        <v>100.52026859051941</v>
      </c>
      <c r="L206" s="90">
        <f>INDEX(L$151:L$168,MATCH($B184,$B$151:$B$168,0))*INDEX('Resource costs'!$C$121:$C$142, MATCH($B184, 'Resource costs'!$B$121:$B$142,0))</f>
        <v>107.52841882877988</v>
      </c>
      <c r="M206" s="90">
        <f>INDEX(M$151:M$168,MATCH($B184,$B$151:$B$168,0))*INDEX('Resource costs'!$C$121:$C$142, MATCH($B184, 'Resource costs'!$B$121:$B$142,0))</f>
        <v>114.66600268058571</v>
      </c>
      <c r="N206" s="90">
        <f>INDEX(N$151:N$168,MATCH($B184,$B$151:$B$168,0))*INDEX('Resource costs'!$C$121:$C$142, MATCH($B184, 'Resource costs'!$B$121:$B$142,0))</f>
        <v>121.91817640509609</v>
      </c>
      <c r="O206" s="90">
        <f>INDEX(O$151:O$168,MATCH($B184,$B$151:$B$168,0))*INDEX('Resource costs'!$C$121:$C$142, MATCH($B184, 'Resource costs'!$B$121:$B$142,0))</f>
        <v>129.27544017653537</v>
      </c>
      <c r="P206" s="90">
        <f>INDEX(P$151:P$168,MATCH($B184,$B$151:$B$168,0))*INDEX('Resource costs'!$C$121:$C$142, MATCH($B184, 'Resource costs'!$B$121:$B$142,0))</f>
        <v>136.72953259509131</v>
      </c>
      <c r="Q206" s="90">
        <f>INDEX(Q$151:Q$168,MATCH($B184,$B$151:$B$168,0))*INDEX('Resource costs'!$C$121:$C$142, MATCH($B184, 'Resource costs'!$B$121:$B$142,0))</f>
        <v>144.28403909921045</v>
      </c>
      <c r="R206" s="90">
        <f>INDEX(R$151:R$168,MATCH($B184,$B$151:$B$168,0))*INDEX('Resource costs'!$C$121:$C$142, MATCH($B184, 'Resource costs'!$B$121:$B$142,0))</f>
        <v>151.94593053824457</v>
      </c>
      <c r="S206" s="90">
        <f>INDEX(S$151:S$168,MATCH($B184,$B$151:$B$168,0))*INDEX('Resource costs'!$C$121:$C$142, MATCH($B184, 'Resource costs'!$B$121:$B$142,0))</f>
        <v>159.71564306475196</v>
      </c>
      <c r="T206" s="90">
        <f>INDEX(T$151:T$168,MATCH($B184,$B$151:$B$168,0))*INDEX('Resource costs'!$C$121:$C$142, MATCH($B184, 'Resource costs'!$B$121:$B$142,0))</f>
        <v>167.58439196572897</v>
      </c>
      <c r="U206" s="90">
        <f>INDEX(U$151:U$168,MATCH($B184,$B$151:$B$168,0))*INDEX('Resource costs'!$C$121:$C$142, MATCH($B184, 'Resource costs'!$B$121:$B$142,0))</f>
        <v>175.55098553392409</v>
      </c>
      <c r="V206" s="90">
        <f>INDEX(V$151:V$168,MATCH($B184,$B$151:$B$168,0))*INDEX('Resource costs'!$C$121:$C$142, MATCH($B184, 'Resource costs'!$B$121:$B$142,0))</f>
        <v>183.63252832562483</v>
      </c>
      <c r="W206" s="90">
        <f>INDEX(W$151:W$168,MATCH($B184,$B$151:$B$168,0))*INDEX('Resource costs'!$C$121:$C$142, MATCH($B184, 'Resource costs'!$B$121:$B$142,0))</f>
        <v>191.81504150433338</v>
      </c>
      <c r="X206" s="90">
        <f>INDEX(X$151:X$168,MATCH($B184,$B$151:$B$168,0))*INDEX('Resource costs'!$C$121:$C$142, MATCH($B184, 'Resource costs'!$B$121:$B$142,0))</f>
        <v>200.09246053444488</v>
      </c>
      <c r="Y206" s="90">
        <f>INDEX(Y$151:Y$168,MATCH($B184,$B$151:$B$168,0))*INDEX('Resource costs'!$C$121:$C$142, MATCH($B184, 'Resource costs'!$B$121:$B$142,0))</f>
        <v>208.46155087545264</v>
      </c>
      <c r="Z206" s="90">
        <f>INDEX(Z$151:Z$168,MATCH($B184,$B$151:$B$168,0))*INDEX('Resource costs'!$C$121:$C$142, MATCH($B184, 'Resource costs'!$B$121:$B$142,0))</f>
        <v>216.92738728987837</v>
      </c>
      <c r="AA206" s="90">
        <f>INDEX(AA$151:AA$168,MATCH($B184,$B$151:$B$168,0))*INDEX('Resource costs'!$C$121:$C$142, MATCH($B184, 'Resource costs'!$B$121:$B$142,0))</f>
        <v>225.48729469525745</v>
      </c>
      <c r="AB206" s="90">
        <f>INDEX(AB$151:AB$168,MATCH($B184,$B$151:$B$168,0))*INDEX('Resource costs'!$C$121:$C$142, MATCH($B184, 'Resource costs'!$B$121:$B$142,0))</f>
        <v>234.13675832498438</v>
      </c>
      <c r="AC206" s="90">
        <f>INDEX(AC$151:AC$168,MATCH($B184,$B$151:$B$168,0))*INDEX('Resource costs'!$C$121:$C$142, MATCH($B184, 'Resource costs'!$B$121:$B$142,0))</f>
        <v>242.87126470171296</v>
      </c>
      <c r="AD206" s="90">
        <f>INDEX(AD$151:AD$168,MATCH($B184,$B$151:$B$168,0))*INDEX('Resource costs'!$C$121:$C$142, MATCH($B184, 'Resource costs'!$B$121:$B$142,0))</f>
        <v>251.68574960728066</v>
      </c>
      <c r="AE206" s="90">
        <f>INDEX(AE$151:AE$168,MATCH($B184,$B$151:$B$168,0))*INDEX('Resource costs'!$C$121:$C$142, MATCH($B184, 'Resource costs'!$B$121:$B$142,0))</f>
        <v>260.57524650894328</v>
      </c>
      <c r="AF206" s="90">
        <f>INDEX(AF$151:AF$168,MATCH($B184,$B$151:$B$168,0))*INDEX('Resource costs'!$C$121:$C$142, MATCH($B184, 'Resource costs'!$B$121:$B$142,0))</f>
        <v>269.53455278285077</v>
      </c>
      <c r="AG206" s="90">
        <f>INDEX(AG$151:AG$168,MATCH($B184,$B$151:$B$168,0))*INDEX('Resource costs'!$C$121:$C$142, MATCH($B184, 'Resource costs'!$B$121:$B$142,0))</f>
        <v>278.56116908544476</v>
      </c>
      <c r="AH206" s="90">
        <f>INDEX(AH$151:AH$168,MATCH($B184,$B$151:$B$168,0))*INDEX('Resource costs'!$C$121:$C$142, MATCH($B184, 'Resource costs'!$B$121:$B$142,0))</f>
        <v>287.65869495278901</v>
      </c>
      <c r="AI206" s="90">
        <f>INDEX(AI$151:AI$168,MATCH($B184,$B$151:$B$168,0))*INDEX('Resource costs'!$C$121:$C$142, MATCH($B184, 'Resource costs'!$B$121:$B$142,0))</f>
        <v>296.82593546945776</v>
      </c>
      <c r="AJ206" s="90">
        <f>INDEX(AJ$151:AJ$168,MATCH($B184,$B$151:$B$168,0))*INDEX('Resource costs'!$C$121:$C$142, MATCH($B184, 'Resource costs'!$B$121:$B$142,0))</f>
        <v>306.06376465699736</v>
      </c>
      <c r="AK206" s="90">
        <f>INDEX(AK$151:AK$168,MATCH($B184,$B$151:$B$168,0))*INDEX('Resource costs'!$C$121:$C$142, MATCH($B184, 'Resource costs'!$B$121:$B$142,0))</f>
        <v>315.36291964440687</v>
      </c>
      <c r="AL206" s="90">
        <f>INDEX(AL$151:AL$168,MATCH($B184,$B$151:$B$168,0))*INDEX('Resource costs'!$C$121:$C$142, MATCH($B184, 'Resource costs'!$B$121:$B$142,0))</f>
        <v>324.71424754745311</v>
      </c>
      <c r="AM206" s="90">
        <f>INDEX(AM$151:AM$168,MATCH($B184,$B$151:$B$168,0))*INDEX('Resource costs'!$C$121:$C$142, MATCH($B184, 'Resource costs'!$B$121:$B$142,0))</f>
        <v>334.10920918859262</v>
      </c>
      <c r="AN206" s="90">
        <f>INDEX(AN$151:AN$168,MATCH($B184,$B$151:$B$168,0))*INDEX('Resource costs'!$C$121:$C$142, MATCH($B184, 'Resource costs'!$B$121:$B$142,0))</f>
        <v>343.54499551600532</v>
      </c>
      <c r="AO206" s="90">
        <f>INDEX(AO$151:AO$168,MATCH($B184,$B$151:$B$168,0))*INDEX('Resource costs'!$C$121:$C$142, MATCH($B184, 'Resource costs'!$B$121:$B$142,0))</f>
        <v>353.01742279319819</v>
      </c>
      <c r="AP206" s="90">
        <f>INDEX(AP$151:AP$168,MATCH($B184,$B$151:$B$168,0))*INDEX('Resource costs'!$C$121:$C$142, MATCH($B184, 'Resource costs'!$B$121:$B$142,0))</f>
        <v>362.52086211207501</v>
      </c>
      <c r="AQ206" s="90">
        <f>INDEX(AQ$151:AQ$168,MATCH($B184,$B$151:$B$168,0))*INDEX('Resource costs'!$C$121:$C$142, MATCH($B184, 'Resource costs'!$B$121:$B$142,0))</f>
        <v>372.05925234522084</v>
      </c>
      <c r="AR206" s="90">
        <f>INDEX(AR$151:AR$168,MATCH($B184,$B$151:$B$168,0))*INDEX('Resource costs'!$C$121:$C$142, MATCH($B184, 'Resource costs'!$B$121:$B$142,0))</f>
        <v>381.63954772519799</v>
      </c>
      <c r="AS206" s="90">
        <f>INDEX(AS$151:AS$168,MATCH($B184,$B$151:$B$168,0))*INDEX('Resource costs'!$C$121:$C$142, MATCH($B184, 'Resource costs'!$B$121:$B$142,0))</f>
        <v>391.26894798866914</v>
      </c>
      <c r="AT206" s="90">
        <f>INDEX(AT$151:AT$168,MATCH($B184,$B$151:$B$168,0))*INDEX('Resource costs'!$C$121:$C$142, MATCH($B184, 'Resource costs'!$B$121:$B$142,0))</f>
        <v>400.89834825214035</v>
      </c>
      <c r="AU206" s="90">
        <f>INDEX(AU$151:AU$168,MATCH($B184,$B$151:$B$168,0))*INDEX('Resource costs'!$C$121:$C$142, MATCH($B184, 'Resource costs'!$B$121:$B$142,0))</f>
        <v>410.52774851561151</v>
      </c>
      <c r="AV206" s="90">
        <f>INDEX(AV$151:AV$168,MATCH($B184,$B$151:$B$168,0))*INDEX('Resource costs'!$C$121:$C$142, MATCH($B184, 'Resource costs'!$B$121:$B$142,0))</f>
        <v>420.15714877908266</v>
      </c>
      <c r="AW206" s="90">
        <f>INDEX(AW$151:AW$168,MATCH($B184,$B$151:$B$168,0))*INDEX('Resource costs'!$C$121:$C$142, MATCH($B184, 'Resource costs'!$B$121:$B$142,0))</f>
        <v>429.78654904255382</v>
      </c>
      <c r="AX206" s="90">
        <f>INDEX(AX$151:AX$168,MATCH($B184,$B$151:$B$168,0))*INDEX('Resource costs'!$C$121:$C$142, MATCH($B184, 'Resource costs'!$B$121:$B$142,0))</f>
        <v>439.41594930602497</v>
      </c>
      <c r="AY206" s="90">
        <f>INDEX(AY$151:AY$168,MATCH($B184,$B$151:$B$168,0))*INDEX('Resource costs'!$C$121:$C$142, MATCH($B184, 'Resource costs'!$B$121:$B$142,0))</f>
        <v>449.04534956949612</v>
      </c>
      <c r="AZ206" s="90">
        <f>INDEX(AZ$151:AZ$168,MATCH($B184,$B$151:$B$168,0))*INDEX('Resource costs'!$C$121:$C$142, MATCH($B184, 'Resource costs'!$B$121:$B$142,0))</f>
        <v>458.67474983296722</v>
      </c>
      <c r="BA206" s="90">
        <f>INDEX(BA$151:BA$168,MATCH($B184,$B$151:$B$168,0))*INDEX('Resource costs'!$C$121:$C$142, MATCH($B184, 'Resource costs'!$B$121:$B$142,0))</f>
        <v>468.30415009643838</v>
      </c>
      <c r="BB206" s="90">
        <f>INDEX(BB$151:BB$168,MATCH($B184,$B$151:$B$168,0))*INDEX('Resource costs'!$C$121:$C$142, MATCH($B184, 'Resource costs'!$B$121:$B$142,0))</f>
        <v>477.93355035990953</v>
      </c>
    </row>
    <row r="207" spans="2:54" ht="29">
      <c r="B207" s="6" t="s">
        <v>107</v>
      </c>
      <c r="C207" s="52"/>
      <c r="D207" s="90">
        <f>INDEX(D$151:D$168,MATCH($B185,$B$151:$B$168,0))*INDEX('Resource costs'!$C$121:$C$142, MATCH($B185, 'Resource costs'!$B$121:$B$142,0))</f>
        <v>123.77676924499487</v>
      </c>
      <c r="E207" s="90">
        <f>INDEX(E$151:E$168,MATCH($B185,$B$151:$B$168,0))*INDEX('Resource costs'!$C$121:$C$142, MATCH($B185, 'Resource costs'!$B$121:$B$142,0))</f>
        <v>137.96312584297718</v>
      </c>
      <c r="F207" s="90">
        <f>INDEX(F$151:F$168,MATCH($B185,$B$151:$B$168,0))*INDEX('Resource costs'!$C$121:$C$142, MATCH($B185, 'Resource costs'!$B$121:$B$142,0))</f>
        <v>152.32661999626632</v>
      </c>
      <c r="G207" s="90">
        <f>INDEX(G$151:G$168,MATCH($B185,$B$151:$B$168,0))*INDEX('Resource costs'!$C$121:$C$142, MATCH($B185, 'Resource costs'!$B$121:$B$142,0))</f>
        <v>166.88710706294563</v>
      </c>
      <c r="H207" s="90">
        <f>INDEX(H$151:H$168,MATCH($B185,$B$151:$B$168,0))*INDEX('Resource costs'!$C$121:$C$142, MATCH($B185, 'Resource costs'!$B$121:$B$142,0))</f>
        <v>181.67698588453032</v>
      </c>
      <c r="I207" s="90">
        <f>INDEX(I$151:I$168,MATCH($B185,$B$151:$B$168,0))*INDEX('Resource costs'!$C$121:$C$142, MATCH($B185, 'Resource costs'!$B$121:$B$142,0))</f>
        <v>196.71379628377204</v>
      </c>
      <c r="J207" s="90">
        <f>INDEX(J$151:J$168,MATCH($B185,$B$151:$B$168,0))*INDEX('Resource costs'!$C$121:$C$142, MATCH($B185, 'Resource costs'!$B$121:$B$142,0))</f>
        <v>211.98574183694328</v>
      </c>
      <c r="K207" s="90">
        <f>INDEX(K$151:K$168,MATCH($B185,$B$151:$B$168,0))*INDEX('Resource costs'!$C$121:$C$142, MATCH($B185, 'Resource costs'!$B$121:$B$142,0))</f>
        <v>227.49920114984249</v>
      </c>
      <c r="L207" s="90">
        <f>INDEX(L$151:L$168,MATCH($B185,$B$151:$B$168,0))*INDEX('Resource costs'!$C$121:$C$142, MATCH($B185, 'Resource costs'!$B$121:$B$142,0))</f>
        <v>243.36016733206682</v>
      </c>
      <c r="M207" s="90">
        <f>INDEX(M$151:M$168,MATCH($B185,$B$151:$B$168,0))*INDEX('Resource costs'!$C$121:$C$142, MATCH($B185, 'Resource costs'!$B$121:$B$142,0))</f>
        <v>259.51406989514641</v>
      </c>
      <c r="N207" s="90">
        <f>INDEX(N$151:N$168,MATCH($B185,$B$151:$B$168,0))*INDEX('Resource costs'!$C$121:$C$142, MATCH($B185, 'Resource costs'!$B$121:$B$142,0))</f>
        <v>275.92731422944979</v>
      </c>
      <c r="O207" s="90">
        <f>INDEX(O$151:O$168,MATCH($B185,$B$151:$B$168,0))*INDEX('Resource costs'!$C$121:$C$142, MATCH($B185, 'Resource costs'!$B$121:$B$142,0))</f>
        <v>292.57840016585334</v>
      </c>
      <c r="P207" s="90">
        <f>INDEX(P$151:P$168,MATCH($B185,$B$151:$B$168,0))*INDEX('Resource costs'!$C$121:$C$142, MATCH($B185, 'Resource costs'!$B$121:$B$142,0))</f>
        <v>309.44863036217936</v>
      </c>
      <c r="Q207" s="90">
        <f>INDEX(Q$151:Q$168,MATCH($B185,$B$151:$B$168,0))*INDEX('Resource costs'!$C$121:$C$142, MATCH($B185, 'Resource costs'!$B$121:$B$142,0))</f>
        <v>326.54611944440092</v>
      </c>
      <c r="R207" s="90">
        <f>INDEX(R$151:R$168,MATCH($B185,$B$151:$B$168,0))*INDEX('Resource costs'!$C$121:$C$142, MATCH($B185, 'Resource costs'!$B$121:$B$142,0))</f>
        <v>343.88664395869262</v>
      </c>
      <c r="S207" s="90">
        <f>INDEX(S$151:S$168,MATCH($B185,$B$151:$B$168,0))*INDEX('Resource costs'!$C$121:$C$142, MATCH($B185, 'Resource costs'!$B$121:$B$142,0))</f>
        <v>361.47119101302729</v>
      </c>
      <c r="T207" s="90">
        <f>INDEX(T$151:T$168,MATCH($B185,$B$151:$B$168,0))*INDEX('Resource costs'!$C$121:$C$142, MATCH($B185, 'Resource costs'!$B$121:$B$142,0))</f>
        <v>379.27987889380978</v>
      </c>
      <c r="U207" s="90">
        <f>INDEX(U$151:U$168,MATCH($B185,$B$151:$B$168,0))*INDEX('Resource costs'!$C$121:$C$142, MATCH($B185, 'Resource costs'!$B$121:$B$142,0))</f>
        <v>397.31001050868679</v>
      </c>
      <c r="V207" s="90">
        <f>INDEX(V$151:V$168,MATCH($B185,$B$151:$B$168,0))*INDEX('Resource costs'!$C$121:$C$142, MATCH($B185, 'Resource costs'!$B$121:$B$142,0))</f>
        <v>415.60029718370259</v>
      </c>
      <c r="W207" s="90">
        <f>INDEX(W$151:W$168,MATCH($B185,$B$151:$B$168,0))*INDEX('Resource costs'!$C$121:$C$142, MATCH($B185, 'Resource costs'!$B$121:$B$142,0))</f>
        <v>434.11910177561373</v>
      </c>
      <c r="X207" s="90">
        <f>INDEX(X$151:X$168,MATCH($B185,$B$151:$B$168,0))*INDEX('Resource costs'!$C$121:$C$142, MATCH($B185, 'Resource costs'!$B$121:$B$142,0))</f>
        <v>452.8526989231097</v>
      </c>
      <c r="Y207" s="90">
        <f>INDEX(Y$151:Y$168,MATCH($B185,$B$151:$B$168,0))*INDEX('Resource costs'!$C$121:$C$142, MATCH($B185, 'Resource costs'!$B$121:$B$142,0))</f>
        <v>471.79376815847075</v>
      </c>
      <c r="Z207" s="90">
        <f>INDEX(Z$151:Z$168,MATCH($B185,$B$151:$B$168,0))*INDEX('Resource costs'!$C$121:$C$142, MATCH($B185, 'Resource costs'!$B$121:$B$142,0))</f>
        <v>490.95379477153887</v>
      </c>
      <c r="AA207" s="90">
        <f>INDEX(AA$151:AA$168,MATCH($B185,$B$151:$B$168,0))*INDEX('Resource costs'!$C$121:$C$142, MATCH($B185, 'Resource costs'!$B$121:$B$142,0))</f>
        <v>510.32672446965972</v>
      </c>
      <c r="AB207" s="90">
        <f>INDEX(AB$151:AB$168,MATCH($B185,$B$151:$B$168,0))*INDEX('Resource costs'!$C$121:$C$142, MATCH($B185, 'Resource costs'!$B$121:$B$142,0))</f>
        <v>529.90233935538322</v>
      </c>
      <c r="AC207" s="90">
        <f>INDEX(AC$151:AC$168,MATCH($B185,$B$151:$B$168,0))*INDEX('Resource costs'!$C$121:$C$142, MATCH($B185, 'Resource costs'!$B$121:$B$142,0))</f>
        <v>549.67042444913284</v>
      </c>
      <c r="AD207" s="90">
        <f>INDEX(AD$151:AD$168,MATCH($B185,$B$151:$B$168,0))*INDEX('Resource costs'!$C$121:$C$142, MATCH($B185, 'Resource costs'!$B$121:$B$142,0))</f>
        <v>569.61951832524221</v>
      </c>
      <c r="AE207" s="90">
        <f>INDEX(AE$151:AE$168,MATCH($B185,$B$151:$B$168,0))*INDEX('Resource costs'!$C$121:$C$142, MATCH($B185, 'Resource costs'!$B$121:$B$142,0))</f>
        <v>589.73838064136407</v>
      </c>
      <c r="AF207" s="90">
        <f>INDEX(AF$151:AF$168,MATCH($B185,$B$151:$B$168,0))*INDEX('Resource costs'!$C$121:$C$142, MATCH($B185, 'Resource costs'!$B$121:$B$142,0))</f>
        <v>610.0152367296987</v>
      </c>
      <c r="AG207" s="90">
        <f>INDEX(AG$151:AG$168,MATCH($B185,$B$151:$B$168,0))*INDEX('Resource costs'!$C$121:$C$142, MATCH($B185, 'Resource costs'!$B$121:$B$142,0))</f>
        <v>630.4444300329086</v>
      </c>
      <c r="AH207" s="90">
        <f>INDEX(AH$151:AH$168,MATCH($B185,$B$151:$B$168,0))*INDEX('Resource costs'!$C$121:$C$142, MATCH($B185, 'Resource costs'!$B$121:$B$142,0))</f>
        <v>651.03410708293632</v>
      </c>
      <c r="AI207" s="90">
        <f>INDEX(AI$151:AI$168,MATCH($B185,$B$151:$B$168,0))*INDEX('Resource costs'!$C$121:$C$142, MATCH($B185, 'Resource costs'!$B$121:$B$142,0))</f>
        <v>671.78156352663416</v>
      </c>
      <c r="AJ207" s="90">
        <f>INDEX(AJ$151:AJ$168,MATCH($B185,$B$151:$B$168,0))*INDEX('Resource costs'!$C$121:$C$142, MATCH($B185, 'Resource costs'!$B$121:$B$142,0))</f>
        <v>692.6887774646018</v>
      </c>
      <c r="AK207" s="90">
        <f>INDEX(AK$151:AK$168,MATCH($B185,$B$151:$B$168,0))*INDEX('Resource costs'!$C$121:$C$142, MATCH($B185, 'Resource costs'!$B$121:$B$142,0))</f>
        <v>713.73478500783824</v>
      </c>
      <c r="AL207" s="90">
        <f>INDEX(AL$151:AL$168,MATCH($B185,$B$151:$B$168,0))*INDEX('Resource costs'!$C$121:$C$142, MATCH($B185, 'Resource costs'!$B$121:$B$142,0))</f>
        <v>734.89887119128798</v>
      </c>
      <c r="AM207" s="90">
        <f>INDEX(AM$151:AM$168,MATCH($B185,$B$151:$B$168,0))*INDEX('Resource costs'!$C$121:$C$142, MATCH($B185, 'Resource costs'!$B$121:$B$142,0))</f>
        <v>756.16171000143243</v>
      </c>
      <c r="AN207" s="90">
        <f>INDEX(AN$151:AN$168,MATCH($B185,$B$151:$B$168,0))*INDEX('Resource costs'!$C$121:$C$142, MATCH($B185, 'Resource costs'!$B$121:$B$142,0))</f>
        <v>777.516943943868</v>
      </c>
      <c r="AO207" s="90">
        <f>INDEX(AO$151:AO$168,MATCH($B185,$B$151:$B$168,0))*INDEX('Resource costs'!$C$121:$C$142, MATCH($B185, 'Resource costs'!$B$121:$B$142,0))</f>
        <v>798.95510431418961</v>
      </c>
      <c r="AP207" s="90">
        <f>INDEX(AP$151:AP$168,MATCH($B185,$B$151:$B$168,0))*INDEX('Resource costs'!$C$121:$C$142, MATCH($B185, 'Resource costs'!$B$121:$B$142,0))</f>
        <v>820.46345167075833</v>
      </c>
      <c r="AQ207" s="90">
        <f>INDEX(AQ$151:AQ$168,MATCH($B185,$B$151:$B$168,0))*INDEX('Resource costs'!$C$121:$C$142, MATCH($B185, 'Resource costs'!$B$121:$B$142,0))</f>
        <v>842.0509005377703</v>
      </c>
      <c r="AR207" s="90">
        <f>INDEX(AR$151:AR$168,MATCH($B185,$B$151:$B$168,0))*INDEX('Resource costs'!$C$121:$C$142, MATCH($B185, 'Resource costs'!$B$121:$B$142,0))</f>
        <v>863.73318985399544</v>
      </c>
      <c r="AS207" s="90">
        <f>INDEX(AS$151:AS$168,MATCH($B185,$B$151:$B$168,0))*INDEX('Resource costs'!$C$121:$C$142, MATCH($B185, 'Resource costs'!$B$121:$B$142,0))</f>
        <v>885.52661418730838</v>
      </c>
      <c r="AT207" s="90">
        <f>INDEX(AT$151:AT$168,MATCH($B185,$B$151:$B$168,0))*INDEX('Resource costs'!$C$121:$C$142, MATCH($B185, 'Resource costs'!$B$121:$B$142,0))</f>
        <v>907.32003852062144</v>
      </c>
      <c r="AU207" s="90">
        <f>INDEX(AU$151:AU$168,MATCH($B185,$B$151:$B$168,0))*INDEX('Resource costs'!$C$121:$C$142, MATCH($B185, 'Resource costs'!$B$121:$B$142,0))</f>
        <v>929.11346285393438</v>
      </c>
      <c r="AV207" s="90">
        <f>INDEX(AV$151:AV$168,MATCH($B185,$B$151:$B$168,0))*INDEX('Resource costs'!$C$121:$C$142, MATCH($B185, 'Resource costs'!$B$121:$B$142,0))</f>
        <v>950.90688718724721</v>
      </c>
      <c r="AW207" s="90">
        <f>INDEX(AW$151:AW$168,MATCH($B185,$B$151:$B$168,0))*INDEX('Resource costs'!$C$121:$C$142, MATCH($B185, 'Resource costs'!$B$121:$B$142,0))</f>
        <v>972.70031152056004</v>
      </c>
      <c r="AX207" s="90">
        <f>INDEX(AX$151:AX$168,MATCH($B185,$B$151:$B$168,0))*INDEX('Resource costs'!$C$121:$C$142, MATCH($B185, 'Resource costs'!$B$121:$B$142,0))</f>
        <v>994.49373585387286</v>
      </c>
      <c r="AY207" s="90">
        <f>INDEX(AY$151:AY$168,MATCH($B185,$B$151:$B$168,0))*INDEX('Resource costs'!$C$121:$C$142, MATCH($B185, 'Resource costs'!$B$121:$B$142,0))</f>
        <v>1016.2871601871857</v>
      </c>
      <c r="AZ207" s="90">
        <f>INDEX(AZ$151:AZ$168,MATCH($B185,$B$151:$B$168,0))*INDEX('Resource costs'!$C$121:$C$142, MATCH($B185, 'Resource costs'!$B$121:$B$142,0))</f>
        <v>1038.0805845204986</v>
      </c>
      <c r="BA207" s="90">
        <f>INDEX(BA$151:BA$168,MATCH($B185,$B$151:$B$168,0))*INDEX('Resource costs'!$C$121:$C$142, MATCH($B185, 'Resource costs'!$B$121:$B$142,0))</f>
        <v>1059.8740088538116</v>
      </c>
      <c r="BB207" s="90">
        <f>INDEX(BB$151:BB$168,MATCH($B185,$B$151:$B$168,0))*INDEX('Resource costs'!$C$121:$C$142, MATCH($B185, 'Resource costs'!$B$121:$B$142,0))</f>
        <v>1081.6674331871243</v>
      </c>
    </row>
    <row r="208" spans="2:54" s="97" customFormat="1">
      <c r="B208" s="6" t="s">
        <v>2863</v>
      </c>
      <c r="C208" s="315"/>
      <c r="D208" s="90">
        <f>INDEX(D$151:D$168,MATCH($B186,$B$151:$B$168,0))*INDEX('Resource costs'!$C$121:$C$142, MATCH($B186, 'Resource costs'!$B$121:$B$142,0))</f>
        <v>1614.6</v>
      </c>
      <c r="E208" s="90">
        <f>INDEX(E$151:E$168,MATCH($B186,$B$151:$B$168,0))*INDEX('Resource costs'!$C$121:$C$142, MATCH($B186, 'Resource costs'!$B$121:$B$142,0))</f>
        <v>1799.6532333556484</v>
      </c>
      <c r="F208" s="90">
        <f>INDEX(F$151:F$168,MATCH($B186,$B$151:$B$168,0))*INDEX('Resource costs'!$C$121:$C$142, MATCH($B186, 'Resource costs'!$B$121:$B$142,0))</f>
        <v>1987.017128869817</v>
      </c>
      <c r="G208" s="90">
        <f>INDEX(G$151:G$168,MATCH($B186,$B$151:$B$168,0))*INDEX('Resource costs'!$C$121:$C$142, MATCH($B186, 'Resource costs'!$B$121:$B$142,0))</f>
        <v>2176.9506887878956</v>
      </c>
      <c r="H208" s="90">
        <f>INDEX(H$151:H$168,MATCH($B186,$B$151:$B$168,0))*INDEX('Resource costs'!$C$121:$C$142, MATCH($B186, 'Resource costs'!$B$121:$B$142,0))</f>
        <v>2369.876538210131</v>
      </c>
      <c r="I208" s="90">
        <f>INDEX(I$151:I$168,MATCH($B186,$B$151:$B$168,0))*INDEX('Resource costs'!$C$121:$C$142, MATCH($B186, 'Resource costs'!$B$121:$B$142,0))</f>
        <v>2566.0234744947634</v>
      </c>
      <c r="J208" s="90">
        <f>INDEX(J$151:J$168,MATCH($B186,$B$151:$B$168,0))*INDEX('Resource costs'!$C$121:$C$142, MATCH($B186, 'Resource costs'!$B$121:$B$142,0))</f>
        <v>2765.2376197706335</v>
      </c>
      <c r="K208" s="90">
        <f>INDEX(K$151:K$168,MATCH($B186,$B$151:$B$168,0))*INDEX('Resource costs'!$C$121:$C$142, MATCH($B186, 'Resource costs'!$B$121:$B$142,0))</f>
        <v>2967.6021794484582</v>
      </c>
      <c r="L208" s="90">
        <f>INDEX(L$151:L$168,MATCH($B186,$B$151:$B$168,0))*INDEX('Resource costs'!$C$121:$C$142, MATCH($B186, 'Resource costs'!$B$121:$B$142,0))</f>
        <v>3174.4997754515543</v>
      </c>
      <c r="M208" s="90">
        <f>INDEX(M$151:M$168,MATCH($B186,$B$151:$B$168,0))*INDEX('Resource costs'!$C$121:$C$142, MATCH($B186, 'Resource costs'!$B$121:$B$142,0))</f>
        <v>3385.2185657176283</v>
      </c>
      <c r="N208" s="90">
        <f>INDEX(N$151:N$168,MATCH($B186,$B$151:$B$168,0))*INDEX('Resource costs'!$C$121:$C$142, MATCH($B186, 'Resource costs'!$B$121:$B$142,0))</f>
        <v>3599.3203270078452</v>
      </c>
      <c r="O208" s="90">
        <f>INDEX(O$151:O$168,MATCH($B186,$B$151:$B$168,0))*INDEX('Resource costs'!$C$121:$C$142, MATCH($B186, 'Resource costs'!$B$121:$B$142,0))</f>
        <v>3816.5246014198178</v>
      </c>
      <c r="P208" s="90">
        <f>INDEX(P$151:P$168,MATCH($B186,$B$151:$B$168,0))*INDEX('Resource costs'!$C$121:$C$142, MATCH($B186, 'Resource costs'!$B$121:$B$142,0))</f>
        <v>4036.5874923898809</v>
      </c>
      <c r="Q208" s="90">
        <f>INDEX(Q$151:Q$168,MATCH($B186,$B$151:$B$168,0))*INDEX('Resource costs'!$C$121:$C$142, MATCH($B186, 'Resource costs'!$B$121:$B$142,0))</f>
        <v>4259.6148507588359</v>
      </c>
      <c r="R208" s="90">
        <f>INDEX(R$151:R$168,MATCH($B186,$B$151:$B$168,0))*INDEX('Resource costs'!$C$121:$C$142, MATCH($B186, 'Resource costs'!$B$121:$B$142,0))</f>
        <v>4485.8124729100336</v>
      </c>
      <c r="S208" s="90">
        <f>INDEX(S$151:S$168,MATCH($B186,$B$151:$B$168,0))*INDEX('Resource costs'!$C$121:$C$142, MATCH($B186, 'Resource costs'!$B$121:$B$142,0))</f>
        <v>4715.193235125048</v>
      </c>
      <c r="T208" s="90">
        <f>INDEX(T$151:T$168,MATCH($B186,$B$151:$B$168,0))*INDEX('Resource costs'!$C$121:$C$142, MATCH($B186, 'Resource costs'!$B$121:$B$142,0))</f>
        <v>4947.4977913653056</v>
      </c>
      <c r="U208" s="90">
        <f>INDEX(U$151:U$168,MATCH($B186,$B$151:$B$168,0))*INDEX('Resource costs'!$C$121:$C$142, MATCH($B186, 'Resource costs'!$B$121:$B$142,0))</f>
        <v>5182.6909595417937</v>
      </c>
      <c r="V208" s="90">
        <f>INDEX(V$151:V$168,MATCH($B186,$B$151:$B$168,0))*INDEX('Resource costs'!$C$121:$C$142, MATCH($B186, 'Resource costs'!$B$121:$B$142,0))</f>
        <v>5421.2777076498169</v>
      </c>
      <c r="W208" s="90">
        <f>INDEX(W$151:W$168,MATCH($B186,$B$151:$B$168,0))*INDEX('Resource costs'!$C$121:$C$142, MATCH($B186, 'Resource costs'!$B$121:$B$142,0))</f>
        <v>5662.8453465249031</v>
      </c>
      <c r="X208" s="90">
        <f>INDEX(X$151:X$168,MATCH($B186,$B$151:$B$168,0))*INDEX('Resource costs'!$C$121:$C$142, MATCH($B186, 'Resource costs'!$B$121:$B$142,0))</f>
        <v>5907.2148363641281</v>
      </c>
      <c r="Y208" s="90">
        <f>INDEX(Y$151:Y$168,MATCH($B186,$B$151:$B$168,0))*INDEX('Resource costs'!$C$121:$C$142, MATCH($B186, 'Resource costs'!$B$121:$B$142,0))</f>
        <v>6154.2906856851087</v>
      </c>
      <c r="Z208" s="90">
        <f>INDEX(Z$151:Z$168,MATCH($B186,$B$151:$B$168,0))*INDEX('Resource costs'!$C$121:$C$142, MATCH($B186, 'Resource costs'!$B$121:$B$142,0))</f>
        <v>6404.2227137882792</v>
      </c>
      <c r="AA208" s="90">
        <f>INDEX(AA$151:AA$168,MATCH($B186,$B$151:$B$168,0))*INDEX('Resource costs'!$C$121:$C$142, MATCH($B186, 'Resource costs'!$B$121:$B$142,0))</f>
        <v>6656.9319457498386</v>
      </c>
      <c r="AB208" s="90">
        <f>INDEX(AB$151:AB$168,MATCH($B186,$B$151:$B$168,0))*INDEX('Resource costs'!$C$121:$C$142, MATCH($B186, 'Resource costs'!$B$121:$B$142,0))</f>
        <v>6912.2850947072884</v>
      </c>
      <c r="AC208" s="90">
        <f>INDEX(AC$151:AC$168,MATCH($B186,$B$151:$B$168,0))*INDEX('Resource costs'!$C$121:$C$142, MATCH($B186, 'Resource costs'!$B$121:$B$142,0))</f>
        <v>7170.1489118601903</v>
      </c>
      <c r="AD208" s="90">
        <f>INDEX(AD$151:AD$168,MATCH($B186,$B$151:$B$168,0))*INDEX('Resource costs'!$C$121:$C$142, MATCH($B186, 'Resource costs'!$B$121:$B$142,0))</f>
        <v>7430.3738892031706</v>
      </c>
      <c r="AE208" s="90">
        <f>INDEX(AE$151:AE$168,MATCH($B186,$B$151:$B$168,0))*INDEX('Resource costs'!$C$121:$C$142, MATCH($B186, 'Resource costs'!$B$121:$B$142,0))</f>
        <v>7692.8134026413827</v>
      </c>
      <c r="AF208" s="90">
        <f>INDEX(AF$151:AF$168,MATCH($B186,$B$151:$B$168,0))*INDEX('Resource costs'!$C$121:$C$142, MATCH($B186, 'Resource costs'!$B$121:$B$142,0))</f>
        <v>7957.3138580978029</v>
      </c>
      <c r="AG208" s="90">
        <f>INDEX(AG$151:AG$168,MATCH($B186,$B$151:$B$168,0))*INDEX('Resource costs'!$C$121:$C$142, MATCH($B186, 'Resource costs'!$B$121:$B$142,0))</f>
        <v>8223.80146888747</v>
      </c>
      <c r="AH208" s="90">
        <f>INDEX(AH$151:AH$168,MATCH($B186,$B$151:$B$168,0))*INDEX('Resource costs'!$C$121:$C$142, MATCH($B186, 'Resource costs'!$B$121:$B$142,0))</f>
        <v>8492.3825020470431</v>
      </c>
      <c r="AI208" s="90">
        <f>INDEX(AI$151:AI$168,MATCH($B186,$B$151:$B$168,0))*INDEX('Resource costs'!$C$121:$C$142, MATCH($B186, 'Resource costs'!$B$121:$B$142,0))</f>
        <v>8763.0216807744291</v>
      </c>
      <c r="AJ208" s="90">
        <f>INDEX(AJ$151:AJ$168,MATCH($B186,$B$151:$B$168,0))*INDEX('Resource costs'!$C$121:$C$142, MATCH($B186, 'Resource costs'!$B$121:$B$142,0))</f>
        <v>9035.7448083059498</v>
      </c>
      <c r="AK208" s="90">
        <f>INDEX(AK$151:AK$168,MATCH($B186,$B$151:$B$168,0))*INDEX('Resource costs'!$C$121:$C$142, MATCH($B186, 'Resource costs'!$B$121:$B$142,0))</f>
        <v>9310.2784222189966</v>
      </c>
      <c r="AL208" s="90">
        <f>INDEX(AL$151:AL$168,MATCH($B186,$B$151:$B$168,0))*INDEX('Resource costs'!$C$121:$C$142, MATCH($B186, 'Resource costs'!$B$121:$B$142,0))</f>
        <v>9586.3523071671589</v>
      </c>
      <c r="AM208" s="90">
        <f>INDEX(AM$151:AM$168,MATCH($B186,$B$151:$B$168,0))*INDEX('Resource costs'!$C$121:$C$142, MATCH($B186, 'Resource costs'!$B$121:$B$142,0))</f>
        <v>9863.7143659142803</v>
      </c>
      <c r="AN208" s="90">
        <f>INDEX(AN$151:AN$168,MATCH($B186,$B$151:$B$168,0))*INDEX('Resource costs'!$C$121:$C$142, MATCH($B186, 'Resource costs'!$B$121:$B$142,0))</f>
        <v>10142.281668436202</v>
      </c>
      <c r="AO208" s="90">
        <f>INDEX(AO$151:AO$168,MATCH($B186,$B$151:$B$168,0))*INDEX('Resource costs'!$C$121:$C$142, MATCH($B186, 'Resource costs'!$B$121:$B$142,0))</f>
        <v>10421.930700682378</v>
      </c>
      <c r="AP208" s="90">
        <f>INDEX(AP$151:AP$168,MATCH($B186,$B$151:$B$168,0))*INDEX('Resource costs'!$C$121:$C$142, MATCH($B186, 'Resource costs'!$B$121:$B$142,0))</f>
        <v>10702.495283630726</v>
      </c>
      <c r="AQ208" s="90">
        <f>INDEX(AQ$151:AQ$168,MATCH($B186,$B$151:$B$168,0))*INDEX('Resource costs'!$C$121:$C$142, MATCH($B186, 'Resource costs'!$B$121:$B$142,0))</f>
        <v>10984.091702355212</v>
      </c>
      <c r="AR208" s="90">
        <f>INDEX(AR$151:AR$168,MATCH($B186,$B$151:$B$168,0))*INDEX('Resource costs'!$C$121:$C$142, MATCH($B186, 'Resource costs'!$B$121:$B$142,0))</f>
        <v>11266.925262671239</v>
      </c>
      <c r="AS208" s="90">
        <f>INDEX(AS$151:AS$168,MATCH($B186,$B$151:$B$168,0))*INDEX('Resource costs'!$C$121:$C$142, MATCH($B186, 'Resource costs'!$B$121:$B$142,0))</f>
        <v>11551.208518270836</v>
      </c>
      <c r="AT208" s="90">
        <f>INDEX(AT$151:AT$168,MATCH($B186,$B$151:$B$168,0))*INDEX('Resource costs'!$C$121:$C$142, MATCH($B186, 'Resource costs'!$B$121:$B$142,0))</f>
        <v>11835.491773870432</v>
      </c>
      <c r="AU208" s="90">
        <f>INDEX(AU$151:AU$168,MATCH($B186,$B$151:$B$168,0))*INDEX('Resource costs'!$C$121:$C$142, MATCH($B186, 'Resource costs'!$B$121:$B$142,0))</f>
        <v>12119.775029470027</v>
      </c>
      <c r="AV208" s="90">
        <f>INDEX(AV$151:AV$168,MATCH($B186,$B$151:$B$168,0))*INDEX('Resource costs'!$C$121:$C$142, MATCH($B186, 'Resource costs'!$B$121:$B$142,0))</f>
        <v>12404.058285069623</v>
      </c>
      <c r="AW208" s="90">
        <f>INDEX(AW$151:AW$168,MATCH($B186,$B$151:$B$168,0))*INDEX('Resource costs'!$C$121:$C$142, MATCH($B186, 'Resource costs'!$B$121:$B$142,0))</f>
        <v>12688.341540669217</v>
      </c>
      <c r="AX208" s="90">
        <f>INDEX(AX$151:AX$168,MATCH($B186,$B$151:$B$168,0))*INDEX('Resource costs'!$C$121:$C$142, MATCH($B186, 'Resource costs'!$B$121:$B$142,0))</f>
        <v>12972.624796268812</v>
      </c>
      <c r="AY208" s="90">
        <f>INDEX(AY$151:AY$168,MATCH($B186,$B$151:$B$168,0))*INDEX('Resource costs'!$C$121:$C$142, MATCH($B186, 'Resource costs'!$B$121:$B$142,0))</f>
        <v>13256.908051868404</v>
      </c>
      <c r="AZ208" s="90">
        <f>INDEX(AZ$151:AZ$168,MATCH($B186,$B$151:$B$168,0))*INDEX('Resource costs'!$C$121:$C$142, MATCH($B186, 'Resource costs'!$B$121:$B$142,0))</f>
        <v>13541.191307468</v>
      </c>
      <c r="BA208" s="90">
        <f>INDEX(BA$151:BA$168,MATCH($B186,$B$151:$B$168,0))*INDEX('Resource costs'!$C$121:$C$142, MATCH($B186, 'Resource costs'!$B$121:$B$142,0))</f>
        <v>13825.474563067595</v>
      </c>
      <c r="BB208" s="90">
        <f>INDEX(BB$151:BB$168,MATCH($B186,$B$151:$B$168,0))*INDEX('Resource costs'!$C$121:$C$142, MATCH($B186, 'Resource costs'!$B$121:$B$142,0))</f>
        <v>14109.757818667189</v>
      </c>
    </row>
    <row r="209" spans="1:54">
      <c r="B209" s="6" t="s">
        <v>2862</v>
      </c>
      <c r="C209" s="52"/>
      <c r="D209" s="90">
        <f>INDEX(D$151:D$168,MATCH($B187,$B$151:$B$168,0))*INDEX('Resource costs'!$C$121:$C$142, MATCH($B187, 'Resource costs'!$B$121:$B$142,0))</f>
        <v>2095.1189549678425</v>
      </c>
      <c r="E209" s="90">
        <f>INDEX(E$151:E$168,MATCH($B187,$B$151:$B$168,0))*INDEX('Resource costs'!$C$121:$C$142, MATCH($B187, 'Resource costs'!$B$121:$B$142,0))</f>
        <v>2335.2456345674373</v>
      </c>
      <c r="F209" s="90">
        <f>INDEX(F$151:F$168,MATCH($B187,$B$151:$B$168,0))*INDEX('Resource costs'!$C$121:$C$142, MATCH($B187, 'Resource costs'!$B$121:$B$142,0))</f>
        <v>2578.3706494121971</v>
      </c>
      <c r="G209" s="90">
        <f>INDEX(G$151:G$168,MATCH($B187,$B$151:$B$168,0))*INDEX('Resource costs'!$C$121:$C$142, MATCH($B187, 'Resource costs'!$B$121:$B$142,0))</f>
        <v>2824.8300830607091</v>
      </c>
      <c r="H209" s="90">
        <f>INDEX(H$151:H$168,MATCH($B187,$B$151:$B$168,0))*INDEX('Resource costs'!$C$121:$C$142, MATCH($B187, 'Resource costs'!$B$121:$B$142,0))</f>
        <v>3075.1723375062666</v>
      </c>
      <c r="I209" s="90">
        <f>INDEX(I$151:I$168,MATCH($B187,$B$151:$B$168,0))*INDEX('Resource costs'!$C$121:$C$142, MATCH($B187, 'Resource costs'!$B$121:$B$142,0))</f>
        <v>3329.6943021840834</v>
      </c>
      <c r="J209" s="90">
        <f>INDEX(J$151:J$168,MATCH($B187,$B$151:$B$168,0))*INDEX('Resource costs'!$C$121:$C$142, MATCH($B187, 'Resource costs'!$B$121:$B$142,0))</f>
        <v>3588.1963038347662</v>
      </c>
      <c r="K209" s="90">
        <f>INDEX(K$151:K$168,MATCH($B187,$B$151:$B$168,0))*INDEX('Resource costs'!$C$121:$C$142, MATCH($B187, 'Resource costs'!$B$121:$B$142,0))</f>
        <v>3850.7863105204665</v>
      </c>
      <c r="L209" s="90">
        <f>INDEX(L$151:L$168,MATCH($B187,$B$151:$B$168,0))*INDEX('Resource costs'!$C$121:$C$142, MATCH($B187, 'Resource costs'!$B$121:$B$142,0))</f>
        <v>4119.2584244331165</v>
      </c>
      <c r="M209" s="90">
        <f>INDEX(M$151:M$168,MATCH($B187,$B$151:$B$168,0))*INDEX('Resource costs'!$C$121:$C$142, MATCH($B187, 'Resource costs'!$B$121:$B$142,0))</f>
        <v>4392.6889531426086</v>
      </c>
      <c r="N209" s="90">
        <f>INDEX(N$151:N$168,MATCH($B187,$B$151:$B$168,0))*INDEX('Resource costs'!$C$121:$C$142, MATCH($B187, 'Resource costs'!$B$121:$B$142,0))</f>
        <v>4670.5092543758146</v>
      </c>
      <c r="O209" s="90">
        <f>INDEX(O$151:O$168,MATCH($B187,$B$151:$B$168,0))*INDEX('Resource costs'!$C$121:$C$142, MATCH($B187, 'Resource costs'!$B$121:$B$142,0))</f>
        <v>4952.3554035276538</v>
      </c>
      <c r="P209" s="90">
        <f>INDEX(P$151:P$168,MATCH($B187,$B$151:$B$168,0))*INDEX('Resource costs'!$C$121:$C$142, MATCH($B187, 'Resource costs'!$B$121:$B$142,0))</f>
        <v>5237.9109183030787</v>
      </c>
      <c r="Q209" s="90">
        <f>INDEX(Q$151:Q$168,MATCH($B187,$B$151:$B$168,0))*INDEX('Resource costs'!$C$121:$C$142, MATCH($B187, 'Resource costs'!$B$121:$B$142,0))</f>
        <v>5527.3131516706026</v>
      </c>
      <c r="R209" s="90">
        <f>INDEX(R$151:R$168,MATCH($B187,$B$151:$B$168,0))*INDEX('Resource costs'!$C$121:$C$142, MATCH($B187, 'Resource costs'!$B$121:$B$142,0))</f>
        <v>5820.8291468010548</v>
      </c>
      <c r="S209" s="90">
        <f>INDEX(S$151:S$168,MATCH($B187,$B$151:$B$168,0))*INDEX('Resource costs'!$C$121:$C$142, MATCH($B187, 'Resource costs'!$B$121:$B$142,0))</f>
        <v>6118.4756120690145</v>
      </c>
      <c r="T209" s="90">
        <f>INDEX(T$151:T$168,MATCH($B187,$B$151:$B$168,0))*INDEX('Resource costs'!$C$121:$C$142, MATCH($B187, 'Resource costs'!$B$121:$B$142,0))</f>
        <v>6419.9160178068796</v>
      </c>
      <c r="U209" s="90">
        <f>INDEX(U$151:U$168,MATCH($B187,$B$151:$B$168,0))*INDEX('Resource costs'!$C$121:$C$142, MATCH($B187, 'Resource costs'!$B$121:$B$142,0))</f>
        <v>6725.1047114309968</v>
      </c>
      <c r="V209" s="90">
        <f>INDEX(V$151:V$168,MATCH($B187,$B$151:$B$168,0))*INDEX('Resource costs'!$C$121:$C$142, MATCH($B187, 'Resource costs'!$B$121:$B$142,0))</f>
        <v>7034.6969437890157</v>
      </c>
      <c r="W209" s="90">
        <f>INDEX(W$151:W$168,MATCH($B187,$B$151:$B$168,0))*INDEX('Resource costs'!$C$121:$C$142, MATCH($B187, 'Resource costs'!$B$121:$B$142,0))</f>
        <v>7348.1572058440261</v>
      </c>
      <c r="X209" s="90">
        <f>INDEX(X$151:X$168,MATCH($B187,$B$151:$B$168,0))*INDEX('Resource costs'!$C$121:$C$142, MATCH($B187, 'Resource costs'!$B$121:$B$142,0))</f>
        <v>7665.2531739958795</v>
      </c>
      <c r="Y209" s="90">
        <f>INDEX(Y$151:Y$168,MATCH($B187,$B$151:$B$168,0))*INDEX('Resource costs'!$C$121:$C$142, MATCH($B187, 'Resource costs'!$B$121:$B$142,0))</f>
        <v>7985.8609376693357</v>
      </c>
      <c r="Z209" s="90">
        <f>INDEX(Z$151:Z$168,MATCH($B187,$B$151:$B$168,0))*INDEX('Resource costs'!$C$121:$C$142, MATCH($B187, 'Resource costs'!$B$121:$B$142,0))</f>
        <v>8310.1749036872407</v>
      </c>
      <c r="AA209" s="90">
        <f>INDEX(AA$151:AA$168,MATCH($B187,$B$151:$B$168,0))*INDEX('Resource costs'!$C$121:$C$142, MATCH($B187, 'Resource costs'!$B$121:$B$142,0))</f>
        <v>8638.0925935039322</v>
      </c>
      <c r="AB209" s="90">
        <f>INDEX(AB$151:AB$168,MATCH($B187,$B$151:$B$168,0))*INDEX('Resource costs'!$C$121:$C$142, MATCH($B187, 'Resource costs'!$B$121:$B$142,0))</f>
        <v>8969.4410529313318</v>
      </c>
      <c r="AC209" s="90">
        <f>INDEX(AC$151:AC$168,MATCH($B187,$B$151:$B$168,0))*INDEX('Resource costs'!$C$121:$C$142, MATCH($B187, 'Resource costs'!$B$121:$B$142,0))</f>
        <v>9304.047377171024</v>
      </c>
      <c r="AD209" s="90">
        <f>INDEX(AD$151:AD$168,MATCH($B187,$B$151:$B$168,0))*INDEX('Resource costs'!$C$121:$C$142, MATCH($B187, 'Resource costs'!$B$121:$B$142,0))</f>
        <v>9641.7175633393344</v>
      </c>
      <c r="AE209" s="90">
        <f>INDEX(AE$151:AE$168,MATCH($B187,$B$151:$B$168,0))*INDEX('Resource costs'!$C$121:$C$142, MATCH($B187, 'Resource costs'!$B$121:$B$142,0))</f>
        <v>9982.2613507398892</v>
      </c>
      <c r="AF209" s="90">
        <f>INDEX(AF$151:AF$168,MATCH($B187,$B$151:$B$168,0))*INDEX('Resource costs'!$C$121:$C$142, MATCH($B187, 'Resource costs'!$B$121:$B$142,0))</f>
        <v>10325.479434367026</v>
      </c>
      <c r="AG209" s="90">
        <f>INDEX(AG$151:AG$168,MATCH($B187,$B$151:$B$168,0))*INDEX('Resource costs'!$C$121:$C$142, MATCH($B187, 'Resource costs'!$B$121:$B$142,0))</f>
        <v>10671.27606797877</v>
      </c>
      <c r="AH209" s="90">
        <f>INDEX(AH$151:AH$168,MATCH($B187,$B$151:$B$168,0))*INDEX('Resource costs'!$C$121:$C$142, MATCH($B187, 'Resource costs'!$B$121:$B$142,0))</f>
        <v>11019.789144602992</v>
      </c>
      <c r="AI209" s="90">
        <f>INDEX(AI$151:AI$168,MATCH($B187,$B$151:$B$168,0))*INDEX('Resource costs'!$C$121:$C$142, MATCH($B187, 'Resource costs'!$B$121:$B$142,0))</f>
        <v>11370.972888755523</v>
      </c>
      <c r="AJ209" s="90">
        <f>INDEX(AJ$151:AJ$168,MATCH($B187,$B$151:$B$168,0))*INDEX('Resource costs'!$C$121:$C$142, MATCH($B187, 'Resource costs'!$B$121:$B$142,0))</f>
        <v>11724.860782939471</v>
      </c>
      <c r="AK209" s="90">
        <f>INDEX(AK$151:AK$168,MATCH($B187,$B$151:$B$168,0))*INDEX('Resource costs'!$C$121:$C$142, MATCH($B187, 'Resource costs'!$B$121:$B$142,0))</f>
        <v>12081.097979944951</v>
      </c>
      <c r="AL209" s="90">
        <f>INDEX(AL$151:AL$168,MATCH($B187,$B$151:$B$168,0))*INDEX('Resource costs'!$C$121:$C$142, MATCH($B187, 'Resource costs'!$B$121:$B$142,0))</f>
        <v>12439.333845996298</v>
      </c>
      <c r="AM209" s="90">
        <f>INDEX(AM$151:AM$168,MATCH($B187,$B$151:$B$168,0))*INDEX('Resource costs'!$C$121:$C$142, MATCH($B187, 'Resource costs'!$B$121:$B$142,0))</f>
        <v>12799.241257534757</v>
      </c>
      <c r="AN209" s="90">
        <f>INDEX(AN$151:AN$168,MATCH($B187,$B$151:$B$168,0))*INDEX('Resource costs'!$C$121:$C$142, MATCH($B187, 'Resource costs'!$B$121:$B$142,0))</f>
        <v>13160.712603842167</v>
      </c>
      <c r="AO209" s="90">
        <f>INDEX(AO$151:AO$168,MATCH($B187,$B$151:$B$168,0))*INDEX('Resource costs'!$C$121:$C$142, MATCH($B187, 'Resource costs'!$B$121:$B$142,0))</f>
        <v>13523.587612015941</v>
      </c>
      <c r="AP209" s="90">
        <f>INDEX(AP$151:AP$168,MATCH($B187,$B$151:$B$168,0))*INDEX('Resource costs'!$C$121:$C$142, MATCH($B187, 'Resource costs'!$B$121:$B$142,0))</f>
        <v>13887.650646716627</v>
      </c>
      <c r="AQ209" s="90">
        <f>INDEX(AQ$151:AQ$168,MATCH($B187,$B$151:$B$168,0))*INDEX('Resource costs'!$C$121:$C$142, MATCH($B187, 'Resource costs'!$B$121:$B$142,0))</f>
        <v>14253.052600464142</v>
      </c>
      <c r="AR209" s="90">
        <f>INDEX(AR$151:AR$168,MATCH($B187,$B$151:$B$168,0))*INDEX('Resource costs'!$C$121:$C$142, MATCH($B187, 'Resource costs'!$B$121:$B$142,0))</f>
        <v>14620.059879864082</v>
      </c>
      <c r="AS209" s="90">
        <f>INDEX(AS$151:AS$168,MATCH($B187,$B$151:$B$168,0))*INDEX('Resource costs'!$C$121:$C$142, MATCH($B187, 'Resource costs'!$B$121:$B$142,0))</f>
        <v>14988.9482964296</v>
      </c>
      <c r="AT209" s="90">
        <f>INDEX(AT$151:AT$168,MATCH($B187,$B$151:$B$168,0))*INDEX('Resource costs'!$C$121:$C$142, MATCH($B187, 'Resource costs'!$B$121:$B$142,0))</f>
        <v>15357.836712995115</v>
      </c>
      <c r="AU209" s="90">
        <f>INDEX(AU$151:AU$168,MATCH($B187,$B$151:$B$168,0))*INDEX('Resource costs'!$C$121:$C$142, MATCH($B187, 'Resource costs'!$B$121:$B$142,0))</f>
        <v>15726.725129560631</v>
      </c>
      <c r="AV209" s="90">
        <f>INDEX(AV$151:AV$168,MATCH($B187,$B$151:$B$168,0))*INDEX('Resource costs'!$C$121:$C$142, MATCH($B187, 'Resource costs'!$B$121:$B$142,0))</f>
        <v>16095.613546126146</v>
      </c>
      <c r="AW209" s="90">
        <f>INDEX(AW$151:AW$168,MATCH($B187,$B$151:$B$168,0))*INDEX('Resource costs'!$C$121:$C$142, MATCH($B187, 'Resource costs'!$B$121:$B$142,0))</f>
        <v>16464.501962691658</v>
      </c>
      <c r="AX209" s="90">
        <f>INDEX(AX$151:AX$168,MATCH($B187,$B$151:$B$168,0))*INDEX('Resource costs'!$C$121:$C$142, MATCH($B187, 'Resource costs'!$B$121:$B$142,0))</f>
        <v>16833.390379257173</v>
      </c>
      <c r="AY209" s="90">
        <f>INDEX(AY$151:AY$168,MATCH($B187,$B$151:$B$168,0))*INDEX('Resource costs'!$C$121:$C$142, MATCH($B187, 'Resource costs'!$B$121:$B$142,0))</f>
        <v>17202.278795822684</v>
      </c>
      <c r="AZ209" s="90">
        <f>INDEX(AZ$151:AZ$168,MATCH($B187,$B$151:$B$168,0))*INDEX('Resource costs'!$C$121:$C$142, MATCH($B187, 'Resource costs'!$B$121:$B$142,0))</f>
        <v>17571.167212388202</v>
      </c>
      <c r="BA209" s="90">
        <f>INDEX(BA$151:BA$168,MATCH($B187,$B$151:$B$168,0))*INDEX('Resource costs'!$C$121:$C$142, MATCH($B187, 'Resource costs'!$B$121:$B$142,0))</f>
        <v>17940.055628953716</v>
      </c>
      <c r="BB209" s="90">
        <f>INDEX(BB$151:BB$168,MATCH($B187,$B$151:$B$168,0))*INDEX('Resource costs'!$C$121:$C$142, MATCH($B187, 'Resource costs'!$B$121:$B$142,0))</f>
        <v>18308.944045519227</v>
      </c>
    </row>
    <row r="210" spans="1:54">
      <c r="B210" s="6" t="s">
        <v>131</v>
      </c>
      <c r="C210" s="52"/>
      <c r="D210" s="90">
        <f>INDEX(D$151:D$168,MATCH($B188,$B$151:$B$168,0))*INDEX('Resource costs'!$C$121:$C$142, MATCH($B188, 'Resource costs'!$B$121:$B$142,0))</f>
        <v>0</v>
      </c>
      <c r="E210" s="90">
        <f>INDEX(E$151:E$168,MATCH($B188,$B$151:$B$168,0))*INDEX('Resource costs'!$C$121:$C$142, MATCH($B188, 'Resource costs'!$B$121:$B$142,0))</f>
        <v>0</v>
      </c>
      <c r="F210" s="90">
        <f>INDEX(F$151:F$168,MATCH($B188,$B$151:$B$168,0))*INDEX('Resource costs'!$C$121:$C$142, MATCH($B188, 'Resource costs'!$B$121:$B$142,0))</f>
        <v>0</v>
      </c>
      <c r="G210" s="90">
        <f>INDEX(G$151:G$168,MATCH($B188,$B$151:$B$168,0))*INDEX('Resource costs'!$C$121:$C$142, MATCH($B188, 'Resource costs'!$B$121:$B$142,0))</f>
        <v>0</v>
      </c>
      <c r="H210" s="90">
        <f>INDEX(H$151:H$168,MATCH($B188,$B$151:$B$168,0))*INDEX('Resource costs'!$C$121:$C$142, MATCH($B188, 'Resource costs'!$B$121:$B$142,0))</f>
        <v>0</v>
      </c>
      <c r="I210" s="90">
        <f>INDEX(I$151:I$168,MATCH($B188,$B$151:$B$168,0))*INDEX('Resource costs'!$C$121:$C$142, MATCH($B188, 'Resource costs'!$B$121:$B$142,0))</f>
        <v>0</v>
      </c>
      <c r="J210" s="90">
        <f>INDEX(J$151:J$168,MATCH($B188,$B$151:$B$168,0))*INDEX('Resource costs'!$C$121:$C$142, MATCH($B188, 'Resource costs'!$B$121:$B$142,0))</f>
        <v>0</v>
      </c>
      <c r="K210" s="90">
        <f>INDEX(K$151:K$168,MATCH($B188,$B$151:$B$168,0))*INDEX('Resource costs'!$C$121:$C$142, MATCH($B188, 'Resource costs'!$B$121:$B$142,0))</f>
        <v>0</v>
      </c>
      <c r="L210" s="90">
        <f>INDEX(L$151:L$168,MATCH($B188,$B$151:$B$168,0))*INDEX('Resource costs'!$C$121:$C$142, MATCH($B188, 'Resource costs'!$B$121:$B$142,0))</f>
        <v>0</v>
      </c>
      <c r="M210" s="90">
        <f>INDEX(M$151:M$168,MATCH($B188,$B$151:$B$168,0))*INDEX('Resource costs'!$C$121:$C$142, MATCH($B188, 'Resource costs'!$B$121:$B$142,0))</f>
        <v>0</v>
      </c>
      <c r="N210" s="90">
        <f>INDEX(N$151:N$168,MATCH($B188,$B$151:$B$168,0))*INDEX('Resource costs'!$C$121:$C$142, MATCH($B188, 'Resource costs'!$B$121:$B$142,0))</f>
        <v>0</v>
      </c>
      <c r="O210" s="90">
        <f>INDEX(O$151:O$168,MATCH($B188,$B$151:$B$168,0))*INDEX('Resource costs'!$C$121:$C$142, MATCH($B188, 'Resource costs'!$B$121:$B$142,0))</f>
        <v>0</v>
      </c>
      <c r="P210" s="90">
        <f>INDEX(P$151:P$168,MATCH($B188,$B$151:$B$168,0))*INDEX('Resource costs'!$C$121:$C$142, MATCH($B188, 'Resource costs'!$B$121:$B$142,0))</f>
        <v>0</v>
      </c>
      <c r="Q210" s="90">
        <f>INDEX(Q$151:Q$168,MATCH($B188,$B$151:$B$168,0))*INDEX('Resource costs'!$C$121:$C$142, MATCH($B188, 'Resource costs'!$B$121:$B$142,0))</f>
        <v>0</v>
      </c>
      <c r="R210" s="90">
        <f>INDEX(R$151:R$168,MATCH($B188,$B$151:$B$168,0))*INDEX('Resource costs'!$C$121:$C$142, MATCH($B188, 'Resource costs'!$B$121:$B$142,0))</f>
        <v>0</v>
      </c>
      <c r="S210" s="90">
        <f>INDEX(S$151:S$168,MATCH($B188,$B$151:$B$168,0))*INDEX('Resource costs'!$C$121:$C$142, MATCH($B188, 'Resource costs'!$B$121:$B$142,0))</f>
        <v>0</v>
      </c>
      <c r="T210" s="90">
        <f>INDEX(T$151:T$168,MATCH($B188,$B$151:$B$168,0))*INDEX('Resource costs'!$C$121:$C$142, MATCH($B188, 'Resource costs'!$B$121:$B$142,0))</f>
        <v>0</v>
      </c>
      <c r="U210" s="90">
        <f>INDEX(U$151:U$168,MATCH($B188,$B$151:$B$168,0))*INDEX('Resource costs'!$C$121:$C$142, MATCH($B188, 'Resource costs'!$B$121:$B$142,0))</f>
        <v>0</v>
      </c>
      <c r="V210" s="90">
        <f>INDEX(V$151:V$168,MATCH($B188,$B$151:$B$168,0))*INDEX('Resource costs'!$C$121:$C$142, MATCH($B188, 'Resource costs'!$B$121:$B$142,0))</f>
        <v>0</v>
      </c>
      <c r="W210" s="90">
        <f>INDEX(W$151:W$168,MATCH($B188,$B$151:$B$168,0))*INDEX('Resource costs'!$C$121:$C$142, MATCH($B188, 'Resource costs'!$B$121:$B$142,0))</f>
        <v>0</v>
      </c>
      <c r="X210" s="90">
        <f>INDEX(X$151:X$168,MATCH($B188,$B$151:$B$168,0))*INDEX('Resource costs'!$C$121:$C$142, MATCH($B188, 'Resource costs'!$B$121:$B$142,0))</f>
        <v>0</v>
      </c>
      <c r="Y210" s="90">
        <f>INDEX(Y$151:Y$168,MATCH($B188,$B$151:$B$168,0))*INDEX('Resource costs'!$C$121:$C$142, MATCH($B188, 'Resource costs'!$B$121:$B$142,0))</f>
        <v>0</v>
      </c>
      <c r="Z210" s="90">
        <f>INDEX(Z$151:Z$168,MATCH($B188,$B$151:$B$168,0))*INDEX('Resource costs'!$C$121:$C$142, MATCH($B188, 'Resource costs'!$B$121:$B$142,0))</f>
        <v>0</v>
      </c>
      <c r="AA210" s="90">
        <f>INDEX(AA$151:AA$168,MATCH($B188,$B$151:$B$168,0))*INDEX('Resource costs'!$C$121:$C$142, MATCH($B188, 'Resource costs'!$B$121:$B$142,0))</f>
        <v>0</v>
      </c>
      <c r="AB210" s="90">
        <f>INDEX(AB$151:AB$168,MATCH($B188,$B$151:$B$168,0))*INDEX('Resource costs'!$C$121:$C$142, MATCH($B188, 'Resource costs'!$B$121:$B$142,0))</f>
        <v>0</v>
      </c>
      <c r="AC210" s="90">
        <f>INDEX(AC$151:AC$168,MATCH($B188,$B$151:$B$168,0))*INDEX('Resource costs'!$C$121:$C$142, MATCH($B188, 'Resource costs'!$B$121:$B$142,0))</f>
        <v>0</v>
      </c>
      <c r="AD210" s="90">
        <f>INDEX(AD$151:AD$168,MATCH($B188,$B$151:$B$168,0))*INDEX('Resource costs'!$C$121:$C$142, MATCH($B188, 'Resource costs'!$B$121:$B$142,0))</f>
        <v>0</v>
      </c>
      <c r="AE210" s="90">
        <f>INDEX(AE$151:AE$168,MATCH($B188,$B$151:$B$168,0))*INDEX('Resource costs'!$C$121:$C$142, MATCH($B188, 'Resource costs'!$B$121:$B$142,0))</f>
        <v>0</v>
      </c>
      <c r="AF210" s="90">
        <f>INDEX(AF$151:AF$168,MATCH($B188,$B$151:$B$168,0))*INDEX('Resource costs'!$C$121:$C$142, MATCH($B188, 'Resource costs'!$B$121:$B$142,0))</f>
        <v>0</v>
      </c>
      <c r="AG210" s="90">
        <f>INDEX(AG$151:AG$168,MATCH($B188,$B$151:$B$168,0))*INDEX('Resource costs'!$C$121:$C$142, MATCH($B188, 'Resource costs'!$B$121:$B$142,0))</f>
        <v>0</v>
      </c>
      <c r="AH210" s="90">
        <f>INDEX(AH$151:AH$168,MATCH($B188,$B$151:$B$168,0))*INDEX('Resource costs'!$C$121:$C$142, MATCH($B188, 'Resource costs'!$B$121:$B$142,0))</f>
        <v>0</v>
      </c>
      <c r="AI210" s="90">
        <f>INDEX(AI$151:AI$168,MATCH($B188,$B$151:$B$168,0))*INDEX('Resource costs'!$C$121:$C$142, MATCH($B188, 'Resource costs'!$B$121:$B$142,0))</f>
        <v>0</v>
      </c>
      <c r="AJ210" s="90">
        <f>INDEX(AJ$151:AJ$168,MATCH($B188,$B$151:$B$168,0))*INDEX('Resource costs'!$C$121:$C$142, MATCH($B188, 'Resource costs'!$B$121:$B$142,0))</f>
        <v>0</v>
      </c>
      <c r="AK210" s="90">
        <f>INDEX(AK$151:AK$168,MATCH($B188,$B$151:$B$168,0))*INDEX('Resource costs'!$C$121:$C$142, MATCH($B188, 'Resource costs'!$B$121:$B$142,0))</f>
        <v>0</v>
      </c>
      <c r="AL210" s="90">
        <f>INDEX(AL$151:AL$168,MATCH($B188,$B$151:$B$168,0))*INDEX('Resource costs'!$C$121:$C$142, MATCH($B188, 'Resource costs'!$B$121:$B$142,0))</f>
        <v>0</v>
      </c>
      <c r="AM210" s="90">
        <f>INDEX(AM$151:AM$168,MATCH($B188,$B$151:$B$168,0))*INDEX('Resource costs'!$C$121:$C$142, MATCH($B188, 'Resource costs'!$B$121:$B$142,0))</f>
        <v>0</v>
      </c>
      <c r="AN210" s="90">
        <f>INDEX(AN$151:AN$168,MATCH($B188,$B$151:$B$168,0))*INDEX('Resource costs'!$C$121:$C$142, MATCH($B188, 'Resource costs'!$B$121:$B$142,0))</f>
        <v>0</v>
      </c>
      <c r="AO210" s="90">
        <f>INDEX(AO$151:AO$168,MATCH($B188,$B$151:$B$168,0))*INDEX('Resource costs'!$C$121:$C$142, MATCH($B188, 'Resource costs'!$B$121:$B$142,0))</f>
        <v>0</v>
      </c>
      <c r="AP210" s="90">
        <f>INDEX(AP$151:AP$168,MATCH($B188,$B$151:$B$168,0))*INDEX('Resource costs'!$C$121:$C$142, MATCH($B188, 'Resource costs'!$B$121:$B$142,0))</f>
        <v>0</v>
      </c>
      <c r="AQ210" s="90">
        <f>INDEX(AQ$151:AQ$168,MATCH($B188,$B$151:$B$168,0))*INDEX('Resource costs'!$C$121:$C$142, MATCH($B188, 'Resource costs'!$B$121:$B$142,0))</f>
        <v>0</v>
      </c>
      <c r="AR210" s="90">
        <f>INDEX(AR$151:AR$168,MATCH($B188,$B$151:$B$168,0))*INDEX('Resource costs'!$C$121:$C$142, MATCH($B188, 'Resource costs'!$B$121:$B$142,0))</f>
        <v>0</v>
      </c>
      <c r="AS210" s="90">
        <f>INDEX(AS$151:AS$168,MATCH($B188,$B$151:$B$168,0))*INDEX('Resource costs'!$C$121:$C$142, MATCH($B188, 'Resource costs'!$B$121:$B$142,0))</f>
        <v>0</v>
      </c>
      <c r="AT210" s="90">
        <f>INDEX(AT$151:AT$168,MATCH($B188,$B$151:$B$168,0))*INDEX('Resource costs'!$C$121:$C$142, MATCH($B188, 'Resource costs'!$B$121:$B$142,0))</f>
        <v>0</v>
      </c>
      <c r="AU210" s="90">
        <f>INDEX(AU$151:AU$168,MATCH($B188,$B$151:$B$168,0))*INDEX('Resource costs'!$C$121:$C$142, MATCH($B188, 'Resource costs'!$B$121:$B$142,0))</f>
        <v>0</v>
      </c>
      <c r="AV210" s="90">
        <f>INDEX(AV$151:AV$168,MATCH($B188,$B$151:$B$168,0))*INDEX('Resource costs'!$C$121:$C$142, MATCH($B188, 'Resource costs'!$B$121:$B$142,0))</f>
        <v>0</v>
      </c>
      <c r="AW210" s="90">
        <f>INDEX(AW$151:AW$168,MATCH($B188,$B$151:$B$168,0))*INDEX('Resource costs'!$C$121:$C$142, MATCH($B188, 'Resource costs'!$B$121:$B$142,0))</f>
        <v>0</v>
      </c>
      <c r="AX210" s="90">
        <f>INDEX(AX$151:AX$168,MATCH($B188,$B$151:$B$168,0))*INDEX('Resource costs'!$C$121:$C$142, MATCH($B188, 'Resource costs'!$B$121:$B$142,0))</f>
        <v>0</v>
      </c>
      <c r="AY210" s="90">
        <f>INDEX(AY$151:AY$168,MATCH($B188,$B$151:$B$168,0))*INDEX('Resource costs'!$C$121:$C$142, MATCH($B188, 'Resource costs'!$B$121:$B$142,0))</f>
        <v>0</v>
      </c>
      <c r="AZ210" s="90">
        <f>INDEX(AZ$151:AZ$168,MATCH($B188,$B$151:$B$168,0))*INDEX('Resource costs'!$C$121:$C$142, MATCH($B188, 'Resource costs'!$B$121:$B$142,0))</f>
        <v>0</v>
      </c>
      <c r="BA210" s="90">
        <f>INDEX(BA$151:BA$168,MATCH($B188,$B$151:$B$168,0))*INDEX('Resource costs'!$C$121:$C$142, MATCH($B188, 'Resource costs'!$B$121:$B$142,0))</f>
        <v>0</v>
      </c>
      <c r="BB210" s="90">
        <f>INDEX(BB$151:BB$168,MATCH($B188,$B$151:$B$168,0))*INDEX('Resource costs'!$C$121:$C$142, MATCH($B188, 'Resource costs'!$B$121:$B$142,0))</f>
        <v>0</v>
      </c>
    </row>
    <row r="211" spans="1:54" ht="29">
      <c r="B211" s="6" t="s">
        <v>2869</v>
      </c>
      <c r="C211" s="52"/>
      <c r="D211" s="90">
        <f>INDEX(D$151:D$168,MATCH($B189,$B$151:$B$168,0))*INDEX('Resource costs'!$C$121:$C$142, MATCH($B189, 'Resource costs'!$B$121:$B$142,0))</f>
        <v>21958.560000000001</v>
      </c>
      <c r="E211" s="90">
        <f>INDEX(E$151:E$168,MATCH($B189,$B$151:$B$168,0))*INDEX('Resource costs'!$C$121:$C$142, MATCH($B189, 'Resource costs'!$B$121:$B$142,0))</f>
        <v>24475.283973636819</v>
      </c>
      <c r="F211" s="90">
        <f>INDEX(F$151:F$168,MATCH($B189,$B$151:$B$168,0))*INDEX('Resource costs'!$C$121:$C$142, MATCH($B189, 'Resource costs'!$B$121:$B$142,0))</f>
        <v>27023.432952629511</v>
      </c>
      <c r="G211" s="90">
        <f>INDEX(G$151:G$168,MATCH($B189,$B$151:$B$168,0))*INDEX('Resource costs'!$C$121:$C$142, MATCH($B189, 'Resource costs'!$B$121:$B$142,0))</f>
        <v>29606.529367515384</v>
      </c>
      <c r="H211" s="90">
        <f>INDEX(H$151:H$168,MATCH($B189,$B$151:$B$168,0))*INDEX('Resource costs'!$C$121:$C$142, MATCH($B189, 'Resource costs'!$B$121:$B$142,0))</f>
        <v>32230.320919657785</v>
      </c>
      <c r="I211" s="90">
        <f>INDEX(I$151:I$168,MATCH($B189,$B$151:$B$168,0))*INDEX('Resource costs'!$C$121:$C$142, MATCH($B189, 'Resource costs'!$B$121:$B$142,0))</f>
        <v>34897.919253128784</v>
      </c>
      <c r="J211" s="90">
        <f>INDEX(J$151:J$168,MATCH($B189,$B$151:$B$168,0))*INDEX('Resource costs'!$C$121:$C$142, MATCH($B189, 'Resource costs'!$B$121:$B$142,0))</f>
        <v>37607.231628880618</v>
      </c>
      <c r="K211" s="90">
        <f>INDEX(K$151:K$168,MATCH($B189,$B$151:$B$168,0))*INDEX('Resource costs'!$C$121:$C$142, MATCH($B189, 'Resource costs'!$B$121:$B$142,0))</f>
        <v>40359.389640499037</v>
      </c>
      <c r="L211" s="90">
        <f>INDEX(L$151:L$168,MATCH($B189,$B$151:$B$168,0))*INDEX('Resource costs'!$C$121:$C$142, MATCH($B189, 'Resource costs'!$B$121:$B$142,0))</f>
        <v>43173.196946141143</v>
      </c>
      <c r="M211" s="90">
        <f>INDEX(M$151:M$168,MATCH($B189,$B$151:$B$168,0))*INDEX('Resource costs'!$C$121:$C$142, MATCH($B189, 'Resource costs'!$B$121:$B$142,0))</f>
        <v>46038.972493759749</v>
      </c>
      <c r="N211" s="90">
        <f>INDEX(N$151:N$168,MATCH($B189,$B$151:$B$168,0))*INDEX('Resource costs'!$C$121:$C$142, MATCH($B189, 'Resource costs'!$B$121:$B$142,0))</f>
        <v>48950.756447306696</v>
      </c>
      <c r="O211" s="90">
        <f>INDEX(O$151:O$168,MATCH($B189,$B$151:$B$168,0))*INDEX('Resource costs'!$C$121:$C$142, MATCH($B189, 'Resource costs'!$B$121:$B$142,0))</f>
        <v>51904.734579309523</v>
      </c>
      <c r="P211" s="90">
        <f>INDEX(P$151:P$168,MATCH($B189,$B$151:$B$168,0))*INDEX('Resource costs'!$C$121:$C$142, MATCH($B189, 'Resource costs'!$B$121:$B$142,0))</f>
        <v>54897.589896502381</v>
      </c>
      <c r="Q211" s="90">
        <f>INDEX(Q$151:Q$168,MATCH($B189,$B$151:$B$168,0))*INDEX('Resource costs'!$C$121:$C$142, MATCH($B189, 'Resource costs'!$B$121:$B$142,0))</f>
        <v>57930.761970320178</v>
      </c>
      <c r="R211" s="90">
        <f>INDEX(R$151:R$168,MATCH($B189,$B$151:$B$168,0))*INDEX('Resource costs'!$C$121:$C$142, MATCH($B189, 'Resource costs'!$B$121:$B$142,0))</f>
        <v>61007.049631576461</v>
      </c>
      <c r="S211" s="90">
        <f>INDEX(S$151:S$168,MATCH($B189,$B$151:$B$168,0))*INDEX('Resource costs'!$C$121:$C$142, MATCH($B189, 'Resource costs'!$B$121:$B$142,0))</f>
        <v>64126.627997700656</v>
      </c>
      <c r="T211" s="90">
        <f>INDEX(T$151:T$168,MATCH($B189,$B$151:$B$168,0))*INDEX('Resource costs'!$C$121:$C$142, MATCH($B189, 'Resource costs'!$B$121:$B$142,0))</f>
        <v>67285.969962568168</v>
      </c>
      <c r="U211" s="90">
        <f>INDEX(U$151:U$168,MATCH($B189,$B$151:$B$168,0))*INDEX('Resource costs'!$C$121:$C$142, MATCH($B189, 'Resource costs'!$B$121:$B$142,0))</f>
        <v>70484.597049768403</v>
      </c>
      <c r="V211" s="90">
        <f>INDEX(V$151:V$168,MATCH($B189,$B$151:$B$168,0))*INDEX('Resource costs'!$C$121:$C$142, MATCH($B189, 'Resource costs'!$B$121:$B$142,0))</f>
        <v>73729.376824037507</v>
      </c>
      <c r="W211" s="90">
        <f>INDEX(W$151:W$168,MATCH($B189,$B$151:$B$168,0))*INDEX('Resource costs'!$C$121:$C$142, MATCH($B189, 'Resource costs'!$B$121:$B$142,0))</f>
        <v>77014.696712738689</v>
      </c>
      <c r="X211" s="90">
        <f>INDEX(X$151:X$168,MATCH($B189,$B$151:$B$168,0))*INDEX('Resource costs'!$C$121:$C$142, MATCH($B189, 'Resource costs'!$B$121:$B$142,0))</f>
        <v>80338.121774552143</v>
      </c>
      <c r="Y211" s="90">
        <f>INDEX(Y$151:Y$168,MATCH($B189,$B$151:$B$168,0))*INDEX('Resource costs'!$C$121:$C$142, MATCH($B189, 'Resource costs'!$B$121:$B$142,0))</f>
        <v>83698.353325317483</v>
      </c>
      <c r="Z211" s="90">
        <f>INDEX(Z$151:Z$168,MATCH($B189,$B$151:$B$168,0))*INDEX('Resource costs'!$C$121:$C$142, MATCH($B189, 'Resource costs'!$B$121:$B$142,0))</f>
        <v>87097.428907520603</v>
      </c>
      <c r="AA211" s="90">
        <f>INDEX(AA$151:AA$168,MATCH($B189,$B$151:$B$168,0))*INDEX('Resource costs'!$C$121:$C$142, MATCH($B189, 'Resource costs'!$B$121:$B$142,0))</f>
        <v>90534.274462197805</v>
      </c>
      <c r="AB211" s="90">
        <f>INDEX(AB$151:AB$168,MATCH($B189,$B$151:$B$168,0))*INDEX('Resource costs'!$C$121:$C$142, MATCH($B189, 'Resource costs'!$B$121:$B$142,0))</f>
        <v>94007.077288019136</v>
      </c>
      <c r="AC211" s="90">
        <f>INDEX(AC$151:AC$168,MATCH($B189,$B$151:$B$168,0))*INDEX('Resource costs'!$C$121:$C$142, MATCH($B189, 'Resource costs'!$B$121:$B$142,0))</f>
        <v>97514.025201298602</v>
      </c>
      <c r="AD211" s="90">
        <f>INDEX(AD$151:AD$168,MATCH($B189,$B$151:$B$168,0))*INDEX('Resource costs'!$C$121:$C$142, MATCH($B189, 'Resource costs'!$B$121:$B$142,0))</f>
        <v>101053.08489316313</v>
      </c>
      <c r="AE211" s="90">
        <f>INDEX(AE$151:AE$168,MATCH($B189,$B$151:$B$168,0))*INDEX('Resource costs'!$C$121:$C$142, MATCH($B189, 'Resource costs'!$B$121:$B$142,0))</f>
        <v>104622.26227592281</v>
      </c>
      <c r="AF211" s="90">
        <f>INDEX(AF$151:AF$168,MATCH($B189,$B$151:$B$168,0))*INDEX('Resource costs'!$C$121:$C$142, MATCH($B189, 'Resource costs'!$B$121:$B$142,0))</f>
        <v>108219.46847013013</v>
      </c>
      <c r="AG211" s="90">
        <f>INDEX(AG$151:AG$168,MATCH($B189,$B$151:$B$168,0))*INDEX('Resource costs'!$C$121:$C$142, MATCH($B189, 'Resource costs'!$B$121:$B$142,0))</f>
        <v>111843.69997686958</v>
      </c>
      <c r="AH211" s="90">
        <f>INDEX(AH$151:AH$168,MATCH($B189,$B$151:$B$168,0))*INDEX('Resource costs'!$C$121:$C$142, MATCH($B189, 'Resource costs'!$B$121:$B$142,0))</f>
        <v>115496.40202783978</v>
      </c>
      <c r="AI211" s="90">
        <f>INDEX(AI$151:AI$168,MATCH($B189,$B$151:$B$168,0))*INDEX('Resource costs'!$C$121:$C$142, MATCH($B189, 'Resource costs'!$B$121:$B$142,0))</f>
        <v>119177.09485853223</v>
      </c>
      <c r="AJ211" s="90">
        <f>INDEX(AJ$151:AJ$168,MATCH($B189,$B$151:$B$168,0))*INDEX('Resource costs'!$C$121:$C$142, MATCH($B189, 'Resource costs'!$B$121:$B$142,0))</f>
        <v>122886.12939296092</v>
      </c>
      <c r="AK211" s="90">
        <f>INDEX(AK$151:AK$168,MATCH($B189,$B$151:$B$168,0))*INDEX('Resource costs'!$C$121:$C$142, MATCH($B189, 'Resource costs'!$B$121:$B$142,0))</f>
        <v>126619.78654217836</v>
      </c>
      <c r="AL211" s="90">
        <f>INDEX(AL$151:AL$168,MATCH($B189,$B$151:$B$168,0))*INDEX('Resource costs'!$C$121:$C$142, MATCH($B189, 'Resource costs'!$B$121:$B$142,0))</f>
        <v>130374.39137747335</v>
      </c>
      <c r="AM211" s="90">
        <f>INDEX(AM$151:AM$168,MATCH($B189,$B$151:$B$168,0))*INDEX('Resource costs'!$C$121:$C$142, MATCH($B189, 'Resource costs'!$B$121:$B$142,0))</f>
        <v>134146.5153764342</v>
      </c>
      <c r="AN211" s="90">
        <f>INDEX(AN$151:AN$168,MATCH($B189,$B$151:$B$168,0))*INDEX('Resource costs'!$C$121:$C$142, MATCH($B189, 'Resource costs'!$B$121:$B$142,0))</f>
        <v>137935.03069073235</v>
      </c>
      <c r="AO211" s="90">
        <f>INDEX(AO$151:AO$168,MATCH($B189,$B$151:$B$168,0))*INDEX('Resource costs'!$C$121:$C$142, MATCH($B189, 'Resource costs'!$B$121:$B$142,0))</f>
        <v>141738.25752928035</v>
      </c>
      <c r="AP211" s="90">
        <f>INDEX(AP$151:AP$168,MATCH($B189,$B$151:$B$168,0))*INDEX('Resource costs'!$C$121:$C$142, MATCH($B189, 'Resource costs'!$B$121:$B$142,0))</f>
        <v>145553.93585737789</v>
      </c>
      <c r="AQ211" s="90">
        <f>INDEX(AQ$151:AQ$168,MATCH($B189,$B$151:$B$168,0))*INDEX('Resource costs'!$C$121:$C$142, MATCH($B189, 'Resource costs'!$B$121:$B$142,0))</f>
        <v>149383.6471520309</v>
      </c>
      <c r="AR211" s="90">
        <f>INDEX(AR$151:AR$168,MATCH($B189,$B$151:$B$168,0))*INDEX('Resource costs'!$C$121:$C$142, MATCH($B189, 'Resource costs'!$B$121:$B$142,0))</f>
        <v>153230.18357232885</v>
      </c>
      <c r="AS211" s="90">
        <f>INDEX(AS$151:AS$168,MATCH($B189,$B$151:$B$168,0))*INDEX('Resource costs'!$C$121:$C$142, MATCH($B189, 'Resource costs'!$B$121:$B$142,0))</f>
        <v>157096.43584848338</v>
      </c>
      <c r="AT211" s="90">
        <f>INDEX(AT$151:AT$168,MATCH($B189,$B$151:$B$168,0))*INDEX('Resource costs'!$C$121:$C$142, MATCH($B189, 'Resource costs'!$B$121:$B$142,0))</f>
        <v>160962.68812463788</v>
      </c>
      <c r="AU211" s="90">
        <f>INDEX(AU$151:AU$168,MATCH($B189,$B$151:$B$168,0))*INDEX('Resource costs'!$C$121:$C$142, MATCH($B189, 'Resource costs'!$B$121:$B$142,0))</f>
        <v>164828.94040079237</v>
      </c>
      <c r="AV211" s="90">
        <f>INDEX(AV$151:AV$168,MATCH($B189,$B$151:$B$168,0))*INDEX('Resource costs'!$C$121:$C$142, MATCH($B189, 'Resource costs'!$B$121:$B$142,0))</f>
        <v>168695.19267694687</v>
      </c>
      <c r="AW211" s="90">
        <f>INDEX(AW$151:AW$168,MATCH($B189,$B$151:$B$168,0))*INDEX('Resource costs'!$C$121:$C$142, MATCH($B189, 'Resource costs'!$B$121:$B$142,0))</f>
        <v>172561.44495310134</v>
      </c>
      <c r="AX211" s="90">
        <f>INDEX(AX$151:AX$168,MATCH($B189,$B$151:$B$168,0))*INDEX('Resource costs'!$C$121:$C$142, MATCH($B189, 'Resource costs'!$B$121:$B$142,0))</f>
        <v>176427.69722925583</v>
      </c>
      <c r="AY211" s="90">
        <f>INDEX(AY$151:AY$168,MATCH($B189,$B$151:$B$168,0))*INDEX('Resource costs'!$C$121:$C$142, MATCH($B189, 'Resource costs'!$B$121:$B$142,0))</f>
        <v>180293.9495054103</v>
      </c>
      <c r="AZ211" s="90">
        <f>INDEX(AZ$151:AZ$168,MATCH($B189,$B$151:$B$168,0))*INDEX('Resource costs'!$C$121:$C$142, MATCH($B189, 'Resource costs'!$B$121:$B$142,0))</f>
        <v>184160.2017815648</v>
      </c>
      <c r="BA211" s="90">
        <f>INDEX(BA$151:BA$168,MATCH($B189,$B$151:$B$168,0))*INDEX('Resource costs'!$C$121:$C$142, MATCH($B189, 'Resource costs'!$B$121:$B$142,0))</f>
        <v>188026.45405771933</v>
      </c>
      <c r="BB211" s="90">
        <f>INDEX(BB$151:BB$168,MATCH($B189,$B$151:$B$168,0))*INDEX('Resource costs'!$C$121:$C$142, MATCH($B189, 'Resource costs'!$B$121:$B$142,0))</f>
        <v>191892.70633387379</v>
      </c>
    </row>
    <row r="212" spans="1:54" ht="29">
      <c r="B212" s="6" t="s">
        <v>2870</v>
      </c>
      <c r="C212" s="52"/>
      <c r="D212" s="90">
        <f>INDEX(D$151:D$168,MATCH($B190,$B$151:$B$168,0))*INDEX('Resource costs'!$C$121:$C$142, MATCH($B190, 'Resource costs'!$B$121:$B$142,0))</f>
        <v>0</v>
      </c>
      <c r="E212" s="90">
        <f>INDEX(E$151:E$168,MATCH($B190,$B$151:$B$168,0))*INDEX('Resource costs'!$C$121:$C$142, MATCH($B190, 'Resource costs'!$B$121:$B$142,0))</f>
        <v>0</v>
      </c>
      <c r="F212" s="90">
        <f>INDEX(F$151:F$168,MATCH($B190,$B$151:$B$168,0))*INDEX('Resource costs'!$C$121:$C$142, MATCH($B190, 'Resource costs'!$B$121:$B$142,0))</f>
        <v>0</v>
      </c>
      <c r="G212" s="90">
        <f>INDEX(G$151:G$168,MATCH($B190,$B$151:$B$168,0))*INDEX('Resource costs'!$C$121:$C$142, MATCH($B190, 'Resource costs'!$B$121:$B$142,0))</f>
        <v>0</v>
      </c>
      <c r="H212" s="90">
        <f>INDEX(H$151:H$168,MATCH($B190,$B$151:$B$168,0))*INDEX('Resource costs'!$C$121:$C$142, MATCH($B190, 'Resource costs'!$B$121:$B$142,0))</f>
        <v>0</v>
      </c>
      <c r="I212" s="90">
        <f>INDEX(I$151:I$168,MATCH($B190,$B$151:$B$168,0))*INDEX('Resource costs'!$C$121:$C$142, MATCH($B190, 'Resource costs'!$B$121:$B$142,0))</f>
        <v>0</v>
      </c>
      <c r="J212" s="90">
        <f>INDEX(J$151:J$168,MATCH($B190,$B$151:$B$168,0))*INDEX('Resource costs'!$C$121:$C$142, MATCH($B190, 'Resource costs'!$B$121:$B$142,0))</f>
        <v>0</v>
      </c>
      <c r="K212" s="90">
        <f>INDEX(K$151:K$168,MATCH($B190,$B$151:$B$168,0))*INDEX('Resource costs'!$C$121:$C$142, MATCH($B190, 'Resource costs'!$B$121:$B$142,0))</f>
        <v>0</v>
      </c>
      <c r="L212" s="90">
        <f>INDEX(L$151:L$168,MATCH($B190,$B$151:$B$168,0))*INDEX('Resource costs'!$C$121:$C$142, MATCH($B190, 'Resource costs'!$B$121:$B$142,0))</f>
        <v>0</v>
      </c>
      <c r="M212" s="90">
        <f>INDEX(M$151:M$168,MATCH($B190,$B$151:$B$168,0))*INDEX('Resource costs'!$C$121:$C$142, MATCH($B190, 'Resource costs'!$B$121:$B$142,0))</f>
        <v>0</v>
      </c>
      <c r="N212" s="90">
        <f>INDEX(N$151:N$168,MATCH($B190,$B$151:$B$168,0))*INDEX('Resource costs'!$C$121:$C$142, MATCH($B190, 'Resource costs'!$B$121:$B$142,0))</f>
        <v>0</v>
      </c>
      <c r="O212" s="90">
        <f>INDEX(O$151:O$168,MATCH($B190,$B$151:$B$168,0))*INDEX('Resource costs'!$C$121:$C$142, MATCH($B190, 'Resource costs'!$B$121:$B$142,0))</f>
        <v>0</v>
      </c>
      <c r="P212" s="90">
        <f>INDEX(P$151:P$168,MATCH($B190,$B$151:$B$168,0))*INDEX('Resource costs'!$C$121:$C$142, MATCH($B190, 'Resource costs'!$B$121:$B$142,0))</f>
        <v>0</v>
      </c>
      <c r="Q212" s="90">
        <f>INDEX(Q$151:Q$168,MATCH($B190,$B$151:$B$168,0))*INDEX('Resource costs'!$C$121:$C$142, MATCH($B190, 'Resource costs'!$B$121:$B$142,0))</f>
        <v>0</v>
      </c>
      <c r="R212" s="90">
        <f>INDEX(R$151:R$168,MATCH($B190,$B$151:$B$168,0))*INDEX('Resource costs'!$C$121:$C$142, MATCH($B190, 'Resource costs'!$B$121:$B$142,0))</f>
        <v>0</v>
      </c>
      <c r="S212" s="90">
        <f>INDEX(S$151:S$168,MATCH($B190,$B$151:$B$168,0))*INDEX('Resource costs'!$C$121:$C$142, MATCH($B190, 'Resource costs'!$B$121:$B$142,0))</f>
        <v>0</v>
      </c>
      <c r="T212" s="90">
        <f>INDEX(T$151:T$168,MATCH($B190,$B$151:$B$168,0))*INDEX('Resource costs'!$C$121:$C$142, MATCH($B190, 'Resource costs'!$B$121:$B$142,0))</f>
        <v>0</v>
      </c>
      <c r="U212" s="90">
        <f>INDEX(U$151:U$168,MATCH($B190,$B$151:$B$168,0))*INDEX('Resource costs'!$C$121:$C$142, MATCH($B190, 'Resource costs'!$B$121:$B$142,0))</f>
        <v>0</v>
      </c>
      <c r="V212" s="90">
        <f>INDEX(V$151:V$168,MATCH($B190,$B$151:$B$168,0))*INDEX('Resource costs'!$C$121:$C$142, MATCH($B190, 'Resource costs'!$B$121:$B$142,0))</f>
        <v>0</v>
      </c>
      <c r="W212" s="90">
        <f>INDEX(W$151:W$168,MATCH($B190,$B$151:$B$168,0))*INDEX('Resource costs'!$C$121:$C$142, MATCH($B190, 'Resource costs'!$B$121:$B$142,0))</f>
        <v>0</v>
      </c>
      <c r="X212" s="90">
        <f>INDEX(X$151:X$168,MATCH($B190,$B$151:$B$168,0))*INDEX('Resource costs'!$C$121:$C$142, MATCH($B190, 'Resource costs'!$B$121:$B$142,0))</f>
        <v>0</v>
      </c>
      <c r="Y212" s="90">
        <f>INDEX(Y$151:Y$168,MATCH($B190,$B$151:$B$168,0))*INDEX('Resource costs'!$C$121:$C$142, MATCH($B190, 'Resource costs'!$B$121:$B$142,0))</f>
        <v>0</v>
      </c>
      <c r="Z212" s="90">
        <f>INDEX(Z$151:Z$168,MATCH($B190,$B$151:$B$168,0))*INDEX('Resource costs'!$C$121:$C$142, MATCH($B190, 'Resource costs'!$B$121:$B$142,0))</f>
        <v>0</v>
      </c>
      <c r="AA212" s="90">
        <f>INDEX(AA$151:AA$168,MATCH($B190,$B$151:$B$168,0))*INDEX('Resource costs'!$C$121:$C$142, MATCH($B190, 'Resource costs'!$B$121:$B$142,0))</f>
        <v>0</v>
      </c>
      <c r="AB212" s="90">
        <f>INDEX(AB$151:AB$168,MATCH($B190,$B$151:$B$168,0))*INDEX('Resource costs'!$C$121:$C$142, MATCH($B190, 'Resource costs'!$B$121:$B$142,0))</f>
        <v>0</v>
      </c>
      <c r="AC212" s="90">
        <f>INDEX(AC$151:AC$168,MATCH($B190,$B$151:$B$168,0))*INDEX('Resource costs'!$C$121:$C$142, MATCH($B190, 'Resource costs'!$B$121:$B$142,0))</f>
        <v>0</v>
      </c>
      <c r="AD212" s="90">
        <f>INDEX(AD$151:AD$168,MATCH($B190,$B$151:$B$168,0))*INDEX('Resource costs'!$C$121:$C$142, MATCH($B190, 'Resource costs'!$B$121:$B$142,0))</f>
        <v>0</v>
      </c>
      <c r="AE212" s="90">
        <f>INDEX(AE$151:AE$168,MATCH($B190,$B$151:$B$168,0))*INDEX('Resource costs'!$C$121:$C$142, MATCH($B190, 'Resource costs'!$B$121:$B$142,0))</f>
        <v>0</v>
      </c>
      <c r="AF212" s="90">
        <f>INDEX(AF$151:AF$168,MATCH($B190,$B$151:$B$168,0))*INDEX('Resource costs'!$C$121:$C$142, MATCH($B190, 'Resource costs'!$B$121:$B$142,0))</f>
        <v>0</v>
      </c>
      <c r="AG212" s="90">
        <f>INDEX(AG$151:AG$168,MATCH($B190,$B$151:$B$168,0))*INDEX('Resource costs'!$C$121:$C$142, MATCH($B190, 'Resource costs'!$B$121:$B$142,0))</f>
        <v>0</v>
      </c>
      <c r="AH212" s="90">
        <f>INDEX(AH$151:AH$168,MATCH($B190,$B$151:$B$168,0))*INDEX('Resource costs'!$C$121:$C$142, MATCH($B190, 'Resource costs'!$B$121:$B$142,0))</f>
        <v>0</v>
      </c>
      <c r="AI212" s="90">
        <f>INDEX(AI$151:AI$168,MATCH($B190,$B$151:$B$168,0))*INDEX('Resource costs'!$C$121:$C$142, MATCH($B190, 'Resource costs'!$B$121:$B$142,0))</f>
        <v>0</v>
      </c>
      <c r="AJ212" s="90">
        <f>INDEX(AJ$151:AJ$168,MATCH($B190,$B$151:$B$168,0))*INDEX('Resource costs'!$C$121:$C$142, MATCH($B190, 'Resource costs'!$B$121:$B$142,0))</f>
        <v>0</v>
      </c>
      <c r="AK212" s="90">
        <f>INDEX(AK$151:AK$168,MATCH($B190,$B$151:$B$168,0))*INDEX('Resource costs'!$C$121:$C$142, MATCH($B190, 'Resource costs'!$B$121:$B$142,0))</f>
        <v>0</v>
      </c>
      <c r="AL212" s="90">
        <f>INDEX(AL$151:AL$168,MATCH($B190,$B$151:$B$168,0))*INDEX('Resource costs'!$C$121:$C$142, MATCH($B190, 'Resource costs'!$B$121:$B$142,0))</f>
        <v>0</v>
      </c>
      <c r="AM212" s="90">
        <f>INDEX(AM$151:AM$168,MATCH($B190,$B$151:$B$168,0))*INDEX('Resource costs'!$C$121:$C$142, MATCH($B190, 'Resource costs'!$B$121:$B$142,0))</f>
        <v>0</v>
      </c>
      <c r="AN212" s="90">
        <f>INDEX(AN$151:AN$168,MATCH($B190,$B$151:$B$168,0))*INDEX('Resource costs'!$C$121:$C$142, MATCH($B190, 'Resource costs'!$B$121:$B$142,0))</f>
        <v>0</v>
      </c>
      <c r="AO212" s="90">
        <f>INDEX(AO$151:AO$168,MATCH($B190,$B$151:$B$168,0))*INDEX('Resource costs'!$C$121:$C$142, MATCH($B190, 'Resource costs'!$B$121:$B$142,0))</f>
        <v>0</v>
      </c>
      <c r="AP212" s="90">
        <f>INDEX(AP$151:AP$168,MATCH($B190,$B$151:$B$168,0))*INDEX('Resource costs'!$C$121:$C$142, MATCH($B190, 'Resource costs'!$B$121:$B$142,0))</f>
        <v>0</v>
      </c>
      <c r="AQ212" s="90">
        <f>INDEX(AQ$151:AQ$168,MATCH($B190,$B$151:$B$168,0))*INDEX('Resource costs'!$C$121:$C$142, MATCH($B190, 'Resource costs'!$B$121:$B$142,0))</f>
        <v>0</v>
      </c>
      <c r="AR212" s="90">
        <f>INDEX(AR$151:AR$168,MATCH($B190,$B$151:$B$168,0))*INDEX('Resource costs'!$C$121:$C$142, MATCH($B190, 'Resource costs'!$B$121:$B$142,0))</f>
        <v>0</v>
      </c>
      <c r="AS212" s="90">
        <f>INDEX(AS$151:AS$168,MATCH($B190,$B$151:$B$168,0))*INDEX('Resource costs'!$C$121:$C$142, MATCH($B190, 'Resource costs'!$B$121:$B$142,0))</f>
        <v>0</v>
      </c>
      <c r="AT212" s="90">
        <f>INDEX(AT$151:AT$168,MATCH($B190,$B$151:$B$168,0))*INDEX('Resource costs'!$C$121:$C$142, MATCH($B190, 'Resource costs'!$B$121:$B$142,0))</f>
        <v>0</v>
      </c>
      <c r="AU212" s="90">
        <f>INDEX(AU$151:AU$168,MATCH($B190,$B$151:$B$168,0))*INDEX('Resource costs'!$C$121:$C$142, MATCH($B190, 'Resource costs'!$B$121:$B$142,0))</f>
        <v>0</v>
      </c>
      <c r="AV212" s="90">
        <f>INDEX(AV$151:AV$168,MATCH($B190,$B$151:$B$168,0))*INDEX('Resource costs'!$C$121:$C$142, MATCH($B190, 'Resource costs'!$B$121:$B$142,0))</f>
        <v>0</v>
      </c>
      <c r="AW212" s="90">
        <f>INDEX(AW$151:AW$168,MATCH($B190,$B$151:$B$168,0))*INDEX('Resource costs'!$C$121:$C$142, MATCH($B190, 'Resource costs'!$B$121:$B$142,0))</f>
        <v>0</v>
      </c>
      <c r="AX212" s="90">
        <f>INDEX(AX$151:AX$168,MATCH($B190,$B$151:$B$168,0))*INDEX('Resource costs'!$C$121:$C$142, MATCH($B190, 'Resource costs'!$B$121:$B$142,0))</f>
        <v>0</v>
      </c>
      <c r="AY212" s="90">
        <f>INDEX(AY$151:AY$168,MATCH($B190,$B$151:$B$168,0))*INDEX('Resource costs'!$C$121:$C$142, MATCH($B190, 'Resource costs'!$B$121:$B$142,0))</f>
        <v>0</v>
      </c>
      <c r="AZ212" s="90">
        <f>INDEX(AZ$151:AZ$168,MATCH($B190,$B$151:$B$168,0))*INDEX('Resource costs'!$C$121:$C$142, MATCH($B190, 'Resource costs'!$B$121:$B$142,0))</f>
        <v>0</v>
      </c>
      <c r="BA212" s="90">
        <f>INDEX(BA$151:BA$168,MATCH($B190,$B$151:$B$168,0))*INDEX('Resource costs'!$C$121:$C$142, MATCH($B190, 'Resource costs'!$B$121:$B$142,0))</f>
        <v>0</v>
      </c>
      <c r="BB212" s="90">
        <f>INDEX(BB$151:BB$168,MATCH($B190,$B$151:$B$168,0))*INDEX('Resource costs'!$C$121:$C$142, MATCH($B190, 'Resource costs'!$B$121:$B$142,0))</f>
        <v>0</v>
      </c>
    </row>
    <row r="213" spans="1:54" s="97" customFormat="1">
      <c r="B213" s="6" t="s">
        <v>102</v>
      </c>
      <c r="C213" s="315"/>
      <c r="D213" s="90">
        <f>INDEX(D$151:D$168,MATCH($B191,$B$151:$B$168,0))*INDEX('Resource costs'!$C$121:$C$142, MATCH($B191, 'Resource costs'!$B$121:$B$142,0))</f>
        <v>0</v>
      </c>
      <c r="E213" s="90">
        <f>INDEX(E$151:E$168,MATCH($B191,$B$151:$B$168,0))*INDEX('Resource costs'!$C$121:$C$142, MATCH($B191, 'Resource costs'!$B$121:$B$142,0))</f>
        <v>0</v>
      </c>
      <c r="F213" s="90">
        <f>INDEX(F$151:F$168,MATCH($B191,$B$151:$B$168,0))*INDEX('Resource costs'!$C$121:$C$142, MATCH($B191, 'Resource costs'!$B$121:$B$142,0))</f>
        <v>0</v>
      </c>
      <c r="G213" s="90">
        <f>INDEX(G$151:G$168,MATCH($B191,$B$151:$B$168,0))*INDEX('Resource costs'!$C$121:$C$142, MATCH($B191, 'Resource costs'!$B$121:$B$142,0))</f>
        <v>0</v>
      </c>
      <c r="H213" s="90">
        <f>INDEX(H$151:H$168,MATCH($B191,$B$151:$B$168,0))*INDEX('Resource costs'!$C$121:$C$142, MATCH($B191, 'Resource costs'!$B$121:$B$142,0))</f>
        <v>0</v>
      </c>
      <c r="I213" s="90">
        <f>INDEX(I$151:I$168,MATCH($B191,$B$151:$B$168,0))*INDEX('Resource costs'!$C$121:$C$142, MATCH($B191, 'Resource costs'!$B$121:$B$142,0))</f>
        <v>0</v>
      </c>
      <c r="J213" s="90">
        <f>INDEX(J$151:J$168,MATCH($B191,$B$151:$B$168,0))*INDEX('Resource costs'!$C$121:$C$142, MATCH($B191, 'Resource costs'!$B$121:$B$142,0))</f>
        <v>0</v>
      </c>
      <c r="K213" s="90">
        <f>INDEX(K$151:K$168,MATCH($B191,$B$151:$B$168,0))*INDEX('Resource costs'!$C$121:$C$142, MATCH($B191, 'Resource costs'!$B$121:$B$142,0))</f>
        <v>0</v>
      </c>
      <c r="L213" s="90">
        <f>INDEX(L$151:L$168,MATCH($B191,$B$151:$B$168,0))*INDEX('Resource costs'!$C$121:$C$142, MATCH($B191, 'Resource costs'!$B$121:$B$142,0))</f>
        <v>0</v>
      </c>
      <c r="M213" s="90">
        <f>INDEX(M$151:M$168,MATCH($B191,$B$151:$B$168,0))*INDEX('Resource costs'!$C$121:$C$142, MATCH($B191, 'Resource costs'!$B$121:$B$142,0))</f>
        <v>0</v>
      </c>
      <c r="N213" s="90">
        <f>INDEX(N$151:N$168,MATCH($B191,$B$151:$B$168,0))*INDEX('Resource costs'!$C$121:$C$142, MATCH($B191, 'Resource costs'!$B$121:$B$142,0))</f>
        <v>0</v>
      </c>
      <c r="O213" s="90">
        <f>INDEX(O$151:O$168,MATCH($B191,$B$151:$B$168,0))*INDEX('Resource costs'!$C$121:$C$142, MATCH($B191, 'Resource costs'!$B$121:$B$142,0))</f>
        <v>0</v>
      </c>
      <c r="P213" s="90">
        <f>INDEX(P$151:P$168,MATCH($B191,$B$151:$B$168,0))*INDEX('Resource costs'!$C$121:$C$142, MATCH($B191, 'Resource costs'!$B$121:$B$142,0))</f>
        <v>0</v>
      </c>
      <c r="Q213" s="90">
        <f>INDEX(Q$151:Q$168,MATCH($B191,$B$151:$B$168,0))*INDEX('Resource costs'!$C$121:$C$142, MATCH($B191, 'Resource costs'!$B$121:$B$142,0))</f>
        <v>0</v>
      </c>
      <c r="R213" s="90">
        <f>INDEX(R$151:R$168,MATCH($B191,$B$151:$B$168,0))*INDEX('Resource costs'!$C$121:$C$142, MATCH($B191, 'Resource costs'!$B$121:$B$142,0))</f>
        <v>0</v>
      </c>
      <c r="S213" s="90">
        <f>INDEX(S$151:S$168,MATCH($B191,$B$151:$B$168,0))*INDEX('Resource costs'!$C$121:$C$142, MATCH($B191, 'Resource costs'!$B$121:$B$142,0))</f>
        <v>0</v>
      </c>
      <c r="T213" s="90">
        <f>INDEX(T$151:T$168,MATCH($B191,$B$151:$B$168,0))*INDEX('Resource costs'!$C$121:$C$142, MATCH($B191, 'Resource costs'!$B$121:$B$142,0))</f>
        <v>0</v>
      </c>
      <c r="U213" s="90">
        <f>INDEX(U$151:U$168,MATCH($B191,$B$151:$B$168,0))*INDEX('Resource costs'!$C$121:$C$142, MATCH($B191, 'Resource costs'!$B$121:$B$142,0))</f>
        <v>0</v>
      </c>
      <c r="V213" s="90">
        <f>INDEX(V$151:V$168,MATCH($B191,$B$151:$B$168,0))*INDEX('Resource costs'!$C$121:$C$142, MATCH($B191, 'Resource costs'!$B$121:$B$142,0))</f>
        <v>0</v>
      </c>
      <c r="W213" s="90">
        <f>INDEX(W$151:W$168,MATCH($B191,$B$151:$B$168,0))*INDEX('Resource costs'!$C$121:$C$142, MATCH($B191, 'Resource costs'!$B$121:$B$142,0))</f>
        <v>0</v>
      </c>
      <c r="X213" s="90">
        <f>INDEX(X$151:X$168,MATCH($B191,$B$151:$B$168,0))*INDEX('Resource costs'!$C$121:$C$142, MATCH($B191, 'Resource costs'!$B$121:$B$142,0))</f>
        <v>0</v>
      </c>
      <c r="Y213" s="90">
        <f>INDEX(Y$151:Y$168,MATCH($B191,$B$151:$B$168,0))*INDEX('Resource costs'!$C$121:$C$142, MATCH($B191, 'Resource costs'!$B$121:$B$142,0))</f>
        <v>0</v>
      </c>
      <c r="Z213" s="90">
        <f>INDEX(Z$151:Z$168,MATCH($B191,$B$151:$B$168,0))*INDEX('Resource costs'!$C$121:$C$142, MATCH($B191, 'Resource costs'!$B$121:$B$142,0))</f>
        <v>0</v>
      </c>
      <c r="AA213" s="90">
        <f>INDEX(AA$151:AA$168,MATCH($B191,$B$151:$B$168,0))*INDEX('Resource costs'!$C$121:$C$142, MATCH($B191, 'Resource costs'!$B$121:$B$142,0))</f>
        <v>0</v>
      </c>
      <c r="AB213" s="90">
        <f>INDEX(AB$151:AB$168,MATCH($B191,$B$151:$B$168,0))*INDEX('Resource costs'!$C$121:$C$142, MATCH($B191, 'Resource costs'!$B$121:$B$142,0))</f>
        <v>0</v>
      </c>
      <c r="AC213" s="90">
        <f>INDEX(AC$151:AC$168,MATCH($B191,$B$151:$B$168,0))*INDEX('Resource costs'!$C$121:$C$142, MATCH($B191, 'Resource costs'!$B$121:$B$142,0))</f>
        <v>0</v>
      </c>
      <c r="AD213" s="90">
        <f>INDEX(AD$151:AD$168,MATCH($B191,$B$151:$B$168,0))*INDEX('Resource costs'!$C$121:$C$142, MATCH($B191, 'Resource costs'!$B$121:$B$142,0))</f>
        <v>0</v>
      </c>
      <c r="AE213" s="90">
        <f>INDEX(AE$151:AE$168,MATCH($B191,$B$151:$B$168,0))*INDEX('Resource costs'!$C$121:$C$142, MATCH($B191, 'Resource costs'!$B$121:$B$142,0))</f>
        <v>0</v>
      </c>
      <c r="AF213" s="90">
        <f>INDEX(AF$151:AF$168,MATCH($B191,$B$151:$B$168,0))*INDEX('Resource costs'!$C$121:$C$142, MATCH($B191, 'Resource costs'!$B$121:$B$142,0))</f>
        <v>0</v>
      </c>
      <c r="AG213" s="90">
        <f>INDEX(AG$151:AG$168,MATCH($B191,$B$151:$B$168,0))*INDEX('Resource costs'!$C$121:$C$142, MATCH($B191, 'Resource costs'!$B$121:$B$142,0))</f>
        <v>0</v>
      </c>
      <c r="AH213" s="90">
        <f>INDEX(AH$151:AH$168,MATCH($B191,$B$151:$B$168,0))*INDEX('Resource costs'!$C$121:$C$142, MATCH($B191, 'Resource costs'!$B$121:$B$142,0))</f>
        <v>0</v>
      </c>
      <c r="AI213" s="90">
        <f>INDEX(AI$151:AI$168,MATCH($B191,$B$151:$B$168,0))*INDEX('Resource costs'!$C$121:$C$142, MATCH($B191, 'Resource costs'!$B$121:$B$142,0))</f>
        <v>0</v>
      </c>
      <c r="AJ213" s="90">
        <f>INDEX(AJ$151:AJ$168,MATCH($B191,$B$151:$B$168,0))*INDEX('Resource costs'!$C$121:$C$142, MATCH($B191, 'Resource costs'!$B$121:$B$142,0))</f>
        <v>0</v>
      </c>
      <c r="AK213" s="90">
        <f>INDEX(AK$151:AK$168,MATCH($B191,$B$151:$B$168,0))*INDEX('Resource costs'!$C$121:$C$142, MATCH($B191, 'Resource costs'!$B$121:$B$142,0))</f>
        <v>0</v>
      </c>
      <c r="AL213" s="90">
        <f>INDEX(AL$151:AL$168,MATCH($B191,$B$151:$B$168,0))*INDEX('Resource costs'!$C$121:$C$142, MATCH($B191, 'Resource costs'!$B$121:$B$142,0))</f>
        <v>0</v>
      </c>
      <c r="AM213" s="90">
        <f>INDEX(AM$151:AM$168,MATCH($B191,$B$151:$B$168,0))*INDEX('Resource costs'!$C$121:$C$142, MATCH($B191, 'Resource costs'!$B$121:$B$142,0))</f>
        <v>0</v>
      </c>
      <c r="AN213" s="90">
        <f>INDEX(AN$151:AN$168,MATCH($B191,$B$151:$B$168,0))*INDEX('Resource costs'!$C$121:$C$142, MATCH($B191, 'Resource costs'!$B$121:$B$142,0))</f>
        <v>0</v>
      </c>
      <c r="AO213" s="90">
        <f>INDEX(AO$151:AO$168,MATCH($B191,$B$151:$B$168,0))*INDEX('Resource costs'!$C$121:$C$142, MATCH($B191, 'Resource costs'!$B$121:$B$142,0))</f>
        <v>0</v>
      </c>
      <c r="AP213" s="90">
        <f>INDEX(AP$151:AP$168,MATCH($B191,$B$151:$B$168,0))*INDEX('Resource costs'!$C$121:$C$142, MATCH($B191, 'Resource costs'!$B$121:$B$142,0))</f>
        <v>0</v>
      </c>
      <c r="AQ213" s="90">
        <f>INDEX(AQ$151:AQ$168,MATCH($B191,$B$151:$B$168,0))*INDEX('Resource costs'!$C$121:$C$142, MATCH($B191, 'Resource costs'!$B$121:$B$142,0))</f>
        <v>0</v>
      </c>
      <c r="AR213" s="90">
        <f>INDEX(AR$151:AR$168,MATCH($B191,$B$151:$B$168,0))*INDEX('Resource costs'!$C$121:$C$142, MATCH($B191, 'Resource costs'!$B$121:$B$142,0))</f>
        <v>0</v>
      </c>
      <c r="AS213" s="90">
        <f>INDEX(AS$151:AS$168,MATCH($B191,$B$151:$B$168,0))*INDEX('Resource costs'!$C$121:$C$142, MATCH($B191, 'Resource costs'!$B$121:$B$142,0))</f>
        <v>0</v>
      </c>
      <c r="AT213" s="90">
        <f>INDEX(AT$151:AT$168,MATCH($B191,$B$151:$B$168,0))*INDEX('Resource costs'!$C$121:$C$142, MATCH($B191, 'Resource costs'!$B$121:$B$142,0))</f>
        <v>0</v>
      </c>
      <c r="AU213" s="90">
        <f>INDEX(AU$151:AU$168,MATCH($B191,$B$151:$B$168,0))*INDEX('Resource costs'!$C$121:$C$142, MATCH($B191, 'Resource costs'!$B$121:$B$142,0))</f>
        <v>0</v>
      </c>
      <c r="AV213" s="90">
        <f>INDEX(AV$151:AV$168,MATCH($B191,$B$151:$B$168,0))*INDEX('Resource costs'!$C$121:$C$142, MATCH($B191, 'Resource costs'!$B$121:$B$142,0))</f>
        <v>0</v>
      </c>
      <c r="AW213" s="90">
        <f>INDEX(AW$151:AW$168,MATCH($B191,$B$151:$B$168,0))*INDEX('Resource costs'!$C$121:$C$142, MATCH($B191, 'Resource costs'!$B$121:$B$142,0))</f>
        <v>0</v>
      </c>
      <c r="AX213" s="90">
        <f>INDEX(AX$151:AX$168,MATCH($B191,$B$151:$B$168,0))*INDEX('Resource costs'!$C$121:$C$142, MATCH($B191, 'Resource costs'!$B$121:$B$142,0))</f>
        <v>0</v>
      </c>
      <c r="AY213" s="90">
        <f>INDEX(AY$151:AY$168,MATCH($B191,$B$151:$B$168,0))*INDEX('Resource costs'!$C$121:$C$142, MATCH($B191, 'Resource costs'!$B$121:$B$142,0))</f>
        <v>0</v>
      </c>
      <c r="AZ213" s="90">
        <f>INDEX(AZ$151:AZ$168,MATCH($B191,$B$151:$B$168,0))*INDEX('Resource costs'!$C$121:$C$142, MATCH($B191, 'Resource costs'!$B$121:$B$142,0))</f>
        <v>0</v>
      </c>
      <c r="BA213" s="90">
        <f>INDEX(BA$151:BA$168,MATCH($B191,$B$151:$B$168,0))*INDEX('Resource costs'!$C$121:$C$142, MATCH($B191, 'Resource costs'!$B$121:$B$142,0))</f>
        <v>0</v>
      </c>
      <c r="BB213" s="90">
        <f>INDEX(BB$151:BB$168,MATCH($B191,$B$151:$B$168,0))*INDEX('Resource costs'!$C$121:$C$142, MATCH($B191, 'Resource costs'!$B$121:$B$142,0))</f>
        <v>0</v>
      </c>
    </row>
    <row r="214" spans="1:54">
      <c r="B214" s="6" t="s">
        <v>2831</v>
      </c>
      <c r="C214" s="52"/>
      <c r="D214" s="90">
        <f>INDEX(D$151:D$168,MATCH($B192,$B$151:$B$168,0))*INDEX('Resource costs'!$C$121:$C$142, MATCH($B192, 'Resource costs'!$B$121:$B$142,0))</f>
        <v>35430.180882352943</v>
      </c>
      <c r="E214" s="90">
        <f>INDEX(E$151:E$168,MATCH($B192,$B$151:$B$168,0))*INDEX('Resource costs'!$C$121:$C$142, MATCH($B192, 'Resource costs'!$B$121:$B$142,0))</f>
        <v>39490.920093708628</v>
      </c>
      <c r="F214" s="90">
        <f>INDEX(F$151:F$168,MATCH($B192,$B$151:$B$168,0))*INDEX('Resource costs'!$C$121:$C$142, MATCH($B192, 'Resource costs'!$B$121:$B$142,0))</f>
        <v>43602.363614635964</v>
      </c>
      <c r="G214" s="90">
        <f>INDEX(G$151:G$168,MATCH($B192,$B$151:$B$168,0))*INDEX('Resource costs'!$C$121:$C$142, MATCH($B192, 'Resource costs'!$B$121:$B$142,0))</f>
        <v>47770.194893916741</v>
      </c>
      <c r="H214" s="90">
        <f>INDEX(H$151:H$168,MATCH($B192,$B$151:$B$168,0))*INDEX('Resource costs'!$C$121:$C$142, MATCH($B192, 'Resource costs'!$B$121:$B$142,0))</f>
        <v>52003.687859302219</v>
      </c>
      <c r="I214" s="90">
        <f>INDEX(I$151:I$168,MATCH($B192,$B$151:$B$168,0))*INDEX('Resource costs'!$C$121:$C$142, MATCH($B192, 'Resource costs'!$B$121:$B$142,0))</f>
        <v>56307.863154783379</v>
      </c>
      <c r="J214" s="90">
        <f>INDEX(J$151:J$168,MATCH($B192,$B$151:$B$168,0))*INDEX('Resource costs'!$C$121:$C$142, MATCH($B192, 'Resource costs'!$B$121:$B$142,0))</f>
        <v>60679.344141682559</v>
      </c>
      <c r="K214" s="90">
        <f>INDEX(K$151:K$168,MATCH($B192,$B$151:$B$168,0))*INDEX('Resource costs'!$C$121:$C$142, MATCH($B192, 'Resource costs'!$B$121:$B$142,0))</f>
        <v>65119.95664853444</v>
      </c>
      <c r="L214" s="90">
        <f>INDEX(L$151:L$168,MATCH($B192,$B$151:$B$168,0))*INDEX('Resource costs'!$C$121:$C$142, MATCH($B192, 'Resource costs'!$B$121:$B$142,0))</f>
        <v>69660.040415729818</v>
      </c>
      <c r="M214" s="90">
        <f>INDEX(M$151:M$168,MATCH($B192,$B$151:$B$168,0))*INDEX('Resource costs'!$C$121:$C$142, MATCH($B192, 'Resource costs'!$B$121:$B$142,0))</f>
        <v>74283.975046249834</v>
      </c>
      <c r="N214" s="90">
        <f>INDEX(N$151:N$168,MATCH($B192,$B$151:$B$168,0))*INDEX('Resource costs'!$C$121:$C$142, MATCH($B192, 'Resource costs'!$B$121:$B$142,0))</f>
        <v>78982.144332601092</v>
      </c>
      <c r="O214" s="90">
        <f>INDEX(O$151:O$168,MATCH($B192,$B$151:$B$168,0))*INDEX('Resource costs'!$C$121:$C$142, MATCH($B192, 'Resource costs'!$B$121:$B$142,0))</f>
        <v>83748.394011057913</v>
      </c>
      <c r="P214" s="90">
        <f>INDEX(P$151:P$168,MATCH($B192,$B$151:$B$168,0))*INDEX('Resource costs'!$C$121:$C$142, MATCH($B192, 'Resource costs'!$B$121:$B$142,0))</f>
        <v>88577.372106290699</v>
      </c>
      <c r="Q214" s="90">
        <f>INDEX(Q$151:Q$168,MATCH($B192,$B$151:$B$168,0))*INDEX('Resource costs'!$C$121:$C$142, MATCH($B192, 'Resource costs'!$B$121:$B$142,0))</f>
        <v>93471.401369715357</v>
      </c>
      <c r="R214" s="90">
        <f>INDEX(R$151:R$168,MATCH($B192,$B$151:$B$168,0))*INDEX('Resource costs'!$C$121:$C$142, MATCH($B192, 'Resource costs'!$B$121:$B$142,0))</f>
        <v>98434.997720498854</v>
      </c>
      <c r="S214" s="90">
        <f>INDEX(S$151:S$168,MATCH($B192,$B$151:$B$168,0))*INDEX('Resource costs'!$C$121:$C$142, MATCH($B192, 'Resource costs'!$B$121:$B$142,0))</f>
        <v>103468.44371096705</v>
      </c>
      <c r="T214" s="90">
        <f>INDEX(T$151:T$168,MATCH($B192,$B$151:$B$168,0))*INDEX('Resource costs'!$C$121:$C$142, MATCH($B192, 'Resource costs'!$B$121:$B$142,0))</f>
        <v>108566.04834826858</v>
      </c>
      <c r="U214" s="90">
        <f>INDEX(U$151:U$168,MATCH($B192,$B$151:$B$168,0))*INDEX('Resource costs'!$C$121:$C$142, MATCH($B192, 'Resource costs'!$B$121:$B$142,0))</f>
        <v>113727.03960974922</v>
      </c>
      <c r="V214" s="90">
        <f>INDEX(V$151:V$168,MATCH($B192,$B$151:$B$168,0))*INDEX('Resource costs'!$C$121:$C$142, MATCH($B192, 'Resource costs'!$B$121:$B$142,0))</f>
        <v>118962.49832497258</v>
      </c>
      <c r="W214" s="90">
        <f>INDEX(W$151:W$168,MATCH($B192,$B$151:$B$168,0))*INDEX('Resource costs'!$C$121:$C$142, MATCH($B192, 'Resource costs'!$B$121:$B$142,0))</f>
        <v>124263.36859666044</v>
      </c>
      <c r="X214" s="90">
        <f>INDEX(X$151:X$168,MATCH($B192,$B$151:$B$168,0))*INDEX('Resource costs'!$C$121:$C$142, MATCH($B192, 'Resource costs'!$B$121:$B$142,0))</f>
        <v>129625.72164207854</v>
      </c>
      <c r="Y214" s="90">
        <f>INDEX(Y$151:Y$168,MATCH($B192,$B$151:$B$168,0))*INDEX('Resource costs'!$C$121:$C$142, MATCH($B192, 'Resource costs'!$B$121:$B$142,0))</f>
        <v>135047.4620317127</v>
      </c>
      <c r="Z214" s="90">
        <f>INDEX(Z$151:Z$168,MATCH($B192,$B$151:$B$168,0))*INDEX('Resource costs'!$C$121:$C$142, MATCH($B192, 'Resource costs'!$B$121:$B$142,0))</f>
        <v>140531.87734447664</v>
      </c>
      <c r="AA214" s="90">
        <f>INDEX(AA$151:AA$168,MATCH($B192,$B$151:$B$168,0))*INDEX('Resource costs'!$C$121:$C$142, MATCH($B192, 'Resource costs'!$B$121:$B$142,0))</f>
        <v>146077.23458406448</v>
      </c>
      <c r="AB214" s="90">
        <f>INDEX(AB$151:AB$168,MATCH($B192,$B$151:$B$168,0))*INDEX('Resource costs'!$C$121:$C$142, MATCH($B192, 'Resource costs'!$B$121:$B$142,0))</f>
        <v>151680.60895322147</v>
      </c>
      <c r="AC214" s="90">
        <f>INDEX(AC$151:AC$168,MATCH($B192,$B$151:$B$168,0))*INDEX('Resource costs'!$C$121:$C$142, MATCH($B192, 'Resource costs'!$B$121:$B$142,0))</f>
        <v>157339.07648991246</v>
      </c>
      <c r="AD214" s="90">
        <f>INDEX(AD$151:AD$168,MATCH($B192,$B$151:$B$168,0))*INDEX('Resource costs'!$C$121:$C$142, MATCH($B192, 'Resource costs'!$B$121:$B$142,0))</f>
        <v>163049.35644616667</v>
      </c>
      <c r="AE214" s="90">
        <f>INDEX(AE$151:AE$168,MATCH($B192,$B$151:$B$168,0))*INDEX('Resource costs'!$C$121:$C$142, MATCH($B192, 'Resource costs'!$B$121:$B$142,0))</f>
        <v>168808.23135747135</v>
      </c>
      <c r="AF214" s="90">
        <f>INDEX(AF$151:AF$168,MATCH($B192,$B$151:$B$168,0))*INDEX('Resource costs'!$C$121:$C$142, MATCH($B192, 'Resource costs'!$B$121:$B$142,0))</f>
        <v>174612.33081262166</v>
      </c>
      <c r="AG214" s="90">
        <f>INDEX(AG$151:AG$168,MATCH($B192,$B$151:$B$168,0))*INDEX('Resource costs'!$C$121:$C$142, MATCH($B192, 'Resource costs'!$B$121:$B$142,0))</f>
        <v>180460.03566409193</v>
      </c>
      <c r="AH214" s="90">
        <f>INDEX(AH$151:AH$168,MATCH($B192,$B$151:$B$168,0))*INDEX('Resource costs'!$C$121:$C$142, MATCH($B192, 'Resource costs'!$B$121:$B$142,0))</f>
        <v>186353.67779614506</v>
      </c>
      <c r="AI214" s="90">
        <f>INDEX(AI$151:AI$168,MATCH($B192,$B$151:$B$168,0))*INDEX('Resource costs'!$C$121:$C$142, MATCH($B192, 'Resource costs'!$B$121:$B$142,0))</f>
        <v>192292.48310777807</v>
      </c>
      <c r="AJ214" s="90">
        <f>INDEX(AJ$151:AJ$168,MATCH($B192,$B$151:$B$168,0))*INDEX('Resource costs'!$C$121:$C$142, MATCH($B192, 'Resource costs'!$B$121:$B$142,0))</f>
        <v>198277.01781559599</v>
      </c>
      <c r="AK214" s="90">
        <f>INDEX(AK$151:AK$168,MATCH($B192,$B$151:$B$168,0))*INDEX('Resource costs'!$C$121:$C$142, MATCH($B192, 'Resource costs'!$B$121:$B$142,0))</f>
        <v>204301.2811620752</v>
      </c>
      <c r="AL214" s="90">
        <f>INDEX(AL$151:AL$168,MATCH($B192,$B$151:$B$168,0))*INDEX('Resource costs'!$C$121:$C$142, MATCH($B192, 'Resource costs'!$B$121:$B$142,0))</f>
        <v>210359.34364232246</v>
      </c>
      <c r="AM214" s="90">
        <f>INDEX(AM$151:AM$168,MATCH($B192,$B$151:$B$168,0))*INDEX('Resource costs'!$C$121:$C$142, MATCH($B192, 'Resource costs'!$B$121:$B$142,0))</f>
        <v>216445.67332850627</v>
      </c>
      <c r="AN214" s="90">
        <f>INDEX(AN$151:AN$168,MATCH($B192,$B$151:$B$168,0))*INDEX('Resource costs'!$C$121:$C$142, MATCH($B192, 'Resource costs'!$B$121:$B$142,0))</f>
        <v>222558.45043507183</v>
      </c>
      <c r="AO214" s="90">
        <f>INDEX(AO$151:AO$168,MATCH($B192,$B$151:$B$168,0))*INDEX('Resource costs'!$C$121:$C$142, MATCH($B192, 'Resource costs'!$B$121:$B$142,0))</f>
        <v>228694.96461570918</v>
      </c>
      <c r="AP214" s="90">
        <f>INDEX(AP$151:AP$168,MATCH($B192,$B$151:$B$168,0))*INDEX('Resource costs'!$C$121:$C$142, MATCH($B192, 'Resource costs'!$B$121:$B$142,0))</f>
        <v>234851.56929986738</v>
      </c>
      <c r="AQ214" s="90">
        <f>INDEX(AQ$151:AQ$168,MATCH($B192,$B$151:$B$168,0))*INDEX('Resource costs'!$C$121:$C$142, MATCH($B192, 'Resource costs'!$B$121:$B$142,0))</f>
        <v>241030.81620388778</v>
      </c>
      <c r="AR214" s="90">
        <f>INDEX(AR$151:AR$168,MATCH($B192,$B$151:$B$168,0))*INDEX('Resource costs'!$C$121:$C$142, MATCH($B192, 'Resource costs'!$B$121:$B$142,0))</f>
        <v>247237.21048209706</v>
      </c>
      <c r="AS214" s="90">
        <f>INDEX(AS$151:AS$168,MATCH($B192,$B$151:$B$168,0))*INDEX('Resource costs'!$C$121:$C$142, MATCH($B192, 'Resource costs'!$B$121:$B$142,0))</f>
        <v>253475.41633352643</v>
      </c>
      <c r="AT214" s="90">
        <f>INDEX(AT$151:AT$168,MATCH($B192,$B$151:$B$168,0))*INDEX('Resource costs'!$C$121:$C$142, MATCH($B192, 'Resource costs'!$B$121:$B$142,0))</f>
        <v>259713.62218495581</v>
      </c>
      <c r="AU214" s="90">
        <f>INDEX(AU$151:AU$168,MATCH($B192,$B$151:$B$168,0))*INDEX('Resource costs'!$C$121:$C$142, MATCH($B192, 'Resource costs'!$B$121:$B$142,0))</f>
        <v>265951.82803638518</v>
      </c>
      <c r="AV214" s="90">
        <f>INDEX(AV$151:AV$168,MATCH($B192,$B$151:$B$168,0))*INDEX('Resource costs'!$C$121:$C$142, MATCH($B192, 'Resource costs'!$B$121:$B$142,0))</f>
        <v>272190.0338878145</v>
      </c>
      <c r="AW214" s="90">
        <f>INDEX(AW$151:AW$168,MATCH($B192,$B$151:$B$168,0))*INDEX('Resource costs'!$C$121:$C$142, MATCH($B192, 'Resource costs'!$B$121:$B$142,0))</f>
        <v>278428.23973924381</v>
      </c>
      <c r="AX214" s="90">
        <f>INDEX(AX$151:AX$168,MATCH($B192,$B$151:$B$168,0))*INDEX('Resource costs'!$C$121:$C$142, MATCH($B192, 'Resource costs'!$B$121:$B$142,0))</f>
        <v>284666.44559067319</v>
      </c>
      <c r="AY214" s="90">
        <f>INDEX(AY$151:AY$168,MATCH($B192,$B$151:$B$168,0))*INDEX('Resource costs'!$C$121:$C$142, MATCH($B192, 'Resource costs'!$B$121:$B$142,0))</f>
        <v>290904.65144210256</v>
      </c>
      <c r="AZ214" s="90">
        <f>INDEX(AZ$151:AZ$168,MATCH($B192,$B$151:$B$168,0))*INDEX('Resource costs'!$C$121:$C$142, MATCH($B192, 'Resource costs'!$B$121:$B$142,0))</f>
        <v>297142.85729353188</v>
      </c>
      <c r="BA214" s="90">
        <f>INDEX(BA$151:BA$168,MATCH($B192,$B$151:$B$168,0))*INDEX('Resource costs'!$C$121:$C$142, MATCH($B192, 'Resource costs'!$B$121:$B$142,0))</f>
        <v>303381.06314496126</v>
      </c>
      <c r="BB214" s="90">
        <f>INDEX(BB$151:BB$168,MATCH($B192,$B$151:$B$168,0))*INDEX('Resource costs'!$C$121:$C$142, MATCH($B192, 'Resource costs'!$B$121:$B$142,0))</f>
        <v>309619.26899639057</v>
      </c>
    </row>
    <row r="215" spans="1:54">
      <c r="B215" s="6" t="s">
        <v>2832</v>
      </c>
      <c r="C215" s="52"/>
      <c r="D215" s="90">
        <f>INDEX(D$151:D$168,MATCH($B193,$B$151:$B$168,0))*INDEX('Resource costs'!$C$121:$C$142, MATCH($B193, 'Resource costs'!$B$121:$B$142,0))</f>
        <v>13275.6</v>
      </c>
      <c r="E215" s="90">
        <f>INDEX(E$151:E$168,MATCH($B193,$B$151:$B$168,0))*INDEX('Resource costs'!$C$121:$C$142, MATCH($B193, 'Resource costs'!$B$121:$B$142,0))</f>
        <v>14797.148807590887</v>
      </c>
      <c r="F215" s="90">
        <f>INDEX(F$151:F$168,MATCH($B193,$B$151:$B$168,0))*INDEX('Resource costs'!$C$121:$C$142, MATCH($B193, 'Resource costs'!$B$121:$B$142,0))</f>
        <v>16337.696392929607</v>
      </c>
      <c r="G215" s="90">
        <f>INDEX(G$151:G$168,MATCH($B193,$B$151:$B$168,0))*INDEX('Resource costs'!$C$121:$C$142, MATCH($B193, 'Resource costs'!$B$121:$B$142,0))</f>
        <v>17899.37233003381</v>
      </c>
      <c r="H215" s="90">
        <f>INDEX(H$151:H$168,MATCH($B193,$B$151:$B$168,0))*INDEX('Resource costs'!$C$121:$C$142, MATCH($B193, 'Resource costs'!$B$121:$B$142,0))</f>
        <v>19485.651536394413</v>
      </c>
      <c r="I215" s="90">
        <f>INDEX(I$151:I$168,MATCH($B193,$B$151:$B$168,0))*INDEX('Resource costs'!$C$121:$C$142, MATCH($B193, 'Resource costs'!$B$121:$B$142,0))</f>
        <v>21098.415234734723</v>
      </c>
      <c r="J215" s="90">
        <f>INDEX(J$151:J$168,MATCH($B193,$B$151:$B$168,0))*INDEX('Resource costs'!$C$121:$C$142, MATCH($B193, 'Resource costs'!$B$121:$B$142,0))</f>
        <v>22736.398207002989</v>
      </c>
      <c r="K215" s="90">
        <f>INDEX(K$151:K$168,MATCH($B193,$B$151:$B$168,0))*INDEX('Resource costs'!$C$121:$C$142, MATCH($B193, 'Resource costs'!$B$121:$B$142,0))</f>
        <v>24400.284586576214</v>
      </c>
      <c r="L215" s="90">
        <f>INDEX(L$151:L$168,MATCH($B193,$B$151:$B$168,0))*INDEX('Resource costs'!$C$121:$C$142, MATCH($B193, 'Resource costs'!$B$121:$B$142,0))</f>
        <v>26101.442598157228</v>
      </c>
      <c r="M215" s="90">
        <f>INDEX(M$151:M$168,MATCH($B193,$B$151:$B$168,0))*INDEX('Resource costs'!$C$121:$C$142, MATCH($B193, 'Resource costs'!$B$121:$B$142,0))</f>
        <v>27834.019318122726</v>
      </c>
      <c r="N215" s="90">
        <f>INDEX(N$151:N$168,MATCH($B193,$B$151:$B$168,0))*INDEX('Resource costs'!$C$121:$C$142, MATCH($B193, 'Resource costs'!$B$121:$B$142,0))</f>
        <v>29594.411577620063</v>
      </c>
      <c r="O215" s="90">
        <f>INDEX(O$151:O$168,MATCH($B193,$B$151:$B$168,0))*INDEX('Resource costs'!$C$121:$C$142, MATCH($B193, 'Resource costs'!$B$121:$B$142,0))</f>
        <v>31380.313389451836</v>
      </c>
      <c r="P215" s="90">
        <f>INDEX(P$151:P$168,MATCH($B193,$B$151:$B$168,0))*INDEX('Resource costs'!$C$121:$C$142, MATCH($B193, 'Resource costs'!$B$121:$B$142,0))</f>
        <v>33189.719381872361</v>
      </c>
      <c r="Q215" s="90">
        <f>INDEX(Q$151:Q$168,MATCH($B193,$B$151:$B$168,0))*INDEX('Resource costs'!$C$121:$C$142, MATCH($B193, 'Resource costs'!$B$121:$B$142,0))</f>
        <v>35023.499884017103</v>
      </c>
      <c r="R215" s="90">
        <f>INDEX(R$151:R$168,MATCH($B193,$B$151:$B$168,0))*INDEX('Resource costs'!$C$121:$C$142, MATCH($B193, 'Resource costs'!$B$121:$B$142,0))</f>
        <v>36883.346999482506</v>
      </c>
      <c r="S215" s="90">
        <f>INDEX(S$151:S$168,MATCH($B193,$B$151:$B$168,0))*INDEX('Resource costs'!$C$121:$C$142, MATCH($B193, 'Resource costs'!$B$121:$B$142,0))</f>
        <v>38769.366599917063</v>
      </c>
      <c r="T215" s="90">
        <f>INDEX(T$151:T$168,MATCH($B193,$B$151:$B$168,0))*INDEX('Resource costs'!$C$121:$C$142, MATCH($B193, 'Resource costs'!$B$121:$B$142,0))</f>
        <v>40679.426284559187</v>
      </c>
      <c r="U215" s="90">
        <f>INDEX(U$151:U$168,MATCH($B193,$B$151:$B$168,0))*INDEX('Resource costs'!$C$121:$C$142, MATCH($B193, 'Resource costs'!$B$121:$B$142,0))</f>
        <v>42613.236778454753</v>
      </c>
      <c r="V215" s="90">
        <f>INDEX(V$151:V$168,MATCH($B193,$B$151:$B$168,0))*INDEX('Resource costs'!$C$121:$C$142, MATCH($B193, 'Resource costs'!$B$121:$B$142,0))</f>
        <v>44574.950040676275</v>
      </c>
      <c r="W215" s="90">
        <f>INDEX(W$151:W$168,MATCH($B193,$B$151:$B$168,0))*INDEX('Resource costs'!$C$121:$C$142, MATCH($B193, 'Resource costs'!$B$121:$B$142,0))</f>
        <v>46561.172849204762</v>
      </c>
      <c r="X215" s="90">
        <f>INDEX(X$151:X$168,MATCH($B193,$B$151:$B$168,0))*INDEX('Resource costs'!$C$121:$C$142, MATCH($B193, 'Resource costs'!$B$121:$B$142,0))</f>
        <v>48570.433098993948</v>
      </c>
      <c r="Y215" s="90">
        <f>INDEX(Y$151:Y$168,MATCH($B193,$B$151:$B$168,0))*INDEX('Resource costs'!$C$121:$C$142, MATCH($B193, 'Resource costs'!$B$121:$B$142,0))</f>
        <v>50601.945637855337</v>
      </c>
      <c r="Z215" s="90">
        <f>INDEX(Z$151:Z$168,MATCH($B193,$B$151:$B$168,0))*INDEX('Resource costs'!$C$121:$C$142, MATCH($B193, 'Resource costs'!$B$121:$B$142,0))</f>
        <v>52656.942313370302</v>
      </c>
      <c r="AA215" s="90">
        <f>INDEX(AA$151:AA$168,MATCH($B193,$B$151:$B$168,0))*INDEX('Resource costs'!$C$121:$C$142, MATCH($B193, 'Resource costs'!$B$121:$B$142,0))</f>
        <v>54734.773776165348</v>
      </c>
      <c r="AB215" s="90">
        <f>INDEX(AB$151:AB$168,MATCH($B193,$B$151:$B$168,0))*INDEX('Resource costs'!$C$121:$C$142, MATCH($B193, 'Resource costs'!$B$121:$B$142,0))</f>
        <v>56834.34411203771</v>
      </c>
      <c r="AC215" s="90">
        <f>INDEX(AC$151:AC$168,MATCH($B193,$B$151:$B$168,0))*INDEX('Resource costs'!$C$121:$C$142, MATCH($B193, 'Resource costs'!$B$121:$B$142,0))</f>
        <v>58954.55771973935</v>
      </c>
      <c r="AD215" s="90">
        <f>INDEX(AD$151:AD$168,MATCH($B193,$B$151:$B$168,0))*INDEX('Resource costs'!$C$121:$C$142, MATCH($B193, 'Resource costs'!$B$121:$B$142,0))</f>
        <v>61094.18531122608</v>
      </c>
      <c r="AE215" s="90">
        <f>INDEX(AE$151:AE$168,MATCH($B193,$B$151:$B$168,0))*INDEX('Resource costs'!$C$121:$C$142, MATCH($B193, 'Resource costs'!$B$121:$B$142,0))</f>
        <v>63252.021310606928</v>
      </c>
      <c r="AF215" s="90">
        <f>INDEX(AF$151:AF$168,MATCH($B193,$B$151:$B$168,0))*INDEX('Resource costs'!$C$121:$C$142, MATCH($B193, 'Resource costs'!$B$121:$B$142,0))</f>
        <v>65426.802833248606</v>
      </c>
      <c r="AG215" s="90">
        <f>INDEX(AG$151:AG$168,MATCH($B193,$B$151:$B$168,0))*INDEX('Resource costs'!$C$121:$C$142, MATCH($B193, 'Resource costs'!$B$121:$B$142,0))</f>
        <v>67617.923188630302</v>
      </c>
      <c r="AH215" s="90">
        <f>INDEX(AH$151:AH$168,MATCH($B193,$B$151:$B$168,0))*INDEX('Resource costs'!$C$121:$C$142, MATCH($B193, 'Resource costs'!$B$121:$B$142,0))</f>
        <v>69826.256127942353</v>
      </c>
      <c r="AI215" s="90">
        <f>INDEX(AI$151:AI$168,MATCH($B193,$B$151:$B$168,0))*INDEX('Resource costs'!$C$121:$C$142, MATCH($B193, 'Resource costs'!$B$121:$B$142,0))</f>
        <v>72051.511597478646</v>
      </c>
      <c r="AJ215" s="90">
        <f>INDEX(AJ$151:AJ$168,MATCH($B193,$B$151:$B$168,0))*INDEX('Resource costs'!$C$121:$C$142, MATCH($B193, 'Resource costs'!$B$121:$B$142,0))</f>
        <v>74293.901757182262</v>
      </c>
      <c r="AK215" s="90">
        <f>INDEX(AK$151:AK$168,MATCH($B193,$B$151:$B$168,0))*INDEX('Resource costs'!$C$121:$C$142, MATCH($B193, 'Resource costs'!$B$121:$B$142,0))</f>
        <v>76551.178138245086</v>
      </c>
      <c r="AL215" s="90">
        <f>INDEX(AL$151:AL$168,MATCH($B193,$B$151:$B$168,0))*INDEX('Resource costs'!$C$121:$C$142, MATCH($B193, 'Resource costs'!$B$121:$B$142,0))</f>
        <v>78821.118970041091</v>
      </c>
      <c r="AM215" s="90">
        <f>INDEX(AM$151:AM$168,MATCH($B193,$B$151:$B$168,0))*INDEX('Resource costs'!$C$121:$C$142, MATCH($B193, 'Resource costs'!$B$121:$B$142,0))</f>
        <v>81101.651453072976</v>
      </c>
      <c r="AN215" s="90">
        <f>INDEX(AN$151:AN$168,MATCH($B193,$B$151:$B$168,0))*INDEX('Resource costs'!$C$121:$C$142, MATCH($B193, 'Resource costs'!$B$121:$B$142,0))</f>
        <v>83392.093718253222</v>
      </c>
      <c r="AO215" s="90">
        <f>INDEX(AO$151:AO$168,MATCH($B193,$B$151:$B$168,0))*INDEX('Resource costs'!$C$121:$C$142, MATCH($B193, 'Resource costs'!$B$121:$B$142,0))</f>
        <v>85691.430205610668</v>
      </c>
      <c r="AP215" s="90">
        <f>INDEX(AP$151:AP$168,MATCH($B193,$B$151:$B$168,0))*INDEX('Resource costs'!$C$121:$C$142, MATCH($B193, 'Resource costs'!$B$121:$B$142,0))</f>
        <v>87998.294554297085</v>
      </c>
      <c r="AQ215" s="90">
        <f>INDEX(AQ$151:AQ$168,MATCH($B193,$B$151:$B$168,0))*INDEX('Resource costs'!$C$121:$C$142, MATCH($B193, 'Resource costs'!$B$121:$B$142,0))</f>
        <v>90313.642886031754</v>
      </c>
      <c r="AR215" s="90">
        <f>INDEX(AR$151:AR$168,MATCH($B193,$B$151:$B$168,0))*INDEX('Resource costs'!$C$121:$C$142, MATCH($B193, 'Resource costs'!$B$121:$B$142,0))</f>
        <v>92639.163270852412</v>
      </c>
      <c r="AS215" s="90">
        <f>INDEX(AS$151:AS$168,MATCH($B193,$B$151:$B$168,0))*INDEX('Resource costs'!$C$121:$C$142, MATCH($B193, 'Resource costs'!$B$121:$B$142,0))</f>
        <v>94976.603372449099</v>
      </c>
      <c r="AT215" s="90">
        <f>INDEX(AT$151:AT$168,MATCH($B193,$B$151:$B$168,0))*INDEX('Resource costs'!$C$121:$C$142, MATCH($B193, 'Resource costs'!$B$121:$B$142,0))</f>
        <v>97314.043474045771</v>
      </c>
      <c r="AU215" s="90">
        <f>INDEX(AU$151:AU$168,MATCH($B193,$B$151:$B$168,0))*INDEX('Resource costs'!$C$121:$C$142, MATCH($B193, 'Resource costs'!$B$121:$B$142,0))</f>
        <v>99651.483575642444</v>
      </c>
      <c r="AV215" s="90">
        <f>INDEX(AV$151:AV$168,MATCH($B193,$B$151:$B$168,0))*INDEX('Resource costs'!$C$121:$C$142, MATCH($B193, 'Resource costs'!$B$121:$B$142,0))</f>
        <v>101988.92367723913</v>
      </c>
      <c r="AW215" s="90">
        <f>INDEX(AW$151:AW$168,MATCH($B193,$B$151:$B$168,0))*INDEX('Resource costs'!$C$121:$C$142, MATCH($B193, 'Resource costs'!$B$121:$B$142,0))</f>
        <v>104326.36377883579</v>
      </c>
      <c r="AX215" s="90">
        <f>INDEX(AX$151:AX$168,MATCH($B193,$B$151:$B$168,0))*INDEX('Resource costs'!$C$121:$C$142, MATCH($B193, 'Resource costs'!$B$121:$B$142,0))</f>
        <v>106663.80388043246</v>
      </c>
      <c r="AY215" s="90">
        <f>INDEX(AY$151:AY$168,MATCH($B193,$B$151:$B$168,0))*INDEX('Resource costs'!$C$121:$C$142, MATCH($B193, 'Resource costs'!$B$121:$B$142,0))</f>
        <v>109001.24398202912</v>
      </c>
      <c r="AZ215" s="90">
        <f>INDEX(AZ$151:AZ$168,MATCH($B193,$B$151:$B$168,0))*INDEX('Resource costs'!$C$121:$C$142, MATCH($B193, 'Resource costs'!$B$121:$B$142,0))</f>
        <v>111338.68408362579</v>
      </c>
      <c r="BA215" s="90">
        <f>INDEX(BA$151:BA$168,MATCH($B193,$B$151:$B$168,0))*INDEX('Resource costs'!$C$121:$C$142, MATCH($B193, 'Resource costs'!$B$121:$B$142,0))</f>
        <v>113676.12418522246</v>
      </c>
      <c r="BB215" s="90">
        <f>INDEX(BB$151:BB$168,MATCH($B193,$B$151:$B$168,0))*INDEX('Resource costs'!$C$121:$C$142, MATCH($B193, 'Resource costs'!$B$121:$B$142,0))</f>
        <v>116013.56428681912</v>
      </c>
    </row>
    <row r="216" spans="1:54">
      <c r="B216" s="6" t="s">
        <v>2871</v>
      </c>
      <c r="C216" s="52"/>
      <c r="D216" s="90">
        <f>INDEX(D$151:D$168,MATCH($B194,$B$151:$B$168,0))*INDEX('Resource costs'!$C$121:$C$142, MATCH($B194, 'Resource costs'!$B$121:$B$142,0))</f>
        <v>0</v>
      </c>
      <c r="E216" s="90">
        <f>INDEX(E$151:E$168,MATCH($B194,$B$151:$B$168,0))*INDEX('Resource costs'!$C$121:$C$142, MATCH($B194, 'Resource costs'!$B$121:$B$142,0))</f>
        <v>0</v>
      </c>
      <c r="F216" s="90">
        <f>INDEX(F$151:F$168,MATCH($B194,$B$151:$B$168,0))*INDEX('Resource costs'!$C$121:$C$142, MATCH($B194, 'Resource costs'!$B$121:$B$142,0))</f>
        <v>0</v>
      </c>
      <c r="G216" s="90">
        <f>INDEX(G$151:G$168,MATCH($B194,$B$151:$B$168,0))*INDEX('Resource costs'!$C$121:$C$142, MATCH($B194, 'Resource costs'!$B$121:$B$142,0))</f>
        <v>0</v>
      </c>
      <c r="H216" s="90">
        <f>INDEX(H$151:H$168,MATCH($B194,$B$151:$B$168,0))*INDEX('Resource costs'!$C$121:$C$142, MATCH($B194, 'Resource costs'!$B$121:$B$142,0))</f>
        <v>0</v>
      </c>
      <c r="I216" s="90">
        <f>INDEX(I$151:I$168,MATCH($B194,$B$151:$B$168,0))*INDEX('Resource costs'!$C$121:$C$142, MATCH($B194, 'Resource costs'!$B$121:$B$142,0))</f>
        <v>0</v>
      </c>
      <c r="J216" s="90">
        <f>INDEX(J$151:J$168,MATCH($B194,$B$151:$B$168,0))*INDEX('Resource costs'!$C$121:$C$142, MATCH($B194, 'Resource costs'!$B$121:$B$142,0))</f>
        <v>0</v>
      </c>
      <c r="K216" s="90">
        <f>INDEX(K$151:K$168,MATCH($B194,$B$151:$B$168,0))*INDEX('Resource costs'!$C$121:$C$142, MATCH($B194, 'Resource costs'!$B$121:$B$142,0))</f>
        <v>0</v>
      </c>
      <c r="L216" s="90">
        <f>INDEX(L$151:L$168,MATCH($B194,$B$151:$B$168,0))*INDEX('Resource costs'!$C$121:$C$142, MATCH($B194, 'Resource costs'!$B$121:$B$142,0))</f>
        <v>0</v>
      </c>
      <c r="M216" s="90">
        <f>INDEX(M$151:M$168,MATCH($B194,$B$151:$B$168,0))*INDEX('Resource costs'!$C$121:$C$142, MATCH($B194, 'Resource costs'!$B$121:$B$142,0))</f>
        <v>0</v>
      </c>
      <c r="N216" s="90">
        <f>INDEX(N$151:N$168,MATCH($B194,$B$151:$B$168,0))*INDEX('Resource costs'!$C$121:$C$142, MATCH($B194, 'Resource costs'!$B$121:$B$142,0))</f>
        <v>0</v>
      </c>
      <c r="O216" s="90">
        <f>INDEX(O$151:O$168,MATCH($B194,$B$151:$B$168,0))*INDEX('Resource costs'!$C$121:$C$142, MATCH($B194, 'Resource costs'!$B$121:$B$142,0))</f>
        <v>0</v>
      </c>
      <c r="P216" s="90">
        <f>INDEX(P$151:P$168,MATCH($B194,$B$151:$B$168,0))*INDEX('Resource costs'!$C$121:$C$142, MATCH($B194, 'Resource costs'!$B$121:$B$142,0))</f>
        <v>0</v>
      </c>
      <c r="Q216" s="90">
        <f>INDEX(Q$151:Q$168,MATCH($B194,$B$151:$B$168,0))*INDEX('Resource costs'!$C$121:$C$142, MATCH($B194, 'Resource costs'!$B$121:$B$142,0))</f>
        <v>0</v>
      </c>
      <c r="R216" s="90">
        <f>INDEX(R$151:R$168,MATCH($B194,$B$151:$B$168,0))*INDEX('Resource costs'!$C$121:$C$142, MATCH($B194, 'Resource costs'!$B$121:$B$142,0))</f>
        <v>0</v>
      </c>
      <c r="S216" s="90">
        <f>INDEX(S$151:S$168,MATCH($B194,$B$151:$B$168,0))*INDEX('Resource costs'!$C$121:$C$142, MATCH($B194, 'Resource costs'!$B$121:$B$142,0))</f>
        <v>0</v>
      </c>
      <c r="T216" s="90">
        <f>INDEX(T$151:T$168,MATCH($B194,$B$151:$B$168,0))*INDEX('Resource costs'!$C$121:$C$142, MATCH($B194, 'Resource costs'!$B$121:$B$142,0))</f>
        <v>0</v>
      </c>
      <c r="U216" s="90">
        <f>INDEX(U$151:U$168,MATCH($B194,$B$151:$B$168,0))*INDEX('Resource costs'!$C$121:$C$142, MATCH($B194, 'Resource costs'!$B$121:$B$142,0))</f>
        <v>0</v>
      </c>
      <c r="V216" s="90">
        <f>INDEX(V$151:V$168,MATCH($B194,$B$151:$B$168,0))*INDEX('Resource costs'!$C$121:$C$142, MATCH($B194, 'Resource costs'!$B$121:$B$142,0))</f>
        <v>0</v>
      </c>
      <c r="W216" s="90">
        <f>INDEX(W$151:W$168,MATCH($B194,$B$151:$B$168,0))*INDEX('Resource costs'!$C$121:$C$142, MATCH($B194, 'Resource costs'!$B$121:$B$142,0))</f>
        <v>0</v>
      </c>
      <c r="X216" s="90">
        <f>INDEX(X$151:X$168,MATCH($B194,$B$151:$B$168,0))*INDEX('Resource costs'!$C$121:$C$142, MATCH($B194, 'Resource costs'!$B$121:$B$142,0))</f>
        <v>0</v>
      </c>
      <c r="Y216" s="90">
        <f>INDEX(Y$151:Y$168,MATCH($B194,$B$151:$B$168,0))*INDEX('Resource costs'!$C$121:$C$142, MATCH($B194, 'Resource costs'!$B$121:$B$142,0))</f>
        <v>0</v>
      </c>
      <c r="Z216" s="90">
        <f>INDEX(Z$151:Z$168,MATCH($B194,$B$151:$B$168,0))*INDEX('Resource costs'!$C$121:$C$142, MATCH($B194, 'Resource costs'!$B$121:$B$142,0))</f>
        <v>0</v>
      </c>
      <c r="AA216" s="90">
        <f>INDEX(AA$151:AA$168,MATCH($B194,$B$151:$B$168,0))*INDEX('Resource costs'!$C$121:$C$142, MATCH($B194, 'Resource costs'!$B$121:$B$142,0))</f>
        <v>0</v>
      </c>
      <c r="AB216" s="90">
        <f>INDEX(AB$151:AB$168,MATCH($B194,$B$151:$B$168,0))*INDEX('Resource costs'!$C$121:$C$142, MATCH($B194, 'Resource costs'!$B$121:$B$142,0))</f>
        <v>0</v>
      </c>
      <c r="AC216" s="90">
        <f>INDEX(AC$151:AC$168,MATCH($B194,$B$151:$B$168,0))*INDEX('Resource costs'!$C$121:$C$142, MATCH($B194, 'Resource costs'!$B$121:$B$142,0))</f>
        <v>0</v>
      </c>
      <c r="AD216" s="90">
        <f>INDEX(AD$151:AD$168,MATCH($B194,$B$151:$B$168,0))*INDEX('Resource costs'!$C$121:$C$142, MATCH($B194, 'Resource costs'!$B$121:$B$142,0))</f>
        <v>0</v>
      </c>
      <c r="AE216" s="90">
        <f>INDEX(AE$151:AE$168,MATCH($B194,$B$151:$B$168,0))*INDEX('Resource costs'!$C$121:$C$142, MATCH($B194, 'Resource costs'!$B$121:$B$142,0))</f>
        <v>0</v>
      </c>
      <c r="AF216" s="90">
        <f>INDEX(AF$151:AF$168,MATCH($B194,$B$151:$B$168,0))*INDEX('Resource costs'!$C$121:$C$142, MATCH($B194, 'Resource costs'!$B$121:$B$142,0))</f>
        <v>0</v>
      </c>
      <c r="AG216" s="90">
        <f>INDEX(AG$151:AG$168,MATCH($B194,$B$151:$B$168,0))*INDEX('Resource costs'!$C$121:$C$142, MATCH($B194, 'Resource costs'!$B$121:$B$142,0))</f>
        <v>0</v>
      </c>
      <c r="AH216" s="90">
        <f>INDEX(AH$151:AH$168,MATCH($B194,$B$151:$B$168,0))*INDEX('Resource costs'!$C$121:$C$142, MATCH($B194, 'Resource costs'!$B$121:$B$142,0))</f>
        <v>0</v>
      </c>
      <c r="AI216" s="90">
        <f>INDEX(AI$151:AI$168,MATCH($B194,$B$151:$B$168,0))*INDEX('Resource costs'!$C$121:$C$142, MATCH($B194, 'Resource costs'!$B$121:$B$142,0))</f>
        <v>0</v>
      </c>
      <c r="AJ216" s="90">
        <f>INDEX(AJ$151:AJ$168,MATCH($B194,$B$151:$B$168,0))*INDEX('Resource costs'!$C$121:$C$142, MATCH($B194, 'Resource costs'!$B$121:$B$142,0))</f>
        <v>0</v>
      </c>
      <c r="AK216" s="90">
        <f>INDEX(AK$151:AK$168,MATCH($B194,$B$151:$B$168,0))*INDEX('Resource costs'!$C$121:$C$142, MATCH($B194, 'Resource costs'!$B$121:$B$142,0))</f>
        <v>0</v>
      </c>
      <c r="AL216" s="90">
        <f>INDEX(AL$151:AL$168,MATCH($B194,$B$151:$B$168,0))*INDEX('Resource costs'!$C$121:$C$142, MATCH($B194, 'Resource costs'!$B$121:$B$142,0))</f>
        <v>0</v>
      </c>
      <c r="AM216" s="90">
        <f>INDEX(AM$151:AM$168,MATCH($B194,$B$151:$B$168,0))*INDEX('Resource costs'!$C$121:$C$142, MATCH($B194, 'Resource costs'!$B$121:$B$142,0))</f>
        <v>0</v>
      </c>
      <c r="AN216" s="90">
        <f>INDEX(AN$151:AN$168,MATCH($B194,$B$151:$B$168,0))*INDEX('Resource costs'!$C$121:$C$142, MATCH($B194, 'Resource costs'!$B$121:$B$142,0))</f>
        <v>0</v>
      </c>
      <c r="AO216" s="90">
        <f>INDEX(AO$151:AO$168,MATCH($B194,$B$151:$B$168,0))*INDEX('Resource costs'!$C$121:$C$142, MATCH($B194, 'Resource costs'!$B$121:$B$142,0))</f>
        <v>0</v>
      </c>
      <c r="AP216" s="90">
        <f>INDEX(AP$151:AP$168,MATCH($B194,$B$151:$B$168,0))*INDEX('Resource costs'!$C$121:$C$142, MATCH($B194, 'Resource costs'!$B$121:$B$142,0))</f>
        <v>0</v>
      </c>
      <c r="AQ216" s="90">
        <f>INDEX(AQ$151:AQ$168,MATCH($B194,$B$151:$B$168,0))*INDEX('Resource costs'!$C$121:$C$142, MATCH($B194, 'Resource costs'!$B$121:$B$142,0))</f>
        <v>0</v>
      </c>
      <c r="AR216" s="90">
        <f>INDEX(AR$151:AR$168,MATCH($B194,$B$151:$B$168,0))*INDEX('Resource costs'!$C$121:$C$142, MATCH($B194, 'Resource costs'!$B$121:$B$142,0))</f>
        <v>0</v>
      </c>
      <c r="AS216" s="90">
        <f>INDEX(AS$151:AS$168,MATCH($B194,$B$151:$B$168,0))*INDEX('Resource costs'!$C$121:$C$142, MATCH($B194, 'Resource costs'!$B$121:$B$142,0))</f>
        <v>0</v>
      </c>
      <c r="AT216" s="90">
        <f>INDEX(AT$151:AT$168,MATCH($B194,$B$151:$B$168,0))*INDEX('Resource costs'!$C$121:$C$142, MATCH($B194, 'Resource costs'!$B$121:$B$142,0))</f>
        <v>0</v>
      </c>
      <c r="AU216" s="90">
        <f>INDEX(AU$151:AU$168,MATCH($B194,$B$151:$B$168,0))*INDEX('Resource costs'!$C$121:$C$142, MATCH($B194, 'Resource costs'!$B$121:$B$142,0))</f>
        <v>0</v>
      </c>
      <c r="AV216" s="90">
        <f>INDEX(AV$151:AV$168,MATCH($B194,$B$151:$B$168,0))*INDEX('Resource costs'!$C$121:$C$142, MATCH($B194, 'Resource costs'!$B$121:$B$142,0))</f>
        <v>0</v>
      </c>
      <c r="AW216" s="90">
        <f>INDEX(AW$151:AW$168,MATCH($B194,$B$151:$B$168,0))*INDEX('Resource costs'!$C$121:$C$142, MATCH($B194, 'Resource costs'!$B$121:$B$142,0))</f>
        <v>0</v>
      </c>
      <c r="AX216" s="90">
        <f>INDEX(AX$151:AX$168,MATCH($B194,$B$151:$B$168,0))*INDEX('Resource costs'!$C$121:$C$142, MATCH($B194, 'Resource costs'!$B$121:$B$142,0))</f>
        <v>0</v>
      </c>
      <c r="AY216" s="90">
        <f>INDEX(AY$151:AY$168,MATCH($B194,$B$151:$B$168,0))*INDEX('Resource costs'!$C$121:$C$142, MATCH($B194, 'Resource costs'!$B$121:$B$142,0))</f>
        <v>0</v>
      </c>
      <c r="AZ216" s="90">
        <f>INDEX(AZ$151:AZ$168,MATCH($B194,$B$151:$B$168,0))*INDEX('Resource costs'!$C$121:$C$142, MATCH($B194, 'Resource costs'!$B$121:$B$142,0))</f>
        <v>0</v>
      </c>
      <c r="BA216" s="90">
        <f>INDEX(BA$151:BA$168,MATCH($B194,$B$151:$B$168,0))*INDEX('Resource costs'!$C$121:$C$142, MATCH($B194, 'Resource costs'!$B$121:$B$142,0))</f>
        <v>0</v>
      </c>
      <c r="BB216" s="90">
        <f>INDEX(BB$151:BB$168,MATCH($B194,$B$151:$B$168,0))*INDEX('Resource costs'!$C$121:$C$142, MATCH($B194, 'Resource costs'!$B$121:$B$142,0))</f>
        <v>0</v>
      </c>
    </row>
    <row r="217" spans="1:54">
      <c r="B217" s="52"/>
      <c r="C217" s="52"/>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row>
    <row r="218" spans="1:54">
      <c r="D218" s="15"/>
    </row>
    <row r="219" spans="1:54">
      <c r="D219" s="19"/>
      <c r="E219" s="19"/>
      <c r="F219" s="19"/>
    </row>
    <row r="220" spans="1:54" s="588" customFormat="1">
      <c r="A220" s="593" t="s">
        <v>10</v>
      </c>
      <c r="B220" s="646" t="s">
        <v>182</v>
      </c>
      <c r="C220" s="646"/>
    </row>
    <row r="221" spans="1:54">
      <c r="D221" s="15"/>
    </row>
    <row r="222" spans="1:54">
      <c r="B222" s="7" t="s">
        <v>9</v>
      </c>
      <c r="D222" s="34">
        <f>'Prevalence projection'!C$21</f>
        <v>2020</v>
      </c>
      <c r="E222" s="34">
        <f>'Prevalence projection'!D$21</f>
        <v>2021</v>
      </c>
      <c r="F222" s="34">
        <f>'Prevalence projection'!E$21</f>
        <v>2022</v>
      </c>
      <c r="G222" s="34">
        <f>'Prevalence projection'!F$21</f>
        <v>2023</v>
      </c>
      <c r="H222" s="34">
        <f>'Prevalence projection'!G$21</f>
        <v>2024</v>
      </c>
      <c r="I222" s="34">
        <f>'Prevalence projection'!H$21</f>
        <v>2025</v>
      </c>
      <c r="J222" s="34">
        <f>'Prevalence projection'!I$21</f>
        <v>2026</v>
      </c>
      <c r="K222" s="34">
        <f>'Prevalence projection'!J$21</f>
        <v>2027</v>
      </c>
      <c r="L222" s="34">
        <f>'Prevalence projection'!K$21</f>
        <v>2028</v>
      </c>
      <c r="M222" s="34">
        <f>'Prevalence projection'!L$21</f>
        <v>2029</v>
      </c>
      <c r="N222" s="34">
        <f>'Prevalence projection'!M$21</f>
        <v>2030</v>
      </c>
      <c r="O222" s="34">
        <f>'Prevalence projection'!N$21</f>
        <v>2031</v>
      </c>
      <c r="P222" s="34">
        <f>'Prevalence projection'!O$21</f>
        <v>2032</v>
      </c>
      <c r="Q222" s="34">
        <f>'Prevalence projection'!P$21</f>
        <v>2033</v>
      </c>
      <c r="R222" s="34">
        <f>'Prevalence projection'!Q$21</f>
        <v>2034</v>
      </c>
      <c r="S222" s="34">
        <f>'Prevalence projection'!R$21</f>
        <v>2035</v>
      </c>
      <c r="T222" s="34">
        <f>'Prevalence projection'!S$21</f>
        <v>2036</v>
      </c>
      <c r="U222" s="34">
        <f>'Prevalence projection'!T$21</f>
        <v>2037</v>
      </c>
      <c r="V222" s="34">
        <f>'Prevalence projection'!U$21</f>
        <v>2038</v>
      </c>
      <c r="W222" s="34">
        <f>'Prevalence projection'!V$21</f>
        <v>2039</v>
      </c>
      <c r="X222" s="34">
        <f>'Prevalence projection'!W$21</f>
        <v>2040</v>
      </c>
      <c r="Y222" s="34">
        <f>'Prevalence projection'!X$21</f>
        <v>2041</v>
      </c>
      <c r="Z222" s="34">
        <f>'Prevalence projection'!Y$21</f>
        <v>2042</v>
      </c>
      <c r="AA222" s="34">
        <f>'Prevalence projection'!Z$21</f>
        <v>2043</v>
      </c>
      <c r="AB222" s="34">
        <f>'Prevalence projection'!AA$21</f>
        <v>2044</v>
      </c>
      <c r="AC222" s="34">
        <f>'Prevalence projection'!AB$21</f>
        <v>2045</v>
      </c>
      <c r="AD222" s="34">
        <f>'Prevalence projection'!AC$21</f>
        <v>2046</v>
      </c>
      <c r="AE222" s="34">
        <f>'Prevalence projection'!AD$21</f>
        <v>2047</v>
      </c>
      <c r="AF222" s="34">
        <f>'Prevalence projection'!AE$21</f>
        <v>2048</v>
      </c>
      <c r="AG222" s="34">
        <f>'Prevalence projection'!AF$21</f>
        <v>2049</v>
      </c>
      <c r="AH222" s="34">
        <f>'Prevalence projection'!AG$21</f>
        <v>2050</v>
      </c>
      <c r="AI222" s="34">
        <f>'Prevalence projection'!AH$21</f>
        <v>2051</v>
      </c>
      <c r="AJ222" s="34">
        <f>'Prevalence projection'!AI$21</f>
        <v>2052</v>
      </c>
      <c r="AK222" s="34">
        <f>'Prevalence projection'!AJ$21</f>
        <v>2053</v>
      </c>
      <c r="AL222" s="34">
        <f>'Prevalence projection'!AK$21</f>
        <v>2054</v>
      </c>
      <c r="AM222" s="34">
        <f>'Prevalence projection'!AL$21</f>
        <v>2055</v>
      </c>
      <c r="AN222" s="34">
        <f>'Prevalence projection'!AM$21</f>
        <v>2056</v>
      </c>
      <c r="AO222" s="34">
        <f>'Prevalence projection'!AN$21</f>
        <v>2057</v>
      </c>
      <c r="AP222" s="34">
        <f>'Prevalence projection'!AO$21</f>
        <v>2058</v>
      </c>
      <c r="AQ222" s="34">
        <f>'Prevalence projection'!AP$21</f>
        <v>2059</v>
      </c>
      <c r="AR222" s="34">
        <f>'Prevalence projection'!AQ$21</f>
        <v>2060</v>
      </c>
      <c r="AS222" s="34">
        <f>'Prevalence projection'!AR$21</f>
        <v>2061</v>
      </c>
      <c r="AT222" s="34">
        <f>'Prevalence projection'!AS$21</f>
        <v>2062</v>
      </c>
      <c r="AU222" s="34">
        <f>'Prevalence projection'!AT$21</f>
        <v>2063</v>
      </c>
      <c r="AV222" s="34">
        <f>'Prevalence projection'!AU$21</f>
        <v>2064</v>
      </c>
      <c r="AW222" s="34">
        <f>'Prevalence projection'!AV$21</f>
        <v>2065</v>
      </c>
      <c r="AX222" s="34">
        <f>'Prevalence projection'!AW$21</f>
        <v>2066</v>
      </c>
      <c r="AY222" s="34">
        <f>'Prevalence projection'!AX$21</f>
        <v>2067</v>
      </c>
      <c r="AZ222" s="34">
        <f>'Prevalence projection'!AY$21</f>
        <v>2068</v>
      </c>
      <c r="BA222" s="34">
        <f>'Prevalence projection'!AZ$21</f>
        <v>2069</v>
      </c>
      <c r="BB222" s="34">
        <f>'Prevalence projection'!BA$21</f>
        <v>2070</v>
      </c>
    </row>
    <row r="223" spans="1:54">
      <c r="B223" s="6" t="s">
        <v>11</v>
      </c>
      <c r="C223" s="142"/>
      <c r="D223" s="732">
        <f>(D177+D199)*INDEX(Inflation!$D$126:$BD$166, MATCH($B223, Inflation!$B$126:$B$166,0), MATCH(D$222, Inflation!$D$125:$BD$125,0))</f>
        <v>7805.2228479540245</v>
      </c>
      <c r="E223" s="732">
        <f>(E177+E199)*INDEX(Inflation!$D$126:$BD$166, MATCH($B223, Inflation!$B$126:$B$166,0), MATCH(E$222, Inflation!$D$125:$BD$125,0))</f>
        <v>8898.1538280617788</v>
      </c>
      <c r="F223" s="732">
        <f>(F177+F199)*INDEX(Inflation!$D$126:$BD$166, MATCH($B223, Inflation!$B$126:$B$166,0), MATCH(F$222, Inflation!$D$125:$BD$125,0))</f>
        <v>10048.550250312459</v>
      </c>
      <c r="G223" s="732">
        <f>(G177+G199)*INDEX(Inflation!$D$126:$BD$166, MATCH($B223, Inflation!$B$126:$B$166,0), MATCH(G$222, Inflation!$D$125:$BD$125,0))</f>
        <v>11260.070477966459</v>
      </c>
      <c r="H223" s="732">
        <f>(H177+H199)*INDEX(Inflation!$D$126:$BD$166, MATCH($B223, Inflation!$B$126:$B$166,0), MATCH(H$222, Inflation!$D$125:$BD$125,0))</f>
        <v>12537.442605818762</v>
      </c>
      <c r="I223" s="732">
        <f>(I177+I199)*INDEX(Inflation!$D$126:$BD$166, MATCH($B223, Inflation!$B$126:$B$166,0), MATCH(I$222, Inflation!$D$125:$BD$125,0))</f>
        <v>13884.63862507762</v>
      </c>
      <c r="J223" s="732">
        <f>(J177+J199)*INDEX(Inflation!$D$126:$BD$166, MATCH($B223, Inflation!$B$126:$B$166,0), MATCH(J$222, Inflation!$D$125:$BD$125,0))</f>
        <v>15303.724250672765</v>
      </c>
      <c r="K223" s="732">
        <f>(K177+K199)*INDEX(Inflation!$D$126:$BD$166, MATCH($B223, Inflation!$B$126:$B$166,0), MATCH(K$222, Inflation!$D$125:$BD$125,0))</f>
        <v>16798.135335602397</v>
      </c>
      <c r="L223" s="732">
        <f>(L177+L199)*INDEX(Inflation!$D$126:$BD$166, MATCH($B223, Inflation!$B$126:$B$166,0), MATCH(L$222, Inflation!$D$125:$BD$125,0))</f>
        <v>18378.980397302221</v>
      </c>
      <c r="M223" s="732">
        <f>(M177+M199)*INDEX(Inflation!$D$126:$BD$166, MATCH($B223, Inflation!$B$126:$B$166,0), MATCH(M$222, Inflation!$D$125:$BD$125,0))</f>
        <v>20045.807118667053</v>
      </c>
      <c r="N223" s="732">
        <f>(N177+N199)*INDEX(Inflation!$D$126:$BD$166, MATCH($B223, Inflation!$B$126:$B$166,0), MATCH(N$222, Inflation!$D$125:$BD$125,0))</f>
        <v>21799.576248459045</v>
      </c>
      <c r="O223" s="732">
        <f>(O177+O199)*INDEX(Inflation!$D$126:$BD$166, MATCH($B223, Inflation!$B$126:$B$166,0), MATCH(O$222, Inflation!$D$125:$BD$125,0))</f>
        <v>23642.115687412334</v>
      </c>
      <c r="P223" s="732">
        <f>(P177+P199)*INDEX(Inflation!$D$126:$BD$166, MATCH($B223, Inflation!$B$126:$B$166,0), MATCH(P$222, Inflation!$D$125:$BD$125,0))</f>
        <v>25575.454569955196</v>
      </c>
      <c r="Q223" s="732">
        <f>(Q177+Q199)*INDEX(Inflation!$D$126:$BD$166, MATCH($B223, Inflation!$B$126:$B$166,0), MATCH(Q$222, Inflation!$D$125:$BD$125,0))</f>
        <v>27603.874429642045</v>
      </c>
      <c r="R223" s="732">
        <f>(R177+R199)*INDEX(Inflation!$D$126:$BD$166, MATCH($B223, Inflation!$B$126:$B$166,0), MATCH(R$222, Inflation!$D$125:$BD$125,0))</f>
        <v>29732.507982668696</v>
      </c>
      <c r="S223" s="732">
        <f>(S177+S199)*INDEX(Inflation!$D$126:$BD$166, MATCH($B223, Inflation!$B$126:$B$166,0), MATCH(S$222, Inflation!$D$125:$BD$125,0))</f>
        <v>31965.436905041399</v>
      </c>
      <c r="T223" s="732">
        <f>(T177+T199)*INDEX(Inflation!$D$126:$BD$166, MATCH($B223, Inflation!$B$126:$B$166,0), MATCH(T$222, Inflation!$D$125:$BD$125,0))</f>
        <v>34305.004268388067</v>
      </c>
      <c r="U223" s="732">
        <f>(U177+U199)*INDEX(Inflation!$D$126:$BD$166, MATCH($B223, Inflation!$B$126:$B$166,0), MATCH(U$222, Inflation!$D$125:$BD$125,0))</f>
        <v>36755.124737060381</v>
      </c>
      <c r="V223" s="732">
        <f>(V177+V199)*INDEX(Inflation!$D$126:$BD$166, MATCH($B223, Inflation!$B$126:$B$166,0), MATCH(V$222, Inflation!$D$125:$BD$125,0))</f>
        <v>39323.753240338185</v>
      </c>
      <c r="W223" s="732">
        <f>(W177+W199)*INDEX(Inflation!$D$126:$BD$166, MATCH($B223, Inflation!$B$126:$B$166,0), MATCH(W$222, Inflation!$D$125:$BD$125,0))</f>
        <v>42012.519579467262</v>
      </c>
      <c r="X223" s="732">
        <f>(X177+X199)*INDEX(Inflation!$D$126:$BD$166, MATCH($B223, Inflation!$B$126:$B$166,0), MATCH(X$222, Inflation!$D$125:$BD$125,0))</f>
        <v>44824.712412324494</v>
      </c>
      <c r="Y223" s="732">
        <f>(Y177+Y199)*INDEX(Inflation!$D$126:$BD$166, MATCH($B223, Inflation!$B$126:$B$166,0), MATCH(Y$222, Inflation!$D$125:$BD$125,0))</f>
        <v>47764.305882490356</v>
      </c>
      <c r="Z223" s="732">
        <f>(Z177+Z199)*INDEX(Inflation!$D$126:$BD$166, MATCH($B223, Inflation!$B$126:$B$166,0), MATCH(Z$222, Inflation!$D$125:$BD$125,0))</f>
        <v>50837.315749306537</v>
      </c>
      <c r="AA223" s="732">
        <f>(AA177+AA199)*INDEX(Inflation!$D$126:$BD$166, MATCH($B223, Inflation!$B$126:$B$166,0), MATCH(AA$222, Inflation!$D$125:$BD$125,0))</f>
        <v>54048.17341391751</v>
      </c>
      <c r="AB223" s="732">
        <f>(AB177+AB199)*INDEX(Inflation!$D$126:$BD$166, MATCH($B223, Inflation!$B$126:$B$166,0), MATCH(AB$222, Inflation!$D$125:$BD$125,0))</f>
        <v>57400.97452439816</v>
      </c>
      <c r="AC223" s="732">
        <f>(AC177+AC199)*INDEX(Inflation!$D$126:$BD$166, MATCH($B223, Inflation!$B$126:$B$166,0), MATCH(AC$222, Inflation!$D$125:$BD$125,0))</f>
        <v>60899.891404470924</v>
      </c>
      <c r="AD223" s="732">
        <f>(AD177+AD199)*INDEX(Inflation!$D$126:$BD$166, MATCH($B223, Inflation!$B$126:$B$166,0), MATCH(AD$222, Inflation!$D$125:$BD$125,0))</f>
        <v>64549.031406686576</v>
      </c>
      <c r="AE223" s="732">
        <f>(AE177+AE199)*INDEX(Inflation!$D$126:$BD$166, MATCH($B223, Inflation!$B$126:$B$166,0), MATCH(AE$222, Inflation!$D$125:$BD$125,0))</f>
        <v>68352.590706174116</v>
      </c>
      <c r="AF223" s="732">
        <f>(AF177+AF199)*INDEX(Inflation!$D$126:$BD$166, MATCH($B223, Inflation!$B$126:$B$166,0), MATCH(AF$222, Inflation!$D$125:$BD$125,0))</f>
        <v>72314.766645154115</v>
      </c>
      <c r="AG223" s="732">
        <f>(AG177+AG199)*INDEX(Inflation!$D$126:$BD$166, MATCH($B223, Inflation!$B$126:$B$166,0), MATCH(AG$222, Inflation!$D$125:$BD$125,0))</f>
        <v>76440.556082689916</v>
      </c>
      <c r="AH223" s="732">
        <f>(AH177+AH199)*INDEX(Inflation!$D$126:$BD$166, MATCH($B223, Inflation!$B$126:$B$166,0), MATCH(AH$222, Inflation!$D$125:$BD$125,0))</f>
        <v>80736.791505529458</v>
      </c>
      <c r="AI223" s="732">
        <f>(AI177+AI199)*INDEX(Inflation!$D$126:$BD$166, MATCH($B223, Inflation!$B$126:$B$166,0), MATCH(AI$222, Inflation!$D$125:$BD$125,0))</f>
        <v>85209.211246077568</v>
      </c>
      <c r="AJ223" s="732">
        <f>(AJ177+AJ199)*INDEX(Inflation!$D$126:$BD$166, MATCH($B223, Inflation!$B$126:$B$166,0), MATCH(AJ$222, Inflation!$D$125:$BD$125,0))</f>
        <v>89864.328871146994</v>
      </c>
      <c r="AK223" s="732">
        <f>(AK177+AK199)*INDEX(Inflation!$D$126:$BD$166, MATCH($B223, Inflation!$B$126:$B$166,0), MATCH(AK$222, Inflation!$D$125:$BD$125,0))</f>
        <v>94705.841299499691</v>
      </c>
      <c r="AL223" s="732">
        <f>(AL177+AL199)*INDEX(Inflation!$D$126:$BD$166, MATCH($B223, Inflation!$B$126:$B$166,0), MATCH(AL$222, Inflation!$D$125:$BD$125,0))</f>
        <v>99737.436766784042</v>
      </c>
      <c r="AM223" s="732">
        <f>(AM177+AM199)*INDEX(Inflation!$D$126:$BD$166, MATCH($B223, Inflation!$B$126:$B$166,0), MATCH(AM$222, Inflation!$D$125:$BD$125,0))</f>
        <v>104962.94897349279</v>
      </c>
      <c r="AN223" s="732">
        <f>(AN177+AN199)*INDEX(Inflation!$D$126:$BD$166, MATCH($B223, Inflation!$B$126:$B$166,0), MATCH(AN$222, Inflation!$D$125:$BD$125,0))</f>
        <v>110388.01483215706</v>
      </c>
      <c r="AO223" s="732">
        <f>(AO177+AO199)*INDEX(Inflation!$D$126:$BD$166, MATCH($B223, Inflation!$B$126:$B$166,0), MATCH(AO$222, Inflation!$D$125:$BD$125,0))</f>
        <v>116017.94167461211</v>
      </c>
      <c r="AP223" s="732">
        <f>(AP177+AP199)*INDEX(Inflation!$D$126:$BD$166, MATCH($B223, Inflation!$B$126:$B$166,0), MATCH(AP$222, Inflation!$D$125:$BD$125,0))</f>
        <v>121857.63345209719</v>
      </c>
      <c r="AQ223" s="732">
        <f>(AQ177+AQ199)*INDEX(Inflation!$D$126:$BD$166, MATCH($B223, Inflation!$B$126:$B$166,0), MATCH(AQ$222, Inflation!$D$125:$BD$125,0))</f>
        <v>127915.32065895107</v>
      </c>
      <c r="AR223" s="732">
        <f>(AR177+AR199)*INDEX(Inflation!$D$126:$BD$166, MATCH($B223, Inflation!$B$126:$B$166,0), MATCH(AR$222, Inflation!$D$125:$BD$125,0))</f>
        <v>134200.62755458785</v>
      </c>
      <c r="AS223" s="732">
        <f>(AS177+AS199)*INDEX(Inflation!$D$126:$BD$166, MATCH($B223, Inflation!$B$126:$B$166,0), MATCH(AS$222, Inflation!$D$125:$BD$125,0))</f>
        <v>140723.70999675215</v>
      </c>
      <c r="AT223" s="732">
        <f>(AT177+AT199)*INDEX(Inflation!$D$126:$BD$166, MATCH($B223, Inflation!$B$126:$B$166,0), MATCH(AT$222, Inflation!$D$125:$BD$125,0))</f>
        <v>147474.4821440512</v>
      </c>
      <c r="AU223" s="732" t="e">
        <f>(AU177+AU199)*INDEX(Inflation!$D$126:$BD$166, MATCH($B223, Inflation!$B$126:$B$166,0), MATCH(AU$222, Inflation!$D$125:$BD$125,0))</f>
        <v>#N/A</v>
      </c>
      <c r="AV223" s="732" t="e">
        <f>(AV177+AV199)*INDEX(Inflation!$D$126:$BD$166, MATCH($B223, Inflation!$B$126:$B$166,0), MATCH(AV$222, Inflation!$D$125:$BD$125,0))</f>
        <v>#N/A</v>
      </c>
      <c r="AW223" s="732" t="e">
        <f>(AW177+AW199)*INDEX(Inflation!$D$126:$BD$166, MATCH($B223, Inflation!$B$126:$B$166,0), MATCH(AW$222, Inflation!$D$125:$BD$125,0))</f>
        <v>#N/A</v>
      </c>
      <c r="AX223" s="732" t="e">
        <f>(AX177+AX199)*INDEX(Inflation!$D$126:$BD$166, MATCH($B223, Inflation!$B$126:$B$166,0), MATCH(AX$222, Inflation!$D$125:$BD$125,0))</f>
        <v>#N/A</v>
      </c>
      <c r="AY223" s="732" t="e">
        <f>(AY177+AY199)*INDEX(Inflation!$D$126:$BD$166, MATCH($B223, Inflation!$B$126:$B$166,0), MATCH(AY$222, Inflation!$D$125:$BD$125,0))</f>
        <v>#N/A</v>
      </c>
      <c r="AZ223" s="732" t="e">
        <f>(AZ177+AZ199)*INDEX(Inflation!$D$126:$BD$166, MATCH($B223, Inflation!$B$126:$B$166,0), MATCH(AZ$222, Inflation!$D$125:$BD$125,0))</f>
        <v>#N/A</v>
      </c>
      <c r="BA223" s="732" t="e">
        <f>(BA177+BA199)*INDEX(Inflation!$D$126:$BD$166, MATCH($B223, Inflation!$B$126:$B$166,0), MATCH(BA$222, Inflation!$D$125:$BD$125,0))</f>
        <v>#N/A</v>
      </c>
      <c r="BB223" s="732" t="e">
        <f>(BB177+BB199)*INDEX(Inflation!$D$126:$BD$166, MATCH($B223, Inflation!$B$126:$B$166,0), MATCH(BB$222, Inflation!$D$125:$BD$125,0))</f>
        <v>#N/A</v>
      </c>
    </row>
    <row r="224" spans="1:54">
      <c r="B224" s="6" t="s">
        <v>14</v>
      </c>
      <c r="C224" s="142"/>
      <c r="D224" s="732">
        <f>(D178+D200)*INDEX(Inflation!$D$126:$BD$166, MATCH($B224, Inflation!$B$126:$B$166,0), MATCH(D$222, Inflation!$D$125:$BD$125,0))</f>
        <v>0</v>
      </c>
      <c r="E224" s="732">
        <f>(E178+E200)*INDEX(Inflation!$D$126:$BD$166, MATCH($B224, Inflation!$B$126:$B$166,0), MATCH(E$222, Inflation!$D$125:$BD$125,0))</f>
        <v>0</v>
      </c>
      <c r="F224" s="732">
        <f>(F178+F200)*INDEX(Inflation!$D$126:$BD$166, MATCH($B224, Inflation!$B$126:$B$166,0), MATCH(F$222, Inflation!$D$125:$BD$125,0))</f>
        <v>0</v>
      </c>
      <c r="G224" s="732">
        <f>(G178+G200)*INDEX(Inflation!$D$126:$BD$166, MATCH($B224, Inflation!$B$126:$B$166,0), MATCH(G$222, Inflation!$D$125:$BD$125,0))</f>
        <v>0</v>
      </c>
      <c r="H224" s="732">
        <f>(H178+H200)*INDEX(Inflation!$D$126:$BD$166, MATCH($B224, Inflation!$B$126:$B$166,0), MATCH(H$222, Inflation!$D$125:$BD$125,0))</f>
        <v>0</v>
      </c>
      <c r="I224" s="732">
        <f>(I178+I200)*INDEX(Inflation!$D$126:$BD$166, MATCH($B224, Inflation!$B$126:$B$166,0), MATCH(I$222, Inflation!$D$125:$BD$125,0))</f>
        <v>0</v>
      </c>
      <c r="J224" s="732">
        <f>(J178+J200)*INDEX(Inflation!$D$126:$BD$166, MATCH($B224, Inflation!$B$126:$B$166,0), MATCH(J$222, Inflation!$D$125:$BD$125,0))</f>
        <v>0</v>
      </c>
      <c r="K224" s="732">
        <f>(K178+K200)*INDEX(Inflation!$D$126:$BD$166, MATCH($B224, Inflation!$B$126:$B$166,0), MATCH(K$222, Inflation!$D$125:$BD$125,0))</f>
        <v>0</v>
      </c>
      <c r="L224" s="732">
        <f>(L178+L200)*INDEX(Inflation!$D$126:$BD$166, MATCH($B224, Inflation!$B$126:$B$166,0), MATCH(L$222, Inflation!$D$125:$BD$125,0))</f>
        <v>0</v>
      </c>
      <c r="M224" s="732">
        <f>(M178+M200)*INDEX(Inflation!$D$126:$BD$166, MATCH($B224, Inflation!$B$126:$B$166,0), MATCH(M$222, Inflation!$D$125:$BD$125,0))</f>
        <v>0</v>
      </c>
      <c r="N224" s="732">
        <f>(N178+N200)*INDEX(Inflation!$D$126:$BD$166, MATCH($B224, Inflation!$B$126:$B$166,0), MATCH(N$222, Inflation!$D$125:$BD$125,0))</f>
        <v>0</v>
      </c>
      <c r="O224" s="732">
        <f>(O178+O200)*INDEX(Inflation!$D$126:$BD$166, MATCH($B224, Inflation!$B$126:$B$166,0), MATCH(O$222, Inflation!$D$125:$BD$125,0))</f>
        <v>0</v>
      </c>
      <c r="P224" s="732">
        <f>(P178+P200)*INDEX(Inflation!$D$126:$BD$166, MATCH($B224, Inflation!$B$126:$B$166,0), MATCH(P$222, Inflation!$D$125:$BD$125,0))</f>
        <v>0</v>
      </c>
      <c r="Q224" s="732">
        <f>(Q178+Q200)*INDEX(Inflation!$D$126:$BD$166, MATCH($B224, Inflation!$B$126:$B$166,0), MATCH(Q$222, Inflation!$D$125:$BD$125,0))</f>
        <v>0</v>
      </c>
      <c r="R224" s="732">
        <f>(R178+R200)*INDEX(Inflation!$D$126:$BD$166, MATCH($B224, Inflation!$B$126:$B$166,0), MATCH(R$222, Inflation!$D$125:$BD$125,0))</f>
        <v>0</v>
      </c>
      <c r="S224" s="732">
        <f>(S178+S200)*INDEX(Inflation!$D$126:$BD$166, MATCH($B224, Inflation!$B$126:$B$166,0), MATCH(S$222, Inflation!$D$125:$BD$125,0))</f>
        <v>0</v>
      </c>
      <c r="T224" s="732">
        <f>(T178+T200)*INDEX(Inflation!$D$126:$BD$166, MATCH($B224, Inflation!$B$126:$B$166,0), MATCH(T$222, Inflation!$D$125:$BD$125,0))</f>
        <v>0</v>
      </c>
      <c r="U224" s="732">
        <f>(U178+U200)*INDEX(Inflation!$D$126:$BD$166, MATCH($B224, Inflation!$B$126:$B$166,0), MATCH(U$222, Inflation!$D$125:$BD$125,0))</f>
        <v>0</v>
      </c>
      <c r="V224" s="732">
        <f>(V178+V200)*INDEX(Inflation!$D$126:$BD$166, MATCH($B224, Inflation!$B$126:$B$166,0), MATCH(V$222, Inflation!$D$125:$BD$125,0))</f>
        <v>0</v>
      </c>
      <c r="W224" s="732">
        <f>(W178+W200)*INDEX(Inflation!$D$126:$BD$166, MATCH($B224, Inflation!$B$126:$B$166,0), MATCH(W$222, Inflation!$D$125:$BD$125,0))</f>
        <v>0</v>
      </c>
      <c r="X224" s="732">
        <f>(X178+X200)*INDEX(Inflation!$D$126:$BD$166, MATCH($B224, Inflation!$B$126:$B$166,0), MATCH(X$222, Inflation!$D$125:$BD$125,0))</f>
        <v>0</v>
      </c>
      <c r="Y224" s="732">
        <f>(Y178+Y200)*INDEX(Inflation!$D$126:$BD$166, MATCH($B224, Inflation!$B$126:$B$166,0), MATCH(Y$222, Inflation!$D$125:$BD$125,0))</f>
        <v>0</v>
      </c>
      <c r="Z224" s="732">
        <f>(Z178+Z200)*INDEX(Inflation!$D$126:$BD$166, MATCH($B224, Inflation!$B$126:$B$166,0), MATCH(Z$222, Inflation!$D$125:$BD$125,0))</f>
        <v>0</v>
      </c>
      <c r="AA224" s="732">
        <f>(AA178+AA200)*INDEX(Inflation!$D$126:$BD$166, MATCH($B224, Inflation!$B$126:$B$166,0), MATCH(AA$222, Inflation!$D$125:$BD$125,0))</f>
        <v>0</v>
      </c>
      <c r="AB224" s="732">
        <f>(AB178+AB200)*INDEX(Inflation!$D$126:$BD$166, MATCH($B224, Inflation!$B$126:$B$166,0), MATCH(AB$222, Inflation!$D$125:$BD$125,0))</f>
        <v>0</v>
      </c>
      <c r="AC224" s="732">
        <f>(AC178+AC200)*INDEX(Inflation!$D$126:$BD$166, MATCH($B224, Inflation!$B$126:$B$166,0), MATCH(AC$222, Inflation!$D$125:$BD$125,0))</f>
        <v>0</v>
      </c>
      <c r="AD224" s="732">
        <f>(AD178+AD200)*INDEX(Inflation!$D$126:$BD$166, MATCH($B224, Inflation!$B$126:$B$166,0), MATCH(AD$222, Inflation!$D$125:$BD$125,0))</f>
        <v>0</v>
      </c>
      <c r="AE224" s="732">
        <f>(AE178+AE200)*INDEX(Inflation!$D$126:$BD$166, MATCH($B224, Inflation!$B$126:$B$166,0), MATCH(AE$222, Inflation!$D$125:$BD$125,0))</f>
        <v>0</v>
      </c>
      <c r="AF224" s="732">
        <f>(AF178+AF200)*INDEX(Inflation!$D$126:$BD$166, MATCH($B224, Inflation!$B$126:$B$166,0), MATCH(AF$222, Inflation!$D$125:$BD$125,0))</f>
        <v>0</v>
      </c>
      <c r="AG224" s="732">
        <f>(AG178+AG200)*INDEX(Inflation!$D$126:$BD$166, MATCH($B224, Inflation!$B$126:$B$166,0), MATCH(AG$222, Inflation!$D$125:$BD$125,0))</f>
        <v>0</v>
      </c>
      <c r="AH224" s="732">
        <f>(AH178+AH200)*INDEX(Inflation!$D$126:$BD$166, MATCH($B224, Inflation!$B$126:$B$166,0), MATCH(AH$222, Inflation!$D$125:$BD$125,0))</f>
        <v>0</v>
      </c>
      <c r="AI224" s="732">
        <f>(AI178+AI200)*INDEX(Inflation!$D$126:$BD$166, MATCH($B224, Inflation!$B$126:$B$166,0), MATCH(AI$222, Inflation!$D$125:$BD$125,0))</f>
        <v>0</v>
      </c>
      <c r="AJ224" s="732">
        <f>(AJ178+AJ200)*INDEX(Inflation!$D$126:$BD$166, MATCH($B224, Inflation!$B$126:$B$166,0), MATCH(AJ$222, Inflation!$D$125:$BD$125,0))</f>
        <v>0</v>
      </c>
      <c r="AK224" s="732">
        <f>(AK178+AK200)*INDEX(Inflation!$D$126:$BD$166, MATCH($B224, Inflation!$B$126:$B$166,0), MATCH(AK$222, Inflation!$D$125:$BD$125,0))</f>
        <v>0</v>
      </c>
      <c r="AL224" s="732">
        <f>(AL178+AL200)*INDEX(Inflation!$D$126:$BD$166, MATCH($B224, Inflation!$B$126:$B$166,0), MATCH(AL$222, Inflation!$D$125:$BD$125,0))</f>
        <v>0</v>
      </c>
      <c r="AM224" s="732">
        <f>(AM178+AM200)*INDEX(Inflation!$D$126:$BD$166, MATCH($B224, Inflation!$B$126:$B$166,0), MATCH(AM$222, Inflation!$D$125:$BD$125,0))</f>
        <v>0</v>
      </c>
      <c r="AN224" s="732">
        <f>(AN178+AN200)*INDEX(Inflation!$D$126:$BD$166, MATCH($B224, Inflation!$B$126:$B$166,0), MATCH(AN$222, Inflation!$D$125:$BD$125,0))</f>
        <v>0</v>
      </c>
      <c r="AO224" s="732">
        <f>(AO178+AO200)*INDEX(Inflation!$D$126:$BD$166, MATCH($B224, Inflation!$B$126:$B$166,0), MATCH(AO$222, Inflation!$D$125:$BD$125,0))</f>
        <v>0</v>
      </c>
      <c r="AP224" s="732">
        <f>(AP178+AP200)*INDEX(Inflation!$D$126:$BD$166, MATCH($B224, Inflation!$B$126:$B$166,0), MATCH(AP$222, Inflation!$D$125:$BD$125,0))</f>
        <v>0</v>
      </c>
      <c r="AQ224" s="732">
        <f>(AQ178+AQ200)*INDEX(Inflation!$D$126:$BD$166, MATCH($B224, Inflation!$B$126:$B$166,0), MATCH(AQ$222, Inflation!$D$125:$BD$125,0))</f>
        <v>0</v>
      </c>
      <c r="AR224" s="732">
        <f>(AR178+AR200)*INDEX(Inflation!$D$126:$BD$166, MATCH($B224, Inflation!$B$126:$B$166,0), MATCH(AR$222, Inflation!$D$125:$BD$125,0))</f>
        <v>0</v>
      </c>
      <c r="AS224" s="732">
        <f>(AS178+AS200)*INDEX(Inflation!$D$126:$BD$166, MATCH($B224, Inflation!$B$126:$B$166,0), MATCH(AS$222, Inflation!$D$125:$BD$125,0))</f>
        <v>0</v>
      </c>
      <c r="AT224" s="732">
        <f>(AT178+AT200)*INDEX(Inflation!$D$126:$BD$166, MATCH($B224, Inflation!$B$126:$B$166,0), MATCH(AT$222, Inflation!$D$125:$BD$125,0))</f>
        <v>0</v>
      </c>
      <c r="AU224" s="732" t="e">
        <f>(AU178+AU200)*INDEX(Inflation!$D$126:$BD$166, MATCH($B224, Inflation!$B$126:$B$166,0), MATCH(AU$222, Inflation!$D$125:$BD$125,0))</f>
        <v>#N/A</v>
      </c>
      <c r="AV224" s="732" t="e">
        <f>(AV178+AV200)*INDEX(Inflation!$D$126:$BD$166, MATCH($B224, Inflation!$B$126:$B$166,0), MATCH(AV$222, Inflation!$D$125:$BD$125,0))</f>
        <v>#N/A</v>
      </c>
      <c r="AW224" s="732" t="e">
        <f>(AW178+AW200)*INDEX(Inflation!$D$126:$BD$166, MATCH($B224, Inflation!$B$126:$B$166,0), MATCH(AW$222, Inflation!$D$125:$BD$125,0))</f>
        <v>#N/A</v>
      </c>
      <c r="AX224" s="732" t="e">
        <f>(AX178+AX200)*INDEX(Inflation!$D$126:$BD$166, MATCH($B224, Inflation!$B$126:$B$166,0), MATCH(AX$222, Inflation!$D$125:$BD$125,0))</f>
        <v>#N/A</v>
      </c>
      <c r="AY224" s="732" t="e">
        <f>(AY178+AY200)*INDEX(Inflation!$D$126:$BD$166, MATCH($B224, Inflation!$B$126:$B$166,0), MATCH(AY$222, Inflation!$D$125:$BD$125,0))</f>
        <v>#N/A</v>
      </c>
      <c r="AZ224" s="732" t="e">
        <f>(AZ178+AZ200)*INDEX(Inflation!$D$126:$BD$166, MATCH($B224, Inflation!$B$126:$B$166,0), MATCH(AZ$222, Inflation!$D$125:$BD$125,0))</f>
        <v>#N/A</v>
      </c>
      <c r="BA224" s="732" t="e">
        <f>(BA178+BA200)*INDEX(Inflation!$D$126:$BD$166, MATCH($B224, Inflation!$B$126:$B$166,0), MATCH(BA$222, Inflation!$D$125:$BD$125,0))</f>
        <v>#N/A</v>
      </c>
      <c r="BB224" s="732" t="e">
        <f>(BB178+BB200)*INDEX(Inflation!$D$126:$BD$166, MATCH($B224, Inflation!$B$126:$B$166,0), MATCH(BB$222, Inflation!$D$125:$BD$125,0))</f>
        <v>#N/A</v>
      </c>
    </row>
    <row r="225" spans="2:54">
      <c r="B225" s="6" t="s">
        <v>15</v>
      </c>
      <c r="C225" s="142"/>
      <c r="D225" s="732">
        <f>(D179+D201)*INDEX(Inflation!$D$126:$BD$166, MATCH($B225, Inflation!$B$126:$B$166,0), MATCH(D$222, Inflation!$D$125:$BD$125,0))</f>
        <v>665.14184015438695</v>
      </c>
      <c r="E225" s="732">
        <f>(E179+E201)*INDEX(Inflation!$D$126:$BD$166, MATCH($B225, Inflation!$B$126:$B$166,0), MATCH(E$222, Inflation!$D$125:$BD$125,0))</f>
        <v>758.27872265366955</v>
      </c>
      <c r="F225" s="732">
        <f>(F179+F201)*INDEX(Inflation!$D$126:$BD$166, MATCH($B225, Inflation!$B$126:$B$166,0), MATCH(F$222, Inflation!$D$125:$BD$125,0))</f>
        <v>856.3126683985264</v>
      </c>
      <c r="G225" s="732">
        <f>(G179+G201)*INDEX(Inflation!$D$126:$BD$166, MATCH($B225, Inflation!$B$126:$B$166,0), MATCH(G$222, Inflation!$D$125:$BD$125,0))</f>
        <v>959.55543408295227</v>
      </c>
      <c r="H225" s="732">
        <f>(H179+H201)*INDEX(Inflation!$D$126:$BD$166, MATCH($B225, Inflation!$B$126:$B$166,0), MATCH(H$222, Inflation!$D$125:$BD$125,0))</f>
        <v>1068.4099362839136</v>
      </c>
      <c r="I225" s="732">
        <f>(I179+I201)*INDEX(Inflation!$D$126:$BD$166, MATCH($B225, Inflation!$B$126:$B$166,0), MATCH(I$222, Inflation!$D$125:$BD$125,0))</f>
        <v>1183.2146582955843</v>
      </c>
      <c r="J225" s="732">
        <f>(J179+J201)*INDEX(Inflation!$D$126:$BD$166, MATCH($B225, Inflation!$B$126:$B$166,0), MATCH(J$222, Inflation!$D$125:$BD$125,0))</f>
        <v>1304.1456352493578</v>
      </c>
      <c r="K225" s="732">
        <f>(K179+K201)*INDEX(Inflation!$D$126:$BD$166, MATCH($B225, Inflation!$B$126:$B$166,0), MATCH(K$222, Inflation!$D$125:$BD$125,0))</f>
        <v>1431.4956620634882</v>
      </c>
      <c r="L225" s="732">
        <f>(L179+L201)*INDEX(Inflation!$D$126:$BD$166, MATCH($B225, Inflation!$B$126:$B$166,0), MATCH(L$222, Inflation!$D$125:$BD$125,0))</f>
        <v>1566.2113791955903</v>
      </c>
      <c r="M225" s="732">
        <f>(M179+M201)*INDEX(Inflation!$D$126:$BD$166, MATCH($B225, Inflation!$B$126:$B$166,0), MATCH(M$222, Inflation!$D$125:$BD$125,0))</f>
        <v>1708.2542412975642</v>
      </c>
      <c r="N225" s="732">
        <f>(N179+N201)*INDEX(Inflation!$D$126:$BD$166, MATCH($B225, Inflation!$B$126:$B$166,0), MATCH(N$222, Inflation!$D$125:$BD$125,0))</f>
        <v>1857.7061210093113</v>
      </c>
      <c r="O225" s="732">
        <f>(O179+O201)*INDEX(Inflation!$D$126:$BD$166, MATCH($B225, Inflation!$B$126:$B$166,0), MATCH(O$222, Inflation!$D$125:$BD$125,0))</f>
        <v>2014.7227875230258</v>
      </c>
      <c r="P225" s="732">
        <f>(P179+P201)*INDEX(Inflation!$D$126:$BD$166, MATCH($B225, Inflation!$B$126:$B$166,0), MATCH(P$222, Inflation!$D$125:$BD$125,0))</f>
        <v>2179.4771586699908</v>
      </c>
      <c r="Q225" s="732">
        <f>(Q179+Q201)*INDEX(Inflation!$D$126:$BD$166, MATCH($B225, Inflation!$B$126:$B$166,0), MATCH(Q$222, Inflation!$D$125:$BD$125,0))</f>
        <v>2352.334096179658</v>
      </c>
      <c r="R225" s="732">
        <f>(R179+R201)*INDEX(Inflation!$D$126:$BD$166, MATCH($B225, Inflation!$B$126:$B$166,0), MATCH(R$222, Inflation!$D$125:$BD$125,0))</f>
        <v>2533.7309974668065</v>
      </c>
      <c r="S225" s="732">
        <f>(S179+S201)*INDEX(Inflation!$D$126:$BD$166, MATCH($B225, Inflation!$B$126:$B$166,0), MATCH(S$222, Inflation!$D$125:$BD$125,0))</f>
        <v>2724.0156928935685</v>
      </c>
      <c r="T225" s="732">
        <f>(T179+T201)*INDEX(Inflation!$D$126:$BD$166, MATCH($B225, Inflation!$B$126:$B$166,0), MATCH(T$222, Inflation!$D$125:$BD$125,0))</f>
        <v>2923.3878532450776</v>
      </c>
      <c r="U225" s="732">
        <f>(U179+U201)*INDEX(Inflation!$D$126:$BD$166, MATCH($B225, Inflation!$B$126:$B$166,0), MATCH(U$222, Inflation!$D$125:$BD$125,0))</f>
        <v>3132.1810765621822</v>
      </c>
      <c r="V225" s="732">
        <f>(V179+V201)*INDEX(Inflation!$D$126:$BD$166, MATCH($B225, Inflation!$B$126:$B$166,0), MATCH(V$222, Inflation!$D$125:$BD$125,0))</f>
        <v>3351.0732622979235</v>
      </c>
      <c r="W225" s="732">
        <f>(W179+W201)*INDEX(Inflation!$D$126:$BD$166, MATCH($B225, Inflation!$B$126:$B$166,0), MATCH(W$222, Inflation!$D$125:$BD$125,0))</f>
        <v>3580.203298094696</v>
      </c>
      <c r="X225" s="732">
        <f>(X179+X201)*INDEX(Inflation!$D$126:$BD$166, MATCH($B225, Inflation!$B$126:$B$166,0), MATCH(X$222, Inflation!$D$125:$BD$125,0))</f>
        <v>3819.8514352655584</v>
      </c>
      <c r="Y225" s="732">
        <f>(Y179+Y201)*INDEX(Inflation!$D$126:$BD$166, MATCH($B225, Inflation!$B$126:$B$166,0), MATCH(Y$222, Inflation!$D$125:$BD$125,0))</f>
        <v>4070.3563405245377</v>
      </c>
      <c r="Z225" s="732">
        <f>(Z179+Z201)*INDEX(Inflation!$D$126:$BD$166, MATCH($B225, Inflation!$B$126:$B$166,0), MATCH(Z$222, Inflation!$D$125:$BD$125,0))</f>
        <v>4332.2306620453501</v>
      </c>
      <c r="AA225" s="732">
        <f>(AA179+AA201)*INDEX(Inflation!$D$126:$BD$166, MATCH($B225, Inflation!$B$126:$B$166,0), MATCH(AA$222, Inflation!$D$125:$BD$125,0))</f>
        <v>4605.8520329038365</v>
      </c>
      <c r="AB225" s="732">
        <f>(AB179+AB201)*INDEX(Inflation!$D$126:$BD$166, MATCH($B225, Inflation!$B$126:$B$166,0), MATCH(AB$222, Inflation!$D$125:$BD$125,0))</f>
        <v>4891.5694741273555</v>
      </c>
      <c r="AC225" s="732">
        <f>(AC179+AC201)*INDEX(Inflation!$D$126:$BD$166, MATCH($B225, Inflation!$B$126:$B$166,0), MATCH(AC$222, Inflation!$D$125:$BD$125,0))</f>
        <v>5189.7385408528344</v>
      </c>
      <c r="AD225" s="732">
        <f>(AD179+AD201)*INDEX(Inflation!$D$126:$BD$166, MATCH($B225, Inflation!$B$126:$B$166,0), MATCH(AD$222, Inflation!$D$125:$BD$125,0))</f>
        <v>5500.7092515342019</v>
      </c>
      <c r="AE225" s="732">
        <f>(AE179+AE201)*INDEX(Inflation!$D$126:$BD$166, MATCH($B225, Inflation!$B$126:$B$166,0), MATCH(AE$222, Inflation!$D$125:$BD$125,0))</f>
        <v>5824.8391938664236</v>
      </c>
      <c r="AF225" s="732">
        <f>(AF179+AF201)*INDEX(Inflation!$D$126:$BD$166, MATCH($B225, Inflation!$B$126:$B$166,0), MATCH(AF$222, Inflation!$D$125:$BD$125,0))</f>
        <v>6162.4860550011335</v>
      </c>
      <c r="AG225" s="732">
        <f>(AG179+AG201)*INDEX(Inflation!$D$126:$BD$166, MATCH($B225, Inflation!$B$126:$B$166,0), MATCH(AG$222, Inflation!$D$125:$BD$125,0))</f>
        <v>6514.07565494336</v>
      </c>
      <c r="AH225" s="732">
        <f>(AH179+AH201)*INDEX(Inflation!$D$126:$BD$166, MATCH($B225, Inflation!$B$126:$B$166,0), MATCH(AH$222, Inflation!$D$125:$BD$125,0))</f>
        <v>6880.1902413619946</v>
      </c>
      <c r="AI225" s="732">
        <f>(AI179+AI201)*INDEX(Inflation!$D$126:$BD$166, MATCH($B225, Inflation!$B$126:$B$166,0), MATCH(AI$222, Inflation!$D$125:$BD$125,0))</f>
        <v>7261.3188207914409</v>
      </c>
      <c r="AJ225" s="732">
        <f>(AJ179+AJ201)*INDEX(Inflation!$D$126:$BD$166, MATCH($B225, Inflation!$B$126:$B$166,0), MATCH(AJ$222, Inflation!$D$125:$BD$125,0))</f>
        <v>7658.0164633303002</v>
      </c>
      <c r="AK225" s="732">
        <f>(AK179+AK201)*INDEX(Inflation!$D$126:$BD$166, MATCH($B225, Inflation!$B$126:$B$166,0), MATCH(AK$222, Inflation!$D$125:$BD$125,0))</f>
        <v>8070.5982112773145</v>
      </c>
      <c r="AL225" s="732">
        <f>(AL179+AL201)*INDEX(Inflation!$D$126:$BD$166, MATCH($B225, Inflation!$B$126:$B$166,0), MATCH(AL$222, Inflation!$D$125:$BD$125,0))</f>
        <v>8499.3783669777076</v>
      </c>
      <c r="AM225" s="732">
        <f>(AM179+AM201)*INDEX(Inflation!$D$126:$BD$166, MATCH($B225, Inflation!$B$126:$B$166,0), MATCH(AM$222, Inflation!$D$125:$BD$125,0))</f>
        <v>8944.6836289319581</v>
      </c>
      <c r="AN225" s="732">
        <f>(AN179+AN201)*INDEX(Inflation!$D$126:$BD$166, MATCH($B225, Inflation!$B$126:$B$166,0), MATCH(AN$222, Inflation!$D$125:$BD$125,0))</f>
        <v>9406.9943609229831</v>
      </c>
      <c r="AO225" s="732">
        <f>(AO179+AO201)*INDEX(Inflation!$D$126:$BD$166, MATCH($B225, Inflation!$B$126:$B$166,0), MATCH(AO$222, Inflation!$D$125:$BD$125,0))</f>
        <v>9886.7628406796794</v>
      </c>
      <c r="AP225" s="732">
        <f>(AP179+AP201)*INDEX(Inflation!$D$126:$BD$166, MATCH($B225, Inflation!$B$126:$B$166,0), MATCH(AP$222, Inflation!$D$125:$BD$125,0))</f>
        <v>10384.406970831456</v>
      </c>
      <c r="AQ225" s="732">
        <f>(AQ179+AQ201)*INDEX(Inflation!$D$126:$BD$166, MATCH($B225, Inflation!$B$126:$B$166,0), MATCH(AQ$222, Inflation!$D$125:$BD$125,0))</f>
        <v>10900.628133806022</v>
      </c>
      <c r="AR225" s="732">
        <f>(AR179+AR201)*INDEX(Inflation!$D$126:$BD$166, MATCH($B225, Inflation!$B$126:$B$166,0), MATCH(AR$222, Inflation!$D$125:$BD$125,0))</f>
        <v>11436.246485253188</v>
      </c>
      <c r="AS225" s="732">
        <f>(AS179+AS201)*INDEX(Inflation!$D$126:$BD$166, MATCH($B225, Inflation!$B$126:$B$166,0), MATCH(AS$222, Inflation!$D$125:$BD$125,0))</f>
        <v>11992.127482321361</v>
      </c>
      <c r="AT225" s="732">
        <f>(AT179+AT201)*INDEX(Inflation!$D$126:$BD$166, MATCH($B225, Inflation!$B$126:$B$166,0), MATCH(AT$222, Inflation!$D$125:$BD$125,0))</f>
        <v>12567.411634482945</v>
      </c>
      <c r="AU225" s="732" t="e">
        <f>(AU179+AU201)*INDEX(Inflation!$D$126:$BD$166, MATCH($B225, Inflation!$B$126:$B$166,0), MATCH(AU$222, Inflation!$D$125:$BD$125,0))</f>
        <v>#N/A</v>
      </c>
      <c r="AV225" s="732" t="e">
        <f>(AV179+AV201)*INDEX(Inflation!$D$126:$BD$166, MATCH($B225, Inflation!$B$126:$B$166,0), MATCH(AV$222, Inflation!$D$125:$BD$125,0))</f>
        <v>#N/A</v>
      </c>
      <c r="AW225" s="732" t="e">
        <f>(AW179+AW201)*INDEX(Inflation!$D$126:$BD$166, MATCH($B225, Inflation!$B$126:$B$166,0), MATCH(AW$222, Inflation!$D$125:$BD$125,0))</f>
        <v>#N/A</v>
      </c>
      <c r="AX225" s="732" t="e">
        <f>(AX179+AX201)*INDEX(Inflation!$D$126:$BD$166, MATCH($B225, Inflation!$B$126:$B$166,0), MATCH(AX$222, Inflation!$D$125:$BD$125,0))</f>
        <v>#N/A</v>
      </c>
      <c r="AY225" s="732" t="e">
        <f>(AY179+AY201)*INDEX(Inflation!$D$126:$BD$166, MATCH($B225, Inflation!$B$126:$B$166,0), MATCH(AY$222, Inflation!$D$125:$BD$125,0))</f>
        <v>#N/A</v>
      </c>
      <c r="AZ225" s="732" t="e">
        <f>(AZ179+AZ201)*INDEX(Inflation!$D$126:$BD$166, MATCH($B225, Inflation!$B$126:$B$166,0), MATCH(AZ$222, Inflation!$D$125:$BD$125,0))</f>
        <v>#N/A</v>
      </c>
      <c r="BA225" s="732" t="e">
        <f>(BA179+BA201)*INDEX(Inflation!$D$126:$BD$166, MATCH($B225, Inflation!$B$126:$B$166,0), MATCH(BA$222, Inflation!$D$125:$BD$125,0))</f>
        <v>#N/A</v>
      </c>
      <c r="BB225" s="732" t="e">
        <f>(BB179+BB201)*INDEX(Inflation!$D$126:$BD$166, MATCH($B225, Inflation!$B$126:$B$166,0), MATCH(BB$222, Inflation!$D$125:$BD$125,0))</f>
        <v>#N/A</v>
      </c>
    </row>
    <row r="226" spans="2:54" ht="29">
      <c r="B226" s="6" t="s">
        <v>16</v>
      </c>
      <c r="C226" s="142"/>
      <c r="D226" s="732">
        <f>(D180+D202)*INDEX(Inflation!$D$126:$BD$166, MATCH($B226, Inflation!$B$126:$B$166,0), MATCH(D$222, Inflation!$D$125:$BD$125,0))</f>
        <v>3948.4514094565702</v>
      </c>
      <c r="E226" s="732">
        <f>(E180+E202)*INDEX(Inflation!$D$126:$BD$166, MATCH($B226, Inflation!$B$126:$B$166,0), MATCH(E$222, Inflation!$D$125:$BD$125,0))</f>
        <v>4501.3356707914527</v>
      </c>
      <c r="F226" s="732">
        <f>(F180+F202)*INDEX(Inflation!$D$126:$BD$166, MATCH($B226, Inflation!$B$126:$B$166,0), MATCH(F$222, Inflation!$D$125:$BD$125,0))</f>
        <v>5083.2901470893539</v>
      </c>
      <c r="G226" s="732">
        <f>(G180+G202)*INDEX(Inflation!$D$126:$BD$166, MATCH($B226, Inflation!$B$126:$B$166,0), MATCH(G$222, Inflation!$D$125:$BD$125,0))</f>
        <v>5696.1655055065094</v>
      </c>
      <c r="H226" s="732">
        <f>(H180+H202)*INDEX(Inflation!$D$126:$BD$166, MATCH($B226, Inflation!$B$126:$B$166,0), MATCH(H$222, Inflation!$D$125:$BD$125,0))</f>
        <v>6342.3535614876464</v>
      </c>
      <c r="I226" s="732">
        <f>(I180+I202)*INDEX(Inflation!$D$126:$BD$166, MATCH($B226, Inflation!$B$126:$B$166,0), MATCH(I$222, Inflation!$D$125:$BD$125,0))</f>
        <v>7023.8636380963189</v>
      </c>
      <c r="J226" s="732">
        <f>(J180+J202)*INDEX(Inflation!$D$126:$BD$166, MATCH($B226, Inflation!$B$126:$B$166,0), MATCH(J$222, Inflation!$D$125:$BD$125,0))</f>
        <v>7741.7407247178071</v>
      </c>
      <c r="K226" s="732">
        <f>(K180+K202)*INDEX(Inflation!$D$126:$BD$166, MATCH($B226, Inflation!$B$126:$B$166,0), MATCH(K$222, Inflation!$D$125:$BD$125,0))</f>
        <v>8497.7229265769947</v>
      </c>
      <c r="L226" s="732">
        <f>(L180+L202)*INDEX(Inflation!$D$126:$BD$166, MATCH($B226, Inflation!$B$126:$B$166,0), MATCH(L$222, Inflation!$D$125:$BD$125,0))</f>
        <v>9297.4297425889581</v>
      </c>
      <c r="M226" s="732">
        <f>(M180+M202)*INDEX(Inflation!$D$126:$BD$166, MATCH($B226, Inflation!$B$126:$B$166,0), MATCH(M$222, Inflation!$D$125:$BD$125,0))</f>
        <v>10140.63235774786</v>
      </c>
      <c r="N226" s="732">
        <f>(N180+N202)*INDEX(Inflation!$D$126:$BD$166, MATCH($B226, Inflation!$B$126:$B$166,0), MATCH(N$222, Inflation!$D$125:$BD$125,0))</f>
        <v>11027.816788901389</v>
      </c>
      <c r="O226" s="732">
        <f>(O180+O202)*INDEX(Inflation!$D$126:$BD$166, MATCH($B226, Inflation!$B$126:$B$166,0), MATCH(O$222, Inflation!$D$125:$BD$125,0))</f>
        <v>11959.907721656942</v>
      </c>
      <c r="P226" s="732">
        <f>(P180+P202)*INDEX(Inflation!$D$126:$BD$166, MATCH($B226, Inflation!$B$126:$B$166,0), MATCH(P$222, Inflation!$D$125:$BD$125,0))</f>
        <v>12937.931640312205</v>
      </c>
      <c r="Q226" s="732">
        <f>(Q180+Q202)*INDEX(Inflation!$D$126:$BD$166, MATCH($B226, Inflation!$B$126:$B$166,0), MATCH(Q$222, Inflation!$D$125:$BD$125,0))</f>
        <v>13964.054457042497</v>
      </c>
      <c r="R226" s="732">
        <f>(R180+R202)*INDEX(Inflation!$D$126:$BD$166, MATCH($B226, Inflation!$B$126:$B$166,0), MATCH(R$222, Inflation!$D$125:$BD$125,0))</f>
        <v>15040.872674329881</v>
      </c>
      <c r="S226" s="732">
        <f>(S180+S202)*INDEX(Inflation!$D$126:$BD$166, MATCH($B226, Inflation!$B$126:$B$166,0), MATCH(S$222, Inflation!$D$125:$BD$125,0))</f>
        <v>16170.451101814491</v>
      </c>
      <c r="T226" s="732">
        <f>(T180+T202)*INDEX(Inflation!$D$126:$BD$166, MATCH($B226, Inflation!$B$126:$B$166,0), MATCH(T$222, Inflation!$D$125:$BD$125,0))</f>
        <v>17353.975036143442</v>
      </c>
      <c r="U226" s="732">
        <f>(U180+U202)*INDEX(Inflation!$D$126:$BD$166, MATCH($B226, Inflation!$B$126:$B$166,0), MATCH(U$222, Inflation!$D$125:$BD$125,0))</f>
        <v>18593.424800272012</v>
      </c>
      <c r="V226" s="732">
        <f>(V180+V202)*INDEX(Inflation!$D$126:$BD$166, MATCH($B226, Inflation!$B$126:$B$166,0), MATCH(V$222, Inflation!$D$125:$BD$125,0))</f>
        <v>19892.824578049804</v>
      </c>
      <c r="W226" s="732">
        <f>(W180+W202)*INDEX(Inflation!$D$126:$BD$166, MATCH($B226, Inflation!$B$126:$B$166,0), MATCH(W$222, Inflation!$D$125:$BD$125,0))</f>
        <v>21252.998841903969</v>
      </c>
      <c r="X226" s="732">
        <f>(X180+X202)*INDEX(Inflation!$D$126:$BD$166, MATCH($B226, Inflation!$B$126:$B$166,0), MATCH(X$222, Inflation!$D$125:$BD$125,0))</f>
        <v>22675.611235023458</v>
      </c>
      <c r="Y226" s="732">
        <f>(Y180+Y202)*INDEX(Inflation!$D$126:$BD$166, MATCH($B226, Inflation!$B$126:$B$166,0), MATCH(Y$222, Inflation!$D$125:$BD$125,0))</f>
        <v>24162.672169298796</v>
      </c>
      <c r="Z226" s="732">
        <f>(Z180+Z202)*INDEX(Inflation!$D$126:$BD$166, MATCH($B226, Inflation!$B$126:$B$166,0), MATCH(Z$222, Inflation!$D$125:$BD$125,0))</f>
        <v>25717.224854887379</v>
      </c>
      <c r="AA226" s="732">
        <f>(AA180+AA202)*INDEX(Inflation!$D$126:$BD$166, MATCH($B226, Inflation!$B$126:$B$166,0), MATCH(AA$222, Inflation!$D$125:$BD$125,0))</f>
        <v>27341.511017930236</v>
      </c>
      <c r="AB226" s="732">
        <f>(AB180+AB202)*INDEX(Inflation!$D$126:$BD$166, MATCH($B226, Inflation!$B$126:$B$166,0), MATCH(AB$222, Inflation!$D$125:$BD$125,0))</f>
        <v>29037.602536159597</v>
      </c>
      <c r="AC226" s="732">
        <f>(AC180+AC202)*INDEX(Inflation!$D$126:$BD$166, MATCH($B226, Inflation!$B$126:$B$166,0), MATCH(AC$222, Inflation!$D$125:$BD$125,0))</f>
        <v>30807.610075446708</v>
      </c>
      <c r="AD226" s="732">
        <f>(AD180+AD202)*INDEX(Inflation!$D$126:$BD$166, MATCH($B226, Inflation!$B$126:$B$166,0), MATCH(AD$222, Inflation!$D$125:$BD$125,0))</f>
        <v>32653.611434502025</v>
      </c>
      <c r="AE226" s="732">
        <f>(AE180+AE202)*INDEX(Inflation!$D$126:$BD$166, MATCH($B226, Inflation!$B$126:$B$166,0), MATCH(AE$222, Inflation!$D$125:$BD$125,0))</f>
        <v>34577.729344979103</v>
      </c>
      <c r="AF226" s="732">
        <f>(AF180+AF202)*INDEX(Inflation!$D$126:$BD$166, MATCH($B226, Inflation!$B$126:$B$166,0), MATCH(AF$222, Inflation!$D$125:$BD$125,0))</f>
        <v>36582.087128931598</v>
      </c>
      <c r="AG226" s="732">
        <f>(AG180+AG202)*INDEX(Inflation!$D$126:$BD$166, MATCH($B226, Inflation!$B$126:$B$166,0), MATCH(AG$222, Inflation!$D$125:$BD$125,0))</f>
        <v>38669.212562387918</v>
      </c>
      <c r="AH226" s="732">
        <f>(AH180+AH202)*INDEX(Inflation!$D$126:$BD$166, MATCH($B226, Inflation!$B$126:$B$166,0), MATCH(AH$222, Inflation!$D$125:$BD$125,0))</f>
        <v>40842.562015839423</v>
      </c>
      <c r="AI226" s="732">
        <f>(AI180+AI202)*INDEX(Inflation!$D$126:$BD$166, MATCH($B226, Inflation!$B$126:$B$166,0), MATCH(AI$222, Inflation!$D$125:$BD$125,0))</f>
        <v>43105.038356649799</v>
      </c>
      <c r="AJ226" s="732">
        <f>(AJ180+AJ202)*INDEX(Inflation!$D$126:$BD$166, MATCH($B226, Inflation!$B$126:$B$166,0), MATCH(AJ$222, Inflation!$D$125:$BD$125,0))</f>
        <v>45459.936622329631</v>
      </c>
      <c r="AK226" s="732">
        <f>(AK180+AK202)*INDEX(Inflation!$D$126:$BD$166, MATCH($B226, Inflation!$B$126:$B$166,0), MATCH(AK$222, Inflation!$D$125:$BD$125,0))</f>
        <v>47909.126984221941</v>
      </c>
      <c r="AL226" s="732">
        <f>(AL180+AL202)*INDEX(Inflation!$D$126:$BD$166, MATCH($B226, Inflation!$B$126:$B$166,0), MATCH(AL$222, Inflation!$D$125:$BD$125,0))</f>
        <v>50454.475221117187</v>
      </c>
      <c r="AM226" s="732">
        <f>(AM180+AM202)*INDEX(Inflation!$D$126:$BD$166, MATCH($B226, Inflation!$B$126:$B$166,0), MATCH(AM$222, Inflation!$D$125:$BD$125,0))</f>
        <v>53097.920698541333</v>
      </c>
      <c r="AN226" s="732">
        <f>(AN180+AN202)*INDEX(Inflation!$D$126:$BD$166, MATCH($B226, Inflation!$B$126:$B$166,0), MATCH(AN$222, Inflation!$D$125:$BD$125,0))</f>
        <v>55842.314978283473</v>
      </c>
      <c r="AO226" s="732">
        <f>(AO180+AO202)*INDEX(Inflation!$D$126:$BD$166, MATCH($B226, Inflation!$B$126:$B$166,0), MATCH(AO$222, Inflation!$D$125:$BD$125,0))</f>
        <v>58690.342896161041</v>
      </c>
      <c r="AP226" s="732">
        <f>(AP180+AP202)*INDEX(Inflation!$D$126:$BD$166, MATCH($B226, Inflation!$B$126:$B$166,0), MATCH(AP$222, Inflation!$D$125:$BD$125,0))</f>
        <v>61644.485228643847</v>
      </c>
      <c r="AQ226" s="732">
        <f>(AQ180+AQ202)*INDEX(Inflation!$D$126:$BD$166, MATCH($B226, Inflation!$B$126:$B$166,0), MATCH(AQ$222, Inflation!$D$125:$BD$125,0))</f>
        <v>64708.905560501356</v>
      </c>
      <c r="AR226" s="732">
        <f>(AR180+AR202)*INDEX(Inflation!$D$126:$BD$166, MATCH($B226, Inflation!$B$126:$B$166,0), MATCH(AR$222, Inflation!$D$125:$BD$125,0))</f>
        <v>67888.472544607328</v>
      </c>
      <c r="AS226" s="732">
        <f>(AS180+AS202)*INDEX(Inflation!$D$126:$BD$166, MATCH($B226, Inflation!$B$126:$B$166,0), MATCH(AS$222, Inflation!$D$125:$BD$125,0))</f>
        <v>71188.323755071688</v>
      </c>
      <c r="AT226" s="732">
        <f>(AT180+AT202)*INDEX(Inflation!$D$126:$BD$166, MATCH($B226, Inflation!$B$126:$B$166,0), MATCH(AT$222, Inflation!$D$125:$BD$125,0))</f>
        <v>74603.357037165624</v>
      </c>
      <c r="AU226" s="732" t="e">
        <f>(AU180+AU202)*INDEX(Inflation!$D$126:$BD$166, MATCH($B226, Inflation!$B$126:$B$166,0), MATCH(AU$222, Inflation!$D$125:$BD$125,0))</f>
        <v>#N/A</v>
      </c>
      <c r="AV226" s="732" t="e">
        <f>(AV180+AV202)*INDEX(Inflation!$D$126:$BD$166, MATCH($B226, Inflation!$B$126:$B$166,0), MATCH(AV$222, Inflation!$D$125:$BD$125,0))</f>
        <v>#N/A</v>
      </c>
      <c r="AW226" s="732" t="e">
        <f>(AW180+AW202)*INDEX(Inflation!$D$126:$BD$166, MATCH($B226, Inflation!$B$126:$B$166,0), MATCH(AW$222, Inflation!$D$125:$BD$125,0))</f>
        <v>#N/A</v>
      </c>
      <c r="AX226" s="732" t="e">
        <f>(AX180+AX202)*INDEX(Inflation!$D$126:$BD$166, MATCH($B226, Inflation!$B$126:$B$166,0), MATCH(AX$222, Inflation!$D$125:$BD$125,0))</f>
        <v>#N/A</v>
      </c>
      <c r="AY226" s="732" t="e">
        <f>(AY180+AY202)*INDEX(Inflation!$D$126:$BD$166, MATCH($B226, Inflation!$B$126:$B$166,0), MATCH(AY$222, Inflation!$D$125:$BD$125,0))</f>
        <v>#N/A</v>
      </c>
      <c r="AZ226" s="732" t="e">
        <f>(AZ180+AZ202)*INDEX(Inflation!$D$126:$BD$166, MATCH($B226, Inflation!$B$126:$B$166,0), MATCH(AZ$222, Inflation!$D$125:$BD$125,0))</f>
        <v>#N/A</v>
      </c>
      <c r="BA226" s="732" t="e">
        <f>(BA180+BA202)*INDEX(Inflation!$D$126:$BD$166, MATCH($B226, Inflation!$B$126:$B$166,0), MATCH(BA$222, Inflation!$D$125:$BD$125,0))</f>
        <v>#N/A</v>
      </c>
      <c r="BB226" s="732" t="e">
        <f>(BB180+BB202)*INDEX(Inflation!$D$126:$BD$166, MATCH($B226, Inflation!$B$126:$B$166,0), MATCH(BB$222, Inflation!$D$125:$BD$125,0))</f>
        <v>#N/A</v>
      </c>
    </row>
    <row r="227" spans="2:54">
      <c r="B227" s="6" t="s">
        <v>103</v>
      </c>
      <c r="C227" s="142"/>
      <c r="D227" s="732">
        <f>(D181+D203)*INDEX(Inflation!$D$126:$BD$166, MATCH($B227, Inflation!$B$126:$B$166,0), MATCH(D$222, Inflation!$D$125:$BD$125,0))</f>
        <v>88561.403479533998</v>
      </c>
      <c r="E227" s="732">
        <f>(E181+E203)*INDEX(Inflation!$D$126:$BD$166, MATCH($B227, Inflation!$B$126:$B$166,0), MATCH(E$222, Inflation!$D$125:$BD$125,0))</f>
        <v>100587.16253485953</v>
      </c>
      <c r="F227" s="732">
        <f>(F181+F203)*INDEX(Inflation!$D$126:$BD$166, MATCH($B227, Inflation!$B$126:$B$166,0), MATCH(F$222, Inflation!$D$125:$BD$125,0))</f>
        <v>113169.53233515068</v>
      </c>
      <c r="G227" s="732">
        <f>(G181+G203)*INDEX(Inflation!$D$126:$BD$166, MATCH($B227, Inflation!$B$126:$B$166,0), MATCH(G$222, Inflation!$D$125:$BD$125,0))</f>
        <v>126342.85485277636</v>
      </c>
      <c r="H227" s="732">
        <f>(H181+H203)*INDEX(Inflation!$D$126:$BD$166, MATCH($B227, Inflation!$B$126:$B$166,0), MATCH(H$222, Inflation!$D$125:$BD$125,0))</f>
        <v>140152.87137174347</v>
      </c>
      <c r="I227" s="732">
        <f>(I181+I203)*INDEX(Inflation!$D$126:$BD$166, MATCH($B227, Inflation!$B$126:$B$166,0), MATCH(I$222, Inflation!$D$125:$BD$125,0))</f>
        <v>154636.17097779881</v>
      </c>
      <c r="J227" s="732">
        <f>(J181+J203)*INDEX(Inflation!$D$126:$BD$166, MATCH($B227, Inflation!$B$126:$B$166,0), MATCH(J$222, Inflation!$D$125:$BD$125,0))</f>
        <v>169807.59181901984</v>
      </c>
      <c r="K227" s="732">
        <f>(K181+K203)*INDEX(Inflation!$D$126:$BD$166, MATCH($B227, Inflation!$B$126:$B$166,0), MATCH(K$222, Inflation!$D$125:$BD$125,0))</f>
        <v>185696.83925514558</v>
      </c>
      <c r="L227" s="732">
        <f>(L181+L203)*INDEX(Inflation!$D$126:$BD$166, MATCH($B227, Inflation!$B$126:$B$166,0), MATCH(L$222, Inflation!$D$125:$BD$125,0))</f>
        <v>202417.62039175938</v>
      </c>
      <c r="M227" s="732">
        <f>(M181+M203)*INDEX(Inflation!$D$126:$BD$166, MATCH($B227, Inflation!$B$126:$B$166,0), MATCH(M$222, Inflation!$D$125:$BD$125,0))</f>
        <v>219955.03727015961</v>
      </c>
      <c r="N227" s="732">
        <f>(N181+N203)*INDEX(Inflation!$D$126:$BD$166, MATCH($B227, Inflation!$B$126:$B$166,0), MATCH(N$222, Inflation!$D$125:$BD$125,0))</f>
        <v>238309.78860298393</v>
      </c>
      <c r="O227" s="732">
        <f>(O181+O203)*INDEX(Inflation!$D$126:$BD$166, MATCH($B227, Inflation!$B$126:$B$166,0), MATCH(O$222, Inflation!$D$125:$BD$125,0))</f>
        <v>257491.93597925367</v>
      </c>
      <c r="P227" s="732">
        <f>(P181+P203)*INDEX(Inflation!$D$126:$BD$166, MATCH($B227, Inflation!$B$126:$B$166,0), MATCH(P$222, Inflation!$D$125:$BD$125,0))</f>
        <v>277513.5036745813</v>
      </c>
      <c r="Q227" s="732">
        <f>(Q181+Q203)*INDEX(Inflation!$D$126:$BD$166, MATCH($B227, Inflation!$B$126:$B$166,0), MATCH(Q$222, Inflation!$D$125:$BD$125,0))</f>
        <v>298410.614410943</v>
      </c>
      <c r="R227" s="732">
        <f>(R181+R203)*INDEX(Inflation!$D$126:$BD$166, MATCH($B227, Inflation!$B$126:$B$166,0), MATCH(R$222, Inflation!$D$125:$BD$125,0))</f>
        <v>320227.94807320373</v>
      </c>
      <c r="S227" s="732">
        <f>(S181+S203)*INDEX(Inflation!$D$126:$BD$166, MATCH($B227, Inflation!$B$126:$B$166,0), MATCH(S$222, Inflation!$D$125:$BD$125,0))</f>
        <v>342998.1659240452</v>
      </c>
      <c r="T227" s="732">
        <f>(T181+T203)*INDEX(Inflation!$D$126:$BD$166, MATCH($B227, Inflation!$B$126:$B$166,0), MATCH(T$222, Inflation!$D$125:$BD$125,0))</f>
        <v>366734.77688436332</v>
      </c>
      <c r="U227" s="732">
        <f>(U181+U203)*INDEX(Inflation!$D$126:$BD$166, MATCH($B227, Inflation!$B$126:$B$166,0), MATCH(U$222, Inflation!$D$125:$BD$125,0))</f>
        <v>391467.74422614719</v>
      </c>
      <c r="V227" s="732">
        <f>(V181+V203)*INDEX(Inflation!$D$126:$BD$166, MATCH($B227, Inflation!$B$126:$B$166,0), MATCH(V$222, Inflation!$D$125:$BD$125,0))</f>
        <v>417269.37293094432</v>
      </c>
      <c r="W227" s="732">
        <f>(W181+W203)*INDEX(Inflation!$D$126:$BD$166, MATCH($B227, Inflation!$B$126:$B$166,0), MATCH(W$222, Inflation!$D$125:$BD$125,0))</f>
        <v>444143.93860694137</v>
      </c>
      <c r="X227" s="732">
        <f>(X181+X203)*INDEX(Inflation!$D$126:$BD$166, MATCH($B227, Inflation!$B$126:$B$166,0), MATCH(X$222, Inflation!$D$125:$BD$125,0))</f>
        <v>472113.03145856579</v>
      </c>
      <c r="Y227" s="732">
        <f>(Y181+Y203)*INDEX(Inflation!$D$126:$BD$166, MATCH($B227, Inflation!$B$126:$B$166,0), MATCH(Y$222, Inflation!$D$125:$BD$125,0))</f>
        <v>501205.01961092604</v>
      </c>
      <c r="Z227" s="732">
        <f>(Z181+Z203)*INDEX(Inflation!$D$126:$BD$166, MATCH($B227, Inflation!$B$126:$B$166,0), MATCH(Z$222, Inflation!$D$125:$BD$125,0))</f>
        <v>531469.09704983502</v>
      </c>
      <c r="AA227" s="732">
        <f>(AA181+AA203)*INDEX(Inflation!$D$126:$BD$166, MATCH($B227, Inflation!$B$126:$B$166,0), MATCH(AA$222, Inflation!$D$125:$BD$125,0))</f>
        <v>562937.12602533342</v>
      </c>
      <c r="AB227" s="732">
        <f>(AB181+AB203)*INDEX(Inflation!$D$126:$BD$166, MATCH($B227, Inflation!$B$126:$B$166,0), MATCH(AB$222, Inflation!$D$125:$BD$125,0))</f>
        <v>595636.90811320173</v>
      </c>
      <c r="AC227" s="732">
        <f>(AC181+AC203)*INDEX(Inflation!$D$126:$BD$166, MATCH($B227, Inflation!$B$126:$B$166,0), MATCH(AC$222, Inflation!$D$125:$BD$125,0))</f>
        <v>629596.51839979435</v>
      </c>
      <c r="AD227" s="732">
        <f>(AD181+AD203)*INDEX(Inflation!$D$126:$BD$166, MATCH($B227, Inflation!$B$126:$B$166,0), MATCH(AD$222, Inflation!$D$125:$BD$125,0))</f>
        <v>664842.83698151133</v>
      </c>
      <c r="AE227" s="732">
        <f>(AE181+AE203)*INDEX(Inflation!$D$126:$BD$166, MATCH($B227, Inflation!$B$126:$B$166,0), MATCH(AE$222, Inflation!$D$125:$BD$125,0))</f>
        <v>701403.14478751435</v>
      </c>
      <c r="AF227" s="732">
        <f>(AF181+AF203)*INDEX(Inflation!$D$126:$BD$166, MATCH($B227, Inflation!$B$126:$B$166,0), MATCH(AF$222, Inflation!$D$125:$BD$125,0))</f>
        <v>739304.215606838</v>
      </c>
      <c r="AG227" s="732">
        <f>(AG181+AG203)*INDEX(Inflation!$D$126:$BD$166, MATCH($B227, Inflation!$B$126:$B$166,0), MATCH(AG$222, Inflation!$D$125:$BD$125,0))</f>
        <v>778580.45259185066</v>
      </c>
      <c r="AH227" s="732">
        <f>(AH181+AH203)*INDEX(Inflation!$D$126:$BD$166, MATCH($B227, Inflation!$B$126:$B$166,0), MATCH(AH$222, Inflation!$D$125:$BD$125,0))</f>
        <v>819284.25616126775</v>
      </c>
      <c r="AI227" s="732">
        <f>(AI181+AI203)*INDEX(Inflation!$D$126:$BD$166, MATCH($B227, Inflation!$B$126:$B$166,0), MATCH(AI$222, Inflation!$D$125:$BD$125,0))</f>
        <v>861456.06441827246</v>
      </c>
      <c r="AJ227" s="732">
        <f>(AJ181+AJ203)*INDEX(Inflation!$D$126:$BD$166, MATCH($B227, Inflation!$B$126:$B$166,0), MATCH(AJ$222, Inflation!$D$125:$BD$125,0))</f>
        <v>905143.39649807685</v>
      </c>
      <c r="AK227" s="732">
        <f>(AK181+AK203)*INDEX(Inflation!$D$126:$BD$166, MATCH($B227, Inflation!$B$126:$B$166,0), MATCH(AK$222, Inflation!$D$125:$BD$125,0))</f>
        <v>950364.67045545019</v>
      </c>
      <c r="AL227" s="732">
        <f>(AL181+AL203)*INDEX(Inflation!$D$126:$BD$166, MATCH($B227, Inflation!$B$126:$B$166,0), MATCH(AL$222, Inflation!$D$125:$BD$125,0))</f>
        <v>997137.80949767318</v>
      </c>
      <c r="AM227" s="732">
        <f>(AM181+AM203)*INDEX(Inflation!$D$126:$BD$166, MATCH($B227, Inflation!$B$126:$B$166,0), MATCH(AM$222, Inflation!$D$125:$BD$125,0))</f>
        <v>1045481.7832050459</v>
      </c>
      <c r="AN227" s="732">
        <f>(AN181+AN203)*INDEX(Inflation!$D$126:$BD$166, MATCH($B227, Inflation!$B$126:$B$166,0), MATCH(AN$222, Inflation!$D$125:$BD$125,0))</f>
        <v>1095433.0354078738</v>
      </c>
      <c r="AO227" s="732">
        <f>(AO181+AO203)*INDEX(Inflation!$D$126:$BD$166, MATCH($B227, Inflation!$B$126:$B$166,0), MATCH(AO$222, Inflation!$D$125:$BD$125,0))</f>
        <v>1147024.0700301556</v>
      </c>
      <c r="AP227" s="732">
        <f>(AP181+AP203)*INDEX(Inflation!$D$126:$BD$166, MATCH($B227, Inflation!$B$126:$B$166,0), MATCH(AP$222, Inflation!$D$125:$BD$125,0))</f>
        <v>1200282.7914777896</v>
      </c>
      <c r="AQ227" s="732">
        <f>(AQ181+AQ203)*INDEX(Inflation!$D$126:$BD$166, MATCH($B227, Inflation!$B$126:$B$166,0), MATCH(AQ$222, Inflation!$D$125:$BD$125,0))</f>
        <v>1255269.1875188632</v>
      </c>
      <c r="AR227" s="732">
        <f>(AR181+AR203)*INDEX(Inflation!$D$126:$BD$166, MATCH($B227, Inflation!$B$126:$B$166,0), MATCH(AR$222, Inflation!$D$125:$BD$125,0))</f>
        <v>1312055.8321180786</v>
      </c>
      <c r="AS227" s="732">
        <f>(AS181+AS203)*INDEX(Inflation!$D$126:$BD$166, MATCH($B227, Inflation!$B$126:$B$166,0), MATCH(AS$222, Inflation!$D$125:$BD$125,0))</f>
        <v>1370719.2445094408</v>
      </c>
      <c r="AT227" s="732">
        <f>(AT181+AT203)*INDEX(Inflation!$D$126:$BD$166, MATCH($B227, Inflation!$B$126:$B$166,0), MATCH(AT$222, Inflation!$D$125:$BD$125,0))</f>
        <v>1431138.2144162802</v>
      </c>
      <c r="AU227" s="732" t="e">
        <f>(AU181+AU203)*INDEX(Inflation!$D$126:$BD$166, MATCH($B227, Inflation!$B$126:$B$166,0), MATCH(AU$222, Inflation!$D$125:$BD$125,0))</f>
        <v>#N/A</v>
      </c>
      <c r="AV227" s="732" t="e">
        <f>(AV181+AV203)*INDEX(Inflation!$D$126:$BD$166, MATCH($B227, Inflation!$B$126:$B$166,0), MATCH(AV$222, Inflation!$D$125:$BD$125,0))</f>
        <v>#N/A</v>
      </c>
      <c r="AW227" s="732" t="e">
        <f>(AW181+AW203)*INDEX(Inflation!$D$126:$BD$166, MATCH($B227, Inflation!$B$126:$B$166,0), MATCH(AW$222, Inflation!$D$125:$BD$125,0))</f>
        <v>#N/A</v>
      </c>
      <c r="AX227" s="732" t="e">
        <f>(AX181+AX203)*INDEX(Inflation!$D$126:$BD$166, MATCH($B227, Inflation!$B$126:$B$166,0), MATCH(AX$222, Inflation!$D$125:$BD$125,0))</f>
        <v>#N/A</v>
      </c>
      <c r="AY227" s="732" t="e">
        <f>(AY181+AY203)*INDEX(Inflation!$D$126:$BD$166, MATCH($B227, Inflation!$B$126:$B$166,0), MATCH(AY$222, Inflation!$D$125:$BD$125,0))</f>
        <v>#N/A</v>
      </c>
      <c r="AZ227" s="732" t="e">
        <f>(AZ181+AZ203)*INDEX(Inflation!$D$126:$BD$166, MATCH($B227, Inflation!$B$126:$B$166,0), MATCH(AZ$222, Inflation!$D$125:$BD$125,0))</f>
        <v>#N/A</v>
      </c>
      <c r="BA227" s="732" t="e">
        <f>(BA181+BA203)*INDEX(Inflation!$D$126:$BD$166, MATCH($B227, Inflation!$B$126:$B$166,0), MATCH(BA$222, Inflation!$D$125:$BD$125,0))</f>
        <v>#N/A</v>
      </c>
      <c r="BB227" s="732" t="e">
        <f>(BB181+BB203)*INDEX(Inflation!$D$126:$BD$166, MATCH($B227, Inflation!$B$126:$B$166,0), MATCH(BB$222, Inflation!$D$125:$BD$125,0))</f>
        <v>#N/A</v>
      </c>
    </row>
    <row r="228" spans="2:54">
      <c r="B228" s="6" t="s">
        <v>104</v>
      </c>
      <c r="C228" s="142"/>
      <c r="D228" s="732">
        <f>(D182+D204)*INDEX(Inflation!$D$126:$BD$166, MATCH($B228, Inflation!$B$126:$B$166,0), MATCH(D$222, Inflation!$D$125:$BD$125,0))</f>
        <v>1826.9868915020054</v>
      </c>
      <c r="E228" s="732">
        <f>(E182+E204)*INDEX(Inflation!$D$126:$BD$166, MATCH($B228, Inflation!$B$126:$B$166,0), MATCH(E$222, Inflation!$D$125:$BD$125,0))</f>
        <v>2075.0735668618718</v>
      </c>
      <c r="F228" s="732">
        <f>(F182+F204)*INDEX(Inflation!$D$126:$BD$166, MATCH($B228, Inflation!$B$126:$B$166,0), MATCH(F$222, Inflation!$D$125:$BD$125,0))</f>
        <v>2334.6429027800295</v>
      </c>
      <c r="G228" s="732">
        <f>(G182+G204)*INDEX(Inflation!$D$126:$BD$166, MATCH($B228, Inflation!$B$126:$B$166,0), MATCH(G$222, Inflation!$D$125:$BD$125,0))</f>
        <v>2606.4033606276985</v>
      </c>
      <c r="H228" s="732">
        <f>(H182+H204)*INDEX(Inflation!$D$126:$BD$166, MATCH($B228, Inflation!$B$126:$B$166,0), MATCH(H$222, Inflation!$D$125:$BD$125,0))</f>
        <v>2891.2985650878413</v>
      </c>
      <c r="I228" s="732">
        <f>(I182+I204)*INDEX(Inflation!$D$126:$BD$166, MATCH($B228, Inflation!$B$126:$B$166,0), MATCH(I$222, Inflation!$D$125:$BD$125,0))</f>
        <v>3190.0833345960868</v>
      </c>
      <c r="J228" s="732">
        <f>(J182+J204)*INDEX(Inflation!$D$126:$BD$166, MATCH($B228, Inflation!$B$126:$B$166,0), MATCH(J$222, Inflation!$D$125:$BD$125,0))</f>
        <v>3503.0637743062211</v>
      </c>
      <c r="K228" s="732">
        <f>(K182+K204)*INDEX(Inflation!$D$126:$BD$166, MATCH($B228, Inflation!$B$126:$B$166,0), MATCH(K$222, Inflation!$D$125:$BD$125,0))</f>
        <v>3830.8526940961165</v>
      </c>
      <c r="L228" s="732">
        <f>(L182+L204)*INDEX(Inflation!$D$126:$BD$166, MATCH($B228, Inflation!$B$126:$B$166,0), MATCH(L$222, Inflation!$D$125:$BD$125,0))</f>
        <v>4175.7958267930489</v>
      </c>
      <c r="M228" s="732">
        <f>(M182+M204)*INDEX(Inflation!$D$126:$BD$166, MATCH($B228, Inflation!$B$126:$B$166,0), MATCH(M$222, Inflation!$D$125:$BD$125,0))</f>
        <v>4537.5858333735969</v>
      </c>
      <c r="N228" s="732">
        <f>(N182+N204)*INDEX(Inflation!$D$126:$BD$166, MATCH($B228, Inflation!$B$126:$B$166,0), MATCH(N$222, Inflation!$D$125:$BD$125,0))</f>
        <v>4916.237128004429</v>
      </c>
      <c r="O228" s="732">
        <f>(O182+O204)*INDEX(Inflation!$D$126:$BD$166, MATCH($B228, Inflation!$B$126:$B$166,0), MATCH(O$222, Inflation!$D$125:$BD$125,0))</f>
        <v>5311.9572773063001</v>
      </c>
      <c r="P228" s="732">
        <f>(P182+P204)*INDEX(Inflation!$D$126:$BD$166, MATCH($B228, Inflation!$B$126:$B$166,0), MATCH(P$222, Inflation!$D$125:$BD$125,0))</f>
        <v>5724.9943373517262</v>
      </c>
      <c r="Q228" s="732">
        <f>(Q182+Q204)*INDEX(Inflation!$D$126:$BD$166, MATCH($B228, Inflation!$B$126:$B$166,0), MATCH(Q$222, Inflation!$D$125:$BD$125,0))</f>
        <v>6156.0935056753351</v>
      </c>
      <c r="R228" s="732">
        <f>(R182+R204)*INDEX(Inflation!$D$126:$BD$166, MATCH($B228, Inflation!$B$126:$B$166,0), MATCH(R$222, Inflation!$D$125:$BD$125,0))</f>
        <v>6606.1765107136098</v>
      </c>
      <c r="S228" s="732">
        <f>(S182+S204)*INDEX(Inflation!$D$126:$BD$166, MATCH($B228, Inflation!$B$126:$B$166,0), MATCH(S$222, Inflation!$D$125:$BD$125,0))</f>
        <v>7075.9171414585389</v>
      </c>
      <c r="T228" s="732">
        <f>(T182+T204)*INDEX(Inflation!$D$126:$BD$166, MATCH($B228, Inflation!$B$126:$B$166,0), MATCH(T$222, Inflation!$D$125:$BD$125,0))</f>
        <v>7565.5940816304019</v>
      </c>
      <c r="U228" s="732">
        <f>(U182+U204)*INDEX(Inflation!$D$126:$BD$166, MATCH($B228, Inflation!$B$126:$B$166,0), MATCH(U$222, Inflation!$D$125:$BD$125,0))</f>
        <v>8075.8254617352668</v>
      </c>
      <c r="V228" s="732">
        <f>(V182+V204)*INDEX(Inflation!$D$126:$BD$166, MATCH($B228, Inflation!$B$126:$B$166,0), MATCH(V$222, Inflation!$D$125:$BD$125,0))</f>
        <v>8608.1029050795314</v>
      </c>
      <c r="W228" s="732">
        <f>(W182+W204)*INDEX(Inflation!$D$126:$BD$166, MATCH($B228, Inflation!$B$126:$B$166,0), MATCH(W$222, Inflation!$D$125:$BD$125,0))</f>
        <v>9162.5146157769905</v>
      </c>
      <c r="X228" s="732">
        <f>(X182+X204)*INDEX(Inflation!$D$126:$BD$166, MATCH($B228, Inflation!$B$126:$B$166,0), MATCH(X$222, Inflation!$D$125:$BD$125,0))</f>
        <v>9739.5059912459765</v>
      </c>
      <c r="Y228" s="732">
        <f>(Y182+Y204)*INDEX(Inflation!$D$126:$BD$166, MATCH($B228, Inflation!$B$126:$B$166,0), MATCH(Y$222, Inflation!$D$125:$BD$125,0))</f>
        <v>10339.662254740339</v>
      </c>
      <c r="Z228" s="732">
        <f>(Z182+Z204)*INDEX(Inflation!$D$126:$BD$166, MATCH($B228, Inflation!$B$126:$B$166,0), MATCH(Z$222, Inflation!$D$125:$BD$125,0))</f>
        <v>10963.998258822139</v>
      </c>
      <c r="AA228" s="732">
        <f>(AA182+AA204)*INDEX(Inflation!$D$126:$BD$166, MATCH($B228, Inflation!$B$126:$B$166,0), MATCH(AA$222, Inflation!$D$125:$BD$125,0))</f>
        <v>11613.171309167112</v>
      </c>
      <c r="AB228" s="732">
        <f>(AB182+AB204)*INDEX(Inflation!$D$126:$BD$166, MATCH($B228, Inflation!$B$126:$B$166,0), MATCH(AB$222, Inflation!$D$125:$BD$125,0))</f>
        <v>12287.754941339488</v>
      </c>
      <c r="AC228" s="732">
        <f>(AC182+AC204)*INDEX(Inflation!$D$126:$BD$166, MATCH($B228, Inflation!$B$126:$B$166,0), MATCH(AC$222, Inflation!$D$125:$BD$125,0))</f>
        <v>12988.328333318981</v>
      </c>
      <c r="AD228" s="732">
        <f>(AD182+AD204)*INDEX(Inflation!$D$126:$BD$166, MATCH($B228, Inflation!$B$126:$B$166,0), MATCH(AD$222, Inflation!$D$125:$BD$125,0))</f>
        <v>13715.446010912941</v>
      </c>
      <c r="AE228" s="732">
        <f>(AE182+AE204)*INDEX(Inflation!$D$126:$BD$166, MATCH($B228, Inflation!$B$126:$B$166,0), MATCH(AE$222, Inflation!$D$125:$BD$125,0))</f>
        <v>14469.670768950813</v>
      </c>
      <c r="AF228" s="732">
        <f>(AF182+AF204)*INDEX(Inflation!$D$126:$BD$166, MATCH($B228, Inflation!$B$126:$B$166,0), MATCH(AF$222, Inflation!$D$125:$BD$125,0))</f>
        <v>15251.554940160855</v>
      </c>
      <c r="AG228" s="732">
        <f>(AG182+AG204)*INDEX(Inflation!$D$126:$BD$166, MATCH($B228, Inflation!$B$126:$B$166,0), MATCH(AG$222, Inflation!$D$125:$BD$125,0))</f>
        <v>16061.808248033592</v>
      </c>
      <c r="AH228" s="732">
        <f>(AH182+AH204)*INDEX(Inflation!$D$126:$BD$166, MATCH($B228, Inflation!$B$126:$B$166,0), MATCH(AH$222, Inflation!$D$125:$BD$125,0))</f>
        <v>16901.511692579643</v>
      </c>
      <c r="AI228" s="732">
        <f>(AI182+AI204)*INDEX(Inflation!$D$126:$BD$166, MATCH($B228, Inflation!$B$126:$B$166,0), MATCH(AI$222, Inflation!$D$125:$BD$125,0))</f>
        <v>17771.499495949185</v>
      </c>
      <c r="AJ228" s="732">
        <f>(AJ182+AJ204)*INDEX(Inflation!$D$126:$BD$166, MATCH($B228, Inflation!$B$126:$B$166,0), MATCH(AJ$222, Inflation!$D$125:$BD$125,0))</f>
        <v>18672.751959195692</v>
      </c>
      <c r="AK228" s="732">
        <f>(AK182+AK204)*INDEX(Inflation!$D$126:$BD$166, MATCH($B228, Inflation!$B$126:$B$166,0), MATCH(AK$222, Inflation!$D$125:$BD$125,0))</f>
        <v>19605.649039538763</v>
      </c>
      <c r="AL228" s="732">
        <f>(AL182+AL204)*INDEX(Inflation!$D$126:$BD$166, MATCH($B228, Inflation!$B$126:$B$166,0), MATCH(AL$222, Inflation!$D$125:$BD$125,0))</f>
        <v>20570.560485689122</v>
      </c>
      <c r="AM228" s="732">
        <f>(AM182+AM204)*INDEX(Inflation!$D$126:$BD$166, MATCH($B228, Inflation!$B$126:$B$166,0), MATCH(AM$222, Inflation!$D$125:$BD$125,0))</f>
        <v>21567.877632620948</v>
      </c>
      <c r="AN228" s="732">
        <f>(AN182+AN204)*INDEX(Inflation!$D$126:$BD$166, MATCH($B228, Inflation!$B$126:$B$166,0), MATCH(AN$222, Inflation!$D$125:$BD$125,0))</f>
        <v>22598.35230220731</v>
      </c>
      <c r="AO228" s="732">
        <f>(AO182+AO204)*INDEX(Inflation!$D$126:$BD$166, MATCH($B228, Inflation!$B$126:$B$166,0), MATCH(AO$222, Inflation!$D$125:$BD$125,0))</f>
        <v>23662.655037605095</v>
      </c>
      <c r="AP228" s="732">
        <f>(AP182+AP204)*INDEX(Inflation!$D$126:$BD$166, MATCH($B228, Inflation!$B$126:$B$166,0), MATCH(AP$222, Inflation!$D$125:$BD$125,0))</f>
        <v>24761.361495723395</v>
      </c>
      <c r="AQ228" s="732">
        <f>(AQ182+AQ204)*INDEX(Inflation!$D$126:$BD$166, MATCH($B228, Inflation!$B$126:$B$166,0), MATCH(AQ$222, Inflation!$D$125:$BD$125,0))</f>
        <v>25895.7092006036</v>
      </c>
      <c r="AR228" s="732">
        <f>(AR182+AR204)*INDEX(Inflation!$D$126:$BD$166, MATCH($B228, Inflation!$B$126:$B$166,0), MATCH(AR$222, Inflation!$D$125:$BD$125,0))</f>
        <v>27067.195324568715</v>
      </c>
      <c r="AS228" s="732">
        <f>(AS182+AS204)*INDEX(Inflation!$D$126:$BD$166, MATCH($B228, Inflation!$B$126:$B$166,0), MATCH(AS$222, Inflation!$D$125:$BD$125,0))</f>
        <v>28277.398429294382</v>
      </c>
      <c r="AT228" s="732">
        <f>(AT182+AT204)*INDEX(Inflation!$D$126:$BD$166, MATCH($B228, Inflation!$B$126:$B$166,0), MATCH(AT$222, Inflation!$D$125:$BD$125,0))</f>
        <v>29523.817994487461</v>
      </c>
      <c r="AU228" s="732" t="e">
        <f>(AU182+AU204)*INDEX(Inflation!$D$126:$BD$166, MATCH($B228, Inflation!$B$126:$B$166,0), MATCH(AU$222, Inflation!$D$125:$BD$125,0))</f>
        <v>#N/A</v>
      </c>
      <c r="AV228" s="732" t="e">
        <f>(AV182+AV204)*INDEX(Inflation!$D$126:$BD$166, MATCH($B228, Inflation!$B$126:$B$166,0), MATCH(AV$222, Inflation!$D$125:$BD$125,0))</f>
        <v>#N/A</v>
      </c>
      <c r="AW228" s="732" t="e">
        <f>(AW182+AW204)*INDEX(Inflation!$D$126:$BD$166, MATCH($B228, Inflation!$B$126:$B$166,0), MATCH(AW$222, Inflation!$D$125:$BD$125,0))</f>
        <v>#N/A</v>
      </c>
      <c r="AX228" s="732" t="e">
        <f>(AX182+AX204)*INDEX(Inflation!$D$126:$BD$166, MATCH($B228, Inflation!$B$126:$B$166,0), MATCH(AX$222, Inflation!$D$125:$BD$125,0))</f>
        <v>#N/A</v>
      </c>
      <c r="AY228" s="732" t="e">
        <f>(AY182+AY204)*INDEX(Inflation!$D$126:$BD$166, MATCH($B228, Inflation!$B$126:$B$166,0), MATCH(AY$222, Inflation!$D$125:$BD$125,0))</f>
        <v>#N/A</v>
      </c>
      <c r="AZ228" s="732" t="e">
        <f>(AZ182+AZ204)*INDEX(Inflation!$D$126:$BD$166, MATCH($B228, Inflation!$B$126:$B$166,0), MATCH(AZ$222, Inflation!$D$125:$BD$125,0))</f>
        <v>#N/A</v>
      </c>
      <c r="BA228" s="732" t="e">
        <f>(BA182+BA204)*INDEX(Inflation!$D$126:$BD$166, MATCH($B228, Inflation!$B$126:$B$166,0), MATCH(BA$222, Inflation!$D$125:$BD$125,0))</f>
        <v>#N/A</v>
      </c>
      <c r="BB228" s="732" t="e">
        <f>(BB182+BB204)*INDEX(Inflation!$D$126:$BD$166, MATCH($B228, Inflation!$B$126:$B$166,0), MATCH(BB$222, Inflation!$D$125:$BD$125,0))</f>
        <v>#N/A</v>
      </c>
    </row>
    <row r="229" spans="2:54">
      <c r="B229" s="6" t="s">
        <v>17</v>
      </c>
      <c r="C229" s="142"/>
      <c r="D229" s="732">
        <f>(D183+D205)*INDEX(Inflation!$D$126:$BD$166, MATCH($B229, Inflation!$B$126:$B$166,0), MATCH(D$222, Inflation!$D$125:$BD$125,0))</f>
        <v>9139.1503238915539</v>
      </c>
      <c r="E229" s="732">
        <f>(E183+E205)*INDEX(Inflation!$D$126:$BD$166, MATCH($B229, Inflation!$B$126:$B$166,0), MATCH(E$222, Inflation!$D$125:$BD$125,0))</f>
        <v>10380.156173476114</v>
      </c>
      <c r="F229" s="732">
        <f>(F183+F205)*INDEX(Inflation!$D$126:$BD$166, MATCH($B229, Inflation!$B$126:$B$166,0), MATCH(F$222, Inflation!$D$125:$BD$125,0))</f>
        <v>11678.601822682976</v>
      </c>
      <c r="G229" s="732">
        <f>(G183+G205)*INDEX(Inflation!$D$126:$BD$166, MATCH($B229, Inflation!$B$126:$B$166,0), MATCH(G$222, Inflation!$D$125:$BD$125,0))</f>
        <v>13038.031213179354</v>
      </c>
      <c r="H229" s="732">
        <f>(H183+H205)*INDEX(Inflation!$D$126:$BD$166, MATCH($B229, Inflation!$B$126:$B$166,0), MATCH(H$222, Inflation!$D$125:$BD$125,0))</f>
        <v>14463.164645842633</v>
      </c>
      <c r="I229" s="732">
        <f>(I183+I205)*INDEX(Inflation!$D$126:$BD$166, MATCH($B229, Inflation!$B$126:$B$166,0), MATCH(I$222, Inflation!$D$125:$BD$125,0))</f>
        <v>15957.777954633386</v>
      </c>
      <c r="J229" s="732">
        <f>(J183+J205)*INDEX(Inflation!$D$126:$BD$166, MATCH($B229, Inflation!$B$126:$B$166,0), MATCH(J$222, Inflation!$D$125:$BD$125,0))</f>
        <v>17523.402371673954</v>
      </c>
      <c r="K229" s="732">
        <f>(K183+K205)*INDEX(Inflation!$D$126:$BD$166, MATCH($B229, Inflation!$B$126:$B$166,0), MATCH(K$222, Inflation!$D$125:$BD$125,0))</f>
        <v>19163.103360444074</v>
      </c>
      <c r="L229" s="732">
        <f>(L183+L205)*INDEX(Inflation!$D$126:$BD$166, MATCH($B229, Inflation!$B$126:$B$166,0), MATCH(L$222, Inflation!$D$125:$BD$125,0))</f>
        <v>20888.614997979479</v>
      </c>
      <c r="M229" s="732">
        <f>(M183+M205)*INDEX(Inflation!$D$126:$BD$166, MATCH($B229, Inflation!$B$126:$B$166,0), MATCH(M$222, Inflation!$D$125:$BD$125,0))</f>
        <v>22698.399879962421</v>
      </c>
      <c r="N229" s="732">
        <f>(N183+N205)*INDEX(Inflation!$D$126:$BD$166, MATCH($B229, Inflation!$B$126:$B$166,0), MATCH(N$222, Inflation!$D$125:$BD$125,0))</f>
        <v>24592.530110487682</v>
      </c>
      <c r="O229" s="732">
        <f>(O183+O205)*INDEX(Inflation!$D$126:$BD$166, MATCH($B229, Inflation!$B$126:$B$166,0), MATCH(O$222, Inflation!$D$125:$BD$125,0))</f>
        <v>26572.044001629707</v>
      </c>
      <c r="P229" s="732">
        <f>(P183+P205)*INDEX(Inflation!$D$126:$BD$166, MATCH($B229, Inflation!$B$126:$B$166,0), MATCH(P$222, Inflation!$D$125:$BD$125,0))</f>
        <v>28638.182406153246</v>
      </c>
      <c r="Q229" s="732">
        <f>(Q183+Q205)*INDEX(Inflation!$D$126:$BD$166, MATCH($B229, Inflation!$B$126:$B$166,0), MATCH(Q$222, Inflation!$D$125:$BD$125,0))</f>
        <v>30794.673031313141</v>
      </c>
      <c r="R229" s="732">
        <f>(R183+R205)*INDEX(Inflation!$D$126:$BD$166, MATCH($B229, Inflation!$B$126:$B$166,0), MATCH(R$222, Inflation!$D$125:$BD$125,0))</f>
        <v>33046.126646227669</v>
      </c>
      <c r="S229" s="732">
        <f>(S183+S205)*INDEX(Inflation!$D$126:$BD$166, MATCH($B229, Inflation!$B$126:$B$166,0), MATCH(S$222, Inflation!$D$125:$BD$125,0))</f>
        <v>35395.913750659565</v>
      </c>
      <c r="T229" s="732">
        <f>(T183+T205)*INDEX(Inflation!$D$126:$BD$166, MATCH($B229, Inflation!$B$126:$B$166,0), MATCH(T$222, Inflation!$D$125:$BD$125,0))</f>
        <v>37845.428406287298</v>
      </c>
      <c r="U229" s="732">
        <f>(U183+U205)*INDEX(Inflation!$D$126:$BD$166, MATCH($B229, Inflation!$B$126:$B$166,0), MATCH(U$222, Inflation!$D$125:$BD$125,0))</f>
        <v>40397.762692009179</v>
      </c>
      <c r="V229" s="732">
        <f>(V183+V205)*INDEX(Inflation!$D$126:$BD$166, MATCH($B229, Inflation!$B$126:$B$166,0), MATCH(V$222, Inflation!$D$125:$BD$125,0))</f>
        <v>43060.378166354829</v>
      </c>
      <c r="W229" s="732">
        <f>(W183+W205)*INDEX(Inflation!$D$126:$BD$166, MATCH($B229, Inflation!$B$126:$B$166,0), MATCH(W$222, Inflation!$D$125:$BD$125,0))</f>
        <v>45833.716053428761</v>
      </c>
      <c r="X229" s="732">
        <f>(X183+X205)*INDEX(Inflation!$D$126:$BD$166, MATCH($B229, Inflation!$B$126:$B$166,0), MATCH(X$222, Inflation!$D$125:$BD$125,0))</f>
        <v>48720.004368100141</v>
      </c>
      <c r="Y229" s="732">
        <f>(Y183+Y205)*INDEX(Inflation!$D$126:$BD$166, MATCH($B229, Inflation!$B$126:$B$166,0), MATCH(Y$222, Inflation!$D$125:$BD$125,0))</f>
        <v>51722.17057707101</v>
      </c>
      <c r="Z229" s="732">
        <f>(Z183+Z205)*INDEX(Inflation!$D$126:$BD$166, MATCH($B229, Inflation!$B$126:$B$166,0), MATCH(Z$222, Inflation!$D$125:$BD$125,0))</f>
        <v>54845.291284976251</v>
      </c>
      <c r="AA229" s="732">
        <f>(AA183+AA205)*INDEX(Inflation!$D$126:$BD$166, MATCH($B229, Inflation!$B$126:$B$166,0), MATCH(AA$222, Inflation!$D$125:$BD$125,0))</f>
        <v>58092.654536961258</v>
      </c>
      <c r="AB229" s="732">
        <f>(AB183+AB205)*INDEX(Inflation!$D$126:$BD$166, MATCH($B229, Inflation!$B$126:$B$166,0), MATCH(AB$222, Inflation!$D$125:$BD$125,0))</f>
        <v>61467.129334310033</v>
      </c>
      <c r="AC229" s="732">
        <f>(AC183+AC205)*INDEX(Inflation!$D$126:$BD$166, MATCH($B229, Inflation!$B$126:$B$166,0), MATCH(AC$222, Inflation!$D$125:$BD$125,0))</f>
        <v>64971.612903404181</v>
      </c>
      <c r="AD229" s="732">
        <f>(AD183+AD205)*INDEX(Inflation!$D$126:$BD$166, MATCH($B229, Inflation!$B$126:$B$166,0), MATCH(AD$222, Inflation!$D$125:$BD$125,0))</f>
        <v>68608.879152877344</v>
      </c>
      <c r="AE229" s="732">
        <f>(AE183+AE205)*INDEX(Inflation!$D$126:$BD$166, MATCH($B229, Inflation!$B$126:$B$166,0), MATCH(AE$222, Inflation!$D$125:$BD$125,0))</f>
        <v>72381.743355554805</v>
      </c>
      <c r="AF229" s="732">
        <f>(AF183+AF205)*INDEX(Inflation!$D$126:$BD$166, MATCH($B229, Inflation!$B$126:$B$166,0), MATCH(AF$222, Inflation!$D$125:$BD$125,0))</f>
        <v>76292.968449614025</v>
      </c>
      <c r="AG229" s="732">
        <f>(AG183+AG205)*INDEX(Inflation!$D$126:$BD$166, MATCH($B229, Inflation!$B$126:$B$166,0), MATCH(AG$222, Inflation!$D$125:$BD$125,0))</f>
        <v>80346.104690231223</v>
      </c>
      <c r="AH229" s="732">
        <f>(AH183+AH205)*INDEX(Inflation!$D$126:$BD$166, MATCH($B229, Inflation!$B$126:$B$166,0), MATCH(AH$222, Inflation!$D$125:$BD$125,0))</f>
        <v>84546.559571922669</v>
      </c>
      <c r="AI229" s="732">
        <f>(AI183+AI205)*INDEX(Inflation!$D$126:$BD$166, MATCH($B229, Inflation!$B$126:$B$166,0), MATCH(AI$222, Inflation!$D$125:$BD$125,0))</f>
        <v>88898.506130449896</v>
      </c>
      <c r="AJ229" s="732">
        <f>(AJ183+AJ205)*INDEX(Inflation!$D$126:$BD$166, MATCH($B229, Inflation!$B$126:$B$166,0), MATCH(AJ$222, Inflation!$D$125:$BD$125,0))</f>
        <v>93406.848133175372</v>
      </c>
      <c r="AK229" s="732">
        <f>(AK183+AK205)*INDEX(Inflation!$D$126:$BD$166, MATCH($B229, Inflation!$B$126:$B$166,0), MATCH(AK$222, Inflation!$D$125:$BD$125,0))</f>
        <v>98073.486242968022</v>
      </c>
      <c r="AL229" s="732">
        <f>(AL183+AL205)*INDEX(Inflation!$D$126:$BD$166, MATCH($B229, Inflation!$B$126:$B$166,0), MATCH(AL$222, Inflation!$D$125:$BD$125,0))</f>
        <v>102900.27005659562</v>
      </c>
      <c r="AM229" s="732">
        <f>(AM183+AM205)*INDEX(Inflation!$D$126:$BD$166, MATCH($B229, Inflation!$B$126:$B$166,0), MATCH(AM$222, Inflation!$D$125:$BD$125,0))</f>
        <v>107889.15715195474</v>
      </c>
      <c r="AN229" s="732">
        <f>(AN183+AN205)*INDEX(Inflation!$D$126:$BD$166, MATCH($B229, Inflation!$B$126:$B$166,0), MATCH(AN$222, Inflation!$D$125:$BD$125,0))</f>
        <v>113043.90837327839</v>
      </c>
      <c r="AO229" s="732">
        <f>(AO183+AO205)*INDEX(Inflation!$D$126:$BD$166, MATCH($B229, Inflation!$B$126:$B$166,0), MATCH(AO$222, Inflation!$D$125:$BD$125,0))</f>
        <v>118367.87798366389</v>
      </c>
      <c r="AP229" s="732">
        <f>(AP183+AP205)*INDEX(Inflation!$D$126:$BD$166, MATCH($B229, Inflation!$B$126:$B$166,0), MATCH(AP$222, Inflation!$D$125:$BD$125,0))</f>
        <v>123863.94559601464</v>
      </c>
      <c r="AQ229" s="732">
        <f>(AQ183+AQ205)*INDEX(Inflation!$D$126:$BD$166, MATCH($B229, Inflation!$B$126:$B$166,0), MATCH(AQ$222, Inflation!$D$125:$BD$125,0))</f>
        <v>129538.30168618815</v>
      </c>
      <c r="AR229" s="732">
        <f>(AR183+AR205)*INDEX(Inflation!$D$126:$BD$166, MATCH($B229, Inflation!$B$126:$B$166,0), MATCH(AR$222, Inflation!$D$125:$BD$125,0))</f>
        <v>135398.43557060166</v>
      </c>
      <c r="AS229" s="732">
        <f>(AS183+AS205)*INDEX(Inflation!$D$126:$BD$166, MATCH($B229, Inflation!$B$126:$B$166,0), MATCH(AS$222, Inflation!$D$125:$BD$125,0))</f>
        <v>141452.24370024586</v>
      </c>
      <c r="AT229" s="732">
        <f>(AT183+AT205)*INDEX(Inflation!$D$126:$BD$166, MATCH($B229, Inflation!$B$126:$B$166,0), MATCH(AT$222, Inflation!$D$125:$BD$125,0))</f>
        <v>147687.21770357553</v>
      </c>
      <c r="AU229" s="732" t="e">
        <f>(AU183+AU205)*INDEX(Inflation!$D$126:$BD$166, MATCH($B229, Inflation!$B$126:$B$166,0), MATCH(AU$222, Inflation!$D$125:$BD$125,0))</f>
        <v>#N/A</v>
      </c>
      <c r="AV229" s="732" t="e">
        <f>(AV183+AV205)*INDEX(Inflation!$D$126:$BD$166, MATCH($B229, Inflation!$B$126:$B$166,0), MATCH(AV$222, Inflation!$D$125:$BD$125,0))</f>
        <v>#N/A</v>
      </c>
      <c r="AW229" s="732" t="e">
        <f>(AW183+AW205)*INDEX(Inflation!$D$126:$BD$166, MATCH($B229, Inflation!$B$126:$B$166,0), MATCH(AW$222, Inflation!$D$125:$BD$125,0))</f>
        <v>#N/A</v>
      </c>
      <c r="AX229" s="732" t="e">
        <f>(AX183+AX205)*INDEX(Inflation!$D$126:$BD$166, MATCH($B229, Inflation!$B$126:$B$166,0), MATCH(AX$222, Inflation!$D$125:$BD$125,0))</f>
        <v>#N/A</v>
      </c>
      <c r="AY229" s="732" t="e">
        <f>(AY183+AY205)*INDEX(Inflation!$D$126:$BD$166, MATCH($B229, Inflation!$B$126:$B$166,0), MATCH(AY$222, Inflation!$D$125:$BD$125,0))</f>
        <v>#N/A</v>
      </c>
      <c r="AZ229" s="732" t="e">
        <f>(AZ183+AZ205)*INDEX(Inflation!$D$126:$BD$166, MATCH($B229, Inflation!$B$126:$B$166,0), MATCH(AZ$222, Inflation!$D$125:$BD$125,0))</f>
        <v>#N/A</v>
      </c>
      <c r="BA229" s="732" t="e">
        <f>(BA183+BA205)*INDEX(Inflation!$D$126:$BD$166, MATCH($B229, Inflation!$B$126:$B$166,0), MATCH(BA$222, Inflation!$D$125:$BD$125,0))</f>
        <v>#N/A</v>
      </c>
      <c r="BB229" s="732" t="e">
        <f>(BB183+BB205)*INDEX(Inflation!$D$126:$BD$166, MATCH($B229, Inflation!$B$126:$B$166,0), MATCH(BB$222, Inflation!$D$125:$BD$125,0))</f>
        <v>#N/A</v>
      </c>
    </row>
    <row r="230" spans="2:54" ht="29">
      <c r="B230" s="6" t="s">
        <v>106</v>
      </c>
      <c r="C230" s="142"/>
      <c r="D230" s="732">
        <f>(D184+D206)*INDEX(Inflation!$D$126:$BD$166, MATCH($B230, Inflation!$B$126:$B$166,0), MATCH(D$222, Inflation!$D$125:$BD$125,0))</f>
        <v>59.267194010053814</v>
      </c>
      <c r="E230" s="732">
        <f>(E184+E206)*INDEX(Inflation!$D$126:$BD$166, MATCH($B230, Inflation!$B$126:$B$166,0), MATCH(E$222, Inflation!$D$125:$BD$125,0))</f>
        <v>68.821257240550011</v>
      </c>
      <c r="F230" s="732">
        <f>(F184+F206)*INDEX(Inflation!$D$126:$BD$166, MATCH($B230, Inflation!$B$126:$B$166,0), MATCH(F$222, Inflation!$D$125:$BD$125,0))</f>
        <v>79.162542669912852</v>
      </c>
      <c r="G230" s="732">
        <f>(G184+G206)*INDEX(Inflation!$D$126:$BD$166, MATCH($B230, Inflation!$B$126:$B$166,0), MATCH(G$222, Inflation!$D$125:$BD$125,0))</f>
        <v>90.354766734431095</v>
      </c>
      <c r="H230" s="732">
        <f>(H184+H206)*INDEX(Inflation!$D$126:$BD$166, MATCH($B230, Inflation!$B$126:$B$166,0), MATCH(H$222, Inflation!$D$125:$BD$125,0))</f>
        <v>102.47373170900823</v>
      </c>
      <c r="I230" s="732">
        <f>(I184+I206)*INDEX(Inflation!$D$126:$BD$166, MATCH($B230, Inflation!$B$126:$B$166,0), MATCH(I$222, Inflation!$D$125:$BD$125,0))</f>
        <v>115.5930727668276</v>
      </c>
      <c r="J230" s="732">
        <f>(J184+J206)*INDEX(Inflation!$D$126:$BD$166, MATCH($B230, Inflation!$B$126:$B$166,0), MATCH(J$222, Inflation!$D$125:$BD$125,0))</f>
        <v>129.77409030343762</v>
      </c>
      <c r="K230" s="732">
        <f>(K184+K206)*INDEX(Inflation!$D$126:$BD$166, MATCH($B230, Inflation!$B$126:$B$166,0), MATCH(K$222, Inflation!$D$125:$BD$125,0))</f>
        <v>145.09270286664025</v>
      </c>
      <c r="L230" s="732">
        <f>(L184+L206)*INDEX(Inflation!$D$126:$BD$166, MATCH($B230, Inflation!$B$126:$B$166,0), MATCH(L$222, Inflation!$D$125:$BD$125,0))</f>
        <v>161.69609938101232</v>
      </c>
      <c r="M230" s="732">
        <f>(M184+M206)*INDEX(Inflation!$D$126:$BD$166, MATCH($B230, Inflation!$B$126:$B$166,0), MATCH(M$222, Inflation!$D$125:$BD$125,0))</f>
        <v>179.63679994291087</v>
      </c>
      <c r="N230" s="732">
        <f>(N184+N206)*INDEX(Inflation!$D$126:$BD$166, MATCH($B230, Inflation!$B$126:$B$166,0), MATCH(N$222, Inflation!$D$125:$BD$125,0))</f>
        <v>198.9818425460561</v>
      </c>
      <c r="O230" s="732">
        <f>(O184+O206)*INDEX(Inflation!$D$126:$BD$166, MATCH($B230, Inflation!$B$126:$B$166,0), MATCH(O$222, Inflation!$D$125:$BD$125,0))</f>
        <v>219.8089482739226</v>
      </c>
      <c r="P230" s="732">
        <f>(P184+P206)*INDEX(Inflation!$D$126:$BD$166, MATCH($B230, Inflation!$B$126:$B$166,0), MATCH(P$222, Inflation!$D$125:$BD$125,0))</f>
        <v>242.20105210879461</v>
      </c>
      <c r="Q230" s="732">
        <f>(Q184+Q206)*INDEX(Inflation!$D$126:$BD$166, MATCH($B230, Inflation!$B$126:$B$166,0), MATCH(Q$222, Inflation!$D$125:$BD$125,0))</f>
        <v>266.26638420517691</v>
      </c>
      <c r="R230" s="732">
        <f>(R184+R206)*INDEX(Inflation!$D$126:$BD$166, MATCH($B230, Inflation!$B$126:$B$166,0), MATCH(R$222, Inflation!$D$125:$BD$125,0))</f>
        <v>292.12684986747627</v>
      </c>
      <c r="S230" s="732">
        <f>(S184+S206)*INDEX(Inflation!$D$126:$BD$166, MATCH($B230, Inflation!$B$126:$B$166,0), MATCH(S$222, Inflation!$D$125:$BD$125,0))</f>
        <v>319.89997776203609</v>
      </c>
      <c r="T230" s="732">
        <f>(T184+T206)*INDEX(Inflation!$D$126:$BD$166, MATCH($B230, Inflation!$B$126:$B$166,0), MATCH(T$222, Inflation!$D$125:$BD$125,0))</f>
        <v>349.69117839544037</v>
      </c>
      <c r="U230" s="732">
        <f>(U184+U206)*INDEX(Inflation!$D$126:$BD$166, MATCH($B230, Inflation!$B$126:$B$166,0), MATCH(U$222, Inflation!$D$125:$BD$125,0))</f>
        <v>381.62668387823862</v>
      </c>
      <c r="V230" s="732">
        <f>(V184+V206)*INDEX(Inflation!$D$126:$BD$166, MATCH($B230, Inflation!$B$126:$B$166,0), MATCH(V$222, Inflation!$D$125:$BD$125,0))</f>
        <v>415.88133418690882</v>
      </c>
      <c r="W230" s="732">
        <f>(W184+W206)*INDEX(Inflation!$D$126:$BD$166, MATCH($B230, Inflation!$B$126:$B$166,0), MATCH(W$222, Inflation!$D$125:$BD$125,0))</f>
        <v>452.57111080760666</v>
      </c>
      <c r="X230" s="732">
        <f>(X184+X206)*INDEX(Inflation!$D$126:$BD$166, MATCH($B230, Inflation!$B$126:$B$166,0), MATCH(X$222, Inflation!$D$125:$BD$125,0))</f>
        <v>491.83479040215207</v>
      </c>
      <c r="Y230" s="732">
        <f>(Y184+Y206)*INDEX(Inflation!$D$126:$BD$166, MATCH($B230, Inflation!$B$126:$B$166,0), MATCH(Y$222, Inflation!$D$125:$BD$125,0))</f>
        <v>533.82491364958173</v>
      </c>
      <c r="Z230" s="732">
        <f>(Z184+Z206)*INDEX(Inflation!$D$126:$BD$166, MATCH($B230, Inflation!$B$126:$B$166,0), MATCH(Z$222, Inflation!$D$125:$BD$125,0))</f>
        <v>578.72415930876411</v>
      </c>
      <c r="AA230" s="732">
        <f>(AA184+AA206)*INDEX(Inflation!$D$126:$BD$166, MATCH($B230, Inflation!$B$126:$B$166,0), MATCH(AA$222, Inflation!$D$125:$BD$125,0))</f>
        <v>626.70571687219922</v>
      </c>
      <c r="AB230" s="732">
        <f>(AB184+AB206)*INDEX(Inflation!$D$126:$BD$166, MATCH($B230, Inflation!$B$126:$B$166,0), MATCH(AB$222, Inflation!$D$125:$BD$125,0))</f>
        <v>677.94667410697809</v>
      </c>
      <c r="AC230" s="732">
        <f>(AC184+AC206)*INDEX(Inflation!$D$126:$BD$166, MATCH($B230, Inflation!$B$126:$B$166,0), MATCH(AC$222, Inflation!$D$125:$BD$125,0))</f>
        <v>732.6329056254724</v>
      </c>
      <c r="AD230" s="732">
        <f>(AD184+AD206)*INDEX(Inflation!$D$126:$BD$166, MATCH($B230, Inflation!$B$126:$B$166,0), MATCH(AD$222, Inflation!$D$125:$BD$125,0))</f>
        <v>790.95771427913712</v>
      </c>
      <c r="AE230" s="732">
        <f>(AE184+AE206)*INDEX(Inflation!$D$126:$BD$166, MATCH($B230, Inflation!$B$126:$B$166,0), MATCH(AE$222, Inflation!$D$125:$BD$125,0))</f>
        <v>853.12398087301256</v>
      </c>
      <c r="AF230" s="732">
        <f>(AF184+AF206)*INDEX(Inflation!$D$126:$BD$166, MATCH($B230, Inflation!$B$126:$B$166,0), MATCH(AF$222, Inflation!$D$125:$BD$125,0))</f>
        <v>919.34346409225566</v>
      </c>
      <c r="AG230" s="732">
        <f>(AG184+AG206)*INDEX(Inflation!$D$126:$BD$166, MATCH($B230, Inflation!$B$126:$B$166,0), MATCH(AG$222, Inflation!$D$125:$BD$125,0))</f>
        <v>989.84746520331112</v>
      </c>
      <c r="AH230" s="732">
        <f>(AH184+AH206)*INDEX(Inflation!$D$126:$BD$166, MATCH($B230, Inflation!$B$126:$B$166,0), MATCH(AH$222, Inflation!$D$125:$BD$125,0))</f>
        <v>1064.9017917048795</v>
      </c>
      <c r="AI230" s="732">
        <f>(AI184+AI206)*INDEX(Inflation!$D$126:$BD$166, MATCH($B230, Inflation!$B$126:$B$166,0), MATCH(AI$222, Inflation!$D$125:$BD$125,0))</f>
        <v>1144.7700276436804</v>
      </c>
      <c r="AJ230" s="732">
        <f>(AJ184+AJ206)*INDEX(Inflation!$D$126:$BD$166, MATCH($B230, Inflation!$B$126:$B$166,0), MATCH(AJ$222, Inflation!$D$125:$BD$125,0))</f>
        <v>1229.7382283885779</v>
      </c>
      <c r="AK230" s="732">
        <f>(AK184+AK206)*INDEX(Inflation!$D$126:$BD$166, MATCH($B230, Inflation!$B$126:$B$166,0), MATCH(AK$222, Inflation!$D$125:$BD$125,0))</f>
        <v>1320.0662841890232</v>
      </c>
      <c r="AL230" s="732">
        <f>(AL184+AL206)*INDEX(Inflation!$D$126:$BD$166, MATCH($B230, Inflation!$B$126:$B$166,0), MATCH(AL$222, Inflation!$D$125:$BD$125,0))</f>
        <v>1416.0246350090479</v>
      </c>
      <c r="AM230" s="732">
        <f>(AM184+AM206)*INDEX(Inflation!$D$126:$BD$166, MATCH($B230, Inflation!$B$126:$B$166,0), MATCH(AM$222, Inflation!$D$125:$BD$125,0))</f>
        <v>1517.8968644730535</v>
      </c>
      <c r="AN230" s="732">
        <f>(AN184+AN206)*INDEX(Inflation!$D$126:$BD$166, MATCH($B230, Inflation!$B$126:$B$166,0), MATCH(AN$222, Inflation!$D$125:$BD$125,0))</f>
        <v>1626.0047014183494</v>
      </c>
      <c r="AO230" s="732">
        <f>(AO184+AO206)*INDEX(Inflation!$D$126:$BD$166, MATCH($B230, Inflation!$B$126:$B$166,0), MATCH(AO$222, Inflation!$D$125:$BD$125,0))</f>
        <v>1740.6788947467066</v>
      </c>
      <c r="AP230" s="732">
        <f>(AP184+AP206)*INDEX(Inflation!$D$126:$BD$166, MATCH($B230, Inflation!$B$126:$B$166,0), MATCH(AP$222, Inflation!$D$125:$BD$125,0))</f>
        <v>1862.258138054546</v>
      </c>
      <c r="AQ230" s="732">
        <f>(AQ184+AQ206)*INDEX(Inflation!$D$126:$BD$166, MATCH($B230, Inflation!$B$126:$B$166,0), MATCH(AQ$222, Inflation!$D$125:$BD$125,0))</f>
        <v>1991.147068890308</v>
      </c>
      <c r="AR230" s="732">
        <f>(AR184+AR206)*INDEX(Inflation!$D$126:$BD$166, MATCH($B230, Inflation!$B$126:$B$166,0), MATCH(AR$222, Inflation!$D$125:$BD$125,0))</f>
        <v>2127.7909401495149</v>
      </c>
      <c r="AS230" s="732">
        <f>(AS184+AS206)*INDEX(Inflation!$D$126:$BD$166, MATCH($B230, Inflation!$B$126:$B$166,0), MATCH(AS$222, Inflation!$D$125:$BD$125,0))</f>
        <v>2272.6644502922045</v>
      </c>
      <c r="AT230" s="732">
        <f>(AT184+AT206)*INDEX(Inflation!$D$126:$BD$166, MATCH($B230, Inflation!$B$126:$B$166,0), MATCH(AT$222, Inflation!$D$125:$BD$125,0))</f>
        <v>2425.9316244405568</v>
      </c>
      <c r="AU230" s="732" t="e">
        <f>(AU184+AU206)*INDEX(Inflation!$D$126:$BD$166, MATCH($B230, Inflation!$B$126:$B$166,0), MATCH(AU$222, Inflation!$D$125:$BD$125,0))</f>
        <v>#N/A</v>
      </c>
      <c r="AV230" s="732" t="e">
        <f>(AV184+AV206)*INDEX(Inflation!$D$126:$BD$166, MATCH($B230, Inflation!$B$126:$B$166,0), MATCH(AV$222, Inflation!$D$125:$BD$125,0))</f>
        <v>#N/A</v>
      </c>
      <c r="AW230" s="732" t="e">
        <f>(AW184+AW206)*INDEX(Inflation!$D$126:$BD$166, MATCH($B230, Inflation!$B$126:$B$166,0), MATCH(AW$222, Inflation!$D$125:$BD$125,0))</f>
        <v>#N/A</v>
      </c>
      <c r="AX230" s="732" t="e">
        <f>(AX184+AX206)*INDEX(Inflation!$D$126:$BD$166, MATCH($B230, Inflation!$B$126:$B$166,0), MATCH(AX$222, Inflation!$D$125:$BD$125,0))</f>
        <v>#N/A</v>
      </c>
      <c r="AY230" s="732" t="e">
        <f>(AY184+AY206)*INDEX(Inflation!$D$126:$BD$166, MATCH($B230, Inflation!$B$126:$B$166,0), MATCH(AY$222, Inflation!$D$125:$BD$125,0))</f>
        <v>#N/A</v>
      </c>
      <c r="AZ230" s="732" t="e">
        <f>(AZ184+AZ206)*INDEX(Inflation!$D$126:$BD$166, MATCH($B230, Inflation!$B$126:$B$166,0), MATCH(AZ$222, Inflation!$D$125:$BD$125,0))</f>
        <v>#N/A</v>
      </c>
      <c r="BA230" s="732" t="e">
        <f>(BA184+BA206)*INDEX(Inflation!$D$126:$BD$166, MATCH($B230, Inflation!$B$126:$B$166,0), MATCH(BA$222, Inflation!$D$125:$BD$125,0))</f>
        <v>#N/A</v>
      </c>
      <c r="BB230" s="732" t="e">
        <f>(BB184+BB206)*INDEX(Inflation!$D$126:$BD$166, MATCH($B230, Inflation!$B$126:$B$166,0), MATCH(BB$222, Inflation!$D$125:$BD$125,0))</f>
        <v>#N/A</v>
      </c>
    </row>
    <row r="231" spans="2:54" ht="29">
      <c r="B231" s="6" t="s">
        <v>107</v>
      </c>
      <c r="C231" s="142"/>
      <c r="D231" s="732">
        <f>(D185+D207)*INDEX(Inflation!$D$126:$BD$166, MATCH($B231, Inflation!$B$126:$B$166,0), MATCH(D$222, Inflation!$D$125:$BD$125,0))</f>
        <v>134.13453307218526</v>
      </c>
      <c r="E231" s="732">
        <f>(E185+E207)*INDEX(Inflation!$D$126:$BD$166, MATCH($B231, Inflation!$B$126:$B$166,0), MATCH(E$222, Inflation!$D$125:$BD$125,0))</f>
        <v>155.75745333642703</v>
      </c>
      <c r="F231" s="732">
        <f>(F185+F207)*INDEX(Inflation!$D$126:$BD$166, MATCH($B231, Inflation!$B$126:$B$166,0), MATCH(F$222, Inflation!$D$125:$BD$125,0))</f>
        <v>179.16202842392781</v>
      </c>
      <c r="G231" s="732">
        <f>(G185+G207)*INDEX(Inflation!$D$126:$BD$166, MATCH($B231, Inflation!$B$126:$B$166,0), MATCH(G$222, Inflation!$D$125:$BD$125,0))</f>
        <v>204.49246246942627</v>
      </c>
      <c r="H231" s="732">
        <f>(H185+H207)*INDEX(Inflation!$D$126:$BD$166, MATCH($B231, Inflation!$B$126:$B$166,0), MATCH(H$222, Inflation!$D$125:$BD$125,0))</f>
        <v>231.92031248552985</v>
      </c>
      <c r="I231" s="732">
        <f>(I185+I207)*INDEX(Inflation!$D$126:$BD$166, MATCH($B231, Inflation!$B$126:$B$166,0), MATCH(I$222, Inflation!$D$125:$BD$125,0))</f>
        <v>261.61223086295183</v>
      </c>
      <c r="J231" s="732">
        <f>(J185+J207)*INDEX(Inflation!$D$126:$BD$166, MATCH($B231, Inflation!$B$126:$B$166,0), MATCH(J$222, Inflation!$D$125:$BD$125,0))</f>
        <v>293.7069537114636</v>
      </c>
      <c r="K231" s="732">
        <f>(K185+K207)*INDEX(Inflation!$D$126:$BD$166, MATCH($B231, Inflation!$B$126:$B$166,0), MATCH(K$222, Inflation!$D$125:$BD$125,0))</f>
        <v>328.37630119449682</v>
      </c>
      <c r="L231" s="732">
        <f>(L185+L207)*INDEX(Inflation!$D$126:$BD$166, MATCH($B231, Inflation!$B$126:$B$166,0), MATCH(L$222, Inflation!$D$125:$BD$125,0))</f>
        <v>365.95339381828211</v>
      </c>
      <c r="M231" s="732">
        <f>(M185+M207)*INDEX(Inflation!$D$126:$BD$166, MATCH($B231, Inflation!$B$126:$B$166,0), MATCH(M$222, Inflation!$D$125:$BD$125,0))</f>
        <v>406.55709596841143</v>
      </c>
      <c r="N231" s="732">
        <f>(N185+N207)*INDEX(Inflation!$D$126:$BD$166, MATCH($B231, Inflation!$B$126:$B$166,0), MATCH(N$222, Inflation!$D$125:$BD$125,0))</f>
        <v>450.3391291855441</v>
      </c>
      <c r="O231" s="732">
        <f>(O185+O207)*INDEX(Inflation!$D$126:$BD$166, MATCH($B231, Inflation!$B$126:$B$166,0), MATCH(O$222, Inflation!$D$125:$BD$125,0))</f>
        <v>497.47539316285503</v>
      </c>
      <c r="P231" s="732">
        <f>(P185+P207)*INDEX(Inflation!$D$126:$BD$166, MATCH($B231, Inflation!$B$126:$B$166,0), MATCH(P$222, Inflation!$D$125:$BD$125,0))</f>
        <v>548.15358777900224</v>
      </c>
      <c r="Q231" s="732">
        <f>(Q185+Q207)*INDEX(Inflation!$D$126:$BD$166, MATCH($B231, Inflation!$B$126:$B$166,0), MATCH(Q$222, Inflation!$D$125:$BD$125,0))</f>
        <v>602.61866138157097</v>
      </c>
      <c r="R231" s="732">
        <f>(R185+R207)*INDEX(Inflation!$D$126:$BD$166, MATCH($B231, Inflation!$B$126:$B$166,0), MATCH(R$222, Inflation!$D$125:$BD$125,0))</f>
        <v>661.14651215266338</v>
      </c>
      <c r="S231" s="732">
        <f>(S185+S207)*INDEX(Inflation!$D$126:$BD$166, MATCH($B231, Inflation!$B$126:$B$166,0), MATCH(S$222, Inflation!$D$125:$BD$125,0))</f>
        <v>724.00313299182289</v>
      </c>
      <c r="T231" s="732">
        <f>(T185+T207)*INDEX(Inflation!$D$126:$BD$166, MATCH($B231, Inflation!$B$126:$B$166,0), MATCH(T$222, Inflation!$D$125:$BD$125,0))</f>
        <v>791.42709077095492</v>
      </c>
      <c r="U231" s="732">
        <f>(U185+U207)*INDEX(Inflation!$D$126:$BD$166, MATCH($B231, Inflation!$B$126:$B$166,0), MATCH(U$222, Inflation!$D$125:$BD$125,0))</f>
        <v>863.70407617425712</v>
      </c>
      <c r="V231" s="732">
        <f>(V185+V207)*INDEX(Inflation!$D$126:$BD$166, MATCH($B231, Inflation!$B$126:$B$166,0), MATCH(V$222, Inflation!$D$125:$BD$125,0))</f>
        <v>941.22979004431204</v>
      </c>
      <c r="W231" s="732">
        <f>(W185+W207)*INDEX(Inflation!$D$126:$BD$166, MATCH($B231, Inflation!$B$126:$B$166,0), MATCH(W$222, Inflation!$D$125:$BD$125,0))</f>
        <v>1024.2667236758459</v>
      </c>
      <c r="X231" s="732">
        <f>(X185+X207)*INDEX(Inflation!$D$126:$BD$166, MATCH($B231, Inflation!$B$126:$B$166,0), MATCH(X$222, Inflation!$D$125:$BD$125,0))</f>
        <v>1113.1289587973004</v>
      </c>
      <c r="Y231" s="732">
        <f>(Y185+Y207)*INDEX(Inflation!$D$126:$BD$166, MATCH($B231, Inflation!$B$126:$B$166,0), MATCH(Y$222, Inflation!$D$125:$BD$125,0))</f>
        <v>1208.1617280976661</v>
      </c>
      <c r="Z231" s="732">
        <f>(Z185+Z207)*INDEX(Inflation!$D$126:$BD$166, MATCH($B231, Inflation!$B$126:$B$166,0), MATCH(Z$222, Inflation!$D$125:$BD$125,0))</f>
        <v>1309.7784732866851</v>
      </c>
      <c r="AA231" s="732">
        <f>(AA185+AA207)*INDEX(Inflation!$D$126:$BD$166, MATCH($B231, Inflation!$B$126:$B$166,0), MATCH(AA$222, Inflation!$D$125:$BD$125,0))</f>
        <v>1418.371159803205</v>
      </c>
      <c r="AB231" s="732">
        <f>(AB185+AB207)*INDEX(Inflation!$D$126:$BD$166, MATCH($B231, Inflation!$B$126:$B$166,0), MATCH(AB$222, Inflation!$D$125:$BD$125,0))</f>
        <v>1534.340575728193</v>
      </c>
      <c r="AC231" s="732">
        <f>(AC185+AC207)*INDEX(Inflation!$D$126:$BD$166, MATCH($B231, Inflation!$B$126:$B$166,0), MATCH(AC$222, Inflation!$D$125:$BD$125,0))</f>
        <v>1658.1073956820162</v>
      </c>
      <c r="AD231" s="732">
        <f>(AD185+AD207)*INDEX(Inflation!$D$126:$BD$166, MATCH($B231, Inflation!$B$126:$B$166,0), MATCH(AD$222, Inflation!$D$125:$BD$125,0))</f>
        <v>1790.1091060035267</v>
      </c>
      <c r="AE231" s="732">
        <f>(AE185+AE207)*INDEX(Inflation!$D$126:$BD$166, MATCH($B231, Inflation!$B$126:$B$166,0), MATCH(AE$222, Inflation!$D$125:$BD$125,0))</f>
        <v>1930.804870020901</v>
      </c>
      <c r="AF231" s="732">
        <f>(AF185+AF207)*INDEX(Inflation!$D$126:$BD$166, MATCH($B231, Inflation!$B$126:$B$166,0), MATCH(AF$222, Inflation!$D$125:$BD$125,0))</f>
        <v>2080.6739436333246</v>
      </c>
      <c r="AG231" s="732">
        <f>(AG185+AG207)*INDEX(Inflation!$D$126:$BD$166, MATCH($B231, Inflation!$B$126:$B$166,0), MATCH(AG$222, Inflation!$D$125:$BD$125,0))</f>
        <v>2240.2398118461515</v>
      </c>
      <c r="AH231" s="732">
        <f>(AH185+AH207)*INDEX(Inflation!$D$126:$BD$166, MATCH($B231, Inflation!$B$126:$B$166,0), MATCH(AH$222, Inflation!$D$125:$BD$125,0))</f>
        <v>2410.1040547631933</v>
      </c>
      <c r="AI231" s="732">
        <f>(AI185+AI207)*INDEX(Inflation!$D$126:$BD$166, MATCH($B231, Inflation!$B$126:$B$166,0), MATCH(AI$222, Inflation!$D$125:$BD$125,0))</f>
        <v>2590.8632203334892</v>
      </c>
      <c r="AJ231" s="732">
        <f>(AJ185+AJ207)*INDEX(Inflation!$D$126:$BD$166, MATCH($B231, Inflation!$B$126:$B$166,0), MATCH(AJ$222, Inflation!$D$125:$BD$125,0))</f>
        <v>2783.1647139889369</v>
      </c>
      <c r="AK231" s="732">
        <f>(AK185+AK207)*INDEX(Inflation!$D$126:$BD$166, MATCH($B231, Inflation!$B$126:$B$166,0), MATCH(AK$222, Inflation!$D$125:$BD$125,0))</f>
        <v>2987.5967238130506</v>
      </c>
      <c r="AL231" s="732">
        <f>(AL185+AL207)*INDEX(Inflation!$D$126:$BD$166, MATCH($B231, Inflation!$B$126:$B$166,0), MATCH(AL$222, Inflation!$D$125:$BD$125,0))</f>
        <v>3204.7713141848772</v>
      </c>
      <c r="AM231" s="732">
        <f>(AM185+AM207)*INDEX(Inflation!$D$126:$BD$166, MATCH($B231, Inflation!$B$126:$B$166,0), MATCH(AM$222, Inflation!$D$125:$BD$125,0))</f>
        <v>3435.3302964417203</v>
      </c>
      <c r="AN231" s="732">
        <f>(AN185+AN207)*INDEX(Inflation!$D$126:$BD$166, MATCH($B231, Inflation!$B$126:$B$166,0), MATCH(AN$222, Inflation!$D$125:$BD$125,0))</f>
        <v>3680.001812822964</v>
      </c>
      <c r="AO231" s="732">
        <f>(AO185+AO207)*INDEX(Inflation!$D$126:$BD$166, MATCH($B231, Inflation!$B$126:$B$166,0), MATCH(AO$222, Inflation!$D$125:$BD$125,0))</f>
        <v>3939.5344199330525</v>
      </c>
      <c r="AP231" s="732">
        <f>(AP185+AP207)*INDEX(Inflation!$D$126:$BD$166, MATCH($B231, Inflation!$B$126:$B$166,0), MATCH(AP$222, Inflation!$D$125:$BD$125,0))</f>
        <v>4214.694654946039</v>
      </c>
      <c r="AQ231" s="732">
        <f>(AQ185+AQ207)*INDEX(Inflation!$D$126:$BD$166, MATCH($B231, Inflation!$B$126:$B$166,0), MATCH(AQ$222, Inflation!$D$125:$BD$125,0))</f>
        <v>4506.3983005226355</v>
      </c>
      <c r="AR231" s="732">
        <f>(AR185+AR207)*INDEX(Inflation!$D$126:$BD$166, MATCH($B231, Inflation!$B$126:$B$166,0), MATCH(AR$222, Inflation!$D$125:$BD$125,0))</f>
        <v>4815.653060675786</v>
      </c>
      <c r="AS231" s="732">
        <f>(AS185+AS207)*INDEX(Inflation!$D$126:$BD$166, MATCH($B231, Inflation!$B$126:$B$166,0), MATCH(AS$222, Inflation!$D$125:$BD$125,0))</f>
        <v>5143.5332811266098</v>
      </c>
      <c r="AT231" s="732">
        <f>(AT185+AT207)*INDEX(Inflation!$D$126:$BD$166, MATCH($B231, Inflation!$B$126:$B$166,0), MATCH(AT$222, Inflation!$D$125:$BD$125,0))</f>
        <v>5490.4101863533888</v>
      </c>
      <c r="AU231" s="732" t="e">
        <f>(AU185+AU207)*INDEX(Inflation!$D$126:$BD$166, MATCH($B231, Inflation!$B$126:$B$166,0), MATCH(AU$222, Inflation!$D$125:$BD$125,0))</f>
        <v>#N/A</v>
      </c>
      <c r="AV231" s="732" t="e">
        <f>(AV185+AV207)*INDEX(Inflation!$D$126:$BD$166, MATCH($B231, Inflation!$B$126:$B$166,0), MATCH(AV$222, Inflation!$D$125:$BD$125,0))</f>
        <v>#N/A</v>
      </c>
      <c r="AW231" s="732" t="e">
        <f>(AW185+AW207)*INDEX(Inflation!$D$126:$BD$166, MATCH($B231, Inflation!$B$126:$B$166,0), MATCH(AW$222, Inflation!$D$125:$BD$125,0))</f>
        <v>#N/A</v>
      </c>
      <c r="AX231" s="732" t="e">
        <f>(AX185+AX207)*INDEX(Inflation!$D$126:$BD$166, MATCH($B231, Inflation!$B$126:$B$166,0), MATCH(AX$222, Inflation!$D$125:$BD$125,0))</f>
        <v>#N/A</v>
      </c>
      <c r="AY231" s="732" t="e">
        <f>(AY185+AY207)*INDEX(Inflation!$D$126:$BD$166, MATCH($B231, Inflation!$B$126:$B$166,0), MATCH(AY$222, Inflation!$D$125:$BD$125,0))</f>
        <v>#N/A</v>
      </c>
      <c r="AZ231" s="732" t="e">
        <f>(AZ185+AZ207)*INDEX(Inflation!$D$126:$BD$166, MATCH($B231, Inflation!$B$126:$B$166,0), MATCH(AZ$222, Inflation!$D$125:$BD$125,0))</f>
        <v>#N/A</v>
      </c>
      <c r="BA231" s="732" t="e">
        <f>(BA185+BA207)*INDEX(Inflation!$D$126:$BD$166, MATCH($B231, Inflation!$B$126:$B$166,0), MATCH(BA$222, Inflation!$D$125:$BD$125,0))</f>
        <v>#N/A</v>
      </c>
      <c r="BB231" s="732" t="e">
        <f>(BB185+BB207)*INDEX(Inflation!$D$126:$BD$166, MATCH($B231, Inflation!$B$126:$B$166,0), MATCH(BB$222, Inflation!$D$125:$BD$125,0))</f>
        <v>#N/A</v>
      </c>
    </row>
    <row r="232" spans="2:54">
      <c r="B232" s="6" t="s">
        <v>2863</v>
      </c>
      <c r="C232" s="142"/>
      <c r="D232" s="732">
        <f>(D186+D208)*INDEX(Inflation!$D$126:$BD$166, MATCH($B232, Inflation!$B$126:$B$166,0), MATCH(D$222, Inflation!$D$125:$BD$125,0))</f>
        <v>1678.1829479999999</v>
      </c>
      <c r="E232" s="732">
        <f>(E186+E208)*INDEX(Inflation!$D$126:$BD$166, MATCH($B232, Inflation!$B$126:$B$166,0), MATCH(E$222, Inflation!$D$125:$BD$125,0))</f>
        <v>1906.0635256612122</v>
      </c>
      <c r="F232" s="732">
        <f>(F186+F208)*INDEX(Inflation!$D$126:$BD$166, MATCH($B232, Inflation!$B$126:$B$166,0), MATCH(F$222, Inflation!$D$125:$BD$125,0))</f>
        <v>2144.491527190778</v>
      </c>
      <c r="G232" s="732">
        <f>(G186+G208)*INDEX(Inflation!$D$126:$BD$166, MATCH($B232, Inflation!$B$126:$B$166,0), MATCH(G$222, Inflation!$D$125:$BD$125,0))</f>
        <v>2394.1177113861609</v>
      </c>
      <c r="H232" s="732">
        <f>(H186+H208)*INDEX(Inflation!$D$126:$BD$166, MATCH($B232, Inflation!$B$126:$B$166,0), MATCH(H$222, Inflation!$D$125:$BD$125,0))</f>
        <v>2655.8088468375618</v>
      </c>
      <c r="I232" s="732">
        <f>(I186+I208)*INDEX(Inflation!$D$126:$BD$166, MATCH($B232, Inflation!$B$126:$B$166,0), MATCH(I$222, Inflation!$D$125:$BD$125,0))</f>
        <v>2930.258273728974</v>
      </c>
      <c r="J232" s="732">
        <f>(J186+J208)*INDEX(Inflation!$D$126:$BD$166, MATCH($B232, Inflation!$B$126:$B$166,0), MATCH(J$222, Inflation!$D$125:$BD$125,0))</f>
        <v>3217.7471656428502</v>
      </c>
      <c r="K232" s="732">
        <f>(K186+K208)*INDEX(Inflation!$D$126:$BD$166, MATCH($B232, Inflation!$B$126:$B$166,0), MATCH(K$222, Inflation!$D$125:$BD$125,0))</f>
        <v>3518.8384204807553</v>
      </c>
      <c r="L232" s="732">
        <f>(L186+L208)*INDEX(Inflation!$D$126:$BD$166, MATCH($B232, Inflation!$B$126:$B$166,0), MATCH(L$222, Inflation!$D$125:$BD$125,0))</f>
        <v>3835.6867164451482</v>
      </c>
      <c r="M232" s="732">
        <f>(M186+M208)*INDEX(Inflation!$D$126:$BD$166, MATCH($B232, Inflation!$B$126:$B$166,0), MATCH(M$222, Inflation!$D$125:$BD$125,0))</f>
        <v>4168.0097465798272</v>
      </c>
      <c r="N232" s="732">
        <f>(N186+N208)*INDEX(Inflation!$D$126:$BD$166, MATCH($B232, Inflation!$B$126:$B$166,0), MATCH(N$222, Inflation!$D$125:$BD$125,0))</f>
        <v>4515.820751050237</v>
      </c>
      <c r="O232" s="732">
        <f>(O186+O208)*INDEX(Inflation!$D$126:$BD$166, MATCH($B232, Inflation!$B$126:$B$166,0), MATCH(O$222, Inflation!$D$125:$BD$125,0))</f>
        <v>4879.3103906460919</v>
      </c>
      <c r="P232" s="732">
        <f>(P186+P208)*INDEX(Inflation!$D$126:$BD$166, MATCH($B232, Inflation!$B$126:$B$166,0), MATCH(P$222, Inflation!$D$125:$BD$125,0))</f>
        <v>5258.7065178347393</v>
      </c>
      <c r="Q232" s="732">
        <f>(Q186+Q208)*INDEX(Inflation!$D$126:$BD$166, MATCH($B232, Inflation!$B$126:$B$166,0), MATCH(Q$222, Inflation!$D$125:$BD$125,0))</f>
        <v>5654.6936354997633</v>
      </c>
      <c r="R232" s="732">
        <f>(R186+R208)*INDEX(Inflation!$D$126:$BD$166, MATCH($B232, Inflation!$B$126:$B$166,0), MATCH(R$222, Inflation!$D$125:$BD$125,0))</f>
        <v>6068.1183993845589</v>
      </c>
      <c r="S232" s="732">
        <f>(S186+S208)*INDEX(Inflation!$D$126:$BD$166, MATCH($B232, Inflation!$B$126:$B$166,0), MATCH(S$222, Inflation!$D$125:$BD$125,0))</f>
        <v>6499.5997198940977</v>
      </c>
      <c r="T232" s="732">
        <f>(T186+T208)*INDEX(Inflation!$D$126:$BD$166, MATCH($B232, Inflation!$B$126:$B$166,0), MATCH(T$222, Inflation!$D$125:$BD$125,0))</f>
        <v>6949.3935825909703</v>
      </c>
      <c r="U232" s="732">
        <f>(U186+U208)*INDEX(Inflation!$D$126:$BD$166, MATCH($B232, Inflation!$B$126:$B$166,0), MATCH(U$222, Inflation!$D$125:$BD$125,0))</f>
        <v>7418.0677726518179</v>
      </c>
      <c r="V232" s="732">
        <f>(V186+V208)*INDEX(Inflation!$D$126:$BD$166, MATCH($B232, Inflation!$B$126:$B$166,0), MATCH(V$222, Inflation!$D$125:$BD$125,0))</f>
        <v>7906.9924240438222</v>
      </c>
      <c r="W232" s="732">
        <f>(W186+W208)*INDEX(Inflation!$D$126:$BD$166, MATCH($B232, Inflation!$B$126:$B$166,0), MATCH(W$222, Inflation!$D$125:$BD$125,0))</f>
        <v>8416.2485568555239</v>
      </c>
      <c r="X232" s="732">
        <f>(X186+X208)*INDEX(Inflation!$D$126:$BD$166, MATCH($B232, Inflation!$B$126:$B$166,0), MATCH(X$222, Inflation!$D$125:$BD$125,0))</f>
        <v>8946.2452918945273</v>
      </c>
      <c r="Y232" s="732">
        <f>(Y186+Y208)*INDEX(Inflation!$D$126:$BD$166, MATCH($B232, Inflation!$B$126:$B$166,0), MATCH(Y$222, Inflation!$D$125:$BD$125,0))</f>
        <v>9497.5201873064016</v>
      </c>
      <c r="Z232" s="732">
        <f>(Z186+Z208)*INDEX(Inflation!$D$126:$BD$166, MATCH($B232, Inflation!$B$126:$B$166,0), MATCH(Z$222, Inflation!$D$125:$BD$125,0))</f>
        <v>10071.005438211054</v>
      </c>
      <c r="AA232" s="732">
        <f>(AA186+AA208)*INDEX(Inflation!$D$126:$BD$166, MATCH($B232, Inflation!$B$126:$B$166,0), MATCH(AA$222, Inflation!$D$125:$BD$125,0))</f>
        <v>10667.304814225969</v>
      </c>
      <c r="AB232" s="732">
        <f>(AB186+AB208)*INDEX(Inflation!$D$126:$BD$166, MATCH($B232, Inflation!$B$126:$B$166,0), MATCH(AB$222, Inflation!$D$125:$BD$125,0))</f>
        <v>11286.945137742949</v>
      </c>
      <c r="AC232" s="732">
        <f>(AC186+AC208)*INDEX(Inflation!$D$126:$BD$166, MATCH($B232, Inflation!$B$126:$B$166,0), MATCH(AC$222, Inflation!$D$125:$BD$125,0))</f>
        <v>11930.458414007315</v>
      </c>
      <c r="AD232" s="732">
        <f>(AD186+AD208)*INDEX(Inflation!$D$126:$BD$166, MATCH($B232, Inflation!$B$126:$B$166,0), MATCH(AD$222, Inflation!$D$125:$BD$125,0))</f>
        <v>12598.354003955617</v>
      </c>
      <c r="AE232" s="732">
        <f>(AE186+AE208)*INDEX(Inflation!$D$126:$BD$166, MATCH($B232, Inflation!$B$126:$B$166,0), MATCH(AE$222, Inflation!$D$125:$BD$125,0))</f>
        <v>13291.148864053384</v>
      </c>
      <c r="AF232" s="732">
        <f>(AF186+AF208)*INDEX(Inflation!$D$126:$BD$166, MATCH($B232, Inflation!$B$126:$B$166,0), MATCH(AF$222, Inflation!$D$125:$BD$125,0))</f>
        <v>14009.350340779392</v>
      </c>
      <c r="AG232" s="732">
        <f>(AG186+AG208)*INDEX(Inflation!$D$126:$BD$166, MATCH($B232, Inflation!$B$126:$B$166,0), MATCH(AG$222, Inflation!$D$125:$BD$125,0))</f>
        <v>14753.610352253665</v>
      </c>
      <c r="AH232" s="732">
        <f>(AH186+AH208)*INDEX(Inflation!$D$126:$BD$166, MATCH($B232, Inflation!$B$126:$B$166,0), MATCH(AH$222, Inflation!$D$125:$BD$125,0))</f>
        <v>15524.921853484815</v>
      </c>
      <c r="AI232" s="732">
        <f>(AI186+AI208)*INDEX(Inflation!$D$126:$BD$166, MATCH($B232, Inflation!$B$126:$B$166,0), MATCH(AI$222, Inflation!$D$125:$BD$125,0))</f>
        <v>16324.051121118722</v>
      </c>
      <c r="AJ232" s="732">
        <f>(AJ186+AJ208)*INDEX(Inflation!$D$126:$BD$166, MATCH($B232, Inflation!$B$126:$B$166,0), MATCH(AJ$222, Inflation!$D$125:$BD$125,0))</f>
        <v>17151.898612908797</v>
      </c>
      <c r="AK232" s="732">
        <f>(AK186+AK208)*INDEX(Inflation!$D$126:$BD$166, MATCH($B232, Inflation!$B$126:$B$166,0), MATCH(AK$222, Inflation!$D$125:$BD$125,0))</f>
        <v>18008.813339419852</v>
      </c>
      <c r="AL232" s="732">
        <f>(AL186+AL208)*INDEX(Inflation!$D$126:$BD$166, MATCH($B232, Inflation!$B$126:$B$166,0), MATCH(AL$222, Inflation!$D$125:$BD$125,0))</f>
        <v>18895.134934167745</v>
      </c>
      <c r="AM232" s="732">
        <f>(AM186+AM208)*INDEX(Inflation!$D$126:$BD$166, MATCH($B232, Inflation!$B$126:$B$166,0), MATCH(AM$222, Inflation!$D$125:$BD$125,0))</f>
        <v>19811.222858779525</v>
      </c>
      <c r="AN232" s="732">
        <f>(AN186+AN208)*INDEX(Inflation!$D$126:$BD$166, MATCH($B232, Inflation!$B$126:$B$166,0), MATCH(AN$222, Inflation!$D$125:$BD$125,0))</f>
        <v>20757.767700939865</v>
      </c>
      <c r="AO232" s="732">
        <f>(AO186+AO208)*INDEX(Inflation!$D$126:$BD$166, MATCH($B232, Inflation!$B$126:$B$166,0), MATCH(AO$222, Inflation!$D$125:$BD$125,0))</f>
        <v>21735.385389584539</v>
      </c>
      <c r="AP232" s="732">
        <f>(AP186+AP208)*INDEX(Inflation!$D$126:$BD$166, MATCH($B232, Inflation!$B$126:$B$166,0), MATCH(AP$222, Inflation!$D$125:$BD$125,0))</f>
        <v>22744.604695671489</v>
      </c>
      <c r="AQ232" s="732">
        <f>(AQ186+AQ208)*INDEX(Inflation!$D$126:$BD$166, MATCH($B232, Inflation!$B$126:$B$166,0), MATCH(AQ$222, Inflation!$D$125:$BD$125,0))</f>
        <v>23786.562349712385</v>
      </c>
      <c r="AR232" s="732">
        <f>(AR186+AR208)*INDEX(Inflation!$D$126:$BD$166, MATCH($B232, Inflation!$B$126:$B$166,0), MATCH(AR$222, Inflation!$D$125:$BD$125,0))</f>
        <v>24862.633582736176</v>
      </c>
      <c r="AS232" s="732">
        <f>(AS186+AS208)*INDEX(Inflation!$D$126:$BD$166, MATCH($B232, Inflation!$B$126:$B$166,0), MATCH(AS$222, Inflation!$D$125:$BD$125,0))</f>
        <v>25974.268386146072</v>
      </c>
      <c r="AT232" s="732">
        <f>(AT186+AT208)*INDEX(Inflation!$D$126:$BD$166, MATCH($B232, Inflation!$B$126:$B$166,0), MATCH(AT$222, Inflation!$D$125:$BD$125,0))</f>
        <v>27119.169901362169</v>
      </c>
      <c r="AU232" s="732" t="e">
        <f>(AU186+AU208)*INDEX(Inflation!$D$126:$BD$166, MATCH($B232, Inflation!$B$126:$B$166,0), MATCH(AU$222, Inflation!$D$125:$BD$125,0))</f>
        <v>#N/A</v>
      </c>
      <c r="AV232" s="732" t="e">
        <f>(AV186+AV208)*INDEX(Inflation!$D$126:$BD$166, MATCH($B232, Inflation!$B$126:$B$166,0), MATCH(AV$222, Inflation!$D$125:$BD$125,0))</f>
        <v>#N/A</v>
      </c>
      <c r="AW232" s="732" t="e">
        <f>(AW186+AW208)*INDEX(Inflation!$D$126:$BD$166, MATCH($B232, Inflation!$B$126:$B$166,0), MATCH(AW$222, Inflation!$D$125:$BD$125,0))</f>
        <v>#N/A</v>
      </c>
      <c r="AX232" s="732" t="e">
        <f>(AX186+AX208)*INDEX(Inflation!$D$126:$BD$166, MATCH($B232, Inflation!$B$126:$B$166,0), MATCH(AX$222, Inflation!$D$125:$BD$125,0))</f>
        <v>#N/A</v>
      </c>
      <c r="AY232" s="732" t="e">
        <f>(AY186+AY208)*INDEX(Inflation!$D$126:$BD$166, MATCH($B232, Inflation!$B$126:$B$166,0), MATCH(AY$222, Inflation!$D$125:$BD$125,0))</f>
        <v>#N/A</v>
      </c>
      <c r="AZ232" s="732" t="e">
        <f>(AZ186+AZ208)*INDEX(Inflation!$D$126:$BD$166, MATCH($B232, Inflation!$B$126:$B$166,0), MATCH(AZ$222, Inflation!$D$125:$BD$125,0))</f>
        <v>#N/A</v>
      </c>
      <c r="BA232" s="732" t="e">
        <f>(BA186+BA208)*INDEX(Inflation!$D$126:$BD$166, MATCH($B232, Inflation!$B$126:$B$166,0), MATCH(BA$222, Inflation!$D$125:$BD$125,0))</f>
        <v>#N/A</v>
      </c>
      <c r="BB232" s="732" t="e">
        <f>(BB186+BB208)*INDEX(Inflation!$D$126:$BD$166, MATCH($B232, Inflation!$B$126:$B$166,0), MATCH(BB$222, Inflation!$D$125:$BD$125,0))</f>
        <v>#N/A</v>
      </c>
    </row>
    <row r="233" spans="2:54">
      <c r="B233" s="6" t="s">
        <v>2862</v>
      </c>
      <c r="C233" s="142"/>
      <c r="D233" s="732">
        <f>(D187+D209)*INDEX(Inflation!$D$126:$BD$166, MATCH($B233, Inflation!$B$126:$B$166,0), MATCH(D$222, Inflation!$D$125:$BD$125,0))</f>
        <v>2177.6247394144762</v>
      </c>
      <c r="E233" s="732">
        <f>(E187+E209)*INDEX(Inflation!$D$126:$BD$166, MATCH($B233, Inflation!$B$126:$B$166,0), MATCH(E$222, Inflation!$D$125:$BD$125,0))</f>
        <v>2473.3245522021798</v>
      </c>
      <c r="F233" s="732">
        <f>(F187+F209)*INDEX(Inflation!$D$126:$BD$166, MATCH($B233, Inflation!$B$126:$B$166,0), MATCH(F$222, Inflation!$D$125:$BD$125,0))</f>
        <v>2782.710793624015</v>
      </c>
      <c r="G233" s="732">
        <f>(G187+G209)*INDEX(Inflation!$D$126:$BD$166, MATCH($B233, Inflation!$B$126:$B$166,0), MATCH(G$222, Inflation!$D$125:$BD$125,0))</f>
        <v>3106.6278939361928</v>
      </c>
      <c r="H233" s="732">
        <f>(H187+H209)*INDEX(Inflation!$D$126:$BD$166, MATCH($B233, Inflation!$B$126:$B$166,0), MATCH(H$222, Inflation!$D$125:$BD$125,0))</f>
        <v>3446.2005795742994</v>
      </c>
      <c r="I233" s="732">
        <f>(I187+I209)*INDEX(Inflation!$D$126:$BD$166, MATCH($B233, Inflation!$B$126:$B$166,0), MATCH(I$222, Inflation!$D$125:$BD$125,0))</f>
        <v>3802.3285347707933</v>
      </c>
      <c r="J233" s="732">
        <f>(J187+J209)*INDEX(Inflation!$D$126:$BD$166, MATCH($B233, Inflation!$B$126:$B$166,0), MATCH(J$222, Inflation!$D$125:$BD$125,0))</f>
        <v>4175.3766128034094</v>
      </c>
      <c r="K233" s="732">
        <f>(K187+K209)*INDEX(Inflation!$D$126:$BD$166, MATCH($B233, Inflation!$B$126:$B$166,0), MATCH(K$222, Inflation!$D$125:$BD$125,0))</f>
        <v>4566.0752348682854</v>
      </c>
      <c r="L233" s="732">
        <f>(L187+L209)*INDEX(Inflation!$D$126:$BD$166, MATCH($B233, Inflation!$B$126:$B$166,0), MATCH(L$222, Inflation!$D$125:$BD$125,0))</f>
        <v>4977.2203300771662</v>
      </c>
      <c r="M233" s="732">
        <f>(M187+M209)*INDEX(Inflation!$D$126:$BD$166, MATCH($B233, Inflation!$B$126:$B$166,0), MATCH(M$222, Inflation!$D$125:$BD$125,0))</f>
        <v>5408.4455744767174</v>
      </c>
      <c r="N233" s="732">
        <f>(N187+N209)*INDEX(Inflation!$D$126:$BD$166, MATCH($B233, Inflation!$B$126:$B$166,0), MATCH(N$222, Inflation!$D$125:$BD$125,0))</f>
        <v>5859.7681486203828</v>
      </c>
      <c r="O233" s="732">
        <f>(O187+O209)*INDEX(Inflation!$D$126:$BD$166, MATCH($B233, Inflation!$B$126:$B$166,0), MATCH(O$222, Inflation!$D$125:$BD$125,0))</f>
        <v>6331.435455601496</v>
      </c>
      <c r="P233" s="732">
        <f>(P187+P209)*INDEX(Inflation!$D$126:$BD$166, MATCH($B233, Inflation!$B$126:$B$166,0), MATCH(P$222, Inflation!$D$125:$BD$125,0))</f>
        <v>6823.743158756658</v>
      </c>
      <c r="Q233" s="732">
        <f>(Q187+Q209)*INDEX(Inflation!$D$126:$BD$166, MATCH($B233, Inflation!$B$126:$B$166,0), MATCH(Q$222, Inflation!$D$125:$BD$125,0))</f>
        <v>7337.5794749607176</v>
      </c>
      <c r="R233" s="732">
        <f>(R187+R209)*INDEX(Inflation!$D$126:$BD$166, MATCH($B233, Inflation!$B$126:$B$166,0), MATCH(R$222, Inflation!$D$125:$BD$125,0))</f>
        <v>7874.0430320449113</v>
      </c>
      <c r="S233" s="732">
        <f>(S187+S209)*INDEX(Inflation!$D$126:$BD$166, MATCH($B233, Inflation!$B$126:$B$166,0), MATCH(S$222, Inflation!$D$125:$BD$125,0))</f>
        <v>8433.9369335153006</v>
      </c>
      <c r="T233" s="732">
        <f>(T187+T209)*INDEX(Inflation!$D$126:$BD$166, MATCH($B233, Inflation!$B$126:$B$166,0), MATCH(T$222, Inflation!$D$125:$BD$125,0))</f>
        <v>9017.5933484567231</v>
      </c>
      <c r="U233" s="732">
        <f>(U187+U209)*INDEX(Inflation!$D$126:$BD$166, MATCH($B233, Inflation!$B$126:$B$166,0), MATCH(U$222, Inflation!$D$125:$BD$125,0))</f>
        <v>9625.749039835815</v>
      </c>
      <c r="V233" s="732">
        <f>(V187+V209)*INDEX(Inflation!$D$126:$BD$166, MATCH($B233, Inflation!$B$126:$B$166,0), MATCH(V$222, Inflation!$D$125:$BD$125,0))</f>
        <v>10260.181905364387</v>
      </c>
      <c r="W233" s="732">
        <f>(W187+W209)*INDEX(Inflation!$D$126:$BD$166, MATCH($B233, Inflation!$B$126:$B$166,0), MATCH(W$222, Inflation!$D$125:$BD$125,0))</f>
        <v>10920.997077411594</v>
      </c>
      <c r="X233" s="732">
        <f>(X187+X209)*INDEX(Inflation!$D$126:$BD$166, MATCH($B233, Inflation!$B$126:$B$166,0), MATCH(X$222, Inflation!$D$125:$BD$125,0))</f>
        <v>11608.72543468354</v>
      </c>
      <c r="Y233" s="732">
        <f>(Y187+Y209)*INDEX(Inflation!$D$126:$BD$166, MATCH($B233, Inflation!$B$126:$B$166,0), MATCH(Y$222, Inflation!$D$125:$BD$125,0))</f>
        <v>12324.064517289344</v>
      </c>
      <c r="Z233" s="732">
        <f>(Z187+Z209)*INDEX(Inflation!$D$126:$BD$166, MATCH($B233, Inflation!$B$126:$B$166,0), MATCH(Z$222, Inflation!$D$125:$BD$125,0))</f>
        <v>13068.223949696643</v>
      </c>
      <c r="AA233" s="732">
        <f>(AA187+AA209)*INDEX(Inflation!$D$126:$BD$166, MATCH($B233, Inflation!$B$126:$B$166,0), MATCH(AA$222, Inflation!$D$125:$BD$125,0))</f>
        <v>13841.987188594419</v>
      </c>
      <c r="AB233" s="732">
        <f>(AB187+AB209)*INDEX(Inflation!$D$126:$BD$166, MATCH($B233, Inflation!$B$126:$B$166,0), MATCH(AB$222, Inflation!$D$125:$BD$125,0))</f>
        <v>14646.037843284639</v>
      </c>
      <c r="AC233" s="732">
        <f>(AC187+AC209)*INDEX(Inflation!$D$126:$BD$166, MATCH($B233, Inflation!$B$126:$B$166,0), MATCH(AC$222, Inflation!$D$125:$BD$125,0))</f>
        <v>15481.06624838493</v>
      </c>
      <c r="AD233" s="732">
        <f>(AD187+AD209)*INDEX(Inflation!$D$126:$BD$166, MATCH($B233, Inflation!$B$126:$B$166,0), MATCH(AD$222, Inflation!$D$125:$BD$125,0))</f>
        <v>16347.733355061579</v>
      </c>
      <c r="AE233" s="732">
        <f>(AE187+AE209)*INDEX(Inflation!$D$126:$BD$166, MATCH($B233, Inflation!$B$126:$B$166,0), MATCH(AE$222, Inflation!$D$125:$BD$125,0))</f>
        <v>17246.709970505111</v>
      </c>
      <c r="AF233" s="732">
        <f>(AF187+AF209)*INDEX(Inflation!$D$126:$BD$166, MATCH($B233, Inflation!$B$126:$B$166,0), MATCH(AF$222, Inflation!$D$125:$BD$125,0))</f>
        <v>18178.654431903946</v>
      </c>
      <c r="AG233" s="732">
        <f>(AG187+AG209)*INDEX(Inflation!$D$126:$BD$166, MATCH($B233, Inflation!$B$126:$B$166,0), MATCH(AG$222, Inflation!$D$125:$BD$125,0))</f>
        <v>19144.412673861287</v>
      </c>
      <c r="AH233" s="732">
        <f>(AH187+AH209)*INDEX(Inflation!$D$126:$BD$166, MATCH($B233, Inflation!$B$126:$B$166,0), MATCH(AH$222, Inflation!$D$125:$BD$125,0))</f>
        <v>20145.273163403024</v>
      </c>
      <c r="AI233" s="732">
        <f>(AI187+AI209)*INDEX(Inflation!$D$126:$BD$166, MATCH($B233, Inflation!$B$126:$B$166,0), MATCH(AI$222, Inflation!$D$125:$BD$125,0))</f>
        <v>21182.230227746746</v>
      </c>
      <c r="AJ233" s="732">
        <f>(AJ187+AJ209)*INDEX(Inflation!$D$126:$BD$166, MATCH($B233, Inflation!$B$126:$B$166,0), MATCH(AJ$222, Inflation!$D$125:$BD$125,0))</f>
        <v>22256.452308678225</v>
      </c>
      <c r="AK233" s="732">
        <f>(AK187+AK209)*INDEX(Inflation!$D$126:$BD$166, MATCH($B233, Inflation!$B$126:$B$166,0), MATCH(AK$222, Inflation!$D$125:$BD$125,0))</f>
        <v>23368.392285331516</v>
      </c>
      <c r="AL233" s="732">
        <f>(AL187+AL209)*INDEX(Inflation!$D$126:$BD$166, MATCH($B233, Inflation!$B$126:$B$166,0), MATCH(AL$222, Inflation!$D$125:$BD$125,0))</f>
        <v>24518.490869100642</v>
      </c>
      <c r="AM233" s="732">
        <f>(AM187+AM209)*INDEX(Inflation!$D$126:$BD$166, MATCH($B233, Inflation!$B$126:$B$166,0), MATCH(AM$222, Inflation!$D$125:$BD$125,0))</f>
        <v>25707.214500508602</v>
      </c>
      <c r="AN233" s="732">
        <f>(AN187+AN209)*INDEX(Inflation!$D$126:$BD$166, MATCH($B233, Inflation!$B$126:$B$166,0), MATCH(AN$222, Inflation!$D$125:$BD$125,0))</f>
        <v>26935.459292120875</v>
      </c>
      <c r="AO233" s="732">
        <f>(AO187+AO209)*INDEX(Inflation!$D$126:$BD$166, MATCH($B233, Inflation!$B$126:$B$166,0), MATCH(AO$222, Inflation!$D$125:$BD$125,0))</f>
        <v>28204.024478663243</v>
      </c>
      <c r="AP233" s="732">
        <f>(AP187+AP209)*INDEX(Inflation!$D$126:$BD$166, MATCH($B233, Inflation!$B$126:$B$166,0), MATCH(AP$222, Inflation!$D$125:$BD$125,0))</f>
        <v>29513.59619791399</v>
      </c>
      <c r="AQ233" s="732">
        <f>(AQ187+AQ209)*INDEX(Inflation!$D$126:$BD$166, MATCH($B233, Inflation!$B$126:$B$166,0), MATCH(AQ$222, Inflation!$D$125:$BD$125,0))</f>
        <v>30865.649481237979</v>
      </c>
      <c r="AR233" s="732">
        <f>(AR187+AR209)*INDEX(Inflation!$D$126:$BD$166, MATCH($B233, Inflation!$B$126:$B$166,0), MATCH(AR$222, Inflation!$D$125:$BD$125,0))</f>
        <v>32261.968840338533</v>
      </c>
      <c r="AS233" s="732">
        <f>(AS187+AS209)*INDEX(Inflation!$D$126:$BD$166, MATCH($B233, Inflation!$B$126:$B$166,0), MATCH(AS$222, Inflation!$D$125:$BD$125,0))</f>
        <v>33704.435796628655</v>
      </c>
      <c r="AT233" s="732">
        <f>(AT187+AT209)*INDEX(Inflation!$D$126:$BD$166, MATCH($B233, Inflation!$B$126:$B$166,0), MATCH(AT$222, Inflation!$D$125:$BD$125,0))</f>
        <v>35190.069926506425</v>
      </c>
      <c r="AU233" s="732" t="e">
        <f>(AU187+AU209)*INDEX(Inflation!$D$126:$BD$166, MATCH($B233, Inflation!$B$126:$B$166,0), MATCH(AU$222, Inflation!$D$125:$BD$125,0))</f>
        <v>#N/A</v>
      </c>
      <c r="AV233" s="732" t="e">
        <f>(AV187+AV209)*INDEX(Inflation!$D$126:$BD$166, MATCH($B233, Inflation!$B$126:$B$166,0), MATCH(AV$222, Inflation!$D$125:$BD$125,0))</f>
        <v>#N/A</v>
      </c>
      <c r="AW233" s="732" t="e">
        <f>(AW187+AW209)*INDEX(Inflation!$D$126:$BD$166, MATCH($B233, Inflation!$B$126:$B$166,0), MATCH(AW$222, Inflation!$D$125:$BD$125,0))</f>
        <v>#N/A</v>
      </c>
      <c r="AX233" s="732" t="e">
        <f>(AX187+AX209)*INDEX(Inflation!$D$126:$BD$166, MATCH($B233, Inflation!$B$126:$B$166,0), MATCH(AX$222, Inflation!$D$125:$BD$125,0))</f>
        <v>#N/A</v>
      </c>
      <c r="AY233" s="732" t="e">
        <f>(AY187+AY209)*INDEX(Inflation!$D$126:$BD$166, MATCH($B233, Inflation!$B$126:$B$166,0), MATCH(AY$222, Inflation!$D$125:$BD$125,0))</f>
        <v>#N/A</v>
      </c>
      <c r="AZ233" s="732" t="e">
        <f>(AZ187+AZ209)*INDEX(Inflation!$D$126:$BD$166, MATCH($B233, Inflation!$B$126:$B$166,0), MATCH(AZ$222, Inflation!$D$125:$BD$125,0))</f>
        <v>#N/A</v>
      </c>
      <c r="BA233" s="732" t="e">
        <f>(BA187+BA209)*INDEX(Inflation!$D$126:$BD$166, MATCH($B233, Inflation!$B$126:$B$166,0), MATCH(BA$222, Inflation!$D$125:$BD$125,0))</f>
        <v>#N/A</v>
      </c>
      <c r="BB233" s="732" t="e">
        <f>(BB187+BB209)*INDEX(Inflation!$D$126:$BD$166, MATCH($B233, Inflation!$B$126:$B$166,0), MATCH(BB$222, Inflation!$D$125:$BD$125,0))</f>
        <v>#N/A</v>
      </c>
    </row>
    <row r="234" spans="2:54">
      <c r="B234" s="6" t="s">
        <v>131</v>
      </c>
      <c r="C234" s="142"/>
      <c r="D234" s="732">
        <f>(D188+D210)*INDEX(Inflation!$D$126:$BD$166, MATCH($B234, Inflation!$B$126:$B$166,0), MATCH(D$222, Inflation!$D$125:$BD$125,0))</f>
        <v>0</v>
      </c>
      <c r="E234" s="732">
        <f>(E188+E210)*INDEX(Inflation!$D$126:$BD$166, MATCH($B234, Inflation!$B$126:$B$166,0), MATCH(E$222, Inflation!$D$125:$BD$125,0))</f>
        <v>0</v>
      </c>
      <c r="F234" s="732">
        <f>(F188+F210)*INDEX(Inflation!$D$126:$BD$166, MATCH($B234, Inflation!$B$126:$B$166,0), MATCH(F$222, Inflation!$D$125:$BD$125,0))</f>
        <v>0</v>
      </c>
      <c r="G234" s="732">
        <f>(G188+G210)*INDEX(Inflation!$D$126:$BD$166, MATCH($B234, Inflation!$B$126:$B$166,0), MATCH(G$222, Inflation!$D$125:$BD$125,0))</f>
        <v>0</v>
      </c>
      <c r="H234" s="732">
        <f>(H188+H210)*INDEX(Inflation!$D$126:$BD$166, MATCH($B234, Inflation!$B$126:$B$166,0), MATCH(H$222, Inflation!$D$125:$BD$125,0))</f>
        <v>0</v>
      </c>
      <c r="I234" s="732">
        <f>(I188+I210)*INDEX(Inflation!$D$126:$BD$166, MATCH($B234, Inflation!$B$126:$B$166,0), MATCH(I$222, Inflation!$D$125:$BD$125,0))</f>
        <v>0</v>
      </c>
      <c r="J234" s="732">
        <f>(J188+J210)*INDEX(Inflation!$D$126:$BD$166, MATCH($B234, Inflation!$B$126:$B$166,0), MATCH(J$222, Inflation!$D$125:$BD$125,0))</f>
        <v>0</v>
      </c>
      <c r="K234" s="732">
        <f>(K188+K210)*INDEX(Inflation!$D$126:$BD$166, MATCH($B234, Inflation!$B$126:$B$166,0), MATCH(K$222, Inflation!$D$125:$BD$125,0))</f>
        <v>0</v>
      </c>
      <c r="L234" s="732">
        <f>(L188+L210)*INDEX(Inflation!$D$126:$BD$166, MATCH($B234, Inflation!$B$126:$B$166,0), MATCH(L$222, Inflation!$D$125:$BD$125,0))</f>
        <v>0</v>
      </c>
      <c r="M234" s="732">
        <f>(M188+M210)*INDEX(Inflation!$D$126:$BD$166, MATCH($B234, Inflation!$B$126:$B$166,0), MATCH(M$222, Inflation!$D$125:$BD$125,0))</f>
        <v>0</v>
      </c>
      <c r="N234" s="732">
        <f>(N188+N210)*INDEX(Inflation!$D$126:$BD$166, MATCH($B234, Inflation!$B$126:$B$166,0), MATCH(N$222, Inflation!$D$125:$BD$125,0))</f>
        <v>0</v>
      </c>
      <c r="O234" s="732">
        <f>(O188+O210)*INDEX(Inflation!$D$126:$BD$166, MATCH($B234, Inflation!$B$126:$B$166,0), MATCH(O$222, Inflation!$D$125:$BD$125,0))</f>
        <v>0</v>
      </c>
      <c r="P234" s="732">
        <f>(P188+P210)*INDEX(Inflation!$D$126:$BD$166, MATCH($B234, Inflation!$B$126:$B$166,0), MATCH(P$222, Inflation!$D$125:$BD$125,0))</f>
        <v>0</v>
      </c>
      <c r="Q234" s="732">
        <f>(Q188+Q210)*INDEX(Inflation!$D$126:$BD$166, MATCH($B234, Inflation!$B$126:$B$166,0), MATCH(Q$222, Inflation!$D$125:$BD$125,0))</f>
        <v>0</v>
      </c>
      <c r="R234" s="732">
        <f>(R188+R210)*INDEX(Inflation!$D$126:$BD$166, MATCH($B234, Inflation!$B$126:$B$166,0), MATCH(R$222, Inflation!$D$125:$BD$125,0))</f>
        <v>0</v>
      </c>
      <c r="S234" s="732">
        <f>(S188+S210)*INDEX(Inflation!$D$126:$BD$166, MATCH($B234, Inflation!$B$126:$B$166,0), MATCH(S$222, Inflation!$D$125:$BD$125,0))</f>
        <v>0</v>
      </c>
      <c r="T234" s="732">
        <f>(T188+T210)*INDEX(Inflation!$D$126:$BD$166, MATCH($B234, Inflation!$B$126:$B$166,0), MATCH(T$222, Inflation!$D$125:$BD$125,0))</f>
        <v>0</v>
      </c>
      <c r="U234" s="732">
        <f>(U188+U210)*INDEX(Inflation!$D$126:$BD$166, MATCH($B234, Inflation!$B$126:$B$166,0), MATCH(U$222, Inflation!$D$125:$BD$125,0))</f>
        <v>0</v>
      </c>
      <c r="V234" s="732">
        <f>(V188+V210)*INDEX(Inflation!$D$126:$BD$166, MATCH($B234, Inflation!$B$126:$B$166,0), MATCH(V$222, Inflation!$D$125:$BD$125,0))</f>
        <v>0</v>
      </c>
      <c r="W234" s="732">
        <f>(W188+W210)*INDEX(Inflation!$D$126:$BD$166, MATCH($B234, Inflation!$B$126:$B$166,0), MATCH(W$222, Inflation!$D$125:$BD$125,0))</f>
        <v>0</v>
      </c>
      <c r="X234" s="732">
        <f>(X188+X210)*INDEX(Inflation!$D$126:$BD$166, MATCH($B234, Inflation!$B$126:$B$166,0), MATCH(X$222, Inflation!$D$125:$BD$125,0))</f>
        <v>0</v>
      </c>
      <c r="Y234" s="732">
        <f>(Y188+Y210)*INDEX(Inflation!$D$126:$BD$166, MATCH($B234, Inflation!$B$126:$B$166,0), MATCH(Y$222, Inflation!$D$125:$BD$125,0))</f>
        <v>0</v>
      </c>
      <c r="Z234" s="732">
        <f>(Z188+Z210)*INDEX(Inflation!$D$126:$BD$166, MATCH($B234, Inflation!$B$126:$B$166,0), MATCH(Z$222, Inflation!$D$125:$BD$125,0))</f>
        <v>0</v>
      </c>
      <c r="AA234" s="732">
        <f>(AA188+AA210)*INDEX(Inflation!$D$126:$BD$166, MATCH($B234, Inflation!$B$126:$B$166,0), MATCH(AA$222, Inflation!$D$125:$BD$125,0))</f>
        <v>0</v>
      </c>
      <c r="AB234" s="732">
        <f>(AB188+AB210)*INDEX(Inflation!$D$126:$BD$166, MATCH($B234, Inflation!$B$126:$B$166,0), MATCH(AB$222, Inflation!$D$125:$BD$125,0))</f>
        <v>0</v>
      </c>
      <c r="AC234" s="732">
        <f>(AC188+AC210)*INDEX(Inflation!$D$126:$BD$166, MATCH($B234, Inflation!$B$126:$B$166,0), MATCH(AC$222, Inflation!$D$125:$BD$125,0))</f>
        <v>0</v>
      </c>
      <c r="AD234" s="732">
        <f>(AD188+AD210)*INDEX(Inflation!$D$126:$BD$166, MATCH($B234, Inflation!$B$126:$B$166,0), MATCH(AD$222, Inflation!$D$125:$BD$125,0))</f>
        <v>0</v>
      </c>
      <c r="AE234" s="732">
        <f>(AE188+AE210)*INDEX(Inflation!$D$126:$BD$166, MATCH($B234, Inflation!$B$126:$B$166,0), MATCH(AE$222, Inflation!$D$125:$BD$125,0))</f>
        <v>0</v>
      </c>
      <c r="AF234" s="732">
        <f>(AF188+AF210)*INDEX(Inflation!$D$126:$BD$166, MATCH($B234, Inflation!$B$126:$B$166,0), MATCH(AF$222, Inflation!$D$125:$BD$125,0))</f>
        <v>0</v>
      </c>
      <c r="AG234" s="732">
        <f>(AG188+AG210)*INDEX(Inflation!$D$126:$BD$166, MATCH($B234, Inflation!$B$126:$B$166,0), MATCH(AG$222, Inflation!$D$125:$BD$125,0))</f>
        <v>0</v>
      </c>
      <c r="AH234" s="732">
        <f>(AH188+AH210)*INDEX(Inflation!$D$126:$BD$166, MATCH($B234, Inflation!$B$126:$B$166,0), MATCH(AH$222, Inflation!$D$125:$BD$125,0))</f>
        <v>0</v>
      </c>
      <c r="AI234" s="732">
        <f>(AI188+AI210)*INDEX(Inflation!$D$126:$BD$166, MATCH($B234, Inflation!$B$126:$B$166,0), MATCH(AI$222, Inflation!$D$125:$BD$125,0))</f>
        <v>0</v>
      </c>
      <c r="AJ234" s="732">
        <f>(AJ188+AJ210)*INDEX(Inflation!$D$126:$BD$166, MATCH($B234, Inflation!$B$126:$B$166,0), MATCH(AJ$222, Inflation!$D$125:$BD$125,0))</f>
        <v>0</v>
      </c>
      <c r="AK234" s="732">
        <f>(AK188+AK210)*INDEX(Inflation!$D$126:$BD$166, MATCH($B234, Inflation!$B$126:$B$166,0), MATCH(AK$222, Inflation!$D$125:$BD$125,0))</f>
        <v>0</v>
      </c>
      <c r="AL234" s="732">
        <f>(AL188+AL210)*INDEX(Inflation!$D$126:$BD$166, MATCH($B234, Inflation!$B$126:$B$166,0), MATCH(AL$222, Inflation!$D$125:$BD$125,0))</f>
        <v>0</v>
      </c>
      <c r="AM234" s="732">
        <f>(AM188+AM210)*INDEX(Inflation!$D$126:$BD$166, MATCH($B234, Inflation!$B$126:$B$166,0), MATCH(AM$222, Inflation!$D$125:$BD$125,0))</f>
        <v>0</v>
      </c>
      <c r="AN234" s="732">
        <f>(AN188+AN210)*INDEX(Inflation!$D$126:$BD$166, MATCH($B234, Inflation!$B$126:$B$166,0), MATCH(AN$222, Inflation!$D$125:$BD$125,0))</f>
        <v>0</v>
      </c>
      <c r="AO234" s="732">
        <f>(AO188+AO210)*INDEX(Inflation!$D$126:$BD$166, MATCH($B234, Inflation!$B$126:$B$166,0), MATCH(AO$222, Inflation!$D$125:$BD$125,0))</f>
        <v>0</v>
      </c>
      <c r="AP234" s="732">
        <f>(AP188+AP210)*INDEX(Inflation!$D$126:$BD$166, MATCH($B234, Inflation!$B$126:$B$166,0), MATCH(AP$222, Inflation!$D$125:$BD$125,0))</f>
        <v>0</v>
      </c>
      <c r="AQ234" s="732">
        <f>(AQ188+AQ210)*INDEX(Inflation!$D$126:$BD$166, MATCH($B234, Inflation!$B$126:$B$166,0), MATCH(AQ$222, Inflation!$D$125:$BD$125,0))</f>
        <v>0</v>
      </c>
      <c r="AR234" s="732">
        <f>(AR188+AR210)*INDEX(Inflation!$D$126:$BD$166, MATCH($B234, Inflation!$B$126:$B$166,0), MATCH(AR$222, Inflation!$D$125:$BD$125,0))</f>
        <v>0</v>
      </c>
      <c r="AS234" s="732">
        <f>(AS188+AS210)*INDEX(Inflation!$D$126:$BD$166, MATCH($B234, Inflation!$B$126:$B$166,0), MATCH(AS$222, Inflation!$D$125:$BD$125,0))</f>
        <v>0</v>
      </c>
      <c r="AT234" s="732">
        <f>(AT188+AT210)*INDEX(Inflation!$D$126:$BD$166, MATCH($B234, Inflation!$B$126:$B$166,0), MATCH(AT$222, Inflation!$D$125:$BD$125,0))</f>
        <v>0</v>
      </c>
      <c r="AU234" s="732" t="e">
        <f>(AU188+AU210)*INDEX(Inflation!$D$126:$BD$166, MATCH($B234, Inflation!$B$126:$B$166,0), MATCH(AU$222, Inflation!$D$125:$BD$125,0))</f>
        <v>#N/A</v>
      </c>
      <c r="AV234" s="732" t="e">
        <f>(AV188+AV210)*INDEX(Inflation!$D$126:$BD$166, MATCH($B234, Inflation!$B$126:$B$166,0), MATCH(AV$222, Inflation!$D$125:$BD$125,0))</f>
        <v>#N/A</v>
      </c>
      <c r="AW234" s="732" t="e">
        <f>(AW188+AW210)*INDEX(Inflation!$D$126:$BD$166, MATCH($B234, Inflation!$B$126:$B$166,0), MATCH(AW$222, Inflation!$D$125:$BD$125,0))</f>
        <v>#N/A</v>
      </c>
      <c r="AX234" s="732" t="e">
        <f>(AX188+AX210)*INDEX(Inflation!$D$126:$BD$166, MATCH($B234, Inflation!$B$126:$B$166,0), MATCH(AX$222, Inflation!$D$125:$BD$125,0))</f>
        <v>#N/A</v>
      </c>
      <c r="AY234" s="732" t="e">
        <f>(AY188+AY210)*INDEX(Inflation!$D$126:$BD$166, MATCH($B234, Inflation!$B$126:$B$166,0), MATCH(AY$222, Inflation!$D$125:$BD$125,0))</f>
        <v>#N/A</v>
      </c>
      <c r="AZ234" s="732" t="e">
        <f>(AZ188+AZ210)*INDEX(Inflation!$D$126:$BD$166, MATCH($B234, Inflation!$B$126:$B$166,0), MATCH(AZ$222, Inflation!$D$125:$BD$125,0))</f>
        <v>#N/A</v>
      </c>
      <c r="BA234" s="732" t="e">
        <f>(BA188+BA210)*INDEX(Inflation!$D$126:$BD$166, MATCH($B234, Inflation!$B$126:$B$166,0), MATCH(BA$222, Inflation!$D$125:$BD$125,0))</f>
        <v>#N/A</v>
      </c>
      <c r="BB234" s="732" t="e">
        <f>(BB188+BB210)*INDEX(Inflation!$D$126:$BD$166, MATCH($B234, Inflation!$B$126:$B$166,0), MATCH(BB$222, Inflation!$D$125:$BD$125,0))</f>
        <v>#N/A</v>
      </c>
    </row>
    <row r="235" spans="2:54" ht="29">
      <c r="B235" s="6" t="s">
        <v>2869</v>
      </c>
      <c r="C235" s="142"/>
      <c r="D235" s="732">
        <f>(D189+D211)*INDEX(Inflation!$D$126:$BD$166, MATCH($B235, Inflation!$B$126:$B$166,0), MATCH(D$222, Inflation!$D$125:$BD$125,0))</f>
        <v>22823.288092800001</v>
      </c>
      <c r="E235" s="732">
        <f>(E189+E211)*INDEX(Inflation!$D$126:$BD$166, MATCH($B235, Inflation!$B$126:$B$166,0), MATCH(E$222, Inflation!$D$125:$BD$125,0))</f>
        <v>25922.463948992488</v>
      </c>
      <c r="F235" s="732">
        <f>(F189+F211)*INDEX(Inflation!$D$126:$BD$166, MATCH($B235, Inflation!$B$126:$B$166,0), MATCH(F$222, Inflation!$D$125:$BD$125,0))</f>
        <v>29165.084769794579</v>
      </c>
      <c r="G235" s="732">
        <f>(G189+G211)*INDEX(Inflation!$D$126:$BD$166, MATCH($B235, Inflation!$B$126:$B$166,0), MATCH(G$222, Inflation!$D$125:$BD$125,0))</f>
        <v>32560.000874851794</v>
      </c>
      <c r="H235" s="732">
        <f>(H189+H211)*INDEX(Inflation!$D$126:$BD$166, MATCH($B235, Inflation!$B$126:$B$166,0), MATCH(H$222, Inflation!$D$125:$BD$125,0))</f>
        <v>36119.000316990845</v>
      </c>
      <c r="I235" s="732">
        <f>(I189+I211)*INDEX(Inflation!$D$126:$BD$166, MATCH($B235, Inflation!$B$126:$B$166,0), MATCH(I$222, Inflation!$D$125:$BD$125,0))</f>
        <v>39851.512522714052</v>
      </c>
      <c r="J235" s="732">
        <f>(J189+J211)*INDEX(Inflation!$D$126:$BD$166, MATCH($B235, Inflation!$B$126:$B$166,0), MATCH(J$222, Inflation!$D$125:$BD$125,0))</f>
        <v>43761.361452742764</v>
      </c>
      <c r="K235" s="732">
        <f>(K189+K211)*INDEX(Inflation!$D$126:$BD$166, MATCH($B235, Inflation!$B$126:$B$166,0), MATCH(K$222, Inflation!$D$125:$BD$125,0))</f>
        <v>47856.202518538281</v>
      </c>
      <c r="L235" s="732">
        <f>(L189+L211)*INDEX(Inflation!$D$126:$BD$166, MATCH($B235, Inflation!$B$126:$B$166,0), MATCH(L$222, Inflation!$D$125:$BD$125,0))</f>
        <v>52165.339343654021</v>
      </c>
      <c r="M235" s="732">
        <f>(M189+M211)*INDEX(Inflation!$D$126:$BD$166, MATCH($B235, Inflation!$B$126:$B$166,0), MATCH(M$222, Inflation!$D$125:$BD$125,0))</f>
        <v>56684.932553485647</v>
      </c>
      <c r="N235" s="732">
        <f>(N189+N211)*INDEX(Inflation!$D$126:$BD$166, MATCH($B235, Inflation!$B$126:$B$166,0), MATCH(N$222, Inflation!$D$125:$BD$125,0))</f>
        <v>61415.16221428322</v>
      </c>
      <c r="O235" s="732">
        <f>(O189+O211)*INDEX(Inflation!$D$126:$BD$166, MATCH($B235, Inflation!$B$126:$B$166,0), MATCH(O$222, Inflation!$D$125:$BD$125,0))</f>
        <v>66358.621312786854</v>
      </c>
      <c r="P235" s="732">
        <f>(P189+P211)*INDEX(Inflation!$D$126:$BD$166, MATCH($B235, Inflation!$B$126:$B$166,0), MATCH(P$222, Inflation!$D$125:$BD$125,0))</f>
        <v>71518.408642552458</v>
      </c>
      <c r="Q235" s="732">
        <f>(Q189+Q211)*INDEX(Inflation!$D$126:$BD$166, MATCH($B235, Inflation!$B$126:$B$166,0), MATCH(Q$222, Inflation!$D$125:$BD$125,0))</f>
        <v>76903.833442796793</v>
      </c>
      <c r="R235" s="732">
        <f>(R189+R211)*INDEX(Inflation!$D$126:$BD$166, MATCH($B235, Inflation!$B$126:$B$166,0), MATCH(R$222, Inflation!$D$125:$BD$125,0))</f>
        <v>82526.410231630012</v>
      </c>
      <c r="S235" s="732">
        <f>(S189+S211)*INDEX(Inflation!$D$126:$BD$166, MATCH($B235, Inflation!$B$126:$B$166,0), MATCH(S$222, Inflation!$D$125:$BD$125,0))</f>
        <v>88394.556190559742</v>
      </c>
      <c r="T235" s="732">
        <f>(T189+T211)*INDEX(Inflation!$D$126:$BD$166, MATCH($B235, Inflation!$B$126:$B$166,0), MATCH(T$222, Inflation!$D$125:$BD$125,0))</f>
        <v>94511.752723237209</v>
      </c>
      <c r="U235" s="732">
        <f>(U189+U211)*INDEX(Inflation!$D$126:$BD$166, MATCH($B235, Inflation!$B$126:$B$166,0), MATCH(U$222, Inflation!$D$125:$BD$125,0))</f>
        <v>100885.72170806474</v>
      </c>
      <c r="V235" s="732">
        <f>(V189+V211)*INDEX(Inflation!$D$126:$BD$166, MATCH($B235, Inflation!$B$126:$B$166,0), MATCH(V$222, Inflation!$D$125:$BD$125,0))</f>
        <v>107535.09696699597</v>
      </c>
      <c r="W235" s="732">
        <f>(W189+W211)*INDEX(Inflation!$D$126:$BD$166, MATCH($B235, Inflation!$B$126:$B$166,0), MATCH(W$222, Inflation!$D$125:$BD$125,0))</f>
        <v>114460.98037323514</v>
      </c>
      <c r="X235" s="732">
        <f>(X189+X211)*INDEX(Inflation!$D$126:$BD$166, MATCH($B235, Inflation!$B$126:$B$166,0), MATCH(X$222, Inflation!$D$125:$BD$125,0))</f>
        <v>121668.93596976557</v>
      </c>
      <c r="Y235" s="732">
        <f>(Y189+Y211)*INDEX(Inflation!$D$126:$BD$166, MATCH($B235, Inflation!$B$126:$B$166,0), MATCH(Y$222, Inflation!$D$125:$BD$125,0))</f>
        <v>129166.27454736708</v>
      </c>
      <c r="Z235" s="732">
        <f>(Z189+Z211)*INDEX(Inflation!$D$126:$BD$166, MATCH($B235, Inflation!$B$126:$B$166,0), MATCH(Z$222, Inflation!$D$125:$BD$125,0))</f>
        <v>136965.67395967036</v>
      </c>
      <c r="AA235" s="732">
        <f>(AA189+AA211)*INDEX(Inflation!$D$126:$BD$166, MATCH($B235, Inflation!$B$126:$B$166,0), MATCH(AA$222, Inflation!$D$125:$BD$125,0))</f>
        <v>145075.34547347316</v>
      </c>
      <c r="AB235" s="732">
        <f>(AB189+AB211)*INDEX(Inflation!$D$126:$BD$166, MATCH($B235, Inflation!$B$126:$B$166,0), MATCH(AB$222, Inflation!$D$125:$BD$125,0))</f>
        <v>153502.45387330413</v>
      </c>
      <c r="AC235" s="732">
        <f>(AC189+AC211)*INDEX(Inflation!$D$126:$BD$166, MATCH($B235, Inflation!$B$126:$B$166,0), MATCH(AC$222, Inflation!$D$125:$BD$125,0))</f>
        <v>162254.23443049949</v>
      </c>
      <c r="AD235" s="732">
        <f>(AD189+AD211)*INDEX(Inflation!$D$126:$BD$166, MATCH($B235, Inflation!$B$126:$B$166,0), MATCH(AD$222, Inflation!$D$125:$BD$125,0))</f>
        <v>171337.61445379641</v>
      </c>
      <c r="AE235" s="732">
        <f>(AE189+AE211)*INDEX(Inflation!$D$126:$BD$166, MATCH($B235, Inflation!$B$126:$B$166,0), MATCH(AE$222, Inflation!$D$125:$BD$125,0))</f>
        <v>180759.62455112603</v>
      </c>
      <c r="AF235" s="732">
        <f>(AF189+AF211)*INDEX(Inflation!$D$126:$BD$166, MATCH($B235, Inflation!$B$126:$B$166,0), MATCH(AF$222, Inflation!$D$125:$BD$125,0))</f>
        <v>190527.16463459976</v>
      </c>
      <c r="AG235" s="732">
        <f>(AG189+AG211)*INDEX(Inflation!$D$126:$BD$166, MATCH($B235, Inflation!$B$126:$B$166,0), MATCH(AG$222, Inflation!$D$125:$BD$125,0))</f>
        <v>200649.10079064983</v>
      </c>
      <c r="AH235" s="732">
        <f>(AH189+AH211)*INDEX(Inflation!$D$126:$BD$166, MATCH($B235, Inflation!$B$126:$B$166,0), MATCH(AH$222, Inflation!$D$125:$BD$125,0))</f>
        <v>211138.93720739346</v>
      </c>
      <c r="AI235" s="732">
        <f>(AI189+AI211)*INDEX(Inflation!$D$126:$BD$166, MATCH($B235, Inflation!$B$126:$B$166,0), MATCH(AI$222, Inflation!$D$125:$BD$125,0))</f>
        <v>222007.09524721463</v>
      </c>
      <c r="AJ235" s="732">
        <f>(AJ189+AJ211)*INDEX(Inflation!$D$126:$BD$166, MATCH($B235, Inflation!$B$126:$B$166,0), MATCH(AJ$222, Inflation!$D$125:$BD$125,0))</f>
        <v>233265.82113555964</v>
      </c>
      <c r="AK235" s="732">
        <f>(AK189+AK211)*INDEX(Inflation!$D$126:$BD$166, MATCH($B235, Inflation!$B$126:$B$166,0), MATCH(AK$222, Inflation!$D$125:$BD$125,0))</f>
        <v>244919.86141611001</v>
      </c>
      <c r="AL235" s="732">
        <f>(AL189+AL211)*INDEX(Inflation!$D$126:$BD$166, MATCH($B235, Inflation!$B$126:$B$166,0), MATCH(AL$222, Inflation!$D$125:$BD$125,0))</f>
        <v>256973.83510468132</v>
      </c>
      <c r="AM235" s="732">
        <f>(AM189+AM211)*INDEX(Inflation!$D$126:$BD$166, MATCH($B235, Inflation!$B$126:$B$166,0), MATCH(AM$222, Inflation!$D$125:$BD$125,0))</f>
        <v>269432.63087940152</v>
      </c>
      <c r="AN235" s="732">
        <f>(AN189+AN211)*INDEX(Inflation!$D$126:$BD$166, MATCH($B235, Inflation!$B$126:$B$166,0), MATCH(AN$222, Inflation!$D$125:$BD$125,0))</f>
        <v>282305.64073278214</v>
      </c>
      <c r="AO235" s="732">
        <f>(AO189+AO211)*INDEX(Inflation!$D$126:$BD$166, MATCH($B235, Inflation!$B$126:$B$166,0), MATCH(AO$222, Inflation!$D$125:$BD$125,0))</f>
        <v>295601.24129834975</v>
      </c>
      <c r="AP235" s="732">
        <f>(AP189+AP211)*INDEX(Inflation!$D$126:$BD$166, MATCH($B235, Inflation!$B$126:$B$166,0), MATCH(AP$222, Inflation!$D$125:$BD$125,0))</f>
        <v>309326.62386113231</v>
      </c>
      <c r="AQ235" s="732">
        <f>(AQ189+AQ211)*INDEX(Inflation!$D$126:$BD$166, MATCH($B235, Inflation!$B$126:$B$166,0), MATCH(AQ$222, Inflation!$D$125:$BD$125,0))</f>
        <v>323497.24795608845</v>
      </c>
      <c r="AR235" s="732">
        <f>(AR189+AR211)*INDEX(Inflation!$D$126:$BD$166, MATCH($B235, Inflation!$B$126:$B$166,0), MATCH(AR$222, Inflation!$D$125:$BD$125,0))</f>
        <v>338131.81672521203</v>
      </c>
      <c r="AS235" s="732">
        <f>(AS189+AS211)*INDEX(Inflation!$D$126:$BD$166, MATCH($B235, Inflation!$B$126:$B$166,0), MATCH(AS$222, Inflation!$D$125:$BD$125,0))</f>
        <v>353250.05005158659</v>
      </c>
      <c r="AT235" s="732">
        <f>(AT189+AT211)*INDEX(Inflation!$D$126:$BD$166, MATCH($B235, Inflation!$B$126:$B$166,0), MATCH(AT$222, Inflation!$D$125:$BD$125,0))</f>
        <v>368820.71065852552</v>
      </c>
      <c r="AU235" s="732" t="e">
        <f>(AU189+AU211)*INDEX(Inflation!$D$126:$BD$166, MATCH($B235, Inflation!$B$126:$B$166,0), MATCH(AU$222, Inflation!$D$125:$BD$125,0))</f>
        <v>#N/A</v>
      </c>
      <c r="AV235" s="732" t="e">
        <f>(AV189+AV211)*INDEX(Inflation!$D$126:$BD$166, MATCH($B235, Inflation!$B$126:$B$166,0), MATCH(AV$222, Inflation!$D$125:$BD$125,0))</f>
        <v>#N/A</v>
      </c>
      <c r="AW235" s="732" t="e">
        <f>(AW189+AW211)*INDEX(Inflation!$D$126:$BD$166, MATCH($B235, Inflation!$B$126:$B$166,0), MATCH(AW$222, Inflation!$D$125:$BD$125,0))</f>
        <v>#N/A</v>
      </c>
      <c r="AX235" s="732" t="e">
        <f>(AX189+AX211)*INDEX(Inflation!$D$126:$BD$166, MATCH($B235, Inflation!$B$126:$B$166,0), MATCH(AX$222, Inflation!$D$125:$BD$125,0))</f>
        <v>#N/A</v>
      </c>
      <c r="AY235" s="732" t="e">
        <f>(AY189+AY211)*INDEX(Inflation!$D$126:$BD$166, MATCH($B235, Inflation!$B$126:$B$166,0), MATCH(AY$222, Inflation!$D$125:$BD$125,0))</f>
        <v>#N/A</v>
      </c>
      <c r="AZ235" s="732" t="e">
        <f>(AZ189+AZ211)*INDEX(Inflation!$D$126:$BD$166, MATCH($B235, Inflation!$B$126:$B$166,0), MATCH(AZ$222, Inflation!$D$125:$BD$125,0))</f>
        <v>#N/A</v>
      </c>
      <c r="BA235" s="732" t="e">
        <f>(BA189+BA211)*INDEX(Inflation!$D$126:$BD$166, MATCH($B235, Inflation!$B$126:$B$166,0), MATCH(BA$222, Inflation!$D$125:$BD$125,0))</f>
        <v>#N/A</v>
      </c>
      <c r="BB235" s="732" t="e">
        <f>(BB189+BB211)*INDEX(Inflation!$D$126:$BD$166, MATCH($B235, Inflation!$B$126:$B$166,0), MATCH(BB$222, Inflation!$D$125:$BD$125,0))</f>
        <v>#N/A</v>
      </c>
    </row>
    <row r="236" spans="2:54" ht="29">
      <c r="B236" s="6" t="s">
        <v>2870</v>
      </c>
      <c r="C236" s="142"/>
      <c r="D236" s="732">
        <f>(D190+D212)*INDEX(Inflation!$D$126:$BD$166, MATCH($B236, Inflation!$B$126:$B$166,0), MATCH(D$222, Inflation!$D$125:$BD$125,0))</f>
        <v>0</v>
      </c>
      <c r="E236" s="732">
        <f>(E190+E212)*INDEX(Inflation!$D$126:$BD$166, MATCH($B236, Inflation!$B$126:$B$166,0), MATCH(E$222, Inflation!$D$125:$BD$125,0))</f>
        <v>0</v>
      </c>
      <c r="F236" s="732">
        <f>(F190+F212)*INDEX(Inflation!$D$126:$BD$166, MATCH($B236, Inflation!$B$126:$B$166,0), MATCH(F$222, Inflation!$D$125:$BD$125,0))</f>
        <v>0</v>
      </c>
      <c r="G236" s="732">
        <f>(G190+G212)*INDEX(Inflation!$D$126:$BD$166, MATCH($B236, Inflation!$B$126:$B$166,0), MATCH(G$222, Inflation!$D$125:$BD$125,0))</f>
        <v>0</v>
      </c>
      <c r="H236" s="732">
        <f>(H190+H212)*INDEX(Inflation!$D$126:$BD$166, MATCH($B236, Inflation!$B$126:$B$166,0), MATCH(H$222, Inflation!$D$125:$BD$125,0))</f>
        <v>0</v>
      </c>
      <c r="I236" s="732">
        <f>(I190+I212)*INDEX(Inflation!$D$126:$BD$166, MATCH($B236, Inflation!$B$126:$B$166,0), MATCH(I$222, Inflation!$D$125:$BD$125,0))</f>
        <v>0</v>
      </c>
      <c r="J236" s="732">
        <f>(J190+J212)*INDEX(Inflation!$D$126:$BD$166, MATCH($B236, Inflation!$B$126:$B$166,0), MATCH(J$222, Inflation!$D$125:$BD$125,0))</f>
        <v>0</v>
      </c>
      <c r="K236" s="732">
        <f>(K190+K212)*INDEX(Inflation!$D$126:$BD$166, MATCH($B236, Inflation!$B$126:$B$166,0), MATCH(K$222, Inflation!$D$125:$BD$125,0))</f>
        <v>0</v>
      </c>
      <c r="L236" s="732">
        <f>(L190+L212)*INDEX(Inflation!$D$126:$BD$166, MATCH($B236, Inflation!$B$126:$B$166,0), MATCH(L$222, Inflation!$D$125:$BD$125,0))</f>
        <v>0</v>
      </c>
      <c r="M236" s="732">
        <f>(M190+M212)*INDEX(Inflation!$D$126:$BD$166, MATCH($B236, Inflation!$B$126:$B$166,0), MATCH(M$222, Inflation!$D$125:$BD$125,0))</f>
        <v>0</v>
      </c>
      <c r="N236" s="732">
        <f>(N190+N212)*INDEX(Inflation!$D$126:$BD$166, MATCH($B236, Inflation!$B$126:$B$166,0), MATCH(N$222, Inflation!$D$125:$BD$125,0))</f>
        <v>0</v>
      </c>
      <c r="O236" s="732">
        <f>(O190+O212)*INDEX(Inflation!$D$126:$BD$166, MATCH($B236, Inflation!$B$126:$B$166,0), MATCH(O$222, Inflation!$D$125:$BD$125,0))</f>
        <v>0</v>
      </c>
      <c r="P236" s="732">
        <f>(P190+P212)*INDEX(Inflation!$D$126:$BD$166, MATCH($B236, Inflation!$B$126:$B$166,0), MATCH(P$222, Inflation!$D$125:$BD$125,0))</f>
        <v>0</v>
      </c>
      <c r="Q236" s="732">
        <f>(Q190+Q212)*INDEX(Inflation!$D$126:$BD$166, MATCH($B236, Inflation!$B$126:$B$166,0), MATCH(Q$222, Inflation!$D$125:$BD$125,0))</f>
        <v>0</v>
      </c>
      <c r="R236" s="732">
        <f>(R190+R212)*INDEX(Inflation!$D$126:$BD$166, MATCH($B236, Inflation!$B$126:$B$166,0), MATCH(R$222, Inflation!$D$125:$BD$125,0))</f>
        <v>0</v>
      </c>
      <c r="S236" s="732">
        <f>(S190+S212)*INDEX(Inflation!$D$126:$BD$166, MATCH($B236, Inflation!$B$126:$B$166,0), MATCH(S$222, Inflation!$D$125:$BD$125,0))</f>
        <v>0</v>
      </c>
      <c r="T236" s="732">
        <f>(T190+T212)*INDEX(Inflation!$D$126:$BD$166, MATCH($B236, Inflation!$B$126:$B$166,0), MATCH(T$222, Inflation!$D$125:$BD$125,0))</f>
        <v>0</v>
      </c>
      <c r="U236" s="732">
        <f>(U190+U212)*INDEX(Inflation!$D$126:$BD$166, MATCH($B236, Inflation!$B$126:$B$166,0), MATCH(U$222, Inflation!$D$125:$BD$125,0))</f>
        <v>0</v>
      </c>
      <c r="V236" s="732">
        <f>(V190+V212)*INDEX(Inflation!$D$126:$BD$166, MATCH($B236, Inflation!$B$126:$B$166,0), MATCH(V$222, Inflation!$D$125:$BD$125,0))</f>
        <v>0</v>
      </c>
      <c r="W236" s="732">
        <f>(W190+W212)*INDEX(Inflation!$D$126:$BD$166, MATCH($B236, Inflation!$B$126:$B$166,0), MATCH(W$222, Inflation!$D$125:$BD$125,0))</f>
        <v>0</v>
      </c>
      <c r="X236" s="732">
        <f>(X190+X212)*INDEX(Inflation!$D$126:$BD$166, MATCH($B236, Inflation!$B$126:$B$166,0), MATCH(X$222, Inflation!$D$125:$BD$125,0))</f>
        <v>0</v>
      </c>
      <c r="Y236" s="732">
        <f>(Y190+Y212)*INDEX(Inflation!$D$126:$BD$166, MATCH($B236, Inflation!$B$126:$B$166,0), MATCH(Y$222, Inflation!$D$125:$BD$125,0))</f>
        <v>0</v>
      </c>
      <c r="Z236" s="732">
        <f>(Z190+Z212)*INDEX(Inflation!$D$126:$BD$166, MATCH($B236, Inflation!$B$126:$B$166,0), MATCH(Z$222, Inflation!$D$125:$BD$125,0))</f>
        <v>0</v>
      </c>
      <c r="AA236" s="732">
        <f>(AA190+AA212)*INDEX(Inflation!$D$126:$BD$166, MATCH($B236, Inflation!$B$126:$B$166,0), MATCH(AA$222, Inflation!$D$125:$BD$125,0))</f>
        <v>0</v>
      </c>
      <c r="AB236" s="732">
        <f>(AB190+AB212)*INDEX(Inflation!$D$126:$BD$166, MATCH($B236, Inflation!$B$126:$B$166,0), MATCH(AB$222, Inflation!$D$125:$BD$125,0))</f>
        <v>0</v>
      </c>
      <c r="AC236" s="732">
        <f>(AC190+AC212)*INDEX(Inflation!$D$126:$BD$166, MATCH($B236, Inflation!$B$126:$B$166,0), MATCH(AC$222, Inflation!$D$125:$BD$125,0))</f>
        <v>0</v>
      </c>
      <c r="AD236" s="732">
        <f>(AD190+AD212)*INDEX(Inflation!$D$126:$BD$166, MATCH($B236, Inflation!$B$126:$B$166,0), MATCH(AD$222, Inflation!$D$125:$BD$125,0))</f>
        <v>0</v>
      </c>
      <c r="AE236" s="732">
        <f>(AE190+AE212)*INDEX(Inflation!$D$126:$BD$166, MATCH($B236, Inflation!$B$126:$B$166,0), MATCH(AE$222, Inflation!$D$125:$BD$125,0))</f>
        <v>0</v>
      </c>
      <c r="AF236" s="732">
        <f>(AF190+AF212)*INDEX(Inflation!$D$126:$BD$166, MATCH($B236, Inflation!$B$126:$B$166,0), MATCH(AF$222, Inflation!$D$125:$BD$125,0))</f>
        <v>0</v>
      </c>
      <c r="AG236" s="732">
        <f>(AG190+AG212)*INDEX(Inflation!$D$126:$BD$166, MATCH($B236, Inflation!$B$126:$B$166,0), MATCH(AG$222, Inflation!$D$125:$BD$125,0))</f>
        <v>0</v>
      </c>
      <c r="AH236" s="732">
        <f>(AH190+AH212)*INDEX(Inflation!$D$126:$BD$166, MATCH($B236, Inflation!$B$126:$B$166,0), MATCH(AH$222, Inflation!$D$125:$BD$125,0))</f>
        <v>0</v>
      </c>
      <c r="AI236" s="732">
        <f>(AI190+AI212)*INDEX(Inflation!$D$126:$BD$166, MATCH($B236, Inflation!$B$126:$B$166,0), MATCH(AI$222, Inflation!$D$125:$BD$125,0))</f>
        <v>0</v>
      </c>
      <c r="AJ236" s="732">
        <f>(AJ190+AJ212)*INDEX(Inflation!$D$126:$BD$166, MATCH($B236, Inflation!$B$126:$B$166,0), MATCH(AJ$222, Inflation!$D$125:$BD$125,0))</f>
        <v>0</v>
      </c>
      <c r="AK236" s="732">
        <f>(AK190+AK212)*INDEX(Inflation!$D$126:$BD$166, MATCH($B236, Inflation!$B$126:$B$166,0), MATCH(AK$222, Inflation!$D$125:$BD$125,0))</f>
        <v>0</v>
      </c>
      <c r="AL236" s="732">
        <f>(AL190+AL212)*INDEX(Inflation!$D$126:$BD$166, MATCH($B236, Inflation!$B$126:$B$166,0), MATCH(AL$222, Inflation!$D$125:$BD$125,0))</f>
        <v>0</v>
      </c>
      <c r="AM236" s="732">
        <f>(AM190+AM212)*INDEX(Inflation!$D$126:$BD$166, MATCH($B236, Inflation!$B$126:$B$166,0), MATCH(AM$222, Inflation!$D$125:$BD$125,0))</f>
        <v>0</v>
      </c>
      <c r="AN236" s="732">
        <f>(AN190+AN212)*INDEX(Inflation!$D$126:$BD$166, MATCH($B236, Inflation!$B$126:$B$166,0), MATCH(AN$222, Inflation!$D$125:$BD$125,0))</f>
        <v>0</v>
      </c>
      <c r="AO236" s="732">
        <f>(AO190+AO212)*INDEX(Inflation!$D$126:$BD$166, MATCH($B236, Inflation!$B$126:$B$166,0), MATCH(AO$222, Inflation!$D$125:$BD$125,0))</f>
        <v>0</v>
      </c>
      <c r="AP236" s="732">
        <f>(AP190+AP212)*INDEX(Inflation!$D$126:$BD$166, MATCH($B236, Inflation!$B$126:$B$166,0), MATCH(AP$222, Inflation!$D$125:$BD$125,0))</f>
        <v>0</v>
      </c>
      <c r="AQ236" s="732">
        <f>(AQ190+AQ212)*INDEX(Inflation!$D$126:$BD$166, MATCH($B236, Inflation!$B$126:$B$166,0), MATCH(AQ$222, Inflation!$D$125:$BD$125,0))</f>
        <v>0</v>
      </c>
      <c r="AR236" s="732">
        <f>(AR190+AR212)*INDEX(Inflation!$D$126:$BD$166, MATCH($B236, Inflation!$B$126:$B$166,0), MATCH(AR$222, Inflation!$D$125:$BD$125,0))</f>
        <v>0</v>
      </c>
      <c r="AS236" s="732">
        <f>(AS190+AS212)*INDEX(Inflation!$D$126:$BD$166, MATCH($B236, Inflation!$B$126:$B$166,0), MATCH(AS$222, Inflation!$D$125:$BD$125,0))</f>
        <v>0</v>
      </c>
      <c r="AT236" s="732">
        <f>(AT190+AT212)*INDEX(Inflation!$D$126:$BD$166, MATCH($B236, Inflation!$B$126:$B$166,0), MATCH(AT$222, Inflation!$D$125:$BD$125,0))</f>
        <v>0</v>
      </c>
      <c r="AU236" s="732" t="e">
        <f>(AU190+AU212)*INDEX(Inflation!$D$126:$BD$166, MATCH($B236, Inflation!$B$126:$B$166,0), MATCH(AU$222, Inflation!$D$125:$BD$125,0))</f>
        <v>#N/A</v>
      </c>
      <c r="AV236" s="732" t="e">
        <f>(AV190+AV212)*INDEX(Inflation!$D$126:$BD$166, MATCH($B236, Inflation!$B$126:$B$166,0), MATCH(AV$222, Inflation!$D$125:$BD$125,0))</f>
        <v>#N/A</v>
      </c>
      <c r="AW236" s="732" t="e">
        <f>(AW190+AW212)*INDEX(Inflation!$D$126:$BD$166, MATCH($B236, Inflation!$B$126:$B$166,0), MATCH(AW$222, Inflation!$D$125:$BD$125,0))</f>
        <v>#N/A</v>
      </c>
      <c r="AX236" s="732" t="e">
        <f>(AX190+AX212)*INDEX(Inflation!$D$126:$BD$166, MATCH($B236, Inflation!$B$126:$B$166,0), MATCH(AX$222, Inflation!$D$125:$BD$125,0))</f>
        <v>#N/A</v>
      </c>
      <c r="AY236" s="732" t="e">
        <f>(AY190+AY212)*INDEX(Inflation!$D$126:$BD$166, MATCH($B236, Inflation!$B$126:$B$166,0), MATCH(AY$222, Inflation!$D$125:$BD$125,0))</f>
        <v>#N/A</v>
      </c>
      <c r="AZ236" s="732" t="e">
        <f>(AZ190+AZ212)*INDEX(Inflation!$D$126:$BD$166, MATCH($B236, Inflation!$B$126:$B$166,0), MATCH(AZ$222, Inflation!$D$125:$BD$125,0))</f>
        <v>#N/A</v>
      </c>
      <c r="BA236" s="732" t="e">
        <f>(BA190+BA212)*INDEX(Inflation!$D$126:$BD$166, MATCH($B236, Inflation!$B$126:$B$166,0), MATCH(BA$222, Inflation!$D$125:$BD$125,0))</f>
        <v>#N/A</v>
      </c>
      <c r="BB236" s="732" t="e">
        <f>(BB190+BB212)*INDEX(Inflation!$D$126:$BD$166, MATCH($B236, Inflation!$B$126:$B$166,0), MATCH(BB$222, Inflation!$D$125:$BD$125,0))</f>
        <v>#N/A</v>
      </c>
    </row>
    <row r="237" spans="2:54">
      <c r="B237" s="6" t="s">
        <v>102</v>
      </c>
      <c r="C237" s="142"/>
      <c r="D237" s="732">
        <f>(D191+D213)*INDEX(Inflation!$D$126:$BD$166, MATCH($B237, Inflation!$B$126:$B$166,0), MATCH(D$222, Inflation!$D$125:$BD$125,0))</f>
        <v>0</v>
      </c>
      <c r="E237" s="732">
        <f>(E191+E213)*INDEX(Inflation!$D$126:$BD$166, MATCH($B237, Inflation!$B$126:$B$166,0), MATCH(E$222, Inflation!$D$125:$BD$125,0))</f>
        <v>0</v>
      </c>
      <c r="F237" s="732">
        <f>(F191+F213)*INDEX(Inflation!$D$126:$BD$166, MATCH($B237, Inflation!$B$126:$B$166,0), MATCH(F$222, Inflation!$D$125:$BD$125,0))</f>
        <v>0</v>
      </c>
      <c r="G237" s="732">
        <f>(G191+G213)*INDEX(Inflation!$D$126:$BD$166, MATCH($B237, Inflation!$B$126:$B$166,0), MATCH(G$222, Inflation!$D$125:$BD$125,0))</f>
        <v>0</v>
      </c>
      <c r="H237" s="732">
        <f>(H191+H213)*INDEX(Inflation!$D$126:$BD$166, MATCH($B237, Inflation!$B$126:$B$166,0), MATCH(H$222, Inflation!$D$125:$BD$125,0))</f>
        <v>0</v>
      </c>
      <c r="I237" s="732">
        <f>(I191+I213)*INDEX(Inflation!$D$126:$BD$166, MATCH($B237, Inflation!$B$126:$B$166,0), MATCH(I$222, Inflation!$D$125:$BD$125,0))</f>
        <v>0</v>
      </c>
      <c r="J237" s="732">
        <f>(J191+J213)*INDEX(Inflation!$D$126:$BD$166, MATCH($B237, Inflation!$B$126:$B$166,0), MATCH(J$222, Inflation!$D$125:$BD$125,0))</f>
        <v>0</v>
      </c>
      <c r="K237" s="732">
        <f>(K191+K213)*INDEX(Inflation!$D$126:$BD$166, MATCH($B237, Inflation!$B$126:$B$166,0), MATCH(K$222, Inflation!$D$125:$BD$125,0))</f>
        <v>0</v>
      </c>
      <c r="L237" s="732">
        <f>(L191+L213)*INDEX(Inflation!$D$126:$BD$166, MATCH($B237, Inflation!$B$126:$B$166,0), MATCH(L$222, Inflation!$D$125:$BD$125,0))</f>
        <v>0</v>
      </c>
      <c r="M237" s="732">
        <f>(M191+M213)*INDEX(Inflation!$D$126:$BD$166, MATCH($B237, Inflation!$B$126:$B$166,0), MATCH(M$222, Inflation!$D$125:$BD$125,0))</f>
        <v>0</v>
      </c>
      <c r="N237" s="732">
        <f>(N191+N213)*INDEX(Inflation!$D$126:$BD$166, MATCH($B237, Inflation!$B$126:$B$166,0), MATCH(N$222, Inflation!$D$125:$BD$125,0))</f>
        <v>0</v>
      </c>
      <c r="O237" s="732">
        <f>(O191+O213)*INDEX(Inflation!$D$126:$BD$166, MATCH($B237, Inflation!$B$126:$B$166,0), MATCH(O$222, Inflation!$D$125:$BD$125,0))</f>
        <v>0</v>
      </c>
      <c r="P237" s="732">
        <f>(P191+P213)*INDEX(Inflation!$D$126:$BD$166, MATCH($B237, Inflation!$B$126:$B$166,0), MATCH(P$222, Inflation!$D$125:$BD$125,0))</f>
        <v>0</v>
      </c>
      <c r="Q237" s="732">
        <f>(Q191+Q213)*INDEX(Inflation!$D$126:$BD$166, MATCH($B237, Inflation!$B$126:$B$166,0), MATCH(Q$222, Inflation!$D$125:$BD$125,0))</f>
        <v>0</v>
      </c>
      <c r="R237" s="732">
        <f>(R191+R213)*INDEX(Inflation!$D$126:$BD$166, MATCH($B237, Inflation!$B$126:$B$166,0), MATCH(R$222, Inflation!$D$125:$BD$125,0))</f>
        <v>0</v>
      </c>
      <c r="S237" s="732">
        <f>(S191+S213)*INDEX(Inflation!$D$126:$BD$166, MATCH($B237, Inflation!$B$126:$B$166,0), MATCH(S$222, Inflation!$D$125:$BD$125,0))</f>
        <v>0</v>
      </c>
      <c r="T237" s="732">
        <f>(T191+T213)*INDEX(Inflation!$D$126:$BD$166, MATCH($B237, Inflation!$B$126:$B$166,0), MATCH(T$222, Inflation!$D$125:$BD$125,0))</f>
        <v>0</v>
      </c>
      <c r="U237" s="732">
        <f>(U191+U213)*INDEX(Inflation!$D$126:$BD$166, MATCH($B237, Inflation!$B$126:$B$166,0), MATCH(U$222, Inflation!$D$125:$BD$125,0))</f>
        <v>0</v>
      </c>
      <c r="V237" s="732">
        <f>(V191+V213)*INDEX(Inflation!$D$126:$BD$166, MATCH($B237, Inflation!$B$126:$B$166,0), MATCH(V$222, Inflation!$D$125:$BD$125,0))</f>
        <v>0</v>
      </c>
      <c r="W237" s="732">
        <f>(W191+W213)*INDEX(Inflation!$D$126:$BD$166, MATCH($B237, Inflation!$B$126:$B$166,0), MATCH(W$222, Inflation!$D$125:$BD$125,0))</f>
        <v>0</v>
      </c>
      <c r="X237" s="732">
        <f>(X191+X213)*INDEX(Inflation!$D$126:$BD$166, MATCH($B237, Inflation!$B$126:$B$166,0), MATCH(X$222, Inflation!$D$125:$BD$125,0))</f>
        <v>0</v>
      </c>
      <c r="Y237" s="732">
        <f>(Y191+Y213)*INDEX(Inflation!$D$126:$BD$166, MATCH($B237, Inflation!$B$126:$B$166,0), MATCH(Y$222, Inflation!$D$125:$BD$125,0))</f>
        <v>0</v>
      </c>
      <c r="Z237" s="732">
        <f>(Z191+Z213)*INDEX(Inflation!$D$126:$BD$166, MATCH($B237, Inflation!$B$126:$B$166,0), MATCH(Z$222, Inflation!$D$125:$BD$125,0))</f>
        <v>0</v>
      </c>
      <c r="AA237" s="732">
        <f>(AA191+AA213)*INDEX(Inflation!$D$126:$BD$166, MATCH($B237, Inflation!$B$126:$B$166,0), MATCH(AA$222, Inflation!$D$125:$BD$125,0))</f>
        <v>0</v>
      </c>
      <c r="AB237" s="732">
        <f>(AB191+AB213)*INDEX(Inflation!$D$126:$BD$166, MATCH($B237, Inflation!$B$126:$B$166,0), MATCH(AB$222, Inflation!$D$125:$BD$125,0))</f>
        <v>0</v>
      </c>
      <c r="AC237" s="732">
        <f>(AC191+AC213)*INDEX(Inflation!$D$126:$BD$166, MATCH($B237, Inflation!$B$126:$B$166,0), MATCH(AC$222, Inflation!$D$125:$BD$125,0))</f>
        <v>0</v>
      </c>
      <c r="AD237" s="732">
        <f>(AD191+AD213)*INDEX(Inflation!$D$126:$BD$166, MATCH($B237, Inflation!$B$126:$B$166,0), MATCH(AD$222, Inflation!$D$125:$BD$125,0))</f>
        <v>0</v>
      </c>
      <c r="AE237" s="732">
        <f>(AE191+AE213)*INDEX(Inflation!$D$126:$BD$166, MATCH($B237, Inflation!$B$126:$B$166,0), MATCH(AE$222, Inflation!$D$125:$BD$125,0))</f>
        <v>0</v>
      </c>
      <c r="AF237" s="732">
        <f>(AF191+AF213)*INDEX(Inflation!$D$126:$BD$166, MATCH($B237, Inflation!$B$126:$B$166,0), MATCH(AF$222, Inflation!$D$125:$BD$125,0))</f>
        <v>0</v>
      </c>
      <c r="AG237" s="732">
        <f>(AG191+AG213)*INDEX(Inflation!$D$126:$BD$166, MATCH($B237, Inflation!$B$126:$B$166,0), MATCH(AG$222, Inflation!$D$125:$BD$125,0))</f>
        <v>0</v>
      </c>
      <c r="AH237" s="732">
        <f>(AH191+AH213)*INDEX(Inflation!$D$126:$BD$166, MATCH($B237, Inflation!$B$126:$B$166,0), MATCH(AH$222, Inflation!$D$125:$BD$125,0))</f>
        <v>0</v>
      </c>
      <c r="AI237" s="732">
        <f>(AI191+AI213)*INDEX(Inflation!$D$126:$BD$166, MATCH($B237, Inflation!$B$126:$B$166,0), MATCH(AI$222, Inflation!$D$125:$BD$125,0))</f>
        <v>0</v>
      </c>
      <c r="AJ237" s="732">
        <f>(AJ191+AJ213)*INDEX(Inflation!$D$126:$BD$166, MATCH($B237, Inflation!$B$126:$B$166,0), MATCH(AJ$222, Inflation!$D$125:$BD$125,0))</f>
        <v>0</v>
      </c>
      <c r="AK237" s="732">
        <f>(AK191+AK213)*INDEX(Inflation!$D$126:$BD$166, MATCH($B237, Inflation!$B$126:$B$166,0), MATCH(AK$222, Inflation!$D$125:$BD$125,0))</f>
        <v>0</v>
      </c>
      <c r="AL237" s="732">
        <f>(AL191+AL213)*INDEX(Inflation!$D$126:$BD$166, MATCH($B237, Inflation!$B$126:$B$166,0), MATCH(AL$222, Inflation!$D$125:$BD$125,0))</f>
        <v>0</v>
      </c>
      <c r="AM237" s="732">
        <f>(AM191+AM213)*INDEX(Inflation!$D$126:$BD$166, MATCH($B237, Inflation!$B$126:$B$166,0), MATCH(AM$222, Inflation!$D$125:$BD$125,0))</f>
        <v>0</v>
      </c>
      <c r="AN237" s="732">
        <f>(AN191+AN213)*INDEX(Inflation!$D$126:$BD$166, MATCH($B237, Inflation!$B$126:$B$166,0), MATCH(AN$222, Inflation!$D$125:$BD$125,0))</f>
        <v>0</v>
      </c>
      <c r="AO237" s="732">
        <f>(AO191+AO213)*INDEX(Inflation!$D$126:$BD$166, MATCH($B237, Inflation!$B$126:$B$166,0), MATCH(AO$222, Inflation!$D$125:$BD$125,0))</f>
        <v>0</v>
      </c>
      <c r="AP237" s="732">
        <f>(AP191+AP213)*INDEX(Inflation!$D$126:$BD$166, MATCH($B237, Inflation!$B$126:$B$166,0), MATCH(AP$222, Inflation!$D$125:$BD$125,0))</f>
        <v>0</v>
      </c>
      <c r="AQ237" s="732">
        <f>(AQ191+AQ213)*INDEX(Inflation!$D$126:$BD$166, MATCH($B237, Inflation!$B$126:$B$166,0), MATCH(AQ$222, Inflation!$D$125:$BD$125,0))</f>
        <v>0</v>
      </c>
      <c r="AR237" s="732">
        <f>(AR191+AR213)*INDEX(Inflation!$D$126:$BD$166, MATCH($B237, Inflation!$B$126:$B$166,0), MATCH(AR$222, Inflation!$D$125:$BD$125,0))</f>
        <v>0</v>
      </c>
      <c r="AS237" s="732">
        <f>(AS191+AS213)*INDEX(Inflation!$D$126:$BD$166, MATCH($B237, Inflation!$B$126:$B$166,0), MATCH(AS$222, Inflation!$D$125:$BD$125,0))</f>
        <v>0</v>
      </c>
      <c r="AT237" s="732">
        <f>(AT191+AT213)*INDEX(Inflation!$D$126:$BD$166, MATCH($B237, Inflation!$B$126:$B$166,0), MATCH(AT$222, Inflation!$D$125:$BD$125,0))</f>
        <v>0</v>
      </c>
      <c r="AU237" s="732" t="e">
        <f>(AU191+AU213)*INDEX(Inflation!$D$126:$BD$166, MATCH($B237, Inflation!$B$126:$B$166,0), MATCH(AU$222, Inflation!$D$125:$BD$125,0))</f>
        <v>#N/A</v>
      </c>
      <c r="AV237" s="732" t="e">
        <f>(AV191+AV213)*INDEX(Inflation!$D$126:$BD$166, MATCH($B237, Inflation!$B$126:$B$166,0), MATCH(AV$222, Inflation!$D$125:$BD$125,0))</f>
        <v>#N/A</v>
      </c>
      <c r="AW237" s="732" t="e">
        <f>(AW191+AW213)*INDEX(Inflation!$D$126:$BD$166, MATCH($B237, Inflation!$B$126:$B$166,0), MATCH(AW$222, Inflation!$D$125:$BD$125,0))</f>
        <v>#N/A</v>
      </c>
      <c r="AX237" s="732" t="e">
        <f>(AX191+AX213)*INDEX(Inflation!$D$126:$BD$166, MATCH($B237, Inflation!$B$126:$B$166,0), MATCH(AX$222, Inflation!$D$125:$BD$125,0))</f>
        <v>#N/A</v>
      </c>
      <c r="AY237" s="732" t="e">
        <f>(AY191+AY213)*INDEX(Inflation!$D$126:$BD$166, MATCH($B237, Inflation!$B$126:$B$166,0), MATCH(AY$222, Inflation!$D$125:$BD$125,0))</f>
        <v>#N/A</v>
      </c>
      <c r="AZ237" s="732" t="e">
        <f>(AZ191+AZ213)*INDEX(Inflation!$D$126:$BD$166, MATCH($B237, Inflation!$B$126:$B$166,0), MATCH(AZ$222, Inflation!$D$125:$BD$125,0))</f>
        <v>#N/A</v>
      </c>
      <c r="BA237" s="732" t="e">
        <f>(BA191+BA213)*INDEX(Inflation!$D$126:$BD$166, MATCH($B237, Inflation!$B$126:$B$166,0), MATCH(BA$222, Inflation!$D$125:$BD$125,0))</f>
        <v>#N/A</v>
      </c>
      <c r="BB237" s="732" t="e">
        <f>(BB191+BB213)*INDEX(Inflation!$D$126:$BD$166, MATCH($B237, Inflation!$B$126:$B$166,0), MATCH(BB$222, Inflation!$D$125:$BD$125,0))</f>
        <v>#N/A</v>
      </c>
    </row>
    <row r="238" spans="2:54">
      <c r="B238" s="6" t="s">
        <v>2831</v>
      </c>
      <c r="C238" s="142"/>
      <c r="D238" s="732">
        <f>(D192+D214)*INDEX(Inflation!$D$126:$BD$166, MATCH($B238, Inflation!$B$126:$B$166,0), MATCH(D$222, Inflation!$D$125:$BD$125,0))</f>
        <v>37040.978625988238</v>
      </c>
      <c r="E238" s="732">
        <f>(E192+E214)*INDEX(Inflation!$D$126:$BD$166, MATCH($B238, Inflation!$B$126:$B$166,0), MATCH(E$222, Inflation!$D$125:$BD$125,0))</f>
        <v>42227.663729343549</v>
      </c>
      <c r="F238" s="732">
        <f>(F192+F214)*INDEX(Inflation!$D$126:$BD$166, MATCH($B238, Inflation!$B$126:$B$166,0), MATCH(F$222, Inflation!$D$125:$BD$125,0))</f>
        <v>47687.060612440946</v>
      </c>
      <c r="G238" s="732">
        <f>(G192+G214)*INDEX(Inflation!$D$126:$BD$166, MATCH($B238, Inflation!$B$126:$B$166,0), MATCH(G$222, Inflation!$D$125:$BD$125,0))</f>
        <v>53436.530644452592</v>
      </c>
      <c r="H238" s="732">
        <f>(H192+H214)*INDEX(Inflation!$D$126:$BD$166, MATCH($B238, Inflation!$B$126:$B$166,0), MATCH(H$222, Inflation!$D$125:$BD$125,0))</f>
        <v>59498.511782840324</v>
      </c>
      <c r="I238" s="732">
        <f>(I192+I214)*INDEX(Inflation!$D$126:$BD$166, MATCH($B238, Inflation!$B$126:$B$166,0), MATCH(I$222, Inflation!$D$125:$BD$125,0))</f>
        <v>65891.85377018209</v>
      </c>
      <c r="J238" s="732">
        <f>(J192+J214)*INDEX(Inflation!$D$126:$BD$166, MATCH($B238, Inflation!$B$126:$B$166,0), MATCH(J$222, Inflation!$D$125:$BD$125,0))</f>
        <v>72626.359799038852</v>
      </c>
      <c r="K238" s="732">
        <f>(K192+K214)*INDEX(Inflation!$D$126:$BD$166, MATCH($B238, Inflation!$B$126:$B$166,0), MATCH(K$222, Inflation!$D$125:$BD$125,0))</f>
        <v>79718.335279255713</v>
      </c>
      <c r="L238" s="732">
        <f>(L192+L214)*INDEX(Inflation!$D$126:$BD$166, MATCH($B238, Inflation!$B$126:$B$166,0), MATCH(L$222, Inflation!$D$125:$BD$125,0))</f>
        <v>87220.497521397396</v>
      </c>
      <c r="M238" s="732">
        <f>(M192+M214)*INDEX(Inflation!$D$126:$BD$166, MATCH($B238, Inflation!$B$126:$B$166,0), MATCH(M$222, Inflation!$D$125:$BD$125,0))</f>
        <v>95130.699979676341</v>
      </c>
      <c r="N238" s="732">
        <f>(N192+N214)*INDEX(Inflation!$D$126:$BD$166, MATCH($B238, Inflation!$B$126:$B$166,0), MATCH(N$222, Inflation!$D$125:$BD$125,0))</f>
        <v>103453.50204657333</v>
      </c>
      <c r="O238" s="732">
        <f>(O192+O214)*INDEX(Inflation!$D$126:$BD$166, MATCH($B238, Inflation!$B$126:$B$166,0), MATCH(O$222, Inflation!$D$125:$BD$125,0))</f>
        <v>112197.57832796982</v>
      </c>
      <c r="P238" s="732">
        <f>(P192+P214)*INDEX(Inflation!$D$126:$BD$166, MATCH($B238, Inflation!$B$126:$B$166,0), MATCH(P$222, Inflation!$D$125:$BD$125,0))</f>
        <v>121372.55841759457</v>
      </c>
      <c r="Q238" s="732">
        <f>(Q192+Q214)*INDEX(Inflation!$D$126:$BD$166, MATCH($B238, Inflation!$B$126:$B$166,0), MATCH(Q$222, Inflation!$D$125:$BD$125,0))</f>
        <v>130998.76104253123</v>
      </c>
      <c r="R238" s="732">
        <f>(R192+R214)*INDEX(Inflation!$D$126:$BD$166, MATCH($B238, Inflation!$B$126:$B$166,0), MATCH(R$222, Inflation!$D$125:$BD$125,0))</f>
        <v>141100.54435815933</v>
      </c>
      <c r="S238" s="732">
        <f>(S192+S214)*INDEX(Inflation!$D$126:$BD$166, MATCH($B238, Inflation!$B$126:$B$166,0), MATCH(S$222, Inflation!$D$125:$BD$125,0))</f>
        <v>151697.27863444449</v>
      </c>
      <c r="T238" s="732">
        <f>(T192+T214)*INDEX(Inflation!$D$126:$BD$166, MATCH($B238, Inflation!$B$126:$B$166,0), MATCH(T$222, Inflation!$D$125:$BD$125,0))</f>
        <v>162800.08330612659</v>
      </c>
      <c r="U238" s="732">
        <f>(U192+U214)*INDEX(Inflation!$D$126:$BD$166, MATCH($B238, Inflation!$B$126:$B$166,0), MATCH(U$222, Inflation!$D$125:$BD$125,0))</f>
        <v>174427.53606168457</v>
      </c>
      <c r="V238" s="732">
        <f>(V192+V214)*INDEX(Inflation!$D$126:$BD$166, MATCH($B238, Inflation!$B$126:$B$166,0), MATCH(V$222, Inflation!$D$125:$BD$125,0))</f>
        <v>186617.3883364287</v>
      </c>
      <c r="W238" s="732">
        <f>(W192+W214)*INDEX(Inflation!$D$126:$BD$166, MATCH($B238, Inflation!$B$126:$B$166,0), MATCH(W$222, Inflation!$D$125:$BD$125,0))</f>
        <v>199377.37462228644</v>
      </c>
      <c r="X238" s="732">
        <f>(X192+X214)*INDEX(Inflation!$D$126:$BD$166, MATCH($B238, Inflation!$B$126:$B$166,0), MATCH(X$222, Inflation!$D$125:$BD$125,0))</f>
        <v>212723.10179025924</v>
      </c>
      <c r="Y238" s="732">
        <f>(Y192+Y214)*INDEX(Inflation!$D$126:$BD$166, MATCH($B238, Inflation!$B$126:$B$166,0), MATCH(Y$222, Inflation!$D$125:$BD$125,0))</f>
        <v>226673.42979736417</v>
      </c>
      <c r="Z238" s="732">
        <f>(Z192+Z214)*INDEX(Inflation!$D$126:$BD$166, MATCH($B238, Inflation!$B$126:$B$166,0), MATCH(Z$222, Inflation!$D$125:$BD$125,0))</f>
        <v>241256.90742658093</v>
      </c>
      <c r="AA238" s="732">
        <f>(AA192+AA214)*INDEX(Inflation!$D$126:$BD$166, MATCH($B238, Inflation!$B$126:$B$166,0), MATCH(AA$222, Inflation!$D$125:$BD$125,0))</f>
        <v>256494.56462648028</v>
      </c>
      <c r="AB238" s="732">
        <f>(AB192+AB214)*INDEX(Inflation!$D$126:$BD$166, MATCH($B238, Inflation!$B$126:$B$166,0), MATCH(AB$222, Inflation!$D$125:$BD$125,0))</f>
        <v>272405.83797379507</v>
      </c>
      <c r="AC238" s="732">
        <f>(AC192+AC214)*INDEX(Inflation!$D$126:$BD$166, MATCH($B238, Inflation!$B$126:$B$166,0), MATCH(AC$222, Inflation!$D$125:$BD$125,0))</f>
        <v>289010.52792225144</v>
      </c>
      <c r="AD238" s="732">
        <f>(AD192+AD214)*INDEX(Inflation!$D$126:$BD$166, MATCH($B238, Inflation!$B$126:$B$166,0), MATCH(AD$222, Inflation!$D$125:$BD$125,0))</f>
        <v>306328.1265941126</v>
      </c>
      <c r="AE238" s="732">
        <f>(AE192+AE214)*INDEX(Inflation!$D$126:$BD$166, MATCH($B238, Inflation!$B$126:$B$166,0), MATCH(AE$222, Inflation!$D$125:$BD$125,0))</f>
        <v>324378.54763390747</v>
      </c>
      <c r="AF238" s="732">
        <f>(AF192+AF214)*INDEX(Inflation!$D$126:$BD$166, MATCH($B238, Inflation!$B$126:$B$166,0), MATCH(AF$222, Inflation!$D$125:$BD$125,0))</f>
        <v>343181.7102247916</v>
      </c>
      <c r="AG238" s="732">
        <f>(AG192+AG214)*INDEX(Inflation!$D$126:$BD$166, MATCH($B238, Inflation!$B$126:$B$166,0), MATCH(AG$222, Inflation!$D$125:$BD$125,0))</f>
        <v>362761.32778960594</v>
      </c>
      <c r="AH238" s="732">
        <f>(AH192+AH214)*INDEX(Inflation!$D$126:$BD$166, MATCH($B238, Inflation!$B$126:$B$166,0), MATCH(AH$222, Inflation!$D$125:$BD$125,0))</f>
        <v>383149.82502659748</v>
      </c>
      <c r="AI238" s="732">
        <f>(AI192+AI214)*INDEX(Inflation!$D$126:$BD$166, MATCH($B238, Inflation!$B$126:$B$166,0), MATCH(AI$222, Inflation!$D$125:$BD$125,0))</f>
        <v>404374.43414323725</v>
      </c>
      <c r="AJ238" s="732">
        <f>(AJ192+AJ214)*INDEX(Inflation!$D$126:$BD$166, MATCH($B238, Inflation!$B$126:$B$166,0), MATCH(AJ$222, Inflation!$D$125:$BD$125,0))</f>
        <v>426466.06635036331</v>
      </c>
      <c r="AK238" s="732">
        <f>(AK192+AK214)*INDEX(Inflation!$D$126:$BD$166, MATCH($B238, Inflation!$B$126:$B$166,0), MATCH(AK$222, Inflation!$D$125:$BD$125,0))</f>
        <v>449442.26598867058</v>
      </c>
      <c r="AL238" s="732">
        <f>(AL192+AL214)*INDEX(Inflation!$D$126:$BD$166, MATCH($B238, Inflation!$B$126:$B$166,0), MATCH(AL$222, Inflation!$D$125:$BD$125,0))</f>
        <v>473320.53619169921</v>
      </c>
      <c r="AM238" s="732">
        <f>(AM192+AM214)*INDEX(Inflation!$D$126:$BD$166, MATCH($B238, Inflation!$B$126:$B$166,0), MATCH(AM$222, Inflation!$D$125:$BD$125,0))</f>
        <v>498119.07042051718</v>
      </c>
      <c r="AN238" s="732">
        <f>(AN192+AN214)*INDEX(Inflation!$D$126:$BD$166, MATCH($B238, Inflation!$B$126:$B$166,0), MATCH(AN$222, Inflation!$D$125:$BD$125,0))</f>
        <v>523864.61957777617</v>
      </c>
      <c r="AO238" s="732">
        <f>(AO192+AO214)*INDEX(Inflation!$D$126:$BD$166, MATCH($B238, Inflation!$B$126:$B$166,0), MATCH(AO$222, Inflation!$D$125:$BD$125,0))</f>
        <v>550582.3704863129</v>
      </c>
      <c r="AP238" s="732">
        <f>(AP192+AP214)*INDEX(Inflation!$D$126:$BD$166, MATCH($B238, Inflation!$B$126:$B$166,0), MATCH(AP$222, Inflation!$D$125:$BD$125,0))</f>
        <v>578295.59565949091</v>
      </c>
      <c r="AQ238" s="732">
        <f>(AQ192+AQ214)*INDEX(Inflation!$D$126:$BD$166, MATCH($B238, Inflation!$B$126:$B$166,0), MATCH(AQ$222, Inflation!$D$125:$BD$125,0))</f>
        <v>607043.35427227849</v>
      </c>
      <c r="AR238" s="732">
        <f>(AR192+AR214)*INDEX(Inflation!$D$126:$BD$166, MATCH($B238, Inflation!$B$126:$B$166,0), MATCH(AR$222, Inflation!$D$125:$BD$125,0))</f>
        <v>636871.31984280481</v>
      </c>
      <c r="AS238" s="732">
        <f>(AS192+AS214)*INDEX(Inflation!$D$126:$BD$166, MATCH($B238, Inflation!$B$126:$B$166,0), MATCH(AS$222, Inflation!$D$125:$BD$125,0))</f>
        <v>667827.68867718137</v>
      </c>
      <c r="AT238" s="732">
        <f>(AT192+AT214)*INDEX(Inflation!$D$126:$BD$166, MATCH($B238, Inflation!$B$126:$B$166,0), MATCH(AT$222, Inflation!$D$125:$BD$125,0))</f>
        <v>699864.59674349835</v>
      </c>
      <c r="AU238" s="732" t="e">
        <f>(AU192+AU214)*INDEX(Inflation!$D$126:$BD$166, MATCH($B238, Inflation!$B$126:$B$166,0), MATCH(AU$222, Inflation!$D$125:$BD$125,0))</f>
        <v>#N/A</v>
      </c>
      <c r="AV238" s="732" t="e">
        <f>(AV192+AV214)*INDEX(Inflation!$D$126:$BD$166, MATCH($B238, Inflation!$B$126:$B$166,0), MATCH(AV$222, Inflation!$D$125:$BD$125,0))</f>
        <v>#N/A</v>
      </c>
      <c r="AW238" s="732" t="e">
        <f>(AW192+AW214)*INDEX(Inflation!$D$126:$BD$166, MATCH($B238, Inflation!$B$126:$B$166,0), MATCH(AW$222, Inflation!$D$125:$BD$125,0))</f>
        <v>#N/A</v>
      </c>
      <c r="AX238" s="732" t="e">
        <f>(AX192+AX214)*INDEX(Inflation!$D$126:$BD$166, MATCH($B238, Inflation!$B$126:$B$166,0), MATCH(AX$222, Inflation!$D$125:$BD$125,0))</f>
        <v>#N/A</v>
      </c>
      <c r="AY238" s="732" t="e">
        <f>(AY192+AY214)*INDEX(Inflation!$D$126:$BD$166, MATCH($B238, Inflation!$B$126:$B$166,0), MATCH(AY$222, Inflation!$D$125:$BD$125,0))</f>
        <v>#N/A</v>
      </c>
      <c r="AZ238" s="732" t="e">
        <f>(AZ192+AZ214)*INDEX(Inflation!$D$126:$BD$166, MATCH($B238, Inflation!$B$126:$B$166,0), MATCH(AZ$222, Inflation!$D$125:$BD$125,0))</f>
        <v>#N/A</v>
      </c>
      <c r="BA238" s="732" t="e">
        <f>(BA192+BA214)*INDEX(Inflation!$D$126:$BD$166, MATCH($B238, Inflation!$B$126:$B$166,0), MATCH(BA$222, Inflation!$D$125:$BD$125,0))</f>
        <v>#N/A</v>
      </c>
      <c r="BB238" s="732" t="e">
        <f>(BB192+BB214)*INDEX(Inflation!$D$126:$BD$166, MATCH($B238, Inflation!$B$126:$B$166,0), MATCH(BB$222, Inflation!$D$125:$BD$125,0))</f>
        <v>#N/A</v>
      </c>
    </row>
    <row r="239" spans="2:54">
      <c r="B239" s="6" t="s">
        <v>2832</v>
      </c>
      <c r="C239" s="142"/>
      <c r="D239" s="732">
        <f>(D193+D215)*INDEX(Inflation!$D$126:$BD$166, MATCH($B239, Inflation!$B$126:$B$166,0), MATCH(D$222, Inflation!$D$125:$BD$125,0))</f>
        <v>13879.1618784</v>
      </c>
      <c r="E239" s="732">
        <f>(E193+E215)*INDEX(Inflation!$D$126:$BD$166, MATCH($B239, Inflation!$B$126:$B$166,0), MATCH(E$222, Inflation!$D$125:$BD$125,0))</f>
        <v>15822.599790465523</v>
      </c>
      <c r="F239" s="732">
        <f>(F193+F215)*INDEX(Inflation!$D$126:$BD$166, MATCH($B239, Inflation!$B$126:$B$166,0), MATCH(F$222, Inflation!$D$125:$BD$125,0))</f>
        <v>17868.222123072552</v>
      </c>
      <c r="G239" s="732">
        <f>(G193+G215)*INDEX(Inflation!$D$126:$BD$166, MATCH($B239, Inflation!$B$126:$B$166,0), MATCH(G$222, Inflation!$D$125:$BD$125,0))</f>
        <v>20022.534137747902</v>
      </c>
      <c r="H239" s="732">
        <f>(H193+H215)*INDEX(Inflation!$D$126:$BD$166, MATCH($B239, Inflation!$B$126:$B$166,0), MATCH(H$222, Inflation!$D$125:$BD$125,0))</f>
        <v>22293.943280930227</v>
      </c>
      <c r="I239" s="732">
        <f>(I193+I215)*INDEX(Inflation!$D$126:$BD$166, MATCH($B239, Inflation!$B$126:$B$166,0), MATCH(I$222, Inflation!$D$125:$BD$125,0))</f>
        <v>24689.51250393211</v>
      </c>
      <c r="J239" s="732">
        <f>(J193+J215)*INDEX(Inflation!$D$126:$BD$166, MATCH($B239, Inflation!$B$126:$B$166,0), MATCH(J$222, Inflation!$D$125:$BD$125,0))</f>
        <v>27212.915038442494</v>
      </c>
      <c r="K239" s="732">
        <f>(K193+K215)*INDEX(Inflation!$D$126:$BD$166, MATCH($B239, Inflation!$B$126:$B$166,0), MATCH(K$222, Inflation!$D$125:$BD$125,0))</f>
        <v>29870.260480674238</v>
      </c>
      <c r="L239" s="732">
        <f>(L193+L215)*INDEX(Inflation!$D$126:$BD$166, MATCH($B239, Inflation!$B$126:$B$166,0), MATCH(L$222, Inflation!$D$125:$BD$125,0))</f>
        <v>32681.301874803361</v>
      </c>
      <c r="M239" s="732">
        <f>(M193+M215)*INDEX(Inflation!$D$126:$BD$166, MATCH($B239, Inflation!$B$126:$B$166,0), MATCH(M$222, Inflation!$D$125:$BD$125,0))</f>
        <v>35645.234915501795</v>
      </c>
      <c r="N239" s="732">
        <f>(N193+N215)*INDEX(Inflation!$D$126:$BD$166, MATCH($B239, Inflation!$B$126:$B$166,0), MATCH(N$222, Inflation!$D$125:$BD$125,0))</f>
        <v>38763.767995707727</v>
      </c>
      <c r="O239" s="732">
        <f>(O193+O215)*INDEX(Inflation!$D$126:$BD$166, MATCH($B239, Inflation!$B$126:$B$166,0), MATCH(O$222, Inflation!$D$125:$BD$125,0))</f>
        <v>42040.15146850919</v>
      </c>
      <c r="P239" s="732">
        <f>(P193+P215)*INDEX(Inflation!$D$126:$BD$166, MATCH($B239, Inflation!$B$126:$B$166,0), MATCH(P$222, Inflation!$D$125:$BD$125,0))</f>
        <v>45477.993518547672</v>
      </c>
      <c r="Q239" s="732">
        <f>(Q193+Q215)*INDEX(Inflation!$D$126:$BD$166, MATCH($B239, Inflation!$B$126:$B$166,0), MATCH(Q$222, Inflation!$D$125:$BD$125,0))</f>
        <v>49084.90752194923</v>
      </c>
      <c r="R239" s="732">
        <f>(R193+R215)*INDEX(Inflation!$D$126:$BD$166, MATCH($B239, Inflation!$B$126:$B$166,0), MATCH(R$222, Inflation!$D$125:$BD$125,0))</f>
        <v>52870.020418500906</v>
      </c>
      <c r="S239" s="732">
        <f>(S193+S215)*INDEX(Inflation!$D$126:$BD$166, MATCH($B239, Inflation!$B$126:$B$166,0), MATCH(S$222, Inflation!$D$125:$BD$125,0))</f>
        <v>56840.590199823127</v>
      </c>
      <c r="T239" s="732">
        <f>(T193+T215)*INDEX(Inflation!$D$126:$BD$166, MATCH($B239, Inflation!$B$126:$B$166,0), MATCH(T$222, Inflation!$D$125:$BD$125,0))</f>
        <v>61000.783290251245</v>
      </c>
      <c r="U239" s="732">
        <f>(U193+U215)*INDEX(Inflation!$D$126:$BD$166, MATCH($B239, Inflation!$B$126:$B$166,0), MATCH(U$222, Inflation!$D$125:$BD$125,0))</f>
        <v>65357.560703108596</v>
      </c>
      <c r="V239" s="732">
        <f>(V193+V215)*INDEX(Inflation!$D$126:$BD$166, MATCH($B239, Inflation!$B$126:$B$166,0), MATCH(V$222, Inflation!$D$125:$BD$125,0))</f>
        <v>69925.067806612991</v>
      </c>
      <c r="W239" s="732">
        <f>(W193+W215)*INDEX(Inflation!$D$126:$BD$166, MATCH($B239, Inflation!$B$126:$B$166,0), MATCH(W$222, Inflation!$D$125:$BD$125,0))</f>
        <v>74706.20269550955</v>
      </c>
      <c r="X239" s="732">
        <f>(X193+X215)*INDEX(Inflation!$D$126:$BD$166, MATCH($B239, Inflation!$B$126:$B$166,0), MATCH(X$222, Inflation!$D$125:$BD$125,0))</f>
        <v>79706.813225256672</v>
      </c>
      <c r="Y239" s="732">
        <f>(Y193+Y215)*INDEX(Inflation!$D$126:$BD$166, MATCH($B239, Inflation!$B$126:$B$166,0), MATCH(Y$222, Inflation!$D$125:$BD$125,0))</f>
        <v>84933.96617449171</v>
      </c>
      <c r="Z239" s="732">
        <f>(Z193+Z215)*INDEX(Inflation!$D$126:$BD$166, MATCH($B239, Inflation!$B$126:$B$166,0), MATCH(Z$222, Inflation!$D$125:$BD$125,0))</f>
        <v>90398.358700663113</v>
      </c>
      <c r="AA239" s="732">
        <f>(AA193+AA215)*INDEX(Inflation!$D$126:$BD$166, MATCH($B239, Inflation!$B$126:$B$166,0), MATCH(AA$222, Inflation!$D$125:$BD$125,0))</f>
        <v>96107.87067280605</v>
      </c>
      <c r="AB239" s="732">
        <f>(AB193+AB215)*INDEX(Inflation!$D$126:$BD$166, MATCH($B239, Inflation!$B$126:$B$166,0), MATCH(AB$222, Inflation!$D$125:$BD$125,0))</f>
        <v>102069.78492752052</v>
      </c>
      <c r="AC239" s="732">
        <f>(AC193+AC215)*INDEX(Inflation!$D$126:$BD$166, MATCH($B239, Inflation!$B$126:$B$166,0), MATCH(AC$222, Inflation!$D$125:$BD$125,0))</f>
        <v>108291.52064520417</v>
      </c>
      <c r="AD239" s="732">
        <f>(AD193+AD215)*INDEX(Inflation!$D$126:$BD$166, MATCH($B239, Inflation!$B$126:$B$166,0), MATCH(AD$222, Inflation!$D$125:$BD$125,0))</f>
        <v>114780.381475228</v>
      </c>
      <c r="AE239" s="732">
        <f>(AE193+AE215)*INDEX(Inflation!$D$126:$BD$166, MATCH($B239, Inflation!$B$126:$B$166,0), MATCH(AE$222, Inflation!$D$125:$BD$125,0))</f>
        <v>121543.82901029989</v>
      </c>
      <c r="AF239" s="732">
        <f>(AF193+AF215)*INDEX(Inflation!$D$126:$BD$166, MATCH($B239, Inflation!$B$126:$B$166,0), MATCH(AF$222, Inflation!$D$125:$BD$125,0))</f>
        <v>128589.32691843712</v>
      </c>
      <c r="AG239" s="732">
        <f>(AG193+AG215)*INDEX(Inflation!$D$126:$BD$166, MATCH($B239, Inflation!$B$126:$B$166,0), MATCH(AG$222, Inflation!$D$125:$BD$125,0))</f>
        <v>135925.76055976003</v>
      </c>
      <c r="AH239" s="732">
        <f>(AH193+AH215)*INDEX(Inflation!$D$126:$BD$166, MATCH($B239, Inflation!$B$126:$B$166,0), MATCH(AH$222, Inflation!$D$125:$BD$125,0))</f>
        <v>143565.27938745584</v>
      </c>
      <c r="AI239" s="732">
        <f>(AI193+AI215)*INDEX(Inflation!$D$126:$BD$166, MATCH($B239, Inflation!$B$126:$B$166,0), MATCH(AI$222, Inflation!$D$125:$BD$125,0))</f>
        <v>151518.08724142896</v>
      </c>
      <c r="AJ239" s="732">
        <f>(AJ193+AJ215)*INDEX(Inflation!$D$126:$BD$166, MATCH($B239, Inflation!$B$126:$B$166,0), MATCH(AJ$222, Inflation!$D$125:$BD$125,0))</f>
        <v>159795.76647492673</v>
      </c>
      <c r="AK239" s="732">
        <f>(AK193+AK215)*INDEX(Inflation!$D$126:$BD$166, MATCH($B239, Inflation!$B$126:$B$166,0), MATCH(AK$222, Inflation!$D$125:$BD$125,0))</f>
        <v>168404.89090844709</v>
      </c>
      <c r="AL239" s="732">
        <f>(AL193+AL215)*INDEX(Inflation!$D$126:$BD$166, MATCH($B239, Inflation!$B$126:$B$166,0), MATCH(AL$222, Inflation!$D$125:$BD$125,0))</f>
        <v>177352.01892227045</v>
      </c>
      <c r="AM239" s="732">
        <f>(AM193+AM215)*INDEX(Inflation!$D$126:$BD$166, MATCH($B239, Inflation!$B$126:$B$166,0), MATCH(AM$222, Inflation!$D$125:$BD$125,0))</f>
        <v>186643.96756067185</v>
      </c>
      <c r="AN239" s="732">
        <f>(AN193+AN215)*INDEX(Inflation!$D$126:$BD$166, MATCH($B239, Inflation!$B$126:$B$166,0), MATCH(AN$222, Inflation!$D$125:$BD$125,0))</f>
        <v>196290.76031984587</v>
      </c>
      <c r="AO239" s="732">
        <f>(AO193+AO215)*INDEX(Inflation!$D$126:$BD$166, MATCH($B239, Inflation!$B$126:$B$166,0), MATCH(AO$222, Inflation!$D$125:$BD$125,0))</f>
        <v>206301.83463919925</v>
      </c>
      <c r="AP239" s="732">
        <f>(AP193+AP215)*INDEX(Inflation!$D$126:$BD$166, MATCH($B239, Inflation!$B$126:$B$166,0), MATCH(AP$222, Inflation!$D$125:$BD$125,0))</f>
        <v>216685.91067117604</v>
      </c>
      <c r="AQ239" s="732">
        <f>(AQ193+AQ215)*INDEX(Inflation!$D$126:$BD$166, MATCH($B239, Inflation!$B$126:$B$166,0), MATCH(AQ$222, Inflation!$D$125:$BD$125,0))</f>
        <v>227457.62379076701</v>
      </c>
      <c r="AR239" s="732">
        <f>(AR193+AR215)*INDEX(Inflation!$D$126:$BD$166, MATCH($B239, Inflation!$B$126:$B$166,0), MATCH(AR$222, Inflation!$D$125:$BD$125,0))</f>
        <v>238634.0877507721</v>
      </c>
      <c r="AS239" s="732">
        <f>(AS193+AS215)*INDEX(Inflation!$D$126:$BD$166, MATCH($B239, Inflation!$B$126:$B$166,0), MATCH(AS$222, Inflation!$D$125:$BD$125,0))</f>
        <v>250233.36158632691</v>
      </c>
      <c r="AT239" s="732">
        <f>(AT193+AT215)*INDEX(Inflation!$D$126:$BD$166, MATCH($B239, Inflation!$B$126:$B$166,0), MATCH(AT$222, Inflation!$D$125:$BD$125,0))</f>
        <v>262237.51076460659</v>
      </c>
      <c r="AU239" s="732" t="e">
        <f>(AU193+AU215)*INDEX(Inflation!$D$126:$BD$166, MATCH($B239, Inflation!$B$126:$B$166,0), MATCH(AU$222, Inflation!$D$125:$BD$125,0))</f>
        <v>#N/A</v>
      </c>
      <c r="AV239" s="732" t="e">
        <f>(AV193+AV215)*INDEX(Inflation!$D$126:$BD$166, MATCH($B239, Inflation!$B$126:$B$166,0), MATCH(AV$222, Inflation!$D$125:$BD$125,0))</f>
        <v>#N/A</v>
      </c>
      <c r="AW239" s="732" t="e">
        <f>(AW193+AW215)*INDEX(Inflation!$D$126:$BD$166, MATCH($B239, Inflation!$B$126:$B$166,0), MATCH(AW$222, Inflation!$D$125:$BD$125,0))</f>
        <v>#N/A</v>
      </c>
      <c r="AX239" s="732" t="e">
        <f>(AX193+AX215)*INDEX(Inflation!$D$126:$BD$166, MATCH($B239, Inflation!$B$126:$B$166,0), MATCH(AX$222, Inflation!$D$125:$BD$125,0))</f>
        <v>#N/A</v>
      </c>
      <c r="AY239" s="732" t="e">
        <f>(AY193+AY215)*INDEX(Inflation!$D$126:$BD$166, MATCH($B239, Inflation!$B$126:$B$166,0), MATCH(AY$222, Inflation!$D$125:$BD$125,0))</f>
        <v>#N/A</v>
      </c>
      <c r="AZ239" s="732" t="e">
        <f>(AZ193+AZ215)*INDEX(Inflation!$D$126:$BD$166, MATCH($B239, Inflation!$B$126:$B$166,0), MATCH(AZ$222, Inflation!$D$125:$BD$125,0))</f>
        <v>#N/A</v>
      </c>
      <c r="BA239" s="732" t="e">
        <f>(BA193+BA215)*INDEX(Inflation!$D$126:$BD$166, MATCH($B239, Inflation!$B$126:$B$166,0), MATCH(BA$222, Inflation!$D$125:$BD$125,0))</f>
        <v>#N/A</v>
      </c>
      <c r="BB239" s="732" t="e">
        <f>(BB193+BB215)*INDEX(Inflation!$D$126:$BD$166, MATCH($B239, Inflation!$B$126:$B$166,0), MATCH(BB$222, Inflation!$D$125:$BD$125,0))</f>
        <v>#N/A</v>
      </c>
    </row>
    <row r="240" spans="2:54">
      <c r="B240" s="6" t="s">
        <v>2871</v>
      </c>
      <c r="C240" s="142"/>
      <c r="D240" s="732">
        <f>(D194+D216)*INDEX(Inflation!$D$126:$BD$166, MATCH($B240, Inflation!$B$126:$B$166,0), MATCH(D$222, Inflation!$D$125:$BD$125,0))</f>
        <v>0</v>
      </c>
      <c r="E240" s="732">
        <f>(E194+E216)*INDEX(Inflation!$D$126:$BD$166, MATCH($B240, Inflation!$B$126:$B$166,0), MATCH(E$222, Inflation!$D$125:$BD$125,0))</f>
        <v>0</v>
      </c>
      <c r="F240" s="732">
        <f>(F194+F216)*INDEX(Inflation!$D$126:$BD$166, MATCH($B240, Inflation!$B$126:$B$166,0), MATCH(F$222, Inflation!$D$125:$BD$125,0))</f>
        <v>0</v>
      </c>
      <c r="G240" s="732">
        <f>(G194+G216)*INDEX(Inflation!$D$126:$BD$166, MATCH($B240, Inflation!$B$126:$B$166,0), MATCH(G$222, Inflation!$D$125:$BD$125,0))</f>
        <v>0</v>
      </c>
      <c r="H240" s="732">
        <f>(H194+H216)*INDEX(Inflation!$D$126:$BD$166, MATCH($B240, Inflation!$B$126:$B$166,0), MATCH(H$222, Inflation!$D$125:$BD$125,0))</f>
        <v>0</v>
      </c>
      <c r="I240" s="732">
        <f>(I194+I216)*INDEX(Inflation!$D$126:$BD$166, MATCH($B240, Inflation!$B$126:$B$166,0), MATCH(I$222, Inflation!$D$125:$BD$125,0))</f>
        <v>0</v>
      </c>
      <c r="J240" s="732">
        <f>(J194+J216)*INDEX(Inflation!$D$126:$BD$166, MATCH($B240, Inflation!$B$126:$B$166,0), MATCH(J$222, Inflation!$D$125:$BD$125,0))</f>
        <v>0</v>
      </c>
      <c r="K240" s="732">
        <f>(K194+K216)*INDEX(Inflation!$D$126:$BD$166, MATCH($B240, Inflation!$B$126:$B$166,0), MATCH(K$222, Inflation!$D$125:$BD$125,0))</f>
        <v>0</v>
      </c>
      <c r="L240" s="732">
        <f>(L194+L216)*INDEX(Inflation!$D$126:$BD$166, MATCH($B240, Inflation!$B$126:$B$166,0), MATCH(L$222, Inflation!$D$125:$BD$125,0))</f>
        <v>0</v>
      </c>
      <c r="M240" s="732">
        <f>(M194+M216)*INDEX(Inflation!$D$126:$BD$166, MATCH($B240, Inflation!$B$126:$B$166,0), MATCH(M$222, Inflation!$D$125:$BD$125,0))</f>
        <v>0</v>
      </c>
      <c r="N240" s="732">
        <f>(N194+N216)*INDEX(Inflation!$D$126:$BD$166, MATCH($B240, Inflation!$B$126:$B$166,0), MATCH(N$222, Inflation!$D$125:$BD$125,0))</f>
        <v>0</v>
      </c>
      <c r="O240" s="732">
        <f>(O194+O216)*INDEX(Inflation!$D$126:$BD$166, MATCH($B240, Inflation!$B$126:$B$166,0), MATCH(O$222, Inflation!$D$125:$BD$125,0))</f>
        <v>0</v>
      </c>
      <c r="P240" s="732">
        <f>(P194+P216)*INDEX(Inflation!$D$126:$BD$166, MATCH($B240, Inflation!$B$126:$B$166,0), MATCH(P$222, Inflation!$D$125:$BD$125,0))</f>
        <v>0</v>
      </c>
      <c r="Q240" s="732">
        <f>(Q194+Q216)*INDEX(Inflation!$D$126:$BD$166, MATCH($B240, Inflation!$B$126:$B$166,0), MATCH(Q$222, Inflation!$D$125:$BD$125,0))</f>
        <v>0</v>
      </c>
      <c r="R240" s="732">
        <f>(R194+R216)*INDEX(Inflation!$D$126:$BD$166, MATCH($B240, Inflation!$B$126:$B$166,0), MATCH(R$222, Inflation!$D$125:$BD$125,0))</f>
        <v>0</v>
      </c>
      <c r="S240" s="732">
        <f>(S194+S216)*INDEX(Inflation!$D$126:$BD$166, MATCH($B240, Inflation!$B$126:$B$166,0), MATCH(S$222, Inflation!$D$125:$BD$125,0))</f>
        <v>0</v>
      </c>
      <c r="T240" s="732">
        <f>(T194+T216)*INDEX(Inflation!$D$126:$BD$166, MATCH($B240, Inflation!$B$126:$B$166,0), MATCH(T$222, Inflation!$D$125:$BD$125,0))</f>
        <v>0</v>
      </c>
      <c r="U240" s="732">
        <f>(U194+U216)*INDEX(Inflation!$D$126:$BD$166, MATCH($B240, Inflation!$B$126:$B$166,0), MATCH(U$222, Inflation!$D$125:$BD$125,0))</f>
        <v>0</v>
      </c>
      <c r="V240" s="732">
        <f>(V194+V216)*INDEX(Inflation!$D$126:$BD$166, MATCH($B240, Inflation!$B$126:$B$166,0), MATCH(V$222, Inflation!$D$125:$BD$125,0))</f>
        <v>0</v>
      </c>
      <c r="W240" s="732">
        <f>(W194+W216)*INDEX(Inflation!$D$126:$BD$166, MATCH($B240, Inflation!$B$126:$B$166,0), MATCH(W$222, Inflation!$D$125:$BD$125,0))</f>
        <v>0</v>
      </c>
      <c r="X240" s="732">
        <f>(X194+X216)*INDEX(Inflation!$D$126:$BD$166, MATCH($B240, Inflation!$B$126:$B$166,0), MATCH(X$222, Inflation!$D$125:$BD$125,0))</f>
        <v>0</v>
      </c>
      <c r="Y240" s="732">
        <f>(Y194+Y216)*INDEX(Inflation!$D$126:$BD$166, MATCH($B240, Inflation!$B$126:$B$166,0), MATCH(Y$222, Inflation!$D$125:$BD$125,0))</f>
        <v>0</v>
      </c>
      <c r="Z240" s="732">
        <f>(Z194+Z216)*INDEX(Inflation!$D$126:$BD$166, MATCH($B240, Inflation!$B$126:$B$166,0), MATCH(Z$222, Inflation!$D$125:$BD$125,0))</f>
        <v>0</v>
      </c>
      <c r="AA240" s="732">
        <f>(AA194+AA216)*INDEX(Inflation!$D$126:$BD$166, MATCH($B240, Inflation!$B$126:$B$166,0), MATCH(AA$222, Inflation!$D$125:$BD$125,0))</f>
        <v>0</v>
      </c>
      <c r="AB240" s="732">
        <f>(AB194+AB216)*INDEX(Inflation!$D$126:$BD$166, MATCH($B240, Inflation!$B$126:$B$166,0), MATCH(AB$222, Inflation!$D$125:$BD$125,0))</f>
        <v>0</v>
      </c>
      <c r="AC240" s="732">
        <f>(AC194+AC216)*INDEX(Inflation!$D$126:$BD$166, MATCH($B240, Inflation!$B$126:$B$166,0), MATCH(AC$222, Inflation!$D$125:$BD$125,0))</f>
        <v>0</v>
      </c>
      <c r="AD240" s="732">
        <f>(AD194+AD216)*INDEX(Inflation!$D$126:$BD$166, MATCH($B240, Inflation!$B$126:$B$166,0), MATCH(AD$222, Inflation!$D$125:$BD$125,0))</f>
        <v>0</v>
      </c>
      <c r="AE240" s="732">
        <f>(AE194+AE216)*INDEX(Inflation!$D$126:$BD$166, MATCH($B240, Inflation!$B$126:$B$166,0), MATCH(AE$222, Inflation!$D$125:$BD$125,0))</f>
        <v>0</v>
      </c>
      <c r="AF240" s="732">
        <f>(AF194+AF216)*INDEX(Inflation!$D$126:$BD$166, MATCH($B240, Inflation!$B$126:$B$166,0), MATCH(AF$222, Inflation!$D$125:$BD$125,0))</f>
        <v>0</v>
      </c>
      <c r="AG240" s="732">
        <f>(AG194+AG216)*INDEX(Inflation!$D$126:$BD$166, MATCH($B240, Inflation!$B$126:$B$166,0), MATCH(AG$222, Inflation!$D$125:$BD$125,0))</f>
        <v>0</v>
      </c>
      <c r="AH240" s="732">
        <f>(AH194+AH216)*INDEX(Inflation!$D$126:$BD$166, MATCH($B240, Inflation!$B$126:$B$166,0), MATCH(AH$222, Inflation!$D$125:$BD$125,0))</f>
        <v>0</v>
      </c>
      <c r="AI240" s="732">
        <f>(AI194+AI216)*INDEX(Inflation!$D$126:$BD$166, MATCH($B240, Inflation!$B$126:$B$166,0), MATCH(AI$222, Inflation!$D$125:$BD$125,0))</f>
        <v>0</v>
      </c>
      <c r="AJ240" s="732">
        <f>(AJ194+AJ216)*INDEX(Inflation!$D$126:$BD$166, MATCH($B240, Inflation!$B$126:$B$166,0), MATCH(AJ$222, Inflation!$D$125:$BD$125,0))</f>
        <v>0</v>
      </c>
      <c r="AK240" s="732">
        <f>(AK194+AK216)*INDEX(Inflation!$D$126:$BD$166, MATCH($B240, Inflation!$B$126:$B$166,0), MATCH(AK$222, Inflation!$D$125:$BD$125,0))</f>
        <v>0</v>
      </c>
      <c r="AL240" s="732">
        <f>(AL194+AL216)*INDEX(Inflation!$D$126:$BD$166, MATCH($B240, Inflation!$B$126:$B$166,0), MATCH(AL$222, Inflation!$D$125:$BD$125,0))</f>
        <v>0</v>
      </c>
      <c r="AM240" s="732">
        <f>(AM194+AM216)*INDEX(Inflation!$D$126:$BD$166, MATCH($B240, Inflation!$B$126:$B$166,0), MATCH(AM$222, Inflation!$D$125:$BD$125,0))</f>
        <v>0</v>
      </c>
      <c r="AN240" s="732">
        <f>(AN194+AN216)*INDEX(Inflation!$D$126:$BD$166, MATCH($B240, Inflation!$B$126:$B$166,0), MATCH(AN$222, Inflation!$D$125:$BD$125,0))</f>
        <v>0</v>
      </c>
      <c r="AO240" s="732">
        <f>(AO194+AO216)*INDEX(Inflation!$D$126:$BD$166, MATCH($B240, Inflation!$B$126:$B$166,0), MATCH(AO$222, Inflation!$D$125:$BD$125,0))</f>
        <v>0</v>
      </c>
      <c r="AP240" s="732">
        <f>(AP194+AP216)*INDEX(Inflation!$D$126:$BD$166, MATCH($B240, Inflation!$B$126:$B$166,0), MATCH(AP$222, Inflation!$D$125:$BD$125,0))</f>
        <v>0</v>
      </c>
      <c r="AQ240" s="732">
        <f>(AQ194+AQ216)*INDEX(Inflation!$D$126:$BD$166, MATCH($B240, Inflation!$B$126:$B$166,0), MATCH(AQ$222, Inflation!$D$125:$BD$125,0))</f>
        <v>0</v>
      </c>
      <c r="AR240" s="732">
        <f>(AR194+AR216)*INDEX(Inflation!$D$126:$BD$166, MATCH($B240, Inflation!$B$126:$B$166,0), MATCH(AR$222, Inflation!$D$125:$BD$125,0))</f>
        <v>0</v>
      </c>
      <c r="AS240" s="732">
        <f>(AS194+AS216)*INDEX(Inflation!$D$126:$BD$166, MATCH($B240, Inflation!$B$126:$B$166,0), MATCH(AS$222, Inflation!$D$125:$BD$125,0))</f>
        <v>0</v>
      </c>
      <c r="AT240" s="732">
        <f>(AT194+AT216)*INDEX(Inflation!$D$126:$BD$166, MATCH($B240, Inflation!$B$126:$B$166,0), MATCH(AT$222, Inflation!$D$125:$BD$125,0))</f>
        <v>0</v>
      </c>
      <c r="AU240" s="732" t="e">
        <f>(AU194+AU216)*INDEX(Inflation!$D$126:$BD$166, MATCH($B240, Inflation!$B$126:$B$166,0), MATCH(AU$222, Inflation!$D$125:$BD$125,0))</f>
        <v>#N/A</v>
      </c>
      <c r="AV240" s="732" t="e">
        <f>(AV194+AV216)*INDEX(Inflation!$D$126:$BD$166, MATCH($B240, Inflation!$B$126:$B$166,0), MATCH(AV$222, Inflation!$D$125:$BD$125,0))</f>
        <v>#N/A</v>
      </c>
      <c r="AW240" s="732" t="e">
        <f>(AW194+AW216)*INDEX(Inflation!$D$126:$BD$166, MATCH($B240, Inflation!$B$126:$B$166,0), MATCH(AW$222, Inflation!$D$125:$BD$125,0))</f>
        <v>#N/A</v>
      </c>
      <c r="AX240" s="732" t="e">
        <f>(AX194+AX216)*INDEX(Inflation!$D$126:$BD$166, MATCH($B240, Inflation!$B$126:$B$166,0), MATCH(AX$222, Inflation!$D$125:$BD$125,0))</f>
        <v>#N/A</v>
      </c>
      <c r="AY240" s="732" t="e">
        <f>(AY194+AY216)*INDEX(Inflation!$D$126:$BD$166, MATCH($B240, Inflation!$B$126:$B$166,0), MATCH(AY$222, Inflation!$D$125:$BD$125,0))</f>
        <v>#N/A</v>
      </c>
      <c r="AZ240" s="732" t="e">
        <f>(AZ194+AZ216)*INDEX(Inflation!$D$126:$BD$166, MATCH($B240, Inflation!$B$126:$B$166,0), MATCH(AZ$222, Inflation!$D$125:$BD$125,0))</f>
        <v>#N/A</v>
      </c>
      <c r="BA240" s="732" t="e">
        <f>(BA194+BA216)*INDEX(Inflation!$D$126:$BD$166, MATCH($B240, Inflation!$B$126:$B$166,0), MATCH(BA$222, Inflation!$D$125:$BD$125,0))</f>
        <v>#N/A</v>
      </c>
      <c r="BB240" s="732" t="e">
        <f>(BB194+BB216)*INDEX(Inflation!$D$126:$BD$166, MATCH($B240, Inflation!$B$126:$B$166,0), MATCH(BB$222, Inflation!$D$125:$BD$125,0))</f>
        <v>#N/A</v>
      </c>
    </row>
    <row r="241" spans="1:54">
      <c r="C241" s="47"/>
    </row>
    <row r="242" spans="1:54" s="9" customFormat="1" ht="15" customHeight="1">
      <c r="B242" s="91" t="s">
        <v>2995</v>
      </c>
      <c r="C242" s="47"/>
      <c r="D242" s="92">
        <f>SUM(D223:D240)</f>
        <v>189738.99480417746</v>
      </c>
      <c r="E242" s="92">
        <f t="shared" ref="E242:AF242" si="91">SUM(E223:E240)</f>
        <v>215776.85475394633</v>
      </c>
      <c r="F242" s="92">
        <f t="shared" si="91"/>
        <v>243076.82452363073</v>
      </c>
      <c r="G242" s="92">
        <f t="shared" si="91"/>
        <v>271717.73933571781</v>
      </c>
      <c r="H242" s="92">
        <f t="shared" si="91"/>
        <v>301803.39953763201</v>
      </c>
      <c r="I242" s="92">
        <f t="shared" si="91"/>
        <v>333418.42009745562</v>
      </c>
      <c r="J242" s="92">
        <f t="shared" si="91"/>
        <v>366600.90968832519</v>
      </c>
      <c r="K242" s="92">
        <f t="shared" si="91"/>
        <v>401421.33017180703</v>
      </c>
      <c r="L242" s="92">
        <f t="shared" si="91"/>
        <v>438132.34801519511</v>
      </c>
      <c r="M242" s="92">
        <f t="shared" si="91"/>
        <v>476709.23336683976</v>
      </c>
      <c r="N242" s="92">
        <f t="shared" si="91"/>
        <v>517160.9971278123</v>
      </c>
      <c r="O242" s="92">
        <f t="shared" si="91"/>
        <v>559517.06475173216</v>
      </c>
      <c r="P242" s="92">
        <f t="shared" si="91"/>
        <v>603811.30868219747</v>
      </c>
      <c r="Q242" s="92">
        <f t="shared" si="91"/>
        <v>650130.30409412016</v>
      </c>
      <c r="R242" s="92">
        <f t="shared" si="91"/>
        <v>698579.77268635016</v>
      </c>
      <c r="S242" s="92">
        <f t="shared" si="91"/>
        <v>749239.76530490338</v>
      </c>
      <c r="T242" s="92">
        <f t="shared" si="91"/>
        <v>802148.8910498867</v>
      </c>
      <c r="U242" s="92">
        <f t="shared" si="91"/>
        <v>857382.02903918421</v>
      </c>
      <c r="V242" s="92">
        <f t="shared" si="91"/>
        <v>915107.34364674171</v>
      </c>
      <c r="W242" s="92">
        <f t="shared" si="91"/>
        <v>975344.53215539479</v>
      </c>
      <c r="X242" s="92">
        <f t="shared" si="91"/>
        <v>1038151.5023615843</v>
      </c>
      <c r="Y242" s="92">
        <f t="shared" si="91"/>
        <v>1103601.4287006173</v>
      </c>
      <c r="Z242" s="92">
        <f t="shared" si="91"/>
        <v>1171813.8299672902</v>
      </c>
      <c r="AA242" s="92">
        <f t="shared" si="91"/>
        <v>1242870.6379884686</v>
      </c>
      <c r="AB242" s="92">
        <f t="shared" si="91"/>
        <v>1316845.2859290189</v>
      </c>
      <c r="AC242" s="92">
        <f t="shared" si="91"/>
        <v>1393812.2476189428</v>
      </c>
      <c r="AD242" s="92">
        <f t="shared" si="91"/>
        <v>1473843.7909404612</v>
      </c>
      <c r="AE242" s="92">
        <f t="shared" si="91"/>
        <v>1557013.5070378256</v>
      </c>
      <c r="AF242" s="92">
        <f t="shared" si="91"/>
        <v>1643394.3027839372</v>
      </c>
      <c r="AG242" s="92">
        <f t="shared" ref="AG242:AP242" si="92">SUM(AG223:AG240)</f>
        <v>1733076.5092733167</v>
      </c>
      <c r="AH242" s="92">
        <f t="shared" si="92"/>
        <v>1826191.1136733033</v>
      </c>
      <c r="AI242" s="92">
        <f t="shared" si="92"/>
        <v>1922843.169696914</v>
      </c>
      <c r="AJ242" s="92">
        <f t="shared" si="92"/>
        <v>2023154.1863720692</v>
      </c>
      <c r="AK242" s="92">
        <f t="shared" si="92"/>
        <v>2127181.2591789374</v>
      </c>
      <c r="AL242" s="92">
        <f t="shared" si="92"/>
        <v>2234980.7423659503</v>
      </c>
      <c r="AM242" s="92">
        <f t="shared" si="92"/>
        <v>2346611.704671381</v>
      </c>
      <c r="AN242" s="92">
        <f t="shared" si="92"/>
        <v>2462172.8743924294</v>
      </c>
      <c r="AO242" s="92">
        <f t="shared" si="92"/>
        <v>2581754.7200696669</v>
      </c>
      <c r="AP242" s="92">
        <f t="shared" si="92"/>
        <v>2705437.9080994851</v>
      </c>
      <c r="AQ242" s="92">
        <f t="shared" ref="AQ242:BB242" si="93">SUM(AQ223:AQ240)</f>
        <v>2833376.0359784109</v>
      </c>
      <c r="AR242" s="92">
        <f t="shared" si="93"/>
        <v>2965752.0803403859</v>
      </c>
      <c r="AS242" s="92">
        <f t="shared" si="93"/>
        <v>3102759.0501024146</v>
      </c>
      <c r="AT242" s="92">
        <f t="shared" si="93"/>
        <v>3244142.9007353359</v>
      </c>
      <c r="AU242" s="92" t="e">
        <f t="shared" si="93"/>
        <v>#N/A</v>
      </c>
      <c r="AV242" s="92" t="e">
        <f t="shared" si="93"/>
        <v>#N/A</v>
      </c>
      <c r="AW242" s="92" t="e">
        <f t="shared" si="93"/>
        <v>#N/A</v>
      </c>
      <c r="AX242" s="92" t="e">
        <f t="shared" si="93"/>
        <v>#N/A</v>
      </c>
      <c r="AY242" s="92" t="e">
        <f t="shared" si="93"/>
        <v>#N/A</v>
      </c>
      <c r="AZ242" s="92" t="e">
        <f t="shared" si="93"/>
        <v>#N/A</v>
      </c>
      <c r="BA242" s="92" t="e">
        <f t="shared" si="93"/>
        <v>#N/A</v>
      </c>
      <c r="BB242" s="92" t="e">
        <f t="shared" si="93"/>
        <v>#N/A</v>
      </c>
    </row>
    <row r="243" spans="1:54" s="9" customFormat="1" ht="15" customHeight="1">
      <c r="C243"/>
    </row>
    <row r="244" spans="1:54" s="4" customFormat="1" ht="15" customHeight="1">
      <c r="B244" s="86" t="s">
        <v>180</v>
      </c>
      <c r="C244"/>
      <c r="D244" s="90" t="s">
        <v>181</v>
      </c>
      <c r="E244" s="137">
        <f>E242/D242-1</f>
        <v>0.13722988243213563</v>
      </c>
      <c r="F244" s="137">
        <f t="shared" ref="F244:AF244" si="94">F242/E242-1</f>
        <v>0.12651945363099748</v>
      </c>
      <c r="G244" s="137">
        <f t="shared" si="94"/>
        <v>0.11782659604927814</v>
      </c>
      <c r="H244" s="137">
        <f t="shared" si="94"/>
        <v>0.11072394564840016</v>
      </c>
      <c r="I244" s="137">
        <f t="shared" si="94"/>
        <v>0.1047536926630328</v>
      </c>
      <c r="J244" s="137">
        <f t="shared" si="94"/>
        <v>9.9522064741266014E-2</v>
      </c>
      <c r="K244" s="137">
        <f t="shared" si="94"/>
        <v>9.4981816911161809E-2</v>
      </c>
      <c r="L244" s="137">
        <f t="shared" si="94"/>
        <v>9.1452583816798771E-2</v>
      </c>
      <c r="M244" s="137">
        <f t="shared" si="94"/>
        <v>8.8048475595111197E-2</v>
      </c>
      <c r="N244" s="137">
        <f t="shared" si="94"/>
        <v>8.4856262328453447E-2</v>
      </c>
      <c r="O244" s="137">
        <f t="shared" si="94"/>
        <v>8.1901125295904542E-2</v>
      </c>
      <c r="P244" s="137">
        <f t="shared" si="94"/>
        <v>7.9165134936714621E-2</v>
      </c>
      <c r="Q244" s="137">
        <f t="shared" si="94"/>
        <v>7.6711043244639843E-2</v>
      </c>
      <c r="R244" s="137">
        <f t="shared" si="94"/>
        <v>7.4522704582643096E-2</v>
      </c>
      <c r="S244" s="137">
        <f t="shared" si="94"/>
        <v>7.2518550635588763E-2</v>
      </c>
      <c r="T244" s="137">
        <f t="shared" si="94"/>
        <v>7.0617081734112075E-2</v>
      </c>
      <c r="U244" s="137">
        <f t="shared" si="94"/>
        <v>6.8856466181741016E-2</v>
      </c>
      <c r="V244" s="137">
        <f t="shared" si="94"/>
        <v>6.7327413746059994E-2</v>
      </c>
      <c r="W244" s="137">
        <f t="shared" si="94"/>
        <v>6.5825270583673046E-2</v>
      </c>
      <c r="X244" s="137">
        <f t="shared" si="94"/>
        <v>6.4394650439464352E-2</v>
      </c>
      <c r="Y244" s="137">
        <f t="shared" si="94"/>
        <v>6.3044677188394571E-2</v>
      </c>
      <c r="Z244" s="137">
        <f t="shared" si="94"/>
        <v>6.1808909895111563E-2</v>
      </c>
      <c r="AA244" s="137">
        <f t="shared" si="94"/>
        <v>6.063830806909154E-2</v>
      </c>
      <c r="AB244" s="137">
        <f t="shared" si="94"/>
        <v>5.951918540796397E-2</v>
      </c>
      <c r="AC244" s="137">
        <f t="shared" si="94"/>
        <v>5.8447991204695349E-2</v>
      </c>
      <c r="AD244" s="137">
        <f t="shared" si="94"/>
        <v>5.7419170665372388E-2</v>
      </c>
      <c r="AE244" s="137">
        <f t="shared" si="94"/>
        <v>5.6430482394809189E-2</v>
      </c>
      <c r="AF244" s="137">
        <f t="shared" si="94"/>
        <v>5.5478514062764051E-2</v>
      </c>
      <c r="AG244" s="137">
        <f t="shared" ref="AG244" si="95">AG242/AF242-1</f>
        <v>5.457132614945559E-2</v>
      </c>
      <c r="AH244" s="137">
        <f t="shared" ref="AH244" si="96">AH242/AG242-1</f>
        <v>5.3727924821408868E-2</v>
      </c>
      <c r="AI244" s="137">
        <f t="shared" ref="AI244" si="97">AI242/AH242-1</f>
        <v>5.2925488082788519E-2</v>
      </c>
      <c r="AJ244" s="137">
        <f t="shared" ref="AJ244" si="98">AJ242/AI242-1</f>
        <v>5.216806979165467E-2</v>
      </c>
      <c r="AK244" s="137">
        <f t="shared" ref="AK244" si="99">AK242/AJ242-1</f>
        <v>5.1418262388300828E-2</v>
      </c>
      <c r="AL244" s="137">
        <f t="shared" ref="AL244" si="100">AL242/AK242-1</f>
        <v>5.0677149735994798E-2</v>
      </c>
      <c r="AM244" s="137">
        <f t="shared" ref="AM244" si="101">AM242/AL242-1</f>
        <v>4.9947169650892853E-2</v>
      </c>
      <c r="AN244" s="137">
        <f t="shared" ref="AN244" si="102">AN242/AM242-1</f>
        <v>4.9245970047367305E-2</v>
      </c>
      <c r="AO244" s="137">
        <f t="shared" ref="AO244" si="103">AO242/AN242-1</f>
        <v>4.8567607466127205E-2</v>
      </c>
      <c r="AP244" s="137">
        <f t="shared" ref="AP244" si="104">AP242/AO242-1</f>
        <v>4.7906637709751454E-2</v>
      </c>
      <c r="AQ244" s="137">
        <f t="shared" ref="AQ244" si="105">AQ242/AP242-1</f>
        <v>4.7289249365475072E-2</v>
      </c>
      <c r="AR244" s="137">
        <f t="shared" ref="AR244" si="106">AR242/AQ242-1</f>
        <v>4.6720252688331687E-2</v>
      </c>
      <c r="AS244" s="137">
        <f t="shared" ref="AS244" si="107">AS242/AR242-1</f>
        <v>4.6196366402381228E-2</v>
      </c>
      <c r="AT244" s="137">
        <f t="shared" ref="AT244" si="108">AT242/AS242-1</f>
        <v>4.5567138263041818E-2</v>
      </c>
      <c r="AU244" s="137" t="e">
        <f t="shared" ref="AU244" si="109">AU242/AT242-1</f>
        <v>#N/A</v>
      </c>
      <c r="AV244" s="137" t="e">
        <f t="shared" ref="AV244" si="110">AV242/AU242-1</f>
        <v>#N/A</v>
      </c>
      <c r="AW244" s="137" t="e">
        <f t="shared" ref="AW244" si="111">AW242/AV242-1</f>
        <v>#N/A</v>
      </c>
      <c r="AX244" s="137" t="e">
        <f t="shared" ref="AX244" si="112">AX242/AW242-1</f>
        <v>#N/A</v>
      </c>
      <c r="AY244" s="137" t="e">
        <f t="shared" ref="AY244" si="113">AY242/AX242-1</f>
        <v>#N/A</v>
      </c>
      <c r="AZ244" s="137" t="e">
        <f t="shared" ref="AZ244" si="114">AZ242/AY242-1</f>
        <v>#N/A</v>
      </c>
      <c r="BA244" s="137" t="e">
        <f t="shared" ref="BA244" si="115">BA242/AZ242-1</f>
        <v>#N/A</v>
      </c>
      <c r="BB244" s="137" t="e">
        <f t="shared" ref="BB244" si="116">BB242/BA242-1</f>
        <v>#N/A</v>
      </c>
    </row>
    <row r="245" spans="1:54">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row>
    <row r="246" spans="1:54">
      <c r="A246" s="81"/>
      <c r="B246" s="81"/>
      <c r="C246" s="81"/>
      <c r="D246" s="81"/>
      <c r="E246" s="81"/>
    </row>
    <row r="247" spans="1:54" ht="29">
      <c r="B247" s="91" t="s">
        <v>2992</v>
      </c>
      <c r="C247" s="9"/>
      <c r="D247" s="92">
        <f>D242/C12</f>
        <v>5499.6810088167376</v>
      </c>
    </row>
    <row r="248" spans="1:54" ht="29">
      <c r="B248" s="91" t="s">
        <v>2993</v>
      </c>
      <c r="C248" s="9"/>
      <c r="D248" s="92">
        <f>'Resource costs'!O48</f>
        <v>5255.4005400540045</v>
      </c>
    </row>
    <row r="249" spans="1:54">
      <c r="D249" s="19">
        <f>D247/D248-1</f>
        <v>4.6481798466349256E-2</v>
      </c>
    </row>
    <row r="250" spans="1:54">
      <c r="B250" s="52"/>
      <c r="D250" s="81"/>
    </row>
  </sheetData>
  <pageMargins left="0.7" right="0.7" top="0.75" bottom="0.75" header="0.3" footer="0.3"/>
  <pageSetup paperSize="9" orientation="portrait"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39997558519241921"/>
    <pageSetUpPr autoPageBreaks="0"/>
  </sheetPr>
  <dimension ref="A1:BB250"/>
  <sheetViews>
    <sheetView showGridLines="0" workbookViewId="0"/>
  </sheetViews>
  <sheetFormatPr defaultRowHeight="14.5"/>
  <cols>
    <col min="1" max="1" width="3.08984375" customWidth="1"/>
    <col min="2" max="2" width="21.36328125" customWidth="1"/>
    <col min="3" max="3" width="15" customWidth="1"/>
    <col min="4" max="4" width="17.08984375" customWidth="1"/>
    <col min="5" max="5" width="14.54296875" customWidth="1"/>
    <col min="6" max="6" width="16.08984375" customWidth="1"/>
    <col min="7" max="7" width="14.36328125" customWidth="1"/>
    <col min="8" max="8" width="15" customWidth="1"/>
    <col min="9" max="9" width="14.6328125" bestFit="1" customWidth="1"/>
    <col min="10" max="10" width="17.54296875" customWidth="1"/>
    <col min="11" max="11" width="16.54296875" customWidth="1"/>
    <col min="12" max="14" width="14.6328125" bestFit="1" customWidth="1"/>
    <col min="15" max="15" width="12.90625" customWidth="1"/>
    <col min="16" max="32" width="14.6328125" bestFit="1" customWidth="1"/>
    <col min="33" max="42" width="16.36328125" customWidth="1"/>
    <col min="43" max="49" width="13.36328125" customWidth="1"/>
    <col min="50" max="50" width="15.90625" customWidth="1"/>
    <col min="51" max="51" width="16.6328125" customWidth="1"/>
    <col min="52" max="52" width="16.08984375" customWidth="1"/>
    <col min="53" max="53" width="17.54296875" customWidth="1"/>
    <col min="54" max="54" width="17.08984375" customWidth="1"/>
  </cols>
  <sheetData>
    <row r="1" spans="1:53" s="782" customFormat="1" ht="18.5">
      <c r="A1" s="780" t="s">
        <v>3532</v>
      </c>
    </row>
    <row r="2" spans="1:53" s="782" customFormat="1">
      <c r="A2" s="782" t="s">
        <v>3533</v>
      </c>
    </row>
    <row r="3" spans="1:53" s="782" customFormat="1"/>
    <row r="4" spans="1:53" s="783" customFormat="1"/>
    <row r="6" spans="1:53">
      <c r="B6" s="63"/>
      <c r="C6" s="38"/>
      <c r="D6" s="38"/>
      <c r="E6" s="38"/>
      <c r="F6" s="38"/>
      <c r="G6" s="38"/>
      <c r="H6" s="38"/>
      <c r="I6" s="38"/>
      <c r="J6" s="38"/>
      <c r="K6" s="38"/>
      <c r="L6" s="38"/>
      <c r="M6" s="38"/>
      <c r="N6" s="38"/>
      <c r="O6" s="38"/>
      <c r="P6" s="38"/>
      <c r="Q6" s="38"/>
      <c r="R6" s="38"/>
      <c r="S6" s="38"/>
      <c r="T6" s="38"/>
      <c r="U6" s="38"/>
      <c r="V6" s="38"/>
      <c r="W6" s="38"/>
      <c r="X6" s="38"/>
      <c r="Y6" s="38"/>
      <c r="Z6" s="38"/>
      <c r="AA6" s="38"/>
      <c r="AB6" s="38"/>
      <c r="AC6" s="38"/>
      <c r="AD6" s="38"/>
      <c r="AE6" s="38"/>
    </row>
    <row r="7" spans="1:53" s="588" customFormat="1">
      <c r="A7" s="593" t="s">
        <v>10</v>
      </c>
      <c r="B7" s="639" t="s">
        <v>2984</v>
      </c>
      <c r="C7" s="640"/>
      <c r="D7" s="640"/>
      <c r="E7" s="640"/>
      <c r="F7" s="640"/>
      <c r="G7" s="640"/>
      <c r="H7" s="640"/>
      <c r="I7" s="640"/>
      <c r="J7" s="640"/>
      <c r="K7" s="640"/>
      <c r="L7" s="640"/>
      <c r="M7" s="640"/>
      <c r="N7" s="640"/>
      <c r="O7" s="640"/>
      <c r="P7" s="640"/>
      <c r="Q7" s="640"/>
      <c r="R7" s="640"/>
      <c r="S7" s="640"/>
      <c r="T7" s="640"/>
      <c r="U7" s="640"/>
      <c r="V7" s="640"/>
      <c r="W7" s="640"/>
      <c r="X7" s="640"/>
      <c r="Y7" s="640"/>
      <c r="Z7" s="640"/>
      <c r="AA7" s="640"/>
      <c r="AB7" s="640"/>
      <c r="AC7" s="640"/>
      <c r="AD7" s="640"/>
      <c r="AE7" s="640"/>
    </row>
    <row r="8" spans="1:53">
      <c r="B8" s="63"/>
      <c r="C8" s="38"/>
      <c r="D8" s="38"/>
      <c r="E8" s="75"/>
      <c r="F8" s="38"/>
      <c r="G8" s="38"/>
      <c r="H8" s="38"/>
      <c r="I8" s="38"/>
      <c r="J8" s="38"/>
      <c r="K8" s="38"/>
      <c r="L8" s="38"/>
      <c r="M8" s="38"/>
      <c r="N8" s="38"/>
      <c r="O8" s="38"/>
      <c r="P8" s="38"/>
      <c r="Q8" s="38"/>
      <c r="R8" s="38"/>
      <c r="S8" s="38"/>
      <c r="T8" s="38"/>
      <c r="U8" s="38"/>
      <c r="V8" s="38"/>
      <c r="W8" s="38"/>
      <c r="X8" s="38"/>
      <c r="Y8" s="38"/>
      <c r="Z8" s="38"/>
      <c r="AA8" s="38"/>
      <c r="AB8" s="38"/>
      <c r="AC8" s="38"/>
      <c r="AD8" s="38"/>
      <c r="AE8" s="38"/>
    </row>
    <row r="9" spans="1:53">
      <c r="C9" s="72"/>
      <c r="D9" s="69"/>
      <c r="E9" s="75"/>
      <c r="F9" s="38"/>
      <c r="G9" s="38"/>
      <c r="H9" s="38"/>
      <c r="I9" s="38"/>
      <c r="J9" s="38"/>
      <c r="K9" s="38"/>
      <c r="L9" s="38"/>
      <c r="M9" s="38"/>
      <c r="N9" s="38"/>
      <c r="O9" s="38"/>
      <c r="P9" s="38"/>
      <c r="Q9" s="38"/>
      <c r="R9" s="38"/>
      <c r="S9" s="38"/>
      <c r="T9" s="38"/>
      <c r="U9" s="38"/>
      <c r="V9" s="38"/>
      <c r="W9" s="38"/>
      <c r="X9" s="38"/>
      <c r="Y9" s="38"/>
      <c r="Z9" s="38"/>
      <c r="AA9" s="38"/>
      <c r="AB9" s="38"/>
      <c r="AC9" s="38"/>
      <c r="AD9" s="38"/>
      <c r="AE9" s="38"/>
    </row>
    <row r="10" spans="1:53" s="4" customFormat="1">
      <c r="B10" s="67"/>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row>
    <row r="11" spans="1:53" s="4" customFormat="1">
      <c r="C11" s="34">
        <f>'Prevalence projection'!C$21</f>
        <v>2020</v>
      </c>
      <c r="D11" s="34">
        <f>'Prevalence projection'!D$21</f>
        <v>2021</v>
      </c>
      <c r="E11" s="34">
        <f>'Prevalence projection'!E$21</f>
        <v>2022</v>
      </c>
      <c r="F11" s="34">
        <f>'Prevalence projection'!F$21</f>
        <v>2023</v>
      </c>
      <c r="G11" s="34">
        <f>'Prevalence projection'!G$21</f>
        <v>2024</v>
      </c>
      <c r="H11" s="34">
        <f>'Prevalence projection'!H$21</f>
        <v>2025</v>
      </c>
      <c r="I11" s="34">
        <f>'Prevalence projection'!I$21</f>
        <v>2026</v>
      </c>
      <c r="J11" s="34">
        <f>'Prevalence projection'!J$21</f>
        <v>2027</v>
      </c>
      <c r="K11" s="34">
        <f>'Prevalence projection'!K$21</f>
        <v>2028</v>
      </c>
      <c r="L11" s="34">
        <f>'Prevalence projection'!L$21</f>
        <v>2029</v>
      </c>
      <c r="M11" s="34">
        <f>'Prevalence projection'!M$21</f>
        <v>2030</v>
      </c>
      <c r="N11" s="34">
        <f>'Prevalence projection'!N$21</f>
        <v>2031</v>
      </c>
      <c r="O11" s="34">
        <f>'Prevalence projection'!O$21</f>
        <v>2032</v>
      </c>
      <c r="P11" s="34">
        <f>'Prevalence projection'!P$21</f>
        <v>2033</v>
      </c>
      <c r="Q11" s="34">
        <f>'Prevalence projection'!Q$21</f>
        <v>2034</v>
      </c>
      <c r="R11" s="34">
        <f>'Prevalence projection'!R$21</f>
        <v>2035</v>
      </c>
      <c r="S11" s="34">
        <f>'Prevalence projection'!S$21</f>
        <v>2036</v>
      </c>
      <c r="T11" s="34">
        <f>'Prevalence projection'!T$21</f>
        <v>2037</v>
      </c>
      <c r="U11" s="34">
        <f>'Prevalence projection'!U$21</f>
        <v>2038</v>
      </c>
      <c r="V11" s="34">
        <f>'Prevalence projection'!V$21</f>
        <v>2039</v>
      </c>
      <c r="W11" s="34">
        <f>'Prevalence projection'!W$21</f>
        <v>2040</v>
      </c>
      <c r="X11" s="34">
        <f>'Prevalence projection'!X$21</f>
        <v>2041</v>
      </c>
      <c r="Y11" s="34">
        <f>'Prevalence projection'!Y$21</f>
        <v>2042</v>
      </c>
      <c r="Z11" s="34">
        <f>'Prevalence projection'!Z$21</f>
        <v>2043</v>
      </c>
      <c r="AA11" s="34">
        <f>'Prevalence projection'!AA$21</f>
        <v>2044</v>
      </c>
      <c r="AB11" s="34">
        <f>'Prevalence projection'!AB$21</f>
        <v>2045</v>
      </c>
      <c r="AC11" s="34">
        <f>'Prevalence projection'!AC$21</f>
        <v>2046</v>
      </c>
      <c r="AD11" s="34">
        <f>'Prevalence projection'!AD$21</f>
        <v>2047</v>
      </c>
      <c r="AE11" s="34">
        <f>'Prevalence projection'!AE$21</f>
        <v>2048</v>
      </c>
      <c r="AF11" s="34">
        <f>'Prevalence projection'!AF$21</f>
        <v>2049</v>
      </c>
      <c r="AG11" s="34">
        <f>'Prevalence projection'!AG$21</f>
        <v>2050</v>
      </c>
      <c r="AH11" s="34">
        <f>'Prevalence projection'!AH$21</f>
        <v>2051</v>
      </c>
      <c r="AI11" s="34">
        <f>'Prevalence projection'!AI$21</f>
        <v>2052</v>
      </c>
      <c r="AJ11" s="34">
        <f>'Prevalence projection'!AJ$21</f>
        <v>2053</v>
      </c>
      <c r="AK11" s="34">
        <f>'Prevalence projection'!AK$21</f>
        <v>2054</v>
      </c>
      <c r="AL11" s="34">
        <f>'Prevalence projection'!AL$21</f>
        <v>2055</v>
      </c>
      <c r="AM11" s="34">
        <f>'Prevalence projection'!AM$21</f>
        <v>2056</v>
      </c>
      <c r="AN11" s="34">
        <f>'Prevalence projection'!AN$21</f>
        <v>2057</v>
      </c>
      <c r="AO11" s="34">
        <f>'Prevalence projection'!AO$21</f>
        <v>2058</v>
      </c>
      <c r="AP11" s="34">
        <f>'Prevalence projection'!AP$21</f>
        <v>2059</v>
      </c>
      <c r="AQ11" s="34">
        <f>'Prevalence projection'!AQ$21</f>
        <v>2060</v>
      </c>
      <c r="AR11" s="34">
        <f>'Prevalence projection'!AR$21</f>
        <v>2061</v>
      </c>
      <c r="AS11" s="34">
        <f>'Prevalence projection'!AS$21</f>
        <v>2062</v>
      </c>
      <c r="AT11" s="34">
        <f>'Prevalence projection'!AT$21</f>
        <v>2063</v>
      </c>
      <c r="AU11" s="34">
        <f>'Prevalence projection'!AU$21</f>
        <v>2064</v>
      </c>
      <c r="AV11" s="34">
        <f>'Prevalence projection'!AV$21</f>
        <v>2065</v>
      </c>
      <c r="AW11" s="34">
        <f>'Prevalence projection'!AW$21</f>
        <v>2066</v>
      </c>
      <c r="AX11" s="34">
        <f>'Prevalence projection'!AX$21</f>
        <v>2067</v>
      </c>
      <c r="AY11" s="34">
        <f>'Prevalence projection'!AY$21</f>
        <v>2068</v>
      </c>
      <c r="AZ11" s="34">
        <f>'Prevalence projection'!AZ$21</f>
        <v>2069</v>
      </c>
      <c r="BA11" s="34">
        <f>'Prevalence projection'!BA$21</f>
        <v>2070</v>
      </c>
    </row>
    <row r="12" spans="1:53" s="4" customFormat="1">
      <c r="B12" s="12" t="s">
        <v>2985</v>
      </c>
      <c r="C12" s="39">
        <f>'Prevalence projection'!C66</f>
        <v>82.5</v>
      </c>
      <c r="D12" s="39">
        <f>'Prevalence projection'!D66</f>
        <v>85.671252397034777</v>
      </c>
      <c r="E12" s="39">
        <f>'Prevalence projection'!E66</f>
        <v>88.409985944913515</v>
      </c>
      <c r="F12" s="39">
        <f>'Prevalence projection'!F66</f>
        <v>90.841470209093458</v>
      </c>
      <c r="G12" s="39">
        <f>'Prevalence projection'!G66</f>
        <v>93.082241400315425</v>
      </c>
      <c r="H12" s="39">
        <f>'Prevalence projection'!H66</f>
        <v>95.200764065208375</v>
      </c>
      <c r="I12" s="39">
        <f>'Prevalence projection'!I66</f>
        <v>97.20623037802207</v>
      </c>
      <c r="J12" s="39">
        <f>'Prevalence projection'!J66</f>
        <v>99.13317447773133</v>
      </c>
      <c r="K12" s="39">
        <f>'Prevalence projection'!K66</f>
        <v>101.15852006691416</v>
      </c>
      <c r="L12" s="39">
        <f>'Prevalence projection'!L66</f>
        <v>103.17839473434539</v>
      </c>
      <c r="M12" s="39">
        <f>'Prevalence projection'!M66</f>
        <v>105.14341642908033</v>
      </c>
      <c r="N12" s="39">
        <f>'Prevalence projection'!N66</f>
        <v>107.03330423630574</v>
      </c>
      <c r="O12" s="39">
        <f>'Prevalence projection'!O66</f>
        <v>108.83646981539874</v>
      </c>
      <c r="P12" s="39">
        <f>'Prevalence projection'!P66</f>
        <v>110.58425481420778</v>
      </c>
      <c r="Q12" s="39">
        <f>'Prevalence projection'!Q66</f>
        <v>112.31262773751317</v>
      </c>
      <c r="R12" s="39">
        <f>'Prevalence projection'!R66</f>
        <v>114.02735538292637</v>
      </c>
      <c r="S12" s="39">
        <f>'Prevalence projection'!S66</f>
        <v>115.70150768759851</v>
      </c>
      <c r="T12" s="39">
        <f>'Prevalence projection'!T66</f>
        <v>117.33997010195631</v>
      </c>
      <c r="U12" s="39">
        <f>'Prevalence projection'!U66</f>
        <v>119.00890563523252</v>
      </c>
      <c r="V12" s="39">
        <f>'Prevalence projection'!V66</f>
        <v>120.65395422314508</v>
      </c>
      <c r="W12" s="39">
        <f>'Prevalence projection'!W66</f>
        <v>122.25971462376572</v>
      </c>
      <c r="X12" s="39">
        <f>'Prevalence projection'!X66</f>
        <v>123.82382636778361</v>
      </c>
      <c r="Y12" s="39">
        <f>'Prevalence projection'!Y66</f>
        <v>125.37276808932094</v>
      </c>
      <c r="Z12" s="39">
        <f>'Prevalence projection'!Z66</f>
        <v>126.9007679314233</v>
      </c>
      <c r="AA12" s="39">
        <f>'Prevalence projection'!AA66</f>
        <v>128.39705697397048</v>
      </c>
      <c r="AB12" s="39">
        <f>'Prevalence projection'!AB66</f>
        <v>129.85324523760454</v>
      </c>
      <c r="AC12" s="39">
        <f>'Prevalence projection'!AC66</f>
        <v>131.26091577456455</v>
      </c>
      <c r="AD12" s="39">
        <f>'Prevalence projection'!AD66</f>
        <v>132.61384049203292</v>
      </c>
      <c r="AE12" s="39">
        <f>'Prevalence projection'!AE66</f>
        <v>133.90635997853173</v>
      </c>
      <c r="AF12" s="39">
        <f>'Prevalence projection'!AF66</f>
        <v>135.14327566966779</v>
      </c>
      <c r="AG12" s="39">
        <f>'Prevalence projection'!AG66</f>
        <v>136.34911564441759</v>
      </c>
      <c r="AH12" s="39">
        <f>'Prevalence projection'!AH66</f>
        <v>137.52665975238099</v>
      </c>
      <c r="AI12" s="39">
        <f>'Prevalence projection'!AI66</f>
        <v>138.68512595180937</v>
      </c>
      <c r="AJ12" s="39">
        <f>'Prevalence projection'!AJ66</f>
        <v>139.79715248280675</v>
      </c>
      <c r="AK12" s="39">
        <f>'Prevalence projection'!AK66</f>
        <v>140.84178569525929</v>
      </c>
      <c r="AL12" s="39">
        <f>'Prevalence projection'!AL66</f>
        <v>141.80478376935463</v>
      </c>
      <c r="AM12" s="39">
        <f>'Prevalence projection'!AM66</f>
        <v>142.6945738303196</v>
      </c>
      <c r="AN12" s="39">
        <f>'Prevalence projection'!AN66</f>
        <v>143.51303981166242</v>
      </c>
      <c r="AO12" s="39">
        <f>'Prevalence projection'!AO66</f>
        <v>144.25672500512002</v>
      </c>
      <c r="AP12" s="39">
        <f>'Prevalence projection'!AP66</f>
        <v>144.95554249642674</v>
      </c>
      <c r="AQ12" s="39">
        <f>'Prevalence projection'!AQ66</f>
        <v>145.64308606968427</v>
      </c>
      <c r="AR12" s="39">
        <f>'Prevalence projection'!AR66</f>
        <v>146.3463787727992</v>
      </c>
      <c r="AS12" s="39">
        <f>'Prevalence projection'!AS66</f>
        <v>146.89459543487726</v>
      </c>
      <c r="AT12" s="39">
        <f>'Prevalence projection'!AT66</f>
        <v>147.32193032296712</v>
      </c>
      <c r="AU12" s="39">
        <f>'Prevalence projection'!AU66</f>
        <v>147.65503786823317</v>
      </c>
      <c r="AV12" s="39">
        <f>'Prevalence projection'!AV66</f>
        <v>147.91469519976803</v>
      </c>
      <c r="AW12" s="39">
        <f>'Prevalence projection'!AW66</f>
        <v>148.11709808969945</v>
      </c>
      <c r="AX12" s="39">
        <f>'Prevalence projection'!AX66</f>
        <v>148.274871142401</v>
      </c>
      <c r="AY12" s="39">
        <f>'Prevalence projection'!AY66</f>
        <v>148.39785523698185</v>
      </c>
      <c r="AZ12" s="39">
        <f>'Prevalence projection'!AZ66</f>
        <v>148.49372133870764</v>
      </c>
      <c r="BA12" s="39">
        <f>'Prevalence projection'!BA66</f>
        <v>148.56844896500289</v>
      </c>
    </row>
    <row r="13" spans="1:53" s="4" customFormat="1">
      <c r="B13" s="12" t="s">
        <v>97</v>
      </c>
      <c r="C13" s="39">
        <f>'Prevalence projection'!C67</f>
        <v>34.65</v>
      </c>
      <c r="D13" s="39">
        <f>'Prevalence projection'!D67</f>
        <v>35.981926006754605</v>
      </c>
      <c r="E13" s="39">
        <f>'Prevalence projection'!E67</f>
        <v>37.132194096863678</v>
      </c>
      <c r="F13" s="39">
        <f>'Prevalence projection'!F67</f>
        <v>38.153417487819254</v>
      </c>
      <c r="G13" s="39">
        <f>'Prevalence projection'!G67</f>
        <v>39.094541388132477</v>
      </c>
      <c r="H13" s="39">
        <f>'Prevalence projection'!H67</f>
        <v>39.984320907387513</v>
      </c>
      <c r="I13" s="39">
        <f>'Prevalence projection'!I67</f>
        <v>40.826616758769269</v>
      </c>
      <c r="J13" s="39">
        <f>'Prevalence projection'!J67</f>
        <v>41.635933280647158</v>
      </c>
      <c r="K13" s="39">
        <f>'Prevalence projection'!K67</f>
        <v>42.486578428103947</v>
      </c>
      <c r="L13" s="39">
        <f>'Prevalence projection'!L67</f>
        <v>43.33492578842506</v>
      </c>
      <c r="M13" s="39">
        <f>'Prevalence projection'!M67</f>
        <v>44.160234900213737</v>
      </c>
      <c r="N13" s="39">
        <f>'Prevalence projection'!N67</f>
        <v>44.953987779248408</v>
      </c>
      <c r="O13" s="39">
        <f>'Prevalence projection'!O67</f>
        <v>45.711317322467472</v>
      </c>
      <c r="P13" s="39">
        <f>'Prevalence projection'!P67</f>
        <v>46.445387021967264</v>
      </c>
      <c r="Q13" s="39">
        <f>'Prevalence projection'!Q67</f>
        <v>47.171303649755529</v>
      </c>
      <c r="R13" s="39">
        <f>'Prevalence projection'!R67</f>
        <v>47.891489260829076</v>
      </c>
      <c r="S13" s="39">
        <f>'Prevalence projection'!S67</f>
        <v>48.594633228791373</v>
      </c>
      <c r="T13" s="39">
        <f>'Prevalence projection'!T67</f>
        <v>49.28278744282165</v>
      </c>
      <c r="U13" s="39">
        <f>'Prevalence projection'!U67</f>
        <v>49.983740366797655</v>
      </c>
      <c r="V13" s="39">
        <f>'Prevalence projection'!V67</f>
        <v>50.67466077372093</v>
      </c>
      <c r="W13" s="39">
        <f>'Prevalence projection'!W67</f>
        <v>51.349080141981602</v>
      </c>
      <c r="X13" s="39">
        <f>'Prevalence projection'!X67</f>
        <v>52.006007074469117</v>
      </c>
      <c r="Y13" s="39">
        <f>'Prevalence projection'!Y67</f>
        <v>52.656562597514792</v>
      </c>
      <c r="Z13" s="39">
        <f>'Prevalence projection'!Z67</f>
        <v>53.298322531197783</v>
      </c>
      <c r="AA13" s="39">
        <f>'Prevalence projection'!AA67</f>
        <v>53.926763929067597</v>
      </c>
      <c r="AB13" s="39">
        <f>'Prevalence projection'!AB67</f>
        <v>54.538362999793904</v>
      </c>
      <c r="AC13" s="39">
        <f>'Prevalence projection'!AC67</f>
        <v>55.129584625317108</v>
      </c>
      <c r="AD13" s="39">
        <f>'Prevalence projection'!AD67</f>
        <v>55.697813006653824</v>
      </c>
      <c r="AE13" s="39">
        <f>'Prevalence projection'!AE67</f>
        <v>56.240671190983321</v>
      </c>
      <c r="AF13" s="39">
        <f>'Prevalence projection'!AF67</f>
        <v>56.760175781260472</v>
      </c>
      <c r="AG13" s="39">
        <f>'Prevalence projection'!AG67</f>
        <v>57.266628570655385</v>
      </c>
      <c r="AH13" s="39">
        <f>'Prevalence projection'!AH67</f>
        <v>57.761197096000018</v>
      </c>
      <c r="AI13" s="39">
        <f>'Prevalence projection'!AI67</f>
        <v>58.247752899759931</v>
      </c>
      <c r="AJ13" s="39">
        <f>'Prevalence projection'!AJ67</f>
        <v>58.71480404277883</v>
      </c>
      <c r="AK13" s="39">
        <f>'Prevalence projection'!AK67</f>
        <v>59.153549992008898</v>
      </c>
      <c r="AL13" s="39">
        <f>'Prevalence projection'!AL67</f>
        <v>59.558009183128945</v>
      </c>
      <c r="AM13" s="39">
        <f>'Prevalence projection'!AM67</f>
        <v>59.931721008734229</v>
      </c>
      <c r="AN13" s="39">
        <f>'Prevalence projection'!AN67</f>
        <v>60.275476720898219</v>
      </c>
      <c r="AO13" s="39">
        <f>'Prevalence projection'!AO67</f>
        <v>60.587824502150404</v>
      </c>
      <c r="AP13" s="39">
        <f>'Prevalence projection'!AP67</f>
        <v>60.881327848499232</v>
      </c>
      <c r="AQ13" s="39">
        <f>'Prevalence projection'!AQ67</f>
        <v>61.170096149267394</v>
      </c>
      <c r="AR13" s="39">
        <f>'Prevalence projection'!AR67</f>
        <v>61.465479084575662</v>
      </c>
      <c r="AS13" s="39">
        <f>'Prevalence projection'!AS67</f>
        <v>61.695730082648446</v>
      </c>
      <c r="AT13" s="39">
        <f>'Prevalence projection'!AT67</f>
        <v>61.875210735646185</v>
      </c>
      <c r="AU13" s="39">
        <f>'Prevalence projection'!AU67</f>
        <v>62.015115904657925</v>
      </c>
      <c r="AV13" s="39">
        <f>'Prevalence projection'!AV67</f>
        <v>62.124171983902571</v>
      </c>
      <c r="AW13" s="39">
        <f>'Prevalence projection'!AW67</f>
        <v>62.209181197673772</v>
      </c>
      <c r="AX13" s="39">
        <f>'Prevalence projection'!AX67</f>
        <v>62.275445879808416</v>
      </c>
      <c r="AY13" s="39">
        <f>'Prevalence projection'!AY67</f>
        <v>62.327099199532377</v>
      </c>
      <c r="AZ13" s="39">
        <f>'Prevalence projection'!AZ67</f>
        <v>62.367362962257211</v>
      </c>
      <c r="BA13" s="39">
        <f>'Prevalence projection'!BA67</f>
        <v>62.398748565301211</v>
      </c>
    </row>
    <row r="14" spans="1:53" s="4" customFormat="1">
      <c r="B14" s="12" t="s">
        <v>98</v>
      </c>
      <c r="C14" s="39">
        <f>'Prevalence projection'!C68</f>
        <v>47.85</v>
      </c>
      <c r="D14" s="39">
        <f>'Prevalence projection'!D68</f>
        <v>49.689326390280172</v>
      </c>
      <c r="E14" s="39">
        <f>'Prevalence projection'!E68</f>
        <v>51.277791848049837</v>
      </c>
      <c r="F14" s="39">
        <f>'Prevalence projection'!F68</f>
        <v>52.688052721274204</v>
      </c>
      <c r="G14" s="39">
        <f>'Prevalence projection'!G68</f>
        <v>53.987700012182948</v>
      </c>
      <c r="H14" s="39">
        <f>'Prevalence projection'!H68</f>
        <v>55.216443157820862</v>
      </c>
      <c r="I14" s="39">
        <f>'Prevalence projection'!I68</f>
        <v>56.379613619252801</v>
      </c>
      <c r="J14" s="39">
        <f>'Prevalence projection'!J68</f>
        <v>57.497241197084172</v>
      </c>
      <c r="K14" s="39">
        <f>'Prevalence projection'!K68</f>
        <v>58.671941638810218</v>
      </c>
      <c r="L14" s="39">
        <f>'Prevalence projection'!L68</f>
        <v>59.843468945920328</v>
      </c>
      <c r="M14" s="39">
        <f>'Prevalence projection'!M68</f>
        <v>60.983181528866595</v>
      </c>
      <c r="N14" s="39">
        <f>'Prevalence projection'!N68</f>
        <v>62.079316457057331</v>
      </c>
      <c r="O14" s="39">
        <f>'Prevalence projection'!O68</f>
        <v>63.125152492931271</v>
      </c>
      <c r="P14" s="39">
        <f>'Prevalence projection'!P68</f>
        <v>64.138867792240518</v>
      </c>
      <c r="Q14" s="39">
        <f>'Prevalence projection'!Q68</f>
        <v>65.141324087757638</v>
      </c>
      <c r="R14" s="39">
        <f>'Prevalence projection'!R68</f>
        <v>66.135866122097298</v>
      </c>
      <c r="S14" s="39">
        <f>'Prevalence projection'!S68</f>
        <v>67.106874458807141</v>
      </c>
      <c r="T14" s="39">
        <f>'Prevalence projection'!T68</f>
        <v>68.057182659134668</v>
      </c>
      <c r="U14" s="39">
        <f>'Prevalence projection'!U68</f>
        <v>69.025165268434876</v>
      </c>
      <c r="V14" s="39">
        <f>'Prevalence projection'!V68</f>
        <v>69.979293449424148</v>
      </c>
      <c r="W14" s="39">
        <f>'Prevalence projection'!W68</f>
        <v>70.910634481784115</v>
      </c>
      <c r="X14" s="39">
        <f>'Prevalence projection'!X68</f>
        <v>71.8178192933145</v>
      </c>
      <c r="Y14" s="39">
        <f>'Prevalence projection'!Y68</f>
        <v>72.71620549180615</v>
      </c>
      <c r="Z14" s="39">
        <f>'Prevalence projection'!Z68</f>
        <v>73.60244540022552</v>
      </c>
      <c r="AA14" s="39">
        <f>'Prevalence projection'!AA68</f>
        <v>74.470293044902888</v>
      </c>
      <c r="AB14" s="39">
        <f>'Prevalence projection'!AB68</f>
        <v>75.314882237810636</v>
      </c>
      <c r="AC14" s="39">
        <f>'Prevalence projection'!AC68</f>
        <v>76.131331149247444</v>
      </c>
      <c r="AD14" s="39">
        <f>'Prevalence projection'!AD68</f>
        <v>76.91602748537909</v>
      </c>
      <c r="AE14" s="39">
        <f>'Prevalence projection'!AE68</f>
        <v>77.665688787548405</v>
      </c>
      <c r="AF14" s="39">
        <f>'Prevalence projection'!AF68</f>
        <v>78.383099888407315</v>
      </c>
      <c r="AG14" s="39">
        <f>'Prevalence projection'!AG68</f>
        <v>79.082487073762209</v>
      </c>
      <c r="AH14" s="39">
        <f>'Prevalence projection'!AH68</f>
        <v>79.765462656380976</v>
      </c>
      <c r="AI14" s="39">
        <f>'Prevalence projection'!AI68</f>
        <v>80.437373052049438</v>
      </c>
      <c r="AJ14" s="39">
        <f>'Prevalence projection'!AJ68</f>
        <v>81.082348440027914</v>
      </c>
      <c r="AK14" s="39">
        <f>'Prevalence projection'!AK68</f>
        <v>81.688235703250399</v>
      </c>
      <c r="AL14" s="39">
        <f>'Prevalence projection'!AL68</f>
        <v>82.246774586225683</v>
      </c>
      <c r="AM14" s="39">
        <f>'Prevalence projection'!AM68</f>
        <v>82.762852821585369</v>
      </c>
      <c r="AN14" s="39">
        <f>'Prevalence projection'!AN68</f>
        <v>83.237563090764212</v>
      </c>
      <c r="AO14" s="39">
        <f>'Prevalence projection'!AO68</f>
        <v>83.66890050296962</v>
      </c>
      <c r="AP14" s="39">
        <f>'Prevalence projection'!AP68</f>
        <v>84.074214647927505</v>
      </c>
      <c r="AQ14" s="39">
        <f>'Prevalence projection'!AQ68</f>
        <v>84.472989920416879</v>
      </c>
      <c r="AR14" s="39">
        <f>'Prevalence projection'!AR68</f>
        <v>84.880899688223536</v>
      </c>
      <c r="AS14" s="39">
        <f>'Prevalence projection'!AS68</f>
        <v>85.198865352228808</v>
      </c>
      <c r="AT14" s="39">
        <f>'Prevalence projection'!AT68</f>
        <v>85.446719587320928</v>
      </c>
      <c r="AU14" s="39">
        <f>'Prevalence projection'!AU68</f>
        <v>85.639921963575233</v>
      </c>
      <c r="AV14" s="39">
        <f>'Prevalence projection'!AV68</f>
        <v>85.790523215865463</v>
      </c>
      <c r="AW14" s="39">
        <f>'Prevalence projection'!AW68</f>
        <v>85.907916892025682</v>
      </c>
      <c r="AX14" s="39">
        <f>'Prevalence projection'!AX68</f>
        <v>85.999425262592581</v>
      </c>
      <c r="AY14" s="39">
        <f>'Prevalence projection'!AY68</f>
        <v>86.070756037449485</v>
      </c>
      <c r="AZ14" s="39">
        <f>'Prevalence projection'!AZ68</f>
        <v>86.12635837645044</v>
      </c>
      <c r="BA14" s="39">
        <f>'Prevalence projection'!BA68</f>
        <v>86.169700399701668</v>
      </c>
    </row>
    <row r="15" spans="1:53" s="4" customFormat="1">
      <c r="C15" s="75" t="b">
        <f t="shared" ref="C15:AE15" si="0">C14/C12=$D$18</f>
        <v>1</v>
      </c>
      <c r="D15" s="75" t="b">
        <f t="shared" si="0"/>
        <v>1</v>
      </c>
      <c r="E15" s="75" t="b">
        <f t="shared" si="0"/>
        <v>1</v>
      </c>
      <c r="F15" s="75" t="b">
        <f t="shared" si="0"/>
        <v>1</v>
      </c>
      <c r="G15" s="75" t="b">
        <f t="shared" si="0"/>
        <v>1</v>
      </c>
      <c r="H15" s="75" t="b">
        <f t="shared" si="0"/>
        <v>1</v>
      </c>
      <c r="I15" s="75" t="b">
        <f t="shared" si="0"/>
        <v>1</v>
      </c>
      <c r="J15" s="75" t="b">
        <f t="shared" si="0"/>
        <v>1</v>
      </c>
      <c r="K15" s="75" t="b">
        <f t="shared" si="0"/>
        <v>1</v>
      </c>
      <c r="L15" s="75" t="b">
        <f t="shared" si="0"/>
        <v>1</v>
      </c>
      <c r="M15" s="75" t="b">
        <f t="shared" si="0"/>
        <v>1</v>
      </c>
      <c r="N15" s="75" t="b">
        <f t="shared" si="0"/>
        <v>1</v>
      </c>
      <c r="O15" s="75" t="b">
        <f t="shared" si="0"/>
        <v>1</v>
      </c>
      <c r="P15" s="75" t="b">
        <f t="shared" si="0"/>
        <v>1</v>
      </c>
      <c r="Q15" s="75" t="b">
        <f t="shared" si="0"/>
        <v>1</v>
      </c>
      <c r="R15" s="75" t="b">
        <f t="shared" si="0"/>
        <v>1</v>
      </c>
      <c r="S15" s="75" t="b">
        <f t="shared" si="0"/>
        <v>1</v>
      </c>
      <c r="T15" s="75" t="b">
        <f t="shared" si="0"/>
        <v>1</v>
      </c>
      <c r="U15" s="75" t="b">
        <f t="shared" si="0"/>
        <v>1</v>
      </c>
      <c r="V15" s="75" t="b">
        <f t="shared" si="0"/>
        <v>1</v>
      </c>
      <c r="W15" s="75" t="b">
        <f t="shared" si="0"/>
        <v>1</v>
      </c>
      <c r="X15" s="75" t="b">
        <f t="shared" si="0"/>
        <v>1</v>
      </c>
      <c r="Y15" s="75" t="b">
        <f t="shared" si="0"/>
        <v>1</v>
      </c>
      <c r="Z15" s="75" t="b">
        <f t="shared" si="0"/>
        <v>1</v>
      </c>
      <c r="AA15" s="75" t="b">
        <f t="shared" si="0"/>
        <v>1</v>
      </c>
      <c r="AB15" s="75" t="b">
        <f t="shared" si="0"/>
        <v>1</v>
      </c>
      <c r="AC15" s="75" t="b">
        <f t="shared" si="0"/>
        <v>1</v>
      </c>
      <c r="AD15" s="75" t="b">
        <f t="shared" si="0"/>
        <v>1</v>
      </c>
      <c r="AE15" s="75" t="b">
        <f t="shared" si="0"/>
        <v>1</v>
      </c>
      <c r="AF15" s="75" t="b">
        <f t="shared" ref="AF15:AM15" si="1">AF14/AF12=$D$18</f>
        <v>1</v>
      </c>
      <c r="AG15" s="75" t="b">
        <f t="shared" si="1"/>
        <v>1</v>
      </c>
      <c r="AH15" s="75" t="b">
        <f t="shared" si="1"/>
        <v>1</v>
      </c>
      <c r="AI15" s="75" t="b">
        <f t="shared" si="1"/>
        <v>1</v>
      </c>
      <c r="AJ15" s="75" t="b">
        <f t="shared" si="1"/>
        <v>1</v>
      </c>
      <c r="AK15" s="75" t="b">
        <f t="shared" si="1"/>
        <v>1</v>
      </c>
      <c r="AL15" s="75" t="b">
        <f t="shared" si="1"/>
        <v>1</v>
      </c>
      <c r="AM15" s="75" t="b">
        <f t="shared" si="1"/>
        <v>1</v>
      </c>
      <c r="AN15" s="75" t="b">
        <f t="shared" ref="AN15:AO15" si="2">AN14/AN12=$D$18</f>
        <v>1</v>
      </c>
      <c r="AO15" s="75" t="b">
        <f t="shared" si="2"/>
        <v>1</v>
      </c>
      <c r="AP15" s="75" t="b">
        <f t="shared" ref="AP15:AV15" si="3">AP14/AP12=$D$18</f>
        <v>1</v>
      </c>
      <c r="AQ15" s="75" t="b">
        <f t="shared" si="3"/>
        <v>1</v>
      </c>
      <c r="AR15" s="75" t="b">
        <f t="shared" si="3"/>
        <v>1</v>
      </c>
      <c r="AS15" s="75" t="b">
        <f t="shared" si="3"/>
        <v>1</v>
      </c>
      <c r="AT15" s="75" t="b">
        <f t="shared" si="3"/>
        <v>1</v>
      </c>
      <c r="AU15" s="75" t="b">
        <f t="shared" si="3"/>
        <v>1</v>
      </c>
      <c r="AV15" s="75" t="b">
        <f t="shared" si="3"/>
        <v>1</v>
      </c>
      <c r="AW15" s="75" t="b">
        <f t="shared" ref="AW15:BA15" si="4">AW14/AW12=$D$18</f>
        <v>1</v>
      </c>
      <c r="AX15" s="75" t="b">
        <f t="shared" si="4"/>
        <v>1</v>
      </c>
      <c r="AY15" s="75" t="b">
        <f t="shared" si="4"/>
        <v>1</v>
      </c>
      <c r="AZ15" s="75" t="b">
        <f t="shared" si="4"/>
        <v>1</v>
      </c>
      <c r="BA15" s="75" t="b">
        <f t="shared" si="4"/>
        <v>1</v>
      </c>
    </row>
    <row r="16" spans="1:53" s="4" customFormat="1">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75"/>
      <c r="AE16" s="75"/>
    </row>
    <row r="17" spans="1:31" ht="21.65" customHeight="1">
      <c r="B17" s="65"/>
      <c r="C17" s="59" t="s">
        <v>152</v>
      </c>
      <c r="D17" s="98" t="s">
        <v>153</v>
      </c>
      <c r="E17" s="75"/>
      <c r="G17" s="38"/>
      <c r="H17" s="38"/>
      <c r="I17" s="73"/>
      <c r="J17" s="74"/>
      <c r="K17" s="38"/>
      <c r="L17" s="38"/>
      <c r="M17" s="38"/>
      <c r="N17" s="38"/>
      <c r="O17" s="38"/>
      <c r="P17" s="38"/>
      <c r="Q17" s="38"/>
      <c r="R17" s="38"/>
      <c r="S17" s="38"/>
      <c r="T17" s="38"/>
      <c r="U17" s="38"/>
      <c r="V17" s="38"/>
      <c r="W17" s="38"/>
      <c r="X17" s="38"/>
      <c r="Y17" s="38"/>
      <c r="Z17" s="38"/>
      <c r="AA17" s="38"/>
      <c r="AB17" s="38"/>
      <c r="AC17" s="38"/>
      <c r="AD17" s="38"/>
      <c r="AE17" s="38"/>
    </row>
    <row r="18" spans="1:31">
      <c r="B18" s="12" t="s">
        <v>2962</v>
      </c>
      <c r="C18" s="24">
        <f>Epidemiology!C102</f>
        <v>0.42</v>
      </c>
      <c r="D18" s="24">
        <f>1-C18</f>
        <v>0.58000000000000007</v>
      </c>
      <c r="E18" s="75"/>
      <c r="G18" s="38"/>
      <c r="H18" s="71"/>
      <c r="I18" s="71"/>
      <c r="J18" s="70"/>
      <c r="K18" s="38"/>
      <c r="L18" s="38"/>
      <c r="M18" s="38"/>
      <c r="N18" s="38"/>
      <c r="O18" s="38"/>
      <c r="P18" s="38"/>
      <c r="Q18" s="38"/>
      <c r="R18" s="38"/>
      <c r="S18" s="38"/>
      <c r="T18" s="38"/>
      <c r="U18" s="38"/>
      <c r="V18" s="38"/>
      <c r="W18" s="38"/>
      <c r="X18" s="38"/>
      <c r="Y18" s="38"/>
      <c r="Z18" s="38"/>
      <c r="AA18" s="38"/>
      <c r="AB18" s="38"/>
      <c r="AC18" s="38"/>
      <c r="AD18" s="38"/>
      <c r="AE18" s="38"/>
    </row>
    <row r="19" spans="1:31">
      <c r="E19" s="75"/>
      <c r="G19" s="38"/>
      <c r="H19" s="71"/>
      <c r="I19" s="71"/>
      <c r="J19" s="38"/>
      <c r="K19" s="38"/>
      <c r="L19" s="38"/>
      <c r="M19" s="38"/>
      <c r="N19" s="38"/>
      <c r="O19" s="38"/>
      <c r="P19" s="38"/>
      <c r="Q19" s="38"/>
      <c r="R19" s="38"/>
      <c r="S19" s="38"/>
      <c r="T19" s="38"/>
      <c r="U19" s="38"/>
      <c r="V19" s="38"/>
      <c r="W19" s="38"/>
      <c r="X19" s="38"/>
      <c r="Y19" s="38"/>
      <c r="Z19" s="38"/>
      <c r="AA19" s="38"/>
      <c r="AB19" s="38"/>
      <c r="AC19" s="38"/>
      <c r="AD19" s="38"/>
      <c r="AE19" s="38"/>
    </row>
    <row r="20" spans="1:31" s="4" customFormat="1">
      <c r="C20" s="75"/>
      <c r="D20" s="75"/>
      <c r="E20" s="75"/>
      <c r="F20" s="75"/>
      <c r="G20" s="75"/>
      <c r="H20" s="75"/>
      <c r="I20" s="75"/>
      <c r="J20" s="75"/>
      <c r="K20" s="75"/>
      <c r="L20" s="75"/>
      <c r="M20" s="75"/>
      <c r="N20" s="75"/>
      <c r="O20" s="75"/>
      <c r="P20" s="75"/>
      <c r="Q20" s="75"/>
      <c r="R20" s="75"/>
      <c r="S20" s="75"/>
      <c r="T20" s="75"/>
      <c r="U20" s="75"/>
      <c r="V20" s="75"/>
      <c r="W20" s="75"/>
      <c r="X20" s="75"/>
      <c r="Y20" s="75"/>
      <c r="Z20" s="75"/>
      <c r="AA20" s="75"/>
      <c r="AB20" s="75"/>
      <c r="AC20" s="75"/>
      <c r="AD20" s="75"/>
      <c r="AE20" s="75"/>
    </row>
    <row r="21" spans="1:31" s="4" customFormat="1">
      <c r="C21" s="38"/>
      <c r="D21" s="38"/>
      <c r="E21" s="38"/>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row>
    <row r="22" spans="1:31" s="588" customFormat="1">
      <c r="A22" s="593" t="s">
        <v>10</v>
      </c>
      <c r="B22" s="639" t="s">
        <v>2928</v>
      </c>
      <c r="J22" s="641"/>
    </row>
    <row r="23" spans="1:31">
      <c r="B23" s="66"/>
      <c r="J23" s="60"/>
    </row>
    <row r="24" spans="1:31">
      <c r="B24" s="108"/>
    </row>
    <row r="25" spans="1:31">
      <c r="A25" s="9"/>
      <c r="B25" s="372" t="s">
        <v>2880</v>
      </c>
    </row>
    <row r="26" spans="1:31">
      <c r="B26" s="7" t="s">
        <v>9</v>
      </c>
      <c r="C26" s="34" t="s">
        <v>2985</v>
      </c>
      <c r="E26" s="34" t="s">
        <v>97</v>
      </c>
      <c r="F26" s="34" t="s">
        <v>98</v>
      </c>
      <c r="H26" s="34" t="s">
        <v>155</v>
      </c>
      <c r="J26" s="79" t="s">
        <v>124</v>
      </c>
      <c r="L26" s="78"/>
    </row>
    <row r="27" spans="1:31" ht="16.25" customHeight="1">
      <c r="B27" s="100" t="s">
        <v>11</v>
      </c>
      <c r="C27" s="101">
        <f>INDEX('Resource costs'!$D$30:$N$30, MATCH(B27, 'Resource costs'!$D$27:$N$27,0))</f>
        <v>7.3643728009164553</v>
      </c>
      <c r="E27" s="101">
        <f t="shared" ref="E27:E33" si="5">C27/((H27*$D$18)+$C$18)</f>
        <v>4.0273913755011863</v>
      </c>
      <c r="F27" s="101">
        <f t="shared" ref="F27:F33" si="6">E27*H27</f>
        <v>9.7808076262171681</v>
      </c>
      <c r="H27" s="82">
        <f>INDEX('Resource costs'!$F$81:$F$94, MATCH(B27,'Resource costs'!$B$81:$B$94,0))</f>
        <v>2.4285714285714288</v>
      </c>
      <c r="J27" s="78" t="b">
        <f t="shared" ref="J27:J33" si="7">E27*$C$18+F27*$D$18=C27</f>
        <v>1</v>
      </c>
      <c r="L27" s="80"/>
      <c r="M27" s="81"/>
    </row>
    <row r="28" spans="1:31" ht="16.25" customHeight="1">
      <c r="B28" s="104" t="s">
        <v>14</v>
      </c>
      <c r="C28" s="105">
        <f>INDEX('Resource costs'!$D$30:$N$30, MATCH(B28, 'Resource costs'!$D$27:$N$27,0))</f>
        <v>0</v>
      </c>
      <c r="D28" s="106"/>
      <c r="E28" s="105">
        <f t="shared" si="5"/>
        <v>0</v>
      </c>
      <c r="F28" s="105">
        <f t="shared" si="6"/>
        <v>0</v>
      </c>
      <c r="G28" s="106"/>
      <c r="H28" s="107">
        <f>'Resource costs'!E65</f>
        <v>0.91666666666666663</v>
      </c>
      <c r="I28" s="108" t="s">
        <v>162</v>
      </c>
      <c r="J28" s="78" t="b">
        <f t="shared" si="7"/>
        <v>1</v>
      </c>
      <c r="L28" s="80"/>
      <c r="M28" s="81"/>
    </row>
    <row r="29" spans="1:31" ht="16.25" customHeight="1">
      <c r="B29" s="104" t="s">
        <v>15</v>
      </c>
      <c r="C29" s="105">
        <f>INDEX('Resource costs'!$D$30:$N$30, MATCH(B29, 'Resource costs'!$D$27:$N$27,0))</f>
        <v>0.18007732591440961</v>
      </c>
      <c r="D29" s="106"/>
      <c r="E29" s="105">
        <f t="shared" si="5"/>
        <v>0.11615970411283452</v>
      </c>
      <c r="F29" s="105">
        <f t="shared" si="6"/>
        <v>0.22636250032244676</v>
      </c>
      <c r="G29" s="106"/>
      <c r="H29" s="107">
        <f>'Resource costs'!E66</f>
        <v>1.9487179487179487</v>
      </c>
      <c r="I29" s="108" t="s">
        <v>162</v>
      </c>
      <c r="J29" s="78" t="b">
        <f t="shared" si="7"/>
        <v>1</v>
      </c>
      <c r="L29" s="80"/>
      <c r="M29" s="81"/>
    </row>
    <row r="30" spans="1:31" ht="16.25" customHeight="1">
      <c r="B30" s="100" t="s">
        <v>16</v>
      </c>
      <c r="C30" s="101">
        <f>INDEX('Resource costs'!$D$30:$N$30, MATCH(B30, 'Resource costs'!$D$27:$N$27,0))</f>
        <v>0.8975214794206694</v>
      </c>
      <c r="E30" s="101">
        <f t="shared" si="5"/>
        <v>0.14429605778467353</v>
      </c>
      <c r="F30" s="101">
        <f t="shared" si="6"/>
        <v>1.4429605778467351</v>
      </c>
      <c r="H30" s="82">
        <f>INDEX('Resource costs'!$F$81:$F$94, MATCH(B30,'Resource costs'!$B$81:$B$94,0))</f>
        <v>10</v>
      </c>
      <c r="J30" s="78" t="b">
        <f t="shared" si="7"/>
        <v>1</v>
      </c>
      <c r="L30" s="80"/>
      <c r="M30" s="81"/>
    </row>
    <row r="31" spans="1:31" ht="16.25" customHeight="1">
      <c r="B31" s="100" t="s">
        <v>103</v>
      </c>
      <c r="C31" s="101">
        <f>INDEX('Resource costs'!$D$30:$N$30, MATCH(B31, 'Resource costs'!$D$27:$N$27,0))</f>
        <v>0.72726986334997135</v>
      </c>
      <c r="E31" s="101">
        <f t="shared" si="5"/>
        <v>0.46029738186707048</v>
      </c>
      <c r="F31" s="101">
        <f t="shared" si="6"/>
        <v>0.92059476373414095</v>
      </c>
      <c r="H31" s="82">
        <f>INDEX('Resource costs'!$F$81:$F$94, MATCH(B31,'Resource costs'!$B$81:$B$94,0))</f>
        <v>2</v>
      </c>
      <c r="J31" s="78" t="b">
        <f t="shared" si="7"/>
        <v>1</v>
      </c>
      <c r="L31" s="80"/>
      <c r="M31" s="81"/>
    </row>
    <row r="32" spans="1:31" ht="16.25" customHeight="1">
      <c r="B32" s="100" t="s">
        <v>104</v>
      </c>
      <c r="C32" s="101">
        <f>INDEX('Resource costs'!$D$30:$N$30, MATCH(B32, 'Resource costs'!$D$27:$N$27,0))</f>
        <v>50.323214139595777</v>
      </c>
      <c r="E32" s="101">
        <f t="shared" si="5"/>
        <v>70.877766393796875</v>
      </c>
      <c r="F32" s="101">
        <f t="shared" si="6"/>
        <v>35.438883196898438</v>
      </c>
      <c r="H32" s="82">
        <f>INDEX('Resource costs'!$F$81:$F$94, MATCH(B32,'Resource costs'!$B$81:$B$94,0))</f>
        <v>0.5</v>
      </c>
      <c r="J32" s="78" t="b">
        <f t="shared" si="7"/>
        <v>1</v>
      </c>
      <c r="L32" s="80"/>
      <c r="M32" s="81"/>
    </row>
    <row r="33" spans="2:13" s="106" customFormat="1" ht="16.25" customHeight="1">
      <c r="B33" s="104" t="s">
        <v>17</v>
      </c>
      <c r="C33" s="105">
        <f>INDEX('Resource costs'!$D$30:$N$30, MATCH(B33, 'Resource costs'!$D$27:$N$27,0))</f>
        <v>37.640127649128551</v>
      </c>
      <c r="E33" s="105">
        <f t="shared" si="5"/>
        <v>26.032468631640825</v>
      </c>
      <c r="F33" s="105">
        <f t="shared" si="6"/>
        <v>46.045673834205871</v>
      </c>
      <c r="H33" s="107">
        <f>'Resource costs'!E67</f>
        <v>1.7687786158797194</v>
      </c>
      <c r="I33" s="108" t="s">
        <v>162</v>
      </c>
      <c r="J33" s="78" t="b">
        <f t="shared" si="7"/>
        <v>1</v>
      </c>
      <c r="L33" s="109"/>
      <c r="M33" s="109"/>
    </row>
    <row r="34" spans="2:13" ht="16.25" customHeight="1">
      <c r="B34" s="100" t="s">
        <v>19</v>
      </c>
      <c r="C34" s="101">
        <f>INDEX('Resource costs'!$D$30:$N$30, MATCH(B34, 'Resource costs'!$D$27:$N$27,0))</f>
        <v>102.28295556828409</v>
      </c>
      <c r="E34" s="143" t="s">
        <v>6</v>
      </c>
      <c r="F34" s="143" t="s">
        <v>6</v>
      </c>
      <c r="H34" s="143" t="s">
        <v>6</v>
      </c>
      <c r="I34" s="110" t="s">
        <v>157</v>
      </c>
      <c r="J34" s="78"/>
      <c r="L34" s="80"/>
      <c r="M34" s="81"/>
    </row>
    <row r="35" spans="2:13">
      <c r="J35" s="78"/>
    </row>
    <row r="36" spans="2:13">
      <c r="B36" s="371" t="s">
        <v>156</v>
      </c>
      <c r="J36" s="78"/>
    </row>
    <row r="37" spans="2:13" ht="29">
      <c r="B37" s="6" t="s">
        <v>106</v>
      </c>
      <c r="C37" s="102">
        <f>C$34*('Resource costs'!C91/SUM('Resource costs'!C$91:C$92))</f>
        <v>62.168013338130343</v>
      </c>
      <c r="E37" s="102">
        <f>C37/((H37*$D$18)+$C$18)</f>
        <v>25.002031102977824</v>
      </c>
      <c r="F37" s="102">
        <f>E37*H37</f>
        <v>89.081310818758013</v>
      </c>
      <c r="H37" s="82">
        <f>INDEX('Resource costs'!$F$81:$F$94, MATCH(B37,'Resource costs'!$B$81:$B$94,0))</f>
        <v>3.5629629629629624</v>
      </c>
      <c r="I37" s="146"/>
      <c r="J37" s="78" t="b">
        <f>E37*$C$18+F37*$D$18=C37</f>
        <v>1</v>
      </c>
    </row>
    <row r="38" spans="2:13" ht="29">
      <c r="B38" s="6" t="s">
        <v>107</v>
      </c>
      <c r="C38" s="102">
        <f>C$34*('Resource costs'!C92/SUM('Resource costs'!C$91:C$92))</f>
        <v>40.114942230153751</v>
      </c>
      <c r="E38" s="102">
        <f>C38/((H38*$D$18)+$C$18)</f>
        <v>15.873156724176971</v>
      </c>
      <c r="F38" s="102">
        <f>E38*H38</f>
        <v>57.66933863103349</v>
      </c>
      <c r="H38" s="82">
        <f>INDEX('Resource costs'!$F$81:$F$94, MATCH(B38,'Resource costs'!$B$81:$B$94,0))</f>
        <v>3.6331360946745561</v>
      </c>
      <c r="J38" s="78" t="b">
        <f>E38*$C$18+F38*$D$18=C38</f>
        <v>1</v>
      </c>
    </row>
    <row r="39" spans="2:13">
      <c r="C39" s="78" t="b">
        <f>SUM(C37:C38)=C34</f>
        <v>1</v>
      </c>
      <c r="E39" s="78"/>
      <c r="F39" s="78"/>
      <c r="G39" s="78"/>
      <c r="H39" s="78"/>
      <c r="J39" s="78"/>
    </row>
    <row r="40" spans="2:13">
      <c r="B40" s="52"/>
      <c r="C40" s="78"/>
      <c r="E40" s="111"/>
      <c r="F40" s="111"/>
      <c r="H40" s="112"/>
      <c r="J40" s="78"/>
    </row>
    <row r="41" spans="2:13">
      <c r="B41" s="52"/>
      <c r="C41" s="78"/>
      <c r="E41" s="111"/>
      <c r="F41" s="111"/>
      <c r="H41" s="112"/>
      <c r="J41" s="78"/>
    </row>
    <row r="42" spans="2:13">
      <c r="B42" s="370" t="s">
        <v>2881</v>
      </c>
      <c r="C42" s="78"/>
      <c r="H42" s="112"/>
      <c r="J42" s="78"/>
    </row>
    <row r="43" spans="2:13">
      <c r="B43" s="7" t="s">
        <v>125</v>
      </c>
      <c r="E43" s="344" t="s">
        <v>97</v>
      </c>
      <c r="F43" s="344" t="s">
        <v>2797</v>
      </c>
      <c r="H43" s="112"/>
      <c r="J43" s="78"/>
    </row>
    <row r="44" spans="2:13">
      <c r="B44" s="6" t="s">
        <v>2863</v>
      </c>
      <c r="E44" s="368">
        <f>'Mixed LU Care Pathways'!I151</f>
        <v>20.623835370026402</v>
      </c>
      <c r="F44" s="368">
        <f>'Mixed LU Care Pathways'!J151</f>
        <v>78</v>
      </c>
      <c r="H44" s="112"/>
      <c r="J44" s="78"/>
    </row>
    <row r="45" spans="2:13">
      <c r="B45" s="6" t="s">
        <v>2862</v>
      </c>
      <c r="E45" s="368">
        <f>'Mixed LU Care Pathways'!I152</f>
        <v>41.247670740052804</v>
      </c>
      <c r="F45" s="368">
        <f>'Mixed LU Care Pathways'!J152</f>
        <v>156</v>
      </c>
      <c r="H45" s="112"/>
      <c r="J45" s="78"/>
    </row>
    <row r="46" spans="2:13">
      <c r="B46" s="6" t="s">
        <v>131</v>
      </c>
      <c r="E46" s="368">
        <f>'Mixed LU Care Pathways'!I153</f>
        <v>0</v>
      </c>
      <c r="F46" s="368">
        <f>'Mixed LU Care Pathways'!J153</f>
        <v>0</v>
      </c>
      <c r="H46" s="112"/>
      <c r="J46" s="78"/>
    </row>
    <row r="47" spans="2:13" ht="29">
      <c r="B47" s="6" t="s">
        <v>2869</v>
      </c>
      <c r="E47" s="368">
        <f>'Mixed LU Care Pathways'!I154</f>
        <v>13.152253397204035</v>
      </c>
      <c r="F47" s="368">
        <f>'Mixed LU Care Pathways'!J154</f>
        <v>49.790673575129539</v>
      </c>
      <c r="H47" s="112"/>
      <c r="J47" s="78"/>
    </row>
    <row r="48" spans="2:13" ht="29">
      <c r="B48" s="6" t="s">
        <v>2870</v>
      </c>
      <c r="E48" s="368">
        <f>'Mixed LU Care Pathways'!I155</f>
        <v>7.4515201877016342</v>
      </c>
      <c r="F48" s="368">
        <f>'Mixed LU Care Pathways'!J155</f>
        <v>28.209326424870465</v>
      </c>
      <c r="H48" s="112"/>
      <c r="J48" s="78"/>
    </row>
    <row r="49" spans="1:10">
      <c r="B49" s="6" t="s">
        <v>102</v>
      </c>
      <c r="E49" s="368">
        <f>'Mixed LU Care Pathways'!I156</f>
        <v>4.0123570241470341E-2</v>
      </c>
      <c r="F49" s="368">
        <f>'Mixed LU Care Pathways'!J156</f>
        <v>0</v>
      </c>
      <c r="H49" s="112"/>
      <c r="J49" s="78"/>
    </row>
    <row r="50" spans="1:10">
      <c r="B50" s="6" t="s">
        <v>2831</v>
      </c>
      <c r="E50" s="368">
        <f>'Mixed LU Care Pathways'!I157</f>
        <v>483.47568520872056</v>
      </c>
      <c r="F50" s="368">
        <f>'Mixed LU Care Pathways'!J157</f>
        <v>1827.5666735751297</v>
      </c>
      <c r="H50" s="112"/>
      <c r="J50" s="78"/>
    </row>
    <row r="51" spans="1:10">
      <c r="B51" s="6" t="s">
        <v>2832</v>
      </c>
      <c r="E51" s="368">
        <f>'Mixed LU Care Pathways'!I158</f>
        <v>195.41581308045758</v>
      </c>
      <c r="F51" s="368">
        <f>'Mixed LU Care Pathways'!J158</f>
        <v>737.96567875647668</v>
      </c>
      <c r="H51" s="112"/>
      <c r="J51" s="78"/>
    </row>
    <row r="52" spans="1:10">
      <c r="B52" s="6" t="s">
        <v>2871</v>
      </c>
      <c r="E52" s="368">
        <f>'Mixed LU Care Pathways'!I159</f>
        <v>7.4515201877016342</v>
      </c>
      <c r="F52" s="368">
        <f>'Mixed LU Care Pathways'!J159</f>
        <v>28.209326424870465</v>
      </c>
      <c r="H52" s="112"/>
      <c r="J52" s="78"/>
    </row>
    <row r="53" spans="1:10">
      <c r="B53" s="52"/>
      <c r="C53" s="78"/>
      <c r="E53" s="111"/>
      <c r="F53" s="111"/>
      <c r="H53" s="112"/>
      <c r="J53" s="78"/>
    </row>
    <row r="54" spans="1:10">
      <c r="B54" s="52"/>
      <c r="C54" s="111"/>
      <c r="E54" s="111"/>
      <c r="F54" s="111"/>
      <c r="H54" s="112"/>
      <c r="J54" s="78"/>
    </row>
    <row r="55" spans="1:10">
      <c r="A55" s="9"/>
      <c r="B55" s="114" t="s">
        <v>2925</v>
      </c>
      <c r="C55" s="111"/>
      <c r="E55" s="111"/>
      <c r="F55" s="111"/>
      <c r="H55" s="112"/>
      <c r="J55" s="78"/>
    </row>
    <row r="56" spans="1:10">
      <c r="B56" s="369"/>
      <c r="C56" s="111"/>
      <c r="E56" s="111"/>
      <c r="F56" s="111"/>
      <c r="H56" s="112"/>
      <c r="J56" s="78"/>
    </row>
    <row r="57" spans="1:10">
      <c r="B57" s="7" t="s">
        <v>9</v>
      </c>
      <c r="C57" s="7" t="s">
        <v>97</v>
      </c>
      <c r="D57" s="7" t="s">
        <v>2797</v>
      </c>
      <c r="E57" s="111"/>
      <c r="H57" s="112"/>
      <c r="J57" s="78"/>
    </row>
    <row r="58" spans="1:10">
      <c r="B58" s="6" t="s">
        <v>11</v>
      </c>
      <c r="C58" s="68">
        <f t="shared" ref="C58:D75" si="8">INDEX(E$27:E$52, MATCH($B58, $B$27:$B$52,0))</f>
        <v>4.0273913755011863</v>
      </c>
      <c r="D58" s="68">
        <f t="shared" si="8"/>
        <v>9.7808076262171681</v>
      </c>
      <c r="E58" s="78"/>
      <c r="H58" s="112"/>
      <c r="J58" s="78"/>
    </row>
    <row r="59" spans="1:10">
      <c r="B59" s="6" t="s">
        <v>14</v>
      </c>
      <c r="C59" s="68">
        <f t="shared" si="8"/>
        <v>0</v>
      </c>
      <c r="D59" s="68">
        <f t="shared" si="8"/>
        <v>0</v>
      </c>
      <c r="E59" s="78"/>
      <c r="H59" s="112"/>
      <c r="J59" s="78"/>
    </row>
    <row r="60" spans="1:10">
      <c r="B60" s="6" t="s">
        <v>15</v>
      </c>
      <c r="C60" s="68">
        <f t="shared" si="8"/>
        <v>0.11615970411283452</v>
      </c>
      <c r="D60" s="68">
        <f t="shared" si="8"/>
        <v>0.22636250032244676</v>
      </c>
      <c r="E60" s="78"/>
      <c r="H60" s="112"/>
      <c r="J60" s="78"/>
    </row>
    <row r="61" spans="1:10" ht="29">
      <c r="B61" s="6" t="s">
        <v>16</v>
      </c>
      <c r="C61" s="68">
        <f t="shared" si="8"/>
        <v>0.14429605778467353</v>
      </c>
      <c r="D61" s="68">
        <f t="shared" si="8"/>
        <v>1.4429605778467351</v>
      </c>
      <c r="E61" s="78"/>
      <c r="H61" s="112"/>
      <c r="J61" s="78"/>
    </row>
    <row r="62" spans="1:10">
      <c r="B62" s="6" t="s">
        <v>103</v>
      </c>
      <c r="C62" s="68">
        <f t="shared" si="8"/>
        <v>0.46029738186707048</v>
      </c>
      <c r="D62" s="68">
        <f t="shared" si="8"/>
        <v>0.92059476373414095</v>
      </c>
      <c r="E62" s="78"/>
      <c r="H62" s="112"/>
      <c r="J62" s="78"/>
    </row>
    <row r="63" spans="1:10">
      <c r="B63" s="6" t="s">
        <v>104</v>
      </c>
      <c r="C63" s="68">
        <f t="shared" si="8"/>
        <v>70.877766393796875</v>
      </c>
      <c r="D63" s="68">
        <f t="shared" si="8"/>
        <v>35.438883196898438</v>
      </c>
      <c r="E63" s="78"/>
      <c r="H63" s="112"/>
      <c r="J63" s="78"/>
    </row>
    <row r="64" spans="1:10">
      <c r="B64" s="6" t="s">
        <v>17</v>
      </c>
      <c r="C64" s="68">
        <f t="shared" si="8"/>
        <v>26.032468631640825</v>
      </c>
      <c r="D64" s="68">
        <f t="shared" si="8"/>
        <v>46.045673834205871</v>
      </c>
      <c r="E64" s="78"/>
      <c r="H64" s="112"/>
      <c r="J64" s="78"/>
    </row>
    <row r="65" spans="1:10" ht="29">
      <c r="B65" s="6" t="s">
        <v>106</v>
      </c>
      <c r="C65" s="68">
        <f t="shared" si="8"/>
        <v>25.002031102977824</v>
      </c>
      <c r="D65" s="68">
        <f t="shared" si="8"/>
        <v>89.081310818758013</v>
      </c>
      <c r="E65" s="78"/>
      <c r="H65" s="112"/>
      <c r="J65" s="78"/>
    </row>
    <row r="66" spans="1:10" ht="29">
      <c r="B66" s="6" t="s">
        <v>107</v>
      </c>
      <c r="C66" s="68">
        <f t="shared" si="8"/>
        <v>15.873156724176971</v>
      </c>
      <c r="D66" s="68">
        <f t="shared" si="8"/>
        <v>57.66933863103349</v>
      </c>
      <c r="E66" s="78"/>
      <c r="H66" s="112"/>
      <c r="J66" s="78"/>
    </row>
    <row r="67" spans="1:10">
      <c r="B67" s="6" t="s">
        <v>2863</v>
      </c>
      <c r="C67" s="68">
        <f t="shared" si="8"/>
        <v>20.623835370026402</v>
      </c>
      <c r="D67" s="68">
        <f t="shared" si="8"/>
        <v>78</v>
      </c>
      <c r="H67" s="112"/>
      <c r="J67" s="78"/>
    </row>
    <row r="68" spans="1:10">
      <c r="B68" s="6" t="s">
        <v>2862</v>
      </c>
      <c r="C68" s="68">
        <f t="shared" si="8"/>
        <v>41.247670740052804</v>
      </c>
      <c r="D68" s="68">
        <f t="shared" si="8"/>
        <v>156</v>
      </c>
      <c r="H68" s="112"/>
      <c r="J68" s="78"/>
    </row>
    <row r="69" spans="1:10">
      <c r="B69" s="6" t="s">
        <v>131</v>
      </c>
      <c r="C69" s="68">
        <f t="shared" si="8"/>
        <v>0</v>
      </c>
      <c r="D69" s="68">
        <f t="shared" si="8"/>
        <v>0</v>
      </c>
      <c r="H69" s="112"/>
      <c r="J69" s="78"/>
    </row>
    <row r="70" spans="1:10" ht="29">
      <c r="B70" s="6" t="s">
        <v>2869</v>
      </c>
      <c r="C70" s="68">
        <f t="shared" si="8"/>
        <v>13.152253397204035</v>
      </c>
      <c r="D70" s="68">
        <f t="shared" si="8"/>
        <v>49.790673575129539</v>
      </c>
      <c r="H70" s="112"/>
      <c r="J70" s="78"/>
    </row>
    <row r="71" spans="1:10" ht="29">
      <c r="B71" s="6" t="s">
        <v>2870</v>
      </c>
      <c r="C71" s="68">
        <f t="shared" si="8"/>
        <v>7.4515201877016342</v>
      </c>
      <c r="D71" s="68">
        <f t="shared" si="8"/>
        <v>28.209326424870465</v>
      </c>
      <c r="H71" s="112"/>
      <c r="J71" s="78"/>
    </row>
    <row r="72" spans="1:10">
      <c r="B72" s="6" t="s">
        <v>102</v>
      </c>
      <c r="C72" s="68">
        <f t="shared" si="8"/>
        <v>4.0123570241470341E-2</v>
      </c>
      <c r="D72" s="68">
        <f t="shared" si="8"/>
        <v>0</v>
      </c>
      <c r="H72" s="112"/>
      <c r="J72" s="78"/>
    </row>
    <row r="73" spans="1:10">
      <c r="B73" s="6" t="s">
        <v>2831</v>
      </c>
      <c r="C73" s="68">
        <f t="shared" si="8"/>
        <v>483.47568520872056</v>
      </c>
      <c r="D73" s="68">
        <f t="shared" si="8"/>
        <v>1827.5666735751297</v>
      </c>
      <c r="H73" s="112"/>
      <c r="J73" s="78"/>
    </row>
    <row r="74" spans="1:10">
      <c r="B74" s="6" t="s">
        <v>2832</v>
      </c>
      <c r="C74" s="68">
        <f t="shared" si="8"/>
        <v>195.41581308045758</v>
      </c>
      <c r="D74" s="68">
        <f t="shared" si="8"/>
        <v>737.96567875647668</v>
      </c>
      <c r="H74" s="112"/>
      <c r="J74" s="78"/>
    </row>
    <row r="75" spans="1:10">
      <c r="B75" s="6" t="s">
        <v>2871</v>
      </c>
      <c r="C75" s="68">
        <f t="shared" si="8"/>
        <v>7.4515201877016342</v>
      </c>
      <c r="D75" s="68">
        <f t="shared" si="8"/>
        <v>28.209326424870465</v>
      </c>
      <c r="E75" s="111"/>
      <c r="H75" s="112"/>
      <c r="J75" s="78"/>
    </row>
    <row r="76" spans="1:10">
      <c r="C76" s="373" t="b">
        <f>SUM(C58:C75)=SUM(E27:E33,E37:E38,E44:E52)</f>
        <v>1</v>
      </c>
      <c r="D76" s="373" t="b">
        <f>SUM(D58:D75)=SUM(F27:F33,F37:F38,F44:F52)</f>
        <v>1</v>
      </c>
      <c r="H76" s="112"/>
      <c r="J76" s="78"/>
    </row>
    <row r="77" spans="1:10">
      <c r="C77" s="373"/>
      <c r="D77" s="373"/>
      <c r="H77" s="112"/>
      <c r="J77" s="78"/>
    </row>
    <row r="79" spans="1:10" s="588" customFormat="1">
      <c r="A79" s="593" t="s">
        <v>10</v>
      </c>
      <c r="B79" s="608" t="s">
        <v>2929</v>
      </c>
      <c r="C79" s="642"/>
      <c r="E79" s="643"/>
      <c r="F79" s="643"/>
      <c r="H79" s="644"/>
      <c r="J79" s="642"/>
    </row>
    <row r="80" spans="1:10">
      <c r="B80" s="410" t="s">
        <v>2930</v>
      </c>
      <c r="C80" s="78"/>
      <c r="E80" s="111"/>
      <c r="F80" s="111"/>
      <c r="H80" s="112"/>
      <c r="J80" s="78"/>
    </row>
    <row r="81" spans="2:53">
      <c r="B81" s="410"/>
      <c r="C81" s="78"/>
      <c r="E81" s="111"/>
      <c r="F81" s="111"/>
      <c r="H81" s="112"/>
      <c r="J81" s="78"/>
    </row>
    <row r="82" spans="2:53">
      <c r="B82" s="392"/>
      <c r="C82" s="78"/>
      <c r="E82" s="111"/>
      <c r="F82" s="111"/>
      <c r="H82" s="112"/>
      <c r="J82" s="78"/>
    </row>
    <row r="83" spans="2:53">
      <c r="B83" s="52"/>
      <c r="C83" s="34">
        <f>'Prevalence projection'!C$21</f>
        <v>2020</v>
      </c>
      <c r="D83" s="34">
        <f>'Prevalence projection'!D$21</f>
        <v>2021</v>
      </c>
      <c r="E83" s="34">
        <f>'Prevalence projection'!E$21</f>
        <v>2022</v>
      </c>
      <c r="F83" s="34">
        <f>'Prevalence projection'!F$21</f>
        <v>2023</v>
      </c>
      <c r="G83" s="34">
        <f>'Prevalence projection'!G$21</f>
        <v>2024</v>
      </c>
      <c r="H83" s="34">
        <f>'Prevalence projection'!H$21</f>
        <v>2025</v>
      </c>
      <c r="I83" s="34">
        <f>'Prevalence projection'!I$21</f>
        <v>2026</v>
      </c>
      <c r="J83" s="34">
        <f>'Prevalence projection'!J$21</f>
        <v>2027</v>
      </c>
      <c r="K83" s="34">
        <f>'Prevalence projection'!K$21</f>
        <v>2028</v>
      </c>
      <c r="L83" s="34">
        <f>'Prevalence projection'!L$21</f>
        <v>2029</v>
      </c>
      <c r="M83" s="34">
        <f>'Prevalence projection'!M$21</f>
        <v>2030</v>
      </c>
      <c r="N83" s="34">
        <f>'Prevalence projection'!N$21</f>
        <v>2031</v>
      </c>
      <c r="O83" s="34">
        <f>'Prevalence projection'!O$21</f>
        <v>2032</v>
      </c>
      <c r="P83" s="34">
        <f>'Prevalence projection'!P$21</f>
        <v>2033</v>
      </c>
      <c r="Q83" s="34">
        <f>'Prevalence projection'!Q$21</f>
        <v>2034</v>
      </c>
      <c r="R83" s="34">
        <f>'Prevalence projection'!R$21</f>
        <v>2035</v>
      </c>
      <c r="S83" s="34">
        <f>'Prevalence projection'!S$21</f>
        <v>2036</v>
      </c>
      <c r="T83" s="34">
        <f>'Prevalence projection'!T$21</f>
        <v>2037</v>
      </c>
      <c r="U83" s="34">
        <f>'Prevalence projection'!U$21</f>
        <v>2038</v>
      </c>
      <c r="V83" s="34">
        <f>'Prevalence projection'!V$21</f>
        <v>2039</v>
      </c>
      <c r="W83" s="34">
        <f>'Prevalence projection'!W$21</f>
        <v>2040</v>
      </c>
      <c r="X83" s="34">
        <f>'Prevalence projection'!X$21</f>
        <v>2041</v>
      </c>
      <c r="Y83" s="34">
        <f>'Prevalence projection'!Y$21</f>
        <v>2042</v>
      </c>
      <c r="Z83" s="34">
        <f>'Prevalence projection'!Z$21</f>
        <v>2043</v>
      </c>
      <c r="AA83" s="34">
        <f>'Prevalence projection'!AA$21</f>
        <v>2044</v>
      </c>
      <c r="AB83" s="34">
        <f>'Prevalence projection'!AB$21</f>
        <v>2045</v>
      </c>
      <c r="AC83" s="34">
        <f>'Prevalence projection'!AC$21</f>
        <v>2046</v>
      </c>
      <c r="AD83" s="34">
        <f>'Prevalence projection'!AD$21</f>
        <v>2047</v>
      </c>
      <c r="AE83" s="34">
        <f>'Prevalence projection'!AE$21</f>
        <v>2048</v>
      </c>
      <c r="AF83" s="34">
        <f>'Prevalence projection'!AF$21</f>
        <v>2049</v>
      </c>
      <c r="AG83" s="34">
        <f>'Prevalence projection'!AG$21</f>
        <v>2050</v>
      </c>
      <c r="AH83" s="34">
        <f>'Prevalence projection'!AH$21</f>
        <v>2051</v>
      </c>
      <c r="AI83" s="34">
        <f>'Prevalence projection'!AI$21</f>
        <v>2052</v>
      </c>
      <c r="AJ83" s="34">
        <f>'Prevalence projection'!AJ$21</f>
        <v>2053</v>
      </c>
      <c r="AK83" s="34">
        <f>'Prevalence projection'!AK$21</f>
        <v>2054</v>
      </c>
      <c r="AL83" s="34">
        <f>'Prevalence projection'!AL$21</f>
        <v>2055</v>
      </c>
      <c r="AM83" s="34">
        <f>'Prevalence projection'!AM$21</f>
        <v>2056</v>
      </c>
      <c r="AN83" s="34">
        <f>'Prevalence projection'!AN$21</f>
        <v>2057</v>
      </c>
      <c r="AO83" s="34">
        <f>'Prevalence projection'!AO$21</f>
        <v>2058</v>
      </c>
      <c r="AP83" s="34">
        <f>'Prevalence projection'!AP$21</f>
        <v>2059</v>
      </c>
      <c r="AQ83" s="34">
        <f>'Prevalence projection'!AQ$21</f>
        <v>2060</v>
      </c>
      <c r="AR83" s="34">
        <f>'Prevalence projection'!AR$21</f>
        <v>2061</v>
      </c>
      <c r="AS83" s="34">
        <f>'Prevalence projection'!AS$21</f>
        <v>2062</v>
      </c>
      <c r="AT83" s="34">
        <f>'Prevalence projection'!AT$21</f>
        <v>2063</v>
      </c>
      <c r="AU83" s="34">
        <f>'Prevalence projection'!AU$21</f>
        <v>2064</v>
      </c>
      <c r="AV83" s="34">
        <f>'Prevalence projection'!AV$21</f>
        <v>2065</v>
      </c>
      <c r="AW83" s="34">
        <f>'Prevalence projection'!AW$21</f>
        <v>2066</v>
      </c>
      <c r="AX83" s="34">
        <f>'Prevalence projection'!AX$21</f>
        <v>2067</v>
      </c>
      <c r="AY83" s="34">
        <f>'Prevalence projection'!AY$21</f>
        <v>2068</v>
      </c>
      <c r="AZ83" s="34">
        <f>'Prevalence projection'!AZ$21</f>
        <v>2069</v>
      </c>
      <c r="BA83" s="34">
        <f>'Prevalence projection'!BA$21</f>
        <v>2070</v>
      </c>
    </row>
    <row r="84" spans="2:53" ht="43.5">
      <c r="B84" s="411" t="s">
        <v>2982</v>
      </c>
      <c r="C84" s="397">
        <f>'Wound maintenance vols'!C197</f>
        <v>0</v>
      </c>
      <c r="D84" s="397">
        <f>'Wound maintenance vols'!D197</f>
        <v>0.65790116580310876</v>
      </c>
      <c r="E84" s="397">
        <f>'Wound maintenance vols'!E197</f>
        <v>1.3410916728070064</v>
      </c>
      <c r="F84" s="397">
        <f>'Wound maintenance vols'!F197</f>
        <v>2.0461223736772496</v>
      </c>
      <c r="G84" s="397">
        <f>'Wound maintenance vols'!G197</f>
        <v>2.7705430906933826</v>
      </c>
      <c r="H84" s="397">
        <f>'Wound maintenance vols'!H197</f>
        <v>3.5128329710913695</v>
      </c>
      <c r="I84" s="397">
        <f>'Wound maintenance vols'!I197</f>
        <v>4.2720171367137612</v>
      </c>
      <c r="J84" s="397">
        <f>'Wound maintenance vols'!J197</f>
        <v>5.0471940129443826</v>
      </c>
      <c r="K84" s="397">
        <f>'Wound maintenance vols'!K197</f>
        <v>5.8377374197160483</v>
      </c>
      <c r="L84" s="397">
        <f>'Wound maintenance vols'!L197</f>
        <v>6.6444320655698661</v>
      </c>
      <c r="M84" s="397">
        <f>'Wound maintenance vols'!M197</f>
        <v>7.4672343223143409</v>
      </c>
      <c r="N84" s="397">
        <f>'Wound maintenance vols'!N197</f>
        <v>7.6478055958471556</v>
      </c>
      <c r="O84" s="397">
        <f>'Wound maintenance vols'!O197</f>
        <v>7.8181585511077953</v>
      </c>
      <c r="P84" s="397">
        <f>'Wound maintenance vols'!P197</f>
        <v>7.9810507638550749</v>
      </c>
      <c r="Q84" s="397">
        <f>'Wound maintenance vols'!Q197</f>
        <v>8.1384907760720981</v>
      </c>
      <c r="R84" s="397">
        <f>'Wound maintenance vols'!R197</f>
        <v>8.2918446377701169</v>
      </c>
      <c r="S84" s="397">
        <f>'Wound maintenance vols'!S197</f>
        <v>8.4419784120249712</v>
      </c>
      <c r="T84" s="397">
        <f>'Wound maintenance vols'!T197</f>
        <v>8.5894701029803908</v>
      </c>
      <c r="U84" s="397">
        <f>'Wound maintenance vols'!U197</f>
        <v>8.7346612795466498</v>
      </c>
      <c r="V84" s="397">
        <f>'Wound maintenance vols'!V197</f>
        <v>8.8770102428852162</v>
      </c>
      <c r="W84" s="397">
        <f>'Wound maintenance vols'!W197</f>
        <v>9.016370133318464</v>
      </c>
      <c r="X84" s="397">
        <f>'Wound maintenance vols'!X197</f>
        <v>9.1528650731550361</v>
      </c>
      <c r="Y84" s="397">
        <f>'Wound maintenance vols'!Y197</f>
        <v>9.2867620923640324</v>
      </c>
      <c r="Z84" s="397">
        <f>'Wound maintenance vols'!Z197</f>
        <v>9.4186317882728972</v>
      </c>
      <c r="AA84" s="397">
        <f>'Wound maintenance vols'!AA197</f>
        <v>9.548748794353596</v>
      </c>
      <c r="AB84" s="397">
        <f>'Wound maintenance vols'!AB197</f>
        <v>9.6770150336983587</v>
      </c>
      <c r="AC84" s="397">
        <f>'Wound maintenance vols'!AC197</f>
        <v>9.8032195353379272</v>
      </c>
      <c r="AD84" s="397">
        <f>'Wound maintenance vols'!AD197</f>
        <v>9.9272989622424266</v>
      </c>
      <c r="AE84" s="397">
        <f>'Wound maintenance vols'!AE197</f>
        <v>10.049101351769178</v>
      </c>
      <c r="AF84" s="397">
        <f>'Wound maintenance vols'!AF197</f>
        <v>10.167901989101967</v>
      </c>
      <c r="AG84" s="397">
        <f>'Wound maintenance vols'!AG197</f>
        <v>10.283447946330613</v>
      </c>
      <c r="AH84" s="397">
        <f>'Wound maintenance vols'!AH197</f>
        <v>10.395804714293698</v>
      </c>
      <c r="AI84" s="397">
        <f>'Wound maintenance vols'!AI197</f>
        <v>10.505078775609242</v>
      </c>
      <c r="AJ84" s="397">
        <f>'Wound maintenance vols'!AJ197</f>
        <v>10.611238966607052</v>
      </c>
      <c r="AK84" s="397">
        <f>'Wound maintenance vols'!AK197</f>
        <v>10.71408195364948</v>
      </c>
      <c r="AL84" s="397">
        <f>'Wound maintenance vols'!AL197</f>
        <v>10.813323184362686</v>
      </c>
      <c r="AM84" s="397">
        <f>'Wound maintenance vols'!AM197</f>
        <v>10.908631440522432</v>
      </c>
      <c r="AN84" s="397">
        <f>'Wound maintenance vols'!AN197</f>
        <v>10.999809827968194</v>
      </c>
      <c r="AO84" s="397">
        <f>'Wound maintenance vols'!AO197</f>
        <v>11.086726142376735</v>
      </c>
      <c r="AP84" s="397">
        <f>'Wound maintenance vols'!AP197</f>
        <v>11.16926574501286</v>
      </c>
      <c r="AQ84" s="397">
        <f>'Wound maintenance vols'!AQ197</f>
        <v>11.247514251491596</v>
      </c>
      <c r="AR84" s="397">
        <f>'Wound maintenance vols'!AR197</f>
        <v>11.321629572433688</v>
      </c>
      <c r="AS84" s="397">
        <f>'Wound maintenance vols'!AS197</f>
        <v>11.391962947289311</v>
      </c>
      <c r="AT84" s="397">
        <f>'Wound maintenance vols'!AT197</f>
        <v>11.457429850847316</v>
      </c>
      <c r="AU84" s="397">
        <f>'Wound maintenance vols'!AU197</f>
        <v>11.517436640101266</v>
      </c>
      <c r="AV84" s="397">
        <f>'Wound maintenance vols'!AV197</f>
        <v>11.571769325525631</v>
      </c>
      <c r="AW84" s="397">
        <f>'Wound maintenance vols'!AW197</f>
        <v>11.620493178289543</v>
      </c>
      <c r="AX84" s="397">
        <f>'Wound maintenance vols'!AX197</f>
        <v>11.663735421099744</v>
      </c>
      <c r="AY84" s="397">
        <f>'Wound maintenance vols'!AY197</f>
        <v>11.701708928782782</v>
      </c>
      <c r="AZ84" s="397">
        <f>'Wound maintenance vols'!AZ197</f>
        <v>11.734732618568048</v>
      </c>
      <c r="BA84" s="397">
        <f>'Wound maintenance vols'!BA197</f>
        <v>11.762948036569947</v>
      </c>
    </row>
    <row r="85" spans="2:53">
      <c r="B85" s="408"/>
      <c r="C85" s="409"/>
      <c r="D85" s="409"/>
      <c r="E85" s="409"/>
      <c r="F85" s="409"/>
      <c r="G85" s="409"/>
      <c r="H85" s="409"/>
      <c r="I85" s="409"/>
      <c r="J85" s="409"/>
      <c r="K85" s="409"/>
      <c r="L85" s="409"/>
      <c r="M85" s="409"/>
      <c r="N85" s="409"/>
      <c r="O85" s="409"/>
      <c r="P85" s="409"/>
      <c r="Q85" s="409"/>
      <c r="R85" s="409"/>
      <c r="S85" s="409"/>
      <c r="T85" s="409"/>
      <c r="U85" s="409"/>
      <c r="V85" s="409"/>
      <c r="W85" s="409"/>
      <c r="X85" s="409"/>
      <c r="Y85" s="409"/>
      <c r="Z85" s="409"/>
      <c r="AA85" s="409"/>
      <c r="AB85" s="409"/>
      <c r="AC85" s="409"/>
      <c r="AD85" s="409"/>
      <c r="AE85" s="409"/>
    </row>
    <row r="86" spans="2:53">
      <c r="B86" s="52"/>
      <c r="C86" s="78"/>
      <c r="E86" s="111"/>
      <c r="F86" s="111"/>
      <c r="H86" s="112"/>
      <c r="J86" s="78"/>
    </row>
    <row r="87" spans="2:53">
      <c r="B87" s="114" t="s">
        <v>2926</v>
      </c>
      <c r="C87" s="78"/>
      <c r="E87" s="111"/>
      <c r="F87" s="111"/>
      <c r="H87" s="112"/>
      <c r="J87" s="78"/>
    </row>
    <row r="88" spans="2:53">
      <c r="B88" s="114"/>
      <c r="C88" s="78"/>
      <c r="E88" s="111"/>
      <c r="F88" s="111"/>
      <c r="H88" s="112"/>
      <c r="J88" s="78"/>
    </row>
    <row r="89" spans="2:53">
      <c r="B89" s="7" t="s">
        <v>125</v>
      </c>
      <c r="C89" s="344" t="s">
        <v>97</v>
      </c>
      <c r="F89" s="111"/>
      <c r="H89" s="112"/>
      <c r="J89" s="78"/>
    </row>
    <row r="90" spans="2:53">
      <c r="B90" s="6" t="s">
        <v>2863</v>
      </c>
      <c r="C90" s="368">
        <f>SUMIFS('Mixed LU Care Pathways'!$J$79:$J$85, 'Mixed LU Care Pathways'!$K$79:$K$85, B90)</f>
        <v>4</v>
      </c>
      <c r="F90" s="111"/>
      <c r="H90" s="112"/>
      <c r="J90" s="78"/>
    </row>
    <row r="91" spans="2:53">
      <c r="B91" s="6" t="s">
        <v>2862</v>
      </c>
      <c r="C91" s="368">
        <f>SUMIFS('Mixed LU Care Pathways'!$J$79:$J$85, 'Mixed LU Care Pathways'!$K$79:$K$85, B91)</f>
        <v>8</v>
      </c>
      <c r="F91" s="111"/>
      <c r="H91" s="112"/>
      <c r="J91" s="78"/>
    </row>
    <row r="92" spans="2:53">
      <c r="B92" s="6" t="s">
        <v>131</v>
      </c>
      <c r="C92" s="368">
        <f>SUMIFS('Mixed LU Care Pathways'!$J$79:$J$85, 'Mixed LU Care Pathways'!$K$79:$K$85, B92)</f>
        <v>0</v>
      </c>
      <c r="F92" s="111"/>
      <c r="H92" s="112"/>
      <c r="J92" s="78"/>
    </row>
    <row r="93" spans="2:53" ht="29">
      <c r="B93" s="6" t="s">
        <v>2869</v>
      </c>
      <c r="C93" s="368">
        <f>SUMIFS('Mixed LU Care Pathways'!$J$79:$J$85, 'Mixed LU Care Pathways'!$K$79:$K$85, B93)</f>
        <v>0</v>
      </c>
      <c r="F93" s="111"/>
      <c r="H93" s="112"/>
      <c r="J93" s="78"/>
    </row>
    <row r="94" spans="2:53" ht="29">
      <c r="B94" s="6" t="s">
        <v>2870</v>
      </c>
      <c r="C94" s="368">
        <f>SUMIFS('Mixed LU Care Pathways'!$J$79:$J$85, 'Mixed LU Care Pathways'!$K$79:$K$85, B94)</f>
        <v>0</v>
      </c>
      <c r="F94" s="111"/>
      <c r="H94" s="112"/>
      <c r="J94" s="78"/>
    </row>
    <row r="95" spans="2:53">
      <c r="B95" s="6" t="s">
        <v>102</v>
      </c>
      <c r="C95" s="368">
        <f>SUMIFS('Mixed LU Care Pathways'!$J$79:$J$85, 'Mixed LU Care Pathways'!$K$79:$K$85, B95)</f>
        <v>8</v>
      </c>
      <c r="F95" s="111"/>
      <c r="H95" s="112"/>
      <c r="J95" s="78"/>
    </row>
    <row r="96" spans="2:53">
      <c r="B96" s="6" t="s">
        <v>2831</v>
      </c>
      <c r="C96" s="368">
        <f>SUMIFS('Mixed LU Care Pathways'!$J$79:$J$85, 'Mixed LU Care Pathways'!$K$79:$K$85, B96)</f>
        <v>144</v>
      </c>
      <c r="F96" s="111"/>
      <c r="H96" s="112"/>
      <c r="J96" s="78"/>
    </row>
    <row r="97" spans="2:54">
      <c r="B97" s="6" t="s">
        <v>2832</v>
      </c>
      <c r="C97" s="368">
        <f>SUMIFS('Mixed LU Care Pathways'!$J$79:$J$85, 'Mixed LU Care Pathways'!$K$79:$K$85, B97)</f>
        <v>96</v>
      </c>
      <c r="F97" s="111"/>
      <c r="H97" s="112"/>
      <c r="J97" s="78"/>
    </row>
    <row r="98" spans="2:54">
      <c r="B98" s="6" t="s">
        <v>2871</v>
      </c>
      <c r="C98" s="368">
        <f>SUMIFS('Mixed LU Care Pathways'!$J$79:$J$85, 'Mixed LU Care Pathways'!$K$79:$K$85, B98)</f>
        <v>0</v>
      </c>
      <c r="F98" s="111"/>
      <c r="H98" s="112"/>
      <c r="J98" s="78"/>
    </row>
    <row r="99" spans="2:54">
      <c r="B99" s="52"/>
      <c r="C99" s="52"/>
      <c r="D99" s="111"/>
      <c r="F99" s="111"/>
      <c r="H99" s="112"/>
      <c r="J99" s="78"/>
    </row>
    <row r="100" spans="2:54">
      <c r="B100" s="52"/>
      <c r="C100" s="52"/>
      <c r="F100" s="111"/>
      <c r="H100" s="112"/>
      <c r="J100" s="78"/>
    </row>
    <row r="101" spans="2:54">
      <c r="B101" s="114" t="s">
        <v>2927</v>
      </c>
      <c r="C101" s="52"/>
      <c r="D101" s="52"/>
      <c r="F101" s="111"/>
      <c r="H101" s="112"/>
      <c r="J101" s="78"/>
    </row>
    <row r="102" spans="2:54">
      <c r="B102" s="7" t="s">
        <v>9</v>
      </c>
      <c r="D102" s="34">
        <f>'Prevalence projection'!C$21</f>
        <v>2020</v>
      </c>
      <c r="E102" s="34">
        <f>'Prevalence projection'!D$21</f>
        <v>2021</v>
      </c>
      <c r="F102" s="34">
        <f>'Prevalence projection'!E$21</f>
        <v>2022</v>
      </c>
      <c r="G102" s="34">
        <f>'Prevalence projection'!F$21</f>
        <v>2023</v>
      </c>
      <c r="H102" s="34">
        <f>'Prevalence projection'!G$21</f>
        <v>2024</v>
      </c>
      <c r="I102" s="34">
        <f>'Prevalence projection'!H$21</f>
        <v>2025</v>
      </c>
      <c r="J102" s="34">
        <f>'Prevalence projection'!I$21</f>
        <v>2026</v>
      </c>
      <c r="K102" s="34">
        <f>'Prevalence projection'!J$21</f>
        <v>2027</v>
      </c>
      <c r="L102" s="34">
        <f>'Prevalence projection'!K$21</f>
        <v>2028</v>
      </c>
      <c r="M102" s="34">
        <f>'Prevalence projection'!L$21</f>
        <v>2029</v>
      </c>
      <c r="N102" s="34">
        <f>'Prevalence projection'!M$21</f>
        <v>2030</v>
      </c>
      <c r="O102" s="34">
        <f>'Prevalence projection'!N$21</f>
        <v>2031</v>
      </c>
      <c r="P102" s="34">
        <f>'Prevalence projection'!O$21</f>
        <v>2032</v>
      </c>
      <c r="Q102" s="34">
        <f>'Prevalence projection'!P$21</f>
        <v>2033</v>
      </c>
      <c r="R102" s="34">
        <f>'Prevalence projection'!Q$21</f>
        <v>2034</v>
      </c>
      <c r="S102" s="34">
        <f>'Prevalence projection'!R$21</f>
        <v>2035</v>
      </c>
      <c r="T102" s="34">
        <f>'Prevalence projection'!S$21</f>
        <v>2036</v>
      </c>
      <c r="U102" s="34">
        <f>'Prevalence projection'!T$21</f>
        <v>2037</v>
      </c>
      <c r="V102" s="34">
        <f>'Prevalence projection'!U$21</f>
        <v>2038</v>
      </c>
      <c r="W102" s="34">
        <f>'Prevalence projection'!V$21</f>
        <v>2039</v>
      </c>
      <c r="X102" s="34">
        <f>'Prevalence projection'!W$21</f>
        <v>2040</v>
      </c>
      <c r="Y102" s="34">
        <f>'Prevalence projection'!X$21</f>
        <v>2041</v>
      </c>
      <c r="Z102" s="34">
        <f>'Prevalence projection'!Y$21</f>
        <v>2042</v>
      </c>
      <c r="AA102" s="34">
        <f>'Prevalence projection'!Z$21</f>
        <v>2043</v>
      </c>
      <c r="AB102" s="34">
        <f>'Prevalence projection'!AA$21</f>
        <v>2044</v>
      </c>
      <c r="AC102" s="34">
        <f>'Prevalence projection'!AB$21</f>
        <v>2045</v>
      </c>
      <c r="AD102" s="34">
        <f>'Prevalence projection'!AC$21</f>
        <v>2046</v>
      </c>
      <c r="AE102" s="34">
        <f>'Prevalence projection'!AD$21</f>
        <v>2047</v>
      </c>
      <c r="AF102" s="34">
        <f>'Prevalence projection'!AE$21</f>
        <v>2048</v>
      </c>
      <c r="AG102" s="34">
        <f>'Prevalence projection'!AF$21</f>
        <v>2049</v>
      </c>
      <c r="AH102" s="34">
        <f>'Prevalence projection'!AG$21</f>
        <v>2050</v>
      </c>
      <c r="AI102" s="34">
        <f>'Prevalence projection'!AH$21</f>
        <v>2051</v>
      </c>
      <c r="AJ102" s="34">
        <f>'Prevalence projection'!AI$21</f>
        <v>2052</v>
      </c>
      <c r="AK102" s="34">
        <f>'Prevalence projection'!AJ$21</f>
        <v>2053</v>
      </c>
      <c r="AL102" s="34">
        <f>'Prevalence projection'!AK$21</f>
        <v>2054</v>
      </c>
      <c r="AM102" s="34">
        <f>'Prevalence projection'!AL$21</f>
        <v>2055</v>
      </c>
      <c r="AN102" s="34">
        <f>'Prevalence projection'!AM$21</f>
        <v>2056</v>
      </c>
      <c r="AO102" s="34">
        <f>'Prevalence projection'!AN$21</f>
        <v>2057</v>
      </c>
      <c r="AP102" s="34">
        <f>'Prevalence projection'!AO$21</f>
        <v>2058</v>
      </c>
      <c r="AQ102" s="34">
        <f>'Prevalence projection'!AP$21</f>
        <v>2059</v>
      </c>
      <c r="AR102" s="34">
        <f>'Prevalence projection'!AQ$21</f>
        <v>2060</v>
      </c>
      <c r="AS102" s="34">
        <f>'Prevalence projection'!AR$21</f>
        <v>2061</v>
      </c>
      <c r="AT102" s="34">
        <f>'Prevalence projection'!AS$21</f>
        <v>2062</v>
      </c>
      <c r="AU102" s="34">
        <f>'Prevalence projection'!AT$21</f>
        <v>2063</v>
      </c>
      <c r="AV102" s="34">
        <f>'Prevalence projection'!AU$21</f>
        <v>2064</v>
      </c>
      <c r="AW102" s="34">
        <f>'Prevalence projection'!AV$21</f>
        <v>2065</v>
      </c>
      <c r="AX102" s="34">
        <f>'Prevalence projection'!AW$21</f>
        <v>2066</v>
      </c>
      <c r="AY102" s="34">
        <f>'Prevalence projection'!AX$21</f>
        <v>2067</v>
      </c>
      <c r="AZ102" s="34">
        <f>'Prevalence projection'!AY$21</f>
        <v>2068</v>
      </c>
      <c r="BA102" s="34">
        <f>'Prevalence projection'!AZ$21</f>
        <v>2069</v>
      </c>
      <c r="BB102" s="34">
        <f>'Prevalence projection'!BA$21</f>
        <v>2070</v>
      </c>
    </row>
    <row r="103" spans="2:54">
      <c r="B103" s="6" t="s">
        <v>11</v>
      </c>
      <c r="D103" s="89">
        <f>SUMIFS($C$90:$C$98,$B$90:$B$98,$B103)*C$84</f>
        <v>0</v>
      </c>
      <c r="E103" s="89">
        <f t="shared" ref="E103:T103" si="9">SUMIFS($C$90:$C$98,$B$90:$B$98,$B103)*D$84</f>
        <v>0</v>
      </c>
      <c r="F103" s="89">
        <f t="shared" si="9"/>
        <v>0</v>
      </c>
      <c r="G103" s="89">
        <f t="shared" si="9"/>
        <v>0</v>
      </c>
      <c r="H103" s="89">
        <f t="shared" si="9"/>
        <v>0</v>
      </c>
      <c r="I103" s="89">
        <f t="shared" si="9"/>
        <v>0</v>
      </c>
      <c r="J103" s="89">
        <f t="shared" si="9"/>
        <v>0</v>
      </c>
      <c r="K103" s="89">
        <f t="shared" si="9"/>
        <v>0</v>
      </c>
      <c r="L103" s="89">
        <f t="shared" si="9"/>
        <v>0</v>
      </c>
      <c r="M103" s="89">
        <f t="shared" si="9"/>
        <v>0</v>
      </c>
      <c r="N103" s="89">
        <f t="shared" si="9"/>
        <v>0</v>
      </c>
      <c r="O103" s="89">
        <f t="shared" si="9"/>
        <v>0</v>
      </c>
      <c r="P103" s="89">
        <f t="shared" si="9"/>
        <v>0</v>
      </c>
      <c r="Q103" s="89">
        <f t="shared" si="9"/>
        <v>0</v>
      </c>
      <c r="R103" s="89">
        <f t="shared" si="9"/>
        <v>0</v>
      </c>
      <c r="S103" s="89">
        <f t="shared" si="9"/>
        <v>0</v>
      </c>
      <c r="T103" s="89">
        <f t="shared" si="9"/>
        <v>0</v>
      </c>
      <c r="U103" s="89">
        <f t="shared" ref="T103:AF118" si="10">SUMIFS($C$90:$C$98,$B$90:$B$98,$B103)*T$84</f>
        <v>0</v>
      </c>
      <c r="V103" s="89">
        <f t="shared" si="10"/>
        <v>0</v>
      </c>
      <c r="W103" s="89">
        <f t="shared" si="10"/>
        <v>0</v>
      </c>
      <c r="X103" s="89">
        <f t="shared" si="10"/>
        <v>0</v>
      </c>
      <c r="Y103" s="89">
        <f t="shared" si="10"/>
        <v>0</v>
      </c>
      <c r="Z103" s="89">
        <f t="shared" si="10"/>
        <v>0</v>
      </c>
      <c r="AA103" s="89">
        <f t="shared" si="10"/>
        <v>0</v>
      </c>
      <c r="AB103" s="89">
        <f t="shared" si="10"/>
        <v>0</v>
      </c>
      <c r="AC103" s="89">
        <f t="shared" si="10"/>
        <v>0</v>
      </c>
      <c r="AD103" s="89">
        <f t="shared" si="10"/>
        <v>0</v>
      </c>
      <c r="AE103" s="89">
        <f t="shared" si="10"/>
        <v>0</v>
      </c>
      <c r="AF103" s="89">
        <f t="shared" si="10"/>
        <v>0</v>
      </c>
      <c r="AG103" s="89">
        <f t="shared" ref="AG103:AG120" si="11">SUMIFS($C$90:$C$98,$B$90:$B$98,$B103)*AF$84</f>
        <v>0</v>
      </c>
      <c r="AH103" s="89">
        <f t="shared" ref="AH103:AH120" si="12">SUMIFS($C$90:$C$98,$B$90:$B$98,$B103)*AG$84</f>
        <v>0</v>
      </c>
      <c r="AI103" s="89">
        <f t="shared" ref="AI103:AI120" si="13">SUMIFS($C$90:$C$98,$B$90:$B$98,$B103)*AH$84</f>
        <v>0</v>
      </c>
      <c r="AJ103" s="89">
        <f t="shared" ref="AJ103:AJ120" si="14">SUMIFS($C$90:$C$98,$B$90:$B$98,$B103)*AI$84</f>
        <v>0</v>
      </c>
      <c r="AK103" s="89">
        <f t="shared" ref="AK103:AK120" si="15">SUMIFS($C$90:$C$98,$B$90:$B$98,$B103)*AJ$84</f>
        <v>0</v>
      </c>
      <c r="AL103" s="89">
        <f t="shared" ref="AL103:AL120" si="16">SUMIFS($C$90:$C$98,$B$90:$B$98,$B103)*AK$84</f>
        <v>0</v>
      </c>
      <c r="AM103" s="89">
        <f t="shared" ref="AM103:AM120" si="17">SUMIFS($C$90:$C$98,$B$90:$B$98,$B103)*AL$84</f>
        <v>0</v>
      </c>
      <c r="AN103" s="89">
        <f t="shared" ref="AN103:AN120" si="18">SUMIFS($C$90:$C$98,$B$90:$B$98,$B103)*AM$84</f>
        <v>0</v>
      </c>
      <c r="AO103" s="89">
        <f t="shared" ref="AO103:AP120" si="19">SUMIFS($C$90:$C$98,$B$90:$B$98,$B103)*AN$84</f>
        <v>0</v>
      </c>
      <c r="AP103" s="89">
        <f t="shared" si="19"/>
        <v>0</v>
      </c>
      <c r="AQ103" s="89">
        <f t="shared" ref="AQ103:AQ120" si="20">SUMIFS($C$90:$C$98,$B$90:$B$98,$B103)*AP$84</f>
        <v>0</v>
      </c>
      <c r="AR103" s="89">
        <f t="shared" ref="AR103:AR120" si="21">SUMIFS($C$90:$C$98,$B$90:$B$98,$B103)*AQ$84</f>
        <v>0</v>
      </c>
      <c r="AS103" s="89">
        <f t="shared" ref="AS103:AS120" si="22">SUMIFS($C$90:$C$98,$B$90:$B$98,$B103)*AR$84</f>
        <v>0</v>
      </c>
      <c r="AT103" s="89">
        <f t="shared" ref="AT103:AT120" si="23">SUMIFS($C$90:$C$98,$B$90:$B$98,$B103)*AS$84</f>
        <v>0</v>
      </c>
      <c r="AU103" s="89">
        <f t="shared" ref="AU103:AU120" si="24">SUMIFS($C$90:$C$98,$B$90:$B$98,$B103)*AT$84</f>
        <v>0</v>
      </c>
      <c r="AV103" s="89">
        <f t="shared" ref="AV103:AV120" si="25">SUMIFS($C$90:$C$98,$B$90:$B$98,$B103)*AU$84</f>
        <v>0</v>
      </c>
      <c r="AW103" s="89">
        <f t="shared" ref="AW103:AW120" si="26">SUMIFS($C$90:$C$98,$B$90:$B$98,$B103)*AV$84</f>
        <v>0</v>
      </c>
      <c r="AX103" s="89">
        <f t="shared" ref="AX103:AX120" si="27">SUMIFS($C$90:$C$98,$B$90:$B$98,$B103)*AW$84</f>
        <v>0</v>
      </c>
      <c r="AY103" s="89">
        <f t="shared" ref="AY103:AY120" si="28">SUMIFS($C$90:$C$98,$B$90:$B$98,$B103)*AX$84</f>
        <v>0</v>
      </c>
      <c r="AZ103" s="89">
        <f t="shared" ref="AZ103:AZ120" si="29">SUMIFS($C$90:$C$98,$B$90:$B$98,$B103)*AY$84</f>
        <v>0</v>
      </c>
      <c r="BA103" s="89">
        <f t="shared" ref="BA103:BB120" si="30">SUMIFS($C$90:$C$98,$B$90:$B$98,$B103)*AZ$84</f>
        <v>0</v>
      </c>
      <c r="BB103" s="89">
        <f t="shared" si="30"/>
        <v>0</v>
      </c>
    </row>
    <row r="104" spans="2:54">
      <c r="B104" s="6" t="s">
        <v>14</v>
      </c>
      <c r="C104" s="52"/>
      <c r="D104" s="89">
        <f t="shared" ref="D104:S119" si="31">SUMIFS($C$90:$C$98,$B$90:$B$98,$B104)*C$84</f>
        <v>0</v>
      </c>
      <c r="E104" s="89">
        <f t="shared" si="31"/>
        <v>0</v>
      </c>
      <c r="F104" s="89">
        <f t="shared" si="31"/>
        <v>0</v>
      </c>
      <c r="G104" s="89">
        <f t="shared" si="31"/>
        <v>0</v>
      </c>
      <c r="H104" s="89">
        <f t="shared" si="31"/>
        <v>0</v>
      </c>
      <c r="I104" s="89">
        <f t="shared" si="31"/>
        <v>0</v>
      </c>
      <c r="J104" s="89">
        <f t="shared" si="31"/>
        <v>0</v>
      </c>
      <c r="K104" s="89">
        <f t="shared" si="31"/>
        <v>0</v>
      </c>
      <c r="L104" s="89">
        <f t="shared" si="31"/>
        <v>0</v>
      </c>
      <c r="M104" s="89">
        <f t="shared" si="31"/>
        <v>0</v>
      </c>
      <c r="N104" s="89">
        <f t="shared" si="31"/>
        <v>0</v>
      </c>
      <c r="O104" s="89">
        <f t="shared" si="31"/>
        <v>0</v>
      </c>
      <c r="P104" s="89">
        <f t="shared" si="31"/>
        <v>0</v>
      </c>
      <c r="Q104" s="89">
        <f t="shared" si="31"/>
        <v>0</v>
      </c>
      <c r="R104" s="89">
        <f t="shared" si="31"/>
        <v>0</v>
      </c>
      <c r="S104" s="89">
        <f t="shared" si="31"/>
        <v>0</v>
      </c>
      <c r="T104" s="89">
        <f t="shared" si="10"/>
        <v>0</v>
      </c>
      <c r="U104" s="89">
        <f t="shared" si="10"/>
        <v>0</v>
      </c>
      <c r="V104" s="89">
        <f t="shared" si="10"/>
        <v>0</v>
      </c>
      <c r="W104" s="89">
        <f t="shared" si="10"/>
        <v>0</v>
      </c>
      <c r="X104" s="89">
        <f t="shared" si="10"/>
        <v>0</v>
      </c>
      <c r="Y104" s="89">
        <f t="shared" si="10"/>
        <v>0</v>
      </c>
      <c r="Z104" s="89">
        <f t="shared" si="10"/>
        <v>0</v>
      </c>
      <c r="AA104" s="89">
        <f t="shared" si="10"/>
        <v>0</v>
      </c>
      <c r="AB104" s="89">
        <f t="shared" si="10"/>
        <v>0</v>
      </c>
      <c r="AC104" s="89">
        <f t="shared" si="10"/>
        <v>0</v>
      </c>
      <c r="AD104" s="89">
        <f t="shared" si="10"/>
        <v>0</v>
      </c>
      <c r="AE104" s="89">
        <f t="shared" si="10"/>
        <v>0</v>
      </c>
      <c r="AF104" s="89">
        <f t="shared" si="10"/>
        <v>0</v>
      </c>
      <c r="AG104" s="89">
        <f t="shared" si="11"/>
        <v>0</v>
      </c>
      <c r="AH104" s="89">
        <f t="shared" si="12"/>
        <v>0</v>
      </c>
      <c r="AI104" s="89">
        <f t="shared" si="13"/>
        <v>0</v>
      </c>
      <c r="AJ104" s="89">
        <f t="shared" si="14"/>
        <v>0</v>
      </c>
      <c r="AK104" s="89">
        <f t="shared" si="15"/>
        <v>0</v>
      </c>
      <c r="AL104" s="89">
        <f t="shared" si="16"/>
        <v>0</v>
      </c>
      <c r="AM104" s="89">
        <f t="shared" si="17"/>
        <v>0</v>
      </c>
      <c r="AN104" s="89">
        <f t="shared" si="18"/>
        <v>0</v>
      </c>
      <c r="AO104" s="89">
        <f t="shared" si="19"/>
        <v>0</v>
      </c>
      <c r="AP104" s="89">
        <f t="shared" si="19"/>
        <v>0</v>
      </c>
      <c r="AQ104" s="89">
        <f t="shared" si="20"/>
        <v>0</v>
      </c>
      <c r="AR104" s="89">
        <f t="shared" si="21"/>
        <v>0</v>
      </c>
      <c r="AS104" s="89">
        <f t="shared" si="22"/>
        <v>0</v>
      </c>
      <c r="AT104" s="89">
        <f t="shared" si="23"/>
        <v>0</v>
      </c>
      <c r="AU104" s="89">
        <f t="shared" si="24"/>
        <v>0</v>
      </c>
      <c r="AV104" s="89">
        <f t="shared" si="25"/>
        <v>0</v>
      </c>
      <c r="AW104" s="89">
        <f t="shared" si="26"/>
        <v>0</v>
      </c>
      <c r="AX104" s="89">
        <f t="shared" si="27"/>
        <v>0</v>
      </c>
      <c r="AY104" s="89">
        <f t="shared" si="28"/>
        <v>0</v>
      </c>
      <c r="AZ104" s="89">
        <f t="shared" si="29"/>
        <v>0</v>
      </c>
      <c r="BA104" s="89">
        <f t="shared" si="30"/>
        <v>0</v>
      </c>
      <c r="BB104" s="89">
        <f t="shared" si="30"/>
        <v>0</v>
      </c>
    </row>
    <row r="105" spans="2:54">
      <c r="B105" s="6" t="s">
        <v>15</v>
      </c>
      <c r="C105" s="52"/>
      <c r="D105" s="89">
        <f t="shared" si="31"/>
        <v>0</v>
      </c>
      <c r="E105" s="89">
        <f t="shared" si="31"/>
        <v>0</v>
      </c>
      <c r="F105" s="89">
        <f t="shared" si="31"/>
        <v>0</v>
      </c>
      <c r="G105" s="89">
        <f t="shared" si="31"/>
        <v>0</v>
      </c>
      <c r="H105" s="89">
        <f t="shared" si="31"/>
        <v>0</v>
      </c>
      <c r="I105" s="89">
        <f t="shared" si="31"/>
        <v>0</v>
      </c>
      <c r="J105" s="89">
        <f t="shared" si="31"/>
        <v>0</v>
      </c>
      <c r="K105" s="89">
        <f t="shared" si="31"/>
        <v>0</v>
      </c>
      <c r="L105" s="89">
        <f t="shared" si="31"/>
        <v>0</v>
      </c>
      <c r="M105" s="89">
        <f t="shared" si="31"/>
        <v>0</v>
      </c>
      <c r="N105" s="89">
        <f t="shared" si="31"/>
        <v>0</v>
      </c>
      <c r="O105" s="89">
        <f t="shared" si="31"/>
        <v>0</v>
      </c>
      <c r="P105" s="89">
        <f t="shared" si="31"/>
        <v>0</v>
      </c>
      <c r="Q105" s="89">
        <f t="shared" si="31"/>
        <v>0</v>
      </c>
      <c r="R105" s="89">
        <f t="shared" si="31"/>
        <v>0</v>
      </c>
      <c r="S105" s="89">
        <f t="shared" si="31"/>
        <v>0</v>
      </c>
      <c r="T105" s="89">
        <f t="shared" si="10"/>
        <v>0</v>
      </c>
      <c r="U105" s="89">
        <f t="shared" si="10"/>
        <v>0</v>
      </c>
      <c r="V105" s="89">
        <f t="shared" si="10"/>
        <v>0</v>
      </c>
      <c r="W105" s="89">
        <f t="shared" si="10"/>
        <v>0</v>
      </c>
      <c r="X105" s="89">
        <f t="shared" si="10"/>
        <v>0</v>
      </c>
      <c r="Y105" s="89">
        <f t="shared" si="10"/>
        <v>0</v>
      </c>
      <c r="Z105" s="89">
        <f t="shared" si="10"/>
        <v>0</v>
      </c>
      <c r="AA105" s="89">
        <f t="shared" si="10"/>
        <v>0</v>
      </c>
      <c r="AB105" s="89">
        <f t="shared" si="10"/>
        <v>0</v>
      </c>
      <c r="AC105" s="89">
        <f t="shared" si="10"/>
        <v>0</v>
      </c>
      <c r="AD105" s="89">
        <f t="shared" si="10"/>
        <v>0</v>
      </c>
      <c r="AE105" s="89">
        <f t="shared" si="10"/>
        <v>0</v>
      </c>
      <c r="AF105" s="89">
        <f t="shared" si="10"/>
        <v>0</v>
      </c>
      <c r="AG105" s="89">
        <f t="shared" si="11"/>
        <v>0</v>
      </c>
      <c r="AH105" s="89">
        <f t="shared" si="12"/>
        <v>0</v>
      </c>
      <c r="AI105" s="89">
        <f t="shared" si="13"/>
        <v>0</v>
      </c>
      <c r="AJ105" s="89">
        <f t="shared" si="14"/>
        <v>0</v>
      </c>
      <c r="AK105" s="89">
        <f t="shared" si="15"/>
        <v>0</v>
      </c>
      <c r="AL105" s="89">
        <f t="shared" si="16"/>
        <v>0</v>
      </c>
      <c r="AM105" s="89">
        <f t="shared" si="17"/>
        <v>0</v>
      </c>
      <c r="AN105" s="89">
        <f t="shared" si="18"/>
        <v>0</v>
      </c>
      <c r="AO105" s="89">
        <f t="shared" si="19"/>
        <v>0</v>
      </c>
      <c r="AP105" s="89">
        <f t="shared" si="19"/>
        <v>0</v>
      </c>
      <c r="AQ105" s="89">
        <f t="shared" si="20"/>
        <v>0</v>
      </c>
      <c r="AR105" s="89">
        <f t="shared" si="21"/>
        <v>0</v>
      </c>
      <c r="AS105" s="89">
        <f t="shared" si="22"/>
        <v>0</v>
      </c>
      <c r="AT105" s="89">
        <f t="shared" si="23"/>
        <v>0</v>
      </c>
      <c r="AU105" s="89">
        <f t="shared" si="24"/>
        <v>0</v>
      </c>
      <c r="AV105" s="89">
        <f t="shared" si="25"/>
        <v>0</v>
      </c>
      <c r="AW105" s="89">
        <f t="shared" si="26"/>
        <v>0</v>
      </c>
      <c r="AX105" s="89">
        <f t="shared" si="27"/>
        <v>0</v>
      </c>
      <c r="AY105" s="89">
        <f t="shared" si="28"/>
        <v>0</v>
      </c>
      <c r="AZ105" s="89">
        <f t="shared" si="29"/>
        <v>0</v>
      </c>
      <c r="BA105" s="89">
        <f t="shared" si="30"/>
        <v>0</v>
      </c>
      <c r="BB105" s="89">
        <f t="shared" si="30"/>
        <v>0</v>
      </c>
    </row>
    <row r="106" spans="2:54" ht="29">
      <c r="B106" s="6" t="s">
        <v>16</v>
      </c>
      <c r="C106" s="52"/>
      <c r="D106" s="89">
        <f t="shared" si="31"/>
        <v>0</v>
      </c>
      <c r="E106" s="89">
        <f t="shared" si="31"/>
        <v>0</v>
      </c>
      <c r="F106" s="89">
        <f t="shared" si="31"/>
        <v>0</v>
      </c>
      <c r="G106" s="89">
        <f t="shared" si="31"/>
        <v>0</v>
      </c>
      <c r="H106" s="89">
        <f t="shared" si="31"/>
        <v>0</v>
      </c>
      <c r="I106" s="89">
        <f t="shared" si="31"/>
        <v>0</v>
      </c>
      <c r="J106" s="89">
        <f t="shared" si="31"/>
        <v>0</v>
      </c>
      <c r="K106" s="89">
        <f t="shared" si="31"/>
        <v>0</v>
      </c>
      <c r="L106" s="89">
        <f t="shared" si="31"/>
        <v>0</v>
      </c>
      <c r="M106" s="89">
        <f t="shared" si="31"/>
        <v>0</v>
      </c>
      <c r="N106" s="89">
        <f t="shared" si="31"/>
        <v>0</v>
      </c>
      <c r="O106" s="89">
        <f t="shared" si="31"/>
        <v>0</v>
      </c>
      <c r="P106" s="89">
        <f t="shared" si="31"/>
        <v>0</v>
      </c>
      <c r="Q106" s="89">
        <f t="shared" si="31"/>
        <v>0</v>
      </c>
      <c r="R106" s="89">
        <f t="shared" si="31"/>
        <v>0</v>
      </c>
      <c r="S106" s="89">
        <f t="shared" si="31"/>
        <v>0</v>
      </c>
      <c r="T106" s="89">
        <f t="shared" si="10"/>
        <v>0</v>
      </c>
      <c r="U106" s="89">
        <f t="shared" si="10"/>
        <v>0</v>
      </c>
      <c r="V106" s="89">
        <f t="shared" si="10"/>
        <v>0</v>
      </c>
      <c r="W106" s="89">
        <f t="shared" si="10"/>
        <v>0</v>
      </c>
      <c r="X106" s="89">
        <f t="shared" si="10"/>
        <v>0</v>
      </c>
      <c r="Y106" s="89">
        <f t="shared" si="10"/>
        <v>0</v>
      </c>
      <c r="Z106" s="89">
        <f t="shared" si="10"/>
        <v>0</v>
      </c>
      <c r="AA106" s="89">
        <f t="shared" si="10"/>
        <v>0</v>
      </c>
      <c r="AB106" s="89">
        <f t="shared" si="10"/>
        <v>0</v>
      </c>
      <c r="AC106" s="89">
        <f t="shared" si="10"/>
        <v>0</v>
      </c>
      <c r="AD106" s="89">
        <f t="shared" si="10"/>
        <v>0</v>
      </c>
      <c r="AE106" s="89">
        <f t="shared" si="10"/>
        <v>0</v>
      </c>
      <c r="AF106" s="89">
        <f t="shared" si="10"/>
        <v>0</v>
      </c>
      <c r="AG106" s="89">
        <f t="shared" si="11"/>
        <v>0</v>
      </c>
      <c r="AH106" s="89">
        <f t="shared" si="12"/>
        <v>0</v>
      </c>
      <c r="AI106" s="89">
        <f t="shared" si="13"/>
        <v>0</v>
      </c>
      <c r="AJ106" s="89">
        <f t="shared" si="14"/>
        <v>0</v>
      </c>
      <c r="AK106" s="89">
        <f t="shared" si="15"/>
        <v>0</v>
      </c>
      <c r="AL106" s="89">
        <f t="shared" si="16"/>
        <v>0</v>
      </c>
      <c r="AM106" s="89">
        <f t="shared" si="17"/>
        <v>0</v>
      </c>
      <c r="AN106" s="89">
        <f t="shared" si="18"/>
        <v>0</v>
      </c>
      <c r="AO106" s="89">
        <f t="shared" si="19"/>
        <v>0</v>
      </c>
      <c r="AP106" s="89">
        <f t="shared" si="19"/>
        <v>0</v>
      </c>
      <c r="AQ106" s="89">
        <f t="shared" si="20"/>
        <v>0</v>
      </c>
      <c r="AR106" s="89">
        <f t="shared" si="21"/>
        <v>0</v>
      </c>
      <c r="AS106" s="89">
        <f t="shared" si="22"/>
        <v>0</v>
      </c>
      <c r="AT106" s="89">
        <f t="shared" si="23"/>
        <v>0</v>
      </c>
      <c r="AU106" s="89">
        <f t="shared" si="24"/>
        <v>0</v>
      </c>
      <c r="AV106" s="89">
        <f t="shared" si="25"/>
        <v>0</v>
      </c>
      <c r="AW106" s="89">
        <f t="shared" si="26"/>
        <v>0</v>
      </c>
      <c r="AX106" s="89">
        <f t="shared" si="27"/>
        <v>0</v>
      </c>
      <c r="AY106" s="89">
        <f t="shared" si="28"/>
        <v>0</v>
      </c>
      <c r="AZ106" s="89">
        <f t="shared" si="29"/>
        <v>0</v>
      </c>
      <c r="BA106" s="89">
        <f t="shared" si="30"/>
        <v>0</v>
      </c>
      <c r="BB106" s="89">
        <f t="shared" si="30"/>
        <v>0</v>
      </c>
    </row>
    <row r="107" spans="2:54">
      <c r="B107" s="6" t="s">
        <v>103</v>
      </c>
      <c r="C107" s="52"/>
      <c r="D107" s="89">
        <f t="shared" si="31"/>
        <v>0</v>
      </c>
      <c r="E107" s="89">
        <f t="shared" si="31"/>
        <v>0</v>
      </c>
      <c r="F107" s="89">
        <f t="shared" si="31"/>
        <v>0</v>
      </c>
      <c r="G107" s="89">
        <f t="shared" si="31"/>
        <v>0</v>
      </c>
      <c r="H107" s="89">
        <f t="shared" si="31"/>
        <v>0</v>
      </c>
      <c r="I107" s="89">
        <f t="shared" si="31"/>
        <v>0</v>
      </c>
      <c r="J107" s="89">
        <f t="shared" si="31"/>
        <v>0</v>
      </c>
      <c r="K107" s="89">
        <f t="shared" si="31"/>
        <v>0</v>
      </c>
      <c r="L107" s="89">
        <f t="shared" si="31"/>
        <v>0</v>
      </c>
      <c r="M107" s="89">
        <f t="shared" si="31"/>
        <v>0</v>
      </c>
      <c r="N107" s="89">
        <f t="shared" si="31"/>
        <v>0</v>
      </c>
      <c r="O107" s="89">
        <f t="shared" si="31"/>
        <v>0</v>
      </c>
      <c r="P107" s="89">
        <f t="shared" si="31"/>
        <v>0</v>
      </c>
      <c r="Q107" s="89">
        <f t="shared" si="31"/>
        <v>0</v>
      </c>
      <c r="R107" s="89">
        <f t="shared" si="31"/>
        <v>0</v>
      </c>
      <c r="S107" s="89">
        <f t="shared" si="31"/>
        <v>0</v>
      </c>
      <c r="T107" s="89">
        <f t="shared" si="10"/>
        <v>0</v>
      </c>
      <c r="U107" s="89">
        <f t="shared" si="10"/>
        <v>0</v>
      </c>
      <c r="V107" s="89">
        <f t="shared" si="10"/>
        <v>0</v>
      </c>
      <c r="W107" s="89">
        <f t="shared" si="10"/>
        <v>0</v>
      </c>
      <c r="X107" s="89">
        <f t="shared" si="10"/>
        <v>0</v>
      </c>
      <c r="Y107" s="89">
        <f t="shared" si="10"/>
        <v>0</v>
      </c>
      <c r="Z107" s="89">
        <f t="shared" si="10"/>
        <v>0</v>
      </c>
      <c r="AA107" s="89">
        <f t="shared" si="10"/>
        <v>0</v>
      </c>
      <c r="AB107" s="89">
        <f t="shared" si="10"/>
        <v>0</v>
      </c>
      <c r="AC107" s="89">
        <f t="shared" si="10"/>
        <v>0</v>
      </c>
      <c r="AD107" s="89">
        <f t="shared" si="10"/>
        <v>0</v>
      </c>
      <c r="AE107" s="89">
        <f t="shared" si="10"/>
        <v>0</v>
      </c>
      <c r="AF107" s="89">
        <f t="shared" si="10"/>
        <v>0</v>
      </c>
      <c r="AG107" s="89">
        <f t="shared" si="11"/>
        <v>0</v>
      </c>
      <c r="AH107" s="89">
        <f t="shared" si="12"/>
        <v>0</v>
      </c>
      <c r="AI107" s="89">
        <f t="shared" si="13"/>
        <v>0</v>
      </c>
      <c r="AJ107" s="89">
        <f t="shared" si="14"/>
        <v>0</v>
      </c>
      <c r="AK107" s="89">
        <f t="shared" si="15"/>
        <v>0</v>
      </c>
      <c r="AL107" s="89">
        <f t="shared" si="16"/>
        <v>0</v>
      </c>
      <c r="AM107" s="89">
        <f t="shared" si="17"/>
        <v>0</v>
      </c>
      <c r="AN107" s="89">
        <f t="shared" si="18"/>
        <v>0</v>
      </c>
      <c r="AO107" s="89">
        <f t="shared" si="19"/>
        <v>0</v>
      </c>
      <c r="AP107" s="89">
        <f t="shared" si="19"/>
        <v>0</v>
      </c>
      <c r="AQ107" s="89">
        <f t="shared" si="20"/>
        <v>0</v>
      </c>
      <c r="AR107" s="89">
        <f t="shared" si="21"/>
        <v>0</v>
      </c>
      <c r="AS107" s="89">
        <f t="shared" si="22"/>
        <v>0</v>
      </c>
      <c r="AT107" s="89">
        <f t="shared" si="23"/>
        <v>0</v>
      </c>
      <c r="AU107" s="89">
        <f t="shared" si="24"/>
        <v>0</v>
      </c>
      <c r="AV107" s="89">
        <f t="shared" si="25"/>
        <v>0</v>
      </c>
      <c r="AW107" s="89">
        <f t="shared" si="26"/>
        <v>0</v>
      </c>
      <c r="AX107" s="89">
        <f t="shared" si="27"/>
        <v>0</v>
      </c>
      <c r="AY107" s="89">
        <f t="shared" si="28"/>
        <v>0</v>
      </c>
      <c r="AZ107" s="89">
        <f t="shared" si="29"/>
        <v>0</v>
      </c>
      <c r="BA107" s="89">
        <f t="shared" si="30"/>
        <v>0</v>
      </c>
      <c r="BB107" s="89">
        <f t="shared" si="30"/>
        <v>0</v>
      </c>
    </row>
    <row r="108" spans="2:54">
      <c r="B108" s="6" t="s">
        <v>104</v>
      </c>
      <c r="C108" s="52"/>
      <c r="D108" s="89">
        <f t="shared" si="31"/>
        <v>0</v>
      </c>
      <c r="E108" s="89">
        <f t="shared" si="31"/>
        <v>0</v>
      </c>
      <c r="F108" s="89">
        <f t="shared" si="31"/>
        <v>0</v>
      </c>
      <c r="G108" s="89">
        <f t="shared" si="31"/>
        <v>0</v>
      </c>
      <c r="H108" s="89">
        <f t="shared" si="31"/>
        <v>0</v>
      </c>
      <c r="I108" s="89">
        <f t="shared" si="31"/>
        <v>0</v>
      </c>
      <c r="J108" s="89">
        <f t="shared" si="31"/>
        <v>0</v>
      </c>
      <c r="K108" s="89">
        <f t="shared" si="31"/>
        <v>0</v>
      </c>
      <c r="L108" s="89">
        <f t="shared" si="31"/>
        <v>0</v>
      </c>
      <c r="M108" s="89">
        <f t="shared" si="31"/>
        <v>0</v>
      </c>
      <c r="N108" s="89">
        <f t="shared" si="31"/>
        <v>0</v>
      </c>
      <c r="O108" s="89">
        <f t="shared" si="31"/>
        <v>0</v>
      </c>
      <c r="P108" s="89">
        <f t="shared" si="31"/>
        <v>0</v>
      </c>
      <c r="Q108" s="89">
        <f t="shared" si="31"/>
        <v>0</v>
      </c>
      <c r="R108" s="89">
        <f t="shared" si="31"/>
        <v>0</v>
      </c>
      <c r="S108" s="89">
        <f t="shared" si="31"/>
        <v>0</v>
      </c>
      <c r="T108" s="89">
        <f t="shared" si="10"/>
        <v>0</v>
      </c>
      <c r="U108" s="89">
        <f t="shared" si="10"/>
        <v>0</v>
      </c>
      <c r="V108" s="89">
        <f t="shared" si="10"/>
        <v>0</v>
      </c>
      <c r="W108" s="89">
        <f t="shared" si="10"/>
        <v>0</v>
      </c>
      <c r="X108" s="89">
        <f t="shared" si="10"/>
        <v>0</v>
      </c>
      <c r="Y108" s="89">
        <f t="shared" si="10"/>
        <v>0</v>
      </c>
      <c r="Z108" s="89">
        <f t="shared" si="10"/>
        <v>0</v>
      </c>
      <c r="AA108" s="89">
        <f t="shared" si="10"/>
        <v>0</v>
      </c>
      <c r="AB108" s="89">
        <f t="shared" si="10"/>
        <v>0</v>
      </c>
      <c r="AC108" s="89">
        <f t="shared" si="10"/>
        <v>0</v>
      </c>
      <c r="AD108" s="89">
        <f t="shared" si="10"/>
        <v>0</v>
      </c>
      <c r="AE108" s="89">
        <f t="shared" si="10"/>
        <v>0</v>
      </c>
      <c r="AF108" s="89">
        <f t="shared" si="10"/>
        <v>0</v>
      </c>
      <c r="AG108" s="89">
        <f t="shared" si="11"/>
        <v>0</v>
      </c>
      <c r="AH108" s="89">
        <f t="shared" si="12"/>
        <v>0</v>
      </c>
      <c r="AI108" s="89">
        <f t="shared" si="13"/>
        <v>0</v>
      </c>
      <c r="AJ108" s="89">
        <f t="shared" si="14"/>
        <v>0</v>
      </c>
      <c r="AK108" s="89">
        <f t="shared" si="15"/>
        <v>0</v>
      </c>
      <c r="AL108" s="89">
        <f t="shared" si="16"/>
        <v>0</v>
      </c>
      <c r="AM108" s="89">
        <f t="shared" si="17"/>
        <v>0</v>
      </c>
      <c r="AN108" s="89">
        <f t="shared" si="18"/>
        <v>0</v>
      </c>
      <c r="AO108" s="89">
        <f t="shared" si="19"/>
        <v>0</v>
      </c>
      <c r="AP108" s="89">
        <f t="shared" si="19"/>
        <v>0</v>
      </c>
      <c r="AQ108" s="89">
        <f t="shared" si="20"/>
        <v>0</v>
      </c>
      <c r="AR108" s="89">
        <f t="shared" si="21"/>
        <v>0</v>
      </c>
      <c r="AS108" s="89">
        <f t="shared" si="22"/>
        <v>0</v>
      </c>
      <c r="AT108" s="89">
        <f t="shared" si="23"/>
        <v>0</v>
      </c>
      <c r="AU108" s="89">
        <f t="shared" si="24"/>
        <v>0</v>
      </c>
      <c r="AV108" s="89">
        <f t="shared" si="25"/>
        <v>0</v>
      </c>
      <c r="AW108" s="89">
        <f t="shared" si="26"/>
        <v>0</v>
      </c>
      <c r="AX108" s="89">
        <f t="shared" si="27"/>
        <v>0</v>
      </c>
      <c r="AY108" s="89">
        <f t="shared" si="28"/>
        <v>0</v>
      </c>
      <c r="AZ108" s="89">
        <f t="shared" si="29"/>
        <v>0</v>
      </c>
      <c r="BA108" s="89">
        <f t="shared" si="30"/>
        <v>0</v>
      </c>
      <c r="BB108" s="89">
        <f t="shared" si="30"/>
        <v>0</v>
      </c>
    </row>
    <row r="109" spans="2:54">
      <c r="B109" s="6" t="s">
        <v>17</v>
      </c>
      <c r="C109" s="52"/>
      <c r="D109" s="89">
        <f t="shared" si="31"/>
        <v>0</v>
      </c>
      <c r="E109" s="89">
        <f t="shared" si="31"/>
        <v>0</v>
      </c>
      <c r="F109" s="89">
        <f t="shared" si="31"/>
        <v>0</v>
      </c>
      <c r="G109" s="89">
        <f t="shared" si="31"/>
        <v>0</v>
      </c>
      <c r="H109" s="89">
        <f t="shared" si="31"/>
        <v>0</v>
      </c>
      <c r="I109" s="89">
        <f t="shared" si="31"/>
        <v>0</v>
      </c>
      <c r="J109" s="89">
        <f t="shared" si="31"/>
        <v>0</v>
      </c>
      <c r="K109" s="89">
        <f t="shared" si="31"/>
        <v>0</v>
      </c>
      <c r="L109" s="89">
        <f t="shared" si="31"/>
        <v>0</v>
      </c>
      <c r="M109" s="89">
        <f t="shared" si="31"/>
        <v>0</v>
      </c>
      <c r="N109" s="89">
        <f t="shared" si="31"/>
        <v>0</v>
      </c>
      <c r="O109" s="89">
        <f t="shared" si="31"/>
        <v>0</v>
      </c>
      <c r="P109" s="89">
        <f t="shared" si="31"/>
        <v>0</v>
      </c>
      <c r="Q109" s="89">
        <f t="shared" si="31"/>
        <v>0</v>
      </c>
      <c r="R109" s="89">
        <f t="shared" si="31"/>
        <v>0</v>
      </c>
      <c r="S109" s="89">
        <f t="shared" si="31"/>
        <v>0</v>
      </c>
      <c r="T109" s="89">
        <f t="shared" si="10"/>
        <v>0</v>
      </c>
      <c r="U109" s="89">
        <f t="shared" si="10"/>
        <v>0</v>
      </c>
      <c r="V109" s="89">
        <f t="shared" si="10"/>
        <v>0</v>
      </c>
      <c r="W109" s="89">
        <f t="shared" si="10"/>
        <v>0</v>
      </c>
      <c r="X109" s="89">
        <f t="shared" si="10"/>
        <v>0</v>
      </c>
      <c r="Y109" s="89">
        <f t="shared" si="10"/>
        <v>0</v>
      </c>
      <c r="Z109" s="89">
        <f t="shared" si="10"/>
        <v>0</v>
      </c>
      <c r="AA109" s="89">
        <f t="shared" si="10"/>
        <v>0</v>
      </c>
      <c r="AB109" s="89">
        <f t="shared" si="10"/>
        <v>0</v>
      </c>
      <c r="AC109" s="89">
        <f t="shared" si="10"/>
        <v>0</v>
      </c>
      <c r="AD109" s="89">
        <f t="shared" si="10"/>
        <v>0</v>
      </c>
      <c r="AE109" s="89">
        <f t="shared" si="10"/>
        <v>0</v>
      </c>
      <c r="AF109" s="89">
        <f t="shared" si="10"/>
        <v>0</v>
      </c>
      <c r="AG109" s="89">
        <f t="shared" si="11"/>
        <v>0</v>
      </c>
      <c r="AH109" s="89">
        <f t="shared" si="12"/>
        <v>0</v>
      </c>
      <c r="AI109" s="89">
        <f t="shared" si="13"/>
        <v>0</v>
      </c>
      <c r="AJ109" s="89">
        <f t="shared" si="14"/>
        <v>0</v>
      </c>
      <c r="AK109" s="89">
        <f t="shared" si="15"/>
        <v>0</v>
      </c>
      <c r="AL109" s="89">
        <f t="shared" si="16"/>
        <v>0</v>
      </c>
      <c r="AM109" s="89">
        <f t="shared" si="17"/>
        <v>0</v>
      </c>
      <c r="AN109" s="89">
        <f t="shared" si="18"/>
        <v>0</v>
      </c>
      <c r="AO109" s="89">
        <f t="shared" si="19"/>
        <v>0</v>
      </c>
      <c r="AP109" s="89">
        <f t="shared" si="19"/>
        <v>0</v>
      </c>
      <c r="AQ109" s="89">
        <f t="shared" si="20"/>
        <v>0</v>
      </c>
      <c r="AR109" s="89">
        <f t="shared" si="21"/>
        <v>0</v>
      </c>
      <c r="AS109" s="89">
        <f t="shared" si="22"/>
        <v>0</v>
      </c>
      <c r="AT109" s="89">
        <f t="shared" si="23"/>
        <v>0</v>
      </c>
      <c r="AU109" s="89">
        <f t="shared" si="24"/>
        <v>0</v>
      </c>
      <c r="AV109" s="89">
        <f t="shared" si="25"/>
        <v>0</v>
      </c>
      <c r="AW109" s="89">
        <f t="shared" si="26"/>
        <v>0</v>
      </c>
      <c r="AX109" s="89">
        <f t="shared" si="27"/>
        <v>0</v>
      </c>
      <c r="AY109" s="89">
        <f t="shared" si="28"/>
        <v>0</v>
      </c>
      <c r="AZ109" s="89">
        <f t="shared" si="29"/>
        <v>0</v>
      </c>
      <c r="BA109" s="89">
        <f t="shared" si="30"/>
        <v>0</v>
      </c>
      <c r="BB109" s="89">
        <f t="shared" si="30"/>
        <v>0</v>
      </c>
    </row>
    <row r="110" spans="2:54" ht="29">
      <c r="B110" s="6" t="s">
        <v>106</v>
      </c>
      <c r="C110" s="52"/>
      <c r="D110" s="89">
        <f t="shared" si="31"/>
        <v>0</v>
      </c>
      <c r="E110" s="89">
        <f t="shared" si="31"/>
        <v>0</v>
      </c>
      <c r="F110" s="89">
        <f t="shared" si="31"/>
        <v>0</v>
      </c>
      <c r="G110" s="89">
        <f t="shared" si="31"/>
        <v>0</v>
      </c>
      <c r="H110" s="89">
        <f t="shared" si="31"/>
        <v>0</v>
      </c>
      <c r="I110" s="89">
        <f t="shared" si="31"/>
        <v>0</v>
      </c>
      <c r="J110" s="89">
        <f t="shared" si="31"/>
        <v>0</v>
      </c>
      <c r="K110" s="89">
        <f t="shared" si="31"/>
        <v>0</v>
      </c>
      <c r="L110" s="89">
        <f t="shared" si="31"/>
        <v>0</v>
      </c>
      <c r="M110" s="89">
        <f t="shared" si="31"/>
        <v>0</v>
      </c>
      <c r="N110" s="89">
        <f t="shared" si="31"/>
        <v>0</v>
      </c>
      <c r="O110" s="89">
        <f t="shared" si="31"/>
        <v>0</v>
      </c>
      <c r="P110" s="89">
        <f t="shared" si="31"/>
        <v>0</v>
      </c>
      <c r="Q110" s="89">
        <f t="shared" si="31"/>
        <v>0</v>
      </c>
      <c r="R110" s="89">
        <f t="shared" si="31"/>
        <v>0</v>
      </c>
      <c r="S110" s="89">
        <f t="shared" si="31"/>
        <v>0</v>
      </c>
      <c r="T110" s="89">
        <f t="shared" si="10"/>
        <v>0</v>
      </c>
      <c r="U110" s="89">
        <f t="shared" si="10"/>
        <v>0</v>
      </c>
      <c r="V110" s="89">
        <f t="shared" si="10"/>
        <v>0</v>
      </c>
      <c r="W110" s="89">
        <f t="shared" si="10"/>
        <v>0</v>
      </c>
      <c r="X110" s="89">
        <f t="shared" si="10"/>
        <v>0</v>
      </c>
      <c r="Y110" s="89">
        <f t="shared" si="10"/>
        <v>0</v>
      </c>
      <c r="Z110" s="89">
        <f t="shared" si="10"/>
        <v>0</v>
      </c>
      <c r="AA110" s="89">
        <f t="shared" si="10"/>
        <v>0</v>
      </c>
      <c r="AB110" s="89">
        <f t="shared" si="10"/>
        <v>0</v>
      </c>
      <c r="AC110" s="89">
        <f t="shared" si="10"/>
        <v>0</v>
      </c>
      <c r="AD110" s="89">
        <f t="shared" si="10"/>
        <v>0</v>
      </c>
      <c r="AE110" s="89">
        <f t="shared" si="10"/>
        <v>0</v>
      </c>
      <c r="AF110" s="89">
        <f t="shared" si="10"/>
        <v>0</v>
      </c>
      <c r="AG110" s="89">
        <f t="shared" si="11"/>
        <v>0</v>
      </c>
      <c r="AH110" s="89">
        <f t="shared" si="12"/>
        <v>0</v>
      </c>
      <c r="AI110" s="89">
        <f t="shared" si="13"/>
        <v>0</v>
      </c>
      <c r="AJ110" s="89">
        <f t="shared" si="14"/>
        <v>0</v>
      </c>
      <c r="AK110" s="89">
        <f t="shared" si="15"/>
        <v>0</v>
      </c>
      <c r="AL110" s="89">
        <f t="shared" si="16"/>
        <v>0</v>
      </c>
      <c r="AM110" s="89">
        <f t="shared" si="17"/>
        <v>0</v>
      </c>
      <c r="AN110" s="89">
        <f t="shared" si="18"/>
        <v>0</v>
      </c>
      <c r="AO110" s="89">
        <f t="shared" si="19"/>
        <v>0</v>
      </c>
      <c r="AP110" s="89">
        <f t="shared" si="19"/>
        <v>0</v>
      </c>
      <c r="AQ110" s="89">
        <f t="shared" si="20"/>
        <v>0</v>
      </c>
      <c r="AR110" s="89">
        <f t="shared" si="21"/>
        <v>0</v>
      </c>
      <c r="AS110" s="89">
        <f t="shared" si="22"/>
        <v>0</v>
      </c>
      <c r="AT110" s="89">
        <f t="shared" si="23"/>
        <v>0</v>
      </c>
      <c r="AU110" s="89">
        <f t="shared" si="24"/>
        <v>0</v>
      </c>
      <c r="AV110" s="89">
        <f t="shared" si="25"/>
        <v>0</v>
      </c>
      <c r="AW110" s="89">
        <f t="shared" si="26"/>
        <v>0</v>
      </c>
      <c r="AX110" s="89">
        <f t="shared" si="27"/>
        <v>0</v>
      </c>
      <c r="AY110" s="89">
        <f t="shared" si="28"/>
        <v>0</v>
      </c>
      <c r="AZ110" s="89">
        <f t="shared" si="29"/>
        <v>0</v>
      </c>
      <c r="BA110" s="89">
        <f t="shared" si="30"/>
        <v>0</v>
      </c>
      <c r="BB110" s="89">
        <f t="shared" si="30"/>
        <v>0</v>
      </c>
    </row>
    <row r="111" spans="2:54" ht="29">
      <c r="B111" s="6" t="s">
        <v>107</v>
      </c>
      <c r="C111" s="52"/>
      <c r="D111" s="89">
        <f t="shared" si="31"/>
        <v>0</v>
      </c>
      <c r="E111" s="89">
        <f t="shared" si="31"/>
        <v>0</v>
      </c>
      <c r="F111" s="89">
        <f t="shared" si="31"/>
        <v>0</v>
      </c>
      <c r="G111" s="89">
        <f t="shared" si="31"/>
        <v>0</v>
      </c>
      <c r="H111" s="89">
        <f t="shared" si="31"/>
        <v>0</v>
      </c>
      <c r="I111" s="89">
        <f t="shared" si="31"/>
        <v>0</v>
      </c>
      <c r="J111" s="89">
        <f t="shared" si="31"/>
        <v>0</v>
      </c>
      <c r="K111" s="89">
        <f t="shared" si="31"/>
        <v>0</v>
      </c>
      <c r="L111" s="89">
        <f t="shared" si="31"/>
        <v>0</v>
      </c>
      <c r="M111" s="89">
        <f t="shared" si="31"/>
        <v>0</v>
      </c>
      <c r="N111" s="89">
        <f t="shared" si="31"/>
        <v>0</v>
      </c>
      <c r="O111" s="89">
        <f t="shared" si="31"/>
        <v>0</v>
      </c>
      <c r="P111" s="89">
        <f t="shared" si="31"/>
        <v>0</v>
      </c>
      <c r="Q111" s="89">
        <f t="shared" si="31"/>
        <v>0</v>
      </c>
      <c r="R111" s="89">
        <f t="shared" si="31"/>
        <v>0</v>
      </c>
      <c r="S111" s="89">
        <f t="shared" si="31"/>
        <v>0</v>
      </c>
      <c r="T111" s="89">
        <f t="shared" si="10"/>
        <v>0</v>
      </c>
      <c r="U111" s="89">
        <f t="shared" si="10"/>
        <v>0</v>
      </c>
      <c r="V111" s="89">
        <f t="shared" si="10"/>
        <v>0</v>
      </c>
      <c r="W111" s="89">
        <f t="shared" si="10"/>
        <v>0</v>
      </c>
      <c r="X111" s="89">
        <f t="shared" si="10"/>
        <v>0</v>
      </c>
      <c r="Y111" s="89">
        <f t="shared" si="10"/>
        <v>0</v>
      </c>
      <c r="Z111" s="89">
        <f t="shared" si="10"/>
        <v>0</v>
      </c>
      <c r="AA111" s="89">
        <f t="shared" si="10"/>
        <v>0</v>
      </c>
      <c r="AB111" s="89">
        <f t="shared" si="10"/>
        <v>0</v>
      </c>
      <c r="AC111" s="89">
        <f t="shared" si="10"/>
        <v>0</v>
      </c>
      <c r="AD111" s="89">
        <f t="shared" si="10"/>
        <v>0</v>
      </c>
      <c r="AE111" s="89">
        <f t="shared" si="10"/>
        <v>0</v>
      </c>
      <c r="AF111" s="89">
        <f t="shared" si="10"/>
        <v>0</v>
      </c>
      <c r="AG111" s="89">
        <f t="shared" si="11"/>
        <v>0</v>
      </c>
      <c r="AH111" s="89">
        <f t="shared" si="12"/>
        <v>0</v>
      </c>
      <c r="AI111" s="89">
        <f t="shared" si="13"/>
        <v>0</v>
      </c>
      <c r="AJ111" s="89">
        <f t="shared" si="14"/>
        <v>0</v>
      </c>
      <c r="AK111" s="89">
        <f t="shared" si="15"/>
        <v>0</v>
      </c>
      <c r="AL111" s="89">
        <f t="shared" si="16"/>
        <v>0</v>
      </c>
      <c r="AM111" s="89">
        <f t="shared" si="17"/>
        <v>0</v>
      </c>
      <c r="AN111" s="89">
        <f t="shared" si="18"/>
        <v>0</v>
      </c>
      <c r="AO111" s="89">
        <f t="shared" si="19"/>
        <v>0</v>
      </c>
      <c r="AP111" s="89">
        <f t="shared" si="19"/>
        <v>0</v>
      </c>
      <c r="AQ111" s="89">
        <f t="shared" si="20"/>
        <v>0</v>
      </c>
      <c r="AR111" s="89">
        <f t="shared" si="21"/>
        <v>0</v>
      </c>
      <c r="AS111" s="89">
        <f t="shared" si="22"/>
        <v>0</v>
      </c>
      <c r="AT111" s="89">
        <f t="shared" si="23"/>
        <v>0</v>
      </c>
      <c r="AU111" s="89">
        <f t="shared" si="24"/>
        <v>0</v>
      </c>
      <c r="AV111" s="89">
        <f t="shared" si="25"/>
        <v>0</v>
      </c>
      <c r="AW111" s="89">
        <f t="shared" si="26"/>
        <v>0</v>
      </c>
      <c r="AX111" s="89">
        <f t="shared" si="27"/>
        <v>0</v>
      </c>
      <c r="AY111" s="89">
        <f t="shared" si="28"/>
        <v>0</v>
      </c>
      <c r="AZ111" s="89">
        <f t="shared" si="29"/>
        <v>0</v>
      </c>
      <c r="BA111" s="89">
        <f t="shared" si="30"/>
        <v>0</v>
      </c>
      <c r="BB111" s="89">
        <f t="shared" si="30"/>
        <v>0</v>
      </c>
    </row>
    <row r="112" spans="2:54">
      <c r="B112" s="6" t="s">
        <v>2863</v>
      </c>
      <c r="D112" s="89">
        <f t="shared" si="31"/>
        <v>0</v>
      </c>
      <c r="E112" s="89">
        <f t="shared" si="31"/>
        <v>2.631604663212435</v>
      </c>
      <c r="F112" s="89">
        <f t="shared" si="31"/>
        <v>5.3643666912280255</v>
      </c>
      <c r="G112" s="89">
        <f t="shared" si="31"/>
        <v>8.1844894947089983</v>
      </c>
      <c r="H112" s="89">
        <f t="shared" si="31"/>
        <v>11.08217236277353</v>
      </c>
      <c r="I112" s="89">
        <f t="shared" si="31"/>
        <v>14.051331884365478</v>
      </c>
      <c r="J112" s="89">
        <f t="shared" si="31"/>
        <v>17.088068546855045</v>
      </c>
      <c r="K112" s="89">
        <f t="shared" si="31"/>
        <v>20.188776051777531</v>
      </c>
      <c r="L112" s="89">
        <f t="shared" si="31"/>
        <v>23.350949678864193</v>
      </c>
      <c r="M112" s="89">
        <f t="shared" si="31"/>
        <v>26.577728262279464</v>
      </c>
      <c r="N112" s="89">
        <f t="shared" si="31"/>
        <v>29.868937289257364</v>
      </c>
      <c r="O112" s="89">
        <f t="shared" si="31"/>
        <v>30.591222383388622</v>
      </c>
      <c r="P112" s="89">
        <f t="shared" si="31"/>
        <v>31.272634204431181</v>
      </c>
      <c r="Q112" s="89">
        <f t="shared" si="31"/>
        <v>31.9242030554203</v>
      </c>
      <c r="R112" s="89">
        <f t="shared" si="31"/>
        <v>32.553963104288393</v>
      </c>
      <c r="S112" s="89">
        <f t="shared" si="31"/>
        <v>33.167378551080468</v>
      </c>
      <c r="T112" s="89">
        <f t="shared" si="10"/>
        <v>33.767913648099885</v>
      </c>
      <c r="U112" s="89">
        <f t="shared" si="10"/>
        <v>34.357880411921563</v>
      </c>
      <c r="V112" s="89">
        <f t="shared" si="10"/>
        <v>34.938645118186599</v>
      </c>
      <c r="W112" s="89">
        <f t="shared" si="10"/>
        <v>35.508040971540865</v>
      </c>
      <c r="X112" s="89">
        <f t="shared" si="10"/>
        <v>36.065480533273856</v>
      </c>
      <c r="Y112" s="89">
        <f t="shared" si="10"/>
        <v>36.611460292620144</v>
      </c>
      <c r="Z112" s="89">
        <f t="shared" si="10"/>
        <v>37.14704836945613</v>
      </c>
      <c r="AA112" s="89">
        <f t="shared" si="10"/>
        <v>37.674527153091589</v>
      </c>
      <c r="AB112" s="89">
        <f t="shared" si="10"/>
        <v>38.194995177414384</v>
      </c>
      <c r="AC112" s="89">
        <f t="shared" si="10"/>
        <v>38.708060134793435</v>
      </c>
      <c r="AD112" s="89">
        <f t="shared" si="10"/>
        <v>39.212878141351709</v>
      </c>
      <c r="AE112" s="89">
        <f t="shared" si="10"/>
        <v>39.709195848969706</v>
      </c>
      <c r="AF112" s="89">
        <f t="shared" si="10"/>
        <v>40.196405407076711</v>
      </c>
      <c r="AG112" s="89">
        <f t="shared" si="11"/>
        <v>40.671607956407868</v>
      </c>
      <c r="AH112" s="89">
        <f t="shared" si="12"/>
        <v>41.133791785322451</v>
      </c>
      <c r="AI112" s="89">
        <f t="shared" si="13"/>
        <v>41.583218857174792</v>
      </c>
      <c r="AJ112" s="89">
        <f t="shared" si="14"/>
        <v>42.020315102436967</v>
      </c>
      <c r="AK112" s="89">
        <f t="shared" si="15"/>
        <v>42.444955866428209</v>
      </c>
      <c r="AL112" s="89">
        <f t="shared" si="16"/>
        <v>42.856327814597918</v>
      </c>
      <c r="AM112" s="89">
        <f t="shared" si="17"/>
        <v>43.253292737450742</v>
      </c>
      <c r="AN112" s="89">
        <f t="shared" si="18"/>
        <v>43.63452576208973</v>
      </c>
      <c r="AO112" s="89">
        <f t="shared" si="19"/>
        <v>43.999239311872778</v>
      </c>
      <c r="AP112" s="89">
        <f t="shared" si="19"/>
        <v>44.34690456950694</v>
      </c>
      <c r="AQ112" s="89">
        <f t="shared" si="20"/>
        <v>44.677062980051439</v>
      </c>
      <c r="AR112" s="89">
        <f t="shared" si="21"/>
        <v>44.990057005966385</v>
      </c>
      <c r="AS112" s="89">
        <f t="shared" si="22"/>
        <v>45.286518289734751</v>
      </c>
      <c r="AT112" s="89">
        <f t="shared" si="23"/>
        <v>45.567851789157245</v>
      </c>
      <c r="AU112" s="89">
        <f t="shared" si="24"/>
        <v>45.829719403389262</v>
      </c>
      <c r="AV112" s="89">
        <f t="shared" si="25"/>
        <v>46.069746560405065</v>
      </c>
      <c r="AW112" s="89">
        <f t="shared" si="26"/>
        <v>46.287077302102524</v>
      </c>
      <c r="AX112" s="89">
        <f t="shared" si="27"/>
        <v>46.481972713158171</v>
      </c>
      <c r="AY112" s="89">
        <f t="shared" si="28"/>
        <v>46.654941684398977</v>
      </c>
      <c r="AZ112" s="89">
        <f t="shared" si="29"/>
        <v>46.806835715131129</v>
      </c>
      <c r="BA112" s="89">
        <f t="shared" si="30"/>
        <v>46.93893047427219</v>
      </c>
      <c r="BB112" s="89">
        <f t="shared" si="30"/>
        <v>47.051792146279787</v>
      </c>
    </row>
    <row r="113" spans="1:54">
      <c r="B113" s="6" t="s">
        <v>2862</v>
      </c>
      <c r="C113" s="52"/>
      <c r="D113" s="89">
        <f t="shared" si="31"/>
        <v>0</v>
      </c>
      <c r="E113" s="89">
        <f t="shared" si="31"/>
        <v>5.26320932642487</v>
      </c>
      <c r="F113" s="89">
        <f t="shared" si="31"/>
        <v>10.728733382456051</v>
      </c>
      <c r="G113" s="89">
        <f t="shared" si="31"/>
        <v>16.368978989417997</v>
      </c>
      <c r="H113" s="89">
        <f t="shared" si="31"/>
        <v>22.16434472554706</v>
      </c>
      <c r="I113" s="89">
        <f t="shared" si="31"/>
        <v>28.102663768730956</v>
      </c>
      <c r="J113" s="89">
        <f t="shared" si="31"/>
        <v>34.176137093710089</v>
      </c>
      <c r="K113" s="89">
        <f t="shared" si="31"/>
        <v>40.377552103555061</v>
      </c>
      <c r="L113" s="89">
        <f t="shared" si="31"/>
        <v>46.701899357728387</v>
      </c>
      <c r="M113" s="89">
        <f t="shared" si="31"/>
        <v>53.155456524558929</v>
      </c>
      <c r="N113" s="89">
        <f t="shared" si="31"/>
        <v>59.737874578514727</v>
      </c>
      <c r="O113" s="89">
        <f t="shared" si="31"/>
        <v>61.182444766777245</v>
      </c>
      <c r="P113" s="89">
        <f t="shared" si="31"/>
        <v>62.545268408862363</v>
      </c>
      <c r="Q113" s="89">
        <f t="shared" si="31"/>
        <v>63.8484061108406</v>
      </c>
      <c r="R113" s="89">
        <f t="shared" si="31"/>
        <v>65.107926208576785</v>
      </c>
      <c r="S113" s="89">
        <f t="shared" si="31"/>
        <v>66.334757102160935</v>
      </c>
      <c r="T113" s="89">
        <f t="shared" si="10"/>
        <v>67.53582729619977</v>
      </c>
      <c r="U113" s="89">
        <f t="shared" si="10"/>
        <v>68.715760823843127</v>
      </c>
      <c r="V113" s="89">
        <f t="shared" si="10"/>
        <v>69.877290236373199</v>
      </c>
      <c r="W113" s="89">
        <f t="shared" si="10"/>
        <v>71.01608194308173</v>
      </c>
      <c r="X113" s="89">
        <f t="shared" si="10"/>
        <v>72.130961066547712</v>
      </c>
      <c r="Y113" s="89">
        <f t="shared" si="10"/>
        <v>73.222920585240288</v>
      </c>
      <c r="Z113" s="89">
        <f t="shared" si="10"/>
        <v>74.294096738912259</v>
      </c>
      <c r="AA113" s="89">
        <f t="shared" si="10"/>
        <v>75.349054306183177</v>
      </c>
      <c r="AB113" s="89">
        <f t="shared" si="10"/>
        <v>76.389990354828768</v>
      </c>
      <c r="AC113" s="89">
        <f t="shared" si="10"/>
        <v>77.41612026958687</v>
      </c>
      <c r="AD113" s="89">
        <f t="shared" si="10"/>
        <v>78.425756282703418</v>
      </c>
      <c r="AE113" s="89">
        <f t="shared" si="10"/>
        <v>79.418391697939413</v>
      </c>
      <c r="AF113" s="89">
        <f t="shared" si="10"/>
        <v>80.392810814153421</v>
      </c>
      <c r="AG113" s="89">
        <f t="shared" si="11"/>
        <v>81.343215912815737</v>
      </c>
      <c r="AH113" s="89">
        <f t="shared" si="12"/>
        <v>82.267583570644902</v>
      </c>
      <c r="AI113" s="89">
        <f t="shared" si="13"/>
        <v>83.166437714349584</v>
      </c>
      <c r="AJ113" s="89">
        <f t="shared" si="14"/>
        <v>84.040630204873935</v>
      </c>
      <c r="AK113" s="89">
        <f t="shared" si="15"/>
        <v>84.889911732856419</v>
      </c>
      <c r="AL113" s="89">
        <f t="shared" si="16"/>
        <v>85.712655629195837</v>
      </c>
      <c r="AM113" s="89">
        <f t="shared" si="17"/>
        <v>86.506585474901485</v>
      </c>
      <c r="AN113" s="89">
        <f t="shared" si="18"/>
        <v>87.26905152417946</v>
      </c>
      <c r="AO113" s="89">
        <f t="shared" si="19"/>
        <v>87.998478623745555</v>
      </c>
      <c r="AP113" s="89">
        <f t="shared" si="19"/>
        <v>88.693809139013879</v>
      </c>
      <c r="AQ113" s="89">
        <f t="shared" si="20"/>
        <v>89.354125960102877</v>
      </c>
      <c r="AR113" s="89">
        <f t="shared" si="21"/>
        <v>89.98011401193277</v>
      </c>
      <c r="AS113" s="89">
        <f t="shared" si="22"/>
        <v>90.573036579469502</v>
      </c>
      <c r="AT113" s="89">
        <f t="shared" si="23"/>
        <v>91.135703578314491</v>
      </c>
      <c r="AU113" s="89">
        <f t="shared" si="24"/>
        <v>91.659438806778525</v>
      </c>
      <c r="AV113" s="89">
        <f t="shared" si="25"/>
        <v>92.13949312081013</v>
      </c>
      <c r="AW113" s="89">
        <f t="shared" si="26"/>
        <v>92.574154604205049</v>
      </c>
      <c r="AX113" s="89">
        <f t="shared" si="27"/>
        <v>92.963945426316343</v>
      </c>
      <c r="AY113" s="89">
        <f t="shared" si="28"/>
        <v>93.309883368797955</v>
      </c>
      <c r="AZ113" s="89">
        <f t="shared" si="29"/>
        <v>93.613671430262258</v>
      </c>
      <c r="BA113" s="89">
        <f t="shared" si="30"/>
        <v>93.877860948544381</v>
      </c>
      <c r="BB113" s="89">
        <f t="shared" si="30"/>
        <v>94.103584292559574</v>
      </c>
    </row>
    <row r="114" spans="1:54">
      <c r="B114" s="6" t="s">
        <v>131</v>
      </c>
      <c r="C114" s="52"/>
      <c r="D114" s="89">
        <f t="shared" si="31"/>
        <v>0</v>
      </c>
      <c r="E114" s="89">
        <f t="shared" si="31"/>
        <v>0</v>
      </c>
      <c r="F114" s="89">
        <f t="shared" si="31"/>
        <v>0</v>
      </c>
      <c r="G114" s="89">
        <f t="shared" si="31"/>
        <v>0</v>
      </c>
      <c r="H114" s="89">
        <f t="shared" si="31"/>
        <v>0</v>
      </c>
      <c r="I114" s="89">
        <f t="shared" si="31"/>
        <v>0</v>
      </c>
      <c r="J114" s="89">
        <f t="shared" si="31"/>
        <v>0</v>
      </c>
      <c r="K114" s="89">
        <f t="shared" si="31"/>
        <v>0</v>
      </c>
      <c r="L114" s="89">
        <f t="shared" si="31"/>
        <v>0</v>
      </c>
      <c r="M114" s="89">
        <f t="shared" si="31"/>
        <v>0</v>
      </c>
      <c r="N114" s="89">
        <f t="shared" si="31"/>
        <v>0</v>
      </c>
      <c r="O114" s="89">
        <f t="shared" si="31"/>
        <v>0</v>
      </c>
      <c r="P114" s="89">
        <f t="shared" si="31"/>
        <v>0</v>
      </c>
      <c r="Q114" s="89">
        <f t="shared" si="31"/>
        <v>0</v>
      </c>
      <c r="R114" s="89">
        <f t="shared" si="31"/>
        <v>0</v>
      </c>
      <c r="S114" s="89">
        <f t="shared" si="31"/>
        <v>0</v>
      </c>
      <c r="T114" s="89">
        <f t="shared" si="10"/>
        <v>0</v>
      </c>
      <c r="U114" s="89">
        <f t="shared" si="10"/>
        <v>0</v>
      </c>
      <c r="V114" s="89">
        <f t="shared" si="10"/>
        <v>0</v>
      </c>
      <c r="W114" s="89">
        <f t="shared" si="10"/>
        <v>0</v>
      </c>
      <c r="X114" s="89">
        <f t="shared" si="10"/>
        <v>0</v>
      </c>
      <c r="Y114" s="89">
        <f t="shared" si="10"/>
        <v>0</v>
      </c>
      <c r="Z114" s="89">
        <f t="shared" si="10"/>
        <v>0</v>
      </c>
      <c r="AA114" s="89">
        <f t="shared" si="10"/>
        <v>0</v>
      </c>
      <c r="AB114" s="89">
        <f t="shared" si="10"/>
        <v>0</v>
      </c>
      <c r="AC114" s="89">
        <f t="shared" si="10"/>
        <v>0</v>
      </c>
      <c r="AD114" s="89">
        <f t="shared" si="10"/>
        <v>0</v>
      </c>
      <c r="AE114" s="89">
        <f t="shared" si="10"/>
        <v>0</v>
      </c>
      <c r="AF114" s="89">
        <f t="shared" si="10"/>
        <v>0</v>
      </c>
      <c r="AG114" s="89">
        <f t="shared" si="11"/>
        <v>0</v>
      </c>
      <c r="AH114" s="89">
        <f t="shared" si="12"/>
        <v>0</v>
      </c>
      <c r="AI114" s="89">
        <f t="shared" si="13"/>
        <v>0</v>
      </c>
      <c r="AJ114" s="89">
        <f t="shared" si="14"/>
        <v>0</v>
      </c>
      <c r="AK114" s="89">
        <f t="shared" si="15"/>
        <v>0</v>
      </c>
      <c r="AL114" s="89">
        <f t="shared" si="16"/>
        <v>0</v>
      </c>
      <c r="AM114" s="89">
        <f t="shared" si="17"/>
        <v>0</v>
      </c>
      <c r="AN114" s="89">
        <f t="shared" si="18"/>
        <v>0</v>
      </c>
      <c r="AO114" s="89">
        <f t="shared" si="19"/>
        <v>0</v>
      </c>
      <c r="AP114" s="89">
        <f t="shared" si="19"/>
        <v>0</v>
      </c>
      <c r="AQ114" s="89">
        <f t="shared" si="20"/>
        <v>0</v>
      </c>
      <c r="AR114" s="89">
        <f t="shared" si="21"/>
        <v>0</v>
      </c>
      <c r="AS114" s="89">
        <f t="shared" si="22"/>
        <v>0</v>
      </c>
      <c r="AT114" s="89">
        <f t="shared" si="23"/>
        <v>0</v>
      </c>
      <c r="AU114" s="89">
        <f t="shared" si="24"/>
        <v>0</v>
      </c>
      <c r="AV114" s="89">
        <f t="shared" si="25"/>
        <v>0</v>
      </c>
      <c r="AW114" s="89">
        <f t="shared" si="26"/>
        <v>0</v>
      </c>
      <c r="AX114" s="89">
        <f t="shared" si="27"/>
        <v>0</v>
      </c>
      <c r="AY114" s="89">
        <f t="shared" si="28"/>
        <v>0</v>
      </c>
      <c r="AZ114" s="89">
        <f t="shared" si="29"/>
        <v>0</v>
      </c>
      <c r="BA114" s="89">
        <f t="shared" si="30"/>
        <v>0</v>
      </c>
      <c r="BB114" s="89">
        <f t="shared" si="30"/>
        <v>0</v>
      </c>
    </row>
    <row r="115" spans="1:54" ht="29">
      <c r="B115" s="6" t="s">
        <v>2869</v>
      </c>
      <c r="C115" s="52"/>
      <c r="D115" s="89">
        <f t="shared" si="31"/>
        <v>0</v>
      </c>
      <c r="E115" s="89">
        <f t="shared" si="31"/>
        <v>0</v>
      </c>
      <c r="F115" s="89">
        <f t="shared" si="31"/>
        <v>0</v>
      </c>
      <c r="G115" s="89">
        <f t="shared" si="31"/>
        <v>0</v>
      </c>
      <c r="H115" s="89">
        <f t="shared" si="31"/>
        <v>0</v>
      </c>
      <c r="I115" s="89">
        <f t="shared" si="31"/>
        <v>0</v>
      </c>
      <c r="J115" s="89">
        <f t="shared" si="31"/>
        <v>0</v>
      </c>
      <c r="K115" s="89">
        <f t="shared" si="31"/>
        <v>0</v>
      </c>
      <c r="L115" s="89">
        <f t="shared" si="31"/>
        <v>0</v>
      </c>
      <c r="M115" s="89">
        <f t="shared" si="31"/>
        <v>0</v>
      </c>
      <c r="N115" s="89">
        <f t="shared" si="31"/>
        <v>0</v>
      </c>
      <c r="O115" s="89">
        <f t="shared" si="31"/>
        <v>0</v>
      </c>
      <c r="P115" s="89">
        <f t="shared" si="31"/>
        <v>0</v>
      </c>
      <c r="Q115" s="89">
        <f t="shared" si="31"/>
        <v>0</v>
      </c>
      <c r="R115" s="89">
        <f t="shared" si="31"/>
        <v>0</v>
      </c>
      <c r="S115" s="89">
        <f t="shared" si="31"/>
        <v>0</v>
      </c>
      <c r="T115" s="89">
        <f t="shared" si="10"/>
        <v>0</v>
      </c>
      <c r="U115" s="89">
        <f t="shared" si="10"/>
        <v>0</v>
      </c>
      <c r="V115" s="89">
        <f t="shared" si="10"/>
        <v>0</v>
      </c>
      <c r="W115" s="89">
        <f t="shared" si="10"/>
        <v>0</v>
      </c>
      <c r="X115" s="89">
        <f t="shared" si="10"/>
        <v>0</v>
      </c>
      <c r="Y115" s="89">
        <f t="shared" si="10"/>
        <v>0</v>
      </c>
      <c r="Z115" s="89">
        <f t="shared" si="10"/>
        <v>0</v>
      </c>
      <c r="AA115" s="89">
        <f t="shared" si="10"/>
        <v>0</v>
      </c>
      <c r="AB115" s="89">
        <f t="shared" si="10"/>
        <v>0</v>
      </c>
      <c r="AC115" s="89">
        <f t="shared" si="10"/>
        <v>0</v>
      </c>
      <c r="AD115" s="89">
        <f t="shared" si="10"/>
        <v>0</v>
      </c>
      <c r="AE115" s="89">
        <f t="shared" si="10"/>
        <v>0</v>
      </c>
      <c r="AF115" s="89">
        <f t="shared" si="10"/>
        <v>0</v>
      </c>
      <c r="AG115" s="89">
        <f t="shared" si="11"/>
        <v>0</v>
      </c>
      <c r="AH115" s="89">
        <f t="shared" si="12"/>
        <v>0</v>
      </c>
      <c r="AI115" s="89">
        <f t="shared" si="13"/>
        <v>0</v>
      </c>
      <c r="AJ115" s="89">
        <f t="shared" si="14"/>
        <v>0</v>
      </c>
      <c r="AK115" s="89">
        <f t="shared" si="15"/>
        <v>0</v>
      </c>
      <c r="AL115" s="89">
        <f t="shared" si="16"/>
        <v>0</v>
      </c>
      <c r="AM115" s="89">
        <f t="shared" si="17"/>
        <v>0</v>
      </c>
      <c r="AN115" s="89">
        <f t="shared" si="18"/>
        <v>0</v>
      </c>
      <c r="AO115" s="89">
        <f t="shared" si="19"/>
        <v>0</v>
      </c>
      <c r="AP115" s="89">
        <f t="shared" si="19"/>
        <v>0</v>
      </c>
      <c r="AQ115" s="89">
        <f t="shared" si="20"/>
        <v>0</v>
      </c>
      <c r="AR115" s="89">
        <f t="shared" si="21"/>
        <v>0</v>
      </c>
      <c r="AS115" s="89">
        <f t="shared" si="22"/>
        <v>0</v>
      </c>
      <c r="AT115" s="89">
        <f t="shared" si="23"/>
        <v>0</v>
      </c>
      <c r="AU115" s="89">
        <f t="shared" si="24"/>
        <v>0</v>
      </c>
      <c r="AV115" s="89">
        <f t="shared" si="25"/>
        <v>0</v>
      </c>
      <c r="AW115" s="89">
        <f t="shared" si="26"/>
        <v>0</v>
      </c>
      <c r="AX115" s="89">
        <f t="shared" si="27"/>
        <v>0</v>
      </c>
      <c r="AY115" s="89">
        <f t="shared" si="28"/>
        <v>0</v>
      </c>
      <c r="AZ115" s="89">
        <f t="shared" si="29"/>
        <v>0</v>
      </c>
      <c r="BA115" s="89">
        <f t="shared" si="30"/>
        <v>0</v>
      </c>
      <c r="BB115" s="89">
        <f t="shared" si="30"/>
        <v>0</v>
      </c>
    </row>
    <row r="116" spans="1:54" ht="29">
      <c r="B116" s="6" t="s">
        <v>2870</v>
      </c>
      <c r="C116" s="52"/>
      <c r="D116" s="89">
        <f t="shared" si="31"/>
        <v>0</v>
      </c>
      <c r="E116" s="89">
        <f t="shared" si="31"/>
        <v>0</v>
      </c>
      <c r="F116" s="89">
        <f t="shared" si="31"/>
        <v>0</v>
      </c>
      <c r="G116" s="89">
        <f t="shared" si="31"/>
        <v>0</v>
      </c>
      <c r="H116" s="89">
        <f t="shared" si="31"/>
        <v>0</v>
      </c>
      <c r="I116" s="89">
        <f t="shared" si="31"/>
        <v>0</v>
      </c>
      <c r="J116" s="89">
        <f t="shared" si="31"/>
        <v>0</v>
      </c>
      <c r="K116" s="89">
        <f t="shared" si="31"/>
        <v>0</v>
      </c>
      <c r="L116" s="89">
        <f t="shared" si="31"/>
        <v>0</v>
      </c>
      <c r="M116" s="89">
        <f t="shared" si="31"/>
        <v>0</v>
      </c>
      <c r="N116" s="89">
        <f t="shared" si="31"/>
        <v>0</v>
      </c>
      <c r="O116" s="89">
        <f t="shared" si="31"/>
        <v>0</v>
      </c>
      <c r="P116" s="89">
        <f t="shared" si="31"/>
        <v>0</v>
      </c>
      <c r="Q116" s="89">
        <f t="shared" si="31"/>
        <v>0</v>
      </c>
      <c r="R116" s="89">
        <f t="shared" si="31"/>
        <v>0</v>
      </c>
      <c r="S116" s="89">
        <f t="shared" si="31"/>
        <v>0</v>
      </c>
      <c r="T116" s="89">
        <f t="shared" si="10"/>
        <v>0</v>
      </c>
      <c r="U116" s="89">
        <f t="shared" si="10"/>
        <v>0</v>
      </c>
      <c r="V116" s="89">
        <f t="shared" si="10"/>
        <v>0</v>
      </c>
      <c r="W116" s="89">
        <f t="shared" si="10"/>
        <v>0</v>
      </c>
      <c r="X116" s="89">
        <f t="shared" si="10"/>
        <v>0</v>
      </c>
      <c r="Y116" s="89">
        <f t="shared" si="10"/>
        <v>0</v>
      </c>
      <c r="Z116" s="89">
        <f t="shared" si="10"/>
        <v>0</v>
      </c>
      <c r="AA116" s="89">
        <f t="shared" si="10"/>
        <v>0</v>
      </c>
      <c r="AB116" s="89">
        <f t="shared" si="10"/>
        <v>0</v>
      </c>
      <c r="AC116" s="89">
        <f t="shared" si="10"/>
        <v>0</v>
      </c>
      <c r="AD116" s="89">
        <f t="shared" si="10"/>
        <v>0</v>
      </c>
      <c r="AE116" s="89">
        <f t="shared" si="10"/>
        <v>0</v>
      </c>
      <c r="AF116" s="89">
        <f t="shared" si="10"/>
        <v>0</v>
      </c>
      <c r="AG116" s="89">
        <f t="shared" si="11"/>
        <v>0</v>
      </c>
      <c r="AH116" s="89">
        <f t="shared" si="12"/>
        <v>0</v>
      </c>
      <c r="AI116" s="89">
        <f t="shared" si="13"/>
        <v>0</v>
      </c>
      <c r="AJ116" s="89">
        <f t="shared" si="14"/>
        <v>0</v>
      </c>
      <c r="AK116" s="89">
        <f t="shared" si="15"/>
        <v>0</v>
      </c>
      <c r="AL116" s="89">
        <f t="shared" si="16"/>
        <v>0</v>
      </c>
      <c r="AM116" s="89">
        <f t="shared" si="17"/>
        <v>0</v>
      </c>
      <c r="AN116" s="89">
        <f t="shared" si="18"/>
        <v>0</v>
      </c>
      <c r="AO116" s="89">
        <f t="shared" si="19"/>
        <v>0</v>
      </c>
      <c r="AP116" s="89">
        <f t="shared" si="19"/>
        <v>0</v>
      </c>
      <c r="AQ116" s="89">
        <f t="shared" si="20"/>
        <v>0</v>
      </c>
      <c r="AR116" s="89">
        <f t="shared" si="21"/>
        <v>0</v>
      </c>
      <c r="AS116" s="89">
        <f t="shared" si="22"/>
        <v>0</v>
      </c>
      <c r="AT116" s="89">
        <f t="shared" si="23"/>
        <v>0</v>
      </c>
      <c r="AU116" s="89">
        <f t="shared" si="24"/>
        <v>0</v>
      </c>
      <c r="AV116" s="89">
        <f t="shared" si="25"/>
        <v>0</v>
      </c>
      <c r="AW116" s="89">
        <f t="shared" si="26"/>
        <v>0</v>
      </c>
      <c r="AX116" s="89">
        <f t="shared" si="27"/>
        <v>0</v>
      </c>
      <c r="AY116" s="89">
        <f t="shared" si="28"/>
        <v>0</v>
      </c>
      <c r="AZ116" s="89">
        <f t="shared" si="29"/>
        <v>0</v>
      </c>
      <c r="BA116" s="89">
        <f t="shared" si="30"/>
        <v>0</v>
      </c>
      <c r="BB116" s="89">
        <f t="shared" si="30"/>
        <v>0</v>
      </c>
    </row>
    <row r="117" spans="1:54">
      <c r="B117" s="6" t="s">
        <v>102</v>
      </c>
      <c r="C117" s="52"/>
      <c r="D117" s="89">
        <f t="shared" si="31"/>
        <v>0</v>
      </c>
      <c r="E117" s="89">
        <f t="shared" si="31"/>
        <v>5.26320932642487</v>
      </c>
      <c r="F117" s="89">
        <f t="shared" si="31"/>
        <v>10.728733382456051</v>
      </c>
      <c r="G117" s="89">
        <f t="shared" si="31"/>
        <v>16.368978989417997</v>
      </c>
      <c r="H117" s="89">
        <f t="shared" si="31"/>
        <v>22.16434472554706</v>
      </c>
      <c r="I117" s="89">
        <f t="shared" si="31"/>
        <v>28.102663768730956</v>
      </c>
      <c r="J117" s="89">
        <f t="shared" si="31"/>
        <v>34.176137093710089</v>
      </c>
      <c r="K117" s="89">
        <f t="shared" si="31"/>
        <v>40.377552103555061</v>
      </c>
      <c r="L117" s="89">
        <f t="shared" si="31"/>
        <v>46.701899357728387</v>
      </c>
      <c r="M117" s="89">
        <f t="shared" si="31"/>
        <v>53.155456524558929</v>
      </c>
      <c r="N117" s="89">
        <f t="shared" si="31"/>
        <v>59.737874578514727</v>
      </c>
      <c r="O117" s="89">
        <f t="shared" si="31"/>
        <v>61.182444766777245</v>
      </c>
      <c r="P117" s="89">
        <f t="shared" si="31"/>
        <v>62.545268408862363</v>
      </c>
      <c r="Q117" s="89">
        <f t="shared" si="31"/>
        <v>63.8484061108406</v>
      </c>
      <c r="R117" s="89">
        <f t="shared" si="31"/>
        <v>65.107926208576785</v>
      </c>
      <c r="S117" s="89">
        <f t="shared" si="31"/>
        <v>66.334757102160935</v>
      </c>
      <c r="T117" s="89">
        <f t="shared" si="10"/>
        <v>67.53582729619977</v>
      </c>
      <c r="U117" s="89">
        <f t="shared" si="10"/>
        <v>68.715760823843127</v>
      </c>
      <c r="V117" s="89">
        <f t="shared" si="10"/>
        <v>69.877290236373199</v>
      </c>
      <c r="W117" s="89">
        <f t="shared" si="10"/>
        <v>71.01608194308173</v>
      </c>
      <c r="X117" s="89">
        <f t="shared" si="10"/>
        <v>72.130961066547712</v>
      </c>
      <c r="Y117" s="89">
        <f t="shared" si="10"/>
        <v>73.222920585240288</v>
      </c>
      <c r="Z117" s="89">
        <f t="shared" si="10"/>
        <v>74.294096738912259</v>
      </c>
      <c r="AA117" s="89">
        <f t="shared" si="10"/>
        <v>75.349054306183177</v>
      </c>
      <c r="AB117" s="89">
        <f t="shared" si="10"/>
        <v>76.389990354828768</v>
      </c>
      <c r="AC117" s="89">
        <f t="shared" si="10"/>
        <v>77.41612026958687</v>
      </c>
      <c r="AD117" s="89">
        <f t="shared" si="10"/>
        <v>78.425756282703418</v>
      </c>
      <c r="AE117" s="89">
        <f t="shared" si="10"/>
        <v>79.418391697939413</v>
      </c>
      <c r="AF117" s="89">
        <f t="shared" si="10"/>
        <v>80.392810814153421</v>
      </c>
      <c r="AG117" s="89">
        <f t="shared" si="11"/>
        <v>81.343215912815737</v>
      </c>
      <c r="AH117" s="89">
        <f t="shared" si="12"/>
        <v>82.267583570644902</v>
      </c>
      <c r="AI117" s="89">
        <f t="shared" si="13"/>
        <v>83.166437714349584</v>
      </c>
      <c r="AJ117" s="89">
        <f t="shared" si="14"/>
        <v>84.040630204873935</v>
      </c>
      <c r="AK117" s="89">
        <f t="shared" si="15"/>
        <v>84.889911732856419</v>
      </c>
      <c r="AL117" s="89">
        <f t="shared" si="16"/>
        <v>85.712655629195837</v>
      </c>
      <c r="AM117" s="89">
        <f t="shared" si="17"/>
        <v>86.506585474901485</v>
      </c>
      <c r="AN117" s="89">
        <f t="shared" si="18"/>
        <v>87.26905152417946</v>
      </c>
      <c r="AO117" s="89">
        <f t="shared" si="19"/>
        <v>87.998478623745555</v>
      </c>
      <c r="AP117" s="89">
        <f t="shared" si="19"/>
        <v>88.693809139013879</v>
      </c>
      <c r="AQ117" s="89">
        <f t="shared" si="20"/>
        <v>89.354125960102877</v>
      </c>
      <c r="AR117" s="89">
        <f t="shared" si="21"/>
        <v>89.98011401193277</v>
      </c>
      <c r="AS117" s="89">
        <f t="shared" si="22"/>
        <v>90.573036579469502</v>
      </c>
      <c r="AT117" s="89">
        <f t="shared" si="23"/>
        <v>91.135703578314491</v>
      </c>
      <c r="AU117" s="89">
        <f t="shared" si="24"/>
        <v>91.659438806778525</v>
      </c>
      <c r="AV117" s="89">
        <f t="shared" si="25"/>
        <v>92.13949312081013</v>
      </c>
      <c r="AW117" s="89">
        <f t="shared" si="26"/>
        <v>92.574154604205049</v>
      </c>
      <c r="AX117" s="89">
        <f t="shared" si="27"/>
        <v>92.963945426316343</v>
      </c>
      <c r="AY117" s="89">
        <f t="shared" si="28"/>
        <v>93.309883368797955</v>
      </c>
      <c r="AZ117" s="89">
        <f t="shared" si="29"/>
        <v>93.613671430262258</v>
      </c>
      <c r="BA117" s="89">
        <f t="shared" si="30"/>
        <v>93.877860948544381</v>
      </c>
      <c r="BB117" s="89">
        <f t="shared" si="30"/>
        <v>94.103584292559574</v>
      </c>
    </row>
    <row r="118" spans="1:54">
      <c r="B118" s="6" t="s">
        <v>2831</v>
      </c>
      <c r="C118" s="52"/>
      <c r="D118" s="89">
        <f t="shared" si="31"/>
        <v>0</v>
      </c>
      <c r="E118" s="89">
        <f t="shared" si="31"/>
        <v>94.737767875647663</v>
      </c>
      <c r="F118" s="89">
        <f t="shared" si="31"/>
        <v>193.11720088420893</v>
      </c>
      <c r="G118" s="89">
        <f t="shared" si="31"/>
        <v>294.64162180952394</v>
      </c>
      <c r="H118" s="89">
        <f t="shared" si="31"/>
        <v>398.9582050598471</v>
      </c>
      <c r="I118" s="89">
        <f t="shared" si="31"/>
        <v>505.84794783715722</v>
      </c>
      <c r="J118" s="89">
        <f t="shared" si="31"/>
        <v>615.17046768678165</v>
      </c>
      <c r="K118" s="89">
        <f t="shared" si="31"/>
        <v>726.79593786399107</v>
      </c>
      <c r="L118" s="89">
        <f t="shared" si="31"/>
        <v>840.63418843911097</v>
      </c>
      <c r="M118" s="89">
        <f t="shared" si="31"/>
        <v>956.79821744206072</v>
      </c>
      <c r="N118" s="89">
        <f t="shared" si="31"/>
        <v>1075.2817424132652</v>
      </c>
      <c r="O118" s="89">
        <f t="shared" si="31"/>
        <v>1101.2840058019904</v>
      </c>
      <c r="P118" s="89">
        <f t="shared" si="31"/>
        <v>1125.8148313595225</v>
      </c>
      <c r="Q118" s="89">
        <f t="shared" si="31"/>
        <v>1149.2713099951309</v>
      </c>
      <c r="R118" s="89">
        <f t="shared" si="31"/>
        <v>1171.9426717543822</v>
      </c>
      <c r="S118" s="89">
        <f t="shared" si="31"/>
        <v>1194.0256278388968</v>
      </c>
      <c r="T118" s="89">
        <f t="shared" si="10"/>
        <v>1215.6448913315958</v>
      </c>
      <c r="U118" s="89">
        <f t="shared" si="10"/>
        <v>1236.8836948291762</v>
      </c>
      <c r="V118" s="89">
        <f t="shared" si="10"/>
        <v>1257.7912242547177</v>
      </c>
      <c r="W118" s="89">
        <f t="shared" si="10"/>
        <v>1278.2894749754712</v>
      </c>
      <c r="X118" s="89">
        <f t="shared" si="10"/>
        <v>1298.3572991978588</v>
      </c>
      <c r="Y118" s="89">
        <f t="shared" si="10"/>
        <v>1318.0125705343253</v>
      </c>
      <c r="Z118" s="89">
        <f t="shared" si="10"/>
        <v>1337.2937413004206</v>
      </c>
      <c r="AA118" s="89">
        <f t="shared" si="10"/>
        <v>1356.2829775112973</v>
      </c>
      <c r="AB118" s="89">
        <f t="shared" si="10"/>
        <v>1375.0198263869179</v>
      </c>
      <c r="AC118" s="89">
        <f t="shared" si="10"/>
        <v>1393.4901648525636</v>
      </c>
      <c r="AD118" s="89">
        <f t="shared" si="10"/>
        <v>1411.6636130886616</v>
      </c>
      <c r="AE118" s="89">
        <f t="shared" si="10"/>
        <v>1429.5310505629095</v>
      </c>
      <c r="AF118" s="89">
        <f t="shared" si="10"/>
        <v>1447.0705946547616</v>
      </c>
      <c r="AG118" s="89">
        <f t="shared" si="11"/>
        <v>1464.1778864306832</v>
      </c>
      <c r="AH118" s="89">
        <f t="shared" si="12"/>
        <v>1480.8165042716082</v>
      </c>
      <c r="AI118" s="89">
        <f t="shared" si="13"/>
        <v>1496.9958788582926</v>
      </c>
      <c r="AJ118" s="89">
        <f t="shared" si="14"/>
        <v>1512.7313436877307</v>
      </c>
      <c r="AK118" s="89">
        <f t="shared" si="15"/>
        <v>1528.0184111914155</v>
      </c>
      <c r="AL118" s="89">
        <f t="shared" si="16"/>
        <v>1542.8278013255251</v>
      </c>
      <c r="AM118" s="89">
        <f t="shared" si="17"/>
        <v>1557.1185385482268</v>
      </c>
      <c r="AN118" s="89">
        <f t="shared" si="18"/>
        <v>1570.8429274352302</v>
      </c>
      <c r="AO118" s="89">
        <f t="shared" si="19"/>
        <v>1583.97261522742</v>
      </c>
      <c r="AP118" s="89">
        <f t="shared" si="19"/>
        <v>1596.4885645022498</v>
      </c>
      <c r="AQ118" s="89">
        <f t="shared" si="20"/>
        <v>1608.3742672818519</v>
      </c>
      <c r="AR118" s="89">
        <f t="shared" si="21"/>
        <v>1619.6420522147898</v>
      </c>
      <c r="AS118" s="89">
        <f t="shared" si="22"/>
        <v>1630.3146584304511</v>
      </c>
      <c r="AT118" s="89">
        <f t="shared" si="23"/>
        <v>1640.4426644096609</v>
      </c>
      <c r="AU118" s="89">
        <f t="shared" si="24"/>
        <v>1649.8698985220135</v>
      </c>
      <c r="AV118" s="89">
        <f t="shared" si="25"/>
        <v>1658.5108761745823</v>
      </c>
      <c r="AW118" s="89">
        <f t="shared" si="26"/>
        <v>1666.334782875691</v>
      </c>
      <c r="AX118" s="89">
        <f t="shared" si="27"/>
        <v>1673.3510176736941</v>
      </c>
      <c r="AY118" s="89">
        <f t="shared" si="28"/>
        <v>1679.5779006383632</v>
      </c>
      <c r="AZ118" s="89">
        <f t="shared" si="29"/>
        <v>1685.0460857447206</v>
      </c>
      <c r="BA118" s="89">
        <f t="shared" si="30"/>
        <v>1689.8014970737988</v>
      </c>
      <c r="BB118" s="89">
        <f t="shared" si="30"/>
        <v>1693.8645172660724</v>
      </c>
    </row>
    <row r="119" spans="1:54">
      <c r="B119" s="6" t="s">
        <v>2832</v>
      </c>
      <c r="C119" s="52"/>
      <c r="D119" s="89">
        <f t="shared" si="31"/>
        <v>0</v>
      </c>
      <c r="E119" s="89">
        <f t="shared" si="31"/>
        <v>63.158511917098437</v>
      </c>
      <c r="F119" s="89">
        <f t="shared" si="31"/>
        <v>128.74480058947262</v>
      </c>
      <c r="G119" s="89">
        <f t="shared" si="31"/>
        <v>196.42774787301596</v>
      </c>
      <c r="H119" s="89">
        <f t="shared" si="31"/>
        <v>265.9721367065647</v>
      </c>
      <c r="I119" s="89">
        <f t="shared" si="31"/>
        <v>337.23196522477144</v>
      </c>
      <c r="J119" s="89">
        <f t="shared" si="31"/>
        <v>410.1136451245211</v>
      </c>
      <c r="K119" s="89">
        <f t="shared" si="31"/>
        <v>484.53062524266073</v>
      </c>
      <c r="L119" s="89">
        <f t="shared" si="31"/>
        <v>560.42279229274061</v>
      </c>
      <c r="M119" s="89">
        <f t="shared" si="31"/>
        <v>637.86547829470715</v>
      </c>
      <c r="N119" s="89">
        <f t="shared" si="31"/>
        <v>716.85449494217676</v>
      </c>
      <c r="O119" s="89">
        <f t="shared" si="31"/>
        <v>734.18933720132691</v>
      </c>
      <c r="P119" s="89">
        <f t="shared" si="31"/>
        <v>750.54322090634832</v>
      </c>
      <c r="Q119" s="89">
        <f t="shared" si="31"/>
        <v>766.18087333008725</v>
      </c>
      <c r="R119" s="89">
        <f t="shared" si="31"/>
        <v>781.29511450292148</v>
      </c>
      <c r="S119" s="89">
        <f t="shared" ref="S119:AF120" si="32">SUMIFS($C$90:$C$98,$B$90:$B$98,$B119)*R$84</f>
        <v>796.01708522593117</v>
      </c>
      <c r="T119" s="89">
        <f t="shared" si="32"/>
        <v>810.42992755439718</v>
      </c>
      <c r="U119" s="89">
        <f t="shared" si="32"/>
        <v>824.58912988611746</v>
      </c>
      <c r="V119" s="89">
        <f t="shared" si="32"/>
        <v>838.52748283647838</v>
      </c>
      <c r="W119" s="89">
        <f t="shared" si="32"/>
        <v>852.19298331698076</v>
      </c>
      <c r="X119" s="89">
        <f t="shared" si="32"/>
        <v>865.57153279857255</v>
      </c>
      <c r="Y119" s="89">
        <f t="shared" si="32"/>
        <v>878.67504702288352</v>
      </c>
      <c r="Z119" s="89">
        <f t="shared" si="32"/>
        <v>891.52916086694711</v>
      </c>
      <c r="AA119" s="89">
        <f t="shared" si="32"/>
        <v>904.18865167419813</v>
      </c>
      <c r="AB119" s="89">
        <f t="shared" si="32"/>
        <v>916.67988425794522</v>
      </c>
      <c r="AC119" s="89">
        <f t="shared" si="32"/>
        <v>928.99344323504238</v>
      </c>
      <c r="AD119" s="89">
        <f t="shared" si="32"/>
        <v>941.10907539244101</v>
      </c>
      <c r="AE119" s="89">
        <f t="shared" si="32"/>
        <v>953.02070037527301</v>
      </c>
      <c r="AF119" s="89">
        <f t="shared" si="32"/>
        <v>964.71372976984105</v>
      </c>
      <c r="AG119" s="89">
        <f t="shared" si="11"/>
        <v>976.11859095378884</v>
      </c>
      <c r="AH119" s="89">
        <f t="shared" si="12"/>
        <v>987.21100284773888</v>
      </c>
      <c r="AI119" s="89">
        <f t="shared" si="13"/>
        <v>997.99725257219507</v>
      </c>
      <c r="AJ119" s="89">
        <f t="shared" si="14"/>
        <v>1008.4875624584872</v>
      </c>
      <c r="AK119" s="89">
        <f t="shared" si="15"/>
        <v>1018.678940794277</v>
      </c>
      <c r="AL119" s="89">
        <f t="shared" si="16"/>
        <v>1028.5518675503499</v>
      </c>
      <c r="AM119" s="89">
        <f t="shared" si="17"/>
        <v>1038.0790256988178</v>
      </c>
      <c r="AN119" s="89">
        <f t="shared" si="18"/>
        <v>1047.2286182901535</v>
      </c>
      <c r="AO119" s="89">
        <f t="shared" si="19"/>
        <v>1055.9817434849467</v>
      </c>
      <c r="AP119" s="89">
        <f t="shared" si="19"/>
        <v>1064.3257096681666</v>
      </c>
      <c r="AQ119" s="89">
        <f t="shared" si="20"/>
        <v>1072.2495115212346</v>
      </c>
      <c r="AR119" s="89">
        <f t="shared" si="21"/>
        <v>1079.7613681431933</v>
      </c>
      <c r="AS119" s="89">
        <f t="shared" si="22"/>
        <v>1086.8764389536341</v>
      </c>
      <c r="AT119" s="89">
        <f t="shared" si="23"/>
        <v>1093.6284429397738</v>
      </c>
      <c r="AU119" s="89">
        <f t="shared" si="24"/>
        <v>1099.9132656813422</v>
      </c>
      <c r="AV119" s="89">
        <f t="shared" si="25"/>
        <v>1105.6739174497216</v>
      </c>
      <c r="AW119" s="89">
        <f t="shared" si="26"/>
        <v>1110.8898552504606</v>
      </c>
      <c r="AX119" s="89">
        <f t="shared" si="27"/>
        <v>1115.5673451157961</v>
      </c>
      <c r="AY119" s="89">
        <f t="shared" si="28"/>
        <v>1119.7186004255755</v>
      </c>
      <c r="AZ119" s="89">
        <f t="shared" si="29"/>
        <v>1123.3640571631472</v>
      </c>
      <c r="BA119" s="89">
        <f t="shared" si="30"/>
        <v>1126.5343313825326</v>
      </c>
      <c r="BB119" s="89">
        <f t="shared" si="30"/>
        <v>1129.243011510715</v>
      </c>
    </row>
    <row r="120" spans="1:54">
      <c r="B120" s="6" t="s">
        <v>2871</v>
      </c>
      <c r="C120" s="52"/>
      <c r="D120" s="89">
        <f t="shared" ref="D120:S120" si="33">SUMIFS($C$90:$C$98,$B$90:$B$98,$B120)*C$84</f>
        <v>0</v>
      </c>
      <c r="E120" s="89">
        <f t="shared" si="33"/>
        <v>0</v>
      </c>
      <c r="F120" s="89">
        <f t="shared" si="33"/>
        <v>0</v>
      </c>
      <c r="G120" s="89">
        <f t="shared" si="33"/>
        <v>0</v>
      </c>
      <c r="H120" s="89">
        <f t="shared" si="33"/>
        <v>0</v>
      </c>
      <c r="I120" s="89">
        <f t="shared" si="33"/>
        <v>0</v>
      </c>
      <c r="J120" s="89">
        <f t="shared" si="33"/>
        <v>0</v>
      </c>
      <c r="K120" s="89">
        <f t="shared" si="33"/>
        <v>0</v>
      </c>
      <c r="L120" s="89">
        <f t="shared" si="33"/>
        <v>0</v>
      </c>
      <c r="M120" s="89">
        <f t="shared" si="33"/>
        <v>0</v>
      </c>
      <c r="N120" s="89">
        <f t="shared" si="33"/>
        <v>0</v>
      </c>
      <c r="O120" s="89">
        <f t="shared" si="33"/>
        <v>0</v>
      </c>
      <c r="P120" s="89">
        <f t="shared" si="33"/>
        <v>0</v>
      </c>
      <c r="Q120" s="89">
        <f t="shared" si="33"/>
        <v>0</v>
      </c>
      <c r="R120" s="89">
        <f t="shared" si="33"/>
        <v>0</v>
      </c>
      <c r="S120" s="89">
        <f t="shared" si="33"/>
        <v>0</v>
      </c>
      <c r="T120" s="89">
        <f t="shared" si="32"/>
        <v>0</v>
      </c>
      <c r="U120" s="89">
        <f t="shared" si="32"/>
        <v>0</v>
      </c>
      <c r="V120" s="89">
        <f t="shared" si="32"/>
        <v>0</v>
      </c>
      <c r="W120" s="89">
        <f t="shared" si="32"/>
        <v>0</v>
      </c>
      <c r="X120" s="89">
        <f t="shared" si="32"/>
        <v>0</v>
      </c>
      <c r="Y120" s="89">
        <f t="shared" si="32"/>
        <v>0</v>
      </c>
      <c r="Z120" s="89">
        <f t="shared" si="32"/>
        <v>0</v>
      </c>
      <c r="AA120" s="89">
        <f t="shared" si="32"/>
        <v>0</v>
      </c>
      <c r="AB120" s="89">
        <f t="shared" si="32"/>
        <v>0</v>
      </c>
      <c r="AC120" s="89">
        <f t="shared" si="32"/>
        <v>0</v>
      </c>
      <c r="AD120" s="89">
        <f t="shared" si="32"/>
        <v>0</v>
      </c>
      <c r="AE120" s="89">
        <f t="shared" si="32"/>
        <v>0</v>
      </c>
      <c r="AF120" s="89">
        <f t="shared" si="32"/>
        <v>0</v>
      </c>
      <c r="AG120" s="89">
        <f t="shared" si="11"/>
        <v>0</v>
      </c>
      <c r="AH120" s="89">
        <f t="shared" si="12"/>
        <v>0</v>
      </c>
      <c r="AI120" s="89">
        <f t="shared" si="13"/>
        <v>0</v>
      </c>
      <c r="AJ120" s="89">
        <f t="shared" si="14"/>
        <v>0</v>
      </c>
      <c r="AK120" s="89">
        <f t="shared" si="15"/>
        <v>0</v>
      </c>
      <c r="AL120" s="89">
        <f t="shared" si="16"/>
        <v>0</v>
      </c>
      <c r="AM120" s="89">
        <f t="shared" si="17"/>
        <v>0</v>
      </c>
      <c r="AN120" s="89">
        <f t="shared" si="18"/>
        <v>0</v>
      </c>
      <c r="AO120" s="89">
        <f t="shared" si="19"/>
        <v>0</v>
      </c>
      <c r="AP120" s="89">
        <f t="shared" si="19"/>
        <v>0</v>
      </c>
      <c r="AQ120" s="89">
        <f t="shared" si="20"/>
        <v>0</v>
      </c>
      <c r="AR120" s="89">
        <f t="shared" si="21"/>
        <v>0</v>
      </c>
      <c r="AS120" s="89">
        <f t="shared" si="22"/>
        <v>0</v>
      </c>
      <c r="AT120" s="89">
        <f t="shared" si="23"/>
        <v>0</v>
      </c>
      <c r="AU120" s="89">
        <f t="shared" si="24"/>
        <v>0</v>
      </c>
      <c r="AV120" s="89">
        <f t="shared" si="25"/>
        <v>0</v>
      </c>
      <c r="AW120" s="89">
        <f t="shared" si="26"/>
        <v>0</v>
      </c>
      <c r="AX120" s="89">
        <f t="shared" si="27"/>
        <v>0</v>
      </c>
      <c r="AY120" s="89">
        <f t="shared" si="28"/>
        <v>0</v>
      </c>
      <c r="AZ120" s="89">
        <f t="shared" si="29"/>
        <v>0</v>
      </c>
      <c r="BA120" s="89">
        <f t="shared" si="30"/>
        <v>0</v>
      </c>
      <c r="BB120" s="89">
        <f t="shared" si="30"/>
        <v>0</v>
      </c>
    </row>
    <row r="121" spans="1:54">
      <c r="B121" s="52"/>
      <c r="C121" s="52"/>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row>
    <row r="122" spans="1:54">
      <c r="B122" s="52"/>
      <c r="C122" s="52"/>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row>
    <row r="123" spans="1:54">
      <c r="A123" s="9"/>
      <c r="B123" s="9"/>
    </row>
    <row r="124" spans="1:54" s="588" customFormat="1">
      <c r="A124" s="593" t="s">
        <v>10</v>
      </c>
      <c r="B124" s="593" t="s">
        <v>2916</v>
      </c>
    </row>
    <row r="126" spans="1:54">
      <c r="B126" s="9" t="s">
        <v>97</v>
      </c>
    </row>
    <row r="128" spans="1:54">
      <c r="B128" s="7" t="s">
        <v>9</v>
      </c>
      <c r="D128" s="34">
        <f>'Prevalence projection'!C$21</f>
        <v>2020</v>
      </c>
      <c r="E128" s="34">
        <f>'Prevalence projection'!D$21</f>
        <v>2021</v>
      </c>
      <c r="F128" s="34">
        <f>'Prevalence projection'!E$21</f>
        <v>2022</v>
      </c>
      <c r="G128" s="34">
        <f>'Prevalence projection'!F$21</f>
        <v>2023</v>
      </c>
      <c r="H128" s="34">
        <f>'Prevalence projection'!G$21</f>
        <v>2024</v>
      </c>
      <c r="I128" s="34">
        <f>'Prevalence projection'!H$21</f>
        <v>2025</v>
      </c>
      <c r="J128" s="34">
        <f>'Prevalence projection'!I$21</f>
        <v>2026</v>
      </c>
      <c r="K128" s="34">
        <f>'Prevalence projection'!J$21</f>
        <v>2027</v>
      </c>
      <c r="L128" s="34">
        <f>'Prevalence projection'!K$21</f>
        <v>2028</v>
      </c>
      <c r="M128" s="34">
        <f>'Prevalence projection'!L$21</f>
        <v>2029</v>
      </c>
      <c r="N128" s="34">
        <f>'Prevalence projection'!M$21</f>
        <v>2030</v>
      </c>
      <c r="O128" s="34">
        <f>'Prevalence projection'!N$21</f>
        <v>2031</v>
      </c>
      <c r="P128" s="34">
        <f>'Prevalence projection'!O$21</f>
        <v>2032</v>
      </c>
      <c r="Q128" s="34">
        <f>'Prevalence projection'!P$21</f>
        <v>2033</v>
      </c>
      <c r="R128" s="34">
        <f>'Prevalence projection'!Q$21</f>
        <v>2034</v>
      </c>
      <c r="S128" s="34">
        <f>'Prevalence projection'!R$21</f>
        <v>2035</v>
      </c>
      <c r="T128" s="34">
        <f>'Prevalence projection'!S$21</f>
        <v>2036</v>
      </c>
      <c r="U128" s="34">
        <f>'Prevalence projection'!T$21</f>
        <v>2037</v>
      </c>
      <c r="V128" s="34">
        <f>'Prevalence projection'!U$21</f>
        <v>2038</v>
      </c>
      <c r="W128" s="34">
        <f>'Prevalence projection'!V$21</f>
        <v>2039</v>
      </c>
      <c r="X128" s="34">
        <f>'Prevalence projection'!W$21</f>
        <v>2040</v>
      </c>
      <c r="Y128" s="34">
        <f>'Prevalence projection'!X$21</f>
        <v>2041</v>
      </c>
      <c r="Z128" s="34">
        <f>'Prevalence projection'!Y$21</f>
        <v>2042</v>
      </c>
      <c r="AA128" s="34">
        <f>'Prevalence projection'!Z$21</f>
        <v>2043</v>
      </c>
      <c r="AB128" s="34">
        <f>'Prevalence projection'!AA$21</f>
        <v>2044</v>
      </c>
      <c r="AC128" s="34">
        <f>'Prevalence projection'!AB$21</f>
        <v>2045</v>
      </c>
      <c r="AD128" s="34">
        <f>'Prevalence projection'!AC$21</f>
        <v>2046</v>
      </c>
      <c r="AE128" s="34">
        <f>'Prevalence projection'!AD$21</f>
        <v>2047</v>
      </c>
      <c r="AF128" s="34">
        <f>'Prevalence projection'!AE$21</f>
        <v>2048</v>
      </c>
      <c r="AG128" s="34">
        <f>'Prevalence projection'!AF$21</f>
        <v>2049</v>
      </c>
      <c r="AH128" s="34">
        <f>'Prevalence projection'!AG$21</f>
        <v>2050</v>
      </c>
      <c r="AI128" s="34">
        <f>'Prevalence projection'!AH$21</f>
        <v>2051</v>
      </c>
      <c r="AJ128" s="34">
        <f>'Prevalence projection'!AI$21</f>
        <v>2052</v>
      </c>
      <c r="AK128" s="34">
        <f>'Prevalence projection'!AJ$21</f>
        <v>2053</v>
      </c>
      <c r="AL128" s="34">
        <f>'Prevalence projection'!AK$21</f>
        <v>2054</v>
      </c>
      <c r="AM128" s="34">
        <f>'Prevalence projection'!AL$21</f>
        <v>2055</v>
      </c>
      <c r="AN128" s="34">
        <f>'Prevalence projection'!AM$21</f>
        <v>2056</v>
      </c>
      <c r="AO128" s="34">
        <f>'Prevalence projection'!AN$21</f>
        <v>2057</v>
      </c>
      <c r="AP128" s="34">
        <f>'Prevalence projection'!AO$21</f>
        <v>2058</v>
      </c>
      <c r="AQ128" s="34">
        <f>'Prevalence projection'!AP$21</f>
        <v>2059</v>
      </c>
      <c r="AR128" s="34">
        <f>'Prevalence projection'!AQ$21</f>
        <v>2060</v>
      </c>
      <c r="AS128" s="34">
        <f>'Prevalence projection'!AR$21</f>
        <v>2061</v>
      </c>
      <c r="AT128" s="34">
        <f>'Prevalence projection'!AS$21</f>
        <v>2062</v>
      </c>
      <c r="AU128" s="34">
        <f>'Prevalence projection'!AT$21</f>
        <v>2063</v>
      </c>
      <c r="AV128" s="34">
        <f>'Prevalence projection'!AU$21</f>
        <v>2064</v>
      </c>
      <c r="AW128" s="34">
        <f>'Prevalence projection'!AV$21</f>
        <v>2065</v>
      </c>
      <c r="AX128" s="34">
        <f>'Prevalence projection'!AW$21</f>
        <v>2066</v>
      </c>
      <c r="AY128" s="34">
        <f>'Prevalence projection'!AX$21</f>
        <v>2067</v>
      </c>
      <c r="AZ128" s="34">
        <f>'Prevalence projection'!AY$21</f>
        <v>2068</v>
      </c>
      <c r="BA128" s="34">
        <f>'Prevalence projection'!AZ$21</f>
        <v>2069</v>
      </c>
      <c r="BB128" s="34">
        <f>'Prevalence projection'!BA$21</f>
        <v>2070</v>
      </c>
    </row>
    <row r="129" spans="2:54">
      <c r="B129" s="6" t="s">
        <v>11</v>
      </c>
      <c r="D129" s="89">
        <f t="shared" ref="D129:AF137" si="34">(INDEX($C$58:$C$75,MATCH($B129,$B$58:$B$75,0))*C$13)+D103</f>
        <v>139.54911116111609</v>
      </c>
      <c r="E129" s="89">
        <f t="shared" si="34"/>
        <v>144.91329847352534</v>
      </c>
      <c r="F129" s="89">
        <f t="shared" si="34"/>
        <v>149.54587825914484</v>
      </c>
      <c r="G129" s="89">
        <f t="shared" si="34"/>
        <v>153.65874453633941</v>
      </c>
      <c r="H129" s="89">
        <f t="shared" si="34"/>
        <v>157.44901881573892</v>
      </c>
      <c r="I129" s="89">
        <f t="shared" si="34"/>
        <v>161.03250917768423</v>
      </c>
      <c r="J129" s="89">
        <f t="shared" si="34"/>
        <v>164.42476422515955</v>
      </c>
      <c r="K129" s="89">
        <f t="shared" si="34"/>
        <v>167.68419860542119</v>
      </c>
      <c r="L129" s="89">
        <f t="shared" si="34"/>
        <v>171.11007953590058</v>
      </c>
      <c r="M129" s="89">
        <f t="shared" si="34"/>
        <v>174.52670637828703</v>
      </c>
      <c r="N129" s="89">
        <f t="shared" si="34"/>
        <v>177.85054917722729</v>
      </c>
      <c r="O129" s="89">
        <f t="shared" si="34"/>
        <v>181.04730267653076</v>
      </c>
      <c r="P129" s="89">
        <f t="shared" si="34"/>
        <v>184.09736514730349</v>
      </c>
      <c r="Q129" s="89">
        <f t="shared" si="34"/>
        <v>187.05375112408569</v>
      </c>
      <c r="R129" s="89">
        <f t="shared" si="34"/>
        <v>189.97730149017306</v>
      </c>
      <c r="S129" s="89">
        <f t="shared" si="34"/>
        <v>192.87777080897069</v>
      </c>
      <c r="T129" s="89">
        <f t="shared" si="34"/>
        <v>195.70960676127774</v>
      </c>
      <c r="U129" s="89">
        <f t="shared" si="34"/>
        <v>198.48107310787807</v>
      </c>
      <c r="V129" s="89">
        <f t="shared" si="34"/>
        <v>201.30408486853139</v>
      </c>
      <c r="W129" s="89">
        <f t="shared" si="34"/>
        <v>204.08669175653193</v>
      </c>
      <c r="X129" s="89">
        <f t="shared" si="34"/>
        <v>206.80284250373595</v>
      </c>
      <c r="Y129" s="89">
        <f t="shared" si="34"/>
        <v>209.4485443659706</v>
      </c>
      <c r="Z129" s="89">
        <f t="shared" si="34"/>
        <v>212.06858606876941</v>
      </c>
      <c r="AA129" s="89">
        <f t="shared" si="34"/>
        <v>214.65320449082651</v>
      </c>
      <c r="AB129" s="89">
        <f t="shared" si="34"/>
        <v>217.1841839566153</v>
      </c>
      <c r="AC129" s="89">
        <f t="shared" si="34"/>
        <v>219.64733277932297</v>
      </c>
      <c r="AD129" s="89">
        <f t="shared" si="34"/>
        <v>222.02841365496491</v>
      </c>
      <c r="AE129" s="89">
        <f t="shared" si="34"/>
        <v>224.3168917372754</v>
      </c>
      <c r="AF129" s="89">
        <f t="shared" si="34"/>
        <v>226.50319410696426</v>
      </c>
      <c r="AG129" s="89">
        <f t="shared" ref="AG129:AP144" si="35">(INDEX($C$58:$C$75,MATCH($B129,$B$58:$B$75,0))*AF$13)+AG103</f>
        <v>228.59544241337974</v>
      </c>
      <c r="AH129" s="89">
        <f t="shared" si="35"/>
        <v>230.63512600948732</v>
      </c>
      <c r="AI129" s="89">
        <f t="shared" si="35"/>
        <v>232.62694702305464</v>
      </c>
      <c r="AJ129" s="89">
        <f t="shared" si="35"/>
        <v>234.58649767081735</v>
      </c>
      <c r="AK129" s="89">
        <f t="shared" si="35"/>
        <v>236.46749541612965</v>
      </c>
      <c r="AL129" s="89">
        <f t="shared" si="35"/>
        <v>238.2344970680949</v>
      </c>
      <c r="AM129" s="89">
        <f t="shared" si="35"/>
        <v>239.86341252615398</v>
      </c>
      <c r="AN129" s="89">
        <f t="shared" si="35"/>
        <v>241.36849630951949</v>
      </c>
      <c r="AO129" s="89">
        <f t="shared" si="35"/>
        <v>242.752935099968</v>
      </c>
      <c r="AP129" s="89">
        <f t="shared" si="35"/>
        <v>244.01088186033999</v>
      </c>
      <c r="AQ129" s="89">
        <f t="shared" ref="AQ129:AQ146" si="36">(INDEX($C$58:$C$75,MATCH($B129,$B$58:$B$75,0))*AP$13)+AQ103</f>
        <v>245.192934706106</v>
      </c>
      <c r="AR129" s="89">
        <f t="shared" ref="AR129:AR146" si="37">(INDEX($C$58:$C$75,MATCH($B129,$B$58:$B$75,0))*AQ$13)+AR103</f>
        <v>246.35591767013784</v>
      </c>
      <c r="AS129" s="89">
        <f t="shared" ref="AS129:AS146" si="38">(INDEX($C$58:$C$75,MATCH($B129,$B$58:$B$75,0))*AR$13)+AS103</f>
        <v>247.54554035626856</v>
      </c>
      <c r="AT129" s="89">
        <f t="shared" ref="AT129:AT146" si="39">(INDEX($C$58:$C$75,MATCH($B129,$B$58:$B$75,0))*AS$13)+AT103</f>
        <v>248.47285124010745</v>
      </c>
      <c r="AU129" s="89">
        <f t="shared" ref="AU129:AU146" si="40">(INDEX($C$58:$C$75,MATCH($B129,$B$58:$B$75,0))*AT$13)+AU103</f>
        <v>249.19569007405985</v>
      </c>
      <c r="AV129" s="89">
        <f t="shared" ref="AV129:AV146" si="41">(INDEX($C$58:$C$75,MATCH($B129,$B$58:$B$75,0))*AU$13)+AV103</f>
        <v>249.75914294512577</v>
      </c>
      <c r="AW129" s="89">
        <f t="shared" ref="AW129:AW146" si="42">(INDEX($C$58:$C$75,MATCH($B129,$B$58:$B$75,0))*AV$13)+AW103</f>
        <v>250.19835445812163</v>
      </c>
      <c r="AX129" s="89">
        <f t="shared" ref="AX129:AX146" si="43">(INDEX($C$58:$C$75,MATCH($B129,$B$58:$B$75,0))*AW$13)+AX103</f>
        <v>250.54071983250191</v>
      </c>
      <c r="AY129" s="89">
        <f t="shared" ref="AY129:AY146" si="44">(INDEX($C$58:$C$75,MATCH($B129,$B$58:$B$75,0))*AX$13)+AY103</f>
        <v>250.80759364183129</v>
      </c>
      <c r="AZ129" s="89">
        <f t="shared" ref="AZ129:AZ146" si="45">(INDEX($C$58:$C$75,MATCH($B129,$B$58:$B$75,0))*AY$13)+AZ103</f>
        <v>251.01562177620357</v>
      </c>
      <c r="BA129" s="89">
        <f t="shared" ref="BA129:BB146" si="46">(INDEX($C$58:$C$75,MATCH($B129,$B$58:$B$75,0))*AZ$13)+BA103</f>
        <v>251.17777970694681</v>
      </c>
      <c r="BB129" s="89">
        <f t="shared" si="46"/>
        <v>251.30418181396112</v>
      </c>
    </row>
    <row r="130" spans="2:54">
      <c r="B130" s="6" t="s">
        <v>14</v>
      </c>
      <c r="D130" s="89">
        <f t="shared" si="34"/>
        <v>0</v>
      </c>
      <c r="E130" s="89">
        <f t="shared" si="34"/>
        <v>0</v>
      </c>
      <c r="F130" s="89">
        <f t="shared" si="34"/>
        <v>0</v>
      </c>
      <c r="G130" s="89">
        <f t="shared" si="34"/>
        <v>0</v>
      </c>
      <c r="H130" s="89">
        <f t="shared" si="34"/>
        <v>0</v>
      </c>
      <c r="I130" s="89">
        <f t="shared" si="34"/>
        <v>0</v>
      </c>
      <c r="J130" s="89">
        <f t="shared" si="34"/>
        <v>0</v>
      </c>
      <c r="K130" s="89">
        <f t="shared" si="34"/>
        <v>0</v>
      </c>
      <c r="L130" s="89">
        <f t="shared" si="34"/>
        <v>0</v>
      </c>
      <c r="M130" s="89">
        <f t="shared" si="34"/>
        <v>0</v>
      </c>
      <c r="N130" s="89">
        <f t="shared" si="34"/>
        <v>0</v>
      </c>
      <c r="O130" s="89">
        <f t="shared" si="34"/>
        <v>0</v>
      </c>
      <c r="P130" s="89">
        <f t="shared" si="34"/>
        <v>0</v>
      </c>
      <c r="Q130" s="89">
        <f t="shared" si="34"/>
        <v>0</v>
      </c>
      <c r="R130" s="89">
        <f t="shared" si="34"/>
        <v>0</v>
      </c>
      <c r="S130" s="89">
        <f t="shared" si="34"/>
        <v>0</v>
      </c>
      <c r="T130" s="89">
        <f t="shared" si="34"/>
        <v>0</v>
      </c>
      <c r="U130" s="89">
        <f t="shared" si="34"/>
        <v>0</v>
      </c>
      <c r="V130" s="89">
        <f t="shared" si="34"/>
        <v>0</v>
      </c>
      <c r="W130" s="89">
        <f t="shared" si="34"/>
        <v>0</v>
      </c>
      <c r="X130" s="89">
        <f t="shared" si="34"/>
        <v>0</v>
      </c>
      <c r="Y130" s="89">
        <f t="shared" si="34"/>
        <v>0</v>
      </c>
      <c r="Z130" s="89">
        <f t="shared" si="34"/>
        <v>0</v>
      </c>
      <c r="AA130" s="89">
        <f t="shared" si="34"/>
        <v>0</v>
      </c>
      <c r="AB130" s="89">
        <f t="shared" si="34"/>
        <v>0</v>
      </c>
      <c r="AC130" s="89">
        <f t="shared" si="34"/>
        <v>0</v>
      </c>
      <c r="AD130" s="89">
        <f t="shared" si="34"/>
        <v>0</v>
      </c>
      <c r="AE130" s="89">
        <f t="shared" si="34"/>
        <v>0</v>
      </c>
      <c r="AF130" s="89">
        <f t="shared" si="34"/>
        <v>0</v>
      </c>
      <c r="AG130" s="89">
        <f t="shared" si="35"/>
        <v>0</v>
      </c>
      <c r="AH130" s="89">
        <f t="shared" si="35"/>
        <v>0</v>
      </c>
      <c r="AI130" s="89">
        <f t="shared" si="35"/>
        <v>0</v>
      </c>
      <c r="AJ130" s="89">
        <f t="shared" si="35"/>
        <v>0</v>
      </c>
      <c r="AK130" s="89">
        <f t="shared" si="35"/>
        <v>0</v>
      </c>
      <c r="AL130" s="89">
        <f t="shared" si="35"/>
        <v>0</v>
      </c>
      <c r="AM130" s="89">
        <f t="shared" si="35"/>
        <v>0</v>
      </c>
      <c r="AN130" s="89">
        <f t="shared" si="35"/>
        <v>0</v>
      </c>
      <c r="AO130" s="89">
        <f t="shared" si="35"/>
        <v>0</v>
      </c>
      <c r="AP130" s="89">
        <f t="shared" si="35"/>
        <v>0</v>
      </c>
      <c r="AQ130" s="89">
        <f t="shared" si="36"/>
        <v>0</v>
      </c>
      <c r="AR130" s="89">
        <f t="shared" si="37"/>
        <v>0</v>
      </c>
      <c r="AS130" s="89">
        <f t="shared" si="38"/>
        <v>0</v>
      </c>
      <c r="AT130" s="89">
        <f t="shared" si="39"/>
        <v>0</v>
      </c>
      <c r="AU130" s="89">
        <f t="shared" si="40"/>
        <v>0</v>
      </c>
      <c r="AV130" s="89">
        <f t="shared" si="41"/>
        <v>0</v>
      </c>
      <c r="AW130" s="89">
        <f t="shared" si="42"/>
        <v>0</v>
      </c>
      <c r="AX130" s="89">
        <f t="shared" si="43"/>
        <v>0</v>
      </c>
      <c r="AY130" s="89">
        <f t="shared" si="44"/>
        <v>0</v>
      </c>
      <c r="AZ130" s="89">
        <f t="shared" si="45"/>
        <v>0</v>
      </c>
      <c r="BA130" s="89">
        <f t="shared" si="46"/>
        <v>0</v>
      </c>
      <c r="BB130" s="89">
        <f t="shared" si="46"/>
        <v>0</v>
      </c>
    </row>
    <row r="131" spans="2:54">
      <c r="B131" s="6" t="s">
        <v>15</v>
      </c>
      <c r="D131" s="89">
        <f t="shared" si="34"/>
        <v>4.0249337475097162</v>
      </c>
      <c r="E131" s="89">
        <f t="shared" si="34"/>
        <v>4.1796498783545202</v>
      </c>
      <c r="F131" s="89">
        <f t="shared" si="34"/>
        <v>4.3132646793520255</v>
      </c>
      <c r="G131" s="89">
        <f t="shared" si="34"/>
        <v>4.4318896862785309</v>
      </c>
      <c r="H131" s="89">
        <f t="shared" si="34"/>
        <v>4.5412103600724318</v>
      </c>
      <c r="I131" s="89">
        <f t="shared" si="34"/>
        <v>4.6445668857547568</v>
      </c>
      <c r="J131" s="89">
        <f t="shared" si="34"/>
        <v>4.7424077226267292</v>
      </c>
      <c r="K131" s="89">
        <f t="shared" si="34"/>
        <v>4.8364176903416931</v>
      </c>
      <c r="L131" s="89">
        <f t="shared" si="34"/>
        <v>4.9352283789752924</v>
      </c>
      <c r="M131" s="89">
        <f t="shared" si="34"/>
        <v>5.0337721573350969</v>
      </c>
      <c r="N131" s="89">
        <f t="shared" si="34"/>
        <v>5.1296398195620965</v>
      </c>
      <c r="O131" s="89">
        <f t="shared" si="34"/>
        <v>5.2218419191294743</v>
      </c>
      <c r="P131" s="89">
        <f t="shared" si="34"/>
        <v>5.3098130947857092</v>
      </c>
      <c r="Q131" s="89">
        <f t="shared" si="34"/>
        <v>5.3950824138778017</v>
      </c>
      <c r="R131" s="89">
        <f t="shared" si="34"/>
        <v>5.4794046745722733</v>
      </c>
      <c r="S131" s="89">
        <f t="shared" si="34"/>
        <v>5.5630612220608979</v>
      </c>
      <c r="T131" s="89">
        <f t="shared" si="34"/>
        <v>5.6447382173281229</v>
      </c>
      <c r="U131" s="89">
        <f t="shared" si="34"/>
        <v>5.7246740072138795</v>
      </c>
      <c r="V131" s="89">
        <f t="shared" si="34"/>
        <v>5.8060964914599582</v>
      </c>
      <c r="W131" s="89">
        <f t="shared" si="34"/>
        <v>5.8863536014936857</v>
      </c>
      <c r="X131" s="89">
        <f t="shared" si="34"/>
        <v>5.9646939557588095</v>
      </c>
      <c r="Y131" s="89">
        <f t="shared" si="34"/>
        <v>6.0410023938603112</v>
      </c>
      <c r="Z131" s="89">
        <f t="shared" si="34"/>
        <v>6.1165707309262674</v>
      </c>
      <c r="AA131" s="89">
        <f t="shared" si="34"/>
        <v>6.1911173749343558</v>
      </c>
      <c r="AB131" s="89">
        <f t="shared" si="34"/>
        <v>6.2641169417631701</v>
      </c>
      <c r="AC131" s="89">
        <f t="shared" si="34"/>
        <v>6.3351601088544225</v>
      </c>
      <c r="AD131" s="89">
        <f t="shared" si="34"/>
        <v>6.4038362379403067</v>
      </c>
      <c r="AE131" s="89">
        <f t="shared" si="34"/>
        <v>6.4698414785848941</v>
      </c>
      <c r="AF131" s="89">
        <f t="shared" si="34"/>
        <v>6.5328997246518394</v>
      </c>
      <c r="AG131" s="89">
        <f t="shared" si="35"/>
        <v>6.5932452241436925</v>
      </c>
      <c r="AH131" s="89">
        <f t="shared" si="35"/>
        <v>6.6520746303069256</v>
      </c>
      <c r="AI131" s="89">
        <f t="shared" si="35"/>
        <v>6.7095235638744786</v>
      </c>
      <c r="AJ131" s="89">
        <f t="shared" si="35"/>
        <v>6.7660417420736128</v>
      </c>
      <c r="AK131" s="89">
        <f t="shared" si="35"/>
        <v>6.8202942646522491</v>
      </c>
      <c r="AL131" s="89">
        <f t="shared" si="35"/>
        <v>6.8712588642955188</v>
      </c>
      <c r="AM131" s="89">
        <f t="shared" si="35"/>
        <v>6.9182407242617394</v>
      </c>
      <c r="AN131" s="89">
        <f t="shared" si="35"/>
        <v>6.9616509793475165</v>
      </c>
      <c r="AO131" s="89">
        <f t="shared" si="35"/>
        <v>7.0015815411595819</v>
      </c>
      <c r="AP131" s="89">
        <f t="shared" si="35"/>
        <v>7.0378637670101369</v>
      </c>
      <c r="AQ131" s="89">
        <f t="shared" si="36"/>
        <v>7.0719570288781428</v>
      </c>
      <c r="AR131" s="89">
        <f t="shared" si="37"/>
        <v>7.1055002692525386</v>
      </c>
      <c r="AS131" s="89">
        <f t="shared" si="38"/>
        <v>7.1398118636179282</v>
      </c>
      <c r="AT131" s="89">
        <f t="shared" si="39"/>
        <v>7.1665577514257475</v>
      </c>
      <c r="AU131" s="89">
        <f t="shared" si="40"/>
        <v>7.1874061709719426</v>
      </c>
      <c r="AV131" s="89">
        <f t="shared" si="41"/>
        <v>7.2036575140082029</v>
      </c>
      <c r="AW131" s="89">
        <f t="shared" si="42"/>
        <v>7.2163254359049667</v>
      </c>
      <c r="AX131" s="89">
        <f t="shared" si="43"/>
        <v>7.2262000810234941</v>
      </c>
      <c r="AY131" s="89">
        <f t="shared" si="44"/>
        <v>7.2338973668933857</v>
      </c>
      <c r="AZ131" s="89">
        <f t="shared" si="45"/>
        <v>7.2398974012289665</v>
      </c>
      <c r="BA131" s="89">
        <f t="shared" si="46"/>
        <v>7.2445744279935527</v>
      </c>
      <c r="BB131" s="89">
        <f t="shared" si="46"/>
        <v>7.2482201703565465</v>
      </c>
    </row>
    <row r="132" spans="2:54" ht="29">
      <c r="B132" s="6" t="s">
        <v>16</v>
      </c>
      <c r="D132" s="89">
        <f t="shared" si="34"/>
        <v>4.9998584022389378</v>
      </c>
      <c r="E132" s="89">
        <f t="shared" si="34"/>
        <v>5.1920500742745093</v>
      </c>
      <c r="F132" s="89">
        <f t="shared" si="34"/>
        <v>5.3580292250727544</v>
      </c>
      <c r="G132" s="89">
        <f t="shared" si="34"/>
        <v>5.505387734505141</v>
      </c>
      <c r="H132" s="89">
        <f t="shared" si="34"/>
        <v>5.6411882032072747</v>
      </c>
      <c r="I132" s="89">
        <f t="shared" si="34"/>
        <v>5.7695798801333185</v>
      </c>
      <c r="J132" s="89">
        <f t="shared" si="34"/>
        <v>5.8911198509760911</v>
      </c>
      <c r="K132" s="89">
        <f t="shared" si="34"/>
        <v>6.0079010345830737</v>
      </c>
      <c r="L132" s="89">
        <f t="shared" si="34"/>
        <v>6.1306457759347506</v>
      </c>
      <c r="M132" s="89">
        <f t="shared" si="34"/>
        <v>6.2530589556611211</v>
      </c>
      <c r="N132" s="89">
        <f t="shared" si="34"/>
        <v>6.372147806945998</v>
      </c>
      <c r="O132" s="89">
        <f t="shared" si="34"/>
        <v>6.4866832182459362</v>
      </c>
      <c r="P132" s="89">
        <f t="shared" si="34"/>
        <v>6.5959628857763146</v>
      </c>
      <c r="Q132" s="89">
        <f t="shared" si="34"/>
        <v>6.701886249553314</v>
      </c>
      <c r="R132" s="89">
        <f t="shared" si="34"/>
        <v>6.806633157223505</v>
      </c>
      <c r="S132" s="89">
        <f t="shared" si="34"/>
        <v>6.9105531017746635</v>
      </c>
      <c r="T132" s="89">
        <f t="shared" si="34"/>
        <v>7.0120140044066961</v>
      </c>
      <c r="U132" s="89">
        <f t="shared" si="34"/>
        <v>7.1113119446391755</v>
      </c>
      <c r="V132" s="89">
        <f t="shared" si="34"/>
        <v>7.2124566882615531</v>
      </c>
      <c r="W132" s="89">
        <f t="shared" si="34"/>
        <v>7.3121537792235642</v>
      </c>
      <c r="X132" s="89">
        <f t="shared" si="34"/>
        <v>7.4094698353572088</v>
      </c>
      <c r="Y132" s="89">
        <f t="shared" si="34"/>
        <v>7.5042618019677363</v>
      </c>
      <c r="Z132" s="89">
        <f t="shared" si="34"/>
        <v>7.5981343993132731</v>
      </c>
      <c r="AA132" s="89">
        <f t="shared" si="34"/>
        <v>7.6907378277878822</v>
      </c>
      <c r="AB132" s="89">
        <f t="shared" si="34"/>
        <v>7.7814194440491864</v>
      </c>
      <c r="AC132" s="89">
        <f t="shared" si="34"/>
        <v>7.8696707788997617</v>
      </c>
      <c r="AD132" s="89">
        <f t="shared" si="34"/>
        <v>7.9549817287398064</v>
      </c>
      <c r="AE132" s="89">
        <f t="shared" si="34"/>
        <v>8.0369748440880606</v>
      </c>
      <c r="AF132" s="89">
        <f t="shared" si="34"/>
        <v>8.1153071400229528</v>
      </c>
      <c r="AG132" s="89">
        <f t="shared" si="35"/>
        <v>8.1902696044009886</v>
      </c>
      <c r="AH132" s="89">
        <f t="shared" si="35"/>
        <v>8.2633487453647252</v>
      </c>
      <c r="AI132" s="89">
        <f t="shared" si="35"/>
        <v>8.3347130338763353</v>
      </c>
      <c r="AJ132" s="89">
        <f t="shared" si="35"/>
        <v>8.4049211182511439</v>
      </c>
      <c r="AK132" s="89">
        <f t="shared" si="35"/>
        <v>8.4723147569725974</v>
      </c>
      <c r="AL132" s="89">
        <f t="shared" si="35"/>
        <v>8.5356240678154904</v>
      </c>
      <c r="AM132" s="89">
        <f t="shared" si="35"/>
        <v>8.5939859346288916</v>
      </c>
      <c r="AN132" s="89">
        <f t="shared" si="35"/>
        <v>8.647911077811246</v>
      </c>
      <c r="AO132" s="89">
        <f t="shared" si="35"/>
        <v>8.6975136719174735</v>
      </c>
      <c r="AP132" s="89">
        <f t="shared" si="35"/>
        <v>8.7425842254099528</v>
      </c>
      <c r="AQ132" s="89">
        <f t="shared" si="36"/>
        <v>8.7849356012346984</v>
      </c>
      <c r="AR132" s="89">
        <f t="shared" si="37"/>
        <v>8.826603728648724</v>
      </c>
      <c r="AS132" s="89">
        <f t="shared" si="38"/>
        <v>8.8692263217505722</v>
      </c>
      <c r="AT132" s="89">
        <f t="shared" si="39"/>
        <v>8.9024506330734603</v>
      </c>
      <c r="AU132" s="89">
        <f t="shared" si="40"/>
        <v>8.9283489837496539</v>
      </c>
      <c r="AV132" s="89">
        <f t="shared" si="41"/>
        <v>8.9485367481017466</v>
      </c>
      <c r="AW132" s="89">
        <f t="shared" si="42"/>
        <v>8.9642731104142008</v>
      </c>
      <c r="AX132" s="89">
        <f t="shared" si="43"/>
        <v>8.9765396048367609</v>
      </c>
      <c r="AY132" s="89">
        <f t="shared" si="44"/>
        <v>8.9861013372391447</v>
      </c>
      <c r="AZ132" s="89">
        <f t="shared" si="45"/>
        <v>8.993554707646803</v>
      </c>
      <c r="BA132" s="89">
        <f t="shared" si="46"/>
        <v>8.9993646098795743</v>
      </c>
      <c r="BB132" s="89">
        <f t="shared" si="46"/>
        <v>9.0038934286700183</v>
      </c>
    </row>
    <row r="133" spans="2:54">
      <c r="B133" s="6" t="s">
        <v>103</v>
      </c>
      <c r="D133" s="89">
        <f t="shared" si="34"/>
        <v>15.949304281693991</v>
      </c>
      <c r="E133" s="89">
        <f t="shared" si="34"/>
        <v>16.562386335443797</v>
      </c>
      <c r="F133" s="89">
        <f t="shared" si="34"/>
        <v>17.09185172576624</v>
      </c>
      <c r="G133" s="89">
        <f t="shared" si="34"/>
        <v>17.561918178924504</v>
      </c>
      <c r="H133" s="89">
        <f t="shared" si="34"/>
        <v>17.995115046251208</v>
      </c>
      <c r="I133" s="89">
        <f t="shared" si="34"/>
        <v>18.404678229403238</v>
      </c>
      <c r="J133" s="89">
        <f t="shared" si="34"/>
        <v>18.792384804551759</v>
      </c>
      <c r="K133" s="89">
        <f t="shared" si="34"/>
        <v>19.164911080673914</v>
      </c>
      <c r="L133" s="89">
        <f t="shared" si="34"/>
        <v>19.556460814946202</v>
      </c>
      <c r="M133" s="89">
        <f t="shared" si="34"/>
        <v>19.94695288381585</v>
      </c>
      <c r="N133" s="89">
        <f t="shared" si="34"/>
        <v>20.326840507203215</v>
      </c>
      <c r="O133" s="89">
        <f t="shared" si="34"/>
        <v>20.692202879272322</v>
      </c>
      <c r="P133" s="89">
        <f t="shared" si="34"/>
        <v>21.040799685226645</v>
      </c>
      <c r="Q133" s="89">
        <f t="shared" si="34"/>
        <v>21.378690046014345</v>
      </c>
      <c r="R133" s="89">
        <f t="shared" si="34"/>
        <v>21.712827569239057</v>
      </c>
      <c r="S133" s="89">
        <f t="shared" si="34"/>
        <v>22.044327120474545</v>
      </c>
      <c r="T133" s="89">
        <f t="shared" si="34"/>
        <v>22.367982448003215</v>
      </c>
      <c r="U133" s="89">
        <f t="shared" si="34"/>
        <v>22.684738031042144</v>
      </c>
      <c r="V133" s="89">
        <f t="shared" si="34"/>
        <v>23.007384826760365</v>
      </c>
      <c r="W133" s="89">
        <f t="shared" si="34"/>
        <v>23.32541368114568</v>
      </c>
      <c r="X133" s="89">
        <f t="shared" si="34"/>
        <v>23.635847150636511</v>
      </c>
      <c r="Y133" s="89">
        <f t="shared" si="34"/>
        <v>23.93822889773848</v>
      </c>
      <c r="Z133" s="89">
        <f t="shared" si="34"/>
        <v>24.237677901755568</v>
      </c>
      <c r="AA133" s="89">
        <f t="shared" si="34"/>
        <v>24.533078319017033</v>
      </c>
      <c r="AB133" s="89">
        <f t="shared" si="34"/>
        <v>24.822348249113389</v>
      </c>
      <c r="AC133" s="89">
        <f t="shared" si="34"/>
        <v>25.103865700121041</v>
      </c>
      <c r="AD133" s="89">
        <f t="shared" si="34"/>
        <v>25.376003466452566</v>
      </c>
      <c r="AE133" s="89">
        <f t="shared" si="34"/>
        <v>25.63755750268442</v>
      </c>
      <c r="AF133" s="89">
        <f t="shared" si="34"/>
        <v>25.887433703656399</v>
      </c>
      <c r="AG133" s="89">
        <f t="shared" si="35"/>
        <v>26.126560306428896</v>
      </c>
      <c r="AH133" s="89">
        <f t="shared" si="35"/>
        <v>26.359679199426651</v>
      </c>
      <c r="AI133" s="89">
        <f t="shared" si="35"/>
        <v>26.587327796796643</v>
      </c>
      <c r="AJ133" s="89">
        <f t="shared" si="35"/>
        <v>26.81128815939956</v>
      </c>
      <c r="AK133" s="89">
        <f t="shared" si="35"/>
        <v>27.026270577729182</v>
      </c>
      <c r="AL133" s="89">
        <f t="shared" si="35"/>
        <v>27.228224189464562</v>
      </c>
      <c r="AM133" s="89">
        <f t="shared" si="35"/>
        <v>27.414395696209194</v>
      </c>
      <c r="AN133" s="89">
        <f t="shared" si="35"/>
        <v>27.586414271108069</v>
      </c>
      <c r="AO133" s="89">
        <f t="shared" si="35"/>
        <v>27.744644125419004</v>
      </c>
      <c r="AP133" s="89">
        <f t="shared" si="35"/>
        <v>27.888416991361375</v>
      </c>
      <c r="AQ133" s="89">
        <f t="shared" si="36"/>
        <v>28.023515813254964</v>
      </c>
      <c r="AR133" s="89">
        <f t="shared" si="37"/>
        <v>28.156435106064752</v>
      </c>
      <c r="AS133" s="89">
        <f t="shared" si="38"/>
        <v>28.292399097835357</v>
      </c>
      <c r="AT133" s="89">
        <f t="shared" si="39"/>
        <v>28.39838302942054</v>
      </c>
      <c r="AU133" s="89">
        <f t="shared" si="40"/>
        <v>28.480997504091192</v>
      </c>
      <c r="AV133" s="89">
        <f t="shared" si="41"/>
        <v>28.545395487096965</v>
      </c>
      <c r="AW133" s="89">
        <f t="shared" si="42"/>
        <v>28.595593714849961</v>
      </c>
      <c r="AX133" s="89">
        <f t="shared" si="43"/>
        <v>28.634723233383426</v>
      </c>
      <c r="AY133" s="89">
        <f t="shared" si="44"/>
        <v>28.665224693080255</v>
      </c>
      <c r="AZ133" s="89">
        <f t="shared" si="45"/>
        <v>28.689000580913937</v>
      </c>
      <c r="BA133" s="89">
        <f t="shared" si="46"/>
        <v>28.707533885480295</v>
      </c>
      <c r="BB133" s="89">
        <f t="shared" si="46"/>
        <v>28.721980596389766</v>
      </c>
    </row>
    <row r="134" spans="2:54">
      <c r="B134" s="6" t="s">
        <v>104</v>
      </c>
      <c r="D134" s="89">
        <f t="shared" si="34"/>
        <v>2455.9146055450615</v>
      </c>
      <c r="E134" s="89">
        <f t="shared" si="34"/>
        <v>2550.3185459056372</v>
      </c>
      <c r="F134" s="89">
        <f t="shared" si="34"/>
        <v>2631.8469788866273</v>
      </c>
      <c r="G134" s="89">
        <f t="shared" si="34"/>
        <v>2704.2290118266574</v>
      </c>
      <c r="H134" s="89">
        <f t="shared" si="34"/>
        <v>2770.933771780677</v>
      </c>
      <c r="I134" s="89">
        <f t="shared" si="34"/>
        <v>2833.9993566884204</v>
      </c>
      <c r="J134" s="89">
        <f t="shared" si="34"/>
        <v>2893.6994052771206</v>
      </c>
      <c r="K134" s="89">
        <f t="shared" si="34"/>
        <v>2951.0619526534219</v>
      </c>
      <c r="L134" s="89">
        <f t="shared" si="34"/>
        <v>3011.3537806988811</v>
      </c>
      <c r="M134" s="89">
        <f t="shared" si="34"/>
        <v>3071.4827467245154</v>
      </c>
      <c r="N134" s="89">
        <f t="shared" si="34"/>
        <v>3129.9788131525452</v>
      </c>
      <c r="O134" s="89">
        <f t="shared" si="34"/>
        <v>3186.2382442871681</v>
      </c>
      <c r="P134" s="89">
        <f t="shared" si="34"/>
        <v>3239.91607073457</v>
      </c>
      <c r="Q134" s="89">
        <f t="shared" si="34"/>
        <v>3291.9452914124809</v>
      </c>
      <c r="R134" s="89">
        <f t="shared" si="34"/>
        <v>3343.3966405782303</v>
      </c>
      <c r="S134" s="89">
        <f t="shared" si="34"/>
        <v>3394.4417880800752</v>
      </c>
      <c r="T134" s="89">
        <f t="shared" si="34"/>
        <v>3444.2790619825141</v>
      </c>
      <c r="U134" s="89">
        <f t="shared" si="34"/>
        <v>3493.0538956074588</v>
      </c>
      <c r="V134" s="89">
        <f t="shared" si="34"/>
        <v>3542.7358732060793</v>
      </c>
      <c r="W134" s="89">
        <f t="shared" si="34"/>
        <v>3591.7067684046942</v>
      </c>
      <c r="X134" s="89">
        <f t="shared" si="34"/>
        <v>3639.5081068397262</v>
      </c>
      <c r="Y134" s="89">
        <f t="shared" si="34"/>
        <v>3686.0696204983697</v>
      </c>
      <c r="Z134" s="89">
        <f t="shared" si="34"/>
        <v>3732.1795428869955</v>
      </c>
      <c r="AA134" s="89">
        <f t="shared" si="34"/>
        <v>3777.6660535474771</v>
      </c>
      <c r="AB134" s="89">
        <f t="shared" si="34"/>
        <v>3822.2085761378848</v>
      </c>
      <c r="AC134" s="89">
        <f t="shared" si="34"/>
        <v>3865.5573521994875</v>
      </c>
      <c r="AD134" s="89">
        <f t="shared" si="34"/>
        <v>3907.4618204602816</v>
      </c>
      <c r="AE134" s="89">
        <f t="shared" si="34"/>
        <v>3947.7365789309911</v>
      </c>
      <c r="AF134" s="89">
        <f t="shared" si="34"/>
        <v>3986.2131545048578</v>
      </c>
      <c r="AG134" s="89">
        <f t="shared" si="35"/>
        <v>4023.034479495027</v>
      </c>
      <c r="AH134" s="89">
        <f t="shared" si="35"/>
        <v>4058.9307219912462</v>
      </c>
      <c r="AI134" s="89">
        <f t="shared" si="35"/>
        <v>4093.9846343963477</v>
      </c>
      <c r="AJ134" s="89">
        <f t="shared" si="35"/>
        <v>4128.4706229927888</v>
      </c>
      <c r="AK134" s="89">
        <f t="shared" si="35"/>
        <v>4161.5741648016383</v>
      </c>
      <c r="AL134" s="89">
        <f t="shared" si="35"/>
        <v>4192.6714976973917</v>
      </c>
      <c r="AM134" s="89">
        <f t="shared" si="35"/>
        <v>4221.3386617614224</v>
      </c>
      <c r="AN134" s="89">
        <f t="shared" si="35"/>
        <v>4247.8265212352735</v>
      </c>
      <c r="AO134" s="89">
        <f t="shared" si="35"/>
        <v>4272.1911582985658</v>
      </c>
      <c r="AP134" s="89">
        <f t="shared" si="35"/>
        <v>4294.3296713717791</v>
      </c>
      <c r="AQ134" s="89">
        <f t="shared" si="36"/>
        <v>4315.1325329900883</v>
      </c>
      <c r="AR134" s="89">
        <f t="shared" si="37"/>
        <v>4335.5997851538677</v>
      </c>
      <c r="AS134" s="89">
        <f t="shared" si="38"/>
        <v>4356.5358678393613</v>
      </c>
      <c r="AT134" s="89">
        <f t="shared" si="39"/>
        <v>4372.8555442927027</v>
      </c>
      <c r="AU134" s="89">
        <f t="shared" si="40"/>
        <v>4385.5767320880832</v>
      </c>
      <c r="AV134" s="89">
        <f t="shared" si="41"/>
        <v>4395.4928979745819</v>
      </c>
      <c r="AW134" s="89">
        <f t="shared" si="42"/>
        <v>4403.2225492831067</v>
      </c>
      <c r="AX134" s="89">
        <f t="shared" si="43"/>
        <v>4409.2478124781028</v>
      </c>
      <c r="AY134" s="89">
        <f t="shared" si="44"/>
        <v>4413.944505138601</v>
      </c>
      <c r="AZ134" s="89">
        <f t="shared" si="45"/>
        <v>4417.6055770674602</v>
      </c>
      <c r="BA134" s="89">
        <f t="shared" si="46"/>
        <v>4420.459382636006</v>
      </c>
      <c r="BB134" s="89">
        <f t="shared" si="46"/>
        <v>4422.6839240766876</v>
      </c>
    </row>
    <row r="135" spans="2:54">
      <c r="B135" s="6" t="s">
        <v>17</v>
      </c>
      <c r="D135" s="89">
        <f t="shared" si="34"/>
        <v>902.02503808635458</v>
      </c>
      <c r="E135" s="89">
        <f t="shared" si="34"/>
        <v>936.69836007686047</v>
      </c>
      <c r="F135" s="89">
        <f t="shared" si="34"/>
        <v>966.64267805060229</v>
      </c>
      <c r="G135" s="89">
        <f t="shared" si="34"/>
        <v>993.22764394155126</v>
      </c>
      <c r="H135" s="89">
        <f t="shared" si="34"/>
        <v>1017.7274223549426</v>
      </c>
      <c r="I135" s="89">
        <f t="shared" si="34"/>
        <v>1040.8905797790258</v>
      </c>
      <c r="J135" s="89">
        <f t="shared" si="34"/>
        <v>1062.8176201086826</v>
      </c>
      <c r="K135" s="89">
        <f t="shared" si="34"/>
        <v>1083.8861270775374</v>
      </c>
      <c r="L135" s="89">
        <f t="shared" si="34"/>
        <v>1106.0305201953638</v>
      </c>
      <c r="M135" s="89">
        <f t="shared" si="34"/>
        <v>1128.1150962416584</v>
      </c>
      <c r="N135" s="89">
        <f t="shared" si="34"/>
        <v>1149.5999298057045</v>
      </c>
      <c r="O135" s="89">
        <f t="shared" si="34"/>
        <v>1170.2632767304492</v>
      </c>
      <c r="P135" s="89">
        <f t="shared" si="34"/>
        <v>1189.9784343081144</v>
      </c>
      <c r="Q135" s="89">
        <f t="shared" si="34"/>
        <v>1209.0880807337805</v>
      </c>
      <c r="R135" s="89">
        <f t="shared" si="34"/>
        <v>1227.9854825758653</v>
      </c>
      <c r="S135" s="89">
        <f t="shared" si="34"/>
        <v>1246.7336919050963</v>
      </c>
      <c r="T135" s="89">
        <f t="shared" si="34"/>
        <v>1265.0382651946022</v>
      </c>
      <c r="U135" s="89">
        <f t="shared" si="34"/>
        <v>1282.952618185077</v>
      </c>
      <c r="V135" s="89">
        <f t="shared" si="34"/>
        <v>1301.2001531907392</v>
      </c>
      <c r="W135" s="89">
        <f t="shared" si="34"/>
        <v>1319.1865170109299</v>
      </c>
      <c r="X135" s="89">
        <f t="shared" si="34"/>
        <v>1336.7433180597468</v>
      </c>
      <c r="Y135" s="89">
        <f t="shared" si="34"/>
        <v>1353.8447478230082</v>
      </c>
      <c r="Z135" s="89">
        <f t="shared" si="34"/>
        <v>1370.7803140698354</v>
      </c>
      <c r="AA135" s="89">
        <f t="shared" si="34"/>
        <v>1387.4869094124817</v>
      </c>
      <c r="AB135" s="89">
        <f t="shared" si="34"/>
        <v>1403.8467903893522</v>
      </c>
      <c r="AC135" s="89">
        <f t="shared" si="34"/>
        <v>1419.7682240131753</v>
      </c>
      <c r="AD135" s="89">
        <f t="shared" si="34"/>
        <v>1435.1591824339559</v>
      </c>
      <c r="AE135" s="89">
        <f t="shared" si="34"/>
        <v>1449.951569946712</v>
      </c>
      <c r="AF135" s="89">
        <f t="shared" si="34"/>
        <v>1464.0835086016991</v>
      </c>
      <c r="AG135" s="89">
        <f t="shared" si="35"/>
        <v>1477.6074955520826</v>
      </c>
      <c r="AH135" s="89">
        <f t="shared" si="35"/>
        <v>1490.7917119054125</v>
      </c>
      <c r="AI135" s="89">
        <f t="shared" si="35"/>
        <v>1503.6665515276436</v>
      </c>
      <c r="AJ135" s="89">
        <f t="shared" si="35"/>
        <v>1516.3328002265662</v>
      </c>
      <c r="AK135" s="89">
        <f t="shared" si="35"/>
        <v>1528.4912944565779</v>
      </c>
      <c r="AL135" s="89">
        <f t="shared" si="35"/>
        <v>1539.912934617169</v>
      </c>
      <c r="AM135" s="89">
        <f t="shared" si="35"/>
        <v>1550.4420058227804</v>
      </c>
      <c r="AN135" s="89">
        <f t="shared" si="35"/>
        <v>1560.1706472001233</v>
      </c>
      <c r="AO135" s="89">
        <f t="shared" si="35"/>
        <v>1569.1194569939796</v>
      </c>
      <c r="AP135" s="89">
        <f t="shared" si="35"/>
        <v>1577.2506408115898</v>
      </c>
      <c r="AQ135" s="89">
        <f t="shared" si="36"/>
        <v>1584.8912574686972</v>
      </c>
      <c r="AR135" s="89">
        <f t="shared" si="37"/>
        <v>1592.4086092002567</v>
      </c>
      <c r="AS135" s="89">
        <f t="shared" si="38"/>
        <v>1600.0981561979911</v>
      </c>
      <c r="AT135" s="89">
        <f t="shared" si="39"/>
        <v>1606.0921580827248</v>
      </c>
      <c r="AU135" s="89">
        <f t="shared" si="40"/>
        <v>1610.7644825518748</v>
      </c>
      <c r="AV135" s="89">
        <f t="shared" si="41"/>
        <v>1614.4065594755775</v>
      </c>
      <c r="AW135" s="89">
        <f t="shared" si="42"/>
        <v>1617.2455584376034</v>
      </c>
      <c r="AX135" s="89">
        <f t="shared" si="43"/>
        <v>1619.4585581285025</v>
      </c>
      <c r="AY135" s="89">
        <f t="shared" si="44"/>
        <v>1621.1835913875584</v>
      </c>
      <c r="AZ135" s="89">
        <f t="shared" si="45"/>
        <v>1622.5282548129926</v>
      </c>
      <c r="BA135" s="89">
        <f t="shared" si="46"/>
        <v>1623.5764199531186</v>
      </c>
      <c r="BB135" s="89">
        <f t="shared" si="46"/>
        <v>1624.3934646798466</v>
      </c>
    </row>
    <row r="136" spans="2:54" ht="29">
      <c r="B136" s="6" t="s">
        <v>106</v>
      </c>
      <c r="D136" s="89">
        <f t="shared" si="34"/>
        <v>866.32037771818159</v>
      </c>
      <c r="E136" s="89">
        <f t="shared" si="34"/>
        <v>899.62123316592533</v>
      </c>
      <c r="F136" s="89">
        <f t="shared" si="34"/>
        <v>928.38027173159526</v>
      </c>
      <c r="G136" s="89">
        <f t="shared" si="34"/>
        <v>953.91293071535506</v>
      </c>
      <c r="H136" s="89">
        <f t="shared" si="34"/>
        <v>977.44293974274206</v>
      </c>
      <c r="I136" s="89">
        <f t="shared" si="34"/>
        <v>999.68923495794911</v>
      </c>
      <c r="J136" s="89">
        <f t="shared" si="34"/>
        <v>1020.7483420321049</v>
      </c>
      <c r="K136" s="89">
        <f t="shared" si="34"/>
        <v>1040.9828988842498</v>
      </c>
      <c r="L136" s="89">
        <f t="shared" si="34"/>
        <v>1062.2507553185615</v>
      </c>
      <c r="M136" s="89">
        <f t="shared" si="34"/>
        <v>1083.4611624074391</v>
      </c>
      <c r="N136" s="89">
        <f t="shared" si="34"/>
        <v>1104.0955664899507</v>
      </c>
      <c r="O136" s="89">
        <f t="shared" si="34"/>
        <v>1123.9410006596536</v>
      </c>
      <c r="P136" s="89">
        <f t="shared" si="34"/>
        <v>1142.8757774544208</v>
      </c>
      <c r="Q136" s="89">
        <f t="shared" si="34"/>
        <v>1161.2290109130681</v>
      </c>
      <c r="R136" s="89">
        <f t="shared" si="34"/>
        <v>1179.3784010191991</v>
      </c>
      <c r="S136" s="89">
        <f t="shared" si="34"/>
        <v>1197.384504067177</v>
      </c>
      <c r="T136" s="89">
        <f t="shared" si="34"/>
        <v>1214.9645314240415</v>
      </c>
      <c r="U136" s="89">
        <f t="shared" si="34"/>
        <v>1232.1697844868718</v>
      </c>
      <c r="V136" s="89">
        <f t="shared" si="34"/>
        <v>1249.6950312938432</v>
      </c>
      <c r="W136" s="89">
        <f t="shared" si="34"/>
        <v>1266.9694447974209</v>
      </c>
      <c r="X136" s="89">
        <f t="shared" si="34"/>
        <v>1283.8312988191249</v>
      </c>
      <c r="Y136" s="89">
        <f t="shared" si="34"/>
        <v>1300.2558064175616</v>
      </c>
      <c r="Z136" s="89">
        <f t="shared" si="34"/>
        <v>1316.5210158389636</v>
      </c>
      <c r="AA136" s="89">
        <f t="shared" si="34"/>
        <v>1332.5663176615508</v>
      </c>
      <c r="AB136" s="89">
        <f t="shared" si="34"/>
        <v>1348.2786290374906</v>
      </c>
      <c r="AC136" s="89">
        <f t="shared" si="34"/>
        <v>1363.5698480263422</v>
      </c>
      <c r="AD136" s="89">
        <f t="shared" si="34"/>
        <v>1378.3515894964264</v>
      </c>
      <c r="AE136" s="89">
        <f t="shared" si="34"/>
        <v>1392.5584531602017</v>
      </c>
      <c r="AF136" s="89">
        <f t="shared" si="34"/>
        <v>1406.1310103693138</v>
      </c>
      <c r="AG136" s="89">
        <f t="shared" si="35"/>
        <v>1419.1196802935629</v>
      </c>
      <c r="AH136" s="89">
        <f t="shared" si="35"/>
        <v>1431.7820286862045</v>
      </c>
      <c r="AI136" s="89">
        <f t="shared" si="35"/>
        <v>1444.1472463394248</v>
      </c>
      <c r="AJ136" s="89">
        <f t="shared" si="35"/>
        <v>1456.3121296783645</v>
      </c>
      <c r="AK136" s="89">
        <f t="shared" si="35"/>
        <v>1467.9893568828045</v>
      </c>
      <c r="AL136" s="89">
        <f t="shared" si="35"/>
        <v>1478.95889675176</v>
      </c>
      <c r="AM136" s="89">
        <f t="shared" si="35"/>
        <v>1489.0711980280287</v>
      </c>
      <c r="AN136" s="89">
        <f t="shared" si="35"/>
        <v>1498.4147527153627</v>
      </c>
      <c r="AO136" s="89">
        <f t="shared" si="35"/>
        <v>1507.0093437227131</v>
      </c>
      <c r="AP136" s="89">
        <f t="shared" si="35"/>
        <v>1514.8186726645263</v>
      </c>
      <c r="AQ136" s="89">
        <f t="shared" si="36"/>
        <v>1522.1568524587678</v>
      </c>
      <c r="AR136" s="89">
        <f t="shared" si="37"/>
        <v>1529.3766464961275</v>
      </c>
      <c r="AS136" s="89">
        <f t="shared" si="38"/>
        <v>1536.7618198319935</v>
      </c>
      <c r="AT136" s="89">
        <f t="shared" si="39"/>
        <v>1542.5185624473011</v>
      </c>
      <c r="AU136" s="89">
        <f t="shared" si="40"/>
        <v>1547.0059433159333</v>
      </c>
      <c r="AV136" s="89">
        <f t="shared" si="41"/>
        <v>1550.5038567030322</v>
      </c>
      <c r="AW136" s="89">
        <f t="shared" si="42"/>
        <v>1553.2304801882756</v>
      </c>
      <c r="AX136" s="89">
        <f t="shared" si="43"/>
        <v>1555.3558831950229</v>
      </c>
      <c r="AY136" s="89">
        <f t="shared" si="44"/>
        <v>1557.0126348387821</v>
      </c>
      <c r="AZ136" s="89">
        <f t="shared" si="45"/>
        <v>1558.3040727450928</v>
      </c>
      <c r="BA136" s="89">
        <f t="shared" si="46"/>
        <v>1559.310748593062</v>
      </c>
      <c r="BB136" s="89">
        <f t="shared" si="46"/>
        <v>1560.0954524165538</v>
      </c>
    </row>
    <row r="137" spans="2:54" ht="29">
      <c r="B137" s="6" t="s">
        <v>107</v>
      </c>
      <c r="D137" s="89">
        <f t="shared" si="34"/>
        <v>550.00488049273201</v>
      </c>
      <c r="E137" s="89">
        <f t="shared" si="34"/>
        <v>571.14675074295508</v>
      </c>
      <c r="F137" s="89">
        <f t="shared" si="34"/>
        <v>589.4051364120761</v>
      </c>
      <c r="G137" s="89">
        <f t="shared" si="34"/>
        <v>605.61517534710947</v>
      </c>
      <c r="H137" s="89">
        <f t="shared" si="34"/>
        <v>620.55378251364994</v>
      </c>
      <c r="I137" s="89">
        <f t="shared" si="34"/>
        <v>634.67739227274797</v>
      </c>
      <c r="J137" s="89">
        <f t="shared" si="34"/>
        <v>648.04728632985461</v>
      </c>
      <c r="K137" s="89">
        <f t="shared" si="34"/>
        <v>660.89369432108811</v>
      </c>
      <c r="L137" s="89">
        <f t="shared" si="34"/>
        <v>674.39611806333039</v>
      </c>
      <c r="M137" s="89">
        <f t="shared" si="34"/>
        <v>687.8620686702493</v>
      </c>
      <c r="N137" s="89">
        <f t="shared" si="34"/>
        <v>700.96232954756226</v>
      </c>
      <c r="O137" s="89">
        <f t="shared" si="34"/>
        <v>713.56169339674625</v>
      </c>
      <c r="P137" s="89">
        <f t="shared" si="34"/>
        <v>725.58290392811182</v>
      </c>
      <c r="Q137" s="89">
        <f t="shared" si="34"/>
        <v>737.23490731474146</v>
      </c>
      <c r="R137" s="89">
        <f t="shared" si="34"/>
        <v>748.7574957163107</v>
      </c>
      <c r="S137" s="89">
        <f t="shared" si="34"/>
        <v>760.18911479137819</v>
      </c>
      <c r="T137" s="89">
        <f t="shared" si="34"/>
        <v>771.35022919450341</v>
      </c>
      <c r="U137" s="89">
        <f t="shared" si="34"/>
        <v>782.27340888420883</v>
      </c>
      <c r="V137" s="89">
        <f t="shared" si="34"/>
        <v>793.39974450275008</v>
      </c>
      <c r="W137" s="89">
        <f t="shared" si="34"/>
        <v>804.36683240577531</v>
      </c>
      <c r="X137" s="89">
        <f t="shared" si="34"/>
        <v>815.07199673599746</v>
      </c>
      <c r="Y137" s="89">
        <f t="shared" si="34"/>
        <v>825.49950089170454</v>
      </c>
      <c r="Z137" s="89">
        <f t="shared" si="34"/>
        <v>835.82587066678752</v>
      </c>
      <c r="AA137" s="89">
        <f t="shared" ref="AA137:AF137" si="47">(INDEX($C$58:$C$75,MATCH($B137,$B$58:$B$75,0))*Z$13)+AA111</f>
        <v>846.01262667343508</v>
      </c>
      <c r="AB137" s="89">
        <f t="shared" si="47"/>
        <v>855.98797547378342</v>
      </c>
      <c r="AC137" s="89">
        <f t="shared" si="47"/>
        <v>865.69598337578316</v>
      </c>
      <c r="AD137" s="89">
        <f t="shared" si="47"/>
        <v>875.08053689643555</v>
      </c>
      <c r="AE137" s="89">
        <f t="shared" si="47"/>
        <v>884.10011504851866</v>
      </c>
      <c r="AF137" s="89">
        <f t="shared" si="47"/>
        <v>892.7169880873829</v>
      </c>
      <c r="AG137" s="89">
        <f t="shared" si="35"/>
        <v>900.96316586778153</v>
      </c>
      <c r="AH137" s="89">
        <f t="shared" si="35"/>
        <v>909.00217036724359</v>
      </c>
      <c r="AI137" s="89">
        <f t="shared" si="35"/>
        <v>916.85253408088397</v>
      </c>
      <c r="AJ137" s="89">
        <f t="shared" si="35"/>
        <v>924.57571060902296</v>
      </c>
      <c r="AK137" s="89">
        <f t="shared" si="35"/>
        <v>931.98928660036802</v>
      </c>
      <c r="AL137" s="89">
        <f t="shared" si="35"/>
        <v>938.95356981459463</v>
      </c>
      <c r="AM137" s="89">
        <f t="shared" si="35"/>
        <v>945.37361394377695</v>
      </c>
      <c r="AN137" s="89">
        <f t="shared" si="35"/>
        <v>951.3056003212879</v>
      </c>
      <c r="AO137" s="89">
        <f t="shared" si="35"/>
        <v>956.76208861529801</v>
      </c>
      <c r="AP137" s="89">
        <f t="shared" si="35"/>
        <v>961.72003389956296</v>
      </c>
      <c r="AQ137" s="89">
        <f t="shared" si="36"/>
        <v>966.37885851522822</v>
      </c>
      <c r="AR137" s="89">
        <f t="shared" si="37"/>
        <v>970.96252301029551</v>
      </c>
      <c r="AS137" s="89">
        <f t="shared" si="38"/>
        <v>975.65118263609111</v>
      </c>
      <c r="AT137" s="89">
        <f t="shared" si="39"/>
        <v>979.30599281439856</v>
      </c>
      <c r="AU137" s="89">
        <f t="shared" si="40"/>
        <v>982.15491734838929</v>
      </c>
      <c r="AV137" s="89">
        <f t="shared" si="41"/>
        <v>984.3756540226351</v>
      </c>
      <c r="AW137" s="89">
        <f t="shared" si="42"/>
        <v>986.10671826020962</v>
      </c>
      <c r="AX137" s="89">
        <f t="shared" si="43"/>
        <v>987.45608283339902</v>
      </c>
      <c r="AY137" s="89">
        <f t="shared" si="44"/>
        <v>988.50791251819999</v>
      </c>
      <c r="AZ137" s="89">
        <f t="shared" si="45"/>
        <v>989.32781375750244</v>
      </c>
      <c r="BA137" s="89">
        <f t="shared" si="46"/>
        <v>989.96692677353883</v>
      </c>
      <c r="BB137" s="89">
        <f t="shared" si="46"/>
        <v>990.46511536953903</v>
      </c>
    </row>
    <row r="138" spans="2:54">
      <c r="B138" s="6" t="s">
        <v>2863</v>
      </c>
      <c r="D138" s="89">
        <f t="shared" ref="D138:AF146" si="48">(INDEX($C$58:$C$75,MATCH($B138,$B$58:$B$75,0))*C$13)+D112</f>
        <v>714.61589557141485</v>
      </c>
      <c r="E138" s="89">
        <f t="shared" si="48"/>
        <v>744.71692292299088</v>
      </c>
      <c r="F138" s="89">
        <f t="shared" si="48"/>
        <v>771.17262467281068</v>
      </c>
      <c r="G138" s="89">
        <f t="shared" si="48"/>
        <v>795.05429056737967</v>
      </c>
      <c r="H138" s="89">
        <f t="shared" si="48"/>
        <v>817.36155781830121</v>
      </c>
      <c r="I138" s="89">
        <f t="shared" si="48"/>
        <v>838.68138366063022</v>
      </c>
      <c r="J138" s="89">
        <f t="shared" si="48"/>
        <v>859.08949129487337</v>
      </c>
      <c r="K138" s="89">
        <f t="shared" si="48"/>
        <v>878.88140950924776</v>
      </c>
      <c r="L138" s="89">
        <f t="shared" si="48"/>
        <v>899.58714861579506</v>
      </c>
      <c r="M138" s="89">
        <f t="shared" si="48"/>
        <v>920.31010349506948</v>
      </c>
      <c r="N138" s="89">
        <f t="shared" si="48"/>
        <v>940.62235177295975</v>
      </c>
      <c r="O138" s="89">
        <f t="shared" si="48"/>
        <v>957.71486556878654</v>
      </c>
      <c r="P138" s="89">
        <f t="shared" si="48"/>
        <v>974.01531721003641</v>
      </c>
      <c r="Q138" s="89">
        <f t="shared" si="48"/>
        <v>989.80621869363404</v>
      </c>
      <c r="R138" s="89">
        <f t="shared" si="48"/>
        <v>1005.407163766372</v>
      </c>
      <c r="S138" s="89">
        <f t="shared" si="48"/>
        <v>1020.8735686918068</v>
      </c>
      <c r="T138" s="89">
        <f t="shared" si="48"/>
        <v>1035.9756292255076</v>
      </c>
      <c r="U138" s="89">
        <f t="shared" si="48"/>
        <v>1050.7579752086797</v>
      </c>
      <c r="V138" s="89">
        <f t="shared" si="48"/>
        <v>1065.7950776211644</v>
      </c>
      <c r="W138" s="89">
        <f t="shared" si="48"/>
        <v>1080.613902200696</v>
      </c>
      <c r="X138" s="89">
        <f t="shared" si="48"/>
        <v>1095.0804557837944</v>
      </c>
      <c r="Y138" s="89">
        <f t="shared" si="48"/>
        <v>1109.1747884488998</v>
      </c>
      <c r="Z138" s="89">
        <f t="shared" si="48"/>
        <v>1123.127326532091</v>
      </c>
      <c r="AA138" s="89">
        <f t="shared" si="48"/>
        <v>1136.8903565350834</v>
      </c>
      <c r="AB138" s="89">
        <f t="shared" si="48"/>
        <v>1150.3716964887826</v>
      </c>
      <c r="AC138" s="89">
        <f t="shared" si="48"/>
        <v>1163.4982799932823</v>
      </c>
      <c r="AD138" s="89">
        <f t="shared" si="48"/>
        <v>1176.1963554718304</v>
      </c>
      <c r="AE138" s="89">
        <f t="shared" si="48"/>
        <v>1188.4117217687135</v>
      </c>
      <c r="AF138" s="89">
        <f t="shared" si="48"/>
        <v>1200.0947491497034</v>
      </c>
      <c r="AG138" s="89">
        <f t="shared" si="35"/>
        <v>1211.2841288428835</v>
      </c>
      <c r="AH138" s="89">
        <f t="shared" si="35"/>
        <v>1222.1913116229696</v>
      </c>
      <c r="AI138" s="89">
        <f t="shared" si="35"/>
        <v>1232.8406385407263</v>
      </c>
      <c r="AJ138" s="89">
        <f t="shared" si="35"/>
        <v>1243.3123815810638</v>
      </c>
      <c r="AK138" s="89">
        <f t="shared" si="35"/>
        <v>1253.3694082280595</v>
      </c>
      <c r="AL138" s="89">
        <f t="shared" si="35"/>
        <v>1262.829404402416</v>
      </c>
      <c r="AM138" s="89">
        <f t="shared" si="35"/>
        <v>1271.5678690968227</v>
      </c>
      <c r="AN138" s="89">
        <f t="shared" si="35"/>
        <v>1279.656473288577</v>
      </c>
      <c r="AO138" s="89">
        <f t="shared" si="35"/>
        <v>1287.1107480535366</v>
      </c>
      <c r="AP138" s="89">
        <f t="shared" si="35"/>
        <v>1293.9002225299087</v>
      </c>
      <c r="AQ138" s="89">
        <f t="shared" si="36"/>
        <v>1300.2835456361033</v>
      </c>
      <c r="AR138" s="89">
        <f t="shared" si="37"/>
        <v>1306.5520495571432</v>
      </c>
      <c r="AS138" s="89">
        <f t="shared" si="38"/>
        <v>1312.9404398698243</v>
      </c>
      <c r="AT138" s="89">
        <f t="shared" si="39"/>
        <v>1317.9704320472842</v>
      </c>
      <c r="AU138" s="89">
        <f t="shared" si="40"/>
        <v>1321.9338791010464</v>
      </c>
      <c r="AV138" s="89">
        <f t="shared" si="41"/>
        <v>1325.059287431176</v>
      </c>
      <c r="AW138" s="89">
        <f t="shared" si="42"/>
        <v>1327.5257727973155</v>
      </c>
      <c r="AX138" s="89">
        <f t="shared" si="43"/>
        <v>1329.4738842381239</v>
      </c>
      <c r="AY138" s="89">
        <f t="shared" si="44"/>
        <v>1331.0134851045568</v>
      </c>
      <c r="AZ138" s="89">
        <f t="shared" si="45"/>
        <v>1332.2306686975912</v>
      </c>
      <c r="BA138" s="89">
        <f t="shared" si="46"/>
        <v>1333.1931566705471</v>
      </c>
      <c r="BB138" s="89">
        <f t="shared" si="46"/>
        <v>1333.9533098527231</v>
      </c>
    </row>
    <row r="139" spans="2:54">
      <c r="B139" s="6" t="s">
        <v>2862</v>
      </c>
      <c r="D139" s="89">
        <f t="shared" si="48"/>
        <v>1429.2317911428297</v>
      </c>
      <c r="E139" s="89">
        <f t="shared" si="48"/>
        <v>1489.4338458459818</v>
      </c>
      <c r="F139" s="89">
        <f t="shared" si="48"/>
        <v>1542.3452493456214</v>
      </c>
      <c r="G139" s="89">
        <f t="shared" si="48"/>
        <v>1590.1085811347593</v>
      </c>
      <c r="H139" s="89">
        <f t="shared" si="48"/>
        <v>1634.7231156366024</v>
      </c>
      <c r="I139" s="89">
        <f t="shared" si="48"/>
        <v>1677.3627673212604</v>
      </c>
      <c r="J139" s="89">
        <f t="shared" si="48"/>
        <v>1718.1789825897467</v>
      </c>
      <c r="K139" s="89">
        <f t="shared" si="48"/>
        <v>1757.7628190184955</v>
      </c>
      <c r="L139" s="89">
        <f t="shared" si="48"/>
        <v>1799.1742972315901</v>
      </c>
      <c r="M139" s="89">
        <f t="shared" si="48"/>
        <v>1840.620206990139</v>
      </c>
      <c r="N139" s="89">
        <f t="shared" si="48"/>
        <v>1881.2447035459195</v>
      </c>
      <c r="O139" s="89">
        <f t="shared" si="48"/>
        <v>1915.4297311375731</v>
      </c>
      <c r="P139" s="89">
        <f t="shared" si="48"/>
        <v>1948.0306344200728</v>
      </c>
      <c r="Q139" s="89">
        <f t="shared" si="48"/>
        <v>1979.6124373872681</v>
      </c>
      <c r="R139" s="89">
        <f t="shared" si="48"/>
        <v>2010.8143275327441</v>
      </c>
      <c r="S139" s="89">
        <f t="shared" si="48"/>
        <v>2041.7471373836136</v>
      </c>
      <c r="T139" s="89">
        <f t="shared" si="48"/>
        <v>2071.9512584510153</v>
      </c>
      <c r="U139" s="89">
        <f t="shared" si="48"/>
        <v>2101.5159504173594</v>
      </c>
      <c r="V139" s="89">
        <f t="shared" si="48"/>
        <v>2131.5901552423288</v>
      </c>
      <c r="W139" s="89">
        <f t="shared" si="48"/>
        <v>2161.2278044013919</v>
      </c>
      <c r="X139" s="89">
        <f t="shared" si="48"/>
        <v>2190.1609115675888</v>
      </c>
      <c r="Y139" s="89">
        <f t="shared" si="48"/>
        <v>2218.3495768977996</v>
      </c>
      <c r="Z139" s="89">
        <f t="shared" si="48"/>
        <v>2246.2546530641821</v>
      </c>
      <c r="AA139" s="89">
        <f t="shared" si="48"/>
        <v>2273.7807130701667</v>
      </c>
      <c r="AB139" s="89">
        <f t="shared" si="48"/>
        <v>2300.7433929775652</v>
      </c>
      <c r="AC139" s="89">
        <f t="shared" si="48"/>
        <v>2326.9965599865645</v>
      </c>
      <c r="AD139" s="89">
        <f t="shared" si="48"/>
        <v>2352.3927109436609</v>
      </c>
      <c r="AE139" s="89">
        <f t="shared" si="48"/>
        <v>2376.823443537427</v>
      </c>
      <c r="AF139" s="89">
        <f t="shared" si="48"/>
        <v>2400.1894982994068</v>
      </c>
      <c r="AG139" s="89">
        <f t="shared" si="35"/>
        <v>2422.5682576857671</v>
      </c>
      <c r="AH139" s="89">
        <f t="shared" si="35"/>
        <v>2444.3826232459392</v>
      </c>
      <c r="AI139" s="89">
        <f t="shared" si="35"/>
        <v>2465.6812770814527</v>
      </c>
      <c r="AJ139" s="89">
        <f t="shared" si="35"/>
        <v>2486.6247631621277</v>
      </c>
      <c r="AK139" s="89">
        <f t="shared" si="35"/>
        <v>2506.7388164561189</v>
      </c>
      <c r="AL139" s="89">
        <f t="shared" si="35"/>
        <v>2525.658808804832</v>
      </c>
      <c r="AM139" s="89">
        <f t="shared" si="35"/>
        <v>2543.1357381936455</v>
      </c>
      <c r="AN139" s="89">
        <f t="shared" si="35"/>
        <v>2559.312946577154</v>
      </c>
      <c r="AO139" s="89">
        <f t="shared" si="35"/>
        <v>2574.2214961070731</v>
      </c>
      <c r="AP139" s="89">
        <f t="shared" si="35"/>
        <v>2587.8004450598173</v>
      </c>
      <c r="AQ139" s="89">
        <f t="shared" si="36"/>
        <v>2600.5670912722067</v>
      </c>
      <c r="AR139" s="89">
        <f t="shared" si="37"/>
        <v>2613.1040991142863</v>
      </c>
      <c r="AS139" s="89">
        <f t="shared" si="38"/>
        <v>2625.8808797396487</v>
      </c>
      <c r="AT139" s="89">
        <f t="shared" si="39"/>
        <v>2635.9408640945685</v>
      </c>
      <c r="AU139" s="89">
        <f t="shared" si="40"/>
        <v>2643.8677582020928</v>
      </c>
      <c r="AV139" s="89">
        <f t="shared" si="41"/>
        <v>2650.118574862352</v>
      </c>
      <c r="AW139" s="89">
        <f t="shared" si="42"/>
        <v>2655.0515455946311</v>
      </c>
      <c r="AX139" s="89">
        <f t="shared" si="43"/>
        <v>2658.9477684762478</v>
      </c>
      <c r="AY139" s="89">
        <f t="shared" si="44"/>
        <v>2662.0269702091136</v>
      </c>
      <c r="AZ139" s="89">
        <f t="shared" si="45"/>
        <v>2664.4613373951825</v>
      </c>
      <c r="BA139" s="89">
        <f t="shared" si="46"/>
        <v>2666.3863133410941</v>
      </c>
      <c r="BB139" s="89">
        <f t="shared" si="46"/>
        <v>2667.9066197054462</v>
      </c>
    </row>
    <row r="140" spans="2:54">
      <c r="B140" s="6" t="s">
        <v>131</v>
      </c>
      <c r="D140" s="89">
        <f t="shared" si="48"/>
        <v>0</v>
      </c>
      <c r="E140" s="89">
        <f t="shared" si="48"/>
        <v>0</v>
      </c>
      <c r="F140" s="89">
        <f t="shared" si="48"/>
        <v>0</v>
      </c>
      <c r="G140" s="89">
        <f t="shared" si="48"/>
        <v>0</v>
      </c>
      <c r="H140" s="89">
        <f t="shared" si="48"/>
        <v>0</v>
      </c>
      <c r="I140" s="89">
        <f t="shared" si="48"/>
        <v>0</v>
      </c>
      <c r="J140" s="89">
        <f t="shared" si="48"/>
        <v>0</v>
      </c>
      <c r="K140" s="89">
        <f t="shared" si="48"/>
        <v>0</v>
      </c>
      <c r="L140" s="89">
        <f t="shared" si="48"/>
        <v>0</v>
      </c>
      <c r="M140" s="89">
        <f t="shared" si="48"/>
        <v>0</v>
      </c>
      <c r="N140" s="89">
        <f t="shared" si="48"/>
        <v>0</v>
      </c>
      <c r="O140" s="89">
        <f t="shared" si="48"/>
        <v>0</v>
      </c>
      <c r="P140" s="89">
        <f t="shared" si="48"/>
        <v>0</v>
      </c>
      <c r="Q140" s="89">
        <f t="shared" si="48"/>
        <v>0</v>
      </c>
      <c r="R140" s="89">
        <f t="shared" si="48"/>
        <v>0</v>
      </c>
      <c r="S140" s="89">
        <f t="shared" si="48"/>
        <v>0</v>
      </c>
      <c r="T140" s="89">
        <f t="shared" si="48"/>
        <v>0</v>
      </c>
      <c r="U140" s="89">
        <f t="shared" si="48"/>
        <v>0</v>
      </c>
      <c r="V140" s="89">
        <f t="shared" si="48"/>
        <v>0</v>
      </c>
      <c r="W140" s="89">
        <f t="shared" si="48"/>
        <v>0</v>
      </c>
      <c r="X140" s="89">
        <f t="shared" si="48"/>
        <v>0</v>
      </c>
      <c r="Y140" s="89">
        <f t="shared" si="48"/>
        <v>0</v>
      </c>
      <c r="Z140" s="89">
        <f t="shared" si="48"/>
        <v>0</v>
      </c>
      <c r="AA140" s="89">
        <f t="shared" si="48"/>
        <v>0</v>
      </c>
      <c r="AB140" s="89">
        <f t="shared" si="48"/>
        <v>0</v>
      </c>
      <c r="AC140" s="89">
        <f t="shared" si="48"/>
        <v>0</v>
      </c>
      <c r="AD140" s="89">
        <f t="shared" si="48"/>
        <v>0</v>
      </c>
      <c r="AE140" s="89">
        <f t="shared" si="48"/>
        <v>0</v>
      </c>
      <c r="AF140" s="89">
        <f t="shared" si="48"/>
        <v>0</v>
      </c>
      <c r="AG140" s="89">
        <f t="shared" si="35"/>
        <v>0</v>
      </c>
      <c r="AH140" s="89">
        <f t="shared" si="35"/>
        <v>0</v>
      </c>
      <c r="AI140" s="89">
        <f t="shared" si="35"/>
        <v>0</v>
      </c>
      <c r="AJ140" s="89">
        <f t="shared" si="35"/>
        <v>0</v>
      </c>
      <c r="AK140" s="89">
        <f t="shared" si="35"/>
        <v>0</v>
      </c>
      <c r="AL140" s="89">
        <f t="shared" si="35"/>
        <v>0</v>
      </c>
      <c r="AM140" s="89">
        <f t="shared" si="35"/>
        <v>0</v>
      </c>
      <c r="AN140" s="89">
        <f t="shared" si="35"/>
        <v>0</v>
      </c>
      <c r="AO140" s="89">
        <f t="shared" si="35"/>
        <v>0</v>
      </c>
      <c r="AP140" s="89">
        <f t="shared" si="35"/>
        <v>0</v>
      </c>
      <c r="AQ140" s="89">
        <f t="shared" si="36"/>
        <v>0</v>
      </c>
      <c r="AR140" s="89">
        <f t="shared" si="37"/>
        <v>0</v>
      </c>
      <c r="AS140" s="89">
        <f t="shared" si="38"/>
        <v>0</v>
      </c>
      <c r="AT140" s="89">
        <f t="shared" si="39"/>
        <v>0</v>
      </c>
      <c r="AU140" s="89">
        <f t="shared" si="40"/>
        <v>0</v>
      </c>
      <c r="AV140" s="89">
        <f t="shared" si="41"/>
        <v>0</v>
      </c>
      <c r="AW140" s="89">
        <f t="shared" si="42"/>
        <v>0</v>
      </c>
      <c r="AX140" s="89">
        <f t="shared" si="43"/>
        <v>0</v>
      </c>
      <c r="AY140" s="89">
        <f t="shared" si="44"/>
        <v>0</v>
      </c>
      <c r="AZ140" s="89">
        <f t="shared" si="45"/>
        <v>0</v>
      </c>
      <c r="BA140" s="89">
        <f t="shared" si="46"/>
        <v>0</v>
      </c>
      <c r="BB140" s="89">
        <f t="shared" si="46"/>
        <v>0</v>
      </c>
    </row>
    <row r="141" spans="2:54" ht="29">
      <c r="B141" s="6" t="s">
        <v>2869</v>
      </c>
      <c r="D141" s="89">
        <f t="shared" si="48"/>
        <v>455.72558021311977</v>
      </c>
      <c r="E141" s="89">
        <f t="shared" si="48"/>
        <v>473.24340856028249</v>
      </c>
      <c r="F141" s="89">
        <f t="shared" si="48"/>
        <v>488.3720259561149</v>
      </c>
      <c r="G141" s="89">
        <f t="shared" si="48"/>
        <v>501.80341476911462</v>
      </c>
      <c r="H141" s="89">
        <f t="shared" si="48"/>
        <v>514.18131478419912</v>
      </c>
      <c r="I141" s="89">
        <f t="shared" si="48"/>
        <v>525.88392048908372</v>
      </c>
      <c r="J141" s="89">
        <f t="shared" si="48"/>
        <v>536.96200896187031</v>
      </c>
      <c r="K141" s="89">
        <f t="shared" si="48"/>
        <v>547.60634493615214</v>
      </c>
      <c r="L141" s="89">
        <f t="shared" si="48"/>
        <v>558.79424546660584</v>
      </c>
      <c r="M141" s="89">
        <f t="shared" si="48"/>
        <v>569.95192491839828</v>
      </c>
      <c r="N141" s="89">
        <f t="shared" si="48"/>
        <v>580.80659948766436</v>
      </c>
      <c r="O141" s="89">
        <f t="shared" si="48"/>
        <v>591.24623848748854</v>
      </c>
      <c r="P141" s="89">
        <f t="shared" si="48"/>
        <v>601.20682854509448</v>
      </c>
      <c r="Q141" s="89">
        <f t="shared" si="48"/>
        <v>610.86149924412518</v>
      </c>
      <c r="R141" s="89">
        <f t="shared" si="48"/>
        <v>620.40893867804027</v>
      </c>
      <c r="S141" s="89">
        <f t="shared" si="48"/>
        <v>629.88100232789975</v>
      </c>
      <c r="T141" s="89">
        <f t="shared" si="48"/>
        <v>639.12892996925541</v>
      </c>
      <c r="U141" s="89">
        <f t="shared" si="48"/>
        <v>648.17970856853537</v>
      </c>
      <c r="V141" s="89">
        <f t="shared" si="48"/>
        <v>657.39881904417894</v>
      </c>
      <c r="W141" s="89">
        <f t="shared" si="48"/>
        <v>666.48597931333313</v>
      </c>
      <c r="X141" s="89">
        <f t="shared" si="48"/>
        <v>675.3561137406798</v>
      </c>
      <c r="Y141" s="89">
        <f t="shared" si="48"/>
        <v>683.99618322020353</v>
      </c>
      <c r="Z141" s="89">
        <f t="shared" si="48"/>
        <v>692.55245430825084</v>
      </c>
      <c r="AA141" s="89">
        <f t="shared" si="48"/>
        <v>700.99304357622236</v>
      </c>
      <c r="AB141" s="89">
        <f t="shared" si="48"/>
        <v>709.25846408629934</v>
      </c>
      <c r="AC141" s="89">
        <f t="shared" si="48"/>
        <v>717.30237004198625</v>
      </c>
      <c r="AD141" s="89">
        <f t="shared" si="48"/>
        <v>725.07826667477423</v>
      </c>
      <c r="AE141" s="89">
        <f t="shared" si="48"/>
        <v>732.55175033359785</v>
      </c>
      <c r="AF141" s="89">
        <f t="shared" si="48"/>
        <v>739.69155873264549</v>
      </c>
      <c r="AG141" s="89">
        <f t="shared" si="35"/>
        <v>746.52421474498124</v>
      </c>
      <c r="AH141" s="89">
        <f t="shared" si="35"/>
        <v>753.18521016482396</v>
      </c>
      <c r="AI141" s="89">
        <f t="shared" si="35"/>
        <v>759.6899007324381</v>
      </c>
      <c r="AJ141" s="89">
        <f t="shared" si="35"/>
        <v>766.0892059553687</v>
      </c>
      <c r="AK141" s="89">
        <f t="shared" si="35"/>
        <v>772.23198093780707</v>
      </c>
      <c r="AL141" s="89">
        <f t="shared" si="35"/>
        <v>778.00247883907775</v>
      </c>
      <c r="AM141" s="89">
        <f t="shared" si="35"/>
        <v>783.32202860951679</v>
      </c>
      <c r="AN141" s="89">
        <f t="shared" si="35"/>
        <v>788.23718123740923</v>
      </c>
      <c r="AO141" s="89">
        <f t="shared" si="35"/>
        <v>792.75834347052637</v>
      </c>
      <c r="AP141" s="89">
        <f t="shared" si="35"/>
        <v>796.86642063760951</v>
      </c>
      <c r="AQ141" s="89">
        <f t="shared" si="36"/>
        <v>800.72665102171663</v>
      </c>
      <c r="AR141" s="89">
        <f t="shared" si="37"/>
        <v>804.52460488649956</v>
      </c>
      <c r="AS141" s="89">
        <f t="shared" si="38"/>
        <v>808.40955610088383</v>
      </c>
      <c r="AT141" s="89">
        <f t="shared" si="39"/>
        <v>811.43787557249618</v>
      </c>
      <c r="AU141" s="89">
        <f t="shared" si="40"/>
        <v>813.79845060061814</v>
      </c>
      <c r="AV141" s="89">
        <f t="shared" si="41"/>
        <v>815.63851883503912</v>
      </c>
      <c r="AW141" s="89">
        <f t="shared" si="42"/>
        <v>817.07285202377034</v>
      </c>
      <c r="AX141" s="89">
        <f t="shared" si="43"/>
        <v>818.19091474438619</v>
      </c>
      <c r="AY141" s="89">
        <f t="shared" si="44"/>
        <v>819.0624446351062</v>
      </c>
      <c r="AZ141" s="89">
        <f t="shared" si="45"/>
        <v>819.74180218492256</v>
      </c>
      <c r="BA141" s="89">
        <f t="shared" si="46"/>
        <v>820.27136139500453</v>
      </c>
      <c r="BB141" s="89">
        <f t="shared" si="46"/>
        <v>820.6841527992633</v>
      </c>
    </row>
    <row r="142" spans="2:54" ht="29">
      <c r="B142" s="6" t="s">
        <v>2870</v>
      </c>
      <c r="D142" s="89">
        <f t="shared" si="48"/>
        <v>258.19517450386161</v>
      </c>
      <c r="E142" s="89">
        <f t="shared" si="48"/>
        <v>268.1200480317184</v>
      </c>
      <c r="F142" s="89">
        <f t="shared" si="48"/>
        <v>276.69129392643515</v>
      </c>
      <c r="G142" s="89">
        <f t="shared" si="48"/>
        <v>284.30096064029374</v>
      </c>
      <c r="H142" s="89">
        <f t="shared" si="48"/>
        <v>291.31376438260622</v>
      </c>
      <c r="I142" s="89">
        <f t="shared" si="48"/>
        <v>297.9439744329386</v>
      </c>
      <c r="J142" s="89">
        <f t="shared" si="48"/>
        <v>304.22035897352708</v>
      </c>
      <c r="K142" s="89">
        <f t="shared" si="48"/>
        <v>310.25099737454065</v>
      </c>
      <c r="L142" s="89">
        <f t="shared" si="48"/>
        <v>316.58959686338534</v>
      </c>
      <c r="M142" s="89">
        <f t="shared" si="48"/>
        <v>322.91107434500151</v>
      </c>
      <c r="N142" s="89">
        <f t="shared" si="48"/>
        <v>329.06088185258892</v>
      </c>
      <c r="O142" s="89">
        <f t="shared" si="48"/>
        <v>334.97554745476208</v>
      </c>
      <c r="P142" s="89">
        <f t="shared" si="48"/>
        <v>340.61880383480178</v>
      </c>
      <c r="Q142" s="89">
        <f t="shared" si="48"/>
        <v>346.08873901980456</v>
      </c>
      <c r="R142" s="89">
        <f t="shared" si="48"/>
        <v>351.4979214263571</v>
      </c>
      <c r="S142" s="89">
        <f t="shared" si="48"/>
        <v>356.8643990461639</v>
      </c>
      <c r="T142" s="89">
        <f t="shared" si="48"/>
        <v>362.10389051829554</v>
      </c>
      <c r="U142" s="89">
        <f t="shared" si="48"/>
        <v>367.23168553639414</v>
      </c>
      <c r="V142" s="89">
        <f t="shared" si="48"/>
        <v>372.45485040002978</v>
      </c>
      <c r="W142" s="89">
        <f t="shared" si="48"/>
        <v>377.60325776031362</v>
      </c>
      <c r="X142" s="89">
        <f t="shared" si="48"/>
        <v>382.628707297885</v>
      </c>
      <c r="Y142" s="89">
        <f t="shared" si="48"/>
        <v>387.52381159716066</v>
      </c>
      <c r="Z142" s="89">
        <f t="shared" si="48"/>
        <v>392.3714392103563</v>
      </c>
      <c r="AA142" s="89">
        <f t="shared" si="48"/>
        <v>397.15352631185317</v>
      </c>
      <c r="AB142" s="89">
        <f t="shared" si="48"/>
        <v>401.83637007486749</v>
      </c>
      <c r="AC142" s="89">
        <f t="shared" si="48"/>
        <v>406.39371289716411</v>
      </c>
      <c r="AD142" s="89">
        <f t="shared" si="48"/>
        <v>410.79921277515604</v>
      </c>
      <c r="AE142" s="89">
        <f t="shared" si="48"/>
        <v>415.0333780299116</v>
      </c>
      <c r="AF142" s="89">
        <f t="shared" si="48"/>
        <v>419.07849674950194</v>
      </c>
      <c r="AG142" s="89">
        <f t="shared" si="35"/>
        <v>422.94959569155577</v>
      </c>
      <c r="AH142" s="89">
        <f t="shared" si="35"/>
        <v>426.72343887584975</v>
      </c>
      <c r="AI142" s="89">
        <f t="shared" si="35"/>
        <v>430.40872622665717</v>
      </c>
      <c r="AJ142" s="89">
        <f t="shared" si="35"/>
        <v>434.03430662081752</v>
      </c>
      <c r="AK142" s="89">
        <f t="shared" si="35"/>
        <v>437.514547641712</v>
      </c>
      <c r="AL142" s="89">
        <f t="shared" si="35"/>
        <v>440.78387193967217</v>
      </c>
      <c r="AM142" s="89">
        <f t="shared" si="35"/>
        <v>443.79770776740463</v>
      </c>
      <c r="AN142" s="89">
        <f t="shared" si="35"/>
        <v>446.58242898028527</v>
      </c>
      <c r="AO142" s="89">
        <f t="shared" si="35"/>
        <v>449.143931609113</v>
      </c>
      <c r="AP142" s="89">
        <f t="shared" si="35"/>
        <v>451.47139740669746</v>
      </c>
      <c r="AQ142" s="89">
        <f t="shared" si="36"/>
        <v>453.65844351717374</v>
      </c>
      <c r="AR142" s="89">
        <f t="shared" si="37"/>
        <v>455.81020633991596</v>
      </c>
      <c r="AS142" s="89">
        <f t="shared" si="38"/>
        <v>458.01125824546813</v>
      </c>
      <c r="AT142" s="89">
        <f t="shared" si="39"/>
        <v>459.72697820584591</v>
      </c>
      <c r="AU142" s="89">
        <f t="shared" si="40"/>
        <v>461.06438191496045</v>
      </c>
      <c r="AV142" s="89">
        <f t="shared" si="41"/>
        <v>462.10688810621519</v>
      </c>
      <c r="AW142" s="89">
        <f t="shared" si="42"/>
        <v>462.9195216822983</v>
      </c>
      <c r="AX142" s="89">
        <f t="shared" si="43"/>
        <v>463.55296955485505</v>
      </c>
      <c r="AY142" s="89">
        <f t="shared" si="44"/>
        <v>464.04674217151296</v>
      </c>
      <c r="AZ142" s="89">
        <f t="shared" si="45"/>
        <v>464.43163792619788</v>
      </c>
      <c r="BA142" s="89">
        <f t="shared" si="46"/>
        <v>464.73166416697478</v>
      </c>
      <c r="BB142" s="89">
        <f t="shared" si="46"/>
        <v>464.96553462166037</v>
      </c>
    </row>
    <row r="143" spans="2:54">
      <c r="B143" s="6" t="s">
        <v>102</v>
      </c>
      <c r="D143" s="89">
        <f t="shared" si="48"/>
        <v>1.3902817088669472</v>
      </c>
      <c r="E143" s="89">
        <f t="shared" si="48"/>
        <v>6.7069326619802769</v>
      </c>
      <c r="F143" s="89">
        <f t="shared" si="48"/>
        <v>12.218609580521472</v>
      </c>
      <c r="G143" s="89">
        <f t="shared" si="48"/>
        <v>17.899830315942655</v>
      </c>
      <c r="H143" s="89">
        <f t="shared" si="48"/>
        <v>23.732957302991863</v>
      </c>
      <c r="I143" s="89">
        <f t="shared" si="48"/>
        <v>29.706977477216011</v>
      </c>
      <c r="J143" s="89">
        <f t="shared" si="48"/>
        <v>35.814246718952155</v>
      </c>
      <c r="K143" s="89">
        <f t="shared" si="48"/>
        <v>42.048134397110282</v>
      </c>
      <c r="L143" s="89">
        <f t="shared" si="48"/>
        <v>48.40661257160815</v>
      </c>
      <c r="M143" s="89">
        <f t="shared" si="48"/>
        <v>54.894208463339709</v>
      </c>
      <c r="N143" s="89">
        <f t="shared" si="48"/>
        <v>61.509740865413285</v>
      </c>
      <c r="O143" s="89">
        <f t="shared" si="48"/>
        <v>62.986159253072117</v>
      </c>
      <c r="P143" s="89">
        <f t="shared" si="48"/>
        <v>64.379369660280531</v>
      </c>
      <c r="Q143" s="89">
        <f t="shared" si="48"/>
        <v>65.711960859408777</v>
      </c>
      <c r="R143" s="89">
        <f t="shared" si="48"/>
        <v>67.000607323949481</v>
      </c>
      <c r="S143" s="89">
        <f t="shared" si="48"/>
        <v>68.256334635486439</v>
      </c>
      <c r="T143" s="89">
        <f t="shared" si="48"/>
        <v>69.485617475913671</v>
      </c>
      <c r="U143" s="89">
        <f t="shared" si="48"/>
        <v>70.693162207500635</v>
      </c>
      <c r="V143" s="89">
        <f t="shared" si="48"/>
        <v>71.882816353911821</v>
      </c>
      <c r="W143" s="89">
        <f t="shared" si="48"/>
        <v>73.049330254098805</v>
      </c>
      <c r="X143" s="89">
        <f t="shared" si="48"/>
        <v>74.191269490459405</v>
      </c>
      <c r="Y143" s="89">
        <f t="shared" si="48"/>
        <v>75.309587263071151</v>
      </c>
      <c r="Z143" s="89">
        <f t="shared" si="48"/>
        <v>76.406866026968018</v>
      </c>
      <c r="AA143" s="89">
        <f t="shared" si="48"/>
        <v>77.487573294016229</v>
      </c>
      <c r="AB143" s="89">
        <f t="shared" si="48"/>
        <v>78.553724655231903</v>
      </c>
      <c r="AC143" s="89">
        <f t="shared" si="48"/>
        <v>79.604394108263904</v>
      </c>
      <c r="AD143" s="89">
        <f t="shared" si="48"/>
        <v>80.637752043800418</v>
      </c>
      <c r="AE143" s="89">
        <f t="shared" si="48"/>
        <v>81.653186810408172</v>
      </c>
      <c r="AF143" s="89">
        <f t="shared" si="48"/>
        <v>82.64938733511228</v>
      </c>
      <c r="AG143" s="89">
        <f t="shared" si="35"/>
        <v>83.620636812693348</v>
      </c>
      <c r="AH143" s="89">
        <f t="shared" si="35"/>
        <v>84.565325164591783</v>
      </c>
      <c r="AI143" s="89">
        <f t="shared" si="35"/>
        <v>85.48402316326235</v>
      </c>
      <c r="AJ143" s="89">
        <f t="shared" si="35"/>
        <v>86.377738009755262</v>
      </c>
      <c r="AK143" s="89">
        <f t="shared" si="35"/>
        <v>87.245759297081023</v>
      </c>
      <c r="AL143" s="89">
        <f t="shared" si="35"/>
        <v>88.086107247332535</v>
      </c>
      <c r="AM143" s="89">
        <f t="shared" si="35"/>
        <v>88.896265439802889</v>
      </c>
      <c r="AN143" s="89">
        <f t="shared" si="35"/>
        <v>89.673726141765613</v>
      </c>
      <c r="AO143" s="89">
        <f t="shared" si="35"/>
        <v>90.41694594779463</v>
      </c>
      <c r="AP143" s="89">
        <f t="shared" si="35"/>
        <v>91.124808971203791</v>
      </c>
      <c r="AQ143" s="89">
        <f t="shared" si="36"/>
        <v>91.796902194426124</v>
      </c>
      <c r="AR143" s="89">
        <f t="shared" si="37"/>
        <v>92.434476661455392</v>
      </c>
      <c r="AS143" s="89">
        <f t="shared" si="38"/>
        <v>93.039251046945097</v>
      </c>
      <c r="AT143" s="89">
        <f t="shared" si="39"/>
        <v>93.611156537884426</v>
      </c>
      <c r="AU143" s="89">
        <f t="shared" si="40"/>
        <v>94.142093170936008</v>
      </c>
      <c r="AV143" s="89">
        <f t="shared" si="41"/>
        <v>94.6277609798436</v>
      </c>
      <c r="AW143" s="89">
        <f t="shared" si="42"/>
        <v>95.066798182494352</v>
      </c>
      <c r="AX143" s="89">
        <f t="shared" si="43"/>
        <v>95.459999877765568</v>
      </c>
      <c r="AY143" s="89">
        <f t="shared" si="44"/>
        <v>95.808596595875329</v>
      </c>
      <c r="AZ143" s="89">
        <f t="shared" si="45"/>
        <v>96.114457172941783</v>
      </c>
      <c r="BA143" s="89">
        <f t="shared" si="46"/>
        <v>96.38026221713578</v>
      </c>
      <c r="BB143" s="89">
        <f t="shared" si="46"/>
        <v>96.607244863599277</v>
      </c>
    </row>
    <row r="144" spans="2:54">
      <c r="B144" s="6" t="s">
        <v>2831</v>
      </c>
      <c r="D144" s="89">
        <f t="shared" si="48"/>
        <v>16752.432492482167</v>
      </c>
      <c r="E144" s="89">
        <f t="shared" si="48"/>
        <v>17491.124099120814</v>
      </c>
      <c r="F144" s="89">
        <f t="shared" si="48"/>
        <v>18145.630185168582</v>
      </c>
      <c r="G144" s="89">
        <f t="shared" si="48"/>
        <v>18740.891284787322</v>
      </c>
      <c r="H144" s="89">
        <f t="shared" si="48"/>
        <v>19300.218390607883</v>
      </c>
      <c r="I144" s="89">
        <f t="shared" si="48"/>
        <v>19837.294896141706</v>
      </c>
      <c r="J144" s="89">
        <f t="shared" si="48"/>
        <v>20353.846979886588</v>
      </c>
      <c r="K144" s="89">
        <f t="shared" si="48"/>
        <v>20856.757310029447</v>
      </c>
      <c r="L144" s="89">
        <f t="shared" si="48"/>
        <v>21381.861806140714</v>
      </c>
      <c r="M144" s="89">
        <f t="shared" si="48"/>
        <v>21908.181156469924</v>
      </c>
      <c r="N144" s="89">
        <f t="shared" si="48"/>
        <v>22425.681569772158</v>
      </c>
      <c r="O144" s="89">
        <f t="shared" si="48"/>
        <v>22835.444050238566</v>
      </c>
      <c r="P144" s="89">
        <f t="shared" si="48"/>
        <v>23226.125295632741</v>
      </c>
      <c r="Q144" s="89">
        <f t="shared" si="48"/>
        <v>23604.486625224974</v>
      </c>
      <c r="R144" s="89">
        <f t="shared" si="48"/>
        <v>23978.121026008557</v>
      </c>
      <c r="S144" s="89">
        <f t="shared" si="48"/>
        <v>24348.396213884316</v>
      </c>
      <c r="T144" s="89">
        <f t="shared" si="48"/>
        <v>24709.968489087965</v>
      </c>
      <c r="U144" s="89">
        <f t="shared" si="48"/>
        <v>25063.913122743103</v>
      </c>
      <c r="V144" s="89">
        <f t="shared" si="48"/>
        <v>25423.714347386998</v>
      </c>
      <c r="W144" s="89">
        <f t="shared" si="48"/>
        <v>25778.255815269669</v>
      </c>
      <c r="X144" s="89">
        <f t="shared" si="48"/>
        <v>26124.389005679921</v>
      </c>
      <c r="Y144" s="89">
        <f t="shared" si="48"/>
        <v>26461.652475832852</v>
      </c>
      <c r="Z144" s="89">
        <f t="shared" si="48"/>
        <v>26795.461423869772</v>
      </c>
      <c r="AA144" s="89">
        <f t="shared" si="48"/>
        <v>27124.725983757537</v>
      </c>
      <c r="AB144" s="89">
        <f t="shared" si="48"/>
        <v>27447.298968081788</v>
      </c>
      <c r="AC144" s="89">
        <f t="shared" si="48"/>
        <v>27761.462586339854</v>
      </c>
      <c r="AD144" s="89">
        <f t="shared" si="48"/>
        <v>28065.477315085998</v>
      </c>
      <c r="AE144" s="89">
        <f t="shared" si="48"/>
        <v>28358.069358582055</v>
      </c>
      <c r="AF144" s="89">
        <f t="shared" si="48"/>
        <v>28638.067635313771</v>
      </c>
      <c r="AG144" s="89">
        <f t="shared" si="35"/>
        <v>28906.342764843015</v>
      </c>
      <c r="AH144" s="89">
        <f t="shared" si="35"/>
        <v>29167.838992062512</v>
      </c>
      <c r="AI144" s="89">
        <f t="shared" si="35"/>
        <v>29423.13022332286</v>
      </c>
      <c r="AJ144" s="89">
        <f t="shared" si="35"/>
        <v>29674.103588767404</v>
      </c>
      <c r="AK144" s="89">
        <f t="shared" si="35"/>
        <v>29915.198527669669</v>
      </c>
      <c r="AL144" s="89">
        <f t="shared" si="35"/>
        <v>30142.130916240334</v>
      </c>
      <c r="AM144" s="89">
        <f t="shared" si="35"/>
        <v>30351.967838028766</v>
      </c>
      <c r="AN144" s="89">
        <f t="shared" si="35"/>
        <v>30546.372807870885</v>
      </c>
      <c r="AO144" s="89">
        <f t="shared" si="35"/>
        <v>30725.700024145972</v>
      </c>
      <c r="AP144" s="89">
        <f t="shared" si="35"/>
        <v>30889.228530985129</v>
      </c>
      <c r="AQ144" s="89">
        <f t="shared" si="36"/>
        <v>31043.01596525178</v>
      </c>
      <c r="AR144" s="89">
        <f t="shared" si="37"/>
        <v>31193.896202265161</v>
      </c>
      <c r="AS144" s="89">
        <f t="shared" si="38"/>
        <v>31347.379275527954</v>
      </c>
      <c r="AT144" s="89">
        <f t="shared" si="39"/>
        <v>31468.828040570392</v>
      </c>
      <c r="AU144" s="89">
        <f t="shared" si="40"/>
        <v>31565.029806372535</v>
      </c>
      <c r="AV144" s="89">
        <f t="shared" si="41"/>
        <v>31641.311531477299</v>
      </c>
      <c r="AW144" s="89">
        <f t="shared" si="42"/>
        <v>31701.86140081739</v>
      </c>
      <c r="AX144" s="89">
        <f t="shared" si="43"/>
        <v>31749.977523492475</v>
      </c>
      <c r="AY144" s="89">
        <f t="shared" si="44"/>
        <v>31788.241769057331</v>
      </c>
      <c r="AZ144" s="89">
        <f t="shared" si="45"/>
        <v>31818.683078310536</v>
      </c>
      <c r="BA144" s="89">
        <f t="shared" si="46"/>
        <v>31842.905039912086</v>
      </c>
      <c r="BB144" s="89">
        <f t="shared" si="46"/>
        <v>31862.142236041745</v>
      </c>
    </row>
    <row r="145" spans="2:54">
      <c r="B145" s="6" t="s">
        <v>2832</v>
      </c>
      <c r="D145" s="89">
        <f t="shared" si="48"/>
        <v>6771.1579232378554</v>
      </c>
      <c r="E145" s="89">
        <f t="shared" si="48"/>
        <v>7094.5958387279125</v>
      </c>
      <c r="F145" s="89">
        <f t="shared" si="48"/>
        <v>7384.9627014894559</v>
      </c>
      <c r="G145" s="89">
        <f t="shared" si="48"/>
        <v>7652.2088480533657</v>
      </c>
      <c r="H145" s="89">
        <f t="shared" si="48"/>
        <v>7905.6637290760737</v>
      </c>
      <c r="I145" s="89">
        <f t="shared" si="48"/>
        <v>8150.8005458118423</v>
      </c>
      <c r="J145" s="89">
        <f t="shared" si="48"/>
        <v>8388.2801543636524</v>
      </c>
      <c r="K145" s="89">
        <f t="shared" si="48"/>
        <v>8620.8503806440076</v>
      </c>
      <c r="L145" s="89">
        <f t="shared" si="48"/>
        <v>8862.9720608273019</v>
      </c>
      <c r="M145" s="89">
        <f t="shared" si="48"/>
        <v>9106.1952360210798</v>
      </c>
      <c r="N145" s="89">
        <f t="shared" si="48"/>
        <v>9346.4627037914452</v>
      </c>
      <c r="O145" s="89">
        <f t="shared" si="48"/>
        <v>9518.9094102921081</v>
      </c>
      <c r="P145" s="89">
        <f t="shared" si="48"/>
        <v>9683.2574624551344</v>
      </c>
      <c r="Q145" s="89">
        <f t="shared" si="48"/>
        <v>9842.3439420643535</v>
      </c>
      <c r="R145" s="89">
        <f t="shared" si="48"/>
        <v>9999.3137712850548</v>
      </c>
      <c r="S145" s="89">
        <f t="shared" si="48"/>
        <v>10154.771398764848</v>
      </c>
      <c r="T145" s="89">
        <f t="shared" si="48"/>
        <v>10306.589691305286</v>
      </c>
      <c r="U145" s="89">
        <f t="shared" si="48"/>
        <v>10455.225108896475</v>
      </c>
      <c r="V145" s="89">
        <f t="shared" si="48"/>
        <v>10606.140747416732</v>
      </c>
      <c r="W145" s="89">
        <f t="shared" si="48"/>
        <v>10754.823020990027</v>
      </c>
      <c r="X145" s="89">
        <f t="shared" si="48"/>
        <v>10899.993779677487</v>
      </c>
      <c r="Y145" s="89">
        <f t="shared" si="48"/>
        <v>11041.471204548296</v>
      </c>
      <c r="Z145" s="89">
        <f t="shared" si="48"/>
        <v>11181.454154882311</v>
      </c>
      <c r="AA145" s="89">
        <f t="shared" si="48"/>
        <v>11319.523684932685</v>
      </c>
      <c r="AB145" s="89">
        <f t="shared" si="48"/>
        <v>11454.82230425458</v>
      </c>
      <c r="AC145" s="89">
        <f t="shared" si="48"/>
        <v>11586.651992916912</v>
      </c>
      <c r="AD145" s="89">
        <f t="shared" si="48"/>
        <v>11714.301679736678</v>
      </c>
      <c r="AE145" s="89">
        <f t="shared" si="48"/>
        <v>11837.254115873815</v>
      </c>
      <c r="AF145" s="89">
        <f t="shared" si="48"/>
        <v>11955.030218746513</v>
      </c>
      <c r="AG145" s="89">
        <f t="shared" ref="AG145:AP146" si="49">(INDEX($C$58:$C$75,MATCH($B145,$B$58:$B$75,0))*AF$13)+AG119</f>
        <v>12067.9544918385</v>
      </c>
      <c r="AH145" s="89">
        <f t="shared" si="49"/>
        <v>12178.015787358923</v>
      </c>
      <c r="AI145" s="89">
        <f t="shared" si="49"/>
        <v>12285.448547587604</v>
      </c>
      <c r="AJ145" s="89">
        <f t="shared" si="49"/>
        <v>12391.019555474655</v>
      </c>
      <c r="AK145" s="89">
        <f t="shared" si="49"/>
        <v>12492.480112673638</v>
      </c>
      <c r="AL145" s="89">
        <f t="shared" si="49"/>
        <v>12588.090935834263</v>
      </c>
      <c r="AM145" s="89">
        <f t="shared" si="49"/>
        <v>12676.655815673321</v>
      </c>
      <c r="AN145" s="89">
        <f t="shared" si="49"/>
        <v>12758.834608523095</v>
      </c>
      <c r="AO145" s="89">
        <f t="shared" si="49"/>
        <v>12834.763035711465</v>
      </c>
      <c r="AP145" s="89">
        <f t="shared" si="49"/>
        <v>12904.144697531958</v>
      </c>
      <c r="AQ145" s="89">
        <f t="shared" si="36"/>
        <v>12969.423694453617</v>
      </c>
      <c r="AR145" s="89">
        <f t="shared" si="37"/>
        <v>13033.365443362049</v>
      </c>
      <c r="AS145" s="89">
        <f t="shared" si="38"/>
        <v>13098.203010645846</v>
      </c>
      <c r="AT145" s="89">
        <f t="shared" si="39"/>
        <v>13149.949700632966</v>
      </c>
      <c r="AU145" s="89">
        <f t="shared" si="40"/>
        <v>13191.3078811123</v>
      </c>
      <c r="AV145" s="89">
        <f t="shared" si="41"/>
        <v>13224.408215237267</v>
      </c>
      <c r="AW145" s="89">
        <f t="shared" si="42"/>
        <v>13250.935435434963</v>
      </c>
      <c r="AX145" s="89">
        <f t="shared" si="43"/>
        <v>13272.225069928731</v>
      </c>
      <c r="AY145" s="89">
        <f t="shared" si="44"/>
        <v>13289.325491976368</v>
      </c>
      <c r="AZ145" s="89">
        <f t="shared" si="45"/>
        <v>13303.064824186104</v>
      </c>
      <c r="BA145" s="89">
        <f t="shared" si="46"/>
        <v>13314.103274336041</v>
      </c>
      <c r="BB145" s="89">
        <f t="shared" si="46"/>
        <v>13322.945197602086</v>
      </c>
    </row>
    <row r="146" spans="2:54">
      <c r="B146" s="6" t="s">
        <v>2871</v>
      </c>
      <c r="D146" s="89">
        <f t="shared" si="48"/>
        <v>258.19517450386161</v>
      </c>
      <c r="E146" s="89">
        <f t="shared" si="48"/>
        <v>268.1200480317184</v>
      </c>
      <c r="F146" s="89">
        <f t="shared" si="48"/>
        <v>276.69129392643515</v>
      </c>
      <c r="G146" s="89">
        <f t="shared" si="48"/>
        <v>284.30096064029374</v>
      </c>
      <c r="H146" s="89">
        <f t="shared" si="48"/>
        <v>291.31376438260622</v>
      </c>
      <c r="I146" s="89">
        <f t="shared" si="48"/>
        <v>297.9439744329386</v>
      </c>
      <c r="J146" s="89">
        <f t="shared" si="48"/>
        <v>304.22035897352708</v>
      </c>
      <c r="K146" s="89">
        <f t="shared" si="48"/>
        <v>310.25099737454065</v>
      </c>
      <c r="L146" s="89">
        <f t="shared" si="48"/>
        <v>316.58959686338534</v>
      </c>
      <c r="M146" s="89">
        <f t="shared" si="48"/>
        <v>322.91107434500151</v>
      </c>
      <c r="N146" s="89">
        <f t="shared" si="48"/>
        <v>329.06088185258892</v>
      </c>
      <c r="O146" s="89">
        <f t="shared" si="48"/>
        <v>334.97554745476208</v>
      </c>
      <c r="P146" s="89">
        <f t="shared" si="48"/>
        <v>340.61880383480178</v>
      </c>
      <c r="Q146" s="89">
        <f t="shared" si="48"/>
        <v>346.08873901980456</v>
      </c>
      <c r="R146" s="89">
        <f t="shared" si="48"/>
        <v>351.4979214263571</v>
      </c>
      <c r="S146" s="89">
        <f t="shared" si="48"/>
        <v>356.8643990461639</v>
      </c>
      <c r="T146" s="89">
        <f t="shared" si="48"/>
        <v>362.10389051829554</v>
      </c>
      <c r="U146" s="89">
        <f t="shared" si="48"/>
        <v>367.23168553639414</v>
      </c>
      <c r="V146" s="89">
        <f t="shared" si="48"/>
        <v>372.45485040002978</v>
      </c>
      <c r="W146" s="89">
        <f t="shared" si="48"/>
        <v>377.60325776031362</v>
      </c>
      <c r="X146" s="89">
        <f t="shared" si="48"/>
        <v>382.628707297885</v>
      </c>
      <c r="Y146" s="89">
        <f t="shared" si="48"/>
        <v>387.52381159716066</v>
      </c>
      <c r="Z146" s="89">
        <f t="shared" si="48"/>
        <v>392.3714392103563</v>
      </c>
      <c r="AA146" s="89">
        <f t="shared" ref="AA146:AF146" si="50">(INDEX($C$58:$C$75,MATCH($B146,$B$58:$B$75,0))*Z$13)+AA120</f>
        <v>397.15352631185317</v>
      </c>
      <c r="AB146" s="89">
        <f t="shared" si="50"/>
        <v>401.83637007486749</v>
      </c>
      <c r="AC146" s="89">
        <f t="shared" si="50"/>
        <v>406.39371289716411</v>
      </c>
      <c r="AD146" s="89">
        <f t="shared" si="50"/>
        <v>410.79921277515604</v>
      </c>
      <c r="AE146" s="89">
        <f t="shared" si="50"/>
        <v>415.0333780299116</v>
      </c>
      <c r="AF146" s="89">
        <f t="shared" si="50"/>
        <v>419.07849674950194</v>
      </c>
      <c r="AG146" s="89">
        <f t="shared" si="49"/>
        <v>422.94959569155577</v>
      </c>
      <c r="AH146" s="89">
        <f t="shared" si="49"/>
        <v>426.72343887584975</v>
      </c>
      <c r="AI146" s="89">
        <f t="shared" si="49"/>
        <v>430.40872622665717</v>
      </c>
      <c r="AJ146" s="89">
        <f t="shared" si="49"/>
        <v>434.03430662081752</v>
      </c>
      <c r="AK146" s="89">
        <f t="shared" si="49"/>
        <v>437.514547641712</v>
      </c>
      <c r="AL146" s="89">
        <f t="shared" si="49"/>
        <v>440.78387193967217</v>
      </c>
      <c r="AM146" s="89">
        <f t="shared" si="49"/>
        <v>443.79770776740463</v>
      </c>
      <c r="AN146" s="89">
        <f t="shared" si="49"/>
        <v>446.58242898028527</v>
      </c>
      <c r="AO146" s="89">
        <f t="shared" si="49"/>
        <v>449.143931609113</v>
      </c>
      <c r="AP146" s="89">
        <f t="shared" si="49"/>
        <v>451.47139740669746</v>
      </c>
      <c r="AQ146" s="89">
        <f t="shared" si="36"/>
        <v>453.65844351717374</v>
      </c>
      <c r="AR146" s="89">
        <f t="shared" si="37"/>
        <v>455.81020633991596</v>
      </c>
      <c r="AS146" s="89">
        <f t="shared" si="38"/>
        <v>458.01125824546813</v>
      </c>
      <c r="AT146" s="89">
        <f t="shared" si="39"/>
        <v>459.72697820584591</v>
      </c>
      <c r="AU146" s="89">
        <f t="shared" si="40"/>
        <v>461.06438191496045</v>
      </c>
      <c r="AV146" s="89">
        <f t="shared" si="41"/>
        <v>462.10688810621519</v>
      </c>
      <c r="AW146" s="89">
        <f t="shared" si="42"/>
        <v>462.9195216822983</v>
      </c>
      <c r="AX146" s="89">
        <f t="shared" si="43"/>
        <v>463.55296955485505</v>
      </c>
      <c r="AY146" s="89">
        <f t="shared" si="44"/>
        <v>464.04674217151296</v>
      </c>
      <c r="AZ146" s="89">
        <f t="shared" si="45"/>
        <v>464.43163792619788</v>
      </c>
      <c r="BA146" s="89">
        <f t="shared" si="46"/>
        <v>464.73166416697478</v>
      </c>
      <c r="BB146" s="89">
        <f t="shared" si="46"/>
        <v>464.96553462166037</v>
      </c>
    </row>
    <row r="147" spans="2:54">
      <c r="B147" s="52"/>
      <c r="D147" s="116" t="b">
        <f t="shared" ref="D147:AF147" si="51">(SUM(D129:D146) - SUM(D103:D120))/C13=SUM($C$58:$C$75)</f>
        <v>1</v>
      </c>
      <c r="E147" s="116" t="b">
        <f t="shared" si="51"/>
        <v>1</v>
      </c>
      <c r="F147" s="116" t="b">
        <f t="shared" si="51"/>
        <v>1</v>
      </c>
      <c r="G147" s="116" t="b">
        <f t="shared" si="51"/>
        <v>1</v>
      </c>
      <c r="H147" s="116" t="b">
        <f t="shared" si="51"/>
        <v>1</v>
      </c>
      <c r="I147" s="116" t="b">
        <f t="shared" si="51"/>
        <v>1</v>
      </c>
      <c r="J147" s="116" t="b">
        <f t="shared" si="51"/>
        <v>1</v>
      </c>
      <c r="K147" s="116" t="b">
        <f t="shared" si="51"/>
        <v>1</v>
      </c>
      <c r="L147" s="116" t="b">
        <f t="shared" si="51"/>
        <v>1</v>
      </c>
      <c r="M147" s="116" t="b">
        <f t="shared" si="51"/>
        <v>1</v>
      </c>
      <c r="N147" s="116" t="b">
        <f t="shared" si="51"/>
        <v>1</v>
      </c>
      <c r="O147" s="116" t="b">
        <f t="shared" si="51"/>
        <v>1</v>
      </c>
      <c r="P147" s="116" t="b">
        <f t="shared" si="51"/>
        <v>1</v>
      </c>
      <c r="Q147" s="116" t="b">
        <f t="shared" si="51"/>
        <v>0</v>
      </c>
      <c r="R147" s="116" t="b">
        <f t="shared" si="51"/>
        <v>1</v>
      </c>
      <c r="S147" s="116" t="b">
        <f t="shared" si="51"/>
        <v>1</v>
      </c>
      <c r="T147" s="116" t="b">
        <f t="shared" si="51"/>
        <v>1</v>
      </c>
      <c r="U147" s="116" t="b">
        <f t="shared" si="51"/>
        <v>1</v>
      </c>
      <c r="V147" s="116" t="b">
        <f t="shared" si="51"/>
        <v>1</v>
      </c>
      <c r="W147" s="116" t="b">
        <f t="shared" si="51"/>
        <v>1</v>
      </c>
      <c r="X147" s="116" t="b">
        <f t="shared" si="51"/>
        <v>1</v>
      </c>
      <c r="Y147" s="116" t="b">
        <f t="shared" si="51"/>
        <v>1</v>
      </c>
      <c r="Z147" s="116" t="b">
        <f t="shared" si="51"/>
        <v>1</v>
      </c>
      <c r="AA147" s="116" t="b">
        <f t="shared" si="51"/>
        <v>1</v>
      </c>
      <c r="AB147" s="116" t="b">
        <f t="shared" si="51"/>
        <v>1</v>
      </c>
      <c r="AC147" s="116" t="b">
        <f t="shared" si="51"/>
        <v>1</v>
      </c>
      <c r="AD147" s="116" t="b">
        <f t="shared" si="51"/>
        <v>0</v>
      </c>
      <c r="AE147" s="116" t="b">
        <f t="shared" si="51"/>
        <v>1</v>
      </c>
      <c r="AF147" s="116" t="b">
        <f t="shared" si="51"/>
        <v>1</v>
      </c>
      <c r="AG147" s="116" t="b">
        <f t="shared" ref="AG147" si="52">(SUM(AG129:AG146) - SUM(AG103:AG120))/AF13=SUM($C$58:$C$75)</f>
        <v>1</v>
      </c>
      <c r="AH147" s="116" t="b">
        <f t="shared" ref="AH147" si="53">(SUM(AH129:AH146) - SUM(AH103:AH120))/AG13=SUM($C$58:$C$75)</f>
        <v>1</v>
      </c>
      <c r="AI147" s="116" t="b">
        <f t="shared" ref="AI147" si="54">(SUM(AI129:AI146) - SUM(AI103:AI120))/AH13=SUM($C$58:$C$75)</f>
        <v>1</v>
      </c>
      <c r="AJ147" s="116" t="b">
        <f t="shared" ref="AJ147" si="55">(SUM(AJ129:AJ146) - SUM(AJ103:AJ120))/AI13=SUM($C$58:$C$75)</f>
        <v>1</v>
      </c>
      <c r="AK147" s="116" t="b">
        <f t="shared" ref="AK147" si="56">(SUM(AK129:AK146) - SUM(AK103:AK120))/AJ13=SUM($C$58:$C$75)</f>
        <v>1</v>
      </c>
      <c r="AL147" s="116" t="b">
        <f t="shared" ref="AL147" si="57">(SUM(AL129:AL146) - SUM(AL103:AL120))/AK13=SUM($C$58:$C$75)</f>
        <v>1</v>
      </c>
      <c r="AM147" s="116" t="b">
        <f t="shared" ref="AM147" si="58">(SUM(AM129:AM146) - SUM(AM103:AM120))/AL13=SUM($C$58:$C$75)</f>
        <v>1</v>
      </c>
      <c r="AN147" s="116" t="b">
        <f t="shared" ref="AN147" si="59">(SUM(AN129:AN146) - SUM(AN103:AN120))/AM13=SUM($C$58:$C$75)</f>
        <v>1</v>
      </c>
      <c r="AO147" s="116" t="b">
        <f t="shared" ref="AO147:AP147" si="60">(SUM(AO129:AO146) - SUM(AO103:AO120))/AN13=SUM($C$58:$C$75)</f>
        <v>0</v>
      </c>
      <c r="AP147" s="116" t="b">
        <f t="shared" si="60"/>
        <v>1</v>
      </c>
      <c r="AQ147" s="116" t="b">
        <f t="shared" ref="AQ147" si="61">(SUM(AQ129:AQ146) - SUM(AQ103:AQ120))/AP13=SUM($C$58:$C$75)</f>
        <v>1</v>
      </c>
      <c r="AR147" s="116" t="b">
        <f t="shared" ref="AR147" si="62">(SUM(AR129:AR146) - SUM(AR103:AR120))/AQ13=SUM($C$58:$C$75)</f>
        <v>1</v>
      </c>
      <c r="AS147" s="116" t="b">
        <f t="shared" ref="AS147" si="63">(SUM(AS129:AS146) - SUM(AS103:AS120))/AR13=SUM($C$58:$C$75)</f>
        <v>1</v>
      </c>
      <c r="AT147" s="116" t="b">
        <f t="shared" ref="AT147" si="64">(SUM(AT129:AT146) - SUM(AT103:AT120))/AS13=SUM($C$58:$C$75)</f>
        <v>1</v>
      </c>
      <c r="AU147" s="116" t="b">
        <f t="shared" ref="AU147" si="65">(SUM(AU129:AU146) - SUM(AU103:AU120))/AT13=SUM($C$58:$C$75)</f>
        <v>1</v>
      </c>
      <c r="AV147" s="116" t="b">
        <f t="shared" ref="AV147" si="66">(SUM(AV129:AV146) - SUM(AV103:AV120))/AU13=SUM($C$58:$C$75)</f>
        <v>1</v>
      </c>
      <c r="AW147" s="116" t="b">
        <f t="shared" ref="AW147" si="67">(SUM(AW129:AW146) - SUM(AW103:AW120))/AV13=SUM($C$58:$C$75)</f>
        <v>1</v>
      </c>
      <c r="AX147" s="116" t="b">
        <f t="shared" ref="AX147" si="68">(SUM(AX129:AX146) - SUM(AX103:AX120))/AW13=SUM($C$58:$C$75)</f>
        <v>1</v>
      </c>
      <c r="AY147" s="116" t="b">
        <f t="shared" ref="AY147" si="69">(SUM(AY129:AY146) - SUM(AY103:AY120))/AX13=SUM($C$58:$C$75)</f>
        <v>1</v>
      </c>
      <c r="AZ147" s="116" t="b">
        <f t="shared" ref="AZ147" si="70">(SUM(AZ129:AZ146) - SUM(AZ103:AZ120))/AY13=SUM($C$58:$C$75)</f>
        <v>1</v>
      </c>
      <c r="BA147" s="116" t="b">
        <f t="shared" ref="BA147:BB147" si="71">(SUM(BA129:BA146) - SUM(BA103:BA120))/AZ13=SUM($C$58:$C$75)</f>
        <v>1</v>
      </c>
      <c r="BB147" s="116" t="b">
        <f t="shared" si="71"/>
        <v>1</v>
      </c>
    </row>
    <row r="148" spans="2:54">
      <c r="B148" s="113" t="s">
        <v>98</v>
      </c>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row>
    <row r="149" spans="2:54" ht="15" customHeight="1">
      <c r="B149" s="52"/>
      <c r="C149" s="52"/>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row>
    <row r="150" spans="2:54">
      <c r="B150" s="7" t="s">
        <v>9</v>
      </c>
      <c r="C150" s="52"/>
      <c r="D150" s="34">
        <f>'Prevalence projection'!C$21</f>
        <v>2020</v>
      </c>
      <c r="E150" s="34">
        <f>'Prevalence projection'!D$21</f>
        <v>2021</v>
      </c>
      <c r="F150" s="34">
        <f>'Prevalence projection'!E$21</f>
        <v>2022</v>
      </c>
      <c r="G150" s="34">
        <f>'Prevalence projection'!F$21</f>
        <v>2023</v>
      </c>
      <c r="H150" s="34">
        <f>'Prevalence projection'!G$21</f>
        <v>2024</v>
      </c>
      <c r="I150" s="34">
        <f>'Prevalence projection'!H$21</f>
        <v>2025</v>
      </c>
      <c r="J150" s="34">
        <f>'Prevalence projection'!I$21</f>
        <v>2026</v>
      </c>
      <c r="K150" s="34">
        <f>'Prevalence projection'!J$21</f>
        <v>2027</v>
      </c>
      <c r="L150" s="34">
        <f>'Prevalence projection'!K$21</f>
        <v>2028</v>
      </c>
      <c r="M150" s="34">
        <f>'Prevalence projection'!L$21</f>
        <v>2029</v>
      </c>
      <c r="N150" s="34">
        <f>'Prevalence projection'!M$21</f>
        <v>2030</v>
      </c>
      <c r="O150" s="34">
        <f>'Prevalence projection'!N$21</f>
        <v>2031</v>
      </c>
      <c r="P150" s="34">
        <f>'Prevalence projection'!O$21</f>
        <v>2032</v>
      </c>
      <c r="Q150" s="34">
        <f>'Prevalence projection'!P$21</f>
        <v>2033</v>
      </c>
      <c r="R150" s="34">
        <f>'Prevalence projection'!Q$21</f>
        <v>2034</v>
      </c>
      <c r="S150" s="34">
        <f>'Prevalence projection'!R$21</f>
        <v>2035</v>
      </c>
      <c r="T150" s="34">
        <f>'Prevalence projection'!S$21</f>
        <v>2036</v>
      </c>
      <c r="U150" s="34">
        <f>'Prevalence projection'!T$21</f>
        <v>2037</v>
      </c>
      <c r="V150" s="34">
        <f>'Prevalence projection'!U$21</f>
        <v>2038</v>
      </c>
      <c r="W150" s="34">
        <f>'Prevalence projection'!V$21</f>
        <v>2039</v>
      </c>
      <c r="X150" s="34">
        <f>'Prevalence projection'!W$21</f>
        <v>2040</v>
      </c>
      <c r="Y150" s="34">
        <f>'Prevalence projection'!X$21</f>
        <v>2041</v>
      </c>
      <c r="Z150" s="34">
        <f>'Prevalence projection'!Y$21</f>
        <v>2042</v>
      </c>
      <c r="AA150" s="34">
        <f>'Prevalence projection'!Z$21</f>
        <v>2043</v>
      </c>
      <c r="AB150" s="34">
        <f>'Prevalence projection'!AA$21</f>
        <v>2044</v>
      </c>
      <c r="AC150" s="34">
        <f>'Prevalence projection'!AB$21</f>
        <v>2045</v>
      </c>
      <c r="AD150" s="34">
        <f>'Prevalence projection'!AC$21</f>
        <v>2046</v>
      </c>
      <c r="AE150" s="34">
        <f>'Prevalence projection'!AD$21</f>
        <v>2047</v>
      </c>
      <c r="AF150" s="34">
        <f>'Prevalence projection'!AE$21</f>
        <v>2048</v>
      </c>
      <c r="AG150" s="34">
        <f>'Prevalence projection'!AF$21</f>
        <v>2049</v>
      </c>
      <c r="AH150" s="34">
        <f>'Prevalence projection'!AG$21</f>
        <v>2050</v>
      </c>
      <c r="AI150" s="34">
        <f>'Prevalence projection'!AH$21</f>
        <v>2051</v>
      </c>
      <c r="AJ150" s="34">
        <f>'Prevalence projection'!AI$21</f>
        <v>2052</v>
      </c>
      <c r="AK150" s="34">
        <f>'Prevalence projection'!AJ$21</f>
        <v>2053</v>
      </c>
      <c r="AL150" s="34">
        <f>'Prevalence projection'!AK$21</f>
        <v>2054</v>
      </c>
      <c r="AM150" s="34">
        <f>'Prevalence projection'!AL$21</f>
        <v>2055</v>
      </c>
      <c r="AN150" s="34">
        <f>'Prevalence projection'!AM$21</f>
        <v>2056</v>
      </c>
      <c r="AO150" s="34">
        <f>'Prevalence projection'!AN$21</f>
        <v>2057</v>
      </c>
      <c r="AP150" s="34">
        <f>'Prevalence projection'!AO$21</f>
        <v>2058</v>
      </c>
      <c r="AQ150" s="34">
        <f>'Prevalence projection'!AP$21</f>
        <v>2059</v>
      </c>
      <c r="AR150" s="34">
        <f>'Prevalence projection'!AQ$21</f>
        <v>2060</v>
      </c>
      <c r="AS150" s="34">
        <f>'Prevalence projection'!AR$21</f>
        <v>2061</v>
      </c>
      <c r="AT150" s="34">
        <f>'Prevalence projection'!AS$21</f>
        <v>2062</v>
      </c>
      <c r="AU150" s="34">
        <f>'Prevalence projection'!AT$21</f>
        <v>2063</v>
      </c>
      <c r="AV150" s="34">
        <f>'Prevalence projection'!AU$21</f>
        <v>2064</v>
      </c>
      <c r="AW150" s="34">
        <f>'Prevalence projection'!AV$21</f>
        <v>2065</v>
      </c>
      <c r="AX150" s="34">
        <f>'Prevalence projection'!AW$21</f>
        <v>2066</v>
      </c>
      <c r="AY150" s="34">
        <f>'Prevalence projection'!AX$21</f>
        <v>2067</v>
      </c>
      <c r="AZ150" s="34">
        <f>'Prevalence projection'!AY$21</f>
        <v>2068</v>
      </c>
      <c r="BA150" s="34">
        <f>'Prevalence projection'!AZ$21</f>
        <v>2069</v>
      </c>
      <c r="BB150" s="34">
        <f>'Prevalence projection'!BA$21</f>
        <v>2070</v>
      </c>
    </row>
    <row r="151" spans="2:54">
      <c r="B151" s="6" t="s">
        <v>11</v>
      </c>
      <c r="D151" s="89">
        <f t="shared" ref="D151:AF159" si="72">INDEX($D$58:$D$75,MATCH($B151,$B$58:$B$75,0))*C$14</f>
        <v>468.01164491449151</v>
      </c>
      <c r="E151" s="89">
        <f t="shared" si="72"/>
        <v>486.0017424996463</v>
      </c>
      <c r="F151" s="89">
        <f t="shared" si="72"/>
        <v>501.53821756298237</v>
      </c>
      <c r="G151" s="89">
        <f t="shared" si="72"/>
        <v>515.3317078667709</v>
      </c>
      <c r="H151" s="89">
        <f t="shared" si="72"/>
        <v>528.04330800108369</v>
      </c>
      <c r="I151" s="89">
        <f t="shared" si="72"/>
        <v>540.06140833060101</v>
      </c>
      <c r="J151" s="89">
        <f t="shared" si="72"/>
        <v>551.43815485036509</v>
      </c>
      <c r="K151" s="89">
        <f t="shared" si="72"/>
        <v>562.36945518688879</v>
      </c>
      <c r="L151" s="89">
        <f t="shared" si="72"/>
        <v>573.85897422584355</v>
      </c>
      <c r="M151" s="89">
        <f t="shared" si="72"/>
        <v>585.3174574455478</v>
      </c>
      <c r="N151" s="89">
        <f t="shared" si="72"/>
        <v>596.46476696852437</v>
      </c>
      <c r="O151" s="89">
        <f t="shared" si="72"/>
        <v>607.18585183353525</v>
      </c>
      <c r="P151" s="89">
        <f t="shared" si="72"/>
        <v>617.41497290898383</v>
      </c>
      <c r="Q151" s="89">
        <f t="shared" si="72"/>
        <v>627.32992723928078</v>
      </c>
      <c r="R151" s="89">
        <f t="shared" si="72"/>
        <v>637.13475941942397</v>
      </c>
      <c r="S151" s="89">
        <f t="shared" si="72"/>
        <v>646.86218373348686</v>
      </c>
      <c r="T151" s="89">
        <f t="shared" si="72"/>
        <v>656.35942947829903</v>
      </c>
      <c r="U151" s="89">
        <f t="shared" si="72"/>
        <v>665.65421117131916</v>
      </c>
      <c r="V151" s="89">
        <f t="shared" si="72"/>
        <v>675.12186285840824</v>
      </c>
      <c r="W151" s="89">
        <f t="shared" si="72"/>
        <v>684.45400704741678</v>
      </c>
      <c r="X151" s="89">
        <f t="shared" si="72"/>
        <v>693.56327451933214</v>
      </c>
      <c r="Y151" s="89">
        <f t="shared" si="72"/>
        <v>702.43627464233691</v>
      </c>
      <c r="Z151" s="89">
        <f t="shared" si="72"/>
        <v>711.22321722383231</v>
      </c>
      <c r="AA151" s="89">
        <f t="shared" si="72"/>
        <v>719.8913592787585</v>
      </c>
      <c r="AB151" s="89">
        <f t="shared" si="72"/>
        <v>728.37961014021346</v>
      </c>
      <c r="AC151" s="89">
        <f t="shared" si="72"/>
        <v>736.64037455922619</v>
      </c>
      <c r="AD151" s="89">
        <f t="shared" si="72"/>
        <v>744.62590429862405</v>
      </c>
      <c r="AE151" s="89">
        <f t="shared" si="72"/>
        <v>752.30086820732515</v>
      </c>
      <c r="AF151" s="89">
        <f t="shared" si="72"/>
        <v>759.6331611886626</v>
      </c>
      <c r="AG151" s="89">
        <f t="shared" ref="AG151:AP166" si="73">INDEX($D$58:$D$75,MATCH($B151,$B$58:$B$75,0))*AF$14</f>
        <v>766.65002115507639</v>
      </c>
      <c r="AH151" s="89">
        <f t="shared" si="73"/>
        <v>773.49059267127404</v>
      </c>
      <c r="AI151" s="89">
        <f t="shared" si="73"/>
        <v>780.17064545827179</v>
      </c>
      <c r="AJ151" s="89">
        <f t="shared" si="73"/>
        <v>786.74247178036046</v>
      </c>
      <c r="AK151" s="89">
        <f t="shared" si="73"/>
        <v>793.05085197382277</v>
      </c>
      <c r="AL151" s="89">
        <f t="shared" si="73"/>
        <v>798.97691873857707</v>
      </c>
      <c r="AM151" s="89">
        <f t="shared" si="73"/>
        <v>804.43988010472049</v>
      </c>
      <c r="AN151" s="89">
        <f t="shared" si="73"/>
        <v>809.48754204485124</v>
      </c>
      <c r="AO151" s="89">
        <f t="shared" si="73"/>
        <v>814.1305918658793</v>
      </c>
      <c r="AP151" s="89">
        <f t="shared" si="73"/>
        <v>818.34942011665066</v>
      </c>
      <c r="AQ151" s="89">
        <f t="shared" ref="AQ151:AQ168" si="74">INDEX($D$58:$D$75,MATCH($B151,$B$58:$B$75,0))*AP$14</f>
        <v>822.31371979666847</v>
      </c>
      <c r="AR151" s="89">
        <f t="shared" ref="AR151:AR168" si="75">INDEX($D$58:$D$75,MATCH($B151,$B$58:$B$75,0))*AQ$14</f>
        <v>826.21406402297941</v>
      </c>
      <c r="AS151" s="89">
        <f t="shared" ref="AS151:AS168" si="76">INDEX($D$58:$D$75,MATCH($B151,$B$58:$B$75,0))*AR$14</f>
        <v>830.20375099075125</v>
      </c>
      <c r="AT151" s="89">
        <f t="shared" ref="AT151:AT168" si="77">INDEX($D$58:$D$75,MATCH($B151,$B$58:$B$75,0))*AS$14</f>
        <v>833.31371198212912</v>
      </c>
      <c r="AU151" s="89">
        <f t="shared" ref="AU151:AU168" si="78">INDEX($D$58:$D$75,MATCH($B151,$B$58:$B$75,0))*AT$14</f>
        <v>835.73792657490844</v>
      </c>
      <c r="AV151" s="89">
        <f t="shared" ref="AV151:AV168" si="79">INDEX($D$58:$D$75,MATCH($B151,$B$58:$B$75,0))*AU$14</f>
        <v>837.62760184997978</v>
      </c>
      <c r="AW151" s="89">
        <f t="shared" ref="AW151:AW168" si="80">INDEX($D$58:$D$75,MATCH($B151,$B$58:$B$75,0))*AV$14</f>
        <v>839.10060372689793</v>
      </c>
      <c r="AX151" s="89">
        <f t="shared" ref="AX151:AX168" si="81">INDEX($D$58:$D$75,MATCH($B151,$B$58:$B$75,0))*AW$14</f>
        <v>840.24880868995547</v>
      </c>
      <c r="AY151" s="89">
        <f t="shared" ref="AY151:AY168" si="82">INDEX($D$58:$D$75,MATCH($B151,$B$58:$B$75,0))*AX$14</f>
        <v>841.14383445865894</v>
      </c>
      <c r="AZ151" s="89">
        <f t="shared" ref="AZ151:AZ168" si="83">INDEX($D$58:$D$75,MATCH($B151,$B$58:$B$75,0))*AY$14</f>
        <v>841.8415070453633</v>
      </c>
      <c r="BA151" s="89">
        <f t="shared" ref="BA151:BB168" si="84">INDEX($D$58:$D$75,MATCH($B151,$B$58:$B$75,0))*AZ$14</f>
        <v>842.38534282669934</v>
      </c>
      <c r="BB151" s="89">
        <f t="shared" si="84"/>
        <v>842.80926281825066</v>
      </c>
    </row>
    <row r="152" spans="2:54">
      <c r="B152" s="6" t="s">
        <v>14</v>
      </c>
      <c r="D152" s="89">
        <f t="shared" si="72"/>
        <v>0</v>
      </c>
      <c r="E152" s="89">
        <f t="shared" si="72"/>
        <v>0</v>
      </c>
      <c r="F152" s="89">
        <f t="shared" si="72"/>
        <v>0</v>
      </c>
      <c r="G152" s="89">
        <f t="shared" si="72"/>
        <v>0</v>
      </c>
      <c r="H152" s="89">
        <f t="shared" si="72"/>
        <v>0</v>
      </c>
      <c r="I152" s="89">
        <f t="shared" si="72"/>
        <v>0</v>
      </c>
      <c r="J152" s="89">
        <f t="shared" si="72"/>
        <v>0</v>
      </c>
      <c r="K152" s="89">
        <f t="shared" si="72"/>
        <v>0</v>
      </c>
      <c r="L152" s="89">
        <f t="shared" si="72"/>
        <v>0</v>
      </c>
      <c r="M152" s="89">
        <f t="shared" si="72"/>
        <v>0</v>
      </c>
      <c r="N152" s="89">
        <f t="shared" si="72"/>
        <v>0</v>
      </c>
      <c r="O152" s="89">
        <f t="shared" si="72"/>
        <v>0</v>
      </c>
      <c r="P152" s="89">
        <f t="shared" si="72"/>
        <v>0</v>
      </c>
      <c r="Q152" s="89">
        <f t="shared" si="72"/>
        <v>0</v>
      </c>
      <c r="R152" s="89">
        <f t="shared" si="72"/>
        <v>0</v>
      </c>
      <c r="S152" s="89">
        <f t="shared" si="72"/>
        <v>0</v>
      </c>
      <c r="T152" s="89">
        <f t="shared" si="72"/>
        <v>0</v>
      </c>
      <c r="U152" s="89">
        <f t="shared" si="72"/>
        <v>0</v>
      </c>
      <c r="V152" s="89">
        <f t="shared" si="72"/>
        <v>0</v>
      </c>
      <c r="W152" s="89">
        <f t="shared" si="72"/>
        <v>0</v>
      </c>
      <c r="X152" s="89">
        <f t="shared" si="72"/>
        <v>0</v>
      </c>
      <c r="Y152" s="89">
        <f t="shared" si="72"/>
        <v>0</v>
      </c>
      <c r="Z152" s="89">
        <f t="shared" si="72"/>
        <v>0</v>
      </c>
      <c r="AA152" s="89">
        <f t="shared" si="72"/>
        <v>0</v>
      </c>
      <c r="AB152" s="89">
        <f t="shared" si="72"/>
        <v>0</v>
      </c>
      <c r="AC152" s="89">
        <f t="shared" si="72"/>
        <v>0</v>
      </c>
      <c r="AD152" s="89">
        <f t="shared" si="72"/>
        <v>0</v>
      </c>
      <c r="AE152" s="89">
        <f t="shared" si="72"/>
        <v>0</v>
      </c>
      <c r="AF152" s="89">
        <f t="shared" si="72"/>
        <v>0</v>
      </c>
      <c r="AG152" s="89">
        <f t="shared" si="73"/>
        <v>0</v>
      </c>
      <c r="AH152" s="89">
        <f t="shared" si="73"/>
        <v>0</v>
      </c>
      <c r="AI152" s="89">
        <f t="shared" si="73"/>
        <v>0</v>
      </c>
      <c r="AJ152" s="89">
        <f t="shared" si="73"/>
        <v>0</v>
      </c>
      <c r="AK152" s="89">
        <f t="shared" si="73"/>
        <v>0</v>
      </c>
      <c r="AL152" s="89">
        <f t="shared" si="73"/>
        <v>0</v>
      </c>
      <c r="AM152" s="89">
        <f t="shared" si="73"/>
        <v>0</v>
      </c>
      <c r="AN152" s="89">
        <f t="shared" si="73"/>
        <v>0</v>
      </c>
      <c r="AO152" s="89">
        <f t="shared" si="73"/>
        <v>0</v>
      </c>
      <c r="AP152" s="89">
        <f t="shared" si="73"/>
        <v>0</v>
      </c>
      <c r="AQ152" s="89">
        <f t="shared" si="74"/>
        <v>0</v>
      </c>
      <c r="AR152" s="89">
        <f t="shared" si="75"/>
        <v>0</v>
      </c>
      <c r="AS152" s="89">
        <f t="shared" si="76"/>
        <v>0</v>
      </c>
      <c r="AT152" s="89">
        <f t="shared" si="77"/>
        <v>0</v>
      </c>
      <c r="AU152" s="89">
        <f t="shared" si="78"/>
        <v>0</v>
      </c>
      <c r="AV152" s="89">
        <f t="shared" si="79"/>
        <v>0</v>
      </c>
      <c r="AW152" s="89">
        <f t="shared" si="80"/>
        <v>0</v>
      </c>
      <c r="AX152" s="89">
        <f t="shared" si="81"/>
        <v>0</v>
      </c>
      <c r="AY152" s="89">
        <f t="shared" si="82"/>
        <v>0</v>
      </c>
      <c r="AZ152" s="89">
        <f t="shared" si="83"/>
        <v>0</v>
      </c>
      <c r="BA152" s="89">
        <f t="shared" si="84"/>
        <v>0</v>
      </c>
      <c r="BB152" s="89">
        <f t="shared" si="84"/>
        <v>0</v>
      </c>
    </row>
    <row r="153" spans="2:54">
      <c r="B153" s="6" t="s">
        <v>15</v>
      </c>
      <c r="D153" s="89">
        <f t="shared" si="72"/>
        <v>10.831445640429077</v>
      </c>
      <c r="E153" s="89">
        <f t="shared" si="72"/>
        <v>11.247800161041958</v>
      </c>
      <c r="F153" s="89">
        <f t="shared" si="72"/>
        <v>11.607369173738538</v>
      </c>
      <c r="G153" s="89">
        <f t="shared" si="72"/>
        <v>11.926599351108523</v>
      </c>
      <c r="H153" s="89">
        <f t="shared" si="72"/>
        <v>12.220790761415921</v>
      </c>
      <c r="I153" s="89">
        <f t="shared" si="72"/>
        <v>12.498932132116588</v>
      </c>
      <c r="J153" s="89">
        <f t="shared" si="72"/>
        <v>12.762230306067536</v>
      </c>
      <c r="K153" s="89">
        <f t="shared" si="72"/>
        <v>13.015219279014765</v>
      </c>
      <c r="L153" s="89">
        <f t="shared" si="72"/>
        <v>13.281127408133756</v>
      </c>
      <c r="M153" s="89">
        <f t="shared" si="72"/>
        <v>13.546317258567223</v>
      </c>
      <c r="N153" s="89">
        <f t="shared" si="72"/>
        <v>13.804305448491894</v>
      </c>
      <c r="O153" s="89">
        <f t="shared" si="72"/>
        <v>14.052429291527915</v>
      </c>
      <c r="P153" s="89">
        <f t="shared" si="72"/>
        <v>14.289167351535655</v>
      </c>
      <c r="Q153" s="89">
        <f t="shared" si="72"/>
        <v>14.518634481302414</v>
      </c>
      <c r="R153" s="89">
        <f t="shared" si="72"/>
        <v>14.745552994819647</v>
      </c>
      <c r="S153" s="89">
        <f t="shared" si="72"/>
        <v>14.970680016388545</v>
      </c>
      <c r="T153" s="89">
        <f t="shared" si="72"/>
        <v>15.190479891320125</v>
      </c>
      <c r="U153" s="89">
        <f t="shared" si="72"/>
        <v>15.405594031623188</v>
      </c>
      <c r="V153" s="89">
        <f t="shared" si="72"/>
        <v>15.62470899533303</v>
      </c>
      <c r="W153" s="89">
        <f t="shared" si="72"/>
        <v>15.84068783600987</v>
      </c>
      <c r="X153" s="89">
        <f t="shared" si="72"/>
        <v>16.05150852074776</v>
      </c>
      <c r="Y153" s="89">
        <f t="shared" si="72"/>
        <v>16.256861142940327</v>
      </c>
      <c r="Z153" s="89">
        <f t="shared" si="72"/>
        <v>16.460222089086074</v>
      </c>
      <c r="AA153" s="89">
        <f t="shared" si="72"/>
        <v>16.660833570641419</v>
      </c>
      <c r="AB153" s="89">
        <f t="shared" si="72"/>
        <v>16.857281733389534</v>
      </c>
      <c r="AC153" s="89">
        <f t="shared" si="72"/>
        <v>17.048465054841451</v>
      </c>
      <c r="AD153" s="89">
        <f t="shared" si="72"/>
        <v>17.233278471819826</v>
      </c>
      <c r="AE153" s="89">
        <f t="shared" si="72"/>
        <v>17.410904296460448</v>
      </c>
      <c r="AF153" s="89">
        <f t="shared" si="72"/>
        <v>17.580599503214476</v>
      </c>
      <c r="AG153" s="89">
        <f t="shared" si="73"/>
        <v>17.742994473763979</v>
      </c>
      <c r="AH153" s="89">
        <f t="shared" si="73"/>
        <v>17.901309505734389</v>
      </c>
      <c r="AI153" s="89">
        <f t="shared" si="73"/>
        <v>18.055909566275155</v>
      </c>
      <c r="AJ153" s="89">
        <f t="shared" si="73"/>
        <v>18.208004883431311</v>
      </c>
      <c r="AK153" s="89">
        <f t="shared" si="73"/>
        <v>18.354003124900558</v>
      </c>
      <c r="AL153" s="89">
        <f t="shared" si="73"/>
        <v>18.491153280717125</v>
      </c>
      <c r="AM153" s="89">
        <f t="shared" si="73"/>
        <v>18.617585538794717</v>
      </c>
      <c r="AN153" s="89">
        <f t="shared" si="73"/>
        <v>18.734406298512731</v>
      </c>
      <c r="AO153" s="89">
        <f t="shared" si="73"/>
        <v>18.841862901972796</v>
      </c>
      <c r="AP153" s="89">
        <f t="shared" si="73"/>
        <v>18.939501517082228</v>
      </c>
      <c r="AQ153" s="89">
        <f t="shared" si="74"/>
        <v>19.031249440350948</v>
      </c>
      <c r="AR153" s="89">
        <f t="shared" si="75"/>
        <v>19.121517208098407</v>
      </c>
      <c r="AS153" s="89">
        <f t="shared" si="76"/>
        <v>19.213852683045072</v>
      </c>
      <c r="AT153" s="89">
        <f t="shared" si="77"/>
        <v>19.28582818576599</v>
      </c>
      <c r="AU153" s="89">
        <f t="shared" si="78"/>
        <v>19.341933090136951</v>
      </c>
      <c r="AV153" s="89">
        <f t="shared" si="79"/>
        <v>19.385666863094112</v>
      </c>
      <c r="AW153" s="89">
        <f t="shared" si="80"/>
        <v>19.419757339114224</v>
      </c>
      <c r="AX153" s="89">
        <f t="shared" si="81"/>
        <v>19.446330865171891</v>
      </c>
      <c r="AY153" s="89">
        <f t="shared" si="82"/>
        <v>19.467044928733849</v>
      </c>
      <c r="AZ153" s="89">
        <f t="shared" si="83"/>
        <v>19.483191541280394</v>
      </c>
      <c r="BA153" s="89">
        <f t="shared" si="84"/>
        <v>19.495777825760428</v>
      </c>
      <c r="BB153" s="89">
        <f t="shared" si="84"/>
        <v>19.505588834512608</v>
      </c>
    </row>
    <row r="154" spans="2:54" ht="29">
      <c r="B154" s="6" t="s">
        <v>16</v>
      </c>
      <c r="D154" s="89">
        <f t="shared" si="72"/>
        <v>69.045663649966272</v>
      </c>
      <c r="E154" s="89">
        <f t="shared" si="72"/>
        <v>71.6997391209337</v>
      </c>
      <c r="F154" s="89">
        <f t="shared" si="72"/>
        <v>73.991832155766602</v>
      </c>
      <c r="G154" s="89">
        <f t="shared" si="72"/>
        <v>76.026783000309067</v>
      </c>
      <c r="H154" s="89">
        <f t="shared" si="72"/>
        <v>77.902122806195692</v>
      </c>
      <c r="I154" s="89">
        <f t="shared" si="72"/>
        <v>79.675150725650596</v>
      </c>
      <c r="J154" s="89">
        <f t="shared" si="72"/>
        <v>81.353559846812686</v>
      </c>
      <c r="K154" s="89">
        <f t="shared" si="72"/>
        <v>82.966252382337686</v>
      </c>
      <c r="L154" s="89">
        <f t="shared" si="72"/>
        <v>84.661298810527512</v>
      </c>
      <c r="M154" s="89">
        <f t="shared" si="72"/>
        <v>86.351766530558351</v>
      </c>
      <c r="N154" s="89">
        <f t="shared" si="72"/>
        <v>87.996326857825693</v>
      </c>
      <c r="O154" s="89">
        <f t="shared" si="72"/>
        <v>89.578006347205786</v>
      </c>
      <c r="P154" s="89">
        <f t="shared" si="72"/>
        <v>91.087106517863376</v>
      </c>
      <c r="Q154" s="89">
        <f t="shared" si="72"/>
        <v>92.549857731926721</v>
      </c>
      <c r="R154" s="89">
        <f t="shared" si="72"/>
        <v>93.996362647372209</v>
      </c>
      <c r="S154" s="89">
        <f t="shared" si="72"/>
        <v>95.431447595935836</v>
      </c>
      <c r="T154" s="89">
        <f t="shared" si="72"/>
        <v>96.832574346568663</v>
      </c>
      <c r="U154" s="89">
        <f t="shared" si="72"/>
        <v>98.203831616445768</v>
      </c>
      <c r="V154" s="89">
        <f t="shared" si="72"/>
        <v>99.600592361707186</v>
      </c>
      <c r="W154" s="89">
        <f t="shared" si="72"/>
        <v>100.97736171308732</v>
      </c>
      <c r="X154" s="89">
        <f t="shared" si="72"/>
        <v>102.32125010731383</v>
      </c>
      <c r="Y154" s="89">
        <f t="shared" si="72"/>
        <v>103.63028202717349</v>
      </c>
      <c r="Z154" s="89">
        <f t="shared" si="72"/>
        <v>104.92661789527854</v>
      </c>
      <c r="AA154" s="89">
        <f t="shared" si="72"/>
        <v>106.20542714564219</v>
      </c>
      <c r="AB154" s="89">
        <f t="shared" si="72"/>
        <v>107.45769708448877</v>
      </c>
      <c r="AC154" s="89">
        <f t="shared" si="72"/>
        <v>108.67640599433004</v>
      </c>
      <c r="AD154" s="89">
        <f t="shared" si="72"/>
        <v>109.85450958735925</v>
      </c>
      <c r="AE154" s="89">
        <f t="shared" si="72"/>
        <v>110.98679546597798</v>
      </c>
      <c r="AF154" s="89">
        <f t="shared" si="72"/>
        <v>112.06852717174554</v>
      </c>
      <c r="AG154" s="89">
        <f t="shared" si="73"/>
        <v>113.10372310839458</v>
      </c>
      <c r="AH154" s="89">
        <f t="shared" si="73"/>
        <v>114.11291124551288</v>
      </c>
      <c r="AI154" s="89">
        <f t="shared" si="73"/>
        <v>115.09841808686366</v>
      </c>
      <c r="AJ154" s="89">
        <f t="shared" si="73"/>
        <v>116.06795829965866</v>
      </c>
      <c r="AK154" s="89">
        <f t="shared" si="73"/>
        <v>116.99863235819301</v>
      </c>
      <c r="AL154" s="89">
        <f t="shared" si="73"/>
        <v>117.87290379364249</v>
      </c>
      <c r="AM154" s="89">
        <f t="shared" si="73"/>
        <v>118.67885338297039</v>
      </c>
      <c r="AN154" s="89">
        <f t="shared" si="73"/>
        <v>119.42353393167912</v>
      </c>
      <c r="AO154" s="89">
        <f t="shared" si="73"/>
        <v>120.1085221360032</v>
      </c>
      <c r="AP154" s="89">
        <f t="shared" si="73"/>
        <v>120.73092501756604</v>
      </c>
      <c r="AQ154" s="89">
        <f t="shared" si="74"/>
        <v>121.31577735038391</v>
      </c>
      <c r="AR154" s="89">
        <f t="shared" si="75"/>
        <v>121.89119434800617</v>
      </c>
      <c r="AS154" s="89">
        <f t="shared" si="76"/>
        <v>122.47979206226979</v>
      </c>
      <c r="AT154" s="89">
        <f t="shared" si="77"/>
        <v>122.93860398053826</v>
      </c>
      <c r="AU154" s="89">
        <f t="shared" si="78"/>
        <v>123.29624787082855</v>
      </c>
      <c r="AV154" s="89">
        <f t="shared" si="79"/>
        <v>123.57503128330983</v>
      </c>
      <c r="AW154" s="89">
        <f t="shared" si="80"/>
        <v>123.79234295333897</v>
      </c>
      <c r="AX154" s="89">
        <f t="shared" si="81"/>
        <v>123.96173740012668</v>
      </c>
      <c r="AY154" s="89">
        <f t="shared" si="82"/>
        <v>124.0937803713977</v>
      </c>
      <c r="AZ154" s="89">
        <f t="shared" si="83"/>
        <v>124.19670786750348</v>
      </c>
      <c r="BA154" s="89">
        <f t="shared" si="84"/>
        <v>124.27693985071792</v>
      </c>
      <c r="BB154" s="89">
        <f t="shared" si="84"/>
        <v>124.33948068163356</v>
      </c>
    </row>
    <row r="155" spans="2:54">
      <c r="B155" s="6" t="s">
        <v>103</v>
      </c>
      <c r="D155" s="89">
        <f t="shared" si="72"/>
        <v>44.050459444678644</v>
      </c>
      <c r="E155" s="89">
        <f t="shared" si="72"/>
        <v>45.743733688368593</v>
      </c>
      <c r="F155" s="89">
        <f t="shared" si="72"/>
        <v>47.206066671163896</v>
      </c>
      <c r="G155" s="89">
        <f t="shared" si="72"/>
        <v>48.504345446553387</v>
      </c>
      <c r="H155" s="89">
        <f t="shared" si="72"/>
        <v>49.700793937265239</v>
      </c>
      <c r="I155" s="89">
        <f t="shared" si="72"/>
        <v>50.831968443113723</v>
      </c>
      <c r="J155" s="89">
        <f t="shared" si="72"/>
        <v>51.902777079238184</v>
      </c>
      <c r="K155" s="89">
        <f t="shared" si="72"/>
        <v>52.931659175194618</v>
      </c>
      <c r="L155" s="89">
        <f t="shared" si="72"/>
        <v>54.013082250803798</v>
      </c>
      <c r="M155" s="89">
        <f t="shared" si="72"/>
        <v>55.091584155300929</v>
      </c>
      <c r="N155" s="89">
        <f t="shared" si="72"/>
        <v>56.140797591323171</v>
      </c>
      <c r="O155" s="89">
        <f t="shared" si="72"/>
        <v>57.14989366656166</v>
      </c>
      <c r="P155" s="89">
        <f t="shared" si="72"/>
        <v>58.112684844911684</v>
      </c>
      <c r="Q155" s="89">
        <f t="shared" si="72"/>
        <v>59.045905841372964</v>
      </c>
      <c r="R155" s="89">
        <f t="shared" si="72"/>
        <v>59.96876185789835</v>
      </c>
      <c r="S155" s="89">
        <f t="shared" si="72"/>
        <v>60.884332047024941</v>
      </c>
      <c r="T155" s="89">
        <f t="shared" si="72"/>
        <v>61.778237237342218</v>
      </c>
      <c r="U155" s="89">
        <f t="shared" si="72"/>
        <v>62.653085990497352</v>
      </c>
      <c r="V155" s="89">
        <f t="shared" si="72"/>
        <v>63.544205712004839</v>
      </c>
      <c r="W155" s="89">
        <f t="shared" si="72"/>
        <v>64.422571119354743</v>
      </c>
      <c r="X155" s="89">
        <f t="shared" si="72"/>
        <v>65.27995879699607</v>
      </c>
      <c r="Y155" s="89">
        <f t="shared" si="72"/>
        <v>66.115108384230098</v>
      </c>
      <c r="Z155" s="89">
        <f t="shared" si="72"/>
        <v>66.942158014372524</v>
      </c>
      <c r="AA155" s="89">
        <f t="shared" si="72"/>
        <v>67.758025833475628</v>
      </c>
      <c r="AB155" s="89">
        <f t="shared" si="72"/>
        <v>68.556961830884617</v>
      </c>
      <c r="AC155" s="89">
        <f t="shared" si="72"/>
        <v>69.33448621938193</v>
      </c>
      <c r="AD155" s="89">
        <f t="shared" si="72"/>
        <v>70.086104812107095</v>
      </c>
      <c r="AE155" s="89">
        <f t="shared" si="72"/>
        <v>70.808492150271249</v>
      </c>
      <c r="AF155" s="89">
        <f t="shared" si="72"/>
        <v>71.49862641962244</v>
      </c>
      <c r="AG155" s="89">
        <f t="shared" si="73"/>
        <v>72.159071322517903</v>
      </c>
      <c r="AH155" s="89">
        <f t="shared" si="73"/>
        <v>72.802923503178377</v>
      </c>
      <c r="AI155" s="89">
        <f t="shared" si="73"/>
        <v>73.431667248295483</v>
      </c>
      <c r="AJ155" s="89">
        <f t="shared" si="73"/>
        <v>74.05022444024641</v>
      </c>
      <c r="AK155" s="89">
        <f t="shared" si="73"/>
        <v>74.643985405156783</v>
      </c>
      <c r="AL155" s="89">
        <f t="shared" si="73"/>
        <v>75.201762047092615</v>
      </c>
      <c r="AM155" s="89">
        <f t="shared" si="73"/>
        <v>75.71595001810158</v>
      </c>
      <c r="AN155" s="89">
        <f t="shared" si="73"/>
        <v>76.191048939250862</v>
      </c>
      <c r="AO155" s="89">
        <f t="shared" si="73"/>
        <v>76.628064727347734</v>
      </c>
      <c r="AP155" s="89">
        <f t="shared" si="73"/>
        <v>77.025151690426668</v>
      </c>
      <c r="AQ155" s="89">
        <f t="shared" si="74"/>
        <v>77.398281769942272</v>
      </c>
      <c r="AR155" s="89">
        <f t="shared" si="75"/>
        <v>77.765392197702653</v>
      </c>
      <c r="AS155" s="89">
        <f t="shared" si="76"/>
        <v>78.140911794021463</v>
      </c>
      <c r="AT155" s="89">
        <f t="shared" si="77"/>
        <v>78.433629319351965</v>
      </c>
      <c r="AU155" s="89">
        <f t="shared" si="78"/>
        <v>78.661802630347097</v>
      </c>
      <c r="AV155" s="89">
        <f t="shared" si="79"/>
        <v>78.839663726267815</v>
      </c>
      <c r="AW155" s="89">
        <f t="shared" si="80"/>
        <v>78.978306450538</v>
      </c>
      <c r="AX155" s="89">
        <f t="shared" si="81"/>
        <v>79.086378454106594</v>
      </c>
      <c r="AY155" s="89">
        <f t="shared" si="82"/>
        <v>79.170620580888325</v>
      </c>
      <c r="AZ155" s="89">
        <f t="shared" si="83"/>
        <v>79.236287318714687</v>
      </c>
      <c r="BA155" s="89">
        <f t="shared" si="84"/>
        <v>79.28747454085034</v>
      </c>
      <c r="BB155" s="89">
        <f t="shared" si="84"/>
        <v>79.32737498050507</v>
      </c>
    </row>
    <row r="156" spans="2:54">
      <c r="B156" s="6" t="s">
        <v>104</v>
      </c>
      <c r="D156" s="89">
        <f t="shared" si="72"/>
        <v>1695.7505609715904</v>
      </c>
      <c r="E156" s="89">
        <f t="shared" si="72"/>
        <v>1760.9342340777021</v>
      </c>
      <c r="F156" s="89">
        <f t="shared" si="72"/>
        <v>1817.227675897909</v>
      </c>
      <c r="G156" s="89">
        <f t="shared" si="72"/>
        <v>1867.2057462612634</v>
      </c>
      <c r="H156" s="89">
        <f t="shared" si="72"/>
        <v>1913.263794800944</v>
      </c>
      <c r="I156" s="89">
        <f t="shared" si="72"/>
        <v>1956.8090796181955</v>
      </c>
      <c r="J156" s="89">
        <f t="shared" si="72"/>
        <v>1998.0305417389643</v>
      </c>
      <c r="K156" s="89">
        <f t="shared" si="72"/>
        <v>2037.638014927363</v>
      </c>
      <c r="L156" s="89">
        <f t="shared" si="72"/>
        <v>2079.268086673037</v>
      </c>
      <c r="M156" s="89">
        <f t="shared" si="72"/>
        <v>2120.7857060716892</v>
      </c>
      <c r="N156" s="89">
        <f t="shared" si="72"/>
        <v>2161.1758471767575</v>
      </c>
      <c r="O156" s="89">
        <f t="shared" si="72"/>
        <v>2200.0216448649498</v>
      </c>
      <c r="P156" s="89">
        <f t="shared" si="72"/>
        <v>2237.0849059833936</v>
      </c>
      <c r="Q156" s="89">
        <f t="shared" si="72"/>
        <v>2273.0098440705228</v>
      </c>
      <c r="R156" s="89">
        <f t="shared" si="72"/>
        <v>2308.5357756373496</v>
      </c>
      <c r="S156" s="89">
        <f t="shared" si="72"/>
        <v>2343.7812346267187</v>
      </c>
      <c r="T156" s="89">
        <f t="shared" si="72"/>
        <v>2378.1926856545933</v>
      </c>
      <c r="U156" s="89">
        <f t="shared" si="72"/>
        <v>2411.8705469670554</v>
      </c>
      <c r="V156" s="89">
        <f t="shared" si="72"/>
        <v>2446.1747695946742</v>
      </c>
      <c r="W156" s="89">
        <f t="shared" si="72"/>
        <v>2479.9880067556223</v>
      </c>
      <c r="X156" s="89">
        <f t="shared" si="72"/>
        <v>2512.9936928179059</v>
      </c>
      <c r="Y156" s="89">
        <f t="shared" si="72"/>
        <v>2545.1433093917317</v>
      </c>
      <c r="Z156" s="89">
        <f t="shared" si="72"/>
        <v>2576.981112945783</v>
      </c>
      <c r="AA156" s="89">
        <f t="shared" si="72"/>
        <v>2608.3884655446868</v>
      </c>
      <c r="AB156" s="89">
        <f t="shared" si="72"/>
        <v>2639.1440168571116</v>
      </c>
      <c r="AC156" s="89">
        <f t="shared" si="72"/>
        <v>2669.0753146139318</v>
      </c>
      <c r="AD156" s="89">
        <f t="shared" si="72"/>
        <v>2698.0093522225757</v>
      </c>
      <c r="AE156" s="89">
        <f t="shared" si="72"/>
        <v>2725.8181140237793</v>
      </c>
      <c r="AF156" s="89">
        <f t="shared" si="72"/>
        <v>2752.3852733485924</v>
      </c>
      <c r="AG156" s="89">
        <f t="shared" si="73"/>
        <v>2777.8095215560897</v>
      </c>
      <c r="AH156" s="89">
        <f t="shared" si="73"/>
        <v>2802.5950223272894</v>
      </c>
      <c r="AI156" s="89">
        <f t="shared" si="73"/>
        <v>2826.7989142260494</v>
      </c>
      <c r="AJ156" s="89">
        <f t="shared" si="73"/>
        <v>2850.6106682569261</v>
      </c>
      <c r="AK156" s="89">
        <f t="shared" si="73"/>
        <v>2873.4678756963694</v>
      </c>
      <c r="AL156" s="89">
        <f t="shared" si="73"/>
        <v>2894.9398436481997</v>
      </c>
      <c r="AM156" s="89">
        <f t="shared" si="73"/>
        <v>2914.7338378828867</v>
      </c>
      <c r="AN156" s="89">
        <f t="shared" si="73"/>
        <v>2933.0230741862601</v>
      </c>
      <c r="AO156" s="89">
        <f t="shared" si="73"/>
        <v>2949.8462759680574</v>
      </c>
      <c r="AP156" s="89">
        <f t="shared" si="73"/>
        <v>2965.1323921376575</v>
      </c>
      <c r="AQ156" s="89">
        <f t="shared" si="74"/>
        <v>2979.4962727788707</v>
      </c>
      <c r="AR156" s="89">
        <f t="shared" si="75"/>
        <v>2993.6284230824326</v>
      </c>
      <c r="AS156" s="89">
        <f t="shared" si="76"/>
        <v>3008.0842896986069</v>
      </c>
      <c r="AT156" s="89">
        <f t="shared" si="77"/>
        <v>3019.3526377259141</v>
      </c>
      <c r="AU156" s="89">
        <f t="shared" si="78"/>
        <v>3028.1363150132001</v>
      </c>
      <c r="AV156" s="89">
        <f t="shared" si="79"/>
        <v>3034.9831914586398</v>
      </c>
      <c r="AW156" s="89">
        <f t="shared" si="80"/>
        <v>3040.3203316478598</v>
      </c>
      <c r="AX156" s="89">
        <f t="shared" si="81"/>
        <v>3044.4806324253564</v>
      </c>
      <c r="AY156" s="89">
        <f t="shared" si="82"/>
        <v>3047.723586881415</v>
      </c>
      <c r="AZ156" s="89">
        <f t="shared" si="83"/>
        <v>3050.2514698799132</v>
      </c>
      <c r="BA156" s="89">
        <f t="shared" si="84"/>
        <v>3052.2219546772426</v>
      </c>
      <c r="BB156" s="89">
        <f t="shared" si="84"/>
        <v>3053.7579475767602</v>
      </c>
    </row>
    <row r="157" spans="2:54">
      <c r="B157" s="6" t="s">
        <v>17</v>
      </c>
      <c r="D157" s="89">
        <f t="shared" si="72"/>
        <v>2203.285492966751</v>
      </c>
      <c r="E157" s="89">
        <f t="shared" si="72"/>
        <v>2287.9785160082388</v>
      </c>
      <c r="F157" s="89">
        <f t="shared" si="72"/>
        <v>2361.1204783736034</v>
      </c>
      <c r="G157" s="89">
        <f t="shared" si="72"/>
        <v>2426.0568905632349</v>
      </c>
      <c r="H157" s="89">
        <f t="shared" si="72"/>
        <v>2485.9000258199285</v>
      </c>
      <c r="I157" s="89">
        <f t="shared" si="72"/>
        <v>2542.4783319299877</v>
      </c>
      <c r="J157" s="89">
        <f t="shared" si="72"/>
        <v>2596.0372996106657</v>
      </c>
      <c r="K157" s="89">
        <f t="shared" si="72"/>
        <v>2647.4992145276024</v>
      </c>
      <c r="L157" s="89">
        <f t="shared" si="72"/>
        <v>2701.5890879202175</v>
      </c>
      <c r="M157" s="89">
        <f t="shared" si="72"/>
        <v>2755.5328521912752</v>
      </c>
      <c r="N157" s="89">
        <f t="shared" si="72"/>
        <v>2808.0116860503595</v>
      </c>
      <c r="O157" s="89">
        <f t="shared" si="72"/>
        <v>2858.4839574321109</v>
      </c>
      <c r="P157" s="89">
        <f t="shared" si="72"/>
        <v>2906.6401824240211</v>
      </c>
      <c r="Q157" s="89">
        <f t="shared" si="72"/>
        <v>2953.3173864567589</v>
      </c>
      <c r="R157" s="89">
        <f t="shared" si="72"/>
        <v>2999.4761620731865</v>
      </c>
      <c r="S157" s="89">
        <f t="shared" si="72"/>
        <v>3045.2705202007983</v>
      </c>
      <c r="T157" s="89">
        <f t="shared" si="72"/>
        <v>3089.9812533632344</v>
      </c>
      <c r="U157" s="89">
        <f t="shared" si="72"/>
        <v>3133.7388347974866</v>
      </c>
      <c r="V157" s="89">
        <f t="shared" si="72"/>
        <v>3178.3102463025075</v>
      </c>
      <c r="W157" s="89">
        <f t="shared" si="72"/>
        <v>3222.2437213203639</v>
      </c>
      <c r="X157" s="89">
        <f t="shared" si="72"/>
        <v>3265.1279467248232</v>
      </c>
      <c r="Y157" s="89">
        <f t="shared" si="72"/>
        <v>3306.8998826638972</v>
      </c>
      <c r="Z157" s="89">
        <f t="shared" si="72"/>
        <v>3348.2666805367958</v>
      </c>
      <c r="AA157" s="89">
        <f t="shared" si="72"/>
        <v>3389.0741942987306</v>
      </c>
      <c r="AB157" s="89">
        <f t="shared" si="72"/>
        <v>3429.0348238833285</v>
      </c>
      <c r="AC157" s="89">
        <f t="shared" si="72"/>
        <v>3467.9245023838539</v>
      </c>
      <c r="AD157" s="89">
        <f t="shared" si="72"/>
        <v>3505.5184426621654</v>
      </c>
      <c r="AE157" s="89">
        <f t="shared" si="72"/>
        <v>3541.6503142145793</v>
      </c>
      <c r="AF157" s="89">
        <f t="shared" si="72"/>
        <v>3576.1689740203938</v>
      </c>
      <c r="AG157" s="89">
        <f t="shared" si="73"/>
        <v>3609.202651575582</v>
      </c>
      <c r="AH157" s="89">
        <f t="shared" si="73"/>
        <v>3641.4064057962564</v>
      </c>
      <c r="AI157" s="89">
        <f t="shared" si="73"/>
        <v>3672.8544767102471</v>
      </c>
      <c r="AJ157" s="89">
        <f t="shared" si="73"/>
        <v>3703.7930436350093</v>
      </c>
      <c r="AK157" s="89">
        <f t="shared" si="73"/>
        <v>3733.4913699809567</v>
      </c>
      <c r="AL157" s="89">
        <f t="shared" si="73"/>
        <v>3761.3898572835988</v>
      </c>
      <c r="AM157" s="89">
        <f t="shared" si="73"/>
        <v>3787.1081565128002</v>
      </c>
      <c r="AN157" s="89">
        <f t="shared" si="73"/>
        <v>3810.8713266111049</v>
      </c>
      <c r="AO157" s="89">
        <f t="shared" si="73"/>
        <v>3832.7296808314622</v>
      </c>
      <c r="AP157" s="89">
        <f t="shared" si="73"/>
        <v>3852.5909026263625</v>
      </c>
      <c r="AQ157" s="89">
        <f t="shared" si="74"/>
        <v>3871.2538655454837</v>
      </c>
      <c r="AR157" s="89">
        <f t="shared" si="75"/>
        <v>3889.615741675676</v>
      </c>
      <c r="AS157" s="89">
        <f t="shared" si="76"/>
        <v>3908.3982217978878</v>
      </c>
      <c r="AT157" s="89">
        <f t="shared" si="77"/>
        <v>3923.039165053151</v>
      </c>
      <c r="AU157" s="89">
        <f t="shared" si="78"/>
        <v>3934.4517803206295</v>
      </c>
      <c r="AV157" s="89">
        <f t="shared" si="79"/>
        <v>3943.3479139216288</v>
      </c>
      <c r="AW157" s="89">
        <f t="shared" si="80"/>
        <v>3950.2824500636075</v>
      </c>
      <c r="AX157" s="89">
        <f t="shared" si="81"/>
        <v>3955.6879209862796</v>
      </c>
      <c r="AY157" s="89">
        <f t="shared" si="82"/>
        <v>3959.9014855705027</v>
      </c>
      <c r="AZ157" s="89">
        <f t="shared" si="83"/>
        <v>3963.185959163905</v>
      </c>
      <c r="BA157" s="89">
        <f t="shared" si="84"/>
        <v>3965.7462063299618</v>
      </c>
      <c r="BB157" s="89">
        <f t="shared" si="84"/>
        <v>3967.7419189959023</v>
      </c>
    </row>
    <row r="158" spans="2:54" ht="29">
      <c r="B158" s="6" t="s">
        <v>106</v>
      </c>
      <c r="D158" s="89">
        <f t="shared" si="72"/>
        <v>4262.5407226775715</v>
      </c>
      <c r="E158" s="89">
        <f t="shared" si="72"/>
        <v>4426.3903285472634</v>
      </c>
      <c r="F158" s="89">
        <f t="shared" si="72"/>
        <v>4567.8929137157038</v>
      </c>
      <c r="G158" s="89">
        <f t="shared" si="72"/>
        <v>4693.5208008989366</v>
      </c>
      <c r="H158" s="89">
        <f t="shared" si="72"/>
        <v>4809.2950851751348</v>
      </c>
      <c r="I158" s="89">
        <f t="shared" si="72"/>
        <v>4918.7531352481246</v>
      </c>
      <c r="J158" s="89">
        <f t="shared" si="72"/>
        <v>5022.369884658141</v>
      </c>
      <c r="K158" s="89">
        <f t="shared" si="72"/>
        <v>5121.9296142985531</v>
      </c>
      <c r="L158" s="89">
        <f t="shared" si="72"/>
        <v>5226.5734694668836</v>
      </c>
      <c r="M158" s="89">
        <f t="shared" si="72"/>
        <v>5330.9346576442222</v>
      </c>
      <c r="N158" s="89">
        <f t="shared" si="72"/>
        <v>5432.461748489708</v>
      </c>
      <c r="O158" s="89">
        <f t="shared" si="72"/>
        <v>5530.1068847271636</v>
      </c>
      <c r="P158" s="89">
        <f t="shared" si="72"/>
        <v>5623.2713297043074</v>
      </c>
      <c r="Q158" s="89">
        <f t="shared" si="72"/>
        <v>5713.574417363805</v>
      </c>
      <c r="R158" s="89">
        <f t="shared" si="72"/>
        <v>5802.8745382069865</v>
      </c>
      <c r="S158" s="89">
        <f t="shared" si="72"/>
        <v>5891.4696462903175</v>
      </c>
      <c r="T158" s="89">
        <f t="shared" si="72"/>
        <v>5977.9683417403721</v>
      </c>
      <c r="U158" s="89">
        <f t="shared" si="72"/>
        <v>6062.6230419073636</v>
      </c>
      <c r="V158" s="89">
        <f t="shared" si="72"/>
        <v>6148.8522015935878</v>
      </c>
      <c r="W158" s="89">
        <f t="shared" si="72"/>
        <v>6233.8471906452287</v>
      </c>
      <c r="X158" s="89">
        <f t="shared" si="72"/>
        <v>6316.8122706271506</v>
      </c>
      <c r="Y158" s="89">
        <f t="shared" si="72"/>
        <v>6397.6254827931452</v>
      </c>
      <c r="Z158" s="89">
        <f t="shared" si="72"/>
        <v>6477.6549029762618</v>
      </c>
      <c r="AA158" s="89">
        <f t="shared" si="72"/>
        <v>6556.6023157181553</v>
      </c>
      <c r="AB158" s="89">
        <f t="shared" si="72"/>
        <v>6633.9113214969875</v>
      </c>
      <c r="AC158" s="89">
        <f t="shared" si="72"/>
        <v>6709.1484339045664</v>
      </c>
      <c r="AD158" s="89">
        <f t="shared" si="72"/>
        <v>6781.8787731519051</v>
      </c>
      <c r="AE158" s="89">
        <f t="shared" si="72"/>
        <v>6851.7805513691892</v>
      </c>
      <c r="AF158" s="89">
        <f t="shared" si="72"/>
        <v>6918.5613628365281</v>
      </c>
      <c r="AG158" s="89">
        <f t="shared" si="73"/>
        <v>6982.4692840969683</v>
      </c>
      <c r="AH158" s="89">
        <f t="shared" si="73"/>
        <v>7044.7716113382239</v>
      </c>
      <c r="AI158" s="89">
        <f t="shared" si="73"/>
        <v>7105.6119714951092</v>
      </c>
      <c r="AJ158" s="89">
        <f t="shared" si="73"/>
        <v>7165.4666302940059</v>
      </c>
      <c r="AK158" s="89">
        <f t="shared" si="73"/>
        <v>7222.9218833009654</v>
      </c>
      <c r="AL158" s="89">
        <f t="shared" si="73"/>
        <v>7276.8951149172144</v>
      </c>
      <c r="AM158" s="89">
        <f t="shared" si="73"/>
        <v>7326.6504907558974</v>
      </c>
      <c r="AN158" s="89">
        <f t="shared" si="73"/>
        <v>7372.6234164467696</v>
      </c>
      <c r="AO158" s="89">
        <f t="shared" si="73"/>
        <v>7414.9112294843462</v>
      </c>
      <c r="AP158" s="89">
        <f t="shared" si="73"/>
        <v>7453.3353315687755</v>
      </c>
      <c r="AQ158" s="89">
        <f t="shared" si="74"/>
        <v>7489.4412468950077</v>
      </c>
      <c r="AR158" s="89">
        <f t="shared" si="75"/>
        <v>7524.9646708904684</v>
      </c>
      <c r="AS158" s="89">
        <f t="shared" si="76"/>
        <v>7561.3018077024608</v>
      </c>
      <c r="AT158" s="89">
        <f t="shared" si="77"/>
        <v>7589.6266058474075</v>
      </c>
      <c r="AU158" s="89">
        <f t="shared" si="78"/>
        <v>7611.7057860013938</v>
      </c>
      <c r="AV158" s="89">
        <f t="shared" si="79"/>
        <v>7628.9165069314267</v>
      </c>
      <c r="AW158" s="89">
        <f t="shared" si="80"/>
        <v>7642.3322638963864</v>
      </c>
      <c r="AX158" s="89">
        <f t="shared" si="81"/>
        <v>7652.7898464505715</v>
      </c>
      <c r="AY158" s="89">
        <f t="shared" si="82"/>
        <v>7660.94153205156</v>
      </c>
      <c r="AZ158" s="89">
        <f t="shared" si="83"/>
        <v>7667.2957709775301</v>
      </c>
      <c r="BA158" s="89">
        <f t="shared" si="84"/>
        <v>7672.2489002203247</v>
      </c>
      <c r="BB158" s="89">
        <f t="shared" si="84"/>
        <v>7676.109864465081</v>
      </c>
    </row>
    <row r="159" spans="2:54" ht="29">
      <c r="B159" s="6" t="s">
        <v>107</v>
      </c>
      <c r="D159" s="89">
        <f t="shared" si="72"/>
        <v>2759.4778534949528</v>
      </c>
      <c r="E159" s="89">
        <f t="shared" si="72"/>
        <v>2865.5505899490163</v>
      </c>
      <c r="F159" s="89">
        <f t="shared" si="72"/>
        <v>2957.1563423368348</v>
      </c>
      <c r="G159" s="89">
        <f t="shared" si="72"/>
        <v>3038.4851541929074</v>
      </c>
      <c r="H159" s="89">
        <f t="shared" si="72"/>
        <v>3113.4349539132295</v>
      </c>
      <c r="I159" s="89">
        <f t="shared" si="72"/>
        <v>3184.2957584695837</v>
      </c>
      <c r="J159" s="89">
        <f t="shared" si="72"/>
        <v>3251.3750296955172</v>
      </c>
      <c r="K159" s="89">
        <f t="shared" si="72"/>
        <v>3315.8278729448566</v>
      </c>
      <c r="L159" s="89">
        <f t="shared" si="72"/>
        <v>3383.5720705087806</v>
      </c>
      <c r="M159" s="89">
        <f t="shared" si="72"/>
        <v>3451.1332754980162</v>
      </c>
      <c r="N159" s="89">
        <f t="shared" si="72"/>
        <v>3516.8597463859942</v>
      </c>
      <c r="O159" s="89">
        <f t="shared" si="72"/>
        <v>3580.0731227451292</v>
      </c>
      <c r="P159" s="89">
        <f t="shared" si="72"/>
        <v>3640.3857952504814</v>
      </c>
      <c r="Q159" s="89">
        <f t="shared" si="72"/>
        <v>3698.8460861218059</v>
      </c>
      <c r="R159" s="89">
        <f t="shared" si="72"/>
        <v>3756.6570776907938</v>
      </c>
      <c r="S159" s="89">
        <f t="shared" si="72"/>
        <v>3814.0116590519247</v>
      </c>
      <c r="T159" s="89">
        <f t="shared" si="72"/>
        <v>3870.0090676352015</v>
      </c>
      <c r="U159" s="89">
        <f t="shared" si="72"/>
        <v>3924.8127130437374</v>
      </c>
      <c r="V159" s="89">
        <f t="shared" si="72"/>
        <v>3980.6356299284225</v>
      </c>
      <c r="W159" s="89">
        <f t="shared" si="72"/>
        <v>4035.6595710953047</v>
      </c>
      <c r="X159" s="89">
        <f t="shared" si="72"/>
        <v>4089.369392471448</v>
      </c>
      <c r="Y159" s="89">
        <f t="shared" si="72"/>
        <v>4141.686140568524</v>
      </c>
      <c r="Z159" s="89">
        <f t="shared" si="72"/>
        <v>4193.4954784707861</v>
      </c>
      <c r="AA159" s="89">
        <f t="shared" ref="AA159:AF159" si="85">INDEX($D$58:$D$75,MATCH($B159,$B$58:$B$75,0))*Z$14</f>
        <v>4244.6043478577585</v>
      </c>
      <c r="AB159" s="89">
        <f t="shared" si="85"/>
        <v>4294.6525475588023</v>
      </c>
      <c r="AC159" s="89">
        <f t="shared" si="85"/>
        <v>4343.3594477287106</v>
      </c>
      <c r="AD159" s="89">
        <f t="shared" si="85"/>
        <v>4390.4435164772985</v>
      </c>
      <c r="AE159" s="89">
        <f t="shared" si="85"/>
        <v>4435.6964352082059</v>
      </c>
      <c r="AF159" s="89">
        <f t="shared" si="85"/>
        <v>4478.9289067015898</v>
      </c>
      <c r="AG159" s="89">
        <f t="shared" si="73"/>
        <v>4520.3015304146847</v>
      </c>
      <c r="AH159" s="89">
        <f t="shared" si="73"/>
        <v>4560.6347268411218</v>
      </c>
      <c r="AI159" s="89">
        <f t="shared" si="73"/>
        <v>4600.0214769918903</v>
      </c>
      <c r="AJ159" s="89">
        <f t="shared" si="73"/>
        <v>4638.7701051294071</v>
      </c>
      <c r="AK159" s="89">
        <f t="shared" si="73"/>
        <v>4675.9654091874199</v>
      </c>
      <c r="AL159" s="89">
        <f t="shared" si="73"/>
        <v>4710.9065269424273</v>
      </c>
      <c r="AM159" s="89">
        <f t="shared" si="73"/>
        <v>4743.1170949233283</v>
      </c>
      <c r="AN159" s="89">
        <f t="shared" si="73"/>
        <v>4772.8789854383922</v>
      </c>
      <c r="AO159" s="89">
        <f t="shared" si="73"/>
        <v>4800.2552127032959</v>
      </c>
      <c r="AP159" s="89">
        <f t="shared" si="73"/>
        <v>4825.130155992003</v>
      </c>
      <c r="AQ159" s="89">
        <f t="shared" si="74"/>
        <v>4848.5043546695269</v>
      </c>
      <c r="AR159" s="89">
        <f t="shared" si="75"/>
        <v>4871.5014608963993</v>
      </c>
      <c r="AS159" s="89">
        <f t="shared" si="76"/>
        <v>4895.0253474269484</v>
      </c>
      <c r="AT159" s="89">
        <f t="shared" si="77"/>
        <v>4913.3622169775099</v>
      </c>
      <c r="AU159" s="89">
        <f t="shared" si="78"/>
        <v>4927.6558067921724</v>
      </c>
      <c r="AV159" s="89">
        <f t="shared" si="79"/>
        <v>4938.7976600527027</v>
      </c>
      <c r="AW159" s="89">
        <f t="shared" si="80"/>
        <v>4947.4827346692855</v>
      </c>
      <c r="AX159" s="89">
        <f t="shared" si="81"/>
        <v>4954.2527503329111</v>
      </c>
      <c r="AY159" s="89">
        <f t="shared" si="82"/>
        <v>4959.5299775427075</v>
      </c>
      <c r="AZ159" s="89">
        <f t="shared" si="83"/>
        <v>4963.6435761527446</v>
      </c>
      <c r="BA159" s="89">
        <f t="shared" si="84"/>
        <v>4966.850126269268</v>
      </c>
      <c r="BB159" s="89">
        <f t="shared" si="84"/>
        <v>4969.3496320850973</v>
      </c>
    </row>
    <row r="160" spans="2:54">
      <c r="B160" s="6" t="s">
        <v>2863</v>
      </c>
      <c r="D160" s="89">
        <f t="shared" ref="D160:AF168" si="86">INDEX($D$58:$D$75,MATCH($B160,$B$58:$B$75,0))*C$14</f>
        <v>3732.3</v>
      </c>
      <c r="E160" s="89">
        <f t="shared" si="86"/>
        <v>3875.7674584418533</v>
      </c>
      <c r="F160" s="89">
        <f t="shared" si="86"/>
        <v>3999.6677641478873</v>
      </c>
      <c r="G160" s="89">
        <f t="shared" si="86"/>
        <v>4109.6681122593882</v>
      </c>
      <c r="H160" s="89">
        <f t="shared" si="86"/>
        <v>4211.0406009502703</v>
      </c>
      <c r="I160" s="89">
        <f t="shared" si="86"/>
        <v>4306.882566310027</v>
      </c>
      <c r="J160" s="89">
        <f t="shared" si="86"/>
        <v>4397.6098623017187</v>
      </c>
      <c r="K160" s="89">
        <f t="shared" si="86"/>
        <v>4484.7848133725656</v>
      </c>
      <c r="L160" s="89">
        <f t="shared" si="86"/>
        <v>4576.4114478271968</v>
      </c>
      <c r="M160" s="89">
        <f t="shared" si="86"/>
        <v>4667.7905777817859</v>
      </c>
      <c r="N160" s="89">
        <f t="shared" si="86"/>
        <v>4756.6881592515947</v>
      </c>
      <c r="O160" s="89">
        <f t="shared" si="86"/>
        <v>4842.1866836504714</v>
      </c>
      <c r="P160" s="89">
        <f t="shared" si="86"/>
        <v>4923.7618944486394</v>
      </c>
      <c r="Q160" s="89">
        <f t="shared" si="86"/>
        <v>5002.83168779476</v>
      </c>
      <c r="R160" s="89">
        <f t="shared" si="86"/>
        <v>5081.0232788450958</v>
      </c>
      <c r="S160" s="89">
        <f t="shared" si="86"/>
        <v>5158.5975575235889</v>
      </c>
      <c r="T160" s="89">
        <f t="shared" si="86"/>
        <v>5234.3362077869569</v>
      </c>
      <c r="U160" s="89">
        <f t="shared" si="86"/>
        <v>5308.460247412504</v>
      </c>
      <c r="V160" s="89">
        <f t="shared" si="86"/>
        <v>5383.9628909379207</v>
      </c>
      <c r="W160" s="89">
        <f t="shared" si="86"/>
        <v>5458.3848890550835</v>
      </c>
      <c r="X160" s="89">
        <f t="shared" si="86"/>
        <v>5531.0294895791612</v>
      </c>
      <c r="Y160" s="89">
        <f t="shared" si="86"/>
        <v>5601.7899048785312</v>
      </c>
      <c r="Z160" s="89">
        <f t="shared" si="86"/>
        <v>5671.8640283608793</v>
      </c>
      <c r="AA160" s="89">
        <f t="shared" si="86"/>
        <v>5740.9907412175908</v>
      </c>
      <c r="AB160" s="89">
        <f t="shared" si="86"/>
        <v>5808.6828575024256</v>
      </c>
      <c r="AC160" s="89">
        <f t="shared" si="86"/>
        <v>5874.5608145492297</v>
      </c>
      <c r="AD160" s="89">
        <f t="shared" si="86"/>
        <v>5938.2438296413002</v>
      </c>
      <c r="AE160" s="89">
        <f t="shared" si="86"/>
        <v>5999.4501438595689</v>
      </c>
      <c r="AF160" s="89">
        <f t="shared" si="86"/>
        <v>6057.9237254287755</v>
      </c>
      <c r="AG160" s="89">
        <f t="shared" si="73"/>
        <v>6113.8817912957702</v>
      </c>
      <c r="AH160" s="89">
        <f t="shared" si="73"/>
        <v>6168.4339917534526</v>
      </c>
      <c r="AI160" s="89">
        <f t="shared" si="73"/>
        <v>6221.7060871977164</v>
      </c>
      <c r="AJ160" s="89">
        <f t="shared" si="73"/>
        <v>6274.1150980598559</v>
      </c>
      <c r="AK160" s="89">
        <f t="shared" si="73"/>
        <v>6324.4231783221776</v>
      </c>
      <c r="AL160" s="89">
        <f t="shared" si="73"/>
        <v>6371.6823848535314</v>
      </c>
      <c r="AM160" s="89">
        <f t="shared" si="73"/>
        <v>6415.2484177256028</v>
      </c>
      <c r="AN160" s="89">
        <f t="shared" si="73"/>
        <v>6455.502520083659</v>
      </c>
      <c r="AO160" s="89">
        <f t="shared" si="73"/>
        <v>6492.5299210796084</v>
      </c>
      <c r="AP160" s="89">
        <f t="shared" si="73"/>
        <v>6526.1742392316301</v>
      </c>
      <c r="AQ160" s="89">
        <f t="shared" si="74"/>
        <v>6557.7887425383451</v>
      </c>
      <c r="AR160" s="89">
        <f t="shared" si="75"/>
        <v>6588.8932137925167</v>
      </c>
      <c r="AS160" s="89">
        <f t="shared" si="76"/>
        <v>6620.7101756814354</v>
      </c>
      <c r="AT160" s="89">
        <f t="shared" si="77"/>
        <v>6645.5114974738472</v>
      </c>
      <c r="AU160" s="89">
        <f t="shared" si="78"/>
        <v>6664.8441278110322</v>
      </c>
      <c r="AV160" s="89">
        <f t="shared" si="79"/>
        <v>6679.9139131588681</v>
      </c>
      <c r="AW160" s="89">
        <f t="shared" si="80"/>
        <v>6691.6608108375058</v>
      </c>
      <c r="AX160" s="89">
        <f t="shared" si="81"/>
        <v>6700.8175175780034</v>
      </c>
      <c r="AY160" s="89">
        <f t="shared" si="82"/>
        <v>6707.9551704822215</v>
      </c>
      <c r="AZ160" s="89">
        <f t="shared" si="83"/>
        <v>6713.5189709210599</v>
      </c>
      <c r="BA160" s="89">
        <f t="shared" si="84"/>
        <v>6717.8559533631342</v>
      </c>
      <c r="BB160" s="89">
        <f t="shared" si="84"/>
        <v>6721.23663117673</v>
      </c>
    </row>
    <row r="161" spans="1:54">
      <c r="B161" s="6" t="s">
        <v>2862</v>
      </c>
      <c r="D161" s="89">
        <f t="shared" si="86"/>
        <v>7464.6</v>
      </c>
      <c r="E161" s="89">
        <f t="shared" si="86"/>
        <v>7751.5349168837065</v>
      </c>
      <c r="F161" s="89">
        <f t="shared" si="86"/>
        <v>7999.3355282957746</v>
      </c>
      <c r="G161" s="89">
        <f t="shared" si="86"/>
        <v>8219.3362245187764</v>
      </c>
      <c r="H161" s="89">
        <f t="shared" si="86"/>
        <v>8422.0812019005407</v>
      </c>
      <c r="I161" s="89">
        <f t="shared" si="86"/>
        <v>8613.7651326200539</v>
      </c>
      <c r="J161" s="89">
        <f t="shared" si="86"/>
        <v>8795.2197246034375</v>
      </c>
      <c r="K161" s="89">
        <f t="shared" si="86"/>
        <v>8969.5696267451312</v>
      </c>
      <c r="L161" s="89">
        <f t="shared" si="86"/>
        <v>9152.8228956543935</v>
      </c>
      <c r="M161" s="89">
        <f t="shared" si="86"/>
        <v>9335.5811555635719</v>
      </c>
      <c r="N161" s="89">
        <f t="shared" si="86"/>
        <v>9513.3763185031894</v>
      </c>
      <c r="O161" s="89">
        <f t="shared" si="86"/>
        <v>9684.3733673009428</v>
      </c>
      <c r="P161" s="89">
        <f t="shared" si="86"/>
        <v>9847.5237888972788</v>
      </c>
      <c r="Q161" s="89">
        <f t="shared" si="86"/>
        <v>10005.66337558952</v>
      </c>
      <c r="R161" s="89">
        <f t="shared" si="86"/>
        <v>10162.046557690192</v>
      </c>
      <c r="S161" s="89">
        <f t="shared" si="86"/>
        <v>10317.195115047178</v>
      </c>
      <c r="T161" s="89">
        <f t="shared" si="86"/>
        <v>10468.672415573914</v>
      </c>
      <c r="U161" s="89">
        <f t="shared" si="86"/>
        <v>10616.920494825008</v>
      </c>
      <c r="V161" s="89">
        <f t="shared" si="86"/>
        <v>10767.925781875841</v>
      </c>
      <c r="W161" s="89">
        <f t="shared" si="86"/>
        <v>10916.769778110167</v>
      </c>
      <c r="X161" s="89">
        <f t="shared" si="86"/>
        <v>11062.058979158322</v>
      </c>
      <c r="Y161" s="89">
        <f t="shared" si="86"/>
        <v>11203.579809757062</v>
      </c>
      <c r="Z161" s="89">
        <f t="shared" si="86"/>
        <v>11343.728056721759</v>
      </c>
      <c r="AA161" s="89">
        <f t="shared" si="86"/>
        <v>11481.981482435182</v>
      </c>
      <c r="AB161" s="89">
        <f t="shared" si="86"/>
        <v>11617.365715004851</v>
      </c>
      <c r="AC161" s="89">
        <f t="shared" si="86"/>
        <v>11749.121629098459</v>
      </c>
      <c r="AD161" s="89">
        <f t="shared" si="86"/>
        <v>11876.4876592826</v>
      </c>
      <c r="AE161" s="89">
        <f t="shared" si="86"/>
        <v>11998.900287719138</v>
      </c>
      <c r="AF161" s="89">
        <f t="shared" si="86"/>
        <v>12115.847450857551</v>
      </c>
      <c r="AG161" s="89">
        <f t="shared" si="73"/>
        <v>12227.76358259154</v>
      </c>
      <c r="AH161" s="89">
        <f t="shared" si="73"/>
        <v>12336.867983506905</v>
      </c>
      <c r="AI161" s="89">
        <f t="shared" si="73"/>
        <v>12443.412174395433</v>
      </c>
      <c r="AJ161" s="89">
        <f t="shared" si="73"/>
        <v>12548.230196119712</v>
      </c>
      <c r="AK161" s="89">
        <f t="shared" si="73"/>
        <v>12648.846356644355</v>
      </c>
      <c r="AL161" s="89">
        <f t="shared" si="73"/>
        <v>12743.364769707063</v>
      </c>
      <c r="AM161" s="89">
        <f t="shared" si="73"/>
        <v>12830.496835451206</v>
      </c>
      <c r="AN161" s="89">
        <f t="shared" si="73"/>
        <v>12911.005040167318</v>
      </c>
      <c r="AO161" s="89">
        <f t="shared" si="73"/>
        <v>12985.059842159217</v>
      </c>
      <c r="AP161" s="89">
        <f t="shared" si="73"/>
        <v>13052.34847846326</v>
      </c>
      <c r="AQ161" s="89">
        <f t="shared" si="74"/>
        <v>13115.57748507669</v>
      </c>
      <c r="AR161" s="89">
        <f t="shared" si="75"/>
        <v>13177.786427585033</v>
      </c>
      <c r="AS161" s="89">
        <f t="shared" si="76"/>
        <v>13241.420351362871</v>
      </c>
      <c r="AT161" s="89">
        <f t="shared" si="77"/>
        <v>13291.022994947694</v>
      </c>
      <c r="AU161" s="89">
        <f t="shared" si="78"/>
        <v>13329.688255622064</v>
      </c>
      <c r="AV161" s="89">
        <f t="shared" si="79"/>
        <v>13359.827826317736</v>
      </c>
      <c r="AW161" s="89">
        <f t="shared" si="80"/>
        <v>13383.321621675012</v>
      </c>
      <c r="AX161" s="89">
        <f t="shared" si="81"/>
        <v>13401.635035156007</v>
      </c>
      <c r="AY161" s="89">
        <f t="shared" si="82"/>
        <v>13415.910340964443</v>
      </c>
      <c r="AZ161" s="89">
        <f t="shared" si="83"/>
        <v>13427.03794184212</v>
      </c>
      <c r="BA161" s="89">
        <f t="shared" si="84"/>
        <v>13435.711906726268</v>
      </c>
      <c r="BB161" s="89">
        <f t="shared" si="84"/>
        <v>13442.47326235346</v>
      </c>
    </row>
    <row r="162" spans="1:54">
      <c r="B162" s="6" t="s">
        <v>131</v>
      </c>
      <c r="D162" s="89">
        <f t="shared" si="86"/>
        <v>0</v>
      </c>
      <c r="E162" s="89">
        <f t="shared" si="86"/>
        <v>0</v>
      </c>
      <c r="F162" s="89">
        <f t="shared" si="86"/>
        <v>0</v>
      </c>
      <c r="G162" s="89">
        <f t="shared" si="86"/>
        <v>0</v>
      </c>
      <c r="H162" s="89">
        <f t="shared" si="86"/>
        <v>0</v>
      </c>
      <c r="I162" s="89">
        <f t="shared" si="86"/>
        <v>0</v>
      </c>
      <c r="J162" s="89">
        <f t="shared" si="86"/>
        <v>0</v>
      </c>
      <c r="K162" s="89">
        <f t="shared" si="86"/>
        <v>0</v>
      </c>
      <c r="L162" s="89">
        <f t="shared" si="86"/>
        <v>0</v>
      </c>
      <c r="M162" s="89">
        <f t="shared" si="86"/>
        <v>0</v>
      </c>
      <c r="N162" s="89">
        <f t="shared" si="86"/>
        <v>0</v>
      </c>
      <c r="O162" s="89">
        <f t="shared" si="86"/>
        <v>0</v>
      </c>
      <c r="P162" s="89">
        <f t="shared" si="86"/>
        <v>0</v>
      </c>
      <c r="Q162" s="89">
        <f t="shared" si="86"/>
        <v>0</v>
      </c>
      <c r="R162" s="89">
        <f t="shared" si="86"/>
        <v>0</v>
      </c>
      <c r="S162" s="89">
        <f t="shared" si="86"/>
        <v>0</v>
      </c>
      <c r="T162" s="89">
        <f t="shared" si="86"/>
        <v>0</v>
      </c>
      <c r="U162" s="89">
        <f t="shared" si="86"/>
        <v>0</v>
      </c>
      <c r="V162" s="89">
        <f t="shared" si="86"/>
        <v>0</v>
      </c>
      <c r="W162" s="89">
        <f t="shared" si="86"/>
        <v>0</v>
      </c>
      <c r="X162" s="89">
        <f t="shared" si="86"/>
        <v>0</v>
      </c>
      <c r="Y162" s="89">
        <f t="shared" si="86"/>
        <v>0</v>
      </c>
      <c r="Z162" s="89">
        <f t="shared" si="86"/>
        <v>0</v>
      </c>
      <c r="AA162" s="89">
        <f t="shared" si="86"/>
        <v>0</v>
      </c>
      <c r="AB162" s="89">
        <f t="shared" si="86"/>
        <v>0</v>
      </c>
      <c r="AC162" s="89">
        <f t="shared" si="86"/>
        <v>0</v>
      </c>
      <c r="AD162" s="89">
        <f t="shared" si="86"/>
        <v>0</v>
      </c>
      <c r="AE162" s="89">
        <f t="shared" si="86"/>
        <v>0</v>
      </c>
      <c r="AF162" s="89">
        <f t="shared" si="86"/>
        <v>0</v>
      </c>
      <c r="AG162" s="89">
        <f t="shared" si="73"/>
        <v>0</v>
      </c>
      <c r="AH162" s="89">
        <f t="shared" si="73"/>
        <v>0</v>
      </c>
      <c r="AI162" s="89">
        <f t="shared" si="73"/>
        <v>0</v>
      </c>
      <c r="AJ162" s="89">
        <f t="shared" si="73"/>
        <v>0</v>
      </c>
      <c r="AK162" s="89">
        <f t="shared" si="73"/>
        <v>0</v>
      </c>
      <c r="AL162" s="89">
        <f t="shared" si="73"/>
        <v>0</v>
      </c>
      <c r="AM162" s="89">
        <f t="shared" si="73"/>
        <v>0</v>
      </c>
      <c r="AN162" s="89">
        <f t="shared" si="73"/>
        <v>0</v>
      </c>
      <c r="AO162" s="89">
        <f t="shared" si="73"/>
        <v>0</v>
      </c>
      <c r="AP162" s="89">
        <f t="shared" si="73"/>
        <v>0</v>
      </c>
      <c r="AQ162" s="89">
        <f t="shared" si="74"/>
        <v>0</v>
      </c>
      <c r="AR162" s="89">
        <f t="shared" si="75"/>
        <v>0</v>
      </c>
      <c r="AS162" s="89">
        <f t="shared" si="76"/>
        <v>0</v>
      </c>
      <c r="AT162" s="89">
        <f t="shared" si="77"/>
        <v>0</v>
      </c>
      <c r="AU162" s="89">
        <f t="shared" si="78"/>
        <v>0</v>
      </c>
      <c r="AV162" s="89">
        <f t="shared" si="79"/>
        <v>0</v>
      </c>
      <c r="AW162" s="89">
        <f t="shared" si="80"/>
        <v>0</v>
      </c>
      <c r="AX162" s="89">
        <f t="shared" si="81"/>
        <v>0</v>
      </c>
      <c r="AY162" s="89">
        <f t="shared" si="82"/>
        <v>0</v>
      </c>
      <c r="AZ162" s="89">
        <f t="shared" si="83"/>
        <v>0</v>
      </c>
      <c r="BA162" s="89">
        <f t="shared" si="84"/>
        <v>0</v>
      </c>
      <c r="BB162" s="89">
        <f t="shared" si="84"/>
        <v>0</v>
      </c>
    </row>
    <row r="163" spans="1:54" ht="29">
      <c r="B163" s="6" t="s">
        <v>2869</v>
      </c>
      <c r="D163" s="89">
        <f t="shared" si="86"/>
        <v>2382.4837305699484</v>
      </c>
      <c r="E163" s="89">
        <f t="shared" si="86"/>
        <v>2474.0650304665096</v>
      </c>
      <c r="F163" s="89">
        <f t="shared" si="86"/>
        <v>2553.1557955596877</v>
      </c>
      <c r="G163" s="89">
        <f t="shared" si="86"/>
        <v>2623.3736343541796</v>
      </c>
      <c r="H163" s="89">
        <f t="shared" si="86"/>
        <v>2688.0839483786181</v>
      </c>
      <c r="I163" s="89">
        <f t="shared" si="86"/>
        <v>2749.2638972507534</v>
      </c>
      <c r="J163" s="89">
        <f t="shared" si="86"/>
        <v>2807.1789380081441</v>
      </c>
      <c r="K163" s="89">
        <f t="shared" si="86"/>
        <v>2862.8263679145084</v>
      </c>
      <c r="L163" s="89">
        <f t="shared" si="86"/>
        <v>2921.3154941570506</v>
      </c>
      <c r="M163" s="89">
        <f t="shared" si="86"/>
        <v>2979.6466278897205</v>
      </c>
      <c r="N163" s="89">
        <f t="shared" si="86"/>
        <v>3036.3936850766659</v>
      </c>
      <c r="O163" s="89">
        <f t="shared" si="86"/>
        <v>3090.9709814805087</v>
      </c>
      <c r="P163" s="89">
        <f t="shared" si="86"/>
        <v>3143.0438621558155</v>
      </c>
      <c r="Q163" s="89">
        <f t="shared" si="86"/>
        <v>3193.5174297218368</v>
      </c>
      <c r="R163" s="89">
        <f t="shared" si="86"/>
        <v>3243.4304039052636</v>
      </c>
      <c r="S163" s="89">
        <f t="shared" si="86"/>
        <v>3292.9493216938149</v>
      </c>
      <c r="T163" s="89">
        <f t="shared" si="86"/>
        <v>3341.2964808256643</v>
      </c>
      <c r="U163" s="89">
        <f t="shared" si="86"/>
        <v>3388.6129662239409</v>
      </c>
      <c r="V163" s="89">
        <f t="shared" si="86"/>
        <v>3436.8094723500094</v>
      </c>
      <c r="W163" s="89">
        <f t="shared" si="86"/>
        <v>3484.3161571584787</v>
      </c>
      <c r="X163" s="89">
        <f t="shared" si="86"/>
        <v>3530.6882544878376</v>
      </c>
      <c r="Y163" s="89">
        <f t="shared" si="86"/>
        <v>3575.8575973110628</v>
      </c>
      <c r="Z163" s="89">
        <f t="shared" si="86"/>
        <v>3620.588851264562</v>
      </c>
      <c r="AA163" s="89">
        <f t="shared" si="86"/>
        <v>3664.7153332539233</v>
      </c>
      <c r="AB163" s="89">
        <f t="shared" si="86"/>
        <v>3707.9260520429993</v>
      </c>
      <c r="AC163" s="89">
        <f t="shared" si="86"/>
        <v>3749.9787168521511</v>
      </c>
      <c r="AD163" s="89">
        <f t="shared" si="86"/>
        <v>3790.6302580922711</v>
      </c>
      <c r="AE163" s="89">
        <f t="shared" si="86"/>
        <v>3829.7008172202018</v>
      </c>
      <c r="AF163" s="89">
        <f t="shared" si="86"/>
        <v>3867.0269584084208</v>
      </c>
      <c r="AG163" s="89">
        <f t="shared" si="73"/>
        <v>3902.7473403504614</v>
      </c>
      <c r="AH163" s="89">
        <f t="shared" si="73"/>
        <v>3937.5702993990953</v>
      </c>
      <c r="AI163" s="89">
        <f t="shared" si="73"/>
        <v>3971.57611369305</v>
      </c>
      <c r="AJ163" s="89">
        <f t="shared" si="73"/>
        <v>4005.0309848755146</v>
      </c>
      <c r="AK163" s="89">
        <f t="shared" si="73"/>
        <v>4037.1447438823438</v>
      </c>
      <c r="AL163" s="89">
        <f t="shared" si="73"/>
        <v>4067.3122788287828</v>
      </c>
      <c r="AM163" s="89">
        <f t="shared" si="73"/>
        <v>4095.1223060300226</v>
      </c>
      <c r="AN163" s="89">
        <f t="shared" si="73"/>
        <v>4120.8181889860462</v>
      </c>
      <c r="AO163" s="89">
        <f t="shared" si="73"/>
        <v>4144.4543330414917</v>
      </c>
      <c r="AP163" s="89">
        <f t="shared" si="73"/>
        <v>4165.9309133333518</v>
      </c>
      <c r="AQ163" s="89">
        <f t="shared" si="74"/>
        <v>4186.1117776203328</v>
      </c>
      <c r="AR163" s="89">
        <f t="shared" si="75"/>
        <v>4205.9670670426849</v>
      </c>
      <c r="AS163" s="89">
        <f t="shared" si="76"/>
        <v>4226.2771691396529</v>
      </c>
      <c r="AT163" s="89">
        <f t="shared" si="77"/>
        <v>4242.1088937242384</v>
      </c>
      <c r="AU163" s="89">
        <f t="shared" si="78"/>
        <v>4254.4497230379238</v>
      </c>
      <c r="AV163" s="89">
        <f t="shared" si="79"/>
        <v>4264.0693994879412</v>
      </c>
      <c r="AW163" s="89">
        <f t="shared" si="80"/>
        <v>4271.5679372807299</v>
      </c>
      <c r="AX163" s="89">
        <f t="shared" si="81"/>
        <v>4277.4130474902076</v>
      </c>
      <c r="AY163" s="89">
        <f t="shared" si="82"/>
        <v>4281.9693108984957</v>
      </c>
      <c r="AZ163" s="89">
        <f t="shared" si="83"/>
        <v>4285.5209182252574</v>
      </c>
      <c r="BA163" s="89">
        <f t="shared" si="84"/>
        <v>4288.289396136468</v>
      </c>
      <c r="BB163" s="89">
        <f t="shared" si="84"/>
        <v>4290.4474246682548</v>
      </c>
    </row>
    <row r="164" spans="1:54" ht="29">
      <c r="B164" s="6" t="s">
        <v>2870</v>
      </c>
      <c r="D164" s="89">
        <f t="shared" si="86"/>
        <v>1349.8162694300518</v>
      </c>
      <c r="E164" s="89">
        <f t="shared" si="86"/>
        <v>1401.7024279753439</v>
      </c>
      <c r="F164" s="89">
        <f t="shared" si="86"/>
        <v>1446.5119685881996</v>
      </c>
      <c r="G164" s="89">
        <f t="shared" si="86"/>
        <v>1486.2944779052086</v>
      </c>
      <c r="H164" s="89">
        <f t="shared" si="86"/>
        <v>1522.9566525716521</v>
      </c>
      <c r="I164" s="89">
        <f t="shared" si="86"/>
        <v>1557.618669059274</v>
      </c>
      <c r="J164" s="89">
        <f t="shared" si="86"/>
        <v>1590.4309242935749</v>
      </c>
      <c r="K164" s="89">
        <f t="shared" si="86"/>
        <v>1621.9584454580572</v>
      </c>
      <c r="L164" s="89">
        <f t="shared" si="86"/>
        <v>1655.0959536701469</v>
      </c>
      <c r="M164" s="89">
        <f t="shared" si="86"/>
        <v>1688.1439498920654</v>
      </c>
      <c r="N164" s="89">
        <f t="shared" si="86"/>
        <v>1720.2944741749288</v>
      </c>
      <c r="O164" s="89">
        <f t="shared" si="86"/>
        <v>1751.2157021699634</v>
      </c>
      <c r="P164" s="89">
        <f t="shared" si="86"/>
        <v>1780.7180322928239</v>
      </c>
      <c r="Q164" s="89">
        <f t="shared" si="86"/>
        <v>1809.3142580729236</v>
      </c>
      <c r="R164" s="89">
        <f t="shared" si="86"/>
        <v>1837.5928749398324</v>
      </c>
      <c r="S164" s="89">
        <f t="shared" si="86"/>
        <v>1865.6482358297746</v>
      </c>
      <c r="T164" s="89">
        <f t="shared" si="86"/>
        <v>1893.0397269612931</v>
      </c>
      <c r="U164" s="89">
        <f t="shared" si="86"/>
        <v>1919.8472811885636</v>
      </c>
      <c r="V164" s="89">
        <f t="shared" si="86"/>
        <v>1947.1534185879109</v>
      </c>
      <c r="W164" s="89">
        <f t="shared" si="86"/>
        <v>1974.0687318966052</v>
      </c>
      <c r="X164" s="89">
        <f t="shared" si="86"/>
        <v>2000.3412350913234</v>
      </c>
      <c r="Y164" s="89">
        <f t="shared" si="86"/>
        <v>2025.9323075674686</v>
      </c>
      <c r="Z164" s="89">
        <f t="shared" si="86"/>
        <v>2051.2751770963182</v>
      </c>
      <c r="AA164" s="89">
        <f t="shared" si="86"/>
        <v>2076.2754079636675</v>
      </c>
      <c r="AB164" s="89">
        <f t="shared" si="86"/>
        <v>2100.7568054594262</v>
      </c>
      <c r="AC164" s="89">
        <f t="shared" si="86"/>
        <v>2124.582097697079</v>
      </c>
      <c r="AD164" s="89">
        <f t="shared" si="86"/>
        <v>2147.61357154903</v>
      </c>
      <c r="AE164" s="89">
        <f t="shared" si="86"/>
        <v>2169.7493266393672</v>
      </c>
      <c r="AF164" s="89">
        <f t="shared" si="86"/>
        <v>2190.8967670203551</v>
      </c>
      <c r="AG164" s="89">
        <f t="shared" si="73"/>
        <v>2211.1344509453097</v>
      </c>
      <c r="AH164" s="89">
        <f t="shared" si="73"/>
        <v>2230.8636923543572</v>
      </c>
      <c r="AI164" s="89">
        <f t="shared" si="73"/>
        <v>2250.1299735046659</v>
      </c>
      <c r="AJ164" s="89">
        <f t="shared" si="73"/>
        <v>2269.0841131843417</v>
      </c>
      <c r="AK164" s="89">
        <f t="shared" si="73"/>
        <v>2287.2784344398337</v>
      </c>
      <c r="AL164" s="89">
        <f t="shared" si="73"/>
        <v>2304.3701060247486</v>
      </c>
      <c r="AM164" s="89">
        <f t="shared" si="73"/>
        <v>2320.1261116955807</v>
      </c>
      <c r="AN164" s="89">
        <f t="shared" si="73"/>
        <v>2334.6843310976133</v>
      </c>
      <c r="AO164" s="89">
        <f t="shared" si="73"/>
        <v>2348.0755880381175</v>
      </c>
      <c r="AP164" s="89">
        <f t="shared" si="73"/>
        <v>2360.2433258982787</v>
      </c>
      <c r="AQ164" s="89">
        <f t="shared" si="74"/>
        <v>2371.6769649180128</v>
      </c>
      <c r="AR164" s="89">
        <f t="shared" si="75"/>
        <v>2382.9261467498322</v>
      </c>
      <c r="AS164" s="89">
        <f t="shared" si="76"/>
        <v>2394.4330065417835</v>
      </c>
      <c r="AT164" s="89">
        <f t="shared" si="77"/>
        <v>2403.4026037496087</v>
      </c>
      <c r="AU164" s="89">
        <f t="shared" si="78"/>
        <v>2410.3944047731088</v>
      </c>
      <c r="AV164" s="89">
        <f t="shared" si="79"/>
        <v>2415.8445136709274</v>
      </c>
      <c r="AW164" s="89">
        <f t="shared" si="80"/>
        <v>2420.0928735567768</v>
      </c>
      <c r="AX164" s="89">
        <f t="shared" si="81"/>
        <v>2423.4044700877957</v>
      </c>
      <c r="AY164" s="89">
        <f t="shared" si="82"/>
        <v>2425.9858595837254</v>
      </c>
      <c r="AZ164" s="89">
        <f t="shared" si="83"/>
        <v>2427.9980526958029</v>
      </c>
      <c r="BA164" s="89">
        <f t="shared" si="84"/>
        <v>2429.5665572266671</v>
      </c>
      <c r="BB164" s="89">
        <f t="shared" si="84"/>
        <v>2430.7892065084752</v>
      </c>
    </row>
    <row r="165" spans="1:54">
      <c r="B165" s="6" t="s">
        <v>102</v>
      </c>
      <c r="D165" s="89">
        <f t="shared" si="86"/>
        <v>0</v>
      </c>
      <c r="E165" s="89">
        <f t="shared" si="86"/>
        <v>0</v>
      </c>
      <c r="F165" s="89">
        <f t="shared" si="86"/>
        <v>0</v>
      </c>
      <c r="G165" s="89">
        <f t="shared" si="86"/>
        <v>0</v>
      </c>
      <c r="H165" s="89">
        <f t="shared" si="86"/>
        <v>0</v>
      </c>
      <c r="I165" s="89">
        <f t="shared" si="86"/>
        <v>0</v>
      </c>
      <c r="J165" s="89">
        <f t="shared" si="86"/>
        <v>0</v>
      </c>
      <c r="K165" s="89">
        <f t="shared" si="86"/>
        <v>0</v>
      </c>
      <c r="L165" s="89">
        <f t="shared" si="86"/>
        <v>0</v>
      </c>
      <c r="M165" s="89">
        <f t="shared" si="86"/>
        <v>0</v>
      </c>
      <c r="N165" s="89">
        <f t="shared" si="86"/>
        <v>0</v>
      </c>
      <c r="O165" s="89">
        <f t="shared" si="86"/>
        <v>0</v>
      </c>
      <c r="P165" s="89">
        <f t="shared" si="86"/>
        <v>0</v>
      </c>
      <c r="Q165" s="89">
        <f t="shared" si="86"/>
        <v>0</v>
      </c>
      <c r="R165" s="89">
        <f t="shared" si="86"/>
        <v>0</v>
      </c>
      <c r="S165" s="89">
        <f t="shared" si="86"/>
        <v>0</v>
      </c>
      <c r="T165" s="89">
        <f t="shared" si="86"/>
        <v>0</v>
      </c>
      <c r="U165" s="89">
        <f t="shared" si="86"/>
        <v>0</v>
      </c>
      <c r="V165" s="89">
        <f t="shared" si="86"/>
        <v>0</v>
      </c>
      <c r="W165" s="89">
        <f t="shared" si="86"/>
        <v>0</v>
      </c>
      <c r="X165" s="89">
        <f t="shared" si="86"/>
        <v>0</v>
      </c>
      <c r="Y165" s="89">
        <f t="shared" si="86"/>
        <v>0</v>
      </c>
      <c r="Z165" s="89">
        <f t="shared" si="86"/>
        <v>0</v>
      </c>
      <c r="AA165" s="89">
        <f t="shared" si="86"/>
        <v>0</v>
      </c>
      <c r="AB165" s="89">
        <f t="shared" si="86"/>
        <v>0</v>
      </c>
      <c r="AC165" s="89">
        <f t="shared" si="86"/>
        <v>0</v>
      </c>
      <c r="AD165" s="89">
        <f t="shared" si="86"/>
        <v>0</v>
      </c>
      <c r="AE165" s="89">
        <f t="shared" si="86"/>
        <v>0</v>
      </c>
      <c r="AF165" s="89">
        <f t="shared" si="86"/>
        <v>0</v>
      </c>
      <c r="AG165" s="89">
        <f t="shared" si="73"/>
        <v>0</v>
      </c>
      <c r="AH165" s="89">
        <f t="shared" si="73"/>
        <v>0</v>
      </c>
      <c r="AI165" s="89">
        <f t="shared" si="73"/>
        <v>0</v>
      </c>
      <c r="AJ165" s="89">
        <f t="shared" si="73"/>
        <v>0</v>
      </c>
      <c r="AK165" s="89">
        <f t="shared" si="73"/>
        <v>0</v>
      </c>
      <c r="AL165" s="89">
        <f t="shared" si="73"/>
        <v>0</v>
      </c>
      <c r="AM165" s="89">
        <f t="shared" si="73"/>
        <v>0</v>
      </c>
      <c r="AN165" s="89">
        <f t="shared" si="73"/>
        <v>0</v>
      </c>
      <c r="AO165" s="89">
        <f t="shared" si="73"/>
        <v>0</v>
      </c>
      <c r="AP165" s="89">
        <f t="shared" si="73"/>
        <v>0</v>
      </c>
      <c r="AQ165" s="89">
        <f t="shared" si="74"/>
        <v>0</v>
      </c>
      <c r="AR165" s="89">
        <f t="shared" si="75"/>
        <v>0</v>
      </c>
      <c r="AS165" s="89">
        <f t="shared" si="76"/>
        <v>0</v>
      </c>
      <c r="AT165" s="89">
        <f t="shared" si="77"/>
        <v>0</v>
      </c>
      <c r="AU165" s="89">
        <f t="shared" si="78"/>
        <v>0</v>
      </c>
      <c r="AV165" s="89">
        <f t="shared" si="79"/>
        <v>0</v>
      </c>
      <c r="AW165" s="89">
        <f t="shared" si="80"/>
        <v>0</v>
      </c>
      <c r="AX165" s="89">
        <f t="shared" si="81"/>
        <v>0</v>
      </c>
      <c r="AY165" s="89">
        <f t="shared" si="82"/>
        <v>0</v>
      </c>
      <c r="AZ165" s="89">
        <f t="shared" si="83"/>
        <v>0</v>
      </c>
      <c r="BA165" s="89">
        <f t="shared" si="84"/>
        <v>0</v>
      </c>
      <c r="BB165" s="89">
        <f t="shared" si="84"/>
        <v>0</v>
      </c>
    </row>
    <row r="166" spans="1:54">
      <c r="B166" s="6" t="s">
        <v>2831</v>
      </c>
      <c r="D166" s="89">
        <f t="shared" si="86"/>
        <v>87449.065330569952</v>
      </c>
      <c r="E166" s="89">
        <f t="shared" si="86"/>
        <v>90810.556943273245</v>
      </c>
      <c r="F166" s="89">
        <f t="shared" si="86"/>
        <v>93713.58347601835</v>
      </c>
      <c r="G166" s="89">
        <f t="shared" si="86"/>
        <v>96290.929248970162</v>
      </c>
      <c r="H166" s="89">
        <f t="shared" si="86"/>
        <v>98666.121325237182</v>
      </c>
      <c r="I166" s="89">
        <f t="shared" si="86"/>
        <v>100911.7313485889</v>
      </c>
      <c r="J166" s="89">
        <f t="shared" si="86"/>
        <v>103037.50291958892</v>
      </c>
      <c r="K166" s="89">
        <f t="shared" si="86"/>
        <v>105080.04183430203</v>
      </c>
      <c r="L166" s="89">
        <f t="shared" si="86"/>
        <v>107226.88521303453</v>
      </c>
      <c r="M166" s="89">
        <f t="shared" si="86"/>
        <v>109367.92947669218</v>
      </c>
      <c r="N166" s="89">
        <f t="shared" si="86"/>
        <v>111450.83021073902</v>
      </c>
      <c r="O166" s="89">
        <f t="shared" si="86"/>
        <v>113454.08987524208</v>
      </c>
      <c r="P166" s="89">
        <f t="shared" si="86"/>
        <v>115365.42496042921</v>
      </c>
      <c r="Q166" s="89">
        <f t="shared" si="86"/>
        <v>117218.05725794003</v>
      </c>
      <c r="R166" s="89">
        <f t="shared" si="86"/>
        <v>119050.11297534269</v>
      </c>
      <c r="S166" s="89">
        <f t="shared" si="86"/>
        <v>120867.70485277147</v>
      </c>
      <c r="T166" s="89">
        <f t="shared" si="86"/>
        <v>122642.28732870599</v>
      </c>
      <c r="U166" s="89">
        <f t="shared" si="86"/>
        <v>124379.03892524974</v>
      </c>
      <c r="V166" s="89">
        <f t="shared" si="86"/>
        <v>126148.0916826071</v>
      </c>
      <c r="W166" s="89">
        <f t="shared" si="86"/>
        <v>127891.82454850196</v>
      </c>
      <c r="X166" s="89">
        <f t="shared" si="86"/>
        <v>129593.91238097608</v>
      </c>
      <c r="Y166" s="89">
        <f t="shared" si="86"/>
        <v>131251.85310930255</v>
      </c>
      <c r="Z166" s="89">
        <f t="shared" si="86"/>
        <v>132893.71378566575</v>
      </c>
      <c r="AA166" s="89">
        <f t="shared" si="86"/>
        <v>134513.37630708527</v>
      </c>
      <c r="AB166" s="89">
        <f t="shared" si="86"/>
        <v>136099.42574023828</v>
      </c>
      <c r="AC166" s="89">
        <f t="shared" si="86"/>
        <v>137642.9688020582</v>
      </c>
      <c r="AD166" s="89">
        <f t="shared" si="86"/>
        <v>139135.08362327682</v>
      </c>
      <c r="AE166" s="89">
        <f t="shared" si="86"/>
        <v>140569.16849606752</v>
      </c>
      <c r="AF166" s="89">
        <f t="shared" si="86"/>
        <v>141939.2245083811</v>
      </c>
      <c r="AG166" s="89">
        <f t="shared" si="73"/>
        <v>143250.34112756368</v>
      </c>
      <c r="AH166" s="89">
        <f t="shared" si="73"/>
        <v>144528.51783944378</v>
      </c>
      <c r="AI166" s="89">
        <f t="shared" si="73"/>
        <v>145776.70125310341</v>
      </c>
      <c r="AJ166" s="89">
        <f t="shared" si="73"/>
        <v>147004.66229985576</v>
      </c>
      <c r="AK166" s="89">
        <f t="shared" si="73"/>
        <v>148183.39782420141</v>
      </c>
      <c r="AL166" s="89">
        <f t="shared" si="73"/>
        <v>149290.69719441049</v>
      </c>
      <c r="AM166" s="89">
        <f t="shared" si="73"/>
        <v>150311.46424283198</v>
      </c>
      <c r="AN166" s="89">
        <f t="shared" si="73"/>
        <v>151254.63162673282</v>
      </c>
      <c r="AO166" s="89">
        <f t="shared" si="73"/>
        <v>152122.19629428795</v>
      </c>
      <c r="AP166" s="89">
        <f t="shared" si="73"/>
        <v>152910.49417390069</v>
      </c>
      <c r="AQ166" s="89">
        <f t="shared" si="74"/>
        <v>153651.23279755432</v>
      </c>
      <c r="AR166" s="89">
        <f t="shared" si="75"/>
        <v>154380.02119580173</v>
      </c>
      <c r="AS166" s="89">
        <f t="shared" si="76"/>
        <v>155125.50349327095</v>
      </c>
      <c r="AT166" s="89">
        <f t="shared" si="77"/>
        <v>155706.60694414817</v>
      </c>
      <c r="AU166" s="89">
        <f t="shared" si="78"/>
        <v>156159.57708410698</v>
      </c>
      <c r="AV166" s="89">
        <f t="shared" si="79"/>
        <v>156512.66730820487</v>
      </c>
      <c r="AW166" s="89">
        <f t="shared" si="80"/>
        <v>156787.90113788919</v>
      </c>
      <c r="AX166" s="89">
        <f t="shared" si="81"/>
        <v>157002.44590812808</v>
      </c>
      <c r="AY166" s="89">
        <f t="shared" si="82"/>
        <v>157169.68355652929</v>
      </c>
      <c r="AZ166" s="89">
        <f t="shared" si="83"/>
        <v>157300.04530345806</v>
      </c>
      <c r="BA166" s="89">
        <f t="shared" si="84"/>
        <v>157401.66228518903</v>
      </c>
      <c r="BB166" s="89">
        <f t="shared" si="84"/>
        <v>157480.87272244832</v>
      </c>
    </row>
    <row r="167" spans="1:54">
      <c r="B167" s="6" t="s">
        <v>2832</v>
      </c>
      <c r="D167" s="89">
        <f t="shared" si="86"/>
        <v>35311.657728497412</v>
      </c>
      <c r="E167" s="89">
        <f t="shared" si="86"/>
        <v>36669.017476555215</v>
      </c>
      <c r="F167" s="89">
        <f t="shared" si="86"/>
        <v>37841.250466279424</v>
      </c>
      <c r="G167" s="89">
        <f t="shared" si="86"/>
        <v>38881.974588812147</v>
      </c>
      <c r="H167" s="89">
        <f t="shared" si="86"/>
        <v>39841.069683991635</v>
      </c>
      <c r="I167" s="89">
        <f t="shared" si="86"/>
        <v>40747.839953479684</v>
      </c>
      <c r="J167" s="89">
        <f t="shared" si="86"/>
        <v>41606.219832559793</v>
      </c>
      <c r="K167" s="89">
        <f t="shared" si="86"/>
        <v>42430.990626631072</v>
      </c>
      <c r="L167" s="89">
        <f t="shared" si="86"/>
        <v>43297.879235444969</v>
      </c>
      <c r="M167" s="89">
        <f t="shared" si="86"/>
        <v>44162.426179818227</v>
      </c>
      <c r="N167" s="89">
        <f t="shared" si="86"/>
        <v>45003.494949679465</v>
      </c>
      <c r="O167" s="89">
        <f t="shared" si="86"/>
        <v>45812.404905970427</v>
      </c>
      <c r="P167" s="89">
        <f t="shared" si="86"/>
        <v>46584.196006052123</v>
      </c>
      <c r="Q167" s="89">
        <f t="shared" si="86"/>
        <v>47332.283104972696</v>
      </c>
      <c r="R167" s="89">
        <f t="shared" si="86"/>
        <v>48072.061445517691</v>
      </c>
      <c r="S167" s="89">
        <f t="shared" si="86"/>
        <v>48805.999332941006</v>
      </c>
      <c r="T167" s="89">
        <f t="shared" si="86"/>
        <v>49522.570159219278</v>
      </c>
      <c r="U167" s="89">
        <f t="shared" si="86"/>
        <v>50223.864995301832</v>
      </c>
      <c r="V167" s="89">
        <f t="shared" si="86"/>
        <v>50938.202938598522</v>
      </c>
      <c r="W167" s="89">
        <f t="shared" si="86"/>
        <v>51642.316789302953</v>
      </c>
      <c r="X167" s="89">
        <f t="shared" si="86"/>
        <v>52329.614506402235</v>
      </c>
      <c r="Y167" s="89">
        <f t="shared" si="86"/>
        <v>52999.085761600822</v>
      </c>
      <c r="Z167" s="89">
        <f t="shared" si="86"/>
        <v>53662.063942356166</v>
      </c>
      <c r="AA167" s="89">
        <f t="shared" si="86"/>
        <v>54316.078577913941</v>
      </c>
      <c r="AB167" s="89">
        <f t="shared" si="86"/>
        <v>54956.520354075481</v>
      </c>
      <c r="AC167" s="89">
        <f t="shared" si="86"/>
        <v>55579.798191090034</v>
      </c>
      <c r="AD167" s="89">
        <f t="shared" si="86"/>
        <v>56182.309466188482</v>
      </c>
      <c r="AE167" s="89">
        <f t="shared" si="86"/>
        <v>56761.388430499595</v>
      </c>
      <c r="AF167" s="89">
        <f t="shared" si="86"/>
        <v>57314.612742192439</v>
      </c>
      <c r="AG167" s="89">
        <f t="shared" ref="AG167:AP168" si="87">INDEX($D$58:$D$75,MATCH($B167,$B$58:$B$75,0))*AF$14</f>
        <v>57844.037512185219</v>
      </c>
      <c r="AH167" s="89">
        <f t="shared" si="87"/>
        <v>58360.161251139223</v>
      </c>
      <c r="AI167" s="89">
        <f t="shared" si="87"/>
        <v>58864.173790540583</v>
      </c>
      <c r="AJ167" s="89">
        <f t="shared" si="87"/>
        <v>59360.020601743592</v>
      </c>
      <c r="AK167" s="89">
        <f t="shared" si="87"/>
        <v>59835.990301714344</v>
      </c>
      <c r="AL167" s="89">
        <f t="shared" si="87"/>
        <v>60283.114307168231</v>
      </c>
      <c r="AM167" s="89">
        <f t="shared" si="87"/>
        <v>60695.29683305497</v>
      </c>
      <c r="AN167" s="89">
        <f t="shared" si="87"/>
        <v>61076.144858303625</v>
      </c>
      <c r="AO167" s="89">
        <f t="shared" si="87"/>
        <v>61426.464744310862</v>
      </c>
      <c r="AP167" s="89">
        <f t="shared" si="87"/>
        <v>61744.77695048209</v>
      </c>
      <c r="AQ167" s="89">
        <f t="shared" si="74"/>
        <v>62043.884878575533</v>
      </c>
      <c r="AR167" s="89">
        <f t="shared" si="75"/>
        <v>62338.167343209454</v>
      </c>
      <c r="AS167" s="89">
        <f t="shared" si="76"/>
        <v>62639.190751880291</v>
      </c>
      <c r="AT167" s="89">
        <f t="shared" si="77"/>
        <v>62873.838498939193</v>
      </c>
      <c r="AU167" s="89">
        <f t="shared" si="78"/>
        <v>63056.746417771617</v>
      </c>
      <c r="AV167" s="89">
        <f t="shared" si="79"/>
        <v>63199.323140501489</v>
      </c>
      <c r="AW167" s="89">
        <f t="shared" si="80"/>
        <v>63310.461695869424</v>
      </c>
      <c r="AX167" s="89">
        <f t="shared" si="81"/>
        <v>63397.094199778723</v>
      </c>
      <c r="AY167" s="89">
        <f t="shared" si="82"/>
        <v>63464.624236576019</v>
      </c>
      <c r="AZ167" s="89">
        <f t="shared" si="83"/>
        <v>63517.263900259524</v>
      </c>
      <c r="BA167" s="89">
        <f t="shared" si="84"/>
        <v>63558.296518100811</v>
      </c>
      <c r="BB167" s="89">
        <f t="shared" si="84"/>
        <v>63590.281443708081</v>
      </c>
    </row>
    <row r="168" spans="1:54">
      <c r="B168" s="6" t="s">
        <v>2871</v>
      </c>
      <c r="D168" s="89">
        <f t="shared" si="86"/>
        <v>1349.8162694300518</v>
      </c>
      <c r="E168" s="89">
        <f t="shared" si="86"/>
        <v>1401.7024279753439</v>
      </c>
      <c r="F168" s="89">
        <f t="shared" si="86"/>
        <v>1446.5119685881996</v>
      </c>
      <c r="G168" s="89">
        <f t="shared" si="86"/>
        <v>1486.2944779052086</v>
      </c>
      <c r="H168" s="89">
        <f t="shared" si="86"/>
        <v>1522.9566525716521</v>
      </c>
      <c r="I168" s="89">
        <f t="shared" si="86"/>
        <v>1557.618669059274</v>
      </c>
      <c r="J168" s="89">
        <f t="shared" si="86"/>
        <v>1590.4309242935749</v>
      </c>
      <c r="K168" s="89">
        <f t="shared" si="86"/>
        <v>1621.9584454580572</v>
      </c>
      <c r="L168" s="89">
        <f t="shared" si="86"/>
        <v>1655.0959536701469</v>
      </c>
      <c r="M168" s="89">
        <f t="shared" si="86"/>
        <v>1688.1439498920654</v>
      </c>
      <c r="N168" s="89">
        <f t="shared" si="86"/>
        <v>1720.2944741749288</v>
      </c>
      <c r="O168" s="89">
        <f t="shared" si="86"/>
        <v>1751.2157021699634</v>
      </c>
      <c r="P168" s="89">
        <f t="shared" si="86"/>
        <v>1780.7180322928239</v>
      </c>
      <c r="Q168" s="89">
        <f t="shared" si="86"/>
        <v>1809.3142580729236</v>
      </c>
      <c r="R168" s="89">
        <f t="shared" si="86"/>
        <v>1837.5928749398324</v>
      </c>
      <c r="S168" s="89">
        <f t="shared" si="86"/>
        <v>1865.6482358297746</v>
      </c>
      <c r="T168" s="89">
        <f t="shared" si="86"/>
        <v>1893.0397269612931</v>
      </c>
      <c r="U168" s="89">
        <f t="shared" si="86"/>
        <v>1919.8472811885636</v>
      </c>
      <c r="V168" s="89">
        <f t="shared" si="86"/>
        <v>1947.1534185879109</v>
      </c>
      <c r="W168" s="89">
        <f t="shared" si="86"/>
        <v>1974.0687318966052</v>
      </c>
      <c r="X168" s="89">
        <f t="shared" si="86"/>
        <v>2000.3412350913234</v>
      </c>
      <c r="Y168" s="89">
        <f t="shared" si="86"/>
        <v>2025.9323075674686</v>
      </c>
      <c r="Z168" s="89">
        <f t="shared" si="86"/>
        <v>2051.2751770963182</v>
      </c>
      <c r="AA168" s="89">
        <f t="shared" ref="AA168:AF168" si="88">INDEX($D$58:$D$75,MATCH($B168,$B$58:$B$75,0))*Z$14</f>
        <v>2076.2754079636675</v>
      </c>
      <c r="AB168" s="89">
        <f t="shared" si="88"/>
        <v>2100.7568054594262</v>
      </c>
      <c r="AC168" s="89">
        <f t="shared" si="88"/>
        <v>2124.582097697079</v>
      </c>
      <c r="AD168" s="89">
        <f t="shared" si="88"/>
        <v>2147.61357154903</v>
      </c>
      <c r="AE168" s="89">
        <f t="shared" si="88"/>
        <v>2169.7493266393672</v>
      </c>
      <c r="AF168" s="89">
        <f t="shared" si="88"/>
        <v>2190.8967670203551</v>
      </c>
      <c r="AG168" s="89">
        <f t="shared" si="87"/>
        <v>2211.1344509453097</v>
      </c>
      <c r="AH168" s="89">
        <f t="shared" si="87"/>
        <v>2230.8636923543572</v>
      </c>
      <c r="AI168" s="89">
        <f t="shared" si="87"/>
        <v>2250.1299735046659</v>
      </c>
      <c r="AJ168" s="89">
        <f t="shared" si="87"/>
        <v>2269.0841131843417</v>
      </c>
      <c r="AK168" s="89">
        <f t="shared" si="87"/>
        <v>2287.2784344398337</v>
      </c>
      <c r="AL168" s="89">
        <f t="shared" si="87"/>
        <v>2304.3701060247486</v>
      </c>
      <c r="AM168" s="89">
        <f t="shared" si="87"/>
        <v>2320.1261116955807</v>
      </c>
      <c r="AN168" s="89">
        <f t="shared" si="87"/>
        <v>2334.6843310976133</v>
      </c>
      <c r="AO168" s="89">
        <f t="shared" si="87"/>
        <v>2348.0755880381175</v>
      </c>
      <c r="AP168" s="89">
        <f t="shared" si="87"/>
        <v>2360.2433258982787</v>
      </c>
      <c r="AQ168" s="89">
        <f t="shared" si="74"/>
        <v>2371.6769649180128</v>
      </c>
      <c r="AR168" s="89">
        <f t="shared" si="75"/>
        <v>2382.9261467498322</v>
      </c>
      <c r="AS168" s="89">
        <f t="shared" si="76"/>
        <v>2394.4330065417835</v>
      </c>
      <c r="AT168" s="89">
        <f t="shared" si="77"/>
        <v>2403.4026037496087</v>
      </c>
      <c r="AU168" s="89">
        <f t="shared" si="78"/>
        <v>2410.3944047731088</v>
      </c>
      <c r="AV168" s="89">
        <f t="shared" si="79"/>
        <v>2415.8445136709274</v>
      </c>
      <c r="AW168" s="89">
        <f t="shared" si="80"/>
        <v>2420.0928735567768</v>
      </c>
      <c r="AX168" s="89">
        <f t="shared" si="81"/>
        <v>2423.4044700877957</v>
      </c>
      <c r="AY168" s="89">
        <f t="shared" si="82"/>
        <v>2425.9858595837254</v>
      </c>
      <c r="AZ168" s="89">
        <f t="shared" si="83"/>
        <v>2427.9980526958029</v>
      </c>
      <c r="BA168" s="89">
        <f t="shared" si="84"/>
        <v>2429.5665572266671</v>
      </c>
      <c r="BB168" s="89">
        <f t="shared" si="84"/>
        <v>2430.7892065084752</v>
      </c>
    </row>
    <row r="169" spans="1:54">
      <c r="B169" s="142"/>
      <c r="C169" s="52"/>
      <c r="D169" s="116" t="b">
        <f t="shared" ref="D169:AF169" si="89">SUM(D151:D168)/C14=SUM($D$58:$D$75)</f>
        <v>1</v>
      </c>
      <c r="E169" s="116" t="b">
        <f t="shared" si="89"/>
        <v>1</v>
      </c>
      <c r="F169" s="116" t="b">
        <f t="shared" si="89"/>
        <v>1</v>
      </c>
      <c r="G169" s="116" t="b">
        <f t="shared" si="89"/>
        <v>1</v>
      </c>
      <c r="H169" s="116" t="b">
        <f t="shared" si="89"/>
        <v>1</v>
      </c>
      <c r="I169" s="116" t="b">
        <f t="shared" si="89"/>
        <v>1</v>
      </c>
      <c r="J169" s="116" t="b">
        <f t="shared" si="89"/>
        <v>1</v>
      </c>
      <c r="K169" s="116" t="b">
        <f t="shared" si="89"/>
        <v>1</v>
      </c>
      <c r="L169" s="116" t="b">
        <f t="shared" si="89"/>
        <v>1</v>
      </c>
      <c r="M169" s="116" t="b">
        <f t="shared" si="89"/>
        <v>1</v>
      </c>
      <c r="N169" s="116" t="b">
        <f t="shared" si="89"/>
        <v>1</v>
      </c>
      <c r="O169" s="116" t="b">
        <f t="shared" si="89"/>
        <v>1</v>
      </c>
      <c r="P169" s="116" t="b">
        <f t="shared" si="89"/>
        <v>1</v>
      </c>
      <c r="Q169" s="116" t="b">
        <f t="shared" si="89"/>
        <v>1</v>
      </c>
      <c r="R169" s="116" t="b">
        <f t="shared" si="89"/>
        <v>1</v>
      </c>
      <c r="S169" s="116" t="b">
        <f t="shared" si="89"/>
        <v>1</v>
      </c>
      <c r="T169" s="116" t="b">
        <f t="shared" si="89"/>
        <v>1</v>
      </c>
      <c r="U169" s="116" t="b">
        <f t="shared" si="89"/>
        <v>1</v>
      </c>
      <c r="V169" s="116" t="b">
        <f t="shared" si="89"/>
        <v>1</v>
      </c>
      <c r="W169" s="116" t="b">
        <f t="shared" si="89"/>
        <v>1</v>
      </c>
      <c r="X169" s="116" t="b">
        <f t="shared" si="89"/>
        <v>1</v>
      </c>
      <c r="Y169" s="116" t="b">
        <f t="shared" si="89"/>
        <v>1</v>
      </c>
      <c r="Z169" s="116" t="b">
        <f t="shared" si="89"/>
        <v>1</v>
      </c>
      <c r="AA169" s="116" t="b">
        <f t="shared" si="89"/>
        <v>1</v>
      </c>
      <c r="AB169" s="116" t="b">
        <f t="shared" si="89"/>
        <v>1</v>
      </c>
      <c r="AC169" s="116" t="b">
        <f t="shared" si="89"/>
        <v>1</v>
      </c>
      <c r="AD169" s="116" t="b">
        <f t="shared" si="89"/>
        <v>1</v>
      </c>
      <c r="AE169" s="116" t="b">
        <f t="shared" si="89"/>
        <v>1</v>
      </c>
      <c r="AF169" s="116" t="b">
        <f t="shared" si="89"/>
        <v>1</v>
      </c>
      <c r="AG169" s="116" t="b">
        <f t="shared" ref="AG169" si="90">SUM(AG151:AG168)/AF14=SUM($D$58:$D$75)</f>
        <v>1</v>
      </c>
      <c r="AH169" s="116" t="b">
        <f t="shared" ref="AH169" si="91">SUM(AH151:AH168)/AG14=SUM($D$58:$D$75)</f>
        <v>1</v>
      </c>
      <c r="AI169" s="116" t="b">
        <f t="shared" ref="AI169" si="92">SUM(AI151:AI168)/AH14=SUM($D$58:$D$75)</f>
        <v>1</v>
      </c>
      <c r="AJ169" s="116" t="b">
        <f t="shared" ref="AJ169" si="93">SUM(AJ151:AJ168)/AI14=SUM($D$58:$D$75)</f>
        <v>1</v>
      </c>
      <c r="AK169" s="116" t="b">
        <f t="shared" ref="AK169" si="94">SUM(AK151:AK168)/AJ14=SUM($D$58:$D$75)</f>
        <v>1</v>
      </c>
      <c r="AL169" s="116" t="b">
        <f t="shared" ref="AL169" si="95">SUM(AL151:AL168)/AK14=SUM($D$58:$D$75)</f>
        <v>1</v>
      </c>
      <c r="AM169" s="116" t="b">
        <f t="shared" ref="AM169" si="96">SUM(AM151:AM168)/AL14=SUM($D$58:$D$75)</f>
        <v>1</v>
      </c>
      <c r="AN169" s="116" t="b">
        <f t="shared" ref="AN169" si="97">SUM(AN151:AN168)/AM14=SUM($D$58:$D$75)</f>
        <v>1</v>
      </c>
      <c r="AO169" s="116" t="b">
        <f t="shared" ref="AO169:AP169" si="98">SUM(AO151:AO168)/AN14=SUM($D$58:$D$75)</f>
        <v>1</v>
      </c>
      <c r="AP169" s="116" t="b">
        <f t="shared" si="98"/>
        <v>1</v>
      </c>
      <c r="AQ169" s="116" t="b">
        <f t="shared" ref="AQ169" si="99">SUM(AQ151:AQ168)/AP14=SUM($D$58:$D$75)</f>
        <v>1</v>
      </c>
      <c r="AR169" s="116" t="b">
        <f t="shared" ref="AR169" si="100">SUM(AR151:AR168)/AQ14=SUM($D$58:$D$75)</f>
        <v>1</v>
      </c>
      <c r="AS169" s="116" t="b">
        <f t="shared" ref="AS169" si="101">SUM(AS151:AS168)/AR14=SUM($D$58:$D$75)</f>
        <v>1</v>
      </c>
      <c r="AT169" s="116" t="b">
        <f t="shared" ref="AT169" si="102">SUM(AT151:AT168)/AS14=SUM($D$58:$D$75)</f>
        <v>1</v>
      </c>
      <c r="AU169" s="116" t="b">
        <f t="shared" ref="AU169" si="103">SUM(AU151:AU168)/AT14=SUM($D$58:$D$75)</f>
        <v>1</v>
      </c>
      <c r="AV169" s="116" t="b">
        <f t="shared" ref="AV169" si="104">SUM(AV151:AV168)/AU14=SUM($D$58:$D$75)</f>
        <v>1</v>
      </c>
      <c r="AW169" s="116" t="b">
        <f t="shared" ref="AW169" si="105">SUM(AW151:AW168)/AV14=SUM($D$58:$D$75)</f>
        <v>1</v>
      </c>
      <c r="AX169" s="116" t="b">
        <f t="shared" ref="AX169" si="106">SUM(AX151:AX168)/AW14=SUM($D$58:$D$75)</f>
        <v>1</v>
      </c>
      <c r="AY169" s="116" t="b">
        <f t="shared" ref="AY169" si="107">SUM(AY151:AY168)/AX14=SUM($D$58:$D$75)</f>
        <v>1</v>
      </c>
      <c r="AZ169" s="116" t="b">
        <f t="shared" ref="AZ169" si="108">SUM(AZ151:AZ168)/AY14=SUM($D$58:$D$75)</f>
        <v>1</v>
      </c>
      <c r="BA169" s="116" t="b">
        <f t="shared" ref="BA169:BB169" si="109">SUM(BA151:BA168)/AZ14=SUM($D$58:$D$75)</f>
        <v>1</v>
      </c>
      <c r="BB169" s="116" t="b">
        <f t="shared" si="109"/>
        <v>1</v>
      </c>
    </row>
    <row r="171" spans="1:54" s="588" customFormat="1">
      <c r="A171" s="593" t="s">
        <v>10</v>
      </c>
      <c r="B171" s="593" t="s">
        <v>2891</v>
      </c>
      <c r="C171" s="593"/>
      <c r="D171" s="645"/>
    </row>
    <row r="172" spans="1:54">
      <c r="D172" s="23"/>
    </row>
    <row r="174" spans="1:54">
      <c r="B174" s="9" t="s">
        <v>97</v>
      </c>
      <c r="C174" s="9"/>
    </row>
    <row r="176" spans="1:54">
      <c r="B176" s="7" t="s">
        <v>9</v>
      </c>
      <c r="D176" s="34">
        <f>'Prevalence projection'!C$21</f>
        <v>2020</v>
      </c>
      <c r="E176" s="34">
        <f>'Prevalence projection'!D$21</f>
        <v>2021</v>
      </c>
      <c r="F176" s="34">
        <f>'Prevalence projection'!E$21</f>
        <v>2022</v>
      </c>
      <c r="G176" s="34">
        <f>'Prevalence projection'!F$21</f>
        <v>2023</v>
      </c>
      <c r="H176" s="34">
        <f>'Prevalence projection'!G$21</f>
        <v>2024</v>
      </c>
      <c r="I176" s="34">
        <f>'Prevalence projection'!H$21</f>
        <v>2025</v>
      </c>
      <c r="J176" s="34">
        <f>'Prevalence projection'!I$21</f>
        <v>2026</v>
      </c>
      <c r="K176" s="34">
        <f>'Prevalence projection'!J$21</f>
        <v>2027</v>
      </c>
      <c r="L176" s="34">
        <f>'Prevalence projection'!K$21</f>
        <v>2028</v>
      </c>
      <c r="M176" s="34">
        <f>'Prevalence projection'!L$21</f>
        <v>2029</v>
      </c>
      <c r="N176" s="34">
        <f>'Prevalence projection'!M$21</f>
        <v>2030</v>
      </c>
      <c r="O176" s="34">
        <f>'Prevalence projection'!N$21</f>
        <v>2031</v>
      </c>
      <c r="P176" s="34">
        <f>'Prevalence projection'!O$21</f>
        <v>2032</v>
      </c>
      <c r="Q176" s="34">
        <f>'Prevalence projection'!P$21</f>
        <v>2033</v>
      </c>
      <c r="R176" s="34">
        <f>'Prevalence projection'!Q$21</f>
        <v>2034</v>
      </c>
      <c r="S176" s="34">
        <f>'Prevalence projection'!R$21</f>
        <v>2035</v>
      </c>
      <c r="T176" s="34">
        <f>'Prevalence projection'!S$21</f>
        <v>2036</v>
      </c>
      <c r="U176" s="34">
        <f>'Prevalence projection'!T$21</f>
        <v>2037</v>
      </c>
      <c r="V176" s="34">
        <f>'Prevalence projection'!U$21</f>
        <v>2038</v>
      </c>
      <c r="W176" s="34">
        <f>'Prevalence projection'!V$21</f>
        <v>2039</v>
      </c>
      <c r="X176" s="34">
        <f>'Prevalence projection'!W$21</f>
        <v>2040</v>
      </c>
      <c r="Y176" s="34">
        <f>'Prevalence projection'!X$21</f>
        <v>2041</v>
      </c>
      <c r="Z176" s="34">
        <f>'Prevalence projection'!Y$21</f>
        <v>2042</v>
      </c>
      <c r="AA176" s="34">
        <f>'Prevalence projection'!Z$21</f>
        <v>2043</v>
      </c>
      <c r="AB176" s="34">
        <f>'Prevalence projection'!AA$21</f>
        <v>2044</v>
      </c>
      <c r="AC176" s="34">
        <f>'Prevalence projection'!AB$21</f>
        <v>2045</v>
      </c>
      <c r="AD176" s="34">
        <f>'Prevalence projection'!AC$21</f>
        <v>2046</v>
      </c>
      <c r="AE176" s="34">
        <f>'Prevalence projection'!AD$21</f>
        <v>2047</v>
      </c>
      <c r="AF176" s="34">
        <f>'Prevalence projection'!AE$21</f>
        <v>2048</v>
      </c>
      <c r="AG176" s="34">
        <f>'Prevalence projection'!AF$21</f>
        <v>2049</v>
      </c>
      <c r="AH176" s="34">
        <f>'Prevalence projection'!AG$21</f>
        <v>2050</v>
      </c>
      <c r="AI176" s="34">
        <f>'Prevalence projection'!AH$21</f>
        <v>2051</v>
      </c>
      <c r="AJ176" s="34">
        <f>'Prevalence projection'!AI$21</f>
        <v>2052</v>
      </c>
      <c r="AK176" s="34">
        <f>'Prevalence projection'!AJ$21</f>
        <v>2053</v>
      </c>
      <c r="AL176" s="34">
        <f>'Prevalence projection'!AK$21</f>
        <v>2054</v>
      </c>
      <c r="AM176" s="34">
        <f>'Prevalence projection'!AL$21</f>
        <v>2055</v>
      </c>
      <c r="AN176" s="34">
        <f>'Prevalence projection'!AM$21</f>
        <v>2056</v>
      </c>
      <c r="AO176" s="34">
        <f>'Prevalence projection'!AN$21</f>
        <v>2057</v>
      </c>
      <c r="AP176" s="34">
        <f>'Prevalence projection'!AO$21</f>
        <v>2058</v>
      </c>
      <c r="AQ176" s="34">
        <f>'Prevalence projection'!AP$21</f>
        <v>2059</v>
      </c>
      <c r="AR176" s="34">
        <f>'Prevalence projection'!AQ$21</f>
        <v>2060</v>
      </c>
      <c r="AS176" s="34">
        <f>'Prevalence projection'!AR$21</f>
        <v>2061</v>
      </c>
      <c r="AT176" s="34">
        <f>'Prevalence projection'!AS$21</f>
        <v>2062</v>
      </c>
      <c r="AU176" s="34">
        <f>'Prevalence projection'!AT$21</f>
        <v>2063</v>
      </c>
      <c r="AV176" s="34">
        <f>'Prevalence projection'!AU$21</f>
        <v>2064</v>
      </c>
      <c r="AW176" s="34">
        <f>'Prevalence projection'!AV$21</f>
        <v>2065</v>
      </c>
      <c r="AX176" s="34">
        <f>'Prevalence projection'!AW$21</f>
        <v>2066</v>
      </c>
      <c r="AY176" s="34">
        <f>'Prevalence projection'!AX$21</f>
        <v>2067</v>
      </c>
      <c r="AZ176" s="34">
        <f>'Prevalence projection'!AY$21</f>
        <v>2068</v>
      </c>
      <c r="BA176" s="34">
        <f>'Prevalence projection'!AZ$21</f>
        <v>2069</v>
      </c>
      <c r="BB176" s="34">
        <f>'Prevalence projection'!BA$21</f>
        <v>2070</v>
      </c>
    </row>
    <row r="177" spans="2:54">
      <c r="B177" s="6" t="s">
        <v>11</v>
      </c>
      <c r="D177" s="90">
        <f>INDEX(D$129:D$146,MATCH($B177,$B$129:$B$146,0))*INDEX('Resource costs'!$C$121:$C$142, MATCH($B177, 'Resource costs'!$B$121:$B$142,0))</f>
        <v>13420.177324222803</v>
      </c>
      <c r="E177" s="90">
        <f>INDEX(E$129:E$146,MATCH($B177,$B$129:$B$146,0))*INDEX('Resource costs'!$C$121:$C$142, MATCH($B177, 'Resource costs'!$B$121:$B$142,0))</f>
        <v>13936.041197047936</v>
      </c>
      <c r="F177" s="90">
        <f>INDEX(F$129:F$146,MATCH($B177,$B$129:$B$146,0))*INDEX('Resource costs'!$C$121:$C$142, MATCH($B177, 'Resource costs'!$B$121:$B$142,0))</f>
        <v>14381.547740761034</v>
      </c>
      <c r="G177" s="90">
        <f>INDEX(G$129:G$146,MATCH($B177,$B$129:$B$146,0))*INDEX('Resource costs'!$C$121:$C$142, MATCH($B177, 'Resource costs'!$B$121:$B$142,0))</f>
        <v>14777.074407262273</v>
      </c>
      <c r="H177" s="90">
        <f>INDEX(H$129:H$146,MATCH($B177,$B$129:$B$146,0))*INDEX('Resource costs'!$C$121:$C$142, MATCH($B177, 'Resource costs'!$B$121:$B$142,0))</f>
        <v>15141.578003979954</v>
      </c>
      <c r="I177" s="90">
        <f>INDEX(I$129:I$146,MATCH($B177,$B$129:$B$146,0))*INDEX('Resource costs'!$C$121:$C$142, MATCH($B177, 'Resource costs'!$B$121:$B$142,0))</f>
        <v>15486.19557765569</v>
      </c>
      <c r="J177" s="90">
        <f>INDEX(J$129:J$146,MATCH($B177,$B$129:$B$146,0))*INDEX('Resource costs'!$C$121:$C$142, MATCH($B177, 'Resource costs'!$B$121:$B$142,0))</f>
        <v>15812.422408391632</v>
      </c>
      <c r="K177" s="90">
        <f>INDEX(K$129:K$146,MATCH($B177,$B$129:$B$146,0))*INDEX('Resource costs'!$C$121:$C$142, MATCH($B177, 'Resource costs'!$B$121:$B$142,0))</f>
        <v>16125.876123688156</v>
      </c>
      <c r="L177" s="90">
        <f>INDEX(L$129:L$146,MATCH($B177,$B$129:$B$146,0))*INDEX('Resource costs'!$C$121:$C$142, MATCH($B177, 'Resource costs'!$B$121:$B$142,0))</f>
        <v>16455.336692775018</v>
      </c>
      <c r="M177" s="90">
        <f>INDEX(M$129:M$146,MATCH($B177,$B$129:$B$146,0))*INDEX('Resource costs'!$C$121:$C$142, MATCH($B177, 'Resource costs'!$B$121:$B$142,0))</f>
        <v>16783.907313497835</v>
      </c>
      <c r="N177" s="90">
        <f>INDEX(N$129:N$146,MATCH($B177,$B$129:$B$146,0))*INDEX('Resource costs'!$C$121:$C$142, MATCH($B177, 'Resource costs'!$B$121:$B$142,0))</f>
        <v>17103.555066095265</v>
      </c>
      <c r="O177" s="90">
        <f>INDEX(O$129:O$146,MATCH($B177,$B$129:$B$146,0))*INDEX('Resource costs'!$C$121:$C$142, MATCH($B177, 'Resource costs'!$B$121:$B$142,0))</f>
        <v>17410.980878166192</v>
      </c>
      <c r="P177" s="90">
        <f>INDEX(P$129:P$146,MATCH($B177,$B$129:$B$146,0))*INDEX('Resource costs'!$C$121:$C$142, MATCH($B177, 'Resource costs'!$B$121:$B$142,0))</f>
        <v>17704.299688061503</v>
      </c>
      <c r="Q177" s="90">
        <f>INDEX(Q$129:Q$146,MATCH($B177,$B$129:$B$146,0))*INDEX('Resource costs'!$C$121:$C$142, MATCH($B177, 'Resource costs'!$B$121:$B$142,0))</f>
        <v>17988.609804529791</v>
      </c>
      <c r="R177" s="90">
        <f>INDEX(R$129:R$146,MATCH($B177,$B$129:$B$146,0))*INDEX('Resource costs'!$C$121:$C$142, MATCH($B177, 'Resource costs'!$B$121:$B$142,0))</f>
        <v>18269.762181658803</v>
      </c>
      <c r="S177" s="90">
        <f>INDEX(S$129:S$146,MATCH($B177,$B$129:$B$146,0))*INDEX('Resource costs'!$C$121:$C$142, MATCH($B177, 'Resource costs'!$B$121:$B$142,0))</f>
        <v>18548.694897588404</v>
      </c>
      <c r="T177" s="90">
        <f>INDEX(T$129:T$146,MATCH($B177,$B$129:$B$146,0))*INDEX('Resource costs'!$C$121:$C$142, MATCH($B177, 'Resource costs'!$B$121:$B$142,0))</f>
        <v>18821.027270878785</v>
      </c>
      <c r="U177" s="90">
        <f>INDEX(U$129:U$146,MATCH($B177,$B$129:$B$146,0))*INDEX('Resource costs'!$C$121:$C$142, MATCH($B177, 'Resource costs'!$B$121:$B$142,0))</f>
        <v>19087.554011966738</v>
      </c>
      <c r="V177" s="90">
        <f>INDEX(V$129:V$146,MATCH($B177,$B$129:$B$146,0))*INDEX('Resource costs'!$C$121:$C$142, MATCH($B177, 'Resource costs'!$B$121:$B$142,0))</f>
        <v>19359.037779230533</v>
      </c>
      <c r="W177" s="90">
        <f>INDEX(W$129:W$146,MATCH($B177,$B$129:$B$146,0))*INDEX('Resource costs'!$C$121:$C$142, MATCH($B177, 'Resource costs'!$B$121:$B$142,0))</f>
        <v>19626.63588537294</v>
      </c>
      <c r="X177" s="90">
        <f>INDEX(X$129:X$146,MATCH($B177,$B$129:$B$146,0))*INDEX('Resource costs'!$C$121:$C$142, MATCH($B177, 'Resource costs'!$B$121:$B$142,0))</f>
        <v>19887.84302860378</v>
      </c>
      <c r="Y177" s="90">
        <f>INDEX(Y$129:Y$146,MATCH($B177,$B$129:$B$146,0))*INDEX('Resource costs'!$C$121:$C$142, MATCH($B177, 'Resource costs'!$B$121:$B$142,0))</f>
        <v>20142.275234174926</v>
      </c>
      <c r="Z177" s="90">
        <f>INDEX(Z$129:Z$146,MATCH($B177,$B$129:$B$146,0))*INDEX('Resource costs'!$C$121:$C$142, MATCH($B177, 'Resource costs'!$B$121:$B$142,0))</f>
        <v>20394.239750149685</v>
      </c>
      <c r="AA177" s="90">
        <f>INDEX(AA$129:AA$146,MATCH($B177,$B$129:$B$146,0))*INDEX('Resource costs'!$C$121:$C$142, MATCH($B177, 'Resource costs'!$B$121:$B$142,0))</f>
        <v>20642.797675390877</v>
      </c>
      <c r="AB177" s="90">
        <f>INDEX(AB$129:AB$146,MATCH($B177,$B$129:$B$146,0))*INDEX('Resource costs'!$C$121:$C$142, MATCH($B177, 'Resource costs'!$B$121:$B$142,0))</f>
        <v>20886.197242412385</v>
      </c>
      <c r="AC177" s="90">
        <f>INDEX(AC$129:AC$146,MATCH($B177,$B$129:$B$146,0))*INDEX('Resource costs'!$C$121:$C$142, MATCH($B177, 'Resource costs'!$B$121:$B$142,0))</f>
        <v>21123.07366320537</v>
      </c>
      <c r="AD177" s="90">
        <f>INDEX(AD$129:AD$146,MATCH($B177,$B$129:$B$146,0))*INDEX('Resource costs'!$C$121:$C$142, MATCH($B177, 'Resource costs'!$B$121:$B$142,0))</f>
        <v>21352.057762842793</v>
      </c>
      <c r="AE177" s="90">
        <f>INDEX(AE$129:AE$146,MATCH($B177,$B$129:$B$146,0))*INDEX('Resource costs'!$C$121:$C$142, MATCH($B177, 'Resource costs'!$B$121:$B$142,0))</f>
        <v>21572.136424839755</v>
      </c>
      <c r="AF177" s="90">
        <f>INDEX(AF$129:AF$146,MATCH($B177,$B$129:$B$146,0))*INDEX('Resource costs'!$C$121:$C$142, MATCH($B177, 'Resource costs'!$B$121:$B$142,0))</f>
        <v>21782.389039431604</v>
      </c>
      <c r="AG177" s="90">
        <f>INDEX(AG$129:AG$146,MATCH($B177,$B$129:$B$146,0))*INDEX('Resource costs'!$C$121:$C$142, MATCH($B177, 'Resource costs'!$B$121:$B$142,0))</f>
        <v>21983.596650463845</v>
      </c>
      <c r="AH177" s="90">
        <f>INDEX(AH$129:AH$146,MATCH($B177,$B$129:$B$146,0))*INDEX('Resource costs'!$C$121:$C$142, MATCH($B177, 'Resource costs'!$B$121:$B$142,0))</f>
        <v>22179.749211503582</v>
      </c>
      <c r="AI177" s="90">
        <f>INDEX(AI$129:AI$146,MATCH($B177,$B$129:$B$146,0))*INDEX('Resource costs'!$C$121:$C$142, MATCH($B177, 'Resource costs'!$B$121:$B$142,0))</f>
        <v>22371.29891739404</v>
      </c>
      <c r="AJ177" s="90">
        <f>INDEX(AJ$129:AJ$146,MATCH($B177,$B$129:$B$146,0))*INDEX('Resource costs'!$C$121:$C$142, MATCH($B177, 'Resource costs'!$B$121:$B$142,0))</f>
        <v>22559.745242490368</v>
      </c>
      <c r="AK177" s="90">
        <f>INDEX(AK$129:AK$146,MATCH($B177,$B$129:$B$146,0))*INDEX('Resource costs'!$C$121:$C$142, MATCH($B177, 'Resource costs'!$B$121:$B$142,0))</f>
        <v>22740.637281705222</v>
      </c>
      <c r="AL177" s="90">
        <f>INDEX(AL$129:AL$146,MATCH($B177,$B$129:$B$146,0))*INDEX('Resource costs'!$C$121:$C$142, MATCH($B177, 'Resource costs'!$B$121:$B$142,0))</f>
        <v>22910.566529582622</v>
      </c>
      <c r="AM177" s="90">
        <f>INDEX(AM$129:AM$146,MATCH($B177,$B$129:$B$146,0))*INDEX('Resource costs'!$C$121:$C$142, MATCH($B177, 'Resource costs'!$B$121:$B$142,0))</f>
        <v>23067.216286155286</v>
      </c>
      <c r="AN177" s="90">
        <f>INDEX(AN$129:AN$146,MATCH($B177,$B$129:$B$146,0))*INDEX('Resource costs'!$C$121:$C$142, MATCH($B177, 'Resource costs'!$B$121:$B$142,0))</f>
        <v>23211.957381906566</v>
      </c>
      <c r="AO177" s="90">
        <f>INDEX(AO$129:AO$146,MATCH($B177,$B$129:$B$146,0))*INDEX('Resource costs'!$C$121:$C$142, MATCH($B177, 'Resource costs'!$B$121:$B$142,0))</f>
        <v>23345.096274069776</v>
      </c>
      <c r="AP177" s="90">
        <f>INDEX(AP$129:AP$146,MATCH($B177,$B$129:$B$146,0))*INDEX('Resource costs'!$C$121:$C$142, MATCH($B177, 'Resource costs'!$B$121:$B$142,0))</f>
        <v>23466.070664004317</v>
      </c>
      <c r="AQ177" s="90">
        <f>INDEX(AQ$129:AQ$146,MATCH($B177,$B$129:$B$146,0))*INDEX('Resource costs'!$C$121:$C$142, MATCH($B177, 'Resource costs'!$B$121:$B$142,0))</f>
        <v>23579.746477951045</v>
      </c>
      <c r="AR177" s="90">
        <f>INDEX(AR$129:AR$146,MATCH($B177,$B$129:$B$146,0))*INDEX('Resource costs'!$C$121:$C$142, MATCH($B177, 'Resource costs'!$B$121:$B$142,0))</f>
        <v>23691.588376996449</v>
      </c>
      <c r="AS177" s="90">
        <f>INDEX(AS$129:AS$146,MATCH($B177,$B$129:$B$146,0))*INDEX('Resource costs'!$C$121:$C$142, MATCH($B177, 'Resource costs'!$B$121:$B$142,0))</f>
        <v>23805.992168349589</v>
      </c>
      <c r="AT177" s="90">
        <f>INDEX(AT$129:AT$146,MATCH($B177,$B$129:$B$146,0))*INDEX('Resource costs'!$C$121:$C$142, MATCH($B177, 'Resource costs'!$B$121:$B$142,0))</f>
        <v>23895.16992370936</v>
      </c>
      <c r="AU177" s="90">
        <f>INDEX(AU$129:AU$146,MATCH($B177,$B$129:$B$146,0))*INDEX('Resource costs'!$C$121:$C$142, MATCH($B177, 'Resource costs'!$B$121:$B$142,0))</f>
        <v>23964.683984012303</v>
      </c>
      <c r="AV177" s="90">
        <f>INDEX(AV$129:AV$146,MATCH($B177,$B$129:$B$146,0))*INDEX('Resource costs'!$C$121:$C$142, MATCH($B177, 'Resource costs'!$B$121:$B$142,0))</f>
        <v>24018.870194018447</v>
      </c>
      <c r="AW177" s="90">
        <f>INDEX(AW$129:AW$146,MATCH($B177,$B$129:$B$146,0))*INDEX('Resource costs'!$C$121:$C$142, MATCH($B177, 'Resource costs'!$B$121:$B$142,0))</f>
        <v>24061.108344718235</v>
      </c>
      <c r="AX177" s="90">
        <f>INDEX(AX$129:AX$146,MATCH($B177,$B$129:$B$146,0))*INDEX('Resource costs'!$C$121:$C$142, MATCH($B177, 'Resource costs'!$B$121:$B$142,0))</f>
        <v>24094.032983188721</v>
      </c>
      <c r="AY177" s="90">
        <f>INDEX(AY$129:AY$146,MATCH($B177,$B$129:$B$146,0))*INDEX('Resource costs'!$C$121:$C$142, MATCH($B177, 'Resource costs'!$B$121:$B$142,0))</f>
        <v>24119.697738876461</v>
      </c>
      <c r="AZ177" s="90">
        <f>INDEX(AZ$129:AZ$146,MATCH($B177,$B$129:$B$146,0))*INDEX('Resource costs'!$C$121:$C$142, MATCH($B177, 'Resource costs'!$B$121:$B$142,0))</f>
        <v>24139.703415935055</v>
      </c>
      <c r="BA177" s="90">
        <f>INDEX(BA$129:BA$146,MATCH($B177,$B$129:$B$146,0))*INDEX('Resource costs'!$C$121:$C$142, MATCH($B177, 'Resource costs'!$B$121:$B$142,0))</f>
        <v>24155.297841202235</v>
      </c>
      <c r="BB177" s="90">
        <f>INDEX(BB$129:BB$146,MATCH($B177,$B$129:$B$146,0))*INDEX('Resource costs'!$C$121:$C$142, MATCH($B177, 'Resource costs'!$B$121:$B$142,0))</f>
        <v>24167.453695697994</v>
      </c>
    </row>
    <row r="178" spans="2:54" s="97" customFormat="1">
      <c r="B178" s="6" t="s">
        <v>14</v>
      </c>
      <c r="C178" s="315"/>
      <c r="D178" s="90">
        <f>INDEX(D$129:D$146,MATCH($B178,$B$129:$B$146,0))*INDEX('Resource costs'!$C$121:$C$142, MATCH($B178, 'Resource costs'!$B$121:$B$142,0))</f>
        <v>0</v>
      </c>
      <c r="E178" s="90">
        <f>INDEX(E$129:E$146,MATCH($B178,$B$129:$B$146,0))*INDEX('Resource costs'!$C$121:$C$142, MATCH($B178, 'Resource costs'!$B$121:$B$142,0))</f>
        <v>0</v>
      </c>
      <c r="F178" s="90">
        <f>INDEX(F$129:F$146,MATCH($B178,$B$129:$B$146,0))*INDEX('Resource costs'!$C$121:$C$142, MATCH($B178, 'Resource costs'!$B$121:$B$142,0))</f>
        <v>0</v>
      </c>
      <c r="G178" s="90">
        <f>INDEX(G$129:G$146,MATCH($B178,$B$129:$B$146,0))*INDEX('Resource costs'!$C$121:$C$142, MATCH($B178, 'Resource costs'!$B$121:$B$142,0))</f>
        <v>0</v>
      </c>
      <c r="H178" s="90">
        <f>INDEX(H$129:H$146,MATCH($B178,$B$129:$B$146,0))*INDEX('Resource costs'!$C$121:$C$142, MATCH($B178, 'Resource costs'!$B$121:$B$142,0))</f>
        <v>0</v>
      </c>
      <c r="I178" s="90">
        <f>INDEX(I$129:I$146,MATCH($B178,$B$129:$B$146,0))*INDEX('Resource costs'!$C$121:$C$142, MATCH($B178, 'Resource costs'!$B$121:$B$142,0))</f>
        <v>0</v>
      </c>
      <c r="J178" s="90">
        <f>INDEX(J$129:J$146,MATCH($B178,$B$129:$B$146,0))*INDEX('Resource costs'!$C$121:$C$142, MATCH($B178, 'Resource costs'!$B$121:$B$142,0))</f>
        <v>0</v>
      </c>
      <c r="K178" s="90">
        <f>INDEX(K$129:K$146,MATCH($B178,$B$129:$B$146,0))*INDEX('Resource costs'!$C$121:$C$142, MATCH($B178, 'Resource costs'!$B$121:$B$142,0))</f>
        <v>0</v>
      </c>
      <c r="L178" s="90">
        <f>INDEX(L$129:L$146,MATCH($B178,$B$129:$B$146,0))*INDEX('Resource costs'!$C$121:$C$142, MATCH($B178, 'Resource costs'!$B$121:$B$142,0))</f>
        <v>0</v>
      </c>
      <c r="M178" s="90">
        <f>INDEX(M$129:M$146,MATCH($B178,$B$129:$B$146,0))*INDEX('Resource costs'!$C$121:$C$142, MATCH($B178, 'Resource costs'!$B$121:$B$142,0))</f>
        <v>0</v>
      </c>
      <c r="N178" s="90">
        <f>INDEX(N$129:N$146,MATCH($B178,$B$129:$B$146,0))*INDEX('Resource costs'!$C$121:$C$142, MATCH($B178, 'Resource costs'!$B$121:$B$142,0))</f>
        <v>0</v>
      </c>
      <c r="O178" s="90">
        <f>INDEX(O$129:O$146,MATCH($B178,$B$129:$B$146,0))*INDEX('Resource costs'!$C$121:$C$142, MATCH($B178, 'Resource costs'!$B$121:$B$142,0))</f>
        <v>0</v>
      </c>
      <c r="P178" s="90">
        <f>INDEX(P$129:P$146,MATCH($B178,$B$129:$B$146,0))*INDEX('Resource costs'!$C$121:$C$142, MATCH($B178, 'Resource costs'!$B$121:$B$142,0))</f>
        <v>0</v>
      </c>
      <c r="Q178" s="90">
        <f>INDEX(Q$129:Q$146,MATCH($B178,$B$129:$B$146,0))*INDEX('Resource costs'!$C$121:$C$142, MATCH($B178, 'Resource costs'!$B$121:$B$142,0))</f>
        <v>0</v>
      </c>
      <c r="R178" s="90">
        <f>INDEX(R$129:R$146,MATCH($B178,$B$129:$B$146,0))*INDEX('Resource costs'!$C$121:$C$142, MATCH($B178, 'Resource costs'!$B$121:$B$142,0))</f>
        <v>0</v>
      </c>
      <c r="S178" s="90">
        <f>INDEX(S$129:S$146,MATCH($B178,$B$129:$B$146,0))*INDEX('Resource costs'!$C$121:$C$142, MATCH($B178, 'Resource costs'!$B$121:$B$142,0))</f>
        <v>0</v>
      </c>
      <c r="T178" s="90">
        <f>INDEX(T$129:T$146,MATCH($B178,$B$129:$B$146,0))*INDEX('Resource costs'!$C$121:$C$142, MATCH($B178, 'Resource costs'!$B$121:$B$142,0))</f>
        <v>0</v>
      </c>
      <c r="U178" s="90">
        <f>INDEX(U$129:U$146,MATCH($B178,$B$129:$B$146,0))*INDEX('Resource costs'!$C$121:$C$142, MATCH($B178, 'Resource costs'!$B$121:$B$142,0))</f>
        <v>0</v>
      </c>
      <c r="V178" s="90">
        <f>INDEX(V$129:V$146,MATCH($B178,$B$129:$B$146,0))*INDEX('Resource costs'!$C$121:$C$142, MATCH($B178, 'Resource costs'!$B$121:$B$142,0))</f>
        <v>0</v>
      </c>
      <c r="W178" s="90">
        <f>INDEX(W$129:W$146,MATCH($B178,$B$129:$B$146,0))*INDEX('Resource costs'!$C$121:$C$142, MATCH($B178, 'Resource costs'!$B$121:$B$142,0))</f>
        <v>0</v>
      </c>
      <c r="X178" s="90">
        <f>INDEX(X$129:X$146,MATCH($B178,$B$129:$B$146,0))*INDEX('Resource costs'!$C$121:$C$142, MATCH($B178, 'Resource costs'!$B$121:$B$142,0))</f>
        <v>0</v>
      </c>
      <c r="Y178" s="90">
        <f>INDEX(Y$129:Y$146,MATCH($B178,$B$129:$B$146,0))*INDEX('Resource costs'!$C$121:$C$142, MATCH($B178, 'Resource costs'!$B$121:$B$142,0))</f>
        <v>0</v>
      </c>
      <c r="Z178" s="90">
        <f>INDEX(Z$129:Z$146,MATCH($B178,$B$129:$B$146,0))*INDEX('Resource costs'!$C$121:$C$142, MATCH($B178, 'Resource costs'!$B$121:$B$142,0))</f>
        <v>0</v>
      </c>
      <c r="AA178" s="90">
        <f>INDEX(AA$129:AA$146,MATCH($B178,$B$129:$B$146,0))*INDEX('Resource costs'!$C$121:$C$142, MATCH($B178, 'Resource costs'!$B$121:$B$142,0))</f>
        <v>0</v>
      </c>
      <c r="AB178" s="90">
        <f>INDEX(AB$129:AB$146,MATCH($B178,$B$129:$B$146,0))*INDEX('Resource costs'!$C$121:$C$142, MATCH($B178, 'Resource costs'!$B$121:$B$142,0))</f>
        <v>0</v>
      </c>
      <c r="AC178" s="90">
        <f>INDEX(AC$129:AC$146,MATCH($B178,$B$129:$B$146,0))*INDEX('Resource costs'!$C$121:$C$142, MATCH($B178, 'Resource costs'!$B$121:$B$142,0))</f>
        <v>0</v>
      </c>
      <c r="AD178" s="90">
        <f>INDEX(AD$129:AD$146,MATCH($B178,$B$129:$B$146,0))*INDEX('Resource costs'!$C$121:$C$142, MATCH($B178, 'Resource costs'!$B$121:$B$142,0))</f>
        <v>0</v>
      </c>
      <c r="AE178" s="90">
        <f>INDEX(AE$129:AE$146,MATCH($B178,$B$129:$B$146,0))*INDEX('Resource costs'!$C$121:$C$142, MATCH($B178, 'Resource costs'!$B$121:$B$142,0))</f>
        <v>0</v>
      </c>
      <c r="AF178" s="90">
        <f>INDEX(AF$129:AF$146,MATCH($B178,$B$129:$B$146,0))*INDEX('Resource costs'!$C$121:$C$142, MATCH($B178, 'Resource costs'!$B$121:$B$142,0))</f>
        <v>0</v>
      </c>
      <c r="AG178" s="90">
        <f>INDEX(AG$129:AG$146,MATCH($B178,$B$129:$B$146,0))*INDEX('Resource costs'!$C$121:$C$142, MATCH($B178, 'Resource costs'!$B$121:$B$142,0))</f>
        <v>0</v>
      </c>
      <c r="AH178" s="90">
        <f>INDEX(AH$129:AH$146,MATCH($B178,$B$129:$B$146,0))*INDEX('Resource costs'!$C$121:$C$142, MATCH($B178, 'Resource costs'!$B$121:$B$142,0))</f>
        <v>0</v>
      </c>
      <c r="AI178" s="90">
        <f>INDEX(AI$129:AI$146,MATCH($B178,$B$129:$B$146,0))*INDEX('Resource costs'!$C$121:$C$142, MATCH($B178, 'Resource costs'!$B$121:$B$142,0))</f>
        <v>0</v>
      </c>
      <c r="AJ178" s="90">
        <f>INDEX(AJ$129:AJ$146,MATCH($B178,$B$129:$B$146,0))*INDEX('Resource costs'!$C$121:$C$142, MATCH($B178, 'Resource costs'!$B$121:$B$142,0))</f>
        <v>0</v>
      </c>
      <c r="AK178" s="90">
        <f>INDEX(AK$129:AK$146,MATCH($B178,$B$129:$B$146,0))*INDEX('Resource costs'!$C$121:$C$142, MATCH($B178, 'Resource costs'!$B$121:$B$142,0))</f>
        <v>0</v>
      </c>
      <c r="AL178" s="90">
        <f>INDEX(AL$129:AL$146,MATCH($B178,$B$129:$B$146,0))*INDEX('Resource costs'!$C$121:$C$142, MATCH($B178, 'Resource costs'!$B$121:$B$142,0))</f>
        <v>0</v>
      </c>
      <c r="AM178" s="90">
        <f>INDEX(AM$129:AM$146,MATCH($B178,$B$129:$B$146,0))*INDEX('Resource costs'!$C$121:$C$142, MATCH($B178, 'Resource costs'!$B$121:$B$142,0))</f>
        <v>0</v>
      </c>
      <c r="AN178" s="90">
        <f>INDEX(AN$129:AN$146,MATCH($B178,$B$129:$B$146,0))*INDEX('Resource costs'!$C$121:$C$142, MATCH($B178, 'Resource costs'!$B$121:$B$142,0))</f>
        <v>0</v>
      </c>
      <c r="AO178" s="90">
        <f>INDEX(AO$129:AO$146,MATCH($B178,$B$129:$B$146,0))*INDEX('Resource costs'!$C$121:$C$142, MATCH($B178, 'Resource costs'!$B$121:$B$142,0))</f>
        <v>0</v>
      </c>
      <c r="AP178" s="90">
        <f>INDEX(AP$129:AP$146,MATCH($B178,$B$129:$B$146,0))*INDEX('Resource costs'!$C$121:$C$142, MATCH($B178, 'Resource costs'!$B$121:$B$142,0))</f>
        <v>0</v>
      </c>
      <c r="AQ178" s="90">
        <f>INDEX(AQ$129:AQ$146,MATCH($B178,$B$129:$B$146,0))*INDEX('Resource costs'!$C$121:$C$142, MATCH($B178, 'Resource costs'!$B$121:$B$142,0))</f>
        <v>0</v>
      </c>
      <c r="AR178" s="90">
        <f>INDEX(AR$129:AR$146,MATCH($B178,$B$129:$B$146,0))*INDEX('Resource costs'!$C$121:$C$142, MATCH($B178, 'Resource costs'!$B$121:$B$142,0))</f>
        <v>0</v>
      </c>
      <c r="AS178" s="90">
        <f>INDEX(AS$129:AS$146,MATCH($B178,$B$129:$B$146,0))*INDEX('Resource costs'!$C$121:$C$142, MATCH($B178, 'Resource costs'!$B$121:$B$142,0))</f>
        <v>0</v>
      </c>
      <c r="AT178" s="90">
        <f>INDEX(AT$129:AT$146,MATCH($B178,$B$129:$B$146,0))*INDEX('Resource costs'!$C$121:$C$142, MATCH($B178, 'Resource costs'!$B$121:$B$142,0))</f>
        <v>0</v>
      </c>
      <c r="AU178" s="90">
        <f>INDEX(AU$129:AU$146,MATCH($B178,$B$129:$B$146,0))*INDEX('Resource costs'!$C$121:$C$142, MATCH($B178, 'Resource costs'!$B$121:$B$142,0))</f>
        <v>0</v>
      </c>
      <c r="AV178" s="90">
        <f>INDEX(AV$129:AV$146,MATCH($B178,$B$129:$B$146,0))*INDEX('Resource costs'!$C$121:$C$142, MATCH($B178, 'Resource costs'!$B$121:$B$142,0))</f>
        <v>0</v>
      </c>
      <c r="AW178" s="90">
        <f>INDEX(AW$129:AW$146,MATCH($B178,$B$129:$B$146,0))*INDEX('Resource costs'!$C$121:$C$142, MATCH($B178, 'Resource costs'!$B$121:$B$142,0))</f>
        <v>0</v>
      </c>
      <c r="AX178" s="90">
        <f>INDEX(AX$129:AX$146,MATCH($B178,$B$129:$B$146,0))*INDEX('Resource costs'!$C$121:$C$142, MATCH($B178, 'Resource costs'!$B$121:$B$142,0))</f>
        <v>0</v>
      </c>
      <c r="AY178" s="90">
        <f>INDEX(AY$129:AY$146,MATCH($B178,$B$129:$B$146,0))*INDEX('Resource costs'!$C$121:$C$142, MATCH($B178, 'Resource costs'!$B$121:$B$142,0))</f>
        <v>0</v>
      </c>
      <c r="AZ178" s="90">
        <f>INDEX(AZ$129:AZ$146,MATCH($B178,$B$129:$B$146,0))*INDEX('Resource costs'!$C$121:$C$142, MATCH($B178, 'Resource costs'!$B$121:$B$142,0))</f>
        <v>0</v>
      </c>
      <c r="BA178" s="90">
        <f>INDEX(BA$129:BA$146,MATCH($B178,$B$129:$B$146,0))*INDEX('Resource costs'!$C$121:$C$142, MATCH($B178, 'Resource costs'!$B$121:$B$142,0))</f>
        <v>0</v>
      </c>
      <c r="BB178" s="90">
        <f>INDEX(BB$129:BB$146,MATCH($B178,$B$129:$B$146,0))*INDEX('Resource costs'!$C$121:$C$142, MATCH($B178, 'Resource costs'!$B$121:$B$142,0))</f>
        <v>0</v>
      </c>
    </row>
    <row r="179" spans="2:54" s="97" customFormat="1">
      <c r="B179" s="6" t="s">
        <v>15</v>
      </c>
      <c r="C179" s="315"/>
      <c r="D179" s="90">
        <f>INDEX(D$129:D$146,MATCH($B179,$B$129:$B$146,0))*INDEX('Resource costs'!$C$121:$C$142, MATCH($B179, 'Resource costs'!$B$121:$B$142,0))</f>
        <v>299.76581724878702</v>
      </c>
      <c r="E179" s="90">
        <f>INDEX(E$129:E$146,MATCH($B179,$B$129:$B$146,0))*INDEX('Resource costs'!$C$121:$C$142, MATCH($B179, 'Resource costs'!$B$121:$B$142,0))</f>
        <v>311.28864229726338</v>
      </c>
      <c r="F179" s="90">
        <f>INDEX(F$129:F$146,MATCH($B179,$B$129:$B$146,0))*INDEX('Resource costs'!$C$121:$C$142, MATCH($B179, 'Resource costs'!$B$121:$B$142,0))</f>
        <v>321.23989926946393</v>
      </c>
      <c r="G179" s="90">
        <f>INDEX(G$129:G$146,MATCH($B179,$B$129:$B$146,0))*INDEX('Resource costs'!$C$121:$C$142, MATCH($B179, 'Resource costs'!$B$121:$B$142,0))</f>
        <v>330.07475827042714</v>
      </c>
      <c r="H179" s="90">
        <f>INDEX(H$129:H$146,MATCH($B179,$B$129:$B$146,0))*INDEX('Resource costs'!$C$121:$C$142, MATCH($B179, 'Resource costs'!$B$121:$B$142,0))</f>
        <v>338.21665654199307</v>
      </c>
      <c r="I179" s="90">
        <f>INDEX(I$129:I$146,MATCH($B179,$B$129:$B$146,0))*INDEX('Resource costs'!$C$121:$C$142, MATCH($B179, 'Resource costs'!$B$121:$B$142,0))</f>
        <v>345.91436172989262</v>
      </c>
      <c r="J179" s="90">
        <f>INDEX(J$129:J$146,MATCH($B179,$B$129:$B$146,0))*INDEX('Resource costs'!$C$121:$C$142, MATCH($B179, 'Resource costs'!$B$121:$B$142,0))</f>
        <v>353.20127382959572</v>
      </c>
      <c r="K179" s="90">
        <f>INDEX(K$129:K$146,MATCH($B179,$B$129:$B$146,0))*INDEX('Resource costs'!$C$121:$C$142, MATCH($B179, 'Resource costs'!$B$121:$B$142,0))</f>
        <v>360.20287350040877</v>
      </c>
      <c r="L179" s="90">
        <f>INDEX(L$129:L$146,MATCH($B179,$B$129:$B$146,0))*INDEX('Resource costs'!$C$121:$C$142, MATCH($B179, 'Resource costs'!$B$121:$B$142,0))</f>
        <v>367.56201744892536</v>
      </c>
      <c r="M179" s="90">
        <f>INDEX(M$129:M$146,MATCH($B179,$B$129:$B$146,0))*INDEX('Resource costs'!$C$121:$C$142, MATCH($B179, 'Resource costs'!$B$121:$B$142,0))</f>
        <v>374.90128266616949</v>
      </c>
      <c r="N179" s="90">
        <f>INDEX(N$129:N$146,MATCH($B179,$B$129:$B$146,0))*INDEX('Resource costs'!$C$121:$C$142, MATCH($B179, 'Resource costs'!$B$121:$B$142,0))</f>
        <v>382.04123823264007</v>
      </c>
      <c r="O179" s="90">
        <f>INDEX(O$129:O$146,MATCH($B179,$B$129:$B$146,0))*INDEX('Resource costs'!$C$121:$C$142, MATCH($B179, 'Resource costs'!$B$121:$B$142,0))</f>
        <v>388.90819293617267</v>
      </c>
      <c r="P179" s="90">
        <f>INDEX(P$129:P$146,MATCH($B179,$B$129:$B$146,0))*INDEX('Resource costs'!$C$121:$C$142, MATCH($B179, 'Resource costs'!$B$121:$B$142,0))</f>
        <v>395.46004025073876</v>
      </c>
      <c r="Q179" s="90">
        <f>INDEX(Q$129:Q$146,MATCH($B179,$B$129:$B$146,0))*INDEX('Resource costs'!$C$121:$C$142, MATCH($B179, 'Resource costs'!$B$121:$B$142,0))</f>
        <v>401.81066083914061</v>
      </c>
      <c r="R179" s="90">
        <f>INDEX(R$129:R$146,MATCH($B179,$B$129:$B$146,0))*INDEX('Resource costs'!$C$121:$C$142, MATCH($B179, 'Resource costs'!$B$121:$B$142,0))</f>
        <v>408.09074716478079</v>
      </c>
      <c r="S179" s="90">
        <f>INDEX(S$129:S$146,MATCH($B179,$B$129:$B$146,0))*INDEX('Resource costs'!$C$121:$C$142, MATCH($B179, 'Resource costs'!$B$121:$B$142,0))</f>
        <v>414.32125303128242</v>
      </c>
      <c r="T179" s="90">
        <f>INDEX(T$129:T$146,MATCH($B179,$B$129:$B$146,0))*INDEX('Resource costs'!$C$121:$C$142, MATCH($B179, 'Resource costs'!$B$121:$B$142,0))</f>
        <v>420.40432738048219</v>
      </c>
      <c r="U179" s="90">
        <f>INDEX(U$129:U$146,MATCH($B179,$B$129:$B$146,0))*INDEX('Resource costs'!$C$121:$C$142, MATCH($B179, 'Resource costs'!$B$121:$B$142,0))</f>
        <v>426.35772161892322</v>
      </c>
      <c r="V179" s="90">
        <f>INDEX(V$129:V$146,MATCH($B179,$B$129:$B$146,0))*INDEX('Resource costs'!$C$121:$C$142, MATCH($B179, 'Resource costs'!$B$121:$B$142,0))</f>
        <v>432.4218406985363</v>
      </c>
      <c r="W179" s="90">
        <f>INDEX(W$129:W$146,MATCH($B179,$B$129:$B$146,0))*INDEX('Resource costs'!$C$121:$C$142, MATCH($B179, 'Resource costs'!$B$121:$B$142,0))</f>
        <v>438.39916596362207</v>
      </c>
      <c r="X179" s="90">
        <f>INDEX(X$129:X$146,MATCH($B179,$B$129:$B$146,0))*INDEX('Resource costs'!$C$121:$C$142, MATCH($B179, 'Resource costs'!$B$121:$B$142,0))</f>
        <v>444.2337366157164</v>
      </c>
      <c r="Y179" s="90">
        <f>INDEX(Y$129:Y$146,MATCH($B179,$B$129:$B$146,0))*INDEX('Resource costs'!$C$121:$C$142, MATCH($B179, 'Resource costs'!$B$121:$B$142,0))</f>
        <v>449.91697583043094</v>
      </c>
      <c r="Z179" s="90">
        <f>INDEX(Z$129:Z$146,MATCH($B179,$B$129:$B$146,0))*INDEX('Resource costs'!$C$121:$C$142, MATCH($B179, 'Resource costs'!$B$121:$B$142,0))</f>
        <v>455.54509438833861</v>
      </c>
      <c r="AA179" s="90">
        <f>INDEX(AA$129:AA$146,MATCH($B179,$B$129:$B$146,0))*INDEX('Resource costs'!$C$121:$C$142, MATCH($B179, 'Resource costs'!$B$121:$B$142,0))</f>
        <v>461.09712010256686</v>
      </c>
      <c r="AB179" s="90">
        <f>INDEX(AB$129:AB$146,MATCH($B179,$B$129:$B$146,0))*INDEX('Resource costs'!$C$121:$C$142, MATCH($B179, 'Resource costs'!$B$121:$B$142,0))</f>
        <v>466.53392383201611</v>
      </c>
      <c r="AC179" s="90">
        <f>INDEX(AC$129:AC$146,MATCH($B179,$B$129:$B$146,0))*INDEX('Resource costs'!$C$121:$C$142, MATCH($B179, 'Resource costs'!$B$121:$B$142,0))</f>
        <v>471.82502037645679</v>
      </c>
      <c r="AD179" s="90">
        <f>INDEX(AD$129:AD$146,MATCH($B179,$B$129:$B$146,0))*INDEX('Resource costs'!$C$121:$C$142, MATCH($B179, 'Resource costs'!$B$121:$B$142,0))</f>
        <v>476.9398265452914</v>
      </c>
      <c r="AE179" s="90">
        <f>INDEX(AE$129:AE$146,MATCH($B179,$B$129:$B$146,0))*INDEX('Resource costs'!$C$121:$C$142, MATCH($B179, 'Resource costs'!$B$121:$B$142,0))</f>
        <v>481.8557124072064</v>
      </c>
      <c r="AF179" s="90">
        <f>INDEX(AF$129:AF$146,MATCH($B179,$B$129:$B$146,0))*INDEX('Resource costs'!$C$121:$C$142, MATCH($B179, 'Resource costs'!$B$121:$B$142,0))</f>
        <v>486.55211434878578</v>
      </c>
      <c r="AG179" s="90">
        <f>INDEX(AG$129:AG$146,MATCH($B179,$B$129:$B$146,0))*INDEX('Resource costs'!$C$121:$C$142, MATCH($B179, 'Resource costs'!$B$121:$B$142,0))</f>
        <v>491.04647850661911</v>
      </c>
      <c r="AH179" s="90">
        <f>INDEX(AH$129:AH$146,MATCH($B179,$B$129:$B$146,0))*INDEX('Resource costs'!$C$121:$C$142, MATCH($B179, 'Resource costs'!$B$121:$B$142,0))</f>
        <v>495.42792827028131</v>
      </c>
      <c r="AI179" s="90">
        <f>INDEX(AI$129:AI$146,MATCH($B179,$B$129:$B$146,0))*INDEX('Resource costs'!$C$121:$C$142, MATCH($B179, 'Resource costs'!$B$121:$B$142,0))</f>
        <v>499.70656429294974</v>
      </c>
      <c r="AJ179" s="90">
        <f>INDEX(AJ$129:AJ$146,MATCH($B179,$B$129:$B$146,0))*INDEX('Resource costs'!$C$121:$C$142, MATCH($B179, 'Resource costs'!$B$121:$B$142,0))</f>
        <v>503.91588025691021</v>
      </c>
      <c r="AK179" s="90">
        <f>INDEX(AK$129:AK$146,MATCH($B179,$B$129:$B$146,0))*INDEX('Resource costs'!$C$121:$C$142, MATCH($B179, 'Resource costs'!$B$121:$B$142,0))</f>
        <v>507.95645652196185</v>
      </c>
      <c r="AL179" s="90">
        <f>INDEX(AL$129:AL$146,MATCH($B179,$B$129:$B$146,0))*INDEX('Resource costs'!$C$121:$C$142, MATCH($B179, 'Resource costs'!$B$121:$B$142,0))</f>
        <v>511.75215747536873</v>
      </c>
      <c r="AM179" s="90">
        <f>INDEX(AM$129:AM$146,MATCH($B179,$B$129:$B$146,0))*INDEX('Resource costs'!$C$121:$C$142, MATCH($B179, 'Resource costs'!$B$121:$B$142,0))</f>
        <v>515.25123510797721</v>
      </c>
      <c r="AN179" s="90">
        <f>INDEX(AN$129:AN$146,MATCH($B179,$B$129:$B$146,0))*INDEX('Resource costs'!$C$121:$C$142, MATCH($B179, 'Resource costs'!$B$121:$B$142,0))</f>
        <v>518.4843095904622</v>
      </c>
      <c r="AO179" s="90">
        <f>INDEX(AO$129:AO$146,MATCH($B179,$B$129:$B$146,0))*INDEX('Resource costs'!$C$121:$C$142, MATCH($B179, 'Resource costs'!$B$121:$B$142,0))</f>
        <v>521.4582262424326</v>
      </c>
      <c r="AP179" s="90">
        <f>INDEX(AP$129:AP$146,MATCH($B179,$B$129:$B$146,0))*INDEX('Resource costs'!$C$121:$C$142, MATCH($B179, 'Resource costs'!$B$121:$B$142,0))</f>
        <v>524.16042502779794</v>
      </c>
      <c r="AQ179" s="90">
        <f>INDEX(AQ$129:AQ$146,MATCH($B179,$B$129:$B$146,0))*INDEX('Resource costs'!$C$121:$C$142, MATCH($B179, 'Resource costs'!$B$121:$B$142,0))</f>
        <v>526.69959589312282</v>
      </c>
      <c r="AR179" s="90">
        <f>INDEX(AR$129:AR$146,MATCH($B179,$B$129:$B$146,0))*INDEX('Resource costs'!$C$121:$C$142, MATCH($B179, 'Resource costs'!$B$121:$B$142,0))</f>
        <v>529.19780269471914</v>
      </c>
      <c r="AS179" s="90">
        <f>INDEX(AS$129:AS$146,MATCH($B179,$B$129:$B$146,0))*INDEX('Resource costs'!$C$121:$C$142, MATCH($B179, 'Resource costs'!$B$121:$B$142,0))</f>
        <v>531.75323435428709</v>
      </c>
      <c r="AT179" s="90">
        <f>INDEX(AT$129:AT$146,MATCH($B179,$B$129:$B$146,0))*INDEX('Resource costs'!$C$121:$C$142, MATCH($B179, 'Resource costs'!$B$121:$B$142,0))</f>
        <v>533.74519333292017</v>
      </c>
      <c r="AU179" s="90">
        <f>INDEX(AU$129:AU$146,MATCH($B179,$B$129:$B$146,0))*INDEX('Resource costs'!$C$121:$C$142, MATCH($B179, 'Resource costs'!$B$121:$B$142,0))</f>
        <v>535.29792535676472</v>
      </c>
      <c r="AV179" s="90">
        <f>INDEX(AV$129:AV$146,MATCH($B179,$B$129:$B$146,0))*INDEX('Resource costs'!$C$121:$C$142, MATCH($B179, 'Resource costs'!$B$121:$B$142,0))</f>
        <v>536.50827996935163</v>
      </c>
      <c r="AW179" s="90">
        <f>INDEX(AW$129:AW$146,MATCH($B179,$B$129:$B$146,0))*INDEX('Resource costs'!$C$121:$C$142, MATCH($B179, 'Resource costs'!$B$121:$B$142,0))</f>
        <v>537.45175138986292</v>
      </c>
      <c r="AX179" s="90">
        <f>INDEX(AX$129:AX$146,MATCH($B179,$B$129:$B$146,0))*INDEX('Resource costs'!$C$121:$C$142, MATCH($B179, 'Resource costs'!$B$121:$B$142,0))</f>
        <v>538.18718736215158</v>
      </c>
      <c r="AY179" s="90">
        <f>INDEX(AY$129:AY$146,MATCH($B179,$B$129:$B$146,0))*INDEX('Resource costs'!$C$121:$C$142, MATCH($B179, 'Resource costs'!$B$121:$B$142,0))</f>
        <v>538.76045970255052</v>
      </c>
      <c r="AZ179" s="90">
        <f>INDEX(AZ$129:AZ$146,MATCH($B179,$B$129:$B$146,0))*INDEX('Resource costs'!$C$121:$C$142, MATCH($B179, 'Resource costs'!$B$121:$B$142,0))</f>
        <v>539.20732549189154</v>
      </c>
      <c r="BA179" s="90">
        <f>INDEX(BA$129:BA$146,MATCH($B179,$B$129:$B$146,0))*INDEX('Resource costs'!$C$121:$C$142, MATCH($B179, 'Resource costs'!$B$121:$B$142,0))</f>
        <v>539.55565737468294</v>
      </c>
      <c r="BB179" s="90">
        <f>INDEX(BB$129:BB$146,MATCH($B179,$B$129:$B$146,0))*INDEX('Resource costs'!$C$121:$C$142, MATCH($B179, 'Resource costs'!$B$121:$B$142,0))</f>
        <v>539.82718207731875</v>
      </c>
    </row>
    <row r="180" spans="2:54" s="97" customFormat="1" ht="29">
      <c r="B180" s="6" t="s">
        <v>16</v>
      </c>
      <c r="C180" s="315"/>
      <c r="D180" s="90">
        <f>INDEX(D$129:D$146,MATCH($B180,$B$129:$B$146,0))*INDEX('Resource costs'!$C$121:$C$142, MATCH($B180, 'Resource costs'!$B$121:$B$142,0))</f>
        <v>739.193129639223</v>
      </c>
      <c r="E180" s="90">
        <f>INDEX(E$129:E$146,MATCH($B180,$B$129:$B$146,0))*INDEX('Resource costs'!$C$121:$C$142, MATCH($B180, 'Resource costs'!$B$121:$B$142,0))</f>
        <v>767.60728702395045</v>
      </c>
      <c r="F180" s="90">
        <f>INDEX(F$129:F$146,MATCH($B180,$B$129:$B$146,0))*INDEX('Resource costs'!$C$121:$C$142, MATCH($B180, 'Resource costs'!$B$121:$B$142,0))</f>
        <v>792.14611153915553</v>
      </c>
      <c r="G180" s="90">
        <f>INDEX(G$129:G$146,MATCH($B180,$B$129:$B$146,0))*INDEX('Resource costs'!$C$121:$C$142, MATCH($B180, 'Resource costs'!$B$121:$B$142,0))</f>
        <v>813.93200805924891</v>
      </c>
      <c r="H180" s="90">
        <f>INDEX(H$129:H$146,MATCH($B180,$B$129:$B$146,0))*INDEX('Resource costs'!$C$121:$C$142, MATCH($B180, 'Resource costs'!$B$121:$B$142,0))</f>
        <v>834.00913132767027</v>
      </c>
      <c r="I180" s="90">
        <f>INDEX(I$129:I$146,MATCH($B180,$B$129:$B$146,0))*INDEX('Resource costs'!$C$121:$C$142, MATCH($B180, 'Resource costs'!$B$121:$B$142,0))</f>
        <v>852.99091798068662</v>
      </c>
      <c r="J180" s="90">
        <f>INDEX(J$129:J$146,MATCH($B180,$B$129:$B$146,0))*INDEX('Resource costs'!$C$121:$C$142, MATCH($B180, 'Resource costs'!$B$121:$B$142,0))</f>
        <v>870.95972913407809</v>
      </c>
      <c r="K180" s="90">
        <f>INDEX(K$129:K$146,MATCH($B180,$B$129:$B$146,0))*INDEX('Resource costs'!$C$121:$C$142, MATCH($B180, 'Resource costs'!$B$121:$B$142,0))</f>
        <v>888.2249877971559</v>
      </c>
      <c r="L180" s="90">
        <f>INDEX(L$129:L$146,MATCH($B180,$B$129:$B$146,0))*INDEX('Resource costs'!$C$121:$C$142, MATCH($B180, 'Resource costs'!$B$121:$B$142,0))</f>
        <v>906.37191561132613</v>
      </c>
      <c r="M180" s="90">
        <f>INDEX(M$129:M$146,MATCH($B180,$B$129:$B$146,0))*INDEX('Resource costs'!$C$121:$C$142, MATCH($B180, 'Resource costs'!$B$121:$B$142,0))</f>
        <v>924.46982442220462</v>
      </c>
      <c r="N180" s="90">
        <f>INDEX(N$129:N$146,MATCH($B180,$B$129:$B$146,0))*INDEX('Resource costs'!$C$121:$C$142, MATCH($B180, 'Resource costs'!$B$121:$B$142,0))</f>
        <v>942.07625516572091</v>
      </c>
      <c r="O180" s="90">
        <f>INDEX(O$129:O$146,MATCH($B180,$B$129:$B$146,0))*INDEX('Resource costs'!$C$121:$C$142, MATCH($B180, 'Resource costs'!$B$121:$B$142,0))</f>
        <v>959.00949253408407</v>
      </c>
      <c r="P180" s="90">
        <f>INDEX(P$129:P$146,MATCH($B180,$B$129:$B$146,0))*INDEX('Resource costs'!$C$121:$C$142, MATCH($B180, 'Resource costs'!$B$121:$B$142,0))</f>
        <v>975.1657059603566</v>
      </c>
      <c r="Q180" s="90">
        <f>INDEX(Q$129:Q$146,MATCH($B180,$B$129:$B$146,0))*INDEX('Resource costs'!$C$121:$C$142, MATCH($B180, 'Resource costs'!$B$121:$B$142,0))</f>
        <v>990.82571399921869</v>
      </c>
      <c r="R180" s="90">
        <f>INDEX(R$129:R$146,MATCH($B180,$B$129:$B$146,0))*INDEX('Resource costs'!$C$121:$C$142, MATCH($B180, 'Resource costs'!$B$121:$B$142,0))</f>
        <v>1006.3117914581497</v>
      </c>
      <c r="S180" s="90">
        <f>INDEX(S$129:S$146,MATCH($B180,$B$129:$B$146,0))*INDEX('Resource costs'!$C$121:$C$142, MATCH($B180, 'Resource costs'!$B$121:$B$142,0))</f>
        <v>1021.6756083635058</v>
      </c>
      <c r="T180" s="90">
        <f>INDEX(T$129:T$146,MATCH($B180,$B$129:$B$146,0))*INDEX('Resource costs'!$C$121:$C$142, MATCH($B180, 'Resource costs'!$B$121:$B$142,0))</f>
        <v>1036.6758735948188</v>
      </c>
      <c r="U180" s="90">
        <f>INDEX(U$129:U$146,MATCH($B180,$B$129:$B$146,0))*INDEX('Resource costs'!$C$121:$C$142, MATCH($B180, 'Resource costs'!$B$121:$B$142,0))</f>
        <v>1051.3563603810658</v>
      </c>
      <c r="V180" s="90">
        <f>INDEX(V$129:V$146,MATCH($B180,$B$129:$B$146,0))*INDEX('Resource costs'!$C$121:$C$142, MATCH($B180, 'Resource costs'!$B$121:$B$142,0))</f>
        <v>1066.3098837751088</v>
      </c>
      <c r="W180" s="90">
        <f>INDEX(W$129:W$146,MATCH($B180,$B$129:$B$146,0))*INDEX('Resource costs'!$C$121:$C$142, MATCH($B180, 'Resource costs'!$B$121:$B$142,0))</f>
        <v>1081.049382127929</v>
      </c>
      <c r="X180" s="90">
        <f>INDEX(X$129:X$146,MATCH($B180,$B$129:$B$146,0))*INDEX('Resource costs'!$C$121:$C$142, MATCH($B180, 'Resource costs'!$B$121:$B$142,0))</f>
        <v>1095.43686159442</v>
      </c>
      <c r="Y180" s="90">
        <f>INDEX(Y$129:Y$146,MATCH($B180,$B$129:$B$146,0))*INDEX('Resource costs'!$C$121:$C$142, MATCH($B180, 'Resource costs'!$B$121:$B$142,0))</f>
        <v>1109.4511725661298</v>
      </c>
      <c r="Z180" s="90">
        <f>INDEX(Z$129:Z$146,MATCH($B180,$B$129:$B$146,0))*INDEX('Resource costs'!$C$121:$C$142, MATCH($B180, 'Resource costs'!$B$121:$B$142,0))</f>
        <v>1123.3295613997291</v>
      </c>
      <c r="AA180" s="90">
        <f>INDEX(AA$129:AA$146,MATCH($B180,$B$129:$B$146,0))*INDEX('Resource costs'!$C$121:$C$142, MATCH($B180, 'Resource costs'!$B$121:$B$142,0))</f>
        <v>1137.0203127375701</v>
      </c>
      <c r="AB180" s="90">
        <f>INDEX(AB$129:AB$146,MATCH($B180,$B$129:$B$146,0))*INDEX('Resource costs'!$C$121:$C$142, MATCH($B180, 'Resource costs'!$B$121:$B$142,0))</f>
        <v>1150.42693795218</v>
      </c>
      <c r="AC180" s="90">
        <f>INDEX(AC$129:AC$146,MATCH($B180,$B$129:$B$146,0))*INDEX('Resource costs'!$C$121:$C$142, MATCH($B180, 'Resource costs'!$B$121:$B$142,0))</f>
        <v>1163.474263527205</v>
      </c>
      <c r="AD180" s="90">
        <f>INDEX(AD$129:AD$146,MATCH($B180,$B$129:$B$146,0))*INDEX('Resource costs'!$C$121:$C$142, MATCH($B180, 'Resource costs'!$B$121:$B$142,0))</f>
        <v>1176.0868743116462</v>
      </c>
      <c r="AE180" s="90">
        <f>INDEX(AE$129:AE$146,MATCH($B180,$B$129:$B$146,0))*INDEX('Resource costs'!$C$121:$C$142, MATCH($B180, 'Resource costs'!$B$121:$B$142,0))</f>
        <v>1188.2089671125154</v>
      </c>
      <c r="AF180" s="90">
        <f>INDEX(AF$129:AF$146,MATCH($B180,$B$129:$B$146,0))*INDEX('Resource costs'!$C$121:$C$142, MATCH($B180, 'Resource costs'!$B$121:$B$142,0))</f>
        <v>1199.7898340742697</v>
      </c>
      <c r="AG180" s="90">
        <f>INDEX(AG$129:AG$146,MATCH($B180,$B$129:$B$146,0))*INDEX('Resource costs'!$C$121:$C$142, MATCH($B180, 'Resource costs'!$B$121:$B$142,0))</f>
        <v>1210.872495660097</v>
      </c>
      <c r="AH180" s="90">
        <f>INDEX(AH$129:AH$146,MATCH($B180,$B$129:$B$146,0))*INDEX('Resource costs'!$C$121:$C$142, MATCH($B180, 'Resource costs'!$B$121:$B$142,0))</f>
        <v>1221.6767214149984</v>
      </c>
      <c r="AI180" s="90">
        <f>INDEX(AI$129:AI$146,MATCH($B180,$B$129:$B$146,0))*INDEX('Resource costs'!$C$121:$C$142, MATCH($B180, 'Resource costs'!$B$121:$B$142,0))</f>
        <v>1232.2274185598917</v>
      </c>
      <c r="AJ180" s="90">
        <f>INDEX(AJ$129:AJ$146,MATCH($B180,$B$129:$B$146,0))*INDEX('Resource costs'!$C$121:$C$142, MATCH($B180, 'Resource costs'!$B$121:$B$142,0))</f>
        <v>1242.607179233064</v>
      </c>
      <c r="AK180" s="90">
        <f>INDEX(AK$129:AK$146,MATCH($B180,$B$129:$B$146,0))*INDEX('Resource costs'!$C$121:$C$142, MATCH($B180, 'Resource costs'!$B$121:$B$142,0))</f>
        <v>1252.5708443444555</v>
      </c>
      <c r="AL180" s="90">
        <f>INDEX(AL$129:AL$146,MATCH($B180,$B$129:$B$146,0))*INDEX('Resource costs'!$C$121:$C$142, MATCH($B180, 'Resource costs'!$B$121:$B$142,0))</f>
        <v>1261.9306709340055</v>
      </c>
      <c r="AM180" s="90">
        <f>INDEX(AM$129:AM$146,MATCH($B180,$B$129:$B$146,0))*INDEX('Resource costs'!$C$121:$C$142, MATCH($B180, 'Resource costs'!$B$121:$B$142,0))</f>
        <v>1270.5590534822127</v>
      </c>
      <c r="AN180" s="90">
        <f>INDEX(AN$129:AN$146,MATCH($B180,$B$129:$B$146,0))*INDEX('Resource costs'!$C$121:$C$142, MATCH($B180, 'Resource costs'!$B$121:$B$142,0))</f>
        <v>1278.5314983293224</v>
      </c>
      <c r="AO180" s="90">
        <f>INDEX(AO$129:AO$146,MATCH($B180,$B$129:$B$146,0))*INDEX('Resource costs'!$C$121:$C$142, MATCH($B180, 'Resource costs'!$B$121:$B$142,0))</f>
        <v>1285.8648853626805</v>
      </c>
      <c r="AP180" s="90">
        <f>INDEX(AP$129:AP$146,MATCH($B180,$B$129:$B$146,0))*INDEX('Resource costs'!$C$121:$C$142, MATCH($B180, 'Resource costs'!$B$121:$B$142,0))</f>
        <v>1292.5282427641139</v>
      </c>
      <c r="AQ180" s="90">
        <f>INDEX(AQ$129:AQ$146,MATCH($B180,$B$129:$B$146,0))*INDEX('Resource costs'!$C$121:$C$142, MATCH($B180, 'Resource costs'!$B$121:$B$142,0))</f>
        <v>1298.7895892907279</v>
      </c>
      <c r="AR180" s="90">
        <f>INDEX(AR$129:AR$146,MATCH($B180,$B$129:$B$146,0))*INDEX('Resource costs'!$C$121:$C$142, MATCH($B180, 'Resource costs'!$B$121:$B$142,0))</f>
        <v>1304.9499224504805</v>
      </c>
      <c r="AS180" s="90">
        <f>INDEX(AS$129:AS$146,MATCH($B180,$B$129:$B$146,0))*INDEX('Resource costs'!$C$121:$C$142, MATCH($B180, 'Resource costs'!$B$121:$B$142,0))</f>
        <v>1311.2513665022132</v>
      </c>
      <c r="AT180" s="90">
        <f>INDEX(AT$129:AT$146,MATCH($B180,$B$129:$B$146,0))*INDEX('Resource costs'!$C$121:$C$142, MATCH($B180, 'Resource costs'!$B$121:$B$142,0))</f>
        <v>1316.1633421405384</v>
      </c>
      <c r="AU180" s="90">
        <f>INDEX(AU$129:AU$146,MATCH($B180,$B$129:$B$146,0))*INDEX('Resource costs'!$C$121:$C$142, MATCH($B180, 'Resource costs'!$B$121:$B$142,0))</f>
        <v>1319.9922271506132</v>
      </c>
      <c r="AV180" s="90">
        <f>INDEX(AV$129:AV$146,MATCH($B180,$B$129:$B$146,0))*INDEX('Resource costs'!$C$121:$C$142, MATCH($B180, 'Resource costs'!$B$121:$B$142,0))</f>
        <v>1322.9768430159666</v>
      </c>
      <c r="AW180" s="90">
        <f>INDEX(AW$129:AW$146,MATCH($B180,$B$129:$B$146,0))*INDEX('Resource costs'!$C$121:$C$142, MATCH($B180, 'Resource costs'!$B$121:$B$142,0))</f>
        <v>1325.3033510830094</v>
      </c>
      <c r="AX180" s="90">
        <f>INDEX(AX$129:AX$146,MATCH($B180,$B$129:$B$146,0))*INDEX('Resource costs'!$C$121:$C$142, MATCH($B180, 'Resource costs'!$B$121:$B$142,0))</f>
        <v>1327.1168641212694</v>
      </c>
      <c r="AY180" s="90">
        <f>INDEX(AY$129:AY$146,MATCH($B180,$B$129:$B$146,0))*INDEX('Resource costs'!$C$121:$C$142, MATCH($B180, 'Resource costs'!$B$121:$B$142,0))</f>
        <v>1328.5304975345928</v>
      </c>
      <c r="AZ180" s="90">
        <f>INDEX(AZ$129:AZ$146,MATCH($B180,$B$129:$B$146,0))*INDEX('Resource costs'!$C$121:$C$142, MATCH($B180, 'Resource costs'!$B$121:$B$142,0))</f>
        <v>1329.6324247802784</v>
      </c>
      <c r="BA180" s="90">
        <f>INDEX(BA$129:BA$146,MATCH($B180,$B$129:$B$146,0))*INDEX('Resource costs'!$C$121:$C$142, MATCH($B180, 'Resource costs'!$B$121:$B$142,0))</f>
        <v>1330.4913770682906</v>
      </c>
      <c r="BB180" s="90">
        <f>INDEX(BB$129:BB$146,MATCH($B180,$B$129:$B$146,0))*INDEX('Resource costs'!$C$121:$C$142, MATCH($B180, 'Resource costs'!$B$121:$B$142,0))</f>
        <v>1331.1609303767959</v>
      </c>
    </row>
    <row r="181" spans="2:54" s="97" customFormat="1">
      <c r="B181" s="6" t="s">
        <v>103</v>
      </c>
      <c r="C181" s="315"/>
      <c r="D181" s="90">
        <f>INDEX(D$129:D$146,MATCH($B181,$B$129:$B$146,0))*INDEX('Resource costs'!$C$121:$C$142, MATCH($B181, 'Resource costs'!$B$121:$B$142,0))</f>
        <v>52521.058999618312</v>
      </c>
      <c r="E181" s="90">
        <f>INDEX(E$129:E$146,MATCH($B181,$B$129:$B$146,0))*INDEX('Resource costs'!$C$121:$C$142, MATCH($B181, 'Resource costs'!$B$121:$B$142,0))</f>
        <v>54539.938202616424</v>
      </c>
      <c r="F181" s="90">
        <f>INDEX(F$129:F$146,MATCH($B181,$B$129:$B$146,0))*INDEX('Resource costs'!$C$121:$C$142, MATCH($B181, 'Resource costs'!$B$121:$B$142,0))</f>
        <v>56283.467732948229</v>
      </c>
      <c r="G181" s="90">
        <f>INDEX(G$129:G$146,MATCH($B181,$B$129:$B$146,0))*INDEX('Resource costs'!$C$121:$C$142, MATCH($B181, 'Resource costs'!$B$121:$B$142,0))</f>
        <v>57831.396563198388</v>
      </c>
      <c r="H181" s="90">
        <f>INDEX(H$129:H$146,MATCH($B181,$B$129:$B$146,0))*INDEX('Resource costs'!$C$121:$C$142, MATCH($B181, 'Resource costs'!$B$121:$B$142,0))</f>
        <v>59257.91384730523</v>
      </c>
      <c r="I181" s="90">
        <f>INDEX(I$129:I$146,MATCH($B181,$B$129:$B$146,0))*INDEX('Resource costs'!$C$121:$C$142, MATCH($B181, 'Resource costs'!$B$121:$B$142,0))</f>
        <v>60606.605409424861</v>
      </c>
      <c r="J181" s="90">
        <f>INDEX(J$129:J$146,MATCH($B181,$B$129:$B$146,0))*INDEX('Resource costs'!$C$121:$C$142, MATCH($B181, 'Resource costs'!$B$121:$B$142,0))</f>
        <v>61883.323161388944</v>
      </c>
      <c r="K181" s="90">
        <f>INDEX(K$129:K$146,MATCH($B181,$B$129:$B$146,0))*INDEX('Resource costs'!$C$121:$C$142, MATCH($B181, 'Resource costs'!$B$121:$B$142,0))</f>
        <v>63110.052188659196</v>
      </c>
      <c r="L181" s="90">
        <f>INDEX(L$129:L$146,MATCH($B181,$B$129:$B$146,0))*INDEX('Resource costs'!$C$121:$C$142, MATCH($B181, 'Resource costs'!$B$121:$B$142,0))</f>
        <v>64399.425463617845</v>
      </c>
      <c r="M181" s="90">
        <f>INDEX(M$129:M$146,MATCH($B181,$B$129:$B$146,0))*INDEX('Resource costs'!$C$121:$C$142, MATCH($B181, 'Resource costs'!$B$121:$B$142,0))</f>
        <v>65685.315846405589</v>
      </c>
      <c r="N181" s="90">
        <f>INDEX(N$129:N$146,MATCH($B181,$B$129:$B$146,0))*INDEX('Resource costs'!$C$121:$C$142, MATCH($B181, 'Resource costs'!$B$121:$B$142,0))</f>
        <v>66936.285790220194</v>
      </c>
      <c r="O181" s="90">
        <f>INDEX(O$129:O$146,MATCH($B181,$B$129:$B$146,0))*INDEX('Resource costs'!$C$121:$C$142, MATCH($B181, 'Resource costs'!$B$121:$B$142,0))</f>
        <v>68139.424081443751</v>
      </c>
      <c r="P181" s="90">
        <f>INDEX(P$129:P$146,MATCH($B181,$B$129:$B$146,0))*INDEX('Resource costs'!$C$121:$C$142, MATCH($B181, 'Resource costs'!$B$121:$B$142,0))</f>
        <v>69287.353363451344</v>
      </c>
      <c r="Q181" s="90">
        <f>INDEX(Q$129:Q$146,MATCH($B181,$B$129:$B$146,0))*INDEX('Resource costs'!$C$121:$C$142, MATCH($B181, 'Resource costs'!$B$121:$B$142,0))</f>
        <v>70400.026321525234</v>
      </c>
      <c r="R181" s="90">
        <f>INDEX(R$129:R$146,MATCH($B181,$B$129:$B$146,0))*INDEX('Resource costs'!$C$121:$C$142, MATCH($B181, 'Resource costs'!$B$121:$B$142,0))</f>
        <v>71500.341185504207</v>
      </c>
      <c r="S181" s="90">
        <f>INDEX(S$129:S$146,MATCH($B181,$B$129:$B$146,0))*INDEX('Resource costs'!$C$121:$C$142, MATCH($B181, 'Resource costs'!$B$121:$B$142,0))</f>
        <v>72591.969207722679</v>
      </c>
      <c r="T181" s="90">
        <f>INDEX(T$129:T$146,MATCH($B181,$B$129:$B$146,0))*INDEX('Resource costs'!$C$121:$C$142, MATCH($B181, 'Resource costs'!$B$121:$B$142,0))</f>
        <v>73657.766201274586</v>
      </c>
      <c r="U181" s="90">
        <f>INDEX(U$129:U$146,MATCH($B181,$B$129:$B$146,0))*INDEX('Resource costs'!$C$121:$C$142, MATCH($B181, 'Resource costs'!$B$121:$B$142,0))</f>
        <v>74700.842336221787</v>
      </c>
      <c r="V181" s="90">
        <f>INDEX(V$129:V$146,MATCH($B181,$B$129:$B$146,0))*INDEX('Resource costs'!$C$121:$C$142, MATCH($B181, 'Resource costs'!$B$121:$B$142,0))</f>
        <v>75763.318234521881</v>
      </c>
      <c r="W181" s="90">
        <f>INDEX(W$129:W$146,MATCH($B181,$B$129:$B$146,0))*INDEX('Resource costs'!$C$121:$C$142, MATCH($B181, 'Resource costs'!$B$121:$B$142,0))</f>
        <v>76810.587252012716</v>
      </c>
      <c r="X181" s="90">
        <f>INDEX(X$129:X$146,MATCH($B181,$B$129:$B$146,0))*INDEX('Resource costs'!$C$121:$C$142, MATCH($B181, 'Resource costs'!$B$121:$B$142,0))</f>
        <v>77832.844667046025</v>
      </c>
      <c r="Y181" s="90">
        <f>INDEX(Y$129:Y$146,MATCH($B181,$B$129:$B$146,0))*INDEX('Resource costs'!$C$121:$C$142, MATCH($B181, 'Resource costs'!$B$121:$B$142,0))</f>
        <v>78828.58776025282</v>
      </c>
      <c r="Z181" s="90">
        <f>INDEX(Z$129:Z$146,MATCH($B181,$B$129:$B$146,0))*INDEX('Resource costs'!$C$121:$C$142, MATCH($B181, 'Resource costs'!$B$121:$B$142,0))</f>
        <v>79814.673330481091</v>
      </c>
      <c r="AA181" s="90">
        <f>INDEX(AA$129:AA$146,MATCH($B181,$B$129:$B$146,0))*INDEX('Resource costs'!$C$121:$C$142, MATCH($B181, 'Resource costs'!$B$121:$B$142,0))</f>
        <v>80787.42690452309</v>
      </c>
      <c r="AB181" s="90">
        <f>INDEX(AB$129:AB$146,MATCH($B181,$B$129:$B$146,0))*INDEX('Resource costs'!$C$121:$C$142, MATCH($B181, 'Resource costs'!$B$121:$B$142,0))</f>
        <v>81739.992784330389</v>
      </c>
      <c r="AC181" s="90">
        <f>INDEX(AC$129:AC$146,MATCH($B181,$B$129:$B$146,0))*INDEX('Resource costs'!$C$121:$C$142, MATCH($B181, 'Resource costs'!$B$121:$B$142,0))</f>
        <v>82667.029750498594</v>
      </c>
      <c r="AD181" s="90">
        <f>INDEX(AD$129:AD$146,MATCH($B181,$B$129:$B$146,0))*INDEX('Resource costs'!$C$121:$C$142, MATCH($B181, 'Resource costs'!$B$121:$B$142,0))</f>
        <v>83563.179415028295</v>
      </c>
      <c r="AE181" s="90">
        <f>INDEX(AE$129:AE$146,MATCH($B181,$B$129:$B$146,0))*INDEX('Resource costs'!$C$121:$C$142, MATCH($B181, 'Resource costs'!$B$121:$B$142,0))</f>
        <v>84424.476856339796</v>
      </c>
      <c r="AF181" s="90">
        <f>INDEX(AF$129:AF$146,MATCH($B181,$B$129:$B$146,0))*INDEX('Resource costs'!$C$121:$C$142, MATCH($B181, 'Resource costs'!$B$121:$B$142,0))</f>
        <v>85247.319186140521</v>
      </c>
      <c r="AG181" s="90">
        <f>INDEX(AG$129:AG$146,MATCH($B181,$B$129:$B$146,0))*INDEX('Resource costs'!$C$121:$C$142, MATCH($B181, 'Resource costs'!$B$121:$B$142,0))</f>
        <v>86034.763089070359</v>
      </c>
      <c r="AH181" s="90">
        <f>INDEX(AH$129:AH$146,MATCH($B181,$B$129:$B$146,0))*INDEX('Resource costs'!$C$121:$C$142, MATCH($B181, 'Resource costs'!$B$121:$B$142,0))</f>
        <v>86802.423603711955</v>
      </c>
      <c r="AI181" s="90">
        <f>INDEX(AI$129:AI$146,MATCH($B181,$B$129:$B$146,0))*INDEX('Resource costs'!$C$121:$C$142, MATCH($B181, 'Resource costs'!$B$121:$B$142,0))</f>
        <v>87552.070434851339</v>
      </c>
      <c r="AJ181" s="90">
        <f>INDEX(AJ$129:AJ$146,MATCH($B181,$B$129:$B$146,0))*INDEX('Resource costs'!$C$121:$C$142, MATCH($B181, 'Resource costs'!$B$121:$B$142,0))</f>
        <v>88289.571908902755</v>
      </c>
      <c r="AK181" s="90">
        <f>INDEX(AK$129:AK$146,MATCH($B181,$B$129:$B$146,0))*INDEX('Resource costs'!$C$121:$C$142, MATCH($B181, 'Resource costs'!$B$121:$B$142,0))</f>
        <v>88997.509012462193</v>
      </c>
      <c r="AL181" s="90">
        <f>INDEX(AL$129:AL$146,MATCH($B181,$B$129:$B$146,0))*INDEX('Resource costs'!$C$121:$C$142, MATCH($B181, 'Resource costs'!$B$121:$B$142,0))</f>
        <v>89662.54225590681</v>
      </c>
      <c r="AM181" s="90">
        <f>INDEX(AM$129:AM$146,MATCH($B181,$B$129:$B$146,0))*INDEX('Resource costs'!$C$121:$C$142, MATCH($B181, 'Resource costs'!$B$121:$B$142,0))</f>
        <v>90275.605027616883</v>
      </c>
      <c r="AN181" s="90">
        <f>INDEX(AN$129:AN$146,MATCH($B181,$B$129:$B$146,0))*INDEX('Resource costs'!$C$121:$C$142, MATCH($B181, 'Resource costs'!$B$121:$B$142,0))</f>
        <v>90842.062194758866</v>
      </c>
      <c r="AO181" s="90">
        <f>INDEX(AO$129:AO$146,MATCH($B181,$B$129:$B$146,0))*INDEX('Resource costs'!$C$121:$C$142, MATCH($B181, 'Resource costs'!$B$121:$B$142,0))</f>
        <v>91363.113105004784</v>
      </c>
      <c r="AP181" s="90">
        <f>INDEX(AP$129:AP$146,MATCH($B181,$B$129:$B$146,0))*INDEX('Resource costs'!$C$121:$C$142, MATCH($B181, 'Resource costs'!$B$121:$B$142,0))</f>
        <v>91836.55715255301</v>
      </c>
      <c r="AQ181" s="90">
        <f>INDEX(AQ$129:AQ$146,MATCH($B181,$B$129:$B$146,0))*INDEX('Resource costs'!$C$121:$C$142, MATCH($B181, 'Resource costs'!$B$121:$B$142,0))</f>
        <v>92281.437573048592</v>
      </c>
      <c r="AR181" s="90">
        <f>INDEX(AR$129:AR$146,MATCH($B181,$B$129:$B$146,0))*INDEX('Resource costs'!$C$121:$C$142, MATCH($B181, 'Resource costs'!$B$121:$B$142,0))</f>
        <v>92719.140804271228</v>
      </c>
      <c r="AS181" s="90">
        <f>INDEX(AS$129:AS$146,MATCH($B181,$B$129:$B$146,0))*INDEX('Resource costs'!$C$121:$C$142, MATCH($B181, 'Resource costs'!$B$121:$B$142,0))</f>
        <v>93166.870229171836</v>
      </c>
      <c r="AT181" s="90">
        <f>INDEX(AT$129:AT$146,MATCH($B181,$B$129:$B$146,0))*INDEX('Resource costs'!$C$121:$C$142, MATCH($B181, 'Resource costs'!$B$121:$B$142,0))</f>
        <v>93515.875315881844</v>
      </c>
      <c r="AU181" s="90">
        <f>INDEX(AU$129:AU$146,MATCH($B181,$B$129:$B$146,0))*INDEX('Resource costs'!$C$121:$C$142, MATCH($B181, 'Resource costs'!$B$121:$B$142,0))</f>
        <v>93787.924780972302</v>
      </c>
      <c r="AV181" s="90">
        <f>INDEX(AV$129:AV$146,MATCH($B181,$B$129:$B$146,0))*INDEX('Resource costs'!$C$121:$C$142, MATCH($B181, 'Resource costs'!$B$121:$B$142,0))</f>
        <v>93999.987339010302</v>
      </c>
      <c r="AW181" s="90">
        <f>INDEX(AW$129:AW$146,MATCH($B181,$B$129:$B$146,0))*INDEX('Resource costs'!$C$121:$C$142, MATCH($B181, 'Resource costs'!$B$121:$B$142,0))</f>
        <v>94165.290103000923</v>
      </c>
      <c r="AX181" s="90">
        <f>INDEX(AX$129:AX$146,MATCH($B181,$B$129:$B$146,0))*INDEX('Resource costs'!$C$121:$C$142, MATCH($B181, 'Resource costs'!$B$121:$B$142,0))</f>
        <v>94294.143607531616</v>
      </c>
      <c r="AY181" s="90">
        <f>INDEX(AY$129:AY$146,MATCH($B181,$B$129:$B$146,0))*INDEX('Resource costs'!$C$121:$C$142, MATCH($B181, 'Resource costs'!$B$121:$B$142,0))</f>
        <v>94394.58491431328</v>
      </c>
      <c r="AZ181" s="90">
        <f>INDEX(AZ$129:AZ$146,MATCH($B181,$B$129:$B$146,0))*INDEX('Resource costs'!$C$121:$C$142, MATCH($B181, 'Resource costs'!$B$121:$B$142,0))</f>
        <v>94472.8789129496</v>
      </c>
      <c r="BA181" s="90">
        <f>INDEX(BA$129:BA$146,MATCH($B181,$B$129:$B$146,0))*INDEX('Resource costs'!$C$121:$C$142, MATCH($B181, 'Resource costs'!$B$121:$B$142,0))</f>
        <v>94533.909084886618</v>
      </c>
      <c r="BB181" s="90">
        <f>INDEX(BB$129:BB$146,MATCH($B181,$B$129:$B$146,0))*INDEX('Resource costs'!$C$121:$C$142, MATCH($B181, 'Resource costs'!$B$121:$B$142,0))</f>
        <v>94581.482103911505</v>
      </c>
    </row>
    <row r="182" spans="2:54">
      <c r="B182" s="6" t="s">
        <v>104</v>
      </c>
      <c r="C182" s="52"/>
      <c r="D182" s="90">
        <f>INDEX(D$129:D$146,MATCH($B182,$B$129:$B$146,0))*INDEX('Resource costs'!$C$121:$C$142, MATCH($B182, 'Resource costs'!$B$121:$B$142,0))</f>
        <v>18535.659289927229</v>
      </c>
      <c r="E182" s="90">
        <f>INDEX(E$129:E$146,MATCH($B182,$B$129:$B$146,0))*INDEX('Resource costs'!$C$121:$C$142, MATCH($B182, 'Resource costs'!$B$121:$B$142,0))</f>
        <v>19248.159337852099</v>
      </c>
      <c r="F182" s="90">
        <f>INDEX(F$129:F$146,MATCH($B182,$B$129:$B$146,0))*INDEX('Resource costs'!$C$121:$C$142, MATCH($B182, 'Resource costs'!$B$121:$B$142,0))</f>
        <v>19863.483361238454</v>
      </c>
      <c r="G182" s="90">
        <f>INDEX(G$129:G$146,MATCH($B182,$B$129:$B$146,0))*INDEX('Resource costs'!$C$121:$C$142, MATCH($B182, 'Resource costs'!$B$121:$B$142,0))</f>
        <v>20409.776256870678</v>
      </c>
      <c r="H182" s="90">
        <f>INDEX(H$129:H$146,MATCH($B182,$B$129:$B$146,0))*INDEX('Resource costs'!$C$121:$C$142, MATCH($B182, 'Resource costs'!$B$121:$B$142,0))</f>
        <v>20913.220758048556</v>
      </c>
      <c r="I182" s="90">
        <f>INDEX(I$129:I$146,MATCH($B182,$B$129:$B$146,0))*INDEX('Resource costs'!$C$121:$C$142, MATCH($B182, 'Resource costs'!$B$121:$B$142,0))</f>
        <v>21389.199113375151</v>
      </c>
      <c r="J182" s="90">
        <f>INDEX(J$129:J$146,MATCH($B182,$B$129:$B$146,0))*INDEX('Resource costs'!$C$121:$C$142, MATCH($B182, 'Resource costs'!$B$121:$B$142,0))</f>
        <v>21839.776571456863</v>
      </c>
      <c r="K182" s="90">
        <f>INDEX(K$129:K$146,MATCH($B182,$B$129:$B$146,0))*INDEX('Resource costs'!$C$121:$C$142, MATCH($B182, 'Resource costs'!$B$121:$B$142,0))</f>
        <v>22272.712078159246</v>
      </c>
      <c r="L182" s="90">
        <f>INDEX(L$129:L$146,MATCH($B182,$B$129:$B$146,0))*INDEX('Resource costs'!$C$121:$C$142, MATCH($B182, 'Resource costs'!$B$121:$B$142,0))</f>
        <v>22727.755905861668</v>
      </c>
      <c r="M182" s="90">
        <f>INDEX(M$129:M$146,MATCH($B182,$B$129:$B$146,0))*INDEX('Resource costs'!$C$121:$C$142, MATCH($B182, 'Resource costs'!$B$121:$B$142,0))</f>
        <v>23181.570556090279</v>
      </c>
      <c r="N182" s="90">
        <f>INDEX(N$129:N$146,MATCH($B182,$B$129:$B$146,0))*INDEX('Resource costs'!$C$121:$C$142, MATCH($B182, 'Resource costs'!$B$121:$B$142,0))</f>
        <v>23623.061133434792</v>
      </c>
      <c r="O182" s="90">
        <f>INDEX(O$129:O$146,MATCH($B182,$B$129:$B$146,0))*INDEX('Resource costs'!$C$121:$C$142, MATCH($B182, 'Resource costs'!$B$121:$B$142,0))</f>
        <v>24047.671030294401</v>
      </c>
      <c r="P182" s="90">
        <f>INDEX(P$129:P$146,MATCH($B182,$B$129:$B$146,0))*INDEX('Resource costs'!$C$121:$C$142, MATCH($B182, 'Resource costs'!$B$121:$B$142,0))</f>
        <v>24452.796640202188</v>
      </c>
      <c r="Q182" s="90">
        <f>INDEX(Q$129:Q$146,MATCH($B182,$B$129:$B$146,0))*INDEX('Resource costs'!$C$121:$C$142, MATCH($B182, 'Resource costs'!$B$121:$B$142,0))</f>
        <v>24845.47963717152</v>
      </c>
      <c r="R182" s="90">
        <f>INDEX(R$129:R$146,MATCH($B182,$B$129:$B$146,0))*INDEX('Resource costs'!$C$121:$C$142, MATCH($B182, 'Resource costs'!$B$121:$B$142,0))</f>
        <v>25233.801232714846</v>
      </c>
      <c r="S182" s="90">
        <f>INDEX(S$129:S$146,MATCH($B182,$B$129:$B$146,0))*INDEX('Resource costs'!$C$121:$C$142, MATCH($B182, 'Resource costs'!$B$121:$B$142,0))</f>
        <v>25619.057080113616</v>
      </c>
      <c r="T182" s="90">
        <f>INDEX(T$129:T$146,MATCH($B182,$B$129:$B$146,0))*INDEX('Resource costs'!$C$121:$C$142, MATCH($B182, 'Resource costs'!$B$121:$B$142,0))</f>
        <v>25995.196676705724</v>
      </c>
      <c r="U182" s="90">
        <f>INDEX(U$129:U$146,MATCH($B182,$B$129:$B$146,0))*INDEX('Resource costs'!$C$121:$C$142, MATCH($B182, 'Resource costs'!$B$121:$B$142,0))</f>
        <v>26363.317659395274</v>
      </c>
      <c r="V182" s="90">
        <f>INDEX(V$129:V$146,MATCH($B182,$B$129:$B$146,0))*INDEX('Resource costs'!$C$121:$C$142, MATCH($B182, 'Resource costs'!$B$121:$B$142,0))</f>
        <v>26738.285179657829</v>
      </c>
      <c r="W182" s="90">
        <f>INDEX(W$129:W$146,MATCH($B182,$B$129:$B$146,0))*INDEX('Resource costs'!$C$121:$C$142, MATCH($B182, 'Resource costs'!$B$121:$B$142,0))</f>
        <v>27107.885908638717</v>
      </c>
      <c r="X182" s="90">
        <f>INDEX(X$129:X$146,MATCH($B182,$B$129:$B$146,0))*INDEX('Resource costs'!$C$121:$C$142, MATCH($B182, 'Resource costs'!$B$121:$B$142,0))</f>
        <v>27468.659577574006</v>
      </c>
      <c r="Y182" s="90">
        <f>INDEX(Y$129:Y$146,MATCH($B182,$B$129:$B$146,0))*INDEX('Resource costs'!$C$121:$C$142, MATCH($B182, 'Resource costs'!$B$121:$B$142,0))</f>
        <v>27820.075848828423</v>
      </c>
      <c r="Z182" s="90">
        <f>INDEX(Z$129:Z$146,MATCH($B182,$B$129:$B$146,0))*INDEX('Resource costs'!$C$121:$C$142, MATCH($B182, 'Resource costs'!$B$121:$B$142,0))</f>
        <v>28168.08380046926</v>
      </c>
      <c r="AA182" s="90">
        <f>INDEX(AA$129:AA$146,MATCH($B182,$B$129:$B$146,0))*INDEX('Resource costs'!$C$121:$C$142, MATCH($B182, 'Resource costs'!$B$121:$B$142,0))</f>
        <v>28511.386642508922</v>
      </c>
      <c r="AB182" s="90">
        <f>INDEX(AB$129:AB$146,MATCH($B182,$B$129:$B$146,0))*INDEX('Resource costs'!$C$121:$C$142, MATCH($B182, 'Resource costs'!$B$121:$B$142,0))</f>
        <v>28847.56487150172</v>
      </c>
      <c r="AC182" s="90">
        <f>INDEX(AC$129:AC$146,MATCH($B182,$B$129:$B$146,0))*INDEX('Resource costs'!$C$121:$C$142, MATCH($B182, 'Resource costs'!$B$121:$B$142,0))</f>
        <v>29174.733471704287</v>
      </c>
      <c r="AD182" s="90">
        <f>INDEX(AD$129:AD$146,MATCH($B182,$B$129:$B$146,0))*INDEX('Resource costs'!$C$121:$C$142, MATCH($B182, 'Resource costs'!$B$121:$B$142,0))</f>
        <v>29491.001368256522</v>
      </c>
      <c r="AE182" s="90">
        <f>INDEX(AE$129:AE$146,MATCH($B182,$B$129:$B$146,0))*INDEX('Resource costs'!$C$121:$C$142, MATCH($B182, 'Resource costs'!$B$121:$B$142,0))</f>
        <v>29794.969266534281</v>
      </c>
      <c r="AF182" s="90">
        <f>INDEX(AF$129:AF$146,MATCH($B182,$B$129:$B$146,0))*INDEX('Resource costs'!$C$121:$C$142, MATCH($B182, 'Resource costs'!$B$121:$B$142,0))</f>
        <v>30085.365640198928</v>
      </c>
      <c r="AG182" s="90">
        <f>INDEX(AG$129:AG$146,MATCH($B182,$B$129:$B$146,0))*INDEX('Resource costs'!$C$121:$C$142, MATCH($B182, 'Resource costs'!$B$121:$B$142,0))</f>
        <v>30363.269250153633</v>
      </c>
      <c r="AH182" s="90">
        <f>INDEX(AH$129:AH$146,MATCH($B182,$B$129:$B$146,0))*INDEX('Resource costs'!$C$121:$C$142, MATCH($B182, 'Resource costs'!$B$121:$B$142,0))</f>
        <v>30634.190934155289</v>
      </c>
      <c r="AI182" s="90">
        <f>INDEX(AI$129:AI$146,MATCH($B182,$B$129:$B$146,0))*INDEX('Resource costs'!$C$121:$C$142, MATCH($B182, 'Resource costs'!$B$121:$B$142,0))</f>
        <v>30898.755253962212</v>
      </c>
      <c r="AJ182" s="90">
        <f>INDEX(AJ$129:AJ$146,MATCH($B182,$B$129:$B$146,0))*INDEX('Resource costs'!$C$121:$C$142, MATCH($B182, 'Resource costs'!$B$121:$B$142,0))</f>
        <v>31159.033251192526</v>
      </c>
      <c r="AK182" s="90">
        <f>INDEX(AK$129:AK$146,MATCH($B182,$B$129:$B$146,0))*INDEX('Resource costs'!$C$121:$C$142, MATCH($B182, 'Resource costs'!$B$121:$B$142,0))</f>
        <v>31408.877431797704</v>
      </c>
      <c r="AL182" s="90">
        <f>INDEX(AL$129:AL$146,MATCH($B182,$B$129:$B$146,0))*INDEX('Resource costs'!$C$121:$C$142, MATCH($B182, 'Resource costs'!$B$121:$B$142,0))</f>
        <v>31643.580041603309</v>
      </c>
      <c r="AM182" s="90">
        <f>INDEX(AM$129:AM$146,MATCH($B182,$B$129:$B$146,0))*INDEX('Resource costs'!$C$121:$C$142, MATCH($B182, 'Resource costs'!$B$121:$B$142,0))</f>
        <v>31859.941304612854</v>
      </c>
      <c r="AN182" s="90">
        <f>INDEX(AN$129:AN$146,MATCH($B182,$B$129:$B$146,0))*INDEX('Resource costs'!$C$121:$C$142, MATCH($B182, 'Resource costs'!$B$121:$B$142,0))</f>
        <v>32059.854582305103</v>
      </c>
      <c r="AO182" s="90">
        <f>INDEX(AO$129:AO$146,MATCH($B182,$B$129:$B$146,0))*INDEX('Resource costs'!$C$121:$C$142, MATCH($B182, 'Resource costs'!$B$121:$B$142,0))</f>
        <v>32243.743146796816</v>
      </c>
      <c r="AP182" s="90">
        <f>INDEX(AP$129:AP$146,MATCH($B182,$B$129:$B$146,0))*INDEX('Resource costs'!$C$121:$C$142, MATCH($B182, 'Resource costs'!$B$121:$B$142,0))</f>
        <v>32410.830363340981</v>
      </c>
      <c r="AQ182" s="90">
        <f>INDEX(AQ$129:AQ$146,MATCH($B182,$B$129:$B$146,0))*INDEX('Resource costs'!$C$121:$C$142, MATCH($B182, 'Resource costs'!$B$121:$B$142,0))</f>
        <v>32567.836944246472</v>
      </c>
      <c r="AR182" s="90">
        <f>INDEX(AR$129:AR$146,MATCH($B182,$B$129:$B$146,0))*INDEX('Resource costs'!$C$121:$C$142, MATCH($B182, 'Resource costs'!$B$121:$B$142,0))</f>
        <v>32722.310561469265</v>
      </c>
      <c r="AS182" s="90">
        <f>INDEX(AS$129:AS$146,MATCH($B182,$B$129:$B$146,0))*INDEX('Resource costs'!$C$121:$C$142, MATCH($B182, 'Resource costs'!$B$121:$B$142,0))</f>
        <v>32880.322609057512</v>
      </c>
      <c r="AT182" s="90">
        <f>INDEX(AT$129:AT$146,MATCH($B182,$B$129:$B$146,0))*INDEX('Resource costs'!$C$121:$C$142, MATCH($B182, 'Resource costs'!$B$121:$B$142,0))</f>
        <v>33003.493000152543</v>
      </c>
      <c r="AU182" s="90">
        <f>INDEX(AU$129:AU$146,MATCH($B182,$B$129:$B$146,0))*INDEX('Resource costs'!$C$121:$C$142, MATCH($B182, 'Resource costs'!$B$121:$B$142,0))</f>
        <v>33099.504320011125</v>
      </c>
      <c r="AV182" s="90">
        <f>INDEX(AV$129:AV$146,MATCH($B182,$B$129:$B$146,0))*INDEX('Resource costs'!$C$121:$C$142, MATCH($B182, 'Resource costs'!$B$121:$B$142,0))</f>
        <v>33174.345143840888</v>
      </c>
      <c r="AW182" s="90">
        <f>INDEX(AW$129:AW$146,MATCH($B182,$B$129:$B$146,0))*INDEX('Resource costs'!$C$121:$C$142, MATCH($B182, 'Resource costs'!$B$121:$B$142,0))</f>
        <v>33232.683566016181</v>
      </c>
      <c r="AX182" s="90">
        <f>INDEX(AX$129:AX$146,MATCH($B182,$B$129:$B$146,0))*INDEX('Resource costs'!$C$121:$C$142, MATCH($B182, 'Resource costs'!$B$121:$B$142,0))</f>
        <v>33278.15836610183</v>
      </c>
      <c r="AY182" s="90">
        <f>INDEX(AY$129:AY$146,MATCH($B182,$B$129:$B$146,0))*INDEX('Resource costs'!$C$121:$C$142, MATCH($B182, 'Resource costs'!$B$121:$B$142,0))</f>
        <v>33313.605972768586</v>
      </c>
      <c r="AZ182" s="90">
        <f>INDEX(AZ$129:AZ$146,MATCH($B182,$B$129:$B$146,0))*INDEX('Resource costs'!$C$121:$C$142, MATCH($B182, 'Resource costs'!$B$121:$B$142,0))</f>
        <v>33341.237382165324</v>
      </c>
      <c r="BA182" s="90">
        <f>INDEX(BA$129:BA$146,MATCH($B182,$B$129:$B$146,0))*INDEX('Resource costs'!$C$121:$C$142, MATCH($B182, 'Resource costs'!$B$121:$B$142,0))</f>
        <v>33362.776065790087</v>
      </c>
      <c r="BB182" s="90">
        <f>INDEX(BB$129:BB$146,MATCH($B182,$B$129:$B$146,0))*INDEX('Resource costs'!$C$121:$C$142, MATCH($B182, 'Resource costs'!$B$121:$B$142,0))</f>
        <v>33379.565469675588</v>
      </c>
    </row>
    <row r="183" spans="2:54" s="97" customFormat="1">
      <c r="B183" s="6" t="s">
        <v>17</v>
      </c>
      <c r="C183" s="315"/>
      <c r="D183" s="90">
        <f>INDEX(D$129:D$146,MATCH($B183,$B$129:$B$146,0))*INDEX('Resource costs'!$C$121:$C$142, MATCH($B183, 'Resource costs'!$B$121:$B$142,0))</f>
        <v>626.78328833101114</v>
      </c>
      <c r="E183" s="90">
        <f>INDEX(E$129:E$146,MATCH($B183,$B$129:$B$146,0))*INDEX('Resource costs'!$C$121:$C$142, MATCH($B183, 'Resource costs'!$B$121:$B$142,0))</f>
        <v>650.87647627696333</v>
      </c>
      <c r="F183" s="90">
        <f>INDEX(F$129:F$146,MATCH($B183,$B$129:$B$146,0))*INDEX('Resource costs'!$C$121:$C$142, MATCH($B183, 'Resource costs'!$B$121:$B$142,0))</f>
        <v>671.68365711334991</v>
      </c>
      <c r="G183" s="90">
        <f>INDEX(G$129:G$146,MATCH($B183,$B$129:$B$146,0))*INDEX('Resource costs'!$C$121:$C$142, MATCH($B183, 'Resource costs'!$B$121:$B$142,0))</f>
        <v>690.15655047853568</v>
      </c>
      <c r="H183" s="90">
        <f>INDEX(H$129:H$146,MATCH($B183,$B$129:$B$146,0))*INDEX('Resource costs'!$C$121:$C$142, MATCH($B183, 'Resource costs'!$B$121:$B$142,0))</f>
        <v>707.18052545588705</v>
      </c>
      <c r="I183" s="90">
        <f>INDEX(I$129:I$146,MATCH($B183,$B$129:$B$146,0))*INDEX('Resource costs'!$C$121:$C$142, MATCH($B183, 'Resource costs'!$B$121:$B$142,0))</f>
        <v>723.27573275655823</v>
      </c>
      <c r="J183" s="90">
        <f>INDEX(J$129:J$146,MATCH($B183,$B$129:$B$146,0))*INDEX('Resource costs'!$C$121:$C$142, MATCH($B183, 'Resource costs'!$B$121:$B$142,0))</f>
        <v>738.51200875876975</v>
      </c>
      <c r="K183" s="90">
        <f>INDEX(K$129:K$146,MATCH($B183,$B$129:$B$146,0))*INDEX('Resource costs'!$C$121:$C$142, MATCH($B183, 'Resource costs'!$B$121:$B$142,0))</f>
        <v>753.15172220417344</v>
      </c>
      <c r="L183" s="90">
        <f>INDEX(L$129:L$146,MATCH($B183,$B$129:$B$146,0))*INDEX('Resource costs'!$C$121:$C$142, MATCH($B183, 'Resource costs'!$B$121:$B$142,0))</f>
        <v>768.5390284877459</v>
      </c>
      <c r="M183" s="90">
        <f>INDEX(M$129:M$146,MATCH($B183,$B$129:$B$146,0))*INDEX('Resource costs'!$C$121:$C$142, MATCH($B183, 'Resource costs'!$B$121:$B$142,0))</f>
        <v>783.88477013706768</v>
      </c>
      <c r="N183" s="90">
        <f>INDEX(N$129:N$146,MATCH($B183,$B$129:$B$146,0))*INDEX('Resource costs'!$C$121:$C$142, MATCH($B183, 'Resource costs'!$B$121:$B$142,0))</f>
        <v>798.81377328213125</v>
      </c>
      <c r="O183" s="90">
        <f>INDEX(O$129:O$146,MATCH($B183,$B$129:$B$146,0))*INDEX('Resource costs'!$C$121:$C$142, MATCH($B183, 'Resource costs'!$B$121:$B$142,0))</f>
        <v>813.17195624442729</v>
      </c>
      <c r="P183" s="90">
        <f>INDEX(P$129:P$146,MATCH($B183,$B$129:$B$146,0))*INDEX('Resource costs'!$C$121:$C$142, MATCH($B183, 'Resource costs'!$B$121:$B$142,0))</f>
        <v>826.87127807556931</v>
      </c>
      <c r="Q183" s="90">
        <f>INDEX(Q$129:Q$146,MATCH($B183,$B$129:$B$146,0))*INDEX('Resource costs'!$C$121:$C$142, MATCH($B183, 'Resource costs'!$B$121:$B$142,0))</f>
        <v>840.14985297071019</v>
      </c>
      <c r="R183" s="90">
        <f>INDEX(R$129:R$146,MATCH($B183,$B$129:$B$146,0))*INDEX('Resource costs'!$C$121:$C$142, MATCH($B183, 'Resource costs'!$B$121:$B$142,0))</f>
        <v>853.28094708382105</v>
      </c>
      <c r="S183" s="90">
        <f>INDEX(S$129:S$146,MATCH($B183,$B$129:$B$146,0))*INDEX('Resource costs'!$C$121:$C$142, MATCH($B183, 'Resource costs'!$B$121:$B$142,0))</f>
        <v>866.30837292847775</v>
      </c>
      <c r="T183" s="90">
        <f>INDEX(T$129:T$146,MATCH($B183,$B$129:$B$146,0))*INDEX('Resource costs'!$C$121:$C$142, MATCH($B183, 'Resource costs'!$B$121:$B$142,0))</f>
        <v>879.02753276713645</v>
      </c>
      <c r="U183" s="90">
        <f>INDEX(U$129:U$146,MATCH($B183,$B$129:$B$146,0))*INDEX('Resource costs'!$C$121:$C$142, MATCH($B183, 'Resource costs'!$B$121:$B$142,0))</f>
        <v>891.47554318989955</v>
      </c>
      <c r="V183" s="90">
        <f>INDEX(V$129:V$146,MATCH($B183,$B$129:$B$146,0))*INDEX('Resource costs'!$C$121:$C$142, MATCH($B183, 'Resource costs'!$B$121:$B$142,0))</f>
        <v>904.15506926940657</v>
      </c>
      <c r="W183" s="90">
        <f>INDEX(W$129:W$146,MATCH($B183,$B$129:$B$146,0))*INDEX('Resource costs'!$C$121:$C$142, MATCH($B183, 'Resource costs'!$B$121:$B$142,0))</f>
        <v>916.6531173105717</v>
      </c>
      <c r="X183" s="90">
        <f>INDEX(X$129:X$146,MATCH($B183,$B$129:$B$146,0))*INDEX('Resource costs'!$C$121:$C$142, MATCH($B183, 'Resource costs'!$B$121:$B$142,0))</f>
        <v>928.85267833084708</v>
      </c>
      <c r="Y183" s="90">
        <f>INDEX(Y$129:Y$146,MATCH($B183,$B$129:$B$146,0))*INDEX('Resource costs'!$C$121:$C$142, MATCH($B183, 'Resource costs'!$B$121:$B$142,0))</f>
        <v>940.7358189639707</v>
      </c>
      <c r="Z183" s="90">
        <f>INDEX(Z$129:Z$146,MATCH($B183,$B$129:$B$146,0))*INDEX('Resource costs'!$C$121:$C$142, MATCH($B183, 'Resource costs'!$B$121:$B$142,0))</f>
        <v>952.50370727497989</v>
      </c>
      <c r="AA183" s="90">
        <f>INDEX(AA$129:AA$146,MATCH($B183,$B$129:$B$146,0))*INDEX('Resource costs'!$C$121:$C$142, MATCH($B183, 'Resource costs'!$B$121:$B$142,0))</f>
        <v>964.11249231258205</v>
      </c>
      <c r="AB183" s="90">
        <f>INDEX(AB$129:AB$146,MATCH($B183,$B$129:$B$146,0))*INDEX('Resource costs'!$C$121:$C$142, MATCH($B183, 'Resource costs'!$B$121:$B$142,0))</f>
        <v>975.48035857175034</v>
      </c>
      <c r="AC183" s="90">
        <f>INDEX(AC$129:AC$146,MATCH($B183,$B$129:$B$146,0))*INDEX('Resource costs'!$C$121:$C$142, MATCH($B183, 'Resource costs'!$B$121:$B$142,0))</f>
        <v>986.54356424823004</v>
      </c>
      <c r="AD183" s="90">
        <f>INDEX(AD$129:AD$146,MATCH($B183,$B$129:$B$146,0))*INDEX('Resource costs'!$C$121:$C$142, MATCH($B183, 'Resource costs'!$B$121:$B$142,0))</f>
        <v>997.23816264874495</v>
      </c>
      <c r="AE183" s="90">
        <f>INDEX(AE$129:AE$146,MATCH($B183,$B$129:$B$146,0))*INDEX('Resource costs'!$C$121:$C$142, MATCH($B183, 'Resource costs'!$B$121:$B$142,0))</f>
        <v>1007.5168366278859</v>
      </c>
      <c r="AF183" s="90">
        <f>INDEX(AF$129:AF$146,MATCH($B183,$B$129:$B$146,0))*INDEX('Resource costs'!$C$121:$C$142, MATCH($B183, 'Resource costs'!$B$121:$B$142,0))</f>
        <v>1017.3365895246087</v>
      </c>
      <c r="AG183" s="90">
        <f>INDEX(AG$129:AG$146,MATCH($B183,$B$129:$B$146,0))*INDEX('Resource costs'!$C$121:$C$142, MATCH($B183, 'Resource costs'!$B$121:$B$142,0))</f>
        <v>1026.7338996370754</v>
      </c>
      <c r="AH183" s="90">
        <f>INDEX(AH$129:AH$146,MATCH($B183,$B$129:$B$146,0))*INDEX('Resource costs'!$C$121:$C$142, MATCH($B183, 'Resource costs'!$B$121:$B$142,0))</f>
        <v>1035.8951159349499</v>
      </c>
      <c r="AI183" s="90">
        <f>INDEX(AI$129:AI$146,MATCH($B183,$B$129:$B$146,0))*INDEX('Resource costs'!$C$121:$C$142, MATCH($B183, 'Resource costs'!$B$121:$B$142,0))</f>
        <v>1044.8413579730604</v>
      </c>
      <c r="AJ183" s="90">
        <f>INDEX(AJ$129:AJ$146,MATCH($B183,$B$129:$B$146,0))*INDEX('Resource costs'!$C$121:$C$142, MATCH($B183, 'Resource costs'!$B$121:$B$142,0))</f>
        <v>1053.6426580203092</v>
      </c>
      <c r="AK183" s="90">
        <f>INDEX(AK$129:AK$146,MATCH($B183,$B$129:$B$146,0))*INDEX('Resource costs'!$C$121:$C$142, MATCH($B183, 'Resource costs'!$B$121:$B$142,0))</f>
        <v>1062.0911385755805</v>
      </c>
      <c r="AL183" s="90">
        <f>INDEX(AL$129:AL$146,MATCH($B183,$B$129:$B$146,0))*INDEX('Resource costs'!$C$121:$C$142, MATCH($B183, 'Resource costs'!$B$121:$B$142,0))</f>
        <v>1070.0276069392264</v>
      </c>
      <c r="AM183" s="90">
        <f>INDEX(AM$129:AM$146,MATCH($B183,$B$129:$B$146,0))*INDEX('Resource costs'!$C$121:$C$142, MATCH($B183, 'Resource costs'!$B$121:$B$142,0))</f>
        <v>1077.3438626912011</v>
      </c>
      <c r="AN183" s="90">
        <f>INDEX(AN$129:AN$146,MATCH($B183,$B$129:$B$146,0))*INDEX('Resource costs'!$C$121:$C$142, MATCH($B183, 'Resource costs'!$B$121:$B$142,0))</f>
        <v>1084.1039298467874</v>
      </c>
      <c r="AO183" s="90">
        <f>INDEX(AO$129:AO$146,MATCH($B183,$B$129:$B$146,0))*INDEX('Resource costs'!$C$121:$C$142, MATCH($B183, 'Resource costs'!$B$121:$B$142,0))</f>
        <v>1090.3221213519162</v>
      </c>
      <c r="AP183" s="90">
        <f>INDEX(AP$129:AP$146,MATCH($B183,$B$129:$B$146,0))*INDEX('Resource costs'!$C$121:$C$142, MATCH($B183, 'Resource costs'!$B$121:$B$142,0))</f>
        <v>1095.9721753038973</v>
      </c>
      <c r="AQ183" s="90">
        <f>INDEX(AQ$129:AQ$146,MATCH($B183,$B$129:$B$146,0))*INDEX('Resource costs'!$C$121:$C$142, MATCH($B183, 'Resource costs'!$B$121:$B$142,0))</f>
        <v>1101.2813525783754</v>
      </c>
      <c r="AR183" s="90">
        <f>INDEX(AR$129:AR$146,MATCH($B183,$B$129:$B$146,0))*INDEX('Resource costs'!$C$121:$C$142, MATCH($B183, 'Resource costs'!$B$121:$B$142,0))</f>
        <v>1106.5048776900994</v>
      </c>
      <c r="AS183" s="90">
        <f>INDEX(AS$129:AS$146,MATCH($B183,$B$129:$B$146,0))*INDEX('Resource costs'!$C$121:$C$142, MATCH($B183, 'Resource costs'!$B$121:$B$142,0))</f>
        <v>1111.8480548187972</v>
      </c>
      <c r="AT183" s="90">
        <f>INDEX(AT$129:AT$146,MATCH($B183,$B$129:$B$146,0))*INDEX('Resource costs'!$C$121:$C$142, MATCH($B183, 'Resource costs'!$B$121:$B$142,0))</f>
        <v>1116.0130613906169</v>
      </c>
      <c r="AU183" s="90">
        <f>INDEX(AU$129:AU$146,MATCH($B183,$B$129:$B$146,0))*INDEX('Resource costs'!$C$121:$C$142, MATCH($B183, 'Resource costs'!$B$121:$B$142,0))</f>
        <v>1119.2596840133506</v>
      </c>
      <c r="AV183" s="90">
        <f>INDEX(AV$129:AV$146,MATCH($B183,$B$129:$B$146,0))*INDEX('Resource costs'!$C$121:$C$142, MATCH($B183, 'Resource costs'!$B$121:$B$142,0))</f>
        <v>1121.7904263477715</v>
      </c>
      <c r="AW183" s="90">
        <f>INDEX(AW$129:AW$146,MATCH($B183,$B$129:$B$146,0))*INDEX('Resource costs'!$C$121:$C$142, MATCH($B183, 'Resource costs'!$B$121:$B$142,0))</f>
        <v>1123.7631399974525</v>
      </c>
      <c r="AX183" s="90">
        <f>INDEX(AX$129:AX$146,MATCH($B183,$B$129:$B$146,0))*INDEX('Resource costs'!$C$121:$C$142, MATCH($B183, 'Resource costs'!$B$121:$B$142,0))</f>
        <v>1125.3008702873788</v>
      </c>
      <c r="AY183" s="90">
        <f>INDEX(AY$129:AY$146,MATCH($B183,$B$129:$B$146,0))*INDEX('Resource costs'!$C$121:$C$142, MATCH($B183, 'Resource costs'!$B$121:$B$142,0))</f>
        <v>1126.4995310483762</v>
      </c>
      <c r="AZ183" s="90">
        <f>INDEX(AZ$129:AZ$146,MATCH($B183,$B$129:$B$146,0))*INDEX('Resource costs'!$C$121:$C$142, MATCH($B183, 'Resource costs'!$B$121:$B$142,0))</f>
        <v>1127.433887111574</v>
      </c>
      <c r="BA183" s="90">
        <f>INDEX(BA$129:BA$146,MATCH($B183,$B$129:$B$146,0))*INDEX('Resource costs'!$C$121:$C$142, MATCH($B183, 'Resource costs'!$B$121:$B$142,0))</f>
        <v>1128.1622176628366</v>
      </c>
      <c r="BB183" s="90">
        <f>INDEX(BB$129:BB$146,MATCH($B183,$B$129:$B$146,0))*INDEX('Resource costs'!$C$121:$C$142, MATCH($B183, 'Resource costs'!$B$121:$B$142,0))</f>
        <v>1128.7299513275457</v>
      </c>
    </row>
    <row r="184" spans="2:54" ht="29">
      <c r="B184" s="6" t="s">
        <v>106</v>
      </c>
      <c r="C184" s="52"/>
      <c r="D184" s="90">
        <f>INDEX(D$129:D$146,MATCH($B184,$B$129:$B$146,0))*INDEX('Resource costs'!$C$121:$C$142, MATCH($B184, 'Resource costs'!$B$121:$B$142,0))</f>
        <v>4016.45276171046</v>
      </c>
      <c r="E184" s="90">
        <f>INDEX(E$129:E$146,MATCH($B184,$B$129:$B$146,0))*INDEX('Resource costs'!$C$121:$C$142, MATCH($B184, 'Resource costs'!$B$121:$B$142,0))</f>
        <v>4170.8428883547176</v>
      </c>
      <c r="F184" s="90">
        <f>INDEX(F$129:F$146,MATCH($B184,$B$129:$B$146,0))*INDEX('Resource costs'!$C$121:$C$142, MATCH($B184, 'Resource costs'!$B$121:$B$142,0))</f>
        <v>4304.1761480149198</v>
      </c>
      <c r="G184" s="90">
        <f>INDEX(G$129:G$146,MATCH($B184,$B$129:$B$146,0))*INDEX('Resource costs'!$C$121:$C$142, MATCH($B184, 'Resource costs'!$B$121:$B$142,0))</f>
        <v>4422.551198777599</v>
      </c>
      <c r="H184" s="90">
        <f>INDEX(H$129:H$146,MATCH($B184,$B$129:$B$146,0))*INDEX('Resource costs'!$C$121:$C$142, MATCH($B184, 'Resource costs'!$B$121:$B$142,0))</f>
        <v>4531.6415216787464</v>
      </c>
      <c r="I184" s="90">
        <f>INDEX(I$129:I$146,MATCH($B184,$B$129:$B$146,0))*INDEX('Resource costs'!$C$121:$C$142, MATCH($B184, 'Resource costs'!$B$121:$B$142,0))</f>
        <v>4634.7802635957823</v>
      </c>
      <c r="J184" s="90">
        <f>INDEX(J$129:J$146,MATCH($B184,$B$129:$B$146,0))*INDEX('Resource costs'!$C$121:$C$142, MATCH($B184, 'Resource costs'!$B$121:$B$142,0))</f>
        <v>4732.4149388759988</v>
      </c>
      <c r="K184" s="90">
        <f>INDEX(K$129:K$146,MATCH($B184,$B$129:$B$146,0))*INDEX('Resource costs'!$C$121:$C$142, MATCH($B184, 'Resource costs'!$B$121:$B$142,0))</f>
        <v>4826.2268170691987</v>
      </c>
      <c r="L184" s="90">
        <f>INDEX(L$129:L$146,MATCH($B184,$B$129:$B$146,0))*INDEX('Resource costs'!$C$121:$C$142, MATCH($B184, 'Resource costs'!$B$121:$B$142,0))</f>
        <v>4924.8293005248524</v>
      </c>
      <c r="M184" s="90">
        <f>INDEX(M$129:M$146,MATCH($B184,$B$129:$B$146,0))*INDEX('Resource costs'!$C$121:$C$142, MATCH($B184, 'Resource costs'!$B$121:$B$142,0))</f>
        <v>5023.1654361165274</v>
      </c>
      <c r="N184" s="90">
        <f>INDEX(N$129:N$146,MATCH($B184,$B$129:$B$146,0))*INDEX('Resource costs'!$C$121:$C$142, MATCH($B184, 'Resource costs'!$B$121:$B$142,0))</f>
        <v>5118.831094451547</v>
      </c>
      <c r="O184" s="90">
        <f>INDEX(O$129:O$146,MATCH($B184,$B$129:$B$146,0))*INDEX('Resource costs'!$C$121:$C$142, MATCH($B184, 'Resource costs'!$B$121:$B$142,0))</f>
        <v>5210.8389138776483</v>
      </c>
      <c r="P184" s="90">
        <f>INDEX(P$129:P$146,MATCH($B184,$B$129:$B$146,0))*INDEX('Resource costs'!$C$121:$C$142, MATCH($B184, 'Resource costs'!$B$121:$B$142,0))</f>
        <v>5298.6247244227325</v>
      </c>
      <c r="Q184" s="90">
        <f>INDEX(Q$129:Q$146,MATCH($B184,$B$129:$B$146,0))*INDEX('Resource costs'!$C$121:$C$142, MATCH($B184, 'Resource costs'!$B$121:$B$142,0))</f>
        <v>5383.7143715177945</v>
      </c>
      <c r="R184" s="90">
        <f>INDEX(R$129:R$146,MATCH($B184,$B$129:$B$146,0))*INDEX('Resource costs'!$C$121:$C$142, MATCH($B184, 'Resource costs'!$B$121:$B$142,0))</f>
        <v>5467.8589557732557</v>
      </c>
      <c r="S184" s="90">
        <f>INDEX(S$129:S$146,MATCH($B184,$B$129:$B$146,0))*INDEX('Resource costs'!$C$121:$C$142, MATCH($B184, 'Resource costs'!$B$121:$B$142,0))</f>
        <v>5551.3392295550875</v>
      </c>
      <c r="T184" s="90">
        <f>INDEX(T$129:T$146,MATCH($B184,$B$129:$B$146,0))*INDEX('Resource costs'!$C$121:$C$142, MATCH($B184, 'Resource costs'!$B$121:$B$142,0))</f>
        <v>5632.8441222535639</v>
      </c>
      <c r="U184" s="90">
        <f>INDEX(U$129:U$146,MATCH($B184,$B$129:$B$146,0))*INDEX('Resource costs'!$C$121:$C$142, MATCH($B184, 'Resource costs'!$B$121:$B$142,0))</f>
        <v>5712.6114784851543</v>
      </c>
      <c r="V184" s="90">
        <f>INDEX(V$129:V$146,MATCH($B184,$B$129:$B$146,0))*INDEX('Resource costs'!$C$121:$C$142, MATCH($B184, 'Resource costs'!$B$121:$B$142,0))</f>
        <v>5793.8623964456865</v>
      </c>
      <c r="W184" s="90">
        <f>INDEX(W$129:W$146,MATCH($B184,$B$129:$B$146,0))*INDEX('Resource costs'!$C$121:$C$142, MATCH($B184, 'Resource costs'!$B$121:$B$142,0))</f>
        <v>5873.950395767738</v>
      </c>
      <c r="X184" s="90">
        <f>INDEX(X$129:X$146,MATCH($B184,$B$129:$B$146,0))*INDEX('Resource costs'!$C$121:$C$142, MATCH($B184, 'Resource costs'!$B$121:$B$142,0))</f>
        <v>5952.1256781400789</v>
      </c>
      <c r="Y184" s="90">
        <f>INDEX(Y$129:Y$146,MATCH($B184,$B$129:$B$146,0))*INDEX('Resource costs'!$C$121:$C$142, MATCH($B184, 'Resource costs'!$B$121:$B$142,0))</f>
        <v>6028.2733258235266</v>
      </c>
      <c r="Z184" s="90">
        <f>INDEX(Z$129:Z$146,MATCH($B184,$B$129:$B$146,0))*INDEX('Resource costs'!$C$121:$C$142, MATCH($B184, 'Resource costs'!$B$121:$B$142,0))</f>
        <v>6103.6824319471289</v>
      </c>
      <c r="AA184" s="90">
        <f>INDEX(AA$129:AA$146,MATCH($B184,$B$129:$B$146,0))*INDEX('Resource costs'!$C$121:$C$142, MATCH($B184, 'Resource costs'!$B$121:$B$142,0))</f>
        <v>6178.0719978344641</v>
      </c>
      <c r="AB184" s="90">
        <f>INDEX(AB$129:AB$146,MATCH($B184,$B$129:$B$146,0))*INDEX('Resource costs'!$C$121:$C$142, MATCH($B184, 'Resource costs'!$B$121:$B$142,0))</f>
        <v>6250.91774640726</v>
      </c>
      <c r="AC184" s="90">
        <f>INDEX(AC$129:AC$146,MATCH($B184,$B$129:$B$146,0))*INDEX('Resource costs'!$C$121:$C$142, MATCH($B184, 'Resource costs'!$B$121:$B$142,0))</f>
        <v>6321.8112175956658</v>
      </c>
      <c r="AD184" s="90">
        <f>INDEX(AD$129:AD$146,MATCH($B184,$B$129:$B$146,0))*INDEX('Resource costs'!$C$121:$C$142, MATCH($B184, 'Resource costs'!$B$121:$B$142,0))</f>
        <v>6390.3426383926526</v>
      </c>
      <c r="AE184" s="90">
        <f>INDEX(AE$129:AE$146,MATCH($B184,$B$129:$B$146,0))*INDEX('Resource costs'!$C$121:$C$142, MATCH($B184, 'Resource costs'!$B$121:$B$142,0))</f>
        <v>6456.2087986091638</v>
      </c>
      <c r="AF184" s="90">
        <f>INDEX(AF$129:AF$146,MATCH($B184,$B$129:$B$146,0))*INDEX('Resource costs'!$C$121:$C$142, MATCH($B184, 'Resource costs'!$B$121:$B$142,0))</f>
        <v>6519.1341738953779</v>
      </c>
      <c r="AG184" s="90">
        <f>INDEX(AG$129:AG$146,MATCH($B184,$B$129:$B$146,0))*INDEX('Resource costs'!$C$121:$C$142, MATCH($B184, 'Resource costs'!$B$121:$B$142,0))</f>
        <v>6579.3525186670931</v>
      </c>
      <c r="AH184" s="90">
        <f>INDEX(AH$129:AH$146,MATCH($B184,$B$129:$B$146,0))*INDEX('Resource costs'!$C$121:$C$142, MATCH($B184, 'Resource costs'!$B$121:$B$142,0))</f>
        <v>6638.0579646884835</v>
      </c>
      <c r="AI184" s="90">
        <f>INDEX(AI$129:AI$146,MATCH($B184,$B$129:$B$146,0))*INDEX('Resource costs'!$C$121:$C$142, MATCH($B184, 'Resource costs'!$B$121:$B$142,0))</f>
        <v>6695.3858469244287</v>
      </c>
      <c r="AJ184" s="90">
        <f>INDEX(AJ$129:AJ$146,MATCH($B184,$B$129:$B$146,0))*INDEX('Resource costs'!$C$121:$C$142, MATCH($B184, 'Resource costs'!$B$121:$B$142,0))</f>
        <v>6751.7849349976686</v>
      </c>
      <c r="AK184" s="90">
        <f>INDEX(AK$129:AK$146,MATCH($B184,$B$129:$B$146,0))*INDEX('Resource costs'!$C$121:$C$142, MATCH($B184, 'Resource costs'!$B$121:$B$142,0))</f>
        <v>6805.923141440333</v>
      </c>
      <c r="AL184" s="90">
        <f>INDEX(AL$129:AL$146,MATCH($B184,$B$129:$B$146,0))*INDEX('Resource costs'!$C$121:$C$142, MATCH($B184, 'Resource costs'!$B$121:$B$142,0))</f>
        <v>6856.7803529691737</v>
      </c>
      <c r="AM184" s="90">
        <f>INDEX(AM$129:AM$146,MATCH($B184,$B$129:$B$146,0))*INDEX('Resource costs'!$C$121:$C$142, MATCH($B184, 'Resource costs'!$B$121:$B$142,0))</f>
        <v>6903.6632168991391</v>
      </c>
      <c r="AN184" s="90">
        <f>INDEX(AN$129:AN$146,MATCH($B184,$B$129:$B$146,0))*INDEX('Resource costs'!$C$121:$C$142, MATCH($B184, 'Resource costs'!$B$121:$B$142,0))</f>
        <v>6946.982001719809</v>
      </c>
      <c r="AO184" s="90">
        <f>INDEX(AO$129:AO$146,MATCH($B184,$B$129:$B$146,0))*INDEX('Resource costs'!$C$121:$C$142, MATCH($B184, 'Resource costs'!$B$121:$B$142,0))</f>
        <v>6986.8284253698757</v>
      </c>
      <c r="AP184" s="90">
        <f>INDEX(AP$129:AP$146,MATCH($B184,$B$129:$B$146,0))*INDEX('Resource costs'!$C$121:$C$142, MATCH($B184, 'Resource costs'!$B$121:$B$142,0))</f>
        <v>7023.0342005105531</v>
      </c>
      <c r="AQ184" s="90">
        <f>INDEX(AQ$129:AQ$146,MATCH($B184,$B$129:$B$146,0))*INDEX('Resource costs'!$C$121:$C$142, MATCH($B184, 'Resource costs'!$B$121:$B$142,0))</f>
        <v>7057.0556240607411</v>
      </c>
      <c r="AR184" s="90">
        <f>INDEX(AR$129:AR$146,MATCH($B184,$B$129:$B$146,0))*INDEX('Resource costs'!$C$121:$C$142, MATCH($B184, 'Resource costs'!$B$121:$B$142,0))</f>
        <v>7090.528185074153</v>
      </c>
      <c r="AS184" s="90">
        <f>INDEX(AS$129:AS$146,MATCH($B184,$B$129:$B$146,0))*INDEX('Resource costs'!$C$121:$C$142, MATCH($B184, 'Resource costs'!$B$121:$B$142,0))</f>
        <v>7124.7674810707194</v>
      </c>
      <c r="AT184" s="90">
        <f>INDEX(AT$129:AT$146,MATCH($B184,$B$129:$B$146,0))*INDEX('Resource costs'!$C$121:$C$142, MATCH($B184, 'Resource costs'!$B$121:$B$142,0))</f>
        <v>7151.4570123000422</v>
      </c>
      <c r="AU184" s="90">
        <f>INDEX(AU$129:AU$146,MATCH($B184,$B$129:$B$146,0))*INDEX('Resource costs'!$C$121:$C$142, MATCH($B184, 'Resource costs'!$B$121:$B$142,0))</f>
        <v>7172.2615018932993</v>
      </c>
      <c r="AV184" s="90">
        <f>INDEX(AV$129:AV$146,MATCH($B184,$B$129:$B$146,0))*INDEX('Resource costs'!$C$121:$C$142, MATCH($B184, 'Resource costs'!$B$121:$B$142,0))</f>
        <v>7188.4786015312438</v>
      </c>
      <c r="AW184" s="90">
        <f>INDEX(AW$129:AW$146,MATCH($B184,$B$129:$B$146,0))*INDEX('Resource costs'!$C$121:$C$142, MATCH($B184, 'Resource costs'!$B$121:$B$142,0))</f>
        <v>7201.11983069902</v>
      </c>
      <c r="AX184" s="90">
        <f>INDEX(AX$129:AX$146,MATCH($B184,$B$129:$B$146,0))*INDEX('Resource costs'!$C$121:$C$142, MATCH($B184, 'Resource costs'!$B$121:$B$142,0))</f>
        <v>7210.9736688353032</v>
      </c>
      <c r="AY184" s="90">
        <f>INDEX(AY$129:AY$146,MATCH($B184,$B$129:$B$146,0))*INDEX('Resource costs'!$C$121:$C$142, MATCH($B184, 'Resource costs'!$B$121:$B$142,0))</f>
        <v>7218.6547356625333</v>
      </c>
      <c r="AZ184" s="90">
        <f>INDEX(AZ$129:AZ$146,MATCH($B184,$B$129:$B$146,0))*INDEX('Resource costs'!$C$121:$C$142, MATCH($B184, 'Resource costs'!$B$121:$B$142,0))</f>
        <v>7224.6421272543612</v>
      </c>
      <c r="BA184" s="90">
        <f>INDEX(BA$129:BA$146,MATCH($B184,$B$129:$B$146,0))*INDEX('Resource costs'!$C$121:$C$142, MATCH($B184, 'Resource costs'!$B$121:$B$142,0))</f>
        <v>7229.3092990001915</v>
      </c>
      <c r="BB184" s="90">
        <f>INDEX(BB$129:BB$146,MATCH($B184,$B$129:$B$146,0))*INDEX('Resource costs'!$C$121:$C$142, MATCH($B184, 'Resource costs'!$B$121:$B$142,0))</f>
        <v>7232.9473593760649</v>
      </c>
    </row>
    <row r="185" spans="2:54" ht="29">
      <c r="B185" s="6" t="s">
        <v>107</v>
      </c>
      <c r="C185" s="52"/>
      <c r="D185" s="90">
        <f>INDEX(D$129:D$146,MATCH($B185,$B$129:$B$146,0))*INDEX('Resource costs'!$C$121:$C$142, MATCH($B185, 'Resource costs'!$B$121:$B$142,0))</f>
        <v>8943.7104445652021</v>
      </c>
      <c r="E185" s="90">
        <f>INDEX(E$129:E$146,MATCH($B185,$B$129:$B$146,0))*INDEX('Resource costs'!$C$121:$C$142, MATCH($B185, 'Resource costs'!$B$121:$B$142,0))</f>
        <v>9287.5015134829282</v>
      </c>
      <c r="F185" s="90">
        <f>INDEX(F$129:F$146,MATCH($B185,$B$129:$B$146,0))*INDEX('Resource costs'!$C$121:$C$142, MATCH($B185, 'Resource costs'!$B$121:$B$142,0))</f>
        <v>9584.4038145380109</v>
      </c>
      <c r="G185" s="90">
        <f>INDEX(G$129:G$146,MATCH($B185,$B$129:$B$146,0))*INDEX('Resource costs'!$C$121:$C$142, MATCH($B185, 'Resource costs'!$B$121:$B$142,0))</f>
        <v>9847.9976473785209</v>
      </c>
      <c r="H185" s="90">
        <f>INDEX(H$129:H$146,MATCH($B185,$B$129:$B$146,0))*INDEX('Resource costs'!$C$121:$C$142, MATCH($B185, 'Resource costs'!$B$121:$B$142,0))</f>
        <v>10090.916540794431</v>
      </c>
      <c r="I185" s="90">
        <f>INDEX(I$129:I$146,MATCH($B185,$B$129:$B$146,0))*INDEX('Resource costs'!$C$121:$C$142, MATCH($B185, 'Resource costs'!$B$121:$B$142,0))</f>
        <v>10320.582641219295</v>
      </c>
      <c r="J185" s="90">
        <f>INDEX(J$129:J$146,MATCH($B185,$B$129:$B$146,0))*INDEX('Resource costs'!$C$121:$C$142, MATCH($B185, 'Resource costs'!$B$121:$B$142,0))</f>
        <v>10537.992459499725</v>
      </c>
      <c r="K185" s="90">
        <f>INDEX(K$129:K$146,MATCH($B185,$B$129:$B$146,0))*INDEX('Resource costs'!$C$121:$C$142, MATCH($B185, 'Resource costs'!$B$121:$B$142,0))</f>
        <v>10746.889793689579</v>
      </c>
      <c r="L185" s="90">
        <f>INDEX(L$129:L$146,MATCH($B185,$B$129:$B$146,0))*INDEX('Resource costs'!$C$121:$C$142, MATCH($B185, 'Resource costs'!$B$121:$B$142,0))</f>
        <v>10966.454696717805</v>
      </c>
      <c r="M185" s="90">
        <f>INDEX(M$129:M$146,MATCH($B185,$B$129:$B$146,0))*INDEX('Resource costs'!$C$121:$C$142, MATCH($B185, 'Resource costs'!$B$121:$B$142,0))</f>
        <v>11185.42650471559</v>
      </c>
      <c r="N185" s="90">
        <f>INDEX(N$129:N$146,MATCH($B185,$B$129:$B$146,0))*INDEX('Resource costs'!$C$121:$C$142, MATCH($B185, 'Resource costs'!$B$121:$B$142,0))</f>
        <v>11398.451778109507</v>
      </c>
      <c r="O185" s="90">
        <f>INDEX(O$129:O$146,MATCH($B185,$B$129:$B$146,0))*INDEX('Resource costs'!$C$121:$C$142, MATCH($B185, 'Resource costs'!$B$121:$B$142,0))</f>
        <v>11603.331891085729</v>
      </c>
      <c r="P185" s="90">
        <f>INDEX(P$129:P$146,MATCH($B185,$B$129:$B$146,0))*INDEX('Resource costs'!$C$121:$C$142, MATCH($B185, 'Resource costs'!$B$121:$B$142,0))</f>
        <v>11798.810567728331</v>
      </c>
      <c r="Q185" s="90">
        <f>INDEX(Q$129:Q$146,MATCH($B185,$B$129:$B$146,0))*INDEX('Resource costs'!$C$121:$C$142, MATCH($B185, 'Resource costs'!$B$121:$B$142,0))</f>
        <v>11988.285512561089</v>
      </c>
      <c r="R185" s="90">
        <f>INDEX(R$129:R$146,MATCH($B185,$B$129:$B$146,0))*INDEX('Resource costs'!$C$121:$C$142, MATCH($B185, 'Resource costs'!$B$121:$B$142,0))</f>
        <v>12175.656021243152</v>
      </c>
      <c r="S185" s="90">
        <f>INDEX(S$129:S$146,MATCH($B185,$B$129:$B$146,0))*INDEX('Resource costs'!$C$121:$C$142, MATCH($B185, 'Resource costs'!$B$121:$B$142,0))</f>
        <v>12361.547264296081</v>
      </c>
      <c r="T185" s="90">
        <f>INDEX(T$129:T$146,MATCH($B185,$B$129:$B$146,0))*INDEX('Resource costs'!$C$121:$C$142, MATCH($B185, 'Resource costs'!$B$121:$B$142,0))</f>
        <v>12543.039791000192</v>
      </c>
      <c r="U185" s="90">
        <f>INDEX(U$129:U$146,MATCH($B185,$B$129:$B$146,0))*INDEX('Resource costs'!$C$121:$C$142, MATCH($B185, 'Resource costs'!$B$121:$B$142,0))</f>
        <v>12720.663226252549</v>
      </c>
      <c r="V185" s="90">
        <f>INDEX(V$129:V$146,MATCH($B185,$B$129:$B$146,0))*INDEX('Resource costs'!$C$121:$C$142, MATCH($B185, 'Resource costs'!$B$121:$B$142,0))</f>
        <v>12901.590210013377</v>
      </c>
      <c r="W185" s="90">
        <f>INDEX(W$129:W$146,MATCH($B185,$B$129:$B$146,0))*INDEX('Resource costs'!$C$121:$C$142, MATCH($B185, 'Resource costs'!$B$121:$B$142,0))</f>
        <v>13079.92764319557</v>
      </c>
      <c r="X185" s="90">
        <f>INDEX(X$129:X$146,MATCH($B185,$B$129:$B$146,0))*INDEX('Resource costs'!$C$121:$C$142, MATCH($B185, 'Resource costs'!$B$121:$B$142,0))</f>
        <v>13254.005898547086</v>
      </c>
      <c r="Y185" s="90">
        <f>INDEX(Y$129:Y$146,MATCH($B185,$B$129:$B$146,0))*INDEX('Resource costs'!$C$121:$C$142, MATCH($B185, 'Resource costs'!$B$121:$B$142,0))</f>
        <v>13423.56908086757</v>
      </c>
      <c r="Z185" s="90">
        <f>INDEX(Z$129:Z$146,MATCH($B185,$B$129:$B$146,0))*INDEX('Resource costs'!$C$121:$C$142, MATCH($B185, 'Resource costs'!$B$121:$B$142,0))</f>
        <v>13591.487702115281</v>
      </c>
      <c r="AA185" s="90">
        <f>INDEX(AA$129:AA$146,MATCH($B185,$B$129:$B$146,0))*INDEX('Resource costs'!$C$121:$C$142, MATCH($B185, 'Resource costs'!$B$121:$B$142,0))</f>
        <v>13757.13604329231</v>
      </c>
      <c r="AB185" s="90">
        <f>INDEX(AB$129:AB$146,MATCH($B185,$B$129:$B$146,0))*INDEX('Resource costs'!$C$121:$C$142, MATCH($B185, 'Resource costs'!$B$121:$B$142,0))</f>
        <v>13919.346660721614</v>
      </c>
      <c r="AC185" s="90">
        <f>INDEX(AC$129:AC$146,MATCH($B185,$B$129:$B$146,0))*INDEX('Resource costs'!$C$121:$C$142, MATCH($B185, 'Resource costs'!$B$121:$B$142,0))</f>
        <v>14077.210008390915</v>
      </c>
      <c r="AD185" s="90">
        <f>INDEX(AD$129:AD$146,MATCH($B185,$B$129:$B$146,0))*INDEX('Resource costs'!$C$121:$C$142, MATCH($B185, 'Resource costs'!$B$121:$B$142,0))</f>
        <v>14229.813616680804</v>
      </c>
      <c r="AE185" s="90">
        <f>INDEX(AE$129:AE$146,MATCH($B185,$B$129:$B$146,0))*INDEX('Resource costs'!$C$121:$C$142, MATCH($B185, 'Resource costs'!$B$121:$B$142,0))</f>
        <v>14376.482306696953</v>
      </c>
      <c r="AF185" s="90">
        <f>INDEX(AF$129:AF$146,MATCH($B185,$B$129:$B$146,0))*INDEX('Resource costs'!$C$121:$C$142, MATCH($B185, 'Resource costs'!$B$121:$B$142,0))</f>
        <v>14516.602549499417</v>
      </c>
      <c r="AG185" s="90">
        <f>INDEX(AG$129:AG$146,MATCH($B185,$B$129:$B$146,0))*INDEX('Resource costs'!$C$121:$C$142, MATCH($B185, 'Resource costs'!$B$121:$B$142,0))</f>
        <v>14650.694862055301</v>
      </c>
      <c r="AH185" s="90">
        <f>INDEX(AH$129:AH$146,MATCH($B185,$B$129:$B$146,0))*INDEX('Resource costs'!$C$121:$C$142, MATCH($B185, 'Resource costs'!$B$121:$B$142,0))</f>
        <v>14781.418299347955</v>
      </c>
      <c r="AI185" s="90">
        <f>INDEX(AI$129:AI$146,MATCH($B185,$B$129:$B$146,0))*INDEX('Resource costs'!$C$121:$C$142, MATCH($B185, 'Resource costs'!$B$121:$B$142,0))</f>
        <v>14909.074221012543</v>
      </c>
      <c r="AJ185" s="90">
        <f>INDEX(AJ$129:AJ$146,MATCH($B185,$B$129:$B$146,0))*INDEX('Resource costs'!$C$121:$C$142, MATCH($B185, 'Resource costs'!$B$121:$B$142,0))</f>
        <v>15034.661933103491</v>
      </c>
      <c r="AK185" s="90">
        <f>INDEX(AK$129:AK$146,MATCH($B185,$B$129:$B$146,0))*INDEX('Resource costs'!$C$121:$C$142, MATCH($B185, 'Resource costs'!$B$121:$B$142,0))</f>
        <v>15155.215185223673</v>
      </c>
      <c r="AL185" s="90">
        <f>INDEX(AL$129:AL$146,MATCH($B185,$B$129:$B$146,0))*INDEX('Resource costs'!$C$121:$C$142, MATCH($B185, 'Resource costs'!$B$121:$B$142,0))</f>
        <v>15268.462421259448</v>
      </c>
      <c r="AM185" s="90">
        <f>INDEX(AM$129:AM$146,MATCH($B185,$B$129:$B$146,0))*INDEX('Resource costs'!$C$121:$C$142, MATCH($B185, 'Resource costs'!$B$121:$B$142,0))</f>
        <v>15372.859705300451</v>
      </c>
      <c r="AN185" s="90">
        <f>INDEX(AN$129:AN$146,MATCH($B185,$B$129:$B$146,0))*INDEX('Resource costs'!$C$121:$C$142, MATCH($B185, 'Resource costs'!$B$121:$B$142,0))</f>
        <v>15469.320610291028</v>
      </c>
      <c r="AO185" s="90">
        <f>INDEX(AO$129:AO$146,MATCH($B185,$B$129:$B$146,0))*INDEX('Resource costs'!$C$121:$C$142, MATCH($B185, 'Resource costs'!$B$121:$B$142,0))</f>
        <v>15558.049370846873</v>
      </c>
      <c r="AP185" s="90">
        <f>INDEX(AP$129:AP$146,MATCH($B185,$B$129:$B$146,0))*INDEX('Resource costs'!$C$121:$C$142, MATCH($B185, 'Resource costs'!$B$121:$B$142,0))</f>
        <v>15638.671250024996</v>
      </c>
      <c r="AQ185" s="90">
        <f>INDEX(AQ$129:AQ$146,MATCH($B185,$B$129:$B$146,0))*INDEX('Resource costs'!$C$121:$C$142, MATCH($B185, 'Resource costs'!$B$121:$B$142,0))</f>
        <v>15714.429083914025</v>
      </c>
      <c r="AR185" s="90">
        <f>INDEX(AR$129:AR$146,MATCH($B185,$B$129:$B$146,0))*INDEX('Resource costs'!$C$121:$C$142, MATCH($B185, 'Resource costs'!$B$121:$B$142,0))</f>
        <v>15788.964728001745</v>
      </c>
      <c r="AS185" s="90">
        <f>INDEX(AS$129:AS$146,MATCH($B185,$B$129:$B$146,0))*INDEX('Resource costs'!$C$121:$C$142, MATCH($B185, 'Resource costs'!$B$121:$B$142,0))</f>
        <v>15865.207713388842</v>
      </c>
      <c r="AT185" s="90">
        <f>INDEX(AT$129:AT$146,MATCH($B185,$B$129:$B$146,0))*INDEX('Resource costs'!$C$121:$C$142, MATCH($B185, 'Resource costs'!$B$121:$B$142,0))</f>
        <v>15924.639120498081</v>
      </c>
      <c r="AU185" s="90">
        <f>INDEX(AU$129:AU$146,MATCH($B185,$B$129:$B$146,0))*INDEX('Resource costs'!$C$121:$C$142, MATCH($B185, 'Resource costs'!$B$121:$B$142,0))</f>
        <v>15970.965902339733</v>
      </c>
      <c r="AV185" s="90">
        <f>INDEX(AV$129:AV$146,MATCH($B185,$B$129:$B$146,0))*INDEX('Resource costs'!$C$121:$C$142, MATCH($B185, 'Resource costs'!$B$121:$B$142,0))</f>
        <v>16007.077628785302</v>
      </c>
      <c r="AW185" s="90">
        <f>INDEX(AW$129:AW$146,MATCH($B185,$B$129:$B$146,0))*INDEX('Resource costs'!$C$121:$C$142, MATCH($B185, 'Resource costs'!$B$121:$B$142,0))</f>
        <v>16035.226719549621</v>
      </c>
      <c r="AX185" s="90">
        <f>INDEX(AX$129:AX$146,MATCH($B185,$B$129:$B$146,0))*INDEX('Resource costs'!$C$121:$C$142, MATCH($B185, 'Resource costs'!$B$121:$B$142,0))</f>
        <v>16057.16893580041</v>
      </c>
      <c r="AY185" s="90">
        <f>INDEX(AY$129:AY$146,MATCH($B185,$B$129:$B$146,0))*INDEX('Resource costs'!$C$121:$C$142, MATCH($B185, 'Resource costs'!$B$121:$B$142,0))</f>
        <v>16074.272893367895</v>
      </c>
      <c r="AZ185" s="90">
        <f>INDEX(AZ$129:AZ$146,MATCH($B185,$B$129:$B$146,0))*INDEX('Resource costs'!$C$121:$C$142, MATCH($B185, 'Resource costs'!$B$121:$B$142,0))</f>
        <v>16087.605428291752</v>
      </c>
      <c r="BA185" s="90">
        <f>INDEX(BA$129:BA$146,MATCH($B185,$B$129:$B$146,0))*INDEX('Resource costs'!$C$121:$C$142, MATCH($B185, 'Resource costs'!$B$121:$B$142,0))</f>
        <v>16097.998139264902</v>
      </c>
      <c r="BB185" s="90">
        <f>INDEX(BB$129:BB$146,MATCH($B185,$B$129:$B$146,0))*INDEX('Resource costs'!$C$121:$C$142, MATCH($B185, 'Resource costs'!$B$121:$B$142,0))</f>
        <v>16106.099257468468</v>
      </c>
    </row>
    <row r="186" spans="2:54">
      <c r="B186" s="6" t="s">
        <v>2863</v>
      </c>
      <c r="C186" s="52"/>
      <c r="D186" s="90">
        <f>INDEX(D$129:D$146,MATCH($B186,$B$129:$B$146,0))*INDEX('Resource costs'!$C$121:$C$142, MATCH($B186, 'Resource costs'!$B$121:$B$142,0))</f>
        <v>428.76953734284888</v>
      </c>
      <c r="E186" s="90">
        <f>INDEX(E$129:E$146,MATCH($B186,$B$129:$B$146,0))*INDEX('Resource costs'!$C$121:$C$142, MATCH($B186, 'Resource costs'!$B$121:$B$142,0))</f>
        <v>446.83015375379449</v>
      </c>
      <c r="F186" s="90">
        <f>INDEX(F$129:F$146,MATCH($B186,$B$129:$B$146,0))*INDEX('Resource costs'!$C$121:$C$142, MATCH($B186, 'Resource costs'!$B$121:$B$142,0))</f>
        <v>462.70357480368637</v>
      </c>
      <c r="G186" s="90">
        <f>INDEX(G$129:G$146,MATCH($B186,$B$129:$B$146,0))*INDEX('Resource costs'!$C$121:$C$142, MATCH($B186, 'Resource costs'!$B$121:$B$142,0))</f>
        <v>477.0325743404278</v>
      </c>
      <c r="H186" s="90">
        <f>INDEX(H$129:H$146,MATCH($B186,$B$129:$B$146,0))*INDEX('Resource costs'!$C$121:$C$142, MATCH($B186, 'Resource costs'!$B$121:$B$142,0))</f>
        <v>490.41693469098072</v>
      </c>
      <c r="I186" s="90">
        <f>INDEX(I$129:I$146,MATCH($B186,$B$129:$B$146,0))*INDEX('Resource costs'!$C$121:$C$142, MATCH($B186, 'Resource costs'!$B$121:$B$142,0))</f>
        <v>503.20883019637813</v>
      </c>
      <c r="J186" s="90">
        <f>INDEX(J$129:J$146,MATCH($B186,$B$129:$B$146,0))*INDEX('Resource costs'!$C$121:$C$142, MATCH($B186, 'Resource costs'!$B$121:$B$142,0))</f>
        <v>515.45369477692395</v>
      </c>
      <c r="K186" s="90">
        <f>INDEX(K$129:K$146,MATCH($B186,$B$129:$B$146,0))*INDEX('Resource costs'!$C$121:$C$142, MATCH($B186, 'Resource costs'!$B$121:$B$142,0))</f>
        <v>527.32884570554859</v>
      </c>
      <c r="L186" s="90">
        <f>INDEX(L$129:L$146,MATCH($B186,$B$129:$B$146,0))*INDEX('Resource costs'!$C$121:$C$142, MATCH($B186, 'Resource costs'!$B$121:$B$142,0))</f>
        <v>539.75228916947697</v>
      </c>
      <c r="M186" s="90">
        <f>INDEX(M$129:M$146,MATCH($B186,$B$129:$B$146,0))*INDEX('Resource costs'!$C$121:$C$142, MATCH($B186, 'Resource costs'!$B$121:$B$142,0))</f>
        <v>552.18606209704171</v>
      </c>
      <c r="N186" s="90">
        <f>INDEX(N$129:N$146,MATCH($B186,$B$129:$B$146,0))*INDEX('Resource costs'!$C$121:$C$142, MATCH($B186, 'Resource costs'!$B$121:$B$142,0))</f>
        <v>564.37341106377585</v>
      </c>
      <c r="O186" s="90">
        <f>INDEX(O$129:O$146,MATCH($B186,$B$129:$B$146,0))*INDEX('Resource costs'!$C$121:$C$142, MATCH($B186, 'Resource costs'!$B$121:$B$142,0))</f>
        <v>574.62891934127185</v>
      </c>
      <c r="P186" s="90">
        <f>INDEX(P$129:P$146,MATCH($B186,$B$129:$B$146,0))*INDEX('Resource costs'!$C$121:$C$142, MATCH($B186, 'Resource costs'!$B$121:$B$142,0))</f>
        <v>584.40919032602187</v>
      </c>
      <c r="Q186" s="90">
        <f>INDEX(Q$129:Q$146,MATCH($B186,$B$129:$B$146,0))*INDEX('Resource costs'!$C$121:$C$142, MATCH($B186, 'Resource costs'!$B$121:$B$142,0))</f>
        <v>593.88373121618042</v>
      </c>
      <c r="R186" s="90">
        <f>INDEX(R$129:R$146,MATCH($B186,$B$129:$B$146,0))*INDEX('Resource costs'!$C$121:$C$142, MATCH($B186, 'Resource costs'!$B$121:$B$142,0))</f>
        <v>603.24429825982315</v>
      </c>
      <c r="S186" s="90">
        <f>INDEX(S$129:S$146,MATCH($B186,$B$129:$B$146,0))*INDEX('Resource costs'!$C$121:$C$142, MATCH($B186, 'Resource costs'!$B$121:$B$142,0))</f>
        <v>612.524141215084</v>
      </c>
      <c r="T186" s="90">
        <f>INDEX(T$129:T$146,MATCH($B186,$B$129:$B$146,0))*INDEX('Resource costs'!$C$121:$C$142, MATCH($B186, 'Resource costs'!$B$121:$B$142,0))</f>
        <v>621.58537753530459</v>
      </c>
      <c r="U186" s="90">
        <f>INDEX(U$129:U$146,MATCH($B186,$B$129:$B$146,0))*INDEX('Resource costs'!$C$121:$C$142, MATCH($B186, 'Resource costs'!$B$121:$B$142,0))</f>
        <v>630.45478512520776</v>
      </c>
      <c r="V186" s="90">
        <f>INDEX(V$129:V$146,MATCH($B186,$B$129:$B$146,0))*INDEX('Resource costs'!$C$121:$C$142, MATCH($B186, 'Resource costs'!$B$121:$B$142,0))</f>
        <v>639.47704657269867</v>
      </c>
      <c r="W186" s="90">
        <f>INDEX(W$129:W$146,MATCH($B186,$B$129:$B$146,0))*INDEX('Resource costs'!$C$121:$C$142, MATCH($B186, 'Resource costs'!$B$121:$B$142,0))</f>
        <v>648.36834132041758</v>
      </c>
      <c r="X186" s="90">
        <f>INDEX(X$129:X$146,MATCH($B186,$B$129:$B$146,0))*INDEX('Resource costs'!$C$121:$C$142, MATCH($B186, 'Resource costs'!$B$121:$B$142,0))</f>
        <v>657.04827347027663</v>
      </c>
      <c r="Y186" s="90">
        <f>INDEX(Y$129:Y$146,MATCH($B186,$B$129:$B$146,0))*INDEX('Resource costs'!$C$121:$C$142, MATCH($B186, 'Resource costs'!$B$121:$B$142,0))</f>
        <v>665.50487306933985</v>
      </c>
      <c r="Z186" s="90">
        <f>INDEX(Z$129:Z$146,MATCH($B186,$B$129:$B$146,0))*INDEX('Resource costs'!$C$121:$C$142, MATCH($B186, 'Resource costs'!$B$121:$B$142,0))</f>
        <v>673.87639591925461</v>
      </c>
      <c r="AA186" s="90">
        <f>INDEX(AA$129:AA$146,MATCH($B186,$B$129:$B$146,0))*INDEX('Resource costs'!$C$121:$C$142, MATCH($B186, 'Resource costs'!$B$121:$B$142,0))</f>
        <v>682.13421392104999</v>
      </c>
      <c r="AB186" s="90">
        <f>INDEX(AB$129:AB$146,MATCH($B186,$B$129:$B$146,0))*INDEX('Resource costs'!$C$121:$C$142, MATCH($B186, 'Resource costs'!$B$121:$B$142,0))</f>
        <v>690.22301789326957</v>
      </c>
      <c r="AC186" s="90">
        <f>INDEX(AC$129:AC$146,MATCH($B186,$B$129:$B$146,0))*INDEX('Resource costs'!$C$121:$C$142, MATCH($B186, 'Resource costs'!$B$121:$B$142,0))</f>
        <v>698.09896799596936</v>
      </c>
      <c r="AD186" s="90">
        <f>INDEX(AD$129:AD$146,MATCH($B186,$B$129:$B$146,0))*INDEX('Resource costs'!$C$121:$C$142, MATCH($B186, 'Resource costs'!$B$121:$B$142,0))</f>
        <v>705.71781328309828</v>
      </c>
      <c r="AE186" s="90">
        <f>INDEX(AE$129:AE$146,MATCH($B186,$B$129:$B$146,0))*INDEX('Resource costs'!$C$121:$C$142, MATCH($B186, 'Resource costs'!$B$121:$B$142,0))</f>
        <v>713.04703306122803</v>
      </c>
      <c r="AF186" s="90">
        <f>INDEX(AF$129:AF$146,MATCH($B186,$B$129:$B$146,0))*INDEX('Resource costs'!$C$121:$C$142, MATCH($B186, 'Resource costs'!$B$121:$B$142,0))</f>
        <v>720.05684948982196</v>
      </c>
      <c r="AG186" s="90">
        <f>INDEX(AG$129:AG$146,MATCH($B186,$B$129:$B$146,0))*INDEX('Resource costs'!$C$121:$C$142, MATCH($B186, 'Resource costs'!$B$121:$B$142,0))</f>
        <v>726.77047730573008</v>
      </c>
      <c r="AH186" s="90">
        <f>INDEX(AH$129:AH$146,MATCH($B186,$B$129:$B$146,0))*INDEX('Resource costs'!$C$121:$C$142, MATCH($B186, 'Resource costs'!$B$121:$B$142,0))</f>
        <v>733.31478697378168</v>
      </c>
      <c r="AI186" s="90">
        <f>INDEX(AI$129:AI$146,MATCH($B186,$B$129:$B$146,0))*INDEX('Resource costs'!$C$121:$C$142, MATCH($B186, 'Resource costs'!$B$121:$B$142,0))</f>
        <v>739.70438312443582</v>
      </c>
      <c r="AJ186" s="90">
        <f>INDEX(AJ$129:AJ$146,MATCH($B186,$B$129:$B$146,0))*INDEX('Resource costs'!$C$121:$C$142, MATCH($B186, 'Resource costs'!$B$121:$B$142,0))</f>
        <v>745.98742894863824</v>
      </c>
      <c r="AK186" s="90">
        <f>INDEX(AK$129:AK$146,MATCH($B186,$B$129:$B$146,0))*INDEX('Resource costs'!$C$121:$C$142, MATCH($B186, 'Resource costs'!$B$121:$B$142,0))</f>
        <v>752.02164493683563</v>
      </c>
      <c r="AL186" s="90">
        <f>INDEX(AL$129:AL$146,MATCH($B186,$B$129:$B$146,0))*INDEX('Resource costs'!$C$121:$C$142, MATCH($B186, 'Resource costs'!$B$121:$B$142,0))</f>
        <v>757.69764264144953</v>
      </c>
      <c r="AM186" s="90">
        <f>INDEX(AM$129:AM$146,MATCH($B186,$B$129:$B$146,0))*INDEX('Resource costs'!$C$121:$C$142, MATCH($B186, 'Resource costs'!$B$121:$B$142,0))</f>
        <v>762.94072145809366</v>
      </c>
      <c r="AN186" s="90">
        <f>INDEX(AN$129:AN$146,MATCH($B186,$B$129:$B$146,0))*INDEX('Resource costs'!$C$121:$C$142, MATCH($B186, 'Resource costs'!$B$121:$B$142,0))</f>
        <v>767.79388397314619</v>
      </c>
      <c r="AO186" s="90">
        <f>INDEX(AO$129:AO$146,MATCH($B186,$B$129:$B$146,0))*INDEX('Resource costs'!$C$121:$C$142, MATCH($B186, 'Resource costs'!$B$121:$B$142,0))</f>
        <v>772.26644883212191</v>
      </c>
      <c r="AP186" s="90">
        <f>INDEX(AP$129:AP$146,MATCH($B186,$B$129:$B$146,0))*INDEX('Resource costs'!$C$121:$C$142, MATCH($B186, 'Resource costs'!$B$121:$B$142,0))</f>
        <v>776.34013351794522</v>
      </c>
      <c r="AQ186" s="90">
        <f>INDEX(AQ$129:AQ$146,MATCH($B186,$B$129:$B$146,0))*INDEX('Resource costs'!$C$121:$C$142, MATCH($B186, 'Resource costs'!$B$121:$B$142,0))</f>
        <v>780.17012738166193</v>
      </c>
      <c r="AR186" s="90">
        <f>INDEX(AR$129:AR$146,MATCH($B186,$B$129:$B$146,0))*INDEX('Resource costs'!$C$121:$C$142, MATCH($B186, 'Resource costs'!$B$121:$B$142,0))</f>
        <v>783.93122973428592</v>
      </c>
      <c r="AS186" s="90">
        <f>INDEX(AS$129:AS$146,MATCH($B186,$B$129:$B$146,0))*INDEX('Resource costs'!$C$121:$C$142, MATCH($B186, 'Resource costs'!$B$121:$B$142,0))</f>
        <v>787.76426392189455</v>
      </c>
      <c r="AT186" s="90">
        <f>INDEX(AT$129:AT$146,MATCH($B186,$B$129:$B$146,0))*INDEX('Resource costs'!$C$121:$C$142, MATCH($B186, 'Resource costs'!$B$121:$B$142,0))</f>
        <v>790.78225922837055</v>
      </c>
      <c r="AU186" s="90">
        <f>INDEX(AU$129:AU$146,MATCH($B186,$B$129:$B$146,0))*INDEX('Resource costs'!$C$121:$C$142, MATCH($B186, 'Resource costs'!$B$121:$B$142,0))</f>
        <v>793.16032746062785</v>
      </c>
      <c r="AV186" s="90">
        <f>INDEX(AV$129:AV$146,MATCH($B186,$B$129:$B$146,0))*INDEX('Resource costs'!$C$121:$C$142, MATCH($B186, 'Resource costs'!$B$121:$B$142,0))</f>
        <v>795.03557245870559</v>
      </c>
      <c r="AW186" s="90">
        <f>INDEX(AW$129:AW$146,MATCH($B186,$B$129:$B$146,0))*INDEX('Resource costs'!$C$121:$C$142, MATCH($B186, 'Resource costs'!$B$121:$B$142,0))</f>
        <v>796.51546367838932</v>
      </c>
      <c r="AX186" s="90">
        <f>INDEX(AX$129:AX$146,MATCH($B186,$B$129:$B$146,0))*INDEX('Resource costs'!$C$121:$C$142, MATCH($B186, 'Resource costs'!$B$121:$B$142,0))</f>
        <v>797.68433054287436</v>
      </c>
      <c r="AY186" s="90">
        <f>INDEX(AY$129:AY$146,MATCH($B186,$B$129:$B$146,0))*INDEX('Resource costs'!$C$121:$C$142, MATCH($B186, 'Resource costs'!$B$121:$B$142,0))</f>
        <v>798.60809106273405</v>
      </c>
      <c r="AZ186" s="90">
        <f>INDEX(AZ$129:AZ$146,MATCH($B186,$B$129:$B$146,0))*INDEX('Resource costs'!$C$121:$C$142, MATCH($B186, 'Resource costs'!$B$121:$B$142,0))</f>
        <v>799.33840121855474</v>
      </c>
      <c r="BA186" s="90">
        <f>INDEX(BA$129:BA$146,MATCH($B186,$B$129:$B$146,0))*INDEX('Resource costs'!$C$121:$C$142, MATCH($B186, 'Resource costs'!$B$121:$B$142,0))</f>
        <v>799.91589400232817</v>
      </c>
      <c r="BB186" s="90">
        <f>INDEX(BB$129:BB$146,MATCH($B186,$B$129:$B$146,0))*INDEX('Resource costs'!$C$121:$C$142, MATCH($B186, 'Resource costs'!$B$121:$B$142,0))</f>
        <v>800.37198591163383</v>
      </c>
    </row>
    <row r="187" spans="2:54">
      <c r="B187" s="6" t="s">
        <v>2862</v>
      </c>
      <c r="C187" s="52"/>
      <c r="D187" s="90">
        <f>INDEX(D$129:D$146,MATCH($B187,$B$129:$B$146,0))*INDEX('Resource costs'!$C$121:$C$142, MATCH($B187, 'Resource costs'!$B$121:$B$142,0))</f>
        <v>556.37506812820197</v>
      </c>
      <c r="E187" s="90">
        <f>INDEX(E$129:E$146,MATCH($B187,$B$129:$B$146,0))*INDEX('Resource costs'!$C$121:$C$142, MATCH($B187, 'Resource costs'!$B$121:$B$142,0))</f>
        <v>579.81068052816192</v>
      </c>
      <c r="F187" s="90">
        <f>INDEX(F$129:F$146,MATCH($B187,$B$129:$B$146,0))*INDEX('Resource costs'!$C$121:$C$142, MATCH($B187, 'Resource costs'!$B$121:$B$142,0))</f>
        <v>600.40816926953073</v>
      </c>
      <c r="G187" s="90">
        <f>INDEX(G$129:G$146,MATCH($B187,$B$129:$B$146,0))*INDEX('Resource costs'!$C$121:$C$142, MATCH($B187, 'Resource costs'!$B$121:$B$142,0))</f>
        <v>619.001603268758</v>
      </c>
      <c r="H187" s="90">
        <f>INDEX(H$129:H$146,MATCH($B187,$B$129:$B$146,0))*INDEX('Resource costs'!$C$121:$C$142, MATCH($B187, 'Resource costs'!$B$121:$B$142,0))</f>
        <v>636.36926527207982</v>
      </c>
      <c r="I187" s="90">
        <f>INDEX(I$129:I$146,MATCH($B187,$B$129:$B$146,0))*INDEX('Resource costs'!$C$121:$C$142, MATCH($B187, 'Resource costs'!$B$121:$B$142,0))</f>
        <v>652.96813975698387</v>
      </c>
      <c r="J187" s="90">
        <f>INDEX(J$129:J$146,MATCH($B187,$B$129:$B$146,0))*INDEX('Resource costs'!$C$121:$C$142, MATCH($B187, 'Resource costs'!$B$121:$B$142,0))</f>
        <v>668.8571821722669</v>
      </c>
      <c r="K187" s="90">
        <f>INDEX(K$129:K$146,MATCH($B187,$B$129:$B$146,0))*INDEX('Resource costs'!$C$121:$C$142, MATCH($B187, 'Resource costs'!$B$121:$B$142,0))</f>
        <v>684.26648094822724</v>
      </c>
      <c r="L187" s="90">
        <f>INDEX(L$129:L$146,MATCH($B187,$B$129:$B$146,0))*INDEX('Resource costs'!$C$121:$C$142, MATCH($B187, 'Resource costs'!$B$121:$B$142,0))</f>
        <v>700.38724887046658</v>
      </c>
      <c r="M187" s="90">
        <f>INDEX(M$129:M$146,MATCH($B187,$B$129:$B$146,0))*INDEX('Resource costs'!$C$121:$C$142, MATCH($B187, 'Resource costs'!$B$121:$B$142,0))</f>
        <v>716.52142039425371</v>
      </c>
      <c r="N187" s="90">
        <f>INDEX(N$129:N$146,MATCH($B187,$B$129:$B$146,0))*INDEX('Resource costs'!$C$121:$C$142, MATCH($B187, 'Resource costs'!$B$121:$B$142,0))</f>
        <v>732.3358300505231</v>
      </c>
      <c r="O187" s="90">
        <f>INDEX(O$129:O$146,MATCH($B187,$B$129:$B$146,0))*INDEX('Resource costs'!$C$121:$C$142, MATCH($B187, 'Resource costs'!$B$121:$B$142,0))</f>
        <v>745.64346648370258</v>
      </c>
      <c r="P187" s="90">
        <f>INDEX(P$129:P$146,MATCH($B187,$B$129:$B$146,0))*INDEX('Resource costs'!$C$121:$C$142, MATCH($B187, 'Resource costs'!$B$121:$B$142,0))</f>
        <v>758.33443088657111</v>
      </c>
      <c r="Q187" s="90">
        <f>INDEX(Q$129:Q$146,MATCH($B187,$B$129:$B$146,0))*INDEX('Resource costs'!$C$121:$C$142, MATCH($B187, 'Resource costs'!$B$121:$B$142,0))</f>
        <v>770.6286772687024</v>
      </c>
      <c r="R187" s="90">
        <f>INDEX(R$129:R$146,MATCH($B187,$B$129:$B$146,0))*INDEX('Resource costs'!$C$121:$C$142, MATCH($B187, 'Resource costs'!$B$121:$B$142,0))</f>
        <v>782.77503019969663</v>
      </c>
      <c r="S187" s="90">
        <f>INDEX(S$129:S$146,MATCH($B187,$B$129:$B$146,0))*INDEX('Resource costs'!$C$121:$C$142, MATCH($B187, 'Resource costs'!$B$121:$B$142,0))</f>
        <v>794.81663485390936</v>
      </c>
      <c r="T187" s="90">
        <f>INDEX(T$129:T$146,MATCH($B187,$B$129:$B$146,0))*INDEX('Resource costs'!$C$121:$C$142, MATCH($B187, 'Resource costs'!$B$121:$B$142,0))</f>
        <v>806.57457364366348</v>
      </c>
      <c r="U187" s="90">
        <f>INDEX(U$129:U$146,MATCH($B187,$B$129:$B$146,0))*INDEX('Resource costs'!$C$121:$C$142, MATCH($B187, 'Resource costs'!$B$121:$B$142,0))</f>
        <v>818.08359381023229</v>
      </c>
      <c r="V187" s="90">
        <f>INDEX(V$129:V$146,MATCH($B187,$B$129:$B$146,0))*INDEX('Resource costs'!$C$121:$C$142, MATCH($B187, 'Resource costs'!$B$121:$B$142,0))</f>
        <v>829.79095846730741</v>
      </c>
      <c r="W187" s="90">
        <f>INDEX(W$129:W$146,MATCH($B187,$B$129:$B$146,0))*INDEX('Resource costs'!$C$121:$C$142, MATCH($B187, 'Resource costs'!$B$121:$B$142,0))</f>
        <v>841.32837959957055</v>
      </c>
      <c r="X187" s="90">
        <f>INDEX(X$129:X$146,MATCH($B187,$B$129:$B$146,0))*INDEX('Resource costs'!$C$121:$C$142, MATCH($B187, 'Resource costs'!$B$121:$B$142,0))</f>
        <v>852.59153479280997</v>
      </c>
      <c r="Y187" s="90">
        <f>INDEX(Y$129:Y$146,MATCH($B187,$B$129:$B$146,0))*INDEX('Resource costs'!$C$121:$C$142, MATCH($B187, 'Resource costs'!$B$121:$B$142,0))</f>
        <v>863.56489173234354</v>
      </c>
      <c r="Z187" s="90">
        <f>INDEX(Z$129:Z$146,MATCH($B187,$B$129:$B$146,0))*INDEX('Resource costs'!$C$121:$C$142, MATCH($B187, 'Resource costs'!$B$121:$B$142,0))</f>
        <v>874.42785234475707</v>
      </c>
      <c r="AA187" s="90">
        <f>INDEX(AA$129:AA$146,MATCH($B187,$B$129:$B$146,0))*INDEX('Resource costs'!$C$121:$C$142, MATCH($B187, 'Resource costs'!$B$121:$B$142,0))</f>
        <v>885.14326856068431</v>
      </c>
      <c r="AB187" s="90">
        <f>INDEX(AB$129:AB$146,MATCH($B187,$B$129:$B$146,0))*INDEX('Resource costs'!$C$121:$C$142, MATCH($B187, 'Resource costs'!$B$121:$B$142,0))</f>
        <v>895.63937070686075</v>
      </c>
      <c r="AC187" s="90">
        <f>INDEX(AC$129:AC$146,MATCH($B187,$B$129:$B$146,0))*INDEX('Resource costs'!$C$121:$C$142, MATCH($B187, 'Resource costs'!$B$121:$B$142,0))</f>
        <v>905.85927182698163</v>
      </c>
      <c r="AD187" s="90">
        <f>INDEX(AD$129:AD$146,MATCH($B187,$B$129:$B$146,0))*INDEX('Resource costs'!$C$121:$C$142, MATCH($B187, 'Resource costs'!$B$121:$B$142,0))</f>
        <v>915.74555150989454</v>
      </c>
      <c r="AE187" s="90">
        <f>INDEX(AE$129:AE$146,MATCH($B187,$B$129:$B$146,0))*INDEX('Resource costs'!$C$121:$C$142, MATCH($B187, 'Resource costs'!$B$121:$B$142,0))</f>
        <v>925.25601062192538</v>
      </c>
      <c r="AF187" s="90">
        <f>INDEX(AF$129:AF$146,MATCH($B187,$B$129:$B$146,0))*INDEX('Resource costs'!$C$121:$C$142, MATCH($B187, 'Resource costs'!$B$121:$B$142,0))</f>
        <v>934.35200917908639</v>
      </c>
      <c r="AG187" s="90">
        <f>INDEX(AG$129:AG$146,MATCH($B187,$B$129:$B$146,0))*INDEX('Resource costs'!$C$121:$C$142, MATCH($B187, 'Resource costs'!$B$121:$B$142,0))</f>
        <v>943.06367082513395</v>
      </c>
      <c r="AH187" s="90">
        <f>INDEX(AH$129:AH$146,MATCH($B187,$B$129:$B$146,0))*INDEX('Resource costs'!$C$121:$C$142, MATCH($B187, 'Resource costs'!$B$121:$B$142,0))</f>
        <v>951.55562377491356</v>
      </c>
      <c r="AI187" s="90">
        <f>INDEX(AI$129:AI$146,MATCH($B187,$B$129:$B$146,0))*INDEX('Resource costs'!$C$121:$C$142, MATCH($B187, 'Resource costs'!$B$121:$B$142,0))</f>
        <v>959.84681912349834</v>
      </c>
      <c r="AJ187" s="90">
        <f>INDEX(AJ$129:AJ$146,MATCH($B187,$B$129:$B$146,0))*INDEX('Resource costs'!$C$121:$C$142, MATCH($B187, 'Resource costs'!$B$121:$B$142,0))</f>
        <v>967.99975384492666</v>
      </c>
      <c r="AK187" s="90">
        <f>INDEX(AK$129:AK$146,MATCH($B187,$B$129:$B$146,0))*INDEX('Resource costs'!$C$121:$C$142, MATCH($B187, 'Resource costs'!$B$121:$B$142,0))</f>
        <v>975.82980481435709</v>
      </c>
      <c r="AL187" s="90">
        <f>INDEX(AL$129:AL$146,MATCH($B187,$B$129:$B$146,0))*INDEX('Resource costs'!$C$121:$C$142, MATCH($B187, 'Resource costs'!$B$121:$B$142,0))</f>
        <v>983.19502863405887</v>
      </c>
      <c r="AM187" s="90">
        <f>INDEX(AM$129:AM$146,MATCH($B187,$B$129:$B$146,0))*INDEX('Resource costs'!$C$121:$C$142, MATCH($B187, 'Resource costs'!$B$121:$B$142,0))</f>
        <v>989.99849315229335</v>
      </c>
      <c r="AN187" s="90">
        <f>INDEX(AN$129:AN$146,MATCH($B187,$B$129:$B$146,0))*INDEX('Resource costs'!$C$121:$C$142, MATCH($B187, 'Resource costs'!$B$121:$B$142,0))</f>
        <v>996.29599889788108</v>
      </c>
      <c r="AO187" s="90">
        <f>INDEX(AO$129:AO$146,MATCH($B187,$B$129:$B$146,0))*INDEX('Resource costs'!$C$121:$C$142, MATCH($B187, 'Resource costs'!$B$121:$B$142,0))</f>
        <v>1002.0996378260138</v>
      </c>
      <c r="AP187" s="90">
        <f>INDEX(AP$129:AP$146,MATCH($B187,$B$129:$B$146,0))*INDEX('Resource costs'!$C$121:$C$142, MATCH($B187, 'Resource costs'!$B$121:$B$142,0))</f>
        <v>1007.3856863840657</v>
      </c>
      <c r="AQ187" s="90">
        <f>INDEX(AQ$129:AQ$146,MATCH($B187,$B$129:$B$146,0))*INDEX('Resource costs'!$C$121:$C$142, MATCH($B187, 'Resource costs'!$B$121:$B$142,0))</f>
        <v>1012.3555196190983</v>
      </c>
      <c r="AR187" s="90">
        <f>INDEX(AR$129:AR$146,MATCH($B187,$B$129:$B$146,0))*INDEX('Resource costs'!$C$121:$C$142, MATCH($B187, 'Resource costs'!$B$121:$B$142,0))</f>
        <v>1017.2359586322016</v>
      </c>
      <c r="AS187" s="90">
        <f>INDEX(AS$129:AS$146,MATCH($B187,$B$129:$B$146,0))*INDEX('Resource costs'!$C$121:$C$142, MATCH($B187, 'Resource costs'!$B$121:$B$142,0))</f>
        <v>1022.209737017869</v>
      </c>
      <c r="AT187" s="90">
        <f>INDEX(AT$129:AT$146,MATCH($B187,$B$129:$B$146,0))*INDEX('Resource costs'!$C$121:$C$142, MATCH($B187, 'Resource costs'!$B$121:$B$142,0))</f>
        <v>1026.1259138868161</v>
      </c>
      <c r="AU187" s="90">
        <f>INDEX(AU$129:AU$146,MATCH($B187,$B$129:$B$146,0))*INDEX('Resource costs'!$C$121:$C$142, MATCH($B187, 'Resource costs'!$B$121:$B$142,0))</f>
        <v>1029.2117158375215</v>
      </c>
      <c r="AV187" s="90">
        <f>INDEX(AV$129:AV$146,MATCH($B187,$B$129:$B$146,0))*INDEX('Resource costs'!$C$121:$C$142, MATCH($B187, 'Resource costs'!$B$121:$B$142,0))</f>
        <v>1031.6450500012038</v>
      </c>
      <c r="AW187" s="90">
        <f>INDEX(AW$129:AW$146,MATCH($B187,$B$129:$B$146,0))*INDEX('Resource costs'!$C$121:$C$142, MATCH($B187, 'Resource costs'!$B$121:$B$142,0))</f>
        <v>1033.5653696752097</v>
      </c>
      <c r="AX187" s="90">
        <f>INDEX(AX$129:AX$146,MATCH($B187,$B$129:$B$146,0))*INDEX('Resource costs'!$C$121:$C$142, MATCH($B187, 'Resource costs'!$B$121:$B$142,0))</f>
        <v>1035.0821014500245</v>
      </c>
      <c r="AY187" s="90">
        <f>INDEX(AY$129:AY$146,MATCH($B187,$B$129:$B$146,0))*INDEX('Resource costs'!$C$121:$C$142, MATCH($B187, 'Resource costs'!$B$121:$B$142,0))</f>
        <v>1036.2807811075306</v>
      </c>
      <c r="AZ187" s="90">
        <f>INDEX(AZ$129:AZ$146,MATCH($B187,$B$129:$B$146,0))*INDEX('Resource costs'!$C$121:$C$142, MATCH($B187, 'Resource costs'!$B$121:$B$142,0))</f>
        <v>1037.2284378958777</v>
      </c>
      <c r="BA187" s="90">
        <f>INDEX(BA$129:BA$146,MATCH($B187,$B$129:$B$146,0))*INDEX('Resource costs'!$C$121:$C$142, MATCH($B187, 'Resource costs'!$B$121:$B$142,0))</f>
        <v>1037.9777975376721</v>
      </c>
      <c r="BB187" s="90">
        <f>INDEX(BB$129:BB$146,MATCH($B187,$B$129:$B$146,0))*INDEX('Resource costs'!$C$121:$C$142, MATCH($B187, 'Resource costs'!$B$121:$B$142,0))</f>
        <v>1038.5696263524831</v>
      </c>
    </row>
    <row r="188" spans="2:54" s="97" customFormat="1">
      <c r="B188" s="6" t="s">
        <v>131</v>
      </c>
      <c r="C188" s="315"/>
      <c r="D188" s="90">
        <f>INDEX(D$129:D$146,MATCH($B188,$B$129:$B$146,0))*INDEX('Resource costs'!$C$121:$C$142, MATCH($B188, 'Resource costs'!$B$121:$B$142,0))</f>
        <v>0</v>
      </c>
      <c r="E188" s="90">
        <f>INDEX(E$129:E$146,MATCH($B188,$B$129:$B$146,0))*INDEX('Resource costs'!$C$121:$C$142, MATCH($B188, 'Resource costs'!$B$121:$B$142,0))</f>
        <v>0</v>
      </c>
      <c r="F188" s="90">
        <f>INDEX(F$129:F$146,MATCH($B188,$B$129:$B$146,0))*INDEX('Resource costs'!$C$121:$C$142, MATCH($B188, 'Resource costs'!$B$121:$B$142,0))</f>
        <v>0</v>
      </c>
      <c r="G188" s="90">
        <f>INDEX(G$129:G$146,MATCH($B188,$B$129:$B$146,0))*INDEX('Resource costs'!$C$121:$C$142, MATCH($B188, 'Resource costs'!$B$121:$B$142,0))</f>
        <v>0</v>
      </c>
      <c r="H188" s="90">
        <f>INDEX(H$129:H$146,MATCH($B188,$B$129:$B$146,0))*INDEX('Resource costs'!$C$121:$C$142, MATCH($B188, 'Resource costs'!$B$121:$B$142,0))</f>
        <v>0</v>
      </c>
      <c r="I188" s="90">
        <f>INDEX(I$129:I$146,MATCH($B188,$B$129:$B$146,0))*INDEX('Resource costs'!$C$121:$C$142, MATCH($B188, 'Resource costs'!$B$121:$B$142,0))</f>
        <v>0</v>
      </c>
      <c r="J188" s="90">
        <f>INDEX(J$129:J$146,MATCH($B188,$B$129:$B$146,0))*INDEX('Resource costs'!$C$121:$C$142, MATCH($B188, 'Resource costs'!$B$121:$B$142,0))</f>
        <v>0</v>
      </c>
      <c r="K188" s="90">
        <f>INDEX(K$129:K$146,MATCH($B188,$B$129:$B$146,0))*INDEX('Resource costs'!$C$121:$C$142, MATCH($B188, 'Resource costs'!$B$121:$B$142,0))</f>
        <v>0</v>
      </c>
      <c r="L188" s="90">
        <f>INDEX(L$129:L$146,MATCH($B188,$B$129:$B$146,0))*INDEX('Resource costs'!$C$121:$C$142, MATCH($B188, 'Resource costs'!$B$121:$B$142,0))</f>
        <v>0</v>
      </c>
      <c r="M188" s="90">
        <f>INDEX(M$129:M$146,MATCH($B188,$B$129:$B$146,0))*INDEX('Resource costs'!$C$121:$C$142, MATCH($B188, 'Resource costs'!$B$121:$B$142,0))</f>
        <v>0</v>
      </c>
      <c r="N188" s="90">
        <f>INDEX(N$129:N$146,MATCH($B188,$B$129:$B$146,0))*INDEX('Resource costs'!$C$121:$C$142, MATCH($B188, 'Resource costs'!$B$121:$B$142,0))</f>
        <v>0</v>
      </c>
      <c r="O188" s="90">
        <f>INDEX(O$129:O$146,MATCH($B188,$B$129:$B$146,0))*INDEX('Resource costs'!$C$121:$C$142, MATCH($B188, 'Resource costs'!$B$121:$B$142,0))</f>
        <v>0</v>
      </c>
      <c r="P188" s="90">
        <f>INDEX(P$129:P$146,MATCH($B188,$B$129:$B$146,0))*INDEX('Resource costs'!$C$121:$C$142, MATCH($B188, 'Resource costs'!$B$121:$B$142,0))</f>
        <v>0</v>
      </c>
      <c r="Q188" s="90">
        <f>INDEX(Q$129:Q$146,MATCH($B188,$B$129:$B$146,0))*INDEX('Resource costs'!$C$121:$C$142, MATCH($B188, 'Resource costs'!$B$121:$B$142,0))</f>
        <v>0</v>
      </c>
      <c r="R188" s="90">
        <f>INDEX(R$129:R$146,MATCH($B188,$B$129:$B$146,0))*INDEX('Resource costs'!$C$121:$C$142, MATCH($B188, 'Resource costs'!$B$121:$B$142,0))</f>
        <v>0</v>
      </c>
      <c r="S188" s="90">
        <f>INDEX(S$129:S$146,MATCH($B188,$B$129:$B$146,0))*INDEX('Resource costs'!$C$121:$C$142, MATCH($B188, 'Resource costs'!$B$121:$B$142,0))</f>
        <v>0</v>
      </c>
      <c r="T188" s="90">
        <f>INDEX(T$129:T$146,MATCH($B188,$B$129:$B$146,0))*INDEX('Resource costs'!$C$121:$C$142, MATCH($B188, 'Resource costs'!$B$121:$B$142,0))</f>
        <v>0</v>
      </c>
      <c r="U188" s="90">
        <f>INDEX(U$129:U$146,MATCH($B188,$B$129:$B$146,0))*INDEX('Resource costs'!$C$121:$C$142, MATCH($B188, 'Resource costs'!$B$121:$B$142,0))</f>
        <v>0</v>
      </c>
      <c r="V188" s="90">
        <f>INDEX(V$129:V$146,MATCH($B188,$B$129:$B$146,0))*INDEX('Resource costs'!$C$121:$C$142, MATCH($B188, 'Resource costs'!$B$121:$B$142,0))</f>
        <v>0</v>
      </c>
      <c r="W188" s="90">
        <f>INDEX(W$129:W$146,MATCH($B188,$B$129:$B$146,0))*INDEX('Resource costs'!$C$121:$C$142, MATCH($B188, 'Resource costs'!$B$121:$B$142,0))</f>
        <v>0</v>
      </c>
      <c r="X188" s="90">
        <f>INDEX(X$129:X$146,MATCH($B188,$B$129:$B$146,0))*INDEX('Resource costs'!$C$121:$C$142, MATCH($B188, 'Resource costs'!$B$121:$B$142,0))</f>
        <v>0</v>
      </c>
      <c r="Y188" s="90">
        <f>INDEX(Y$129:Y$146,MATCH($B188,$B$129:$B$146,0))*INDEX('Resource costs'!$C$121:$C$142, MATCH($B188, 'Resource costs'!$B$121:$B$142,0))</f>
        <v>0</v>
      </c>
      <c r="Z188" s="90">
        <f>INDEX(Z$129:Z$146,MATCH($B188,$B$129:$B$146,0))*INDEX('Resource costs'!$C$121:$C$142, MATCH($B188, 'Resource costs'!$B$121:$B$142,0))</f>
        <v>0</v>
      </c>
      <c r="AA188" s="90">
        <f>INDEX(AA$129:AA$146,MATCH($B188,$B$129:$B$146,0))*INDEX('Resource costs'!$C$121:$C$142, MATCH($B188, 'Resource costs'!$B$121:$B$142,0))</f>
        <v>0</v>
      </c>
      <c r="AB188" s="90">
        <f>INDEX(AB$129:AB$146,MATCH($B188,$B$129:$B$146,0))*INDEX('Resource costs'!$C$121:$C$142, MATCH($B188, 'Resource costs'!$B$121:$B$142,0))</f>
        <v>0</v>
      </c>
      <c r="AC188" s="90">
        <f>INDEX(AC$129:AC$146,MATCH($B188,$B$129:$B$146,0))*INDEX('Resource costs'!$C$121:$C$142, MATCH($B188, 'Resource costs'!$B$121:$B$142,0))</f>
        <v>0</v>
      </c>
      <c r="AD188" s="90">
        <f>INDEX(AD$129:AD$146,MATCH($B188,$B$129:$B$146,0))*INDEX('Resource costs'!$C$121:$C$142, MATCH($B188, 'Resource costs'!$B$121:$B$142,0))</f>
        <v>0</v>
      </c>
      <c r="AE188" s="90">
        <f>INDEX(AE$129:AE$146,MATCH($B188,$B$129:$B$146,0))*INDEX('Resource costs'!$C$121:$C$142, MATCH($B188, 'Resource costs'!$B$121:$B$142,0))</f>
        <v>0</v>
      </c>
      <c r="AF188" s="90">
        <f>INDEX(AF$129:AF$146,MATCH($B188,$B$129:$B$146,0))*INDEX('Resource costs'!$C$121:$C$142, MATCH($B188, 'Resource costs'!$B$121:$B$142,0))</f>
        <v>0</v>
      </c>
      <c r="AG188" s="90">
        <f>INDEX(AG$129:AG$146,MATCH($B188,$B$129:$B$146,0))*INDEX('Resource costs'!$C$121:$C$142, MATCH($B188, 'Resource costs'!$B$121:$B$142,0))</f>
        <v>0</v>
      </c>
      <c r="AH188" s="90">
        <f>INDEX(AH$129:AH$146,MATCH($B188,$B$129:$B$146,0))*INDEX('Resource costs'!$C$121:$C$142, MATCH($B188, 'Resource costs'!$B$121:$B$142,0))</f>
        <v>0</v>
      </c>
      <c r="AI188" s="90">
        <f>INDEX(AI$129:AI$146,MATCH($B188,$B$129:$B$146,0))*INDEX('Resource costs'!$C$121:$C$142, MATCH($B188, 'Resource costs'!$B$121:$B$142,0))</f>
        <v>0</v>
      </c>
      <c r="AJ188" s="90">
        <f>INDEX(AJ$129:AJ$146,MATCH($B188,$B$129:$B$146,0))*INDEX('Resource costs'!$C$121:$C$142, MATCH($B188, 'Resource costs'!$B$121:$B$142,0))</f>
        <v>0</v>
      </c>
      <c r="AK188" s="90">
        <f>INDEX(AK$129:AK$146,MATCH($B188,$B$129:$B$146,0))*INDEX('Resource costs'!$C$121:$C$142, MATCH($B188, 'Resource costs'!$B$121:$B$142,0))</f>
        <v>0</v>
      </c>
      <c r="AL188" s="90">
        <f>INDEX(AL$129:AL$146,MATCH($B188,$B$129:$B$146,0))*INDEX('Resource costs'!$C$121:$C$142, MATCH($B188, 'Resource costs'!$B$121:$B$142,0))</f>
        <v>0</v>
      </c>
      <c r="AM188" s="90">
        <f>INDEX(AM$129:AM$146,MATCH($B188,$B$129:$B$146,0))*INDEX('Resource costs'!$C$121:$C$142, MATCH($B188, 'Resource costs'!$B$121:$B$142,0))</f>
        <v>0</v>
      </c>
      <c r="AN188" s="90">
        <f>INDEX(AN$129:AN$146,MATCH($B188,$B$129:$B$146,0))*INDEX('Resource costs'!$C$121:$C$142, MATCH($B188, 'Resource costs'!$B$121:$B$142,0))</f>
        <v>0</v>
      </c>
      <c r="AO188" s="90">
        <f>INDEX(AO$129:AO$146,MATCH($B188,$B$129:$B$146,0))*INDEX('Resource costs'!$C$121:$C$142, MATCH($B188, 'Resource costs'!$B$121:$B$142,0))</f>
        <v>0</v>
      </c>
      <c r="AP188" s="90">
        <f>INDEX(AP$129:AP$146,MATCH($B188,$B$129:$B$146,0))*INDEX('Resource costs'!$C$121:$C$142, MATCH($B188, 'Resource costs'!$B$121:$B$142,0))</f>
        <v>0</v>
      </c>
      <c r="AQ188" s="90">
        <f>INDEX(AQ$129:AQ$146,MATCH($B188,$B$129:$B$146,0))*INDEX('Resource costs'!$C$121:$C$142, MATCH($B188, 'Resource costs'!$B$121:$B$142,0))</f>
        <v>0</v>
      </c>
      <c r="AR188" s="90">
        <f>INDEX(AR$129:AR$146,MATCH($B188,$B$129:$B$146,0))*INDEX('Resource costs'!$C$121:$C$142, MATCH($B188, 'Resource costs'!$B$121:$B$142,0))</f>
        <v>0</v>
      </c>
      <c r="AS188" s="90">
        <f>INDEX(AS$129:AS$146,MATCH($B188,$B$129:$B$146,0))*INDEX('Resource costs'!$C$121:$C$142, MATCH($B188, 'Resource costs'!$B$121:$B$142,0))</f>
        <v>0</v>
      </c>
      <c r="AT188" s="90">
        <f>INDEX(AT$129:AT$146,MATCH($B188,$B$129:$B$146,0))*INDEX('Resource costs'!$C$121:$C$142, MATCH($B188, 'Resource costs'!$B$121:$B$142,0))</f>
        <v>0</v>
      </c>
      <c r="AU188" s="90">
        <f>INDEX(AU$129:AU$146,MATCH($B188,$B$129:$B$146,0))*INDEX('Resource costs'!$C$121:$C$142, MATCH($B188, 'Resource costs'!$B$121:$B$142,0))</f>
        <v>0</v>
      </c>
      <c r="AV188" s="90">
        <f>INDEX(AV$129:AV$146,MATCH($B188,$B$129:$B$146,0))*INDEX('Resource costs'!$C$121:$C$142, MATCH($B188, 'Resource costs'!$B$121:$B$142,0))</f>
        <v>0</v>
      </c>
      <c r="AW188" s="90">
        <f>INDEX(AW$129:AW$146,MATCH($B188,$B$129:$B$146,0))*INDEX('Resource costs'!$C$121:$C$142, MATCH($B188, 'Resource costs'!$B$121:$B$142,0))</f>
        <v>0</v>
      </c>
      <c r="AX188" s="90">
        <f>INDEX(AX$129:AX$146,MATCH($B188,$B$129:$B$146,0))*INDEX('Resource costs'!$C$121:$C$142, MATCH($B188, 'Resource costs'!$B$121:$B$142,0))</f>
        <v>0</v>
      </c>
      <c r="AY188" s="90">
        <f>INDEX(AY$129:AY$146,MATCH($B188,$B$129:$B$146,0))*INDEX('Resource costs'!$C$121:$C$142, MATCH($B188, 'Resource costs'!$B$121:$B$142,0))</f>
        <v>0</v>
      </c>
      <c r="AZ188" s="90">
        <f>INDEX(AZ$129:AZ$146,MATCH($B188,$B$129:$B$146,0))*INDEX('Resource costs'!$C$121:$C$142, MATCH($B188, 'Resource costs'!$B$121:$B$142,0))</f>
        <v>0</v>
      </c>
      <c r="BA188" s="90">
        <f>INDEX(BA$129:BA$146,MATCH($B188,$B$129:$B$146,0))*INDEX('Resource costs'!$C$121:$C$142, MATCH($B188, 'Resource costs'!$B$121:$B$142,0))</f>
        <v>0</v>
      </c>
      <c r="BB188" s="90">
        <f>INDEX(BB$129:BB$146,MATCH($B188,$B$129:$B$146,0))*INDEX('Resource costs'!$C$121:$C$142, MATCH($B188, 'Resource costs'!$B$121:$B$142,0))</f>
        <v>0</v>
      </c>
    </row>
    <row r="189" spans="2:54" ht="29">
      <c r="B189" s="6" t="s">
        <v>2869</v>
      </c>
      <c r="C189" s="52"/>
      <c r="D189" s="90">
        <f>INDEX(D$129:D$146,MATCH($B189,$B$129:$B$146,0))*INDEX('Resource costs'!$C$121:$C$142, MATCH($B189, 'Resource costs'!$B$121:$B$142,0))</f>
        <v>3718.7207345390575</v>
      </c>
      <c r="E189" s="90">
        <f>INDEX(E$129:E$146,MATCH($B189,$B$129:$B$146,0))*INDEX('Resource costs'!$C$121:$C$142, MATCH($B189, 'Resource costs'!$B$121:$B$142,0))</f>
        <v>3861.666213851905</v>
      </c>
      <c r="F189" s="90">
        <f>INDEX(F$129:F$146,MATCH($B189,$B$129:$B$146,0))*INDEX('Resource costs'!$C$121:$C$142, MATCH($B189, 'Resource costs'!$B$121:$B$142,0))</f>
        <v>3985.1157318018977</v>
      </c>
      <c r="G189" s="90">
        <f>INDEX(G$129:G$146,MATCH($B189,$B$129:$B$146,0))*INDEX('Resource costs'!$C$121:$C$142, MATCH($B189, 'Resource costs'!$B$121:$B$142,0))</f>
        <v>4094.7158645159752</v>
      </c>
      <c r="H189" s="90">
        <f>INDEX(H$129:H$146,MATCH($B189,$B$129:$B$146,0))*INDEX('Resource costs'!$C$121:$C$142, MATCH($B189, 'Resource costs'!$B$121:$B$142,0))</f>
        <v>4195.7195286390652</v>
      </c>
      <c r="I189" s="90">
        <f>INDEX(I$129:I$146,MATCH($B189,$B$129:$B$146,0))*INDEX('Resource costs'!$C$121:$C$142, MATCH($B189, 'Resource costs'!$B$121:$B$142,0))</f>
        <v>4291.2127911909229</v>
      </c>
      <c r="J189" s="90">
        <f>INDEX(J$129:J$146,MATCH($B189,$B$129:$B$146,0))*INDEX('Resource costs'!$C$121:$C$142, MATCH($B189, 'Resource costs'!$B$121:$B$142,0))</f>
        <v>4381.6099931288618</v>
      </c>
      <c r="K189" s="90">
        <f>INDEX(K$129:K$146,MATCH($B189,$B$129:$B$146,0))*INDEX('Resource costs'!$C$121:$C$142, MATCH($B189, 'Resource costs'!$B$121:$B$142,0))</f>
        <v>4468.4677746790012</v>
      </c>
      <c r="L189" s="90">
        <f>INDEX(L$129:L$146,MATCH($B189,$B$129:$B$146,0))*INDEX('Resource costs'!$C$121:$C$142, MATCH($B189, 'Resource costs'!$B$121:$B$142,0))</f>
        <v>4559.7610430075038</v>
      </c>
      <c r="M189" s="90">
        <f>INDEX(M$129:M$146,MATCH($B189,$B$129:$B$146,0))*INDEX('Resource costs'!$C$121:$C$142, MATCH($B189, 'Resource costs'!$B$121:$B$142,0))</f>
        <v>4650.8077073341301</v>
      </c>
      <c r="N189" s="90">
        <f>INDEX(N$129:N$146,MATCH($B189,$B$129:$B$146,0))*INDEX('Resource costs'!$C$121:$C$142, MATCH($B189, 'Resource costs'!$B$121:$B$142,0))</f>
        <v>4739.3818518193411</v>
      </c>
      <c r="O189" s="90">
        <f>INDEX(O$129:O$146,MATCH($B189,$B$129:$B$146,0))*INDEX('Resource costs'!$C$121:$C$142, MATCH($B189, 'Resource costs'!$B$121:$B$142,0))</f>
        <v>4824.5693060579069</v>
      </c>
      <c r="P189" s="90">
        <f>INDEX(P$129:P$146,MATCH($B189,$B$129:$B$146,0))*INDEX('Resource costs'!$C$121:$C$142, MATCH($B189, 'Resource costs'!$B$121:$B$142,0))</f>
        <v>4905.8477209279708</v>
      </c>
      <c r="Q189" s="90">
        <f>INDEX(Q$129:Q$146,MATCH($B189,$B$129:$B$146,0))*INDEX('Resource costs'!$C$121:$C$142, MATCH($B189, 'Resource costs'!$B$121:$B$142,0))</f>
        <v>4984.6298338320612</v>
      </c>
      <c r="R189" s="90">
        <f>INDEX(R$129:R$146,MATCH($B189,$B$129:$B$146,0))*INDEX('Resource costs'!$C$121:$C$142, MATCH($B189, 'Resource costs'!$B$121:$B$142,0))</f>
        <v>5062.536939612809</v>
      </c>
      <c r="S189" s="90">
        <f>INDEX(S$129:S$146,MATCH($B189,$B$129:$B$146,0))*INDEX('Resource costs'!$C$121:$C$142, MATCH($B189, 'Resource costs'!$B$121:$B$142,0))</f>
        <v>5139.8289789956616</v>
      </c>
      <c r="T189" s="90">
        <f>INDEX(T$129:T$146,MATCH($B189,$B$129:$B$146,0))*INDEX('Resource costs'!$C$121:$C$142, MATCH($B189, 'Resource costs'!$B$121:$B$142,0))</f>
        <v>5215.2920685491245</v>
      </c>
      <c r="U189" s="90">
        <f>INDEX(U$129:U$146,MATCH($B189,$B$129:$B$146,0))*INDEX('Resource costs'!$C$121:$C$142, MATCH($B189, 'Resource costs'!$B$121:$B$142,0))</f>
        <v>5289.1464219192485</v>
      </c>
      <c r="V189" s="90">
        <f>INDEX(V$129:V$146,MATCH($B189,$B$129:$B$146,0))*INDEX('Resource costs'!$C$121:$C$142, MATCH($B189, 'Resource costs'!$B$121:$B$142,0))</f>
        <v>5364.3743634005004</v>
      </c>
      <c r="W189" s="90">
        <f>INDEX(W$129:W$146,MATCH($B189,$B$129:$B$146,0))*INDEX('Resource costs'!$C$121:$C$142, MATCH($B189, 'Resource costs'!$B$121:$B$142,0))</f>
        <v>5438.5255911967988</v>
      </c>
      <c r="X189" s="90">
        <f>INDEX(X$129:X$146,MATCH($B189,$B$129:$B$146,0))*INDEX('Resource costs'!$C$121:$C$142, MATCH($B189, 'Resource costs'!$B$121:$B$142,0))</f>
        <v>5510.9058881239471</v>
      </c>
      <c r="Y189" s="90">
        <f>INDEX(Y$129:Y$146,MATCH($B189,$B$129:$B$146,0))*INDEX('Resource costs'!$C$121:$C$142, MATCH($B189, 'Resource costs'!$B$121:$B$142,0))</f>
        <v>5581.4088550768611</v>
      </c>
      <c r="Z189" s="90">
        <f>INDEX(Z$129:Z$146,MATCH($B189,$B$129:$B$146,0))*INDEX('Resource costs'!$C$121:$C$142, MATCH($B189, 'Resource costs'!$B$121:$B$142,0))</f>
        <v>5651.2280271553273</v>
      </c>
      <c r="AA189" s="90">
        <f>INDEX(AA$129:AA$146,MATCH($B189,$B$129:$B$146,0))*INDEX('Resource costs'!$C$121:$C$142, MATCH($B189, 'Resource costs'!$B$121:$B$142,0))</f>
        <v>5720.1032355819743</v>
      </c>
      <c r="AB189" s="90">
        <f>INDEX(AB$129:AB$146,MATCH($B189,$B$129:$B$146,0))*INDEX('Resource costs'!$C$121:$C$142, MATCH($B189, 'Resource costs'!$B$121:$B$142,0))</f>
        <v>5787.5490669442024</v>
      </c>
      <c r="AC189" s="90">
        <f>INDEX(AC$129:AC$146,MATCH($B189,$B$129:$B$146,0))*INDEX('Resource costs'!$C$121:$C$142, MATCH($B189, 'Resource costs'!$B$121:$B$142,0))</f>
        <v>5853.1873395426082</v>
      </c>
      <c r="AD189" s="90">
        <f>INDEX(AD$129:AD$146,MATCH($B189,$B$129:$B$146,0))*INDEX('Resource costs'!$C$121:$C$142, MATCH($B189, 'Resource costs'!$B$121:$B$142,0))</f>
        <v>5916.6386560661576</v>
      </c>
      <c r="AE189" s="90">
        <f>INDEX(AE$129:AE$146,MATCH($B189,$B$129:$B$146,0))*INDEX('Resource costs'!$C$121:$C$142, MATCH($B189, 'Resource costs'!$B$121:$B$142,0))</f>
        <v>5977.6222827221582</v>
      </c>
      <c r="AF189" s="90">
        <f>INDEX(AF$129:AF$146,MATCH($B189,$B$129:$B$146,0))*INDEX('Resource costs'!$C$121:$C$142, MATCH($B189, 'Resource costs'!$B$121:$B$142,0))</f>
        <v>6035.8831192583875</v>
      </c>
      <c r="AG189" s="90">
        <f>INDEX(AG$129:AG$146,MATCH($B189,$B$129:$B$146,0))*INDEX('Resource costs'!$C$121:$C$142, MATCH($B189, 'Resource costs'!$B$121:$B$142,0))</f>
        <v>6091.6375923190471</v>
      </c>
      <c r="AH189" s="90">
        <f>INDEX(AH$129:AH$146,MATCH($B189,$B$129:$B$146,0))*INDEX('Resource costs'!$C$121:$C$142, MATCH($B189, 'Resource costs'!$B$121:$B$142,0))</f>
        <v>6145.991314944964</v>
      </c>
      <c r="AI189" s="90">
        <f>INDEX(AI$129:AI$146,MATCH($B189,$B$129:$B$146,0))*INDEX('Resource costs'!$C$121:$C$142, MATCH($B189, 'Resource costs'!$B$121:$B$142,0))</f>
        <v>6199.0695899766952</v>
      </c>
      <c r="AJ189" s="90">
        <f>INDEX(AJ$129:AJ$146,MATCH($B189,$B$129:$B$146,0))*INDEX('Resource costs'!$C$121:$C$142, MATCH($B189, 'Resource costs'!$B$121:$B$142,0))</f>
        <v>6251.2879205958088</v>
      </c>
      <c r="AK189" s="90">
        <f>INDEX(AK$129:AK$146,MATCH($B189,$B$129:$B$146,0))*INDEX('Resource costs'!$C$121:$C$142, MATCH($B189, 'Resource costs'!$B$121:$B$142,0))</f>
        <v>6301.4129644525055</v>
      </c>
      <c r="AL189" s="90">
        <f>INDEX(AL$129:AL$146,MATCH($B189,$B$129:$B$146,0))*INDEX('Resource costs'!$C$121:$C$142, MATCH($B189, 'Resource costs'!$B$121:$B$142,0))</f>
        <v>6348.5002273268747</v>
      </c>
      <c r="AM189" s="90">
        <f>INDEX(AM$129:AM$146,MATCH($B189,$B$129:$B$146,0))*INDEX('Resource costs'!$C$121:$C$142, MATCH($B189, 'Resource costs'!$B$121:$B$142,0))</f>
        <v>6391.9077534536573</v>
      </c>
      <c r="AN189" s="90">
        <f>INDEX(AN$129:AN$146,MATCH($B189,$B$129:$B$146,0))*INDEX('Resource costs'!$C$121:$C$142, MATCH($B189, 'Resource costs'!$B$121:$B$142,0))</f>
        <v>6432.0153988972597</v>
      </c>
      <c r="AO189" s="90">
        <f>INDEX(AO$129:AO$146,MATCH($B189,$B$129:$B$146,0))*INDEX('Resource costs'!$C$121:$C$142, MATCH($B189, 'Resource costs'!$B$121:$B$142,0))</f>
        <v>6468.9080827194957</v>
      </c>
      <c r="AP189" s="90">
        <f>INDEX(AP$129:AP$146,MATCH($B189,$B$129:$B$146,0))*INDEX('Resource costs'!$C$121:$C$142, MATCH($B189, 'Resource costs'!$B$121:$B$142,0))</f>
        <v>6502.4299924028937</v>
      </c>
      <c r="AQ189" s="90">
        <f>INDEX(AQ$129:AQ$146,MATCH($B189,$B$129:$B$146,0))*INDEX('Resource costs'!$C$121:$C$142, MATCH($B189, 'Resource costs'!$B$121:$B$142,0))</f>
        <v>6533.9294723372077</v>
      </c>
      <c r="AR189" s="90">
        <f>INDEX(AR$129:AR$146,MATCH($B189,$B$129:$B$146,0))*INDEX('Resource costs'!$C$121:$C$142, MATCH($B189, 'Resource costs'!$B$121:$B$142,0))</f>
        <v>6564.9207758738366</v>
      </c>
      <c r="AS189" s="90">
        <f>INDEX(AS$129:AS$146,MATCH($B189,$B$129:$B$146,0))*INDEX('Resource costs'!$C$121:$C$142, MATCH($B189, 'Resource costs'!$B$121:$B$142,0))</f>
        <v>6596.6219777832121</v>
      </c>
      <c r="AT189" s="90">
        <f>INDEX(AT$129:AT$146,MATCH($B189,$B$129:$B$146,0))*INDEX('Resource costs'!$C$121:$C$142, MATCH($B189, 'Resource costs'!$B$121:$B$142,0))</f>
        <v>6621.3330646715685</v>
      </c>
      <c r="AU189" s="90">
        <f>INDEX(AU$129:AU$146,MATCH($B189,$B$129:$B$146,0))*INDEX('Resource costs'!$C$121:$C$142, MATCH($B189, 'Resource costs'!$B$121:$B$142,0))</f>
        <v>6640.5953569010444</v>
      </c>
      <c r="AV189" s="90">
        <f>INDEX(AV$129:AV$146,MATCH($B189,$B$129:$B$146,0))*INDEX('Resource costs'!$C$121:$C$142, MATCH($B189, 'Resource costs'!$B$121:$B$142,0))</f>
        <v>6655.6103136939191</v>
      </c>
      <c r="AW189" s="90">
        <f>INDEX(AW$129:AW$146,MATCH($B189,$B$129:$B$146,0))*INDEX('Resource costs'!$C$121:$C$142, MATCH($B189, 'Resource costs'!$B$121:$B$142,0))</f>
        <v>6667.3144725139664</v>
      </c>
      <c r="AX189" s="90">
        <f>INDEX(AX$129:AX$146,MATCH($B189,$B$129:$B$146,0))*INDEX('Resource costs'!$C$121:$C$142, MATCH($B189, 'Resource costs'!$B$121:$B$142,0))</f>
        <v>6676.4378643141918</v>
      </c>
      <c r="AY189" s="90">
        <f>INDEX(AY$129:AY$146,MATCH($B189,$B$129:$B$146,0))*INDEX('Resource costs'!$C$121:$C$142, MATCH($B189, 'Resource costs'!$B$121:$B$142,0))</f>
        <v>6683.5495482224669</v>
      </c>
      <c r="AZ189" s="90">
        <f>INDEX(AZ$129:AZ$146,MATCH($B189,$B$129:$B$146,0))*INDEX('Resource costs'!$C$121:$C$142, MATCH($B189, 'Resource costs'!$B$121:$B$142,0))</f>
        <v>6689.093105828968</v>
      </c>
      <c r="BA189" s="90">
        <f>INDEX(BA$129:BA$146,MATCH($B189,$B$129:$B$146,0))*INDEX('Resource costs'!$C$121:$C$142, MATCH($B189, 'Resource costs'!$B$121:$B$142,0))</f>
        <v>6693.4143089832369</v>
      </c>
      <c r="BB189" s="90">
        <f>INDEX(BB$129:BB$146,MATCH($B189,$B$129:$B$146,0))*INDEX('Resource costs'!$C$121:$C$142, MATCH($B189, 'Resource costs'!$B$121:$B$142,0))</f>
        <v>6696.7826868419888</v>
      </c>
    </row>
    <row r="190" spans="2:54" ht="29">
      <c r="B190" s="6" t="s">
        <v>2870</v>
      </c>
      <c r="C190" s="52"/>
      <c r="D190" s="90">
        <f>INDEX(D$129:D$146,MATCH($B190,$B$129:$B$146,0))*INDEX('Resource costs'!$C$121:$C$142, MATCH($B190, 'Resource costs'!$B$121:$B$142,0))</f>
        <v>1817.5419190324803</v>
      </c>
      <c r="E190" s="90">
        <f>INDEX(E$129:E$146,MATCH($B190,$B$129:$B$146,0))*INDEX('Resource costs'!$C$121:$C$142, MATCH($B190, 'Resource costs'!$B$121:$B$142,0))</f>
        <v>1887.4071816681524</v>
      </c>
      <c r="F190" s="90">
        <f>INDEX(F$129:F$146,MATCH($B190,$B$129:$B$146,0))*INDEX('Resource costs'!$C$121:$C$142, MATCH($B190, 'Resource costs'!$B$121:$B$142,0))</f>
        <v>1947.7437032236696</v>
      </c>
      <c r="G190" s="90">
        <f>INDEX(G$129:G$146,MATCH($B190,$B$129:$B$146,0))*INDEX('Resource costs'!$C$121:$C$142, MATCH($B190, 'Resource costs'!$B$121:$B$142,0))</f>
        <v>2001.3112738371833</v>
      </c>
      <c r="H190" s="90">
        <f>INDEX(H$129:H$146,MATCH($B190,$B$129:$B$146,0))*INDEX('Resource costs'!$C$121:$C$142, MATCH($B190, 'Resource costs'!$B$121:$B$142,0))</f>
        <v>2050.6772807584712</v>
      </c>
      <c r="I190" s="90">
        <f>INDEX(I$129:I$146,MATCH($B190,$B$129:$B$146,0))*INDEX('Resource costs'!$C$121:$C$142, MATCH($B190, 'Resource costs'!$B$121:$B$142,0))</f>
        <v>2097.3500534840878</v>
      </c>
      <c r="J190" s="90">
        <f>INDEX(J$129:J$146,MATCH($B190,$B$129:$B$146,0))*INDEX('Resource costs'!$C$121:$C$142, MATCH($B190, 'Resource costs'!$B$121:$B$142,0))</f>
        <v>2141.5321030688924</v>
      </c>
      <c r="K190" s="90">
        <f>INDEX(K$129:K$146,MATCH($B190,$B$129:$B$146,0))*INDEX('Resource costs'!$C$121:$C$142, MATCH($B190, 'Resource costs'!$B$121:$B$142,0))</f>
        <v>2183.9842446065154</v>
      </c>
      <c r="L190" s="90">
        <f>INDEX(L$129:L$146,MATCH($B190,$B$129:$B$146,0))*INDEX('Resource costs'!$C$121:$C$142, MATCH($B190, 'Resource costs'!$B$121:$B$142,0))</f>
        <v>2228.6042507746042</v>
      </c>
      <c r="M190" s="90">
        <f>INDEX(M$129:M$146,MATCH($B190,$B$129:$B$146,0))*INDEX('Resource costs'!$C$121:$C$142, MATCH($B190, 'Resource costs'!$B$121:$B$142,0))</f>
        <v>2273.103728098823</v>
      </c>
      <c r="N190" s="90">
        <f>INDEX(N$129:N$146,MATCH($B190,$B$129:$B$146,0))*INDEX('Resource costs'!$C$121:$C$142, MATCH($B190, 'Resource costs'!$B$121:$B$142,0))</f>
        <v>2316.3947499411138</v>
      </c>
      <c r="O190" s="90">
        <f>INDEX(O$129:O$146,MATCH($B190,$B$129:$B$146,0))*INDEX('Resource costs'!$C$121:$C$142, MATCH($B190, 'Resource costs'!$B$121:$B$142,0))</f>
        <v>2358.0305112974843</v>
      </c>
      <c r="P190" s="90">
        <f>INDEX(P$129:P$146,MATCH($B190,$B$129:$B$146,0))*INDEX('Resource costs'!$C$121:$C$142, MATCH($B190, 'Resource costs'!$B$121:$B$142,0))</f>
        <v>2397.7557116242479</v>
      </c>
      <c r="Q190" s="90">
        <f>INDEX(Q$129:Q$146,MATCH($B190,$B$129:$B$146,0))*INDEX('Resource costs'!$C$121:$C$142, MATCH($B190, 'Resource costs'!$B$121:$B$142,0))</f>
        <v>2436.2608328459637</v>
      </c>
      <c r="R190" s="90">
        <f>INDEX(R$129:R$146,MATCH($B190,$B$129:$B$146,0))*INDEX('Resource costs'!$C$121:$C$142, MATCH($B190, 'Resource costs'!$B$121:$B$142,0))</f>
        <v>2474.3382902984276</v>
      </c>
      <c r="S190" s="90">
        <f>INDEX(S$129:S$146,MATCH($B190,$B$129:$B$146,0))*INDEX('Resource costs'!$C$121:$C$142, MATCH($B190, 'Resource costs'!$B$121:$B$142,0))</f>
        <v>2512.1151312106986</v>
      </c>
      <c r="T190" s="90">
        <f>INDEX(T$129:T$146,MATCH($B190,$B$129:$B$146,0))*INDEX('Resource costs'!$C$121:$C$142, MATCH($B190, 'Resource costs'!$B$121:$B$142,0))</f>
        <v>2548.9980644541706</v>
      </c>
      <c r="U190" s="90">
        <f>INDEX(U$129:U$146,MATCH($B190,$B$129:$B$146,0))*INDEX('Resource costs'!$C$121:$C$142, MATCH($B190, 'Resource costs'!$B$121:$B$142,0))</f>
        <v>2585.0947204645281</v>
      </c>
      <c r="V190" s="90">
        <f>INDEX(V$129:V$146,MATCH($B190,$B$129:$B$146,0))*INDEX('Resource costs'!$C$121:$C$142, MATCH($B190, 'Resource costs'!$B$121:$B$142,0))</f>
        <v>2621.8627240026162</v>
      </c>
      <c r="W190" s="90">
        <f>INDEX(W$129:W$146,MATCH($B190,$B$129:$B$146,0))*INDEX('Resource costs'!$C$121:$C$142, MATCH($B190, 'Resource costs'!$B$121:$B$142,0))</f>
        <v>2658.1044787586925</v>
      </c>
      <c r="X190" s="90">
        <f>INDEX(X$129:X$146,MATCH($B190,$B$129:$B$146,0))*INDEX('Resource costs'!$C$121:$C$142, MATCH($B190, 'Resource costs'!$B$121:$B$142,0))</f>
        <v>2693.4806828805158</v>
      </c>
      <c r="Y190" s="90">
        <f>INDEX(Y$129:Y$146,MATCH($B190,$B$129:$B$146,0))*INDEX('Resource costs'!$C$121:$C$142, MATCH($B190, 'Resource costs'!$B$121:$B$142,0))</f>
        <v>2727.9393333144981</v>
      </c>
      <c r="Z190" s="90">
        <f>INDEX(Z$129:Z$146,MATCH($B190,$B$129:$B$146,0))*INDEX('Resource costs'!$C$121:$C$142, MATCH($B190, 'Resource costs'!$B$121:$B$142,0))</f>
        <v>2762.0637758482244</v>
      </c>
      <c r="AA190" s="90">
        <f>INDEX(AA$129:AA$146,MATCH($B190,$B$129:$B$146,0))*INDEX('Resource costs'!$C$121:$C$142, MATCH($B190, 'Resource costs'!$B$121:$B$142,0))</f>
        <v>2795.7268517912066</v>
      </c>
      <c r="AB190" s="90">
        <f>INDEX(AB$129:AB$146,MATCH($B190,$B$129:$B$146,0))*INDEX('Resource costs'!$C$121:$C$142, MATCH($B190, 'Resource costs'!$B$121:$B$142,0))</f>
        <v>2828.691313098097</v>
      </c>
      <c r="AC190" s="90">
        <f>INDEX(AC$129:AC$146,MATCH($B190,$B$129:$B$146,0))*INDEX('Resource costs'!$C$121:$C$142, MATCH($B190, 'Resource costs'!$B$121:$B$142,0))</f>
        <v>2860.7723217181942</v>
      </c>
      <c r="AD190" s="90">
        <f>INDEX(AD$129:AD$146,MATCH($B190,$B$129:$B$146,0))*INDEX('Resource costs'!$C$121:$C$142, MATCH($B190, 'Resource costs'!$B$121:$B$142,0))</f>
        <v>2891.7844454650035</v>
      </c>
      <c r="AE190" s="90">
        <f>INDEX(AE$129:AE$146,MATCH($B190,$B$129:$B$146,0))*INDEX('Resource costs'!$C$121:$C$142, MATCH($B190, 'Resource costs'!$B$121:$B$142,0))</f>
        <v>2921.5904744018999</v>
      </c>
      <c r="AF190" s="90">
        <f>INDEX(AF$129:AF$146,MATCH($B190,$B$129:$B$146,0))*INDEX('Resource costs'!$C$121:$C$142, MATCH($B190, 'Resource costs'!$B$121:$B$142,0))</f>
        <v>2950.0657271034506</v>
      </c>
      <c r="AG190" s="90">
        <f>INDEX(AG$129:AG$146,MATCH($B190,$B$129:$B$146,0))*INDEX('Resource costs'!$C$121:$C$142, MATCH($B190, 'Resource costs'!$B$121:$B$142,0))</f>
        <v>2977.3159830907093</v>
      </c>
      <c r="AH190" s="90">
        <f>INDEX(AH$129:AH$146,MATCH($B190,$B$129:$B$146,0))*INDEX('Resource costs'!$C$121:$C$142, MATCH($B190, 'Resource costs'!$B$121:$B$142,0))</f>
        <v>3003.8816158392283</v>
      </c>
      <c r="AI190" s="90">
        <f>INDEX(AI$129:AI$146,MATCH($B190,$B$129:$B$146,0))*INDEX('Resource costs'!$C$121:$C$142, MATCH($B190, 'Resource costs'!$B$121:$B$142,0))</f>
        <v>3029.8238676905403</v>
      </c>
      <c r="AJ190" s="90">
        <f>INDEX(AJ$129:AJ$146,MATCH($B190,$B$129:$B$146,0))*INDEX('Resource costs'!$C$121:$C$142, MATCH($B190, 'Resource costs'!$B$121:$B$142,0))</f>
        <v>3055.3458177419739</v>
      </c>
      <c r="AK190" s="90">
        <f>INDEX(AK$129:AK$146,MATCH($B190,$B$129:$B$146,0))*INDEX('Resource costs'!$C$121:$C$142, MATCH($B190, 'Resource costs'!$B$121:$B$142,0))</f>
        <v>3079.8446642288104</v>
      </c>
      <c r="AL190" s="90">
        <f>INDEX(AL$129:AL$146,MATCH($B190,$B$129:$B$146,0))*INDEX('Resource costs'!$C$121:$C$142, MATCH($B190, 'Resource costs'!$B$121:$B$142,0))</f>
        <v>3102.8587812427022</v>
      </c>
      <c r="AM190" s="90">
        <f>INDEX(AM$129:AM$146,MATCH($B190,$B$129:$B$146,0))*INDEX('Resource costs'!$C$121:$C$142, MATCH($B190, 'Resource costs'!$B$121:$B$142,0))</f>
        <v>3124.0744099410758</v>
      </c>
      <c r="AN190" s="90">
        <f>INDEX(AN$129:AN$146,MATCH($B190,$B$129:$B$146,0))*INDEX('Resource costs'!$C$121:$C$142, MATCH($B190, 'Resource costs'!$B$121:$B$142,0))</f>
        <v>3143.677206728255</v>
      </c>
      <c r="AO190" s="90">
        <f>INDEX(AO$129:AO$146,MATCH($B190,$B$129:$B$146,0))*INDEX('Resource costs'!$C$121:$C$142, MATCH($B190, 'Resource costs'!$B$121:$B$142,0))</f>
        <v>3161.7086761875598</v>
      </c>
      <c r="AP190" s="90">
        <f>INDEX(AP$129:AP$146,MATCH($B190,$B$129:$B$146,0))*INDEX('Resource costs'!$C$121:$C$142, MATCH($B190, 'Resource costs'!$B$121:$B$142,0))</f>
        <v>3178.0926642320806</v>
      </c>
      <c r="AQ190" s="90">
        <f>INDEX(AQ$129:AQ$146,MATCH($B190,$B$129:$B$146,0))*INDEX('Resource costs'!$C$121:$C$142, MATCH($B190, 'Resource costs'!$B$121:$B$142,0))</f>
        <v>3193.4881804042393</v>
      </c>
      <c r="AR190" s="90">
        <f>INDEX(AR$129:AR$146,MATCH($B190,$B$129:$B$146,0))*INDEX('Resource costs'!$C$121:$C$142, MATCH($B190, 'Resource costs'!$B$121:$B$142,0))</f>
        <v>3208.6353230170503</v>
      </c>
      <c r="AS190" s="90">
        <f>INDEX(AS$129:AS$146,MATCH($B190,$B$129:$B$146,0))*INDEX('Resource costs'!$C$121:$C$142, MATCH($B190, 'Resource costs'!$B$121:$B$142,0))</f>
        <v>3224.1294317353663</v>
      </c>
      <c r="AT190" s="90">
        <f>INDEX(AT$129:AT$146,MATCH($B190,$B$129:$B$146,0))*INDEX('Resource costs'!$C$121:$C$142, MATCH($B190, 'Resource costs'!$B$121:$B$142,0))</f>
        <v>3236.2070894812928</v>
      </c>
      <c r="AU190" s="90">
        <f>INDEX(AU$129:AU$146,MATCH($B190,$B$129:$B$146,0))*INDEX('Resource costs'!$C$121:$C$142, MATCH($B190, 'Resource costs'!$B$121:$B$142,0))</f>
        <v>3245.6216236942428</v>
      </c>
      <c r="AV190" s="90">
        <f>INDEX(AV$129:AV$146,MATCH($B190,$B$129:$B$146,0))*INDEX('Resource costs'!$C$121:$C$142, MATCH($B190, 'Resource costs'!$B$121:$B$142,0))</f>
        <v>3252.9602531132368</v>
      </c>
      <c r="AW190" s="90">
        <f>INDEX(AW$129:AW$146,MATCH($B190,$B$129:$B$146,0))*INDEX('Resource costs'!$C$121:$C$142, MATCH($B190, 'Resource costs'!$B$121:$B$142,0))</f>
        <v>3258.6807147453433</v>
      </c>
      <c r="AX190" s="90">
        <f>INDEX(AX$129:AX$146,MATCH($B190,$B$129:$B$146,0))*INDEX('Resource costs'!$C$121:$C$142, MATCH($B190, 'Resource costs'!$B$121:$B$142,0))</f>
        <v>3263.1398145875696</v>
      </c>
      <c r="AY190" s="90">
        <f>INDEX(AY$129:AY$146,MATCH($B190,$B$129:$B$146,0))*INDEX('Resource costs'!$C$121:$C$142, MATCH($B190, 'Resource costs'!$B$121:$B$142,0))</f>
        <v>3266.6156829145848</v>
      </c>
      <c r="AZ190" s="90">
        <f>INDEX(AZ$129:AZ$146,MATCH($B190,$B$129:$B$146,0))*INDEX('Resource costs'!$C$121:$C$142, MATCH($B190, 'Resource costs'!$B$121:$B$142,0))</f>
        <v>3269.3251222754934</v>
      </c>
      <c r="BA190" s="90">
        <f>INDEX(BA$129:BA$146,MATCH($B190,$B$129:$B$146,0))*INDEX('Resource costs'!$C$121:$C$142, MATCH($B190, 'Resource costs'!$B$121:$B$142,0))</f>
        <v>3271.4371302573222</v>
      </c>
      <c r="BB190" s="90">
        <f>INDEX(BB$129:BB$146,MATCH($B190,$B$129:$B$146,0))*INDEX('Resource costs'!$C$121:$C$142, MATCH($B190, 'Resource costs'!$B$121:$B$142,0))</f>
        <v>3273.0834404791572</v>
      </c>
    </row>
    <row r="191" spans="2:54">
      <c r="B191" s="6" t="s">
        <v>102</v>
      </c>
      <c r="C191" s="52"/>
      <c r="D191" s="90">
        <f>INDEX(D$129:D$146,MATCH($B191,$B$129:$B$146,0))*INDEX('Resource costs'!$C$121:$C$142, MATCH($B191, 'Resource costs'!$B$121:$B$142,0))</f>
        <v>32.113140080281397</v>
      </c>
      <c r="E191" s="90">
        <f>INDEX(E$129:E$146,MATCH($B191,$B$129:$B$146,0))*INDEX('Resource costs'!$C$121:$C$142, MATCH($B191, 'Resource costs'!$B$121:$B$142,0))</f>
        <v>154.91872381656975</v>
      </c>
      <c r="F191" s="90">
        <f>INDEX(F$129:F$146,MATCH($B191,$B$129:$B$146,0))*INDEX('Resource costs'!$C$121:$C$142, MATCH($B191, 'Resource costs'!$B$121:$B$142,0))</f>
        <v>282.22907526082236</v>
      </c>
      <c r="G191" s="90">
        <f>INDEX(G$129:G$146,MATCH($B191,$B$129:$B$146,0))*INDEX('Resource costs'!$C$121:$C$142, MATCH($B191, 'Resource costs'!$B$121:$B$142,0))</f>
        <v>413.4556001730046</v>
      </c>
      <c r="H191" s="90">
        <f>INDEX(H$129:H$146,MATCH($B191,$B$129:$B$146,0))*INDEX('Resource costs'!$C$121:$C$142, MATCH($B191, 'Resource costs'!$B$121:$B$142,0))</f>
        <v>548.19090082933224</v>
      </c>
      <c r="I191" s="90">
        <f>INDEX(I$129:I$146,MATCH($B191,$B$129:$B$146,0))*INDEX('Resource costs'!$C$121:$C$142, MATCH($B191, 'Resource costs'!$B$121:$B$142,0))</f>
        <v>686.18059419416591</v>
      </c>
      <c r="J191" s="90">
        <f>INDEX(J$129:J$146,MATCH($B191,$B$129:$B$146,0))*INDEX('Resource costs'!$C$121:$C$142, MATCH($B191, 'Resource costs'!$B$121:$B$142,0))</f>
        <v>827.24811411982455</v>
      </c>
      <c r="K191" s="90">
        <f>INDEX(K$129:K$146,MATCH($B191,$B$129:$B$146,0))*INDEX('Resource costs'!$C$121:$C$142, MATCH($B191, 'Resource costs'!$B$121:$B$142,0))</f>
        <v>971.24030431887627</v>
      </c>
      <c r="L191" s="90">
        <f>INDEX(L$129:L$146,MATCH($B191,$B$129:$B$146,0))*INDEX('Resource costs'!$C$121:$C$142, MATCH($B191, 'Resource costs'!$B$121:$B$142,0))</f>
        <v>1118.1103228286311</v>
      </c>
      <c r="M191" s="90">
        <f>INDEX(M$129:M$146,MATCH($B191,$B$129:$B$146,0))*INDEX('Resource costs'!$C$121:$C$142, MATCH($B191, 'Resource costs'!$B$121:$B$142,0))</f>
        <v>1267.9627407427129</v>
      </c>
      <c r="N191" s="90">
        <f>INDEX(N$129:N$146,MATCH($B191,$B$129:$B$146,0))*INDEX('Resource costs'!$C$121:$C$142, MATCH($B191, 'Resource costs'!$B$121:$B$142,0))</f>
        <v>1420.7702741933026</v>
      </c>
      <c r="O191" s="90">
        <f>INDEX(O$129:O$146,MATCH($B191,$B$129:$B$146,0))*INDEX('Resource costs'!$C$121:$C$142, MATCH($B191, 'Resource costs'!$B$121:$B$142,0))</f>
        <v>1454.8730248787242</v>
      </c>
      <c r="P191" s="90">
        <f>INDEX(P$129:P$146,MATCH($B191,$B$129:$B$146,0))*INDEX('Resource costs'!$C$121:$C$142, MATCH($B191, 'Resource costs'!$B$121:$B$142,0))</f>
        <v>1487.0538129036579</v>
      </c>
      <c r="Q191" s="90">
        <f>INDEX(Q$129:Q$146,MATCH($B191,$B$129:$B$146,0))*INDEX('Resource costs'!$C$121:$C$142, MATCH($B191, 'Resource costs'!$B$121:$B$142,0))</f>
        <v>1517.8344004453234</v>
      </c>
      <c r="R191" s="90">
        <f>INDEX(R$129:R$146,MATCH($B191,$B$129:$B$146,0))*INDEX('Resource costs'!$C$121:$C$142, MATCH($B191, 'Resource costs'!$B$121:$B$142,0))</f>
        <v>1547.5999394478331</v>
      </c>
      <c r="S191" s="90">
        <f>INDEX(S$129:S$146,MATCH($B191,$B$129:$B$146,0))*INDEX('Resource costs'!$C$121:$C$142, MATCH($B191, 'Resource costs'!$B$121:$B$142,0))</f>
        <v>1576.6051020712312</v>
      </c>
      <c r="T191" s="90">
        <f>INDEX(T$129:T$146,MATCH($B191,$B$129:$B$146,0))*INDEX('Resource costs'!$C$121:$C$142, MATCH($B191, 'Resource costs'!$B$121:$B$142,0))</f>
        <v>1604.9994424420745</v>
      </c>
      <c r="U191" s="90">
        <f>INDEX(U$129:U$146,MATCH($B191,$B$129:$B$146,0))*INDEX('Resource costs'!$C$121:$C$142, MATCH($B191, 'Resource costs'!$B$121:$B$142,0))</f>
        <v>1632.8916695147168</v>
      </c>
      <c r="V191" s="90">
        <f>INDEX(V$129:V$146,MATCH($B191,$B$129:$B$146,0))*INDEX('Resource costs'!$C$121:$C$142, MATCH($B191, 'Resource costs'!$B$121:$B$142,0))</f>
        <v>1660.3706545341811</v>
      </c>
      <c r="W191" s="90">
        <f>INDEX(W$129:W$146,MATCH($B191,$B$129:$B$146,0))*INDEX('Resource costs'!$C$121:$C$142, MATCH($B191, 'Resource costs'!$B$121:$B$142,0))</f>
        <v>1687.3151392694579</v>
      </c>
      <c r="X191" s="90">
        <f>INDEX(X$129:X$146,MATCH($B191,$B$129:$B$146,0))*INDEX('Resource costs'!$C$121:$C$142, MATCH($B191, 'Resource costs'!$B$121:$B$142,0))</f>
        <v>1713.6919911164866</v>
      </c>
      <c r="Y191" s="90">
        <f>INDEX(Y$129:Y$146,MATCH($B191,$B$129:$B$146,0))*INDEX('Resource costs'!$C$121:$C$142, MATCH($B191, 'Resource costs'!$B$121:$B$142,0))</f>
        <v>1739.5232273739337</v>
      </c>
      <c r="Z191" s="90">
        <f>INDEX(Z$129:Z$146,MATCH($B191,$B$129:$B$146,0))*INDEX('Resource costs'!$C$121:$C$142, MATCH($B191, 'Resource costs'!$B$121:$B$142,0))</f>
        <v>1764.8684983556368</v>
      </c>
      <c r="AA191" s="90">
        <f>INDEX(AA$129:AA$146,MATCH($B191,$B$129:$B$146,0))*INDEX('Resource costs'!$C$121:$C$142, MATCH($B191, 'Resource costs'!$B$121:$B$142,0))</f>
        <v>1789.8309959783533</v>
      </c>
      <c r="AB191" s="90">
        <f>INDEX(AB$129:AB$146,MATCH($B191,$B$129:$B$146,0))*INDEX('Resource costs'!$C$121:$C$142, MATCH($B191, 'Resource costs'!$B$121:$B$142,0))</f>
        <v>1814.4572769623737</v>
      </c>
      <c r="AC191" s="90">
        <f>INDEX(AC$129:AC$146,MATCH($B191,$B$129:$B$146,0))*INDEX('Resource costs'!$C$121:$C$142, MATCH($B191, 'Resource costs'!$B$121:$B$142,0))</f>
        <v>1838.725952230199</v>
      </c>
      <c r="AD191" s="90">
        <f>INDEX(AD$129:AD$146,MATCH($B191,$B$129:$B$146,0))*INDEX('Resource costs'!$C$121:$C$142, MATCH($B191, 'Resource costs'!$B$121:$B$142,0))</f>
        <v>1862.5947609222153</v>
      </c>
      <c r="AE191" s="90">
        <f>INDEX(AE$129:AE$146,MATCH($B191,$B$129:$B$146,0))*INDEX('Resource costs'!$C$121:$C$142, MATCH($B191, 'Resource costs'!$B$121:$B$142,0))</f>
        <v>1886.0495749318438</v>
      </c>
      <c r="AF191" s="90">
        <f>INDEX(AF$129:AF$146,MATCH($B191,$B$129:$B$146,0))*INDEX('Resource costs'!$C$121:$C$142, MATCH($B191, 'Resource costs'!$B$121:$B$142,0))</f>
        <v>1909.0601107058812</v>
      </c>
      <c r="AG191" s="90">
        <f>INDEX(AG$129:AG$146,MATCH($B191,$B$129:$B$146,0))*INDEX('Resource costs'!$C$121:$C$142, MATCH($B191, 'Resource costs'!$B$121:$B$142,0))</f>
        <v>1931.4943197784296</v>
      </c>
      <c r="AH191" s="90">
        <f>INDEX(AH$129:AH$146,MATCH($B191,$B$129:$B$146,0))*INDEX('Resource costs'!$C$121:$C$142, MATCH($B191, 'Resource costs'!$B$121:$B$142,0))</f>
        <v>1953.3150120764305</v>
      </c>
      <c r="AI191" s="90">
        <f>INDEX(AI$129:AI$146,MATCH($B191,$B$129:$B$146,0))*INDEX('Resource costs'!$C$121:$C$142, MATCH($B191, 'Resource costs'!$B$121:$B$142,0))</f>
        <v>1974.5353714716684</v>
      </c>
      <c r="AJ191" s="90">
        <f>INDEX(AJ$129:AJ$146,MATCH($B191,$B$129:$B$146,0))*INDEX('Resource costs'!$C$121:$C$142, MATCH($B191, 'Resource costs'!$B$121:$B$142,0))</f>
        <v>1995.1786625933246</v>
      </c>
      <c r="AK191" s="90">
        <f>INDEX(AK$129:AK$146,MATCH($B191,$B$129:$B$146,0))*INDEX('Resource costs'!$C$121:$C$142, MATCH($B191, 'Resource costs'!$B$121:$B$142,0))</f>
        <v>2015.2284762496345</v>
      </c>
      <c r="AL191" s="90">
        <f>INDEX(AL$129:AL$146,MATCH($B191,$B$129:$B$146,0))*INDEX('Resource costs'!$C$121:$C$142, MATCH($B191, 'Resource costs'!$B$121:$B$142,0))</f>
        <v>2034.6390829421425</v>
      </c>
      <c r="AM191" s="90">
        <f>INDEX(AM$129:AM$146,MATCH($B191,$B$129:$B$146,0))*INDEX('Resource costs'!$C$121:$C$142, MATCH($B191, 'Resource costs'!$B$121:$B$142,0))</f>
        <v>2053.3523576375214</v>
      </c>
      <c r="AN191" s="90">
        <f>INDEX(AN$129:AN$146,MATCH($B191,$B$129:$B$146,0))*INDEX('Resource costs'!$C$121:$C$142, MATCH($B191, 'Resource costs'!$B$121:$B$142,0))</f>
        <v>2071.3103759799983</v>
      </c>
      <c r="AO191" s="90">
        <f>INDEX(AO$129:AO$146,MATCH($B191,$B$129:$B$146,0))*INDEX('Resource costs'!$C$121:$C$142, MATCH($B191, 'Resource costs'!$B$121:$B$142,0))</f>
        <v>2088.4774879323672</v>
      </c>
      <c r="AP191" s="90">
        <f>INDEX(AP$129:AP$146,MATCH($B191,$B$129:$B$146,0))*INDEX('Resource costs'!$C$121:$C$142, MATCH($B191, 'Resource costs'!$B$121:$B$142,0))</f>
        <v>2104.827918412328</v>
      </c>
      <c r="AQ191" s="90">
        <f>INDEX(AQ$129:AQ$146,MATCH($B191,$B$129:$B$146,0))*INDEX('Resource costs'!$C$121:$C$142, MATCH($B191, 'Resource costs'!$B$121:$B$142,0))</f>
        <v>2120.3521274173763</v>
      </c>
      <c r="AR191" s="90">
        <f>INDEX(AR$129:AR$146,MATCH($B191,$B$129:$B$146,0))*INDEX('Resource costs'!$C$121:$C$142, MATCH($B191, 'Resource costs'!$B$121:$B$142,0))</f>
        <v>2135.0790119334706</v>
      </c>
      <c r="AS191" s="90">
        <f>INDEX(AS$129:AS$146,MATCH($B191,$B$129:$B$146,0))*INDEX('Resource costs'!$C$121:$C$142, MATCH($B191, 'Resource costs'!$B$121:$B$142,0))</f>
        <v>2149.0482704185188</v>
      </c>
      <c r="AT191" s="90">
        <f>INDEX(AT$129:AT$146,MATCH($B191,$B$129:$B$146,0))*INDEX('Resource costs'!$C$121:$C$142, MATCH($B191, 'Resource costs'!$B$121:$B$142,0))</f>
        <v>2162.2583134091474</v>
      </c>
      <c r="AU191" s="90">
        <f>INDEX(AU$129:AU$146,MATCH($B191,$B$129:$B$146,0))*INDEX('Resource costs'!$C$121:$C$142, MATCH($B191, 'Resource costs'!$B$121:$B$142,0))</f>
        <v>2174.5220455450135</v>
      </c>
      <c r="AV191" s="90">
        <f>INDEX(AV$129:AV$146,MATCH($B191,$B$129:$B$146,0))*INDEX('Resource costs'!$C$121:$C$142, MATCH($B191, 'Resource costs'!$B$121:$B$142,0))</f>
        <v>2185.7401449276513</v>
      </c>
      <c r="AW191" s="90">
        <f>INDEX(AW$129:AW$146,MATCH($B191,$B$129:$B$146,0))*INDEX('Resource costs'!$C$121:$C$142, MATCH($B191, 'Resource costs'!$B$121:$B$142,0))</f>
        <v>2195.8811567091188</v>
      </c>
      <c r="AX191" s="90">
        <f>INDEX(AX$129:AX$146,MATCH($B191,$B$129:$B$146,0))*INDEX('Resource costs'!$C$121:$C$142, MATCH($B191, 'Resource costs'!$B$121:$B$142,0))</f>
        <v>2204.9634463195744</v>
      </c>
      <c r="AY191" s="90">
        <f>INDEX(AY$129:AY$146,MATCH($B191,$B$129:$B$146,0))*INDEX('Resource costs'!$C$121:$C$142, MATCH($B191, 'Resource costs'!$B$121:$B$142,0))</f>
        <v>2213.0154369116885</v>
      </c>
      <c r="AZ191" s="90">
        <f>INDEX(AZ$129:AZ$146,MATCH($B191,$B$129:$B$146,0))*INDEX('Resource costs'!$C$121:$C$142, MATCH($B191, 'Resource costs'!$B$121:$B$142,0))</f>
        <v>2220.0802954175056</v>
      </c>
      <c r="BA191" s="90">
        <f>INDEX(BA$129:BA$146,MATCH($B191,$B$129:$B$146,0))*INDEX('Resource costs'!$C$121:$C$142, MATCH($B191, 'Resource costs'!$B$121:$B$142,0))</f>
        <v>2226.219939321189</v>
      </c>
      <c r="BB191" s="90">
        <f>INDEX(BB$129:BB$146,MATCH($B191,$B$129:$B$146,0))*INDEX('Resource costs'!$C$121:$C$142, MATCH($B191, 'Resource costs'!$B$121:$B$142,0))</f>
        <v>2231.4628519447147</v>
      </c>
    </row>
    <row r="192" spans="2:54">
      <c r="B192" s="6" t="s">
        <v>2831</v>
      </c>
      <c r="D192" s="90">
        <f>INDEX(D$129:D$146,MATCH($B192,$B$129:$B$146,0))*INDEX('Resource costs'!$C$121:$C$142, MATCH($B192, 'Resource costs'!$B$121:$B$142,0))</f>
        <v>10503.118214649357</v>
      </c>
      <c r="E192" s="90">
        <f>INDEX(E$129:E$146,MATCH($B192,$B$129:$B$146,0))*INDEX('Resource costs'!$C$121:$C$142, MATCH($B192, 'Resource costs'!$B$121:$B$142,0))</f>
        <v>10966.248883713492</v>
      </c>
      <c r="F192" s="90">
        <f>INDEX(F$129:F$146,MATCH($B192,$B$129:$B$146,0))*INDEX('Resource costs'!$C$121:$C$142, MATCH($B192, 'Resource costs'!$B$121:$B$142,0))</f>
        <v>11376.598532760107</v>
      </c>
      <c r="G192" s="90">
        <f>INDEX(G$129:G$146,MATCH($B192,$B$129:$B$146,0))*INDEX('Resource costs'!$C$121:$C$142, MATCH($B192, 'Resource costs'!$B$121:$B$142,0))</f>
        <v>11749.803898648521</v>
      </c>
      <c r="H192" s="90">
        <f>INDEX(H$129:H$146,MATCH($B192,$B$129:$B$146,0))*INDEX('Resource costs'!$C$121:$C$142, MATCH($B192, 'Resource costs'!$B$121:$B$142,0))</f>
        <v>12100.480059601707</v>
      </c>
      <c r="I192" s="90">
        <f>INDEX(I$129:I$146,MATCH($B192,$B$129:$B$146,0))*INDEX('Resource costs'!$C$121:$C$142, MATCH($B192, 'Resource costs'!$B$121:$B$142,0))</f>
        <v>12437.205966747668</v>
      </c>
      <c r="J192" s="90">
        <f>INDEX(J$129:J$146,MATCH($B192,$B$129:$B$146,0))*INDEX('Resource costs'!$C$121:$C$142, MATCH($B192, 'Resource costs'!$B$121:$B$142,0))</f>
        <v>12761.063866311248</v>
      </c>
      <c r="K192" s="90">
        <f>INDEX(K$129:K$146,MATCH($B192,$B$129:$B$146,0))*INDEX('Resource costs'!$C$121:$C$142, MATCH($B192, 'Resource costs'!$B$121:$B$142,0))</f>
        <v>13076.368921337089</v>
      </c>
      <c r="L192" s="90">
        <f>INDEX(L$129:L$146,MATCH($B192,$B$129:$B$146,0))*INDEX('Resource costs'!$C$121:$C$142, MATCH($B192, 'Resource costs'!$B$121:$B$142,0))</f>
        <v>13405.588848065672</v>
      </c>
      <c r="M192" s="90">
        <f>INDEX(M$129:M$146,MATCH($B192,$B$129:$B$146,0))*INDEX('Resource costs'!$C$121:$C$142, MATCH($B192, 'Resource costs'!$B$121:$B$142,0))</f>
        <v>13735.570440747564</v>
      </c>
      <c r="N192" s="90">
        <f>INDEX(N$129:N$146,MATCH($B192,$B$129:$B$146,0))*INDEX('Resource costs'!$C$121:$C$142, MATCH($B192, 'Resource costs'!$B$121:$B$142,0))</f>
        <v>14060.022905754211</v>
      </c>
      <c r="O192" s="90">
        <f>INDEX(O$129:O$146,MATCH($B192,$B$129:$B$146,0))*INDEX('Resource costs'!$C$121:$C$142, MATCH($B192, 'Resource costs'!$B$121:$B$142,0))</f>
        <v>14316.927911889767</v>
      </c>
      <c r="P192" s="90">
        <f>INDEX(P$129:P$146,MATCH($B192,$B$129:$B$146,0))*INDEX('Resource costs'!$C$121:$C$142, MATCH($B192, 'Resource costs'!$B$121:$B$142,0))</f>
        <v>14561.869731918763</v>
      </c>
      <c r="Q192" s="90">
        <f>INDEX(Q$129:Q$146,MATCH($B192,$B$129:$B$146,0))*INDEX('Resource costs'!$C$121:$C$142, MATCH($B192, 'Resource costs'!$B$121:$B$142,0))</f>
        <v>14799.087447873893</v>
      </c>
      <c r="R192" s="90">
        <f>INDEX(R$129:R$146,MATCH($B192,$B$129:$B$146,0))*INDEX('Resource costs'!$C$121:$C$142, MATCH($B192, 'Resource costs'!$B$121:$B$142,0))</f>
        <v>15033.341564835757</v>
      </c>
      <c r="S192" s="90">
        <f>INDEX(S$129:S$146,MATCH($B192,$B$129:$B$146,0))*INDEX('Resource costs'!$C$121:$C$142, MATCH($B192, 'Resource costs'!$B$121:$B$142,0))</f>
        <v>15265.489587038255</v>
      </c>
      <c r="T192" s="90">
        <f>INDEX(T$129:T$146,MATCH($B192,$B$129:$B$146,0))*INDEX('Resource costs'!$C$121:$C$142, MATCH($B192, 'Resource costs'!$B$121:$B$142,0))</f>
        <v>15492.181224286032</v>
      </c>
      <c r="U192" s="90">
        <f>INDEX(U$129:U$146,MATCH($B192,$B$129:$B$146,0))*INDEX('Resource costs'!$C$121:$C$142, MATCH($B192, 'Resource costs'!$B$121:$B$142,0))</f>
        <v>15714.090629406091</v>
      </c>
      <c r="V192" s="90">
        <f>INDEX(V$129:V$146,MATCH($B192,$B$129:$B$146,0))*INDEX('Resource costs'!$C$121:$C$142, MATCH($B192, 'Resource costs'!$B$121:$B$142,0))</f>
        <v>15939.671887405868</v>
      </c>
      <c r="W192" s="90">
        <f>INDEX(W$129:W$146,MATCH($B192,$B$129:$B$146,0))*INDEX('Resource costs'!$C$121:$C$142, MATCH($B192, 'Resource costs'!$B$121:$B$142,0))</f>
        <v>16161.955484181326</v>
      </c>
      <c r="X192" s="90">
        <f>INDEX(X$129:X$146,MATCH($B192,$B$129:$B$146,0))*INDEX('Resource costs'!$C$121:$C$142, MATCH($B192, 'Resource costs'!$B$121:$B$142,0))</f>
        <v>16378.967420717951</v>
      </c>
      <c r="Y192" s="90">
        <f>INDEX(Y$129:Y$146,MATCH($B192,$B$129:$B$146,0))*INDEX('Resource costs'!$C$121:$C$142, MATCH($B192, 'Resource costs'!$B$121:$B$142,0))</f>
        <v>16590.4183904854</v>
      </c>
      <c r="Z192" s="90">
        <f>INDEX(Z$129:Z$146,MATCH($B192,$B$129:$B$146,0))*INDEX('Resource costs'!$C$121:$C$142, MATCH($B192, 'Resource costs'!$B$121:$B$142,0))</f>
        <v>16799.703510357569</v>
      </c>
      <c r="AA192" s="90">
        <f>INDEX(AA$129:AA$146,MATCH($B192,$B$129:$B$146,0))*INDEX('Resource costs'!$C$121:$C$142, MATCH($B192, 'Resource costs'!$B$121:$B$142,0))</f>
        <v>17006.139477071512</v>
      </c>
      <c r="AB192" s="90">
        <f>INDEX(AB$129:AB$146,MATCH($B192,$B$129:$B$146,0))*INDEX('Resource costs'!$C$121:$C$142, MATCH($B192, 'Resource costs'!$B$121:$B$142,0))</f>
        <v>17208.380088321865</v>
      </c>
      <c r="AC192" s="90">
        <f>INDEX(AC$129:AC$146,MATCH($B192,$B$129:$B$146,0))*INDEX('Resource costs'!$C$121:$C$142, MATCH($B192, 'Resource costs'!$B$121:$B$142,0))</f>
        <v>17405.348356827781</v>
      </c>
      <c r="AD192" s="90">
        <f>INDEX(AD$129:AD$146,MATCH($B192,$B$129:$B$146,0))*INDEX('Resource costs'!$C$121:$C$142, MATCH($B192, 'Resource costs'!$B$121:$B$142,0))</f>
        <v>17595.953669605387</v>
      </c>
      <c r="AE192" s="90">
        <f>INDEX(AE$129:AE$146,MATCH($B192,$B$129:$B$146,0))*INDEX('Resource costs'!$C$121:$C$142, MATCH($B192, 'Resource costs'!$B$121:$B$142,0))</f>
        <v>17779.397406679633</v>
      </c>
      <c r="AF192" s="90">
        <f>INDEX(AF$129:AF$146,MATCH($B192,$B$129:$B$146,0))*INDEX('Resource costs'!$C$121:$C$142, MATCH($B192, 'Resource costs'!$B$121:$B$142,0))</f>
        <v>17954.945345865839</v>
      </c>
      <c r="AG192" s="90">
        <f>INDEX(AG$129:AG$146,MATCH($B192,$B$129:$B$146,0))*INDEX('Resource costs'!$C$121:$C$142, MATCH($B192, 'Resource costs'!$B$121:$B$142,0))</f>
        <v>18123.143331487361</v>
      </c>
      <c r="AH192" s="90">
        <f>INDEX(AH$129:AH$146,MATCH($B192,$B$129:$B$146,0))*INDEX('Resource costs'!$C$121:$C$142, MATCH($B192, 'Resource costs'!$B$121:$B$142,0))</f>
        <v>18287.091211199975</v>
      </c>
      <c r="AI192" s="90">
        <f>INDEX(AI$129:AI$146,MATCH($B192,$B$129:$B$146,0))*INDEX('Resource costs'!$C$121:$C$142, MATCH($B192, 'Resource costs'!$B$121:$B$142,0))</f>
        <v>18447.148801779382</v>
      </c>
      <c r="AJ192" s="90">
        <f>INDEX(AJ$129:AJ$146,MATCH($B192,$B$129:$B$146,0))*INDEX('Resource costs'!$C$121:$C$142, MATCH($B192, 'Resource costs'!$B$121:$B$142,0))</f>
        <v>18604.499259820346</v>
      </c>
      <c r="AK192" s="90">
        <f>INDEX(AK$129:AK$146,MATCH($B192,$B$129:$B$146,0))*INDEX('Resource costs'!$C$121:$C$142, MATCH($B192, 'Resource costs'!$B$121:$B$142,0))</f>
        <v>18755.656331808583</v>
      </c>
      <c r="AL192" s="90">
        <f>INDEX(AL$129:AL$146,MATCH($B192,$B$129:$B$146,0))*INDEX('Resource costs'!$C$121:$C$142, MATCH($B192, 'Resource costs'!$B$121:$B$142,0))</f>
        <v>18897.934040133034</v>
      </c>
      <c r="AM192" s="90">
        <f>INDEX(AM$129:AM$146,MATCH($B192,$B$129:$B$146,0))*INDEX('Resource costs'!$C$121:$C$142, MATCH($B192, 'Resource costs'!$B$121:$B$142,0))</f>
        <v>19029.493561195486</v>
      </c>
      <c r="AN192" s="90">
        <f>INDEX(AN$129:AN$146,MATCH($B192,$B$129:$B$146,0))*INDEX('Resource costs'!$C$121:$C$142, MATCH($B192, 'Resource costs'!$B$121:$B$142,0))</f>
        <v>19151.377853562186</v>
      </c>
      <c r="AO192" s="90">
        <f>INDEX(AO$129:AO$146,MATCH($B192,$B$129:$B$146,0))*INDEX('Resource costs'!$C$121:$C$142, MATCH($B192, 'Resource costs'!$B$121:$B$142,0))</f>
        <v>19263.808985726813</v>
      </c>
      <c r="AP192" s="90">
        <f>INDEX(AP$129:AP$146,MATCH($B192,$B$129:$B$146,0))*INDEX('Resource costs'!$C$121:$C$142, MATCH($B192, 'Resource costs'!$B$121:$B$142,0))</f>
        <v>19366.334946632342</v>
      </c>
      <c r="AQ192" s="90">
        <f>INDEX(AQ$129:AQ$146,MATCH($B192,$B$129:$B$146,0))*INDEX('Resource costs'!$C$121:$C$142, MATCH($B192, 'Resource costs'!$B$121:$B$142,0))</f>
        <v>19462.753637037757</v>
      </c>
      <c r="AR192" s="90">
        <f>INDEX(AR$129:AR$146,MATCH($B192,$B$129:$B$146,0))*INDEX('Resource costs'!$C$121:$C$142, MATCH($B192, 'Resource costs'!$B$121:$B$142,0))</f>
        <v>19557.349628773107</v>
      </c>
      <c r="AS192" s="90">
        <f>INDEX(AS$129:AS$146,MATCH($B192,$B$129:$B$146,0))*INDEX('Resource costs'!$C$121:$C$142, MATCH($B192, 'Resource costs'!$B$121:$B$142,0))</f>
        <v>19653.577496764829</v>
      </c>
      <c r="AT192" s="90">
        <f>INDEX(AT$129:AT$146,MATCH($B192,$B$129:$B$146,0))*INDEX('Resource costs'!$C$121:$C$142, MATCH($B192, 'Resource costs'!$B$121:$B$142,0))</f>
        <v>19729.721109749771</v>
      </c>
      <c r="AU192" s="90">
        <f>INDEX(AU$129:AU$146,MATCH($B192,$B$129:$B$146,0))*INDEX('Resource costs'!$C$121:$C$142, MATCH($B192, 'Resource costs'!$B$121:$B$142,0))</f>
        <v>19790.035844289447</v>
      </c>
      <c r="AV192" s="90">
        <f>INDEX(AV$129:AV$146,MATCH($B192,$B$129:$B$146,0))*INDEX('Resource costs'!$C$121:$C$142, MATCH($B192, 'Resource costs'!$B$121:$B$142,0))</f>
        <v>19837.861494489935</v>
      </c>
      <c r="AW192" s="90">
        <f>INDEX(AW$129:AW$146,MATCH($B192,$B$129:$B$146,0))*INDEX('Resource costs'!$C$121:$C$142, MATCH($B192, 'Resource costs'!$B$121:$B$142,0))</f>
        <v>19875.823888061492</v>
      </c>
      <c r="AX192" s="90">
        <f>INDEX(AX$129:AX$146,MATCH($B192,$B$129:$B$146,0))*INDEX('Resource costs'!$C$121:$C$142, MATCH($B192, 'Resource costs'!$B$121:$B$142,0))</f>
        <v>19905.990810071999</v>
      </c>
      <c r="AY192" s="90">
        <f>INDEX(AY$129:AY$146,MATCH($B192,$B$129:$B$146,0))*INDEX('Resource costs'!$C$121:$C$142, MATCH($B192, 'Resource costs'!$B$121:$B$142,0))</f>
        <v>19929.980991482513</v>
      </c>
      <c r="AZ192" s="90">
        <f>INDEX(AZ$129:AZ$146,MATCH($B192,$B$129:$B$146,0))*INDEX('Resource costs'!$C$121:$C$142, MATCH($B192, 'Resource costs'!$B$121:$B$142,0))</f>
        <v>19949.066498607437</v>
      </c>
      <c r="BA192" s="90">
        <f>INDEX(BA$129:BA$146,MATCH($B192,$B$129:$B$146,0))*INDEX('Resource costs'!$C$121:$C$142, MATCH($B192, 'Resource costs'!$B$121:$B$142,0))</f>
        <v>19964.252718650765</v>
      </c>
      <c r="BB192" s="90">
        <f>INDEX(BB$129:BB$146,MATCH($B192,$B$129:$B$146,0))*INDEX('Resource costs'!$C$121:$C$142, MATCH($B192, 'Resource costs'!$B$121:$B$142,0))</f>
        <v>19976.313686224214</v>
      </c>
    </row>
    <row r="193" spans="2:54" s="97" customFormat="1">
      <c r="B193" s="6" t="s">
        <v>2832</v>
      </c>
      <c r="C193" s="315"/>
      <c r="D193" s="90">
        <f>INDEX(D$129:D$146,MATCH($B193,$B$129:$B$146,0))*INDEX('Resource costs'!$C$121:$C$142, MATCH($B193, 'Resource costs'!$B$121:$B$142,0))</f>
        <v>4175.5473859966778</v>
      </c>
      <c r="E193" s="90">
        <f>INDEX(E$129:E$146,MATCH($B193,$B$129:$B$146,0))*INDEX('Resource costs'!$C$121:$C$142, MATCH($B193, 'Resource costs'!$B$121:$B$142,0))</f>
        <v>4375.0007672155461</v>
      </c>
      <c r="F193" s="90">
        <f>INDEX(F$129:F$146,MATCH($B193,$B$129:$B$146,0))*INDEX('Resource costs'!$C$121:$C$142, MATCH($B193, 'Resource costs'!$B$121:$B$142,0))</f>
        <v>4554.0603325851644</v>
      </c>
      <c r="G193" s="90">
        <f>INDEX(G$129:G$146,MATCH($B193,$B$129:$B$146,0))*INDEX('Resource costs'!$C$121:$C$142, MATCH($B193, 'Resource costs'!$B$121:$B$142,0))</f>
        <v>4718.8621229662422</v>
      </c>
      <c r="H193" s="90">
        <f>INDEX(H$129:H$146,MATCH($B193,$B$129:$B$146,0))*INDEX('Resource costs'!$C$121:$C$142, MATCH($B193, 'Resource costs'!$B$121:$B$142,0))</f>
        <v>4875.1592995969122</v>
      </c>
      <c r="I193" s="90">
        <f>INDEX(I$129:I$146,MATCH($B193,$B$129:$B$146,0))*INDEX('Resource costs'!$C$121:$C$142, MATCH($B193, 'Resource costs'!$B$121:$B$142,0))</f>
        <v>5026.3270032506362</v>
      </c>
      <c r="J193" s="90">
        <f>INDEX(J$129:J$146,MATCH($B193,$B$129:$B$146,0))*INDEX('Resource costs'!$C$121:$C$142, MATCH($B193, 'Resource costs'!$B$121:$B$142,0))</f>
        <v>5172.7727618575855</v>
      </c>
      <c r="K193" s="90">
        <f>INDEX(K$129:K$146,MATCH($B193,$B$129:$B$146,0))*INDEX('Resource costs'!$C$121:$C$142, MATCH($B193, 'Resource costs'!$B$121:$B$142,0))</f>
        <v>5316.1910680638048</v>
      </c>
      <c r="L193" s="90">
        <f>INDEX(L$129:L$146,MATCH($B193,$B$129:$B$146,0))*INDEX('Resource costs'!$C$121:$C$142, MATCH($B193, 'Resource costs'!$B$121:$B$142,0))</f>
        <v>5465.4994375101696</v>
      </c>
      <c r="M193" s="90">
        <f>INDEX(M$129:M$146,MATCH($B193,$B$129:$B$146,0))*INDEX('Resource costs'!$C$121:$C$142, MATCH($B193, 'Resource costs'!$B$121:$B$142,0))</f>
        <v>5615.4870622129993</v>
      </c>
      <c r="N193" s="90">
        <f>INDEX(N$129:N$146,MATCH($B193,$B$129:$B$146,0))*INDEX('Resource costs'!$C$121:$C$142, MATCH($B193, 'Resource costs'!$B$121:$B$142,0))</f>
        <v>5763.6520006713918</v>
      </c>
      <c r="O193" s="90">
        <f>INDEX(O$129:O$146,MATCH($B193,$B$129:$B$146,0))*INDEX('Resource costs'!$C$121:$C$142, MATCH($B193, 'Resource costs'!$B$121:$B$142,0))</f>
        <v>5869.9941363468006</v>
      </c>
      <c r="P193" s="90">
        <f>INDEX(P$129:P$146,MATCH($B193,$B$129:$B$146,0))*INDEX('Resource costs'!$C$121:$C$142, MATCH($B193, 'Resource costs'!$B$121:$B$142,0))</f>
        <v>5971.3421018473327</v>
      </c>
      <c r="Q193" s="90">
        <f>INDEX(Q$129:Q$146,MATCH($B193,$B$129:$B$146,0))*INDEX('Resource costs'!$C$121:$C$142, MATCH($B193, 'Resource costs'!$B$121:$B$142,0))</f>
        <v>6069.4454309396851</v>
      </c>
      <c r="R193" s="90">
        <f>INDEX(R$129:R$146,MATCH($B193,$B$129:$B$146,0))*INDEX('Resource costs'!$C$121:$C$142, MATCH($B193, 'Resource costs'!$B$121:$B$142,0))</f>
        <v>6166.2434922924504</v>
      </c>
      <c r="S193" s="90">
        <f>INDEX(S$129:S$146,MATCH($B193,$B$129:$B$146,0))*INDEX('Resource costs'!$C$121:$C$142, MATCH($B193, 'Resource costs'!$B$121:$B$142,0))</f>
        <v>6262.1090292383233</v>
      </c>
      <c r="T193" s="90">
        <f>INDEX(T$129:T$146,MATCH($B193,$B$129:$B$146,0))*INDEX('Resource costs'!$C$121:$C$142, MATCH($B193, 'Resource costs'!$B$121:$B$142,0))</f>
        <v>6355.7303096382602</v>
      </c>
      <c r="U193" s="90">
        <f>INDEX(U$129:U$146,MATCH($B193,$B$129:$B$146,0))*INDEX('Resource costs'!$C$121:$C$142, MATCH($B193, 'Resource costs'!$B$121:$B$142,0))</f>
        <v>6447.388817152827</v>
      </c>
      <c r="V193" s="90">
        <f>INDEX(V$129:V$146,MATCH($B193,$B$129:$B$146,0))*INDEX('Resource costs'!$C$121:$C$142, MATCH($B193, 'Resource costs'!$B$121:$B$142,0))</f>
        <v>6540.4534609069851</v>
      </c>
      <c r="W193" s="90">
        <f>INDEX(W$129:W$146,MATCH($B193,$B$129:$B$146,0))*INDEX('Resource costs'!$C$121:$C$142, MATCH($B193, 'Resource costs'!$B$121:$B$142,0))</f>
        <v>6632.1408629438502</v>
      </c>
      <c r="X193" s="90">
        <f>INDEX(X$129:X$146,MATCH($B193,$B$129:$B$146,0))*INDEX('Resource costs'!$C$121:$C$142, MATCH($B193, 'Resource costs'!$B$121:$B$142,0))</f>
        <v>6721.6628308011168</v>
      </c>
      <c r="Y193" s="90">
        <f>INDEX(Y$129:Y$146,MATCH($B193,$B$129:$B$146,0))*INDEX('Resource costs'!$C$121:$C$142, MATCH($B193, 'Resource costs'!$B$121:$B$142,0))</f>
        <v>6808.907242804783</v>
      </c>
      <c r="Z193" s="90">
        <f>INDEX(Z$129:Z$146,MATCH($B193,$B$129:$B$146,0))*INDEX('Resource costs'!$C$121:$C$142, MATCH($B193, 'Resource costs'!$B$121:$B$142,0))</f>
        <v>6895.2300621774257</v>
      </c>
      <c r="AA193" s="90">
        <f>INDEX(AA$129:AA$146,MATCH($B193,$B$129:$B$146,0))*INDEX('Resource costs'!$C$121:$C$142, MATCH($B193, 'Resource costs'!$B$121:$B$142,0))</f>
        <v>6980.372939041823</v>
      </c>
      <c r="AB193" s="90">
        <f>INDEX(AB$129:AB$146,MATCH($B193,$B$129:$B$146,0))*INDEX('Resource costs'!$C$121:$C$142, MATCH($B193, 'Resource costs'!$B$121:$B$142,0))</f>
        <v>7063.8070876236579</v>
      </c>
      <c r="AC193" s="90">
        <f>INDEX(AC$129:AC$146,MATCH($B193,$B$129:$B$146,0))*INDEX('Resource costs'!$C$121:$C$142, MATCH($B193, 'Resource costs'!$B$121:$B$142,0))</f>
        <v>7145.1020622987626</v>
      </c>
      <c r="AD193" s="90">
        <f>INDEX(AD$129:AD$146,MATCH($B193,$B$129:$B$146,0))*INDEX('Resource costs'!$C$121:$C$142, MATCH($B193, 'Resource costs'!$B$121:$B$142,0))</f>
        <v>7223.8193691709521</v>
      </c>
      <c r="AE193" s="90">
        <f>INDEX(AE$129:AE$146,MATCH($B193,$B$129:$B$146,0))*INDEX('Resource costs'!$C$121:$C$142, MATCH($B193, 'Resource costs'!$B$121:$B$142,0))</f>
        <v>7299.6400381221865</v>
      </c>
      <c r="AF193" s="90">
        <f>INDEX(AF$129:AF$146,MATCH($B193,$B$129:$B$146,0))*INDEX('Resource costs'!$C$121:$C$142, MATCH($B193, 'Resource costs'!$B$121:$B$142,0))</f>
        <v>7372.2686348936832</v>
      </c>
      <c r="AG193" s="90">
        <f>INDEX(AG$129:AG$146,MATCH($B193,$B$129:$B$146,0))*INDEX('Resource costs'!$C$121:$C$142, MATCH($B193, 'Resource costs'!$B$121:$B$142,0))</f>
        <v>7441.9052699670756</v>
      </c>
      <c r="AH193" s="90">
        <f>INDEX(AH$129:AH$146,MATCH($B193,$B$129:$B$146,0))*INDEX('Resource costs'!$C$121:$C$142, MATCH($B193, 'Resource costs'!$B$121:$B$142,0))</f>
        <v>7509.7764022046695</v>
      </c>
      <c r="AI193" s="90">
        <f>INDEX(AI$129:AI$146,MATCH($B193,$B$129:$B$146,0))*INDEX('Resource costs'!$C$121:$C$142, MATCH($B193, 'Resource costs'!$B$121:$B$142,0))</f>
        <v>7576.0266043456895</v>
      </c>
      <c r="AJ193" s="90">
        <f>INDEX(AJ$129:AJ$146,MATCH($B193,$B$129:$B$146,0))*INDEX('Resource costs'!$C$121:$C$142, MATCH($B193, 'Resource costs'!$B$121:$B$142,0))</f>
        <v>7641.1287258760376</v>
      </c>
      <c r="AK193" s="90">
        <f>INDEX(AK$129:AK$146,MATCH($B193,$B$129:$B$146,0))*INDEX('Resource costs'!$C$121:$C$142, MATCH($B193, 'Resource costs'!$B$121:$B$142,0))</f>
        <v>7703.6960694820773</v>
      </c>
      <c r="AL193" s="90">
        <f>INDEX(AL$129:AL$146,MATCH($B193,$B$129:$B$146,0))*INDEX('Resource costs'!$C$121:$C$142, MATCH($B193, 'Resource costs'!$B$121:$B$142,0))</f>
        <v>7762.6560770977958</v>
      </c>
      <c r="AM193" s="90">
        <f>INDEX(AM$129:AM$146,MATCH($B193,$B$129:$B$146,0))*INDEX('Resource costs'!$C$121:$C$142, MATCH($B193, 'Resource costs'!$B$121:$B$142,0))</f>
        <v>7817.2710863318816</v>
      </c>
      <c r="AN193" s="90">
        <f>INDEX(AN$129:AN$146,MATCH($B193,$B$129:$B$146,0))*INDEX('Resource costs'!$C$121:$C$142, MATCH($B193, 'Resource costs'!$B$121:$B$142,0))</f>
        <v>7867.9480085892419</v>
      </c>
      <c r="AO193" s="90">
        <f>INDEX(AO$129:AO$146,MATCH($B193,$B$129:$B$146,0))*INDEX('Resource costs'!$C$121:$C$142, MATCH($B193, 'Resource costs'!$B$121:$B$142,0))</f>
        <v>7914.7705386887374</v>
      </c>
      <c r="AP193" s="90">
        <f>INDEX(AP$129:AP$146,MATCH($B193,$B$129:$B$146,0))*INDEX('Resource costs'!$C$121:$C$142, MATCH($B193, 'Resource costs'!$B$121:$B$142,0))</f>
        <v>7957.5558968113746</v>
      </c>
      <c r="AQ193" s="90">
        <f>INDEX(AQ$129:AQ$146,MATCH($B193,$B$129:$B$146,0))*INDEX('Resource costs'!$C$121:$C$142, MATCH($B193, 'Resource costs'!$B$121:$B$142,0))</f>
        <v>7997.8112782463977</v>
      </c>
      <c r="AR193" s="90">
        <f>INDEX(AR$129:AR$146,MATCH($B193,$B$129:$B$146,0))*INDEX('Resource costs'!$C$121:$C$142, MATCH($B193, 'Resource costs'!$B$121:$B$142,0))</f>
        <v>8037.2420234065967</v>
      </c>
      <c r="AS193" s="90">
        <f>INDEX(AS$129:AS$146,MATCH($B193,$B$129:$B$146,0))*INDEX('Resource costs'!$C$121:$C$142, MATCH($B193, 'Resource costs'!$B$121:$B$142,0))</f>
        <v>8077.2251898982722</v>
      </c>
      <c r="AT193" s="90">
        <f>INDEX(AT$129:AT$146,MATCH($B193,$B$129:$B$146,0))*INDEX('Resource costs'!$C$121:$C$142, MATCH($B193, 'Resource costs'!$B$121:$B$142,0))</f>
        <v>8109.1356487236626</v>
      </c>
      <c r="AU193" s="90">
        <f>INDEX(AU$129:AU$146,MATCH($B193,$B$129:$B$146,0))*INDEX('Resource costs'!$C$121:$C$142, MATCH($B193, 'Resource costs'!$B$121:$B$142,0))</f>
        <v>8134.6398600192515</v>
      </c>
      <c r="AV193" s="90">
        <f>INDEX(AV$129:AV$146,MATCH($B193,$B$129:$B$146,0))*INDEX('Resource costs'!$C$121:$C$142, MATCH($B193, 'Resource costs'!$B$121:$B$142,0))</f>
        <v>8155.0517327296484</v>
      </c>
      <c r="AW193" s="90">
        <f>INDEX(AW$129:AW$146,MATCH($B193,$B$129:$B$146,0))*INDEX('Resource costs'!$C$121:$C$142, MATCH($B193, 'Resource costs'!$B$121:$B$142,0))</f>
        <v>8171.4101851848945</v>
      </c>
      <c r="AX193" s="90">
        <f>INDEX(AX$129:AX$146,MATCH($B193,$B$129:$B$146,0))*INDEX('Resource costs'!$C$121:$C$142, MATCH($B193, 'Resource costs'!$B$121:$B$142,0))</f>
        <v>8184.5387931227178</v>
      </c>
      <c r="AY193" s="90">
        <f>INDEX(AY$129:AY$146,MATCH($B193,$B$129:$B$146,0))*INDEX('Resource costs'!$C$121:$C$142, MATCH($B193, 'Resource costs'!$B$121:$B$142,0))</f>
        <v>8195.084053385428</v>
      </c>
      <c r="AZ193" s="90">
        <f>INDEX(AZ$129:AZ$146,MATCH($B193,$B$129:$B$146,0))*INDEX('Resource costs'!$C$121:$C$142, MATCH($B193, 'Resource costs'!$B$121:$B$142,0))</f>
        <v>8203.5566415814301</v>
      </c>
      <c r="BA193" s="90">
        <f>INDEX(BA$129:BA$146,MATCH($B193,$B$129:$B$146,0))*INDEX('Resource costs'!$C$121:$C$142, MATCH($B193, 'Resource costs'!$B$121:$B$142,0))</f>
        <v>8210.3636858405589</v>
      </c>
      <c r="BB193" s="90">
        <f>INDEX(BB$129:BB$146,MATCH($B193,$B$129:$B$146,0))*INDEX('Resource costs'!$C$121:$C$142, MATCH($B193, 'Resource costs'!$B$121:$B$142,0))</f>
        <v>8215.8162051879535</v>
      </c>
    </row>
    <row r="194" spans="2:54" s="97" customFormat="1">
      <c r="B194" s="6" t="s">
        <v>2871</v>
      </c>
      <c r="C194" s="315"/>
      <c r="D194" s="90">
        <f>INDEX(D$129:D$146,MATCH($B194,$B$129:$B$146,0))*INDEX('Resource costs'!$C$121:$C$142, MATCH($B194, 'Resource costs'!$B$121:$B$142,0))</f>
        <v>206.55613960308929</v>
      </c>
      <c r="E194" s="90">
        <f>INDEX(E$129:E$146,MATCH($B194,$B$129:$B$146,0))*INDEX('Resource costs'!$C$121:$C$142, MATCH($B194, 'Resource costs'!$B$121:$B$142,0))</f>
        <v>214.49603842537473</v>
      </c>
      <c r="F194" s="90">
        <f>INDEX(F$129:F$146,MATCH($B194,$B$129:$B$146,0))*INDEX('Resource costs'!$C$121:$C$142, MATCH($B194, 'Resource costs'!$B$121:$B$142,0))</f>
        <v>221.35303514114813</v>
      </c>
      <c r="G194" s="90">
        <f>INDEX(G$129:G$146,MATCH($B194,$B$129:$B$146,0))*INDEX('Resource costs'!$C$121:$C$142, MATCH($B194, 'Resource costs'!$B$121:$B$142,0))</f>
        <v>227.440768512235</v>
      </c>
      <c r="H194" s="90">
        <f>INDEX(H$129:H$146,MATCH($B194,$B$129:$B$146,0))*INDEX('Resource costs'!$C$121:$C$142, MATCH($B194, 'Resource costs'!$B$121:$B$142,0))</f>
        <v>233.05101150608499</v>
      </c>
      <c r="I194" s="90">
        <f>INDEX(I$129:I$146,MATCH($B194,$B$129:$B$146,0))*INDEX('Resource costs'!$C$121:$C$142, MATCH($B194, 'Resource costs'!$B$121:$B$142,0))</f>
        <v>238.35517954635088</v>
      </c>
      <c r="J194" s="90">
        <f>INDEX(J$129:J$146,MATCH($B194,$B$129:$B$146,0))*INDEX('Resource costs'!$C$121:$C$142, MATCH($B194, 'Resource costs'!$B$121:$B$142,0))</f>
        <v>243.37628717882168</v>
      </c>
      <c r="K194" s="90">
        <f>INDEX(K$129:K$146,MATCH($B194,$B$129:$B$146,0))*INDEX('Resource costs'!$C$121:$C$142, MATCH($B194, 'Resource costs'!$B$121:$B$142,0))</f>
        <v>248.20079789963253</v>
      </c>
      <c r="L194" s="90">
        <f>INDEX(L$129:L$146,MATCH($B194,$B$129:$B$146,0))*INDEX('Resource costs'!$C$121:$C$142, MATCH($B194, 'Resource costs'!$B$121:$B$142,0))</f>
        <v>253.27167749070827</v>
      </c>
      <c r="M194" s="90">
        <f>INDEX(M$129:M$146,MATCH($B194,$B$129:$B$146,0))*INDEX('Resource costs'!$C$121:$C$142, MATCH($B194, 'Resource costs'!$B$121:$B$142,0))</f>
        <v>258.32885947600124</v>
      </c>
      <c r="N194" s="90">
        <f>INDEX(N$129:N$146,MATCH($B194,$B$129:$B$146,0))*INDEX('Resource costs'!$C$121:$C$142, MATCH($B194, 'Resource costs'!$B$121:$B$142,0))</f>
        <v>263.24870548207116</v>
      </c>
      <c r="O194" s="90">
        <f>INDEX(O$129:O$146,MATCH($B194,$B$129:$B$146,0))*INDEX('Resource costs'!$C$121:$C$142, MATCH($B194, 'Resource costs'!$B$121:$B$142,0))</f>
        <v>267.98043796380966</v>
      </c>
      <c r="P194" s="90">
        <f>INDEX(P$129:P$146,MATCH($B194,$B$129:$B$146,0))*INDEX('Resource costs'!$C$121:$C$142, MATCH($B194, 'Resource costs'!$B$121:$B$142,0))</f>
        <v>272.49504306784144</v>
      </c>
      <c r="Q194" s="90">
        <f>INDEX(Q$129:Q$146,MATCH($B194,$B$129:$B$146,0))*INDEX('Resource costs'!$C$121:$C$142, MATCH($B194, 'Resource costs'!$B$121:$B$142,0))</f>
        <v>276.87099121584367</v>
      </c>
      <c r="R194" s="90">
        <f>INDEX(R$129:R$146,MATCH($B194,$B$129:$B$146,0))*INDEX('Resource costs'!$C$121:$C$142, MATCH($B194, 'Resource costs'!$B$121:$B$142,0))</f>
        <v>281.19833714108569</v>
      </c>
      <c r="S194" s="90">
        <f>INDEX(S$129:S$146,MATCH($B194,$B$129:$B$146,0))*INDEX('Resource costs'!$C$121:$C$142, MATCH($B194, 'Resource costs'!$B$121:$B$142,0))</f>
        <v>285.49151923693114</v>
      </c>
      <c r="T194" s="90">
        <f>INDEX(T$129:T$146,MATCH($B194,$B$129:$B$146,0))*INDEX('Resource costs'!$C$121:$C$142, MATCH($B194, 'Resource costs'!$B$121:$B$142,0))</f>
        <v>289.68311241463647</v>
      </c>
      <c r="U194" s="90">
        <f>INDEX(U$129:U$146,MATCH($B194,$B$129:$B$146,0))*INDEX('Resource costs'!$C$121:$C$142, MATCH($B194, 'Resource costs'!$B$121:$B$142,0))</f>
        <v>293.78534842911534</v>
      </c>
      <c r="V194" s="90">
        <f>INDEX(V$129:V$146,MATCH($B194,$B$129:$B$146,0))*INDEX('Resource costs'!$C$121:$C$142, MATCH($B194, 'Resource costs'!$B$121:$B$142,0))</f>
        <v>297.96388032002386</v>
      </c>
      <c r="W194" s="90">
        <f>INDEX(W$129:W$146,MATCH($B194,$B$129:$B$146,0))*INDEX('Resource costs'!$C$121:$C$142, MATCH($B194, 'Resource costs'!$B$121:$B$142,0))</f>
        <v>302.08260620825092</v>
      </c>
      <c r="X194" s="90">
        <f>INDEX(X$129:X$146,MATCH($B194,$B$129:$B$146,0))*INDEX('Resource costs'!$C$121:$C$142, MATCH($B194, 'Resource costs'!$B$121:$B$142,0))</f>
        <v>306.10296583830802</v>
      </c>
      <c r="Y194" s="90">
        <f>INDEX(Y$129:Y$146,MATCH($B194,$B$129:$B$146,0))*INDEX('Resource costs'!$C$121:$C$142, MATCH($B194, 'Resource costs'!$B$121:$B$142,0))</f>
        <v>310.01904927772853</v>
      </c>
      <c r="Z194" s="90">
        <f>INDEX(Z$129:Z$146,MATCH($B194,$B$129:$B$146,0))*INDEX('Resource costs'!$C$121:$C$142, MATCH($B194, 'Resource costs'!$B$121:$B$142,0))</f>
        <v>313.89715136828505</v>
      </c>
      <c r="AA194" s="90">
        <f>INDEX(AA$129:AA$146,MATCH($B194,$B$129:$B$146,0))*INDEX('Resource costs'!$C$121:$C$142, MATCH($B194, 'Resource costs'!$B$121:$B$142,0))</f>
        <v>317.72282104948255</v>
      </c>
      <c r="AB194" s="90">
        <f>INDEX(AB$129:AB$146,MATCH($B194,$B$129:$B$146,0))*INDEX('Resource costs'!$C$121:$C$142, MATCH($B194, 'Resource costs'!$B$121:$B$142,0))</f>
        <v>321.46909605989401</v>
      </c>
      <c r="AC194" s="90">
        <f>INDEX(AC$129:AC$146,MATCH($B194,$B$129:$B$146,0))*INDEX('Resource costs'!$C$121:$C$142, MATCH($B194, 'Resource costs'!$B$121:$B$142,0))</f>
        <v>325.11497031773132</v>
      </c>
      <c r="AD194" s="90">
        <f>INDEX(AD$129:AD$146,MATCH($B194,$B$129:$B$146,0))*INDEX('Resource costs'!$C$121:$C$142, MATCH($B194, 'Resource costs'!$B$121:$B$142,0))</f>
        <v>328.63937022012487</v>
      </c>
      <c r="AE194" s="90">
        <f>INDEX(AE$129:AE$146,MATCH($B194,$B$129:$B$146,0))*INDEX('Resource costs'!$C$121:$C$142, MATCH($B194, 'Resource costs'!$B$121:$B$142,0))</f>
        <v>332.02670242392929</v>
      </c>
      <c r="AF194" s="90">
        <f>INDEX(AF$129:AF$146,MATCH($B194,$B$129:$B$146,0))*INDEX('Resource costs'!$C$121:$C$142, MATCH($B194, 'Resource costs'!$B$121:$B$142,0))</f>
        <v>335.2627973996016</v>
      </c>
      <c r="AG194" s="90">
        <f>INDEX(AG$129:AG$146,MATCH($B194,$B$129:$B$146,0))*INDEX('Resource costs'!$C$121:$C$142, MATCH($B194, 'Resource costs'!$B$121:$B$142,0))</f>
        <v>338.35967655324464</v>
      </c>
      <c r="AH194" s="90">
        <f>INDEX(AH$129:AH$146,MATCH($B194,$B$129:$B$146,0))*INDEX('Resource costs'!$C$121:$C$142, MATCH($B194, 'Resource costs'!$B$121:$B$142,0))</f>
        <v>341.37875110067984</v>
      </c>
      <c r="AI194" s="90">
        <f>INDEX(AI$129:AI$146,MATCH($B194,$B$129:$B$146,0))*INDEX('Resource costs'!$C$121:$C$142, MATCH($B194, 'Resource costs'!$B$121:$B$142,0))</f>
        <v>344.32698098132573</v>
      </c>
      <c r="AJ194" s="90">
        <f>INDEX(AJ$129:AJ$146,MATCH($B194,$B$129:$B$146,0))*INDEX('Resource costs'!$C$121:$C$142, MATCH($B194, 'Resource costs'!$B$121:$B$142,0))</f>
        <v>347.22744529665403</v>
      </c>
      <c r="AK194" s="90">
        <f>INDEX(AK$129:AK$146,MATCH($B194,$B$129:$B$146,0))*INDEX('Resource costs'!$C$121:$C$142, MATCH($B194, 'Resource costs'!$B$121:$B$142,0))</f>
        <v>350.0116381133696</v>
      </c>
      <c r="AL194" s="90">
        <f>INDEX(AL$129:AL$146,MATCH($B194,$B$129:$B$146,0))*INDEX('Resource costs'!$C$121:$C$142, MATCH($B194, 'Resource costs'!$B$121:$B$142,0))</f>
        <v>352.62709755173773</v>
      </c>
      <c r="AM194" s="90">
        <f>INDEX(AM$129:AM$146,MATCH($B194,$B$129:$B$146,0))*INDEX('Resource costs'!$C$121:$C$142, MATCH($B194, 'Resource costs'!$B$121:$B$142,0))</f>
        <v>355.03816621392372</v>
      </c>
      <c r="AN194" s="90">
        <f>INDEX(AN$129:AN$146,MATCH($B194,$B$129:$B$146,0))*INDEX('Resource costs'!$C$121:$C$142, MATCH($B194, 'Resource costs'!$B$121:$B$142,0))</f>
        <v>357.26594318422826</v>
      </c>
      <c r="AO194" s="90">
        <f>INDEX(AO$129:AO$146,MATCH($B194,$B$129:$B$146,0))*INDEX('Resource costs'!$C$121:$C$142, MATCH($B194, 'Resource costs'!$B$121:$B$142,0))</f>
        <v>359.31514528729042</v>
      </c>
      <c r="AP194" s="90">
        <f>INDEX(AP$129:AP$146,MATCH($B194,$B$129:$B$146,0))*INDEX('Resource costs'!$C$121:$C$142, MATCH($B194, 'Resource costs'!$B$121:$B$142,0))</f>
        <v>361.177117925358</v>
      </c>
      <c r="AQ194" s="90">
        <f>INDEX(AQ$129:AQ$146,MATCH($B194,$B$129:$B$146,0))*INDEX('Resource costs'!$C$121:$C$142, MATCH($B194, 'Resource costs'!$B$121:$B$142,0))</f>
        <v>362.92675481373902</v>
      </c>
      <c r="AR194" s="90">
        <f>INDEX(AR$129:AR$146,MATCH($B194,$B$129:$B$146,0))*INDEX('Resource costs'!$C$121:$C$142, MATCH($B194, 'Resource costs'!$B$121:$B$142,0))</f>
        <v>364.64816507193279</v>
      </c>
      <c r="AS194" s="90">
        <f>INDEX(AS$129:AS$146,MATCH($B194,$B$129:$B$146,0))*INDEX('Resource costs'!$C$121:$C$142, MATCH($B194, 'Resource costs'!$B$121:$B$142,0))</f>
        <v>366.40900659637452</v>
      </c>
      <c r="AT194" s="90">
        <f>INDEX(AT$129:AT$146,MATCH($B194,$B$129:$B$146,0))*INDEX('Resource costs'!$C$121:$C$142, MATCH($B194, 'Resource costs'!$B$121:$B$142,0))</f>
        <v>367.78158256467674</v>
      </c>
      <c r="AU194" s="90">
        <f>INDEX(AU$129:AU$146,MATCH($B194,$B$129:$B$146,0))*INDEX('Resource costs'!$C$121:$C$142, MATCH($B194, 'Resource costs'!$B$121:$B$142,0))</f>
        <v>368.85150553196837</v>
      </c>
      <c r="AV194" s="90">
        <f>INDEX(AV$129:AV$146,MATCH($B194,$B$129:$B$146,0))*INDEX('Resource costs'!$C$121:$C$142, MATCH($B194, 'Resource costs'!$B$121:$B$142,0))</f>
        <v>369.68551048497216</v>
      </c>
      <c r="AW194" s="90">
        <f>INDEX(AW$129:AW$146,MATCH($B194,$B$129:$B$146,0))*INDEX('Resource costs'!$C$121:$C$142, MATCH($B194, 'Resource costs'!$B$121:$B$142,0))</f>
        <v>370.33561734583867</v>
      </c>
      <c r="AX194" s="90">
        <f>INDEX(AX$129:AX$146,MATCH($B194,$B$129:$B$146,0))*INDEX('Resource costs'!$C$121:$C$142, MATCH($B194, 'Resource costs'!$B$121:$B$142,0))</f>
        <v>370.84237564388405</v>
      </c>
      <c r="AY194" s="90">
        <f>INDEX(AY$129:AY$146,MATCH($B194,$B$129:$B$146,0))*INDEX('Resource costs'!$C$121:$C$142, MATCH($B194, 'Resource costs'!$B$121:$B$142,0))</f>
        <v>371.23739373721037</v>
      </c>
      <c r="AZ194" s="90">
        <f>INDEX(AZ$129:AZ$146,MATCH($B194,$B$129:$B$146,0))*INDEX('Resource costs'!$C$121:$C$142, MATCH($B194, 'Resource costs'!$B$121:$B$142,0))</f>
        <v>371.54531034095834</v>
      </c>
      <c r="BA194" s="90">
        <f>INDEX(BA$129:BA$146,MATCH($B194,$B$129:$B$146,0))*INDEX('Resource costs'!$C$121:$C$142, MATCH($B194, 'Resource costs'!$B$121:$B$142,0))</f>
        <v>371.78533133357985</v>
      </c>
      <c r="BB194" s="90">
        <f>INDEX(BB$129:BB$146,MATCH($B194,$B$129:$B$146,0))*INDEX('Resource costs'!$C$121:$C$142, MATCH($B194, 'Resource costs'!$B$121:$B$142,0))</f>
        <v>371.97242769732833</v>
      </c>
    </row>
    <row r="195" spans="2:54">
      <c r="B195" s="52"/>
      <c r="C195" s="52"/>
      <c r="D195" s="116"/>
      <c r="E195" s="116"/>
      <c r="F195" s="116"/>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row>
    <row r="196" spans="2:54">
      <c r="B196" s="113" t="s">
        <v>98</v>
      </c>
      <c r="C196" s="113"/>
      <c r="D196" s="116"/>
      <c r="E196" s="116"/>
      <c r="F196" s="116"/>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row>
    <row r="197" spans="2:54" ht="15" customHeight="1">
      <c r="B197" s="52"/>
      <c r="C197" s="113"/>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row>
    <row r="198" spans="2:54">
      <c r="B198" s="7" t="s">
        <v>9</v>
      </c>
      <c r="C198" s="113"/>
      <c r="D198" s="34">
        <f>'Prevalence projection'!C$21</f>
        <v>2020</v>
      </c>
      <c r="E198" s="34">
        <f>'Prevalence projection'!D$21</f>
        <v>2021</v>
      </c>
      <c r="F198" s="34">
        <f>'Prevalence projection'!E$21</f>
        <v>2022</v>
      </c>
      <c r="G198" s="34">
        <f>'Prevalence projection'!F$21</f>
        <v>2023</v>
      </c>
      <c r="H198" s="34">
        <f>'Prevalence projection'!G$21</f>
        <v>2024</v>
      </c>
      <c r="I198" s="34">
        <f>'Prevalence projection'!H$21</f>
        <v>2025</v>
      </c>
      <c r="J198" s="34">
        <f>'Prevalence projection'!I$21</f>
        <v>2026</v>
      </c>
      <c r="K198" s="34">
        <f>'Prevalence projection'!J$21</f>
        <v>2027</v>
      </c>
      <c r="L198" s="34">
        <f>'Prevalence projection'!K$21</f>
        <v>2028</v>
      </c>
      <c r="M198" s="34">
        <f>'Prevalence projection'!L$21</f>
        <v>2029</v>
      </c>
      <c r="N198" s="34">
        <f>'Prevalence projection'!M$21</f>
        <v>2030</v>
      </c>
      <c r="O198" s="34">
        <f>'Prevalence projection'!N$21</f>
        <v>2031</v>
      </c>
      <c r="P198" s="34">
        <f>'Prevalence projection'!O$21</f>
        <v>2032</v>
      </c>
      <c r="Q198" s="34">
        <f>'Prevalence projection'!P$21</f>
        <v>2033</v>
      </c>
      <c r="R198" s="34">
        <f>'Prevalence projection'!Q$21</f>
        <v>2034</v>
      </c>
      <c r="S198" s="34">
        <f>'Prevalence projection'!R$21</f>
        <v>2035</v>
      </c>
      <c r="T198" s="34">
        <f>'Prevalence projection'!S$21</f>
        <v>2036</v>
      </c>
      <c r="U198" s="34">
        <f>'Prevalence projection'!T$21</f>
        <v>2037</v>
      </c>
      <c r="V198" s="34">
        <f>'Prevalence projection'!U$21</f>
        <v>2038</v>
      </c>
      <c r="W198" s="34">
        <f>'Prevalence projection'!V$21</f>
        <v>2039</v>
      </c>
      <c r="X198" s="34">
        <f>'Prevalence projection'!W$21</f>
        <v>2040</v>
      </c>
      <c r="Y198" s="34">
        <f>'Prevalence projection'!X$21</f>
        <v>2041</v>
      </c>
      <c r="Z198" s="34">
        <f>'Prevalence projection'!Y$21</f>
        <v>2042</v>
      </c>
      <c r="AA198" s="34">
        <f>'Prevalence projection'!Z$21</f>
        <v>2043</v>
      </c>
      <c r="AB198" s="34">
        <f>'Prevalence projection'!AA$21</f>
        <v>2044</v>
      </c>
      <c r="AC198" s="34">
        <f>'Prevalence projection'!AB$21</f>
        <v>2045</v>
      </c>
      <c r="AD198" s="34">
        <f>'Prevalence projection'!AC$21</f>
        <v>2046</v>
      </c>
      <c r="AE198" s="34">
        <f>'Prevalence projection'!AD$21</f>
        <v>2047</v>
      </c>
      <c r="AF198" s="34">
        <f>'Prevalence projection'!AE$21</f>
        <v>2048</v>
      </c>
      <c r="AG198" s="34">
        <f>'Prevalence projection'!AF$21</f>
        <v>2049</v>
      </c>
      <c r="AH198" s="34">
        <f>'Prevalence projection'!AG$21</f>
        <v>2050</v>
      </c>
      <c r="AI198" s="34">
        <f>'Prevalence projection'!AH$21</f>
        <v>2051</v>
      </c>
      <c r="AJ198" s="34">
        <f>'Prevalence projection'!AI$21</f>
        <v>2052</v>
      </c>
      <c r="AK198" s="34">
        <f>'Prevalence projection'!AJ$21</f>
        <v>2053</v>
      </c>
      <c r="AL198" s="34">
        <f>'Prevalence projection'!AK$21</f>
        <v>2054</v>
      </c>
      <c r="AM198" s="34">
        <f>'Prevalence projection'!AL$21</f>
        <v>2055</v>
      </c>
      <c r="AN198" s="34">
        <f>'Prevalence projection'!AM$21</f>
        <v>2056</v>
      </c>
      <c r="AO198" s="34">
        <f>'Prevalence projection'!AN$21</f>
        <v>2057</v>
      </c>
      <c r="AP198" s="34">
        <f>'Prevalence projection'!AO$21</f>
        <v>2058</v>
      </c>
      <c r="AQ198" s="34">
        <f>'Prevalence projection'!AP$21</f>
        <v>2059</v>
      </c>
      <c r="AR198" s="34">
        <f>'Prevalence projection'!AQ$21</f>
        <v>2060</v>
      </c>
      <c r="AS198" s="34">
        <f>'Prevalence projection'!AR$21</f>
        <v>2061</v>
      </c>
      <c r="AT198" s="34">
        <f>'Prevalence projection'!AS$21</f>
        <v>2062</v>
      </c>
      <c r="AU198" s="34">
        <f>'Prevalence projection'!AT$21</f>
        <v>2063</v>
      </c>
      <c r="AV198" s="34">
        <f>'Prevalence projection'!AU$21</f>
        <v>2064</v>
      </c>
      <c r="AW198" s="34">
        <f>'Prevalence projection'!AV$21</f>
        <v>2065</v>
      </c>
      <c r="AX198" s="34">
        <f>'Prevalence projection'!AW$21</f>
        <v>2066</v>
      </c>
      <c r="AY198" s="34">
        <f>'Prevalence projection'!AX$21</f>
        <v>2067</v>
      </c>
      <c r="AZ198" s="34">
        <f>'Prevalence projection'!AY$21</f>
        <v>2068</v>
      </c>
      <c r="BA198" s="34">
        <f>'Prevalence projection'!AZ$21</f>
        <v>2069</v>
      </c>
      <c r="BB198" s="34">
        <f>'Prevalence projection'!BA$21</f>
        <v>2070</v>
      </c>
    </row>
    <row r="199" spans="2:54">
      <c r="B199" s="6" t="s">
        <v>11</v>
      </c>
      <c r="C199" s="113"/>
      <c r="D199" s="90">
        <f>INDEX(D$151:D$168,MATCH($B177,$B$151:$B$168,0))*INDEX('Resource costs'!$C$121:$C$142, MATCH($B177, 'Resource costs'!$B$121:$B$142,0))</f>
        <v>45007.805583958121</v>
      </c>
      <c r="E199" s="90">
        <f>INDEX(E$151:E$168,MATCH($B177,$B$151:$B$168,0))*INDEX('Resource costs'!$C$121:$C$142, MATCH($B177, 'Resource costs'!$B$121:$B$142,0))</f>
        <v>46737.879660847844</v>
      </c>
      <c r="F199" s="90">
        <f>INDEX(F$151:F$168,MATCH($B177,$B$151:$B$168,0))*INDEX('Resource costs'!$C$121:$C$142, MATCH($B177, 'Resource costs'!$B$121:$B$142,0))</f>
        <v>48231.993443504689</v>
      </c>
      <c r="G199" s="90">
        <f>INDEX(G$151:G$168,MATCH($B177,$B$151:$B$168,0))*INDEX('Resource costs'!$C$121:$C$142, MATCH($B177, 'Resource costs'!$B$121:$B$142,0))</f>
        <v>49558.487637961225</v>
      </c>
      <c r="H199" s="90">
        <f>INDEX(H$151:H$168,MATCH($B177,$B$151:$B$168,0))*INDEX('Resource costs'!$C$121:$C$142, MATCH($B177, 'Resource costs'!$B$121:$B$142,0))</f>
        <v>50780.93847593278</v>
      </c>
      <c r="I199" s="90">
        <f>INDEX(I$151:I$168,MATCH($B177,$B$151:$B$168,0))*INDEX('Resource costs'!$C$121:$C$142, MATCH($B177, 'Resource costs'!$B$121:$B$142,0))</f>
        <v>51936.696733226243</v>
      </c>
      <c r="J199" s="90">
        <f>INDEX(J$151:J$168,MATCH($B177,$B$151:$B$168,0))*INDEX('Resource costs'!$C$121:$C$142, MATCH($B177, 'Resource costs'!$B$121:$B$142,0))</f>
        <v>53030.777192769223</v>
      </c>
      <c r="K199" s="90">
        <f>INDEX(K$151:K$168,MATCH($B177,$B$151:$B$168,0))*INDEX('Resource costs'!$C$121:$C$142, MATCH($B177, 'Resource costs'!$B$121:$B$142,0))</f>
        <v>54082.019925022185</v>
      </c>
      <c r="L199" s="90">
        <f>INDEX(L$151:L$168,MATCH($B177,$B$151:$B$168,0))*INDEX('Resource costs'!$C$121:$C$142, MATCH($B177, 'Resource costs'!$B$121:$B$142,0))</f>
        <v>55186.945507061799</v>
      </c>
      <c r="M199" s="90">
        <f>INDEX(M$151:M$168,MATCH($B177,$B$151:$B$168,0))*INDEX('Resource costs'!$C$121:$C$142, MATCH($B177, 'Resource costs'!$B$121:$B$142,0))</f>
        <v>56288.886432343097</v>
      </c>
      <c r="N199" s="90">
        <f>INDEX(N$151:N$168,MATCH($B177,$B$151:$B$168,0))*INDEX('Resource costs'!$C$121:$C$142, MATCH($B177, 'Resource costs'!$B$121:$B$142,0))</f>
        <v>57360.902364523587</v>
      </c>
      <c r="O199" s="90">
        <f>INDEX(O$151:O$168,MATCH($B177,$B$151:$B$168,0))*INDEX('Resource costs'!$C$121:$C$142, MATCH($B177, 'Resource costs'!$B$121:$B$142,0))</f>
        <v>58391.929067591387</v>
      </c>
      <c r="P199" s="90">
        <f>INDEX(P$151:P$168,MATCH($B177,$B$151:$B$168,0))*INDEX('Resource costs'!$C$121:$C$142, MATCH($B177, 'Resource costs'!$B$121:$B$142,0))</f>
        <v>59375.644532070211</v>
      </c>
      <c r="Q199" s="90">
        <f>INDEX(Q$151:Q$168,MATCH($B177,$B$151:$B$168,0))*INDEX('Resource costs'!$C$121:$C$142, MATCH($B177, 'Resource costs'!$B$121:$B$142,0))</f>
        <v>60329.147167572715</v>
      </c>
      <c r="R199" s="90">
        <f>INDEX(R$151:R$168,MATCH($B177,$B$151:$B$168,0))*INDEX('Resource costs'!$C$121:$C$142, MATCH($B177, 'Resource costs'!$B$121:$B$142,0))</f>
        <v>61272.059561617629</v>
      </c>
      <c r="S199" s="90">
        <f>INDEX(S$151:S$168,MATCH($B177,$B$151:$B$168,0))*INDEX('Resource costs'!$C$121:$C$142, MATCH($B177, 'Resource costs'!$B$121:$B$142,0))</f>
        <v>62207.527785789702</v>
      </c>
      <c r="T199" s="90">
        <f>INDEX(T$151:T$168,MATCH($B177,$B$151:$B$168,0))*INDEX('Resource costs'!$C$121:$C$142, MATCH($B177, 'Resource costs'!$B$121:$B$142,0))</f>
        <v>63120.860166960847</v>
      </c>
      <c r="U199" s="90">
        <f>INDEX(U$151:U$168,MATCH($B177,$B$151:$B$168,0))*INDEX('Resource costs'!$C$121:$C$142, MATCH($B177, 'Resource costs'!$B$121:$B$142,0))</f>
        <v>64014.721958500704</v>
      </c>
      <c r="V199" s="90">
        <f>INDEX(V$151:V$168,MATCH($B177,$B$151:$B$168,0))*INDEX('Resource costs'!$C$121:$C$142, MATCH($B177, 'Resource costs'!$B$121:$B$142,0))</f>
        <v>64925.208334426228</v>
      </c>
      <c r="W199" s="90">
        <f>INDEX(W$151:W$168,MATCH($B177,$B$151:$B$168,0))*INDEX('Resource costs'!$C$121:$C$142, MATCH($B177, 'Resource costs'!$B$121:$B$142,0))</f>
        <v>65822.663207407226</v>
      </c>
      <c r="X199" s="90">
        <f>INDEX(X$151:X$168,MATCH($B177,$B$151:$B$168,0))*INDEX('Resource costs'!$C$121:$C$142, MATCH($B177, 'Resource costs'!$B$121:$B$142,0))</f>
        <v>66698.684442868471</v>
      </c>
      <c r="Y199" s="90">
        <f>INDEX(Y$151:Y$168,MATCH($B177,$B$151:$B$168,0))*INDEX('Resource costs'!$C$121:$C$142, MATCH($B177, 'Resource costs'!$B$121:$B$142,0))</f>
        <v>67551.984288763531</v>
      </c>
      <c r="Z199" s="90">
        <f>INDEX(Z$151:Z$168,MATCH($B177,$B$151:$B$168,0))*INDEX('Resource costs'!$C$121:$C$142, MATCH($B177, 'Resource costs'!$B$121:$B$142,0))</f>
        <v>68397.008141658487</v>
      </c>
      <c r="AA199" s="90">
        <f>INDEX(AA$151:AA$168,MATCH($B177,$B$151:$B$168,0))*INDEX('Resource costs'!$C$121:$C$142, MATCH($B177, 'Resource costs'!$B$121:$B$142,0))</f>
        <v>69230.607169848328</v>
      </c>
      <c r="AB199" s="90">
        <f>INDEX(AB$151:AB$168,MATCH($B177,$B$151:$B$168,0))*INDEX('Resource costs'!$C$121:$C$142, MATCH($B177, 'Resource costs'!$B$121:$B$142,0))</f>
        <v>70046.906398022518</v>
      </c>
      <c r="AC199" s="90">
        <f>INDEX(AC$151:AC$168,MATCH($B177,$B$151:$B$168,0))*INDEX('Resource costs'!$C$121:$C$142, MATCH($B177, 'Resource costs'!$B$121:$B$142,0))</f>
        <v>70841.328680001709</v>
      </c>
      <c r="AD199" s="90">
        <f>INDEX(AD$151:AD$168,MATCH($B177,$B$151:$B$168,0))*INDEX('Resource costs'!$C$121:$C$142, MATCH($B177, 'Resource costs'!$B$121:$B$142,0))</f>
        <v>71609.282157017005</v>
      </c>
      <c r="AE199" s="90">
        <f>INDEX(AE$151:AE$168,MATCH($B177,$B$151:$B$168,0))*INDEX('Resource costs'!$C$121:$C$142, MATCH($B177, 'Resource costs'!$B$121:$B$142,0))</f>
        <v>72347.369098272131</v>
      </c>
      <c r="AF199" s="90">
        <f>INDEX(AF$151:AF$168,MATCH($B177,$B$151:$B$168,0))*INDEX('Resource costs'!$C$121:$C$142, MATCH($B177, 'Resource costs'!$B$121:$B$142,0))</f>
        <v>73052.502016597165</v>
      </c>
      <c r="AG199" s="90">
        <f>INDEX(AG$151:AG$168,MATCH($B177,$B$151:$B$168,0))*INDEX('Resource costs'!$C$121:$C$142, MATCH($B177, 'Resource costs'!$B$121:$B$142,0))</f>
        <v>73727.30033114746</v>
      </c>
      <c r="AH199" s="90">
        <f>INDEX(AH$151:AH$168,MATCH($B177,$B$151:$B$168,0))*INDEX('Resource costs'!$C$121:$C$142, MATCH($B177, 'Resource costs'!$B$121:$B$142,0))</f>
        <v>74385.145314770547</v>
      </c>
      <c r="AI199" s="90">
        <f>INDEX(AI$151:AI$168,MATCH($B177,$B$151:$B$168,0))*INDEX('Resource costs'!$C$121:$C$142, MATCH($B177, 'Resource costs'!$B$121:$B$142,0))</f>
        <v>75027.553512076629</v>
      </c>
      <c r="AJ199" s="90">
        <f>INDEX(AJ$151:AJ$168,MATCH($B177,$B$151:$B$168,0))*INDEX('Resource costs'!$C$121:$C$142, MATCH($B177, 'Resource costs'!$B$121:$B$142,0))</f>
        <v>75659.553772433705</v>
      </c>
      <c r="AK199" s="90">
        <f>INDEX(AK$151:AK$168,MATCH($B177,$B$151:$B$168,0))*INDEX('Resource costs'!$C$121:$C$142, MATCH($B177, 'Resource costs'!$B$121:$B$142,0))</f>
        <v>76266.218910752898</v>
      </c>
      <c r="AL199" s="90">
        <f>INDEX(AL$151:AL$168,MATCH($B177,$B$151:$B$168,0))*INDEX('Resource costs'!$C$121:$C$142, MATCH($B177, 'Resource costs'!$B$121:$B$142,0))</f>
        <v>76836.117680845142</v>
      </c>
      <c r="AM199" s="90">
        <f>INDEX(AM$151:AM$168,MATCH($B177,$B$151:$B$168,0))*INDEX('Resource costs'!$C$121:$C$142, MATCH($B177, 'Resource costs'!$B$121:$B$142,0))</f>
        <v>77361.48046989493</v>
      </c>
      <c r="AN199" s="90">
        <f>INDEX(AN$151:AN$168,MATCH($B177,$B$151:$B$168,0))*INDEX('Resource costs'!$C$121:$C$142, MATCH($B177, 'Resource costs'!$B$121:$B$142,0))</f>
        <v>77846.904688979179</v>
      </c>
      <c r="AO199" s="90">
        <f>INDEX(AO$151:AO$168,MATCH($B177,$B$151:$B$168,0))*INDEX('Resource costs'!$C$121:$C$142, MATCH($B177, 'Resource costs'!$B$121:$B$142,0))</f>
        <v>78293.418116438115</v>
      </c>
      <c r="AP199" s="90">
        <f>INDEX(AP$151:AP$168,MATCH($B177,$B$151:$B$168,0))*INDEX('Resource costs'!$C$121:$C$142, MATCH($B177, 'Resource costs'!$B$121:$B$142,0))</f>
        <v>78699.134947987288</v>
      </c>
      <c r="AQ199" s="90">
        <f>INDEX(AQ$151:AQ$168,MATCH($B177,$B$151:$B$168,0))*INDEX('Resource costs'!$C$121:$C$142, MATCH($B177, 'Resource costs'!$B$121:$B$142,0))</f>
        <v>79080.374242380043</v>
      </c>
      <c r="AR199" s="90">
        <f>INDEX(AR$151:AR$168,MATCH($B177,$B$151:$B$168,0))*INDEX('Resource costs'!$C$121:$C$142, MATCH($B177, 'Resource costs'!$B$121:$B$142,0))</f>
        <v>79455.463060267022</v>
      </c>
      <c r="AS199" s="90">
        <f>INDEX(AS$151:AS$168,MATCH($B177,$B$151:$B$168,0))*INDEX('Resource costs'!$C$121:$C$142, MATCH($B177, 'Resource costs'!$B$121:$B$142,0))</f>
        <v>79839.143802696271</v>
      </c>
      <c r="AT199" s="90">
        <f>INDEX(AT$151:AT$168,MATCH($B177,$B$151:$B$168,0))*INDEX('Resource costs'!$C$121:$C$142, MATCH($B177, 'Resource costs'!$B$121:$B$142,0))</f>
        <v>80138.222941419837</v>
      </c>
      <c r="AU199" s="90">
        <f>INDEX(AU$151:AU$168,MATCH($B177,$B$151:$B$168,0))*INDEX('Resource costs'!$C$121:$C$142, MATCH($B177, 'Resource costs'!$B$121:$B$142,0))</f>
        <v>80371.355130054886</v>
      </c>
      <c r="AV199" s="90">
        <f>INDEX(AV$151:AV$168,MATCH($B177,$B$151:$B$168,0))*INDEX('Resource costs'!$C$121:$C$142, MATCH($B177, 'Resource costs'!$B$121:$B$142,0))</f>
        <v>80553.081671095904</v>
      </c>
      <c r="AW199" s="90">
        <f>INDEX(AW$151:AW$168,MATCH($B177,$B$151:$B$168,0))*INDEX('Resource costs'!$C$121:$C$142, MATCH($B177, 'Resource costs'!$B$121:$B$142,0))</f>
        <v>80694.737509837374</v>
      </c>
      <c r="AX199" s="90">
        <f>INDEX(AX$151:AX$168,MATCH($B177,$B$151:$B$168,0))*INDEX('Resource costs'!$C$121:$C$142, MATCH($B177, 'Resource costs'!$B$121:$B$142,0))</f>
        <v>80805.158236136325</v>
      </c>
      <c r="AY199" s="90">
        <f>INDEX(AY$151:AY$168,MATCH($B177,$B$151:$B$168,0))*INDEX('Resource costs'!$C$121:$C$142, MATCH($B177, 'Resource costs'!$B$121:$B$142,0))</f>
        <v>80891.231192286388</v>
      </c>
      <c r="AZ199" s="90">
        <f>INDEX(AZ$151:AZ$168,MATCH($B177,$B$151:$B$168,0))*INDEX('Resource costs'!$C$121:$C$142, MATCH($B177, 'Resource costs'!$B$121:$B$142,0))</f>
        <v>80958.325061605341</v>
      </c>
      <c r="BA199" s="90">
        <f>INDEX(BA$151:BA$168,MATCH($B177,$B$151:$B$168,0))*INDEX('Resource costs'!$C$121:$C$142, MATCH($B177, 'Resource costs'!$B$121:$B$142,0))</f>
        <v>81010.624732739481</v>
      </c>
      <c r="BB199" s="90">
        <f>INDEX(BB$151:BB$168,MATCH($B177,$B$151:$B$168,0))*INDEX('Resource costs'!$C$121:$C$142, MATCH($B177, 'Resource costs'!$B$121:$B$142,0))</f>
        <v>81051.392326388523</v>
      </c>
    </row>
    <row r="200" spans="2:54" s="97" customFormat="1">
      <c r="B200" s="6" t="s">
        <v>14</v>
      </c>
      <c r="C200" s="316"/>
      <c r="D200" s="90">
        <f>INDEX(D$151:D$168,MATCH($B178,$B$151:$B$168,0))*INDEX('Resource costs'!$C$121:$C$142, MATCH($B178, 'Resource costs'!$B$121:$B$142,0))</f>
        <v>0</v>
      </c>
      <c r="E200" s="90">
        <f>INDEX(E$151:E$168,MATCH($B178,$B$151:$B$168,0))*INDEX('Resource costs'!$C$121:$C$142, MATCH($B178, 'Resource costs'!$B$121:$B$142,0))</f>
        <v>0</v>
      </c>
      <c r="F200" s="90">
        <f>INDEX(F$151:F$168,MATCH($B178,$B$151:$B$168,0))*INDEX('Resource costs'!$C$121:$C$142, MATCH($B178, 'Resource costs'!$B$121:$B$142,0))</f>
        <v>0</v>
      </c>
      <c r="G200" s="90">
        <f>INDEX(G$151:G$168,MATCH($B178,$B$151:$B$168,0))*INDEX('Resource costs'!$C$121:$C$142, MATCH($B178, 'Resource costs'!$B$121:$B$142,0))</f>
        <v>0</v>
      </c>
      <c r="H200" s="90">
        <f>INDEX(H$151:H$168,MATCH($B178,$B$151:$B$168,0))*INDEX('Resource costs'!$C$121:$C$142, MATCH($B178, 'Resource costs'!$B$121:$B$142,0))</f>
        <v>0</v>
      </c>
      <c r="I200" s="90">
        <f>INDEX(I$151:I$168,MATCH($B178,$B$151:$B$168,0))*INDEX('Resource costs'!$C$121:$C$142, MATCH($B178, 'Resource costs'!$B$121:$B$142,0))</f>
        <v>0</v>
      </c>
      <c r="J200" s="90">
        <f>INDEX(J$151:J$168,MATCH($B178,$B$151:$B$168,0))*INDEX('Resource costs'!$C$121:$C$142, MATCH($B178, 'Resource costs'!$B$121:$B$142,0))</f>
        <v>0</v>
      </c>
      <c r="K200" s="90">
        <f>INDEX(K$151:K$168,MATCH($B178,$B$151:$B$168,0))*INDEX('Resource costs'!$C$121:$C$142, MATCH($B178, 'Resource costs'!$B$121:$B$142,0))</f>
        <v>0</v>
      </c>
      <c r="L200" s="90">
        <f>INDEX(L$151:L$168,MATCH($B178,$B$151:$B$168,0))*INDEX('Resource costs'!$C$121:$C$142, MATCH($B178, 'Resource costs'!$B$121:$B$142,0))</f>
        <v>0</v>
      </c>
      <c r="M200" s="90">
        <f>INDEX(M$151:M$168,MATCH($B178,$B$151:$B$168,0))*INDEX('Resource costs'!$C$121:$C$142, MATCH($B178, 'Resource costs'!$B$121:$B$142,0))</f>
        <v>0</v>
      </c>
      <c r="N200" s="90">
        <f>INDEX(N$151:N$168,MATCH($B178,$B$151:$B$168,0))*INDEX('Resource costs'!$C$121:$C$142, MATCH($B178, 'Resource costs'!$B$121:$B$142,0))</f>
        <v>0</v>
      </c>
      <c r="O200" s="90">
        <f>INDEX(O$151:O$168,MATCH($B178,$B$151:$B$168,0))*INDEX('Resource costs'!$C$121:$C$142, MATCH($B178, 'Resource costs'!$B$121:$B$142,0))</f>
        <v>0</v>
      </c>
      <c r="P200" s="90">
        <f>INDEX(P$151:P$168,MATCH($B178,$B$151:$B$168,0))*INDEX('Resource costs'!$C$121:$C$142, MATCH($B178, 'Resource costs'!$B$121:$B$142,0))</f>
        <v>0</v>
      </c>
      <c r="Q200" s="90">
        <f>INDEX(Q$151:Q$168,MATCH($B178,$B$151:$B$168,0))*INDEX('Resource costs'!$C$121:$C$142, MATCH($B178, 'Resource costs'!$B$121:$B$142,0))</f>
        <v>0</v>
      </c>
      <c r="R200" s="90">
        <f>INDEX(R$151:R$168,MATCH($B178,$B$151:$B$168,0))*INDEX('Resource costs'!$C$121:$C$142, MATCH($B178, 'Resource costs'!$B$121:$B$142,0))</f>
        <v>0</v>
      </c>
      <c r="S200" s="90">
        <f>INDEX(S$151:S$168,MATCH($B178,$B$151:$B$168,0))*INDEX('Resource costs'!$C$121:$C$142, MATCH($B178, 'Resource costs'!$B$121:$B$142,0))</f>
        <v>0</v>
      </c>
      <c r="T200" s="90">
        <f>INDEX(T$151:T$168,MATCH($B178,$B$151:$B$168,0))*INDEX('Resource costs'!$C$121:$C$142, MATCH($B178, 'Resource costs'!$B$121:$B$142,0))</f>
        <v>0</v>
      </c>
      <c r="U200" s="90">
        <f>INDEX(U$151:U$168,MATCH($B178,$B$151:$B$168,0))*INDEX('Resource costs'!$C$121:$C$142, MATCH($B178, 'Resource costs'!$B$121:$B$142,0))</f>
        <v>0</v>
      </c>
      <c r="V200" s="90">
        <f>INDEX(V$151:V$168,MATCH($B178,$B$151:$B$168,0))*INDEX('Resource costs'!$C$121:$C$142, MATCH($B178, 'Resource costs'!$B$121:$B$142,0))</f>
        <v>0</v>
      </c>
      <c r="W200" s="90">
        <f>INDEX(W$151:W$168,MATCH($B178,$B$151:$B$168,0))*INDEX('Resource costs'!$C$121:$C$142, MATCH($B178, 'Resource costs'!$B$121:$B$142,0))</f>
        <v>0</v>
      </c>
      <c r="X200" s="90">
        <f>INDEX(X$151:X$168,MATCH($B178,$B$151:$B$168,0))*INDEX('Resource costs'!$C$121:$C$142, MATCH($B178, 'Resource costs'!$B$121:$B$142,0))</f>
        <v>0</v>
      </c>
      <c r="Y200" s="90">
        <f>INDEX(Y$151:Y$168,MATCH($B178,$B$151:$B$168,0))*INDEX('Resource costs'!$C$121:$C$142, MATCH($B178, 'Resource costs'!$B$121:$B$142,0))</f>
        <v>0</v>
      </c>
      <c r="Z200" s="90">
        <f>INDEX(Z$151:Z$168,MATCH($B178,$B$151:$B$168,0))*INDEX('Resource costs'!$C$121:$C$142, MATCH($B178, 'Resource costs'!$B$121:$B$142,0))</f>
        <v>0</v>
      </c>
      <c r="AA200" s="90">
        <f>INDEX(AA$151:AA$168,MATCH($B178,$B$151:$B$168,0))*INDEX('Resource costs'!$C$121:$C$142, MATCH($B178, 'Resource costs'!$B$121:$B$142,0))</f>
        <v>0</v>
      </c>
      <c r="AB200" s="90">
        <f>INDEX(AB$151:AB$168,MATCH($B178,$B$151:$B$168,0))*INDEX('Resource costs'!$C$121:$C$142, MATCH($B178, 'Resource costs'!$B$121:$B$142,0))</f>
        <v>0</v>
      </c>
      <c r="AC200" s="90">
        <f>INDEX(AC$151:AC$168,MATCH($B178,$B$151:$B$168,0))*INDEX('Resource costs'!$C$121:$C$142, MATCH($B178, 'Resource costs'!$B$121:$B$142,0))</f>
        <v>0</v>
      </c>
      <c r="AD200" s="90">
        <f>INDEX(AD$151:AD$168,MATCH($B178,$B$151:$B$168,0))*INDEX('Resource costs'!$C$121:$C$142, MATCH($B178, 'Resource costs'!$B$121:$B$142,0))</f>
        <v>0</v>
      </c>
      <c r="AE200" s="90">
        <f>INDEX(AE$151:AE$168,MATCH($B178,$B$151:$B$168,0))*INDEX('Resource costs'!$C$121:$C$142, MATCH($B178, 'Resource costs'!$B$121:$B$142,0))</f>
        <v>0</v>
      </c>
      <c r="AF200" s="90">
        <f>INDEX(AF$151:AF$168,MATCH($B178,$B$151:$B$168,0))*INDEX('Resource costs'!$C$121:$C$142, MATCH($B178, 'Resource costs'!$B$121:$B$142,0))</f>
        <v>0</v>
      </c>
      <c r="AG200" s="90">
        <f>INDEX(AG$151:AG$168,MATCH($B178,$B$151:$B$168,0))*INDEX('Resource costs'!$C$121:$C$142, MATCH($B178, 'Resource costs'!$B$121:$B$142,0))</f>
        <v>0</v>
      </c>
      <c r="AH200" s="90">
        <f>INDEX(AH$151:AH$168,MATCH($B178,$B$151:$B$168,0))*INDEX('Resource costs'!$C$121:$C$142, MATCH($B178, 'Resource costs'!$B$121:$B$142,0))</f>
        <v>0</v>
      </c>
      <c r="AI200" s="90">
        <f>INDEX(AI$151:AI$168,MATCH($B178,$B$151:$B$168,0))*INDEX('Resource costs'!$C$121:$C$142, MATCH($B178, 'Resource costs'!$B$121:$B$142,0))</f>
        <v>0</v>
      </c>
      <c r="AJ200" s="90">
        <f>INDEX(AJ$151:AJ$168,MATCH($B178,$B$151:$B$168,0))*INDEX('Resource costs'!$C$121:$C$142, MATCH($B178, 'Resource costs'!$B$121:$B$142,0))</f>
        <v>0</v>
      </c>
      <c r="AK200" s="90">
        <f>INDEX(AK$151:AK$168,MATCH($B178,$B$151:$B$168,0))*INDEX('Resource costs'!$C$121:$C$142, MATCH($B178, 'Resource costs'!$B$121:$B$142,0))</f>
        <v>0</v>
      </c>
      <c r="AL200" s="90">
        <f>INDEX(AL$151:AL$168,MATCH($B178,$B$151:$B$168,0))*INDEX('Resource costs'!$C$121:$C$142, MATCH($B178, 'Resource costs'!$B$121:$B$142,0))</f>
        <v>0</v>
      </c>
      <c r="AM200" s="90">
        <f>INDEX(AM$151:AM$168,MATCH($B178,$B$151:$B$168,0))*INDEX('Resource costs'!$C$121:$C$142, MATCH($B178, 'Resource costs'!$B$121:$B$142,0))</f>
        <v>0</v>
      </c>
      <c r="AN200" s="90">
        <f>INDEX(AN$151:AN$168,MATCH($B178,$B$151:$B$168,0))*INDEX('Resource costs'!$C$121:$C$142, MATCH($B178, 'Resource costs'!$B$121:$B$142,0))</f>
        <v>0</v>
      </c>
      <c r="AO200" s="90">
        <f>INDEX(AO$151:AO$168,MATCH($B178,$B$151:$B$168,0))*INDEX('Resource costs'!$C$121:$C$142, MATCH($B178, 'Resource costs'!$B$121:$B$142,0))</f>
        <v>0</v>
      </c>
      <c r="AP200" s="90">
        <f>INDEX(AP$151:AP$168,MATCH($B178,$B$151:$B$168,0))*INDEX('Resource costs'!$C$121:$C$142, MATCH($B178, 'Resource costs'!$B$121:$B$142,0))</f>
        <v>0</v>
      </c>
      <c r="AQ200" s="90">
        <f>INDEX(AQ$151:AQ$168,MATCH($B178,$B$151:$B$168,0))*INDEX('Resource costs'!$C$121:$C$142, MATCH($B178, 'Resource costs'!$B$121:$B$142,0))</f>
        <v>0</v>
      </c>
      <c r="AR200" s="90">
        <f>INDEX(AR$151:AR$168,MATCH($B178,$B$151:$B$168,0))*INDEX('Resource costs'!$C$121:$C$142, MATCH($B178, 'Resource costs'!$B$121:$B$142,0))</f>
        <v>0</v>
      </c>
      <c r="AS200" s="90">
        <f>INDEX(AS$151:AS$168,MATCH($B178,$B$151:$B$168,0))*INDEX('Resource costs'!$C$121:$C$142, MATCH($B178, 'Resource costs'!$B$121:$B$142,0))</f>
        <v>0</v>
      </c>
      <c r="AT200" s="90">
        <f>INDEX(AT$151:AT$168,MATCH($B178,$B$151:$B$168,0))*INDEX('Resource costs'!$C$121:$C$142, MATCH($B178, 'Resource costs'!$B$121:$B$142,0))</f>
        <v>0</v>
      </c>
      <c r="AU200" s="90">
        <f>INDEX(AU$151:AU$168,MATCH($B178,$B$151:$B$168,0))*INDEX('Resource costs'!$C$121:$C$142, MATCH($B178, 'Resource costs'!$B$121:$B$142,0))</f>
        <v>0</v>
      </c>
      <c r="AV200" s="90">
        <f>INDEX(AV$151:AV$168,MATCH($B178,$B$151:$B$168,0))*INDEX('Resource costs'!$C$121:$C$142, MATCH($B178, 'Resource costs'!$B$121:$B$142,0))</f>
        <v>0</v>
      </c>
      <c r="AW200" s="90">
        <f>INDEX(AW$151:AW$168,MATCH($B178,$B$151:$B$168,0))*INDEX('Resource costs'!$C$121:$C$142, MATCH($B178, 'Resource costs'!$B$121:$B$142,0))</f>
        <v>0</v>
      </c>
      <c r="AX200" s="90">
        <f>INDEX(AX$151:AX$168,MATCH($B178,$B$151:$B$168,0))*INDEX('Resource costs'!$C$121:$C$142, MATCH($B178, 'Resource costs'!$B$121:$B$142,0))</f>
        <v>0</v>
      </c>
      <c r="AY200" s="90">
        <f>INDEX(AY$151:AY$168,MATCH($B178,$B$151:$B$168,0))*INDEX('Resource costs'!$C$121:$C$142, MATCH($B178, 'Resource costs'!$B$121:$B$142,0))</f>
        <v>0</v>
      </c>
      <c r="AZ200" s="90">
        <f>INDEX(AZ$151:AZ$168,MATCH($B178,$B$151:$B$168,0))*INDEX('Resource costs'!$C$121:$C$142, MATCH($B178, 'Resource costs'!$B$121:$B$142,0))</f>
        <v>0</v>
      </c>
      <c r="BA200" s="90">
        <f>INDEX(BA$151:BA$168,MATCH($B178,$B$151:$B$168,0))*INDEX('Resource costs'!$C$121:$C$142, MATCH($B178, 'Resource costs'!$B$121:$B$142,0))</f>
        <v>0</v>
      </c>
      <c r="BB200" s="90">
        <f>INDEX(BB$151:BB$168,MATCH($B178,$B$151:$B$168,0))*INDEX('Resource costs'!$C$121:$C$142, MATCH($B178, 'Resource costs'!$B$121:$B$142,0))</f>
        <v>0</v>
      </c>
    </row>
    <row r="201" spans="2:54" s="97" customFormat="1">
      <c r="B201" s="6" t="s">
        <v>15</v>
      </c>
      <c r="C201" s="316"/>
      <c r="D201" s="90">
        <f>INDEX(D$151:D$168,MATCH($B179,$B$151:$B$168,0))*INDEX('Resource costs'!$C$121:$C$142, MATCH($B179, 'Resource costs'!$B$121:$B$142,0))</f>
        <v>806.69580124093591</v>
      </c>
      <c r="E201" s="90">
        <f>INDEX(E$151:E$168,MATCH($B179,$B$151:$B$168,0))*INDEX('Resource costs'!$C$121:$C$142, MATCH($B179, 'Resource costs'!$B$121:$B$142,0))</f>
        <v>837.70472237261129</v>
      </c>
      <c r="F201" s="90">
        <f>INDEX(F$151:F$168,MATCH($B179,$B$151:$B$168,0))*INDEX('Resource costs'!$C$121:$C$142, MATCH($B179, 'Resource costs'!$B$121:$B$142,0))</f>
        <v>864.48441757008345</v>
      </c>
      <c r="G201" s="90">
        <f>INDEX(G$151:G$168,MATCH($B179,$B$151:$B$168,0))*INDEX('Resource costs'!$C$121:$C$142, MATCH($B179, 'Resource costs'!$B$121:$B$142,0))</f>
        <v>888.25978904520309</v>
      </c>
      <c r="H201" s="90">
        <f>INDEX(H$151:H$168,MATCH($B179,$B$151:$B$168,0))*INDEX('Resource costs'!$C$121:$C$142, MATCH($B179, 'Resource costs'!$B$121:$B$142,0))</f>
        <v>910.17034312399608</v>
      </c>
      <c r="I201" s="90">
        <f>INDEX(I$151:I$168,MATCH($B179,$B$151:$B$168,0))*INDEX('Resource costs'!$C$121:$C$142, MATCH($B179, 'Resource costs'!$B$121:$B$142,0))</f>
        <v>930.88553510706151</v>
      </c>
      <c r="J201" s="90">
        <f>INDEX(J$151:J$168,MATCH($B179,$B$151:$B$168,0))*INDEX('Resource costs'!$C$121:$C$142, MATCH($B179, 'Resource costs'!$B$121:$B$142,0))</f>
        <v>950.49524727769119</v>
      </c>
      <c r="K201" s="90">
        <f>INDEX(K$151:K$168,MATCH($B179,$B$151:$B$168,0))*INDEX('Resource costs'!$C$121:$C$142, MATCH($B179, 'Resource costs'!$B$121:$B$142,0))</f>
        <v>969.33715896813305</v>
      </c>
      <c r="L201" s="90">
        <f>INDEX(L$151:L$168,MATCH($B179,$B$151:$B$168,0))*INDEX('Resource costs'!$C$121:$C$142, MATCH($B179, 'Resource costs'!$B$121:$B$142,0))</f>
        <v>989.14125330577724</v>
      </c>
      <c r="M201" s="90">
        <f>INDEX(M$151:M$168,MATCH($B179,$B$151:$B$168,0))*INDEX('Resource costs'!$C$121:$C$142, MATCH($B179, 'Resource costs'!$B$121:$B$142,0))</f>
        <v>1008.8918522542585</v>
      </c>
      <c r="N201" s="90">
        <f>INDEX(N$151:N$168,MATCH($B179,$B$151:$B$168,0))*INDEX('Resource costs'!$C$121:$C$142, MATCH($B179, 'Resource costs'!$B$121:$B$142,0))</f>
        <v>1028.1060916541376</v>
      </c>
      <c r="O201" s="90">
        <f>INDEX(O$151:O$168,MATCH($B179,$B$151:$B$168,0))*INDEX('Resource costs'!$C$121:$C$142, MATCH($B179, 'Resource costs'!$B$121:$B$142,0))</f>
        <v>1046.5856620651095</v>
      </c>
      <c r="P201" s="90">
        <f>INDEX(P$151:P$168,MATCH($B179,$B$151:$B$168,0))*INDEX('Resource costs'!$C$121:$C$142, MATCH($B179, 'Resource costs'!$B$121:$B$142,0))</f>
        <v>1064.2172511753699</v>
      </c>
      <c r="Q201" s="90">
        <f>INDEX(Q$151:Q$168,MATCH($B179,$B$151:$B$168,0))*INDEX('Resource costs'!$C$121:$C$142, MATCH($B179, 'Resource costs'!$B$121:$B$142,0))</f>
        <v>1081.3073217209596</v>
      </c>
      <c r="R201" s="90">
        <f>INDEX(R$151:R$168,MATCH($B179,$B$151:$B$168,0))*INDEX('Resource costs'!$C$121:$C$142, MATCH($B179, 'Resource costs'!$B$121:$B$142,0))</f>
        <v>1098.2075784507656</v>
      </c>
      <c r="S201" s="90">
        <f>INDEX(S$151:S$168,MATCH($B179,$B$151:$B$168,0))*INDEX('Resource costs'!$C$121:$C$142, MATCH($B179, 'Resource costs'!$B$121:$B$142,0))</f>
        <v>1114.9744098668455</v>
      </c>
      <c r="T201" s="90">
        <f>INDEX(T$151:T$168,MATCH($B179,$B$151:$B$168,0))*INDEX('Resource costs'!$C$121:$C$142, MATCH($B179, 'Resource costs'!$B$121:$B$142,0))</f>
        <v>1131.3444902888677</v>
      </c>
      <c r="U201" s="90">
        <f>INDEX(U$151:U$168,MATCH($B179,$B$151:$B$168,0))*INDEX('Resource costs'!$C$121:$C$142, MATCH($B179, 'Resource costs'!$B$121:$B$142,0))</f>
        <v>1147.3655902907287</v>
      </c>
      <c r="V201" s="90">
        <f>INDEX(V$151:V$168,MATCH($B179,$B$151:$B$168,0))*INDEX('Resource costs'!$C$121:$C$142, MATCH($B179, 'Resource costs'!$B$121:$B$142,0))</f>
        <v>1163.6846604390407</v>
      </c>
      <c r="W201" s="90">
        <f>INDEX(W$151:W$168,MATCH($B179,$B$151:$B$168,0))*INDEX('Resource costs'!$C$121:$C$142, MATCH($B179, 'Resource costs'!$B$121:$B$142,0))</f>
        <v>1179.7701609082089</v>
      </c>
      <c r="X201" s="90">
        <f>INDEX(X$151:X$168,MATCH($B179,$B$151:$B$168,0))*INDEX('Resource costs'!$C$121:$C$142, MATCH($B179, 'Resource costs'!$B$121:$B$142,0))</f>
        <v>1195.4714963382648</v>
      </c>
      <c r="Y201" s="90">
        <f>INDEX(Y$151:Y$168,MATCH($B179,$B$151:$B$168,0))*INDEX('Resource costs'!$C$121:$C$142, MATCH($B179, 'Resource costs'!$B$121:$B$142,0))</f>
        <v>1210.7655857512455</v>
      </c>
      <c r="Z201" s="90">
        <f>INDEX(Z$151:Z$168,MATCH($B179,$B$151:$B$168,0))*INDEX('Resource costs'!$C$121:$C$142, MATCH($B179, 'Resource costs'!$B$121:$B$142,0))</f>
        <v>1225.9113406982885</v>
      </c>
      <c r="AA201" s="90">
        <f>INDEX(AA$151:AA$168,MATCH($B179,$B$151:$B$168,0))*INDEX('Resource costs'!$C$121:$C$142, MATCH($B179, 'Resource costs'!$B$121:$B$142,0))</f>
        <v>1240.8523232064194</v>
      </c>
      <c r="AB201" s="90">
        <f>INDEX(AB$151:AB$168,MATCH($B179,$B$151:$B$168,0))*INDEX('Resource costs'!$C$121:$C$142, MATCH($B179, 'Resource costs'!$B$121:$B$142,0))</f>
        <v>1255.4832333647907</v>
      </c>
      <c r="AC201" s="90">
        <f>INDEX(AC$151:AC$168,MATCH($B179,$B$151:$B$168,0))*INDEX('Resource costs'!$C$121:$C$142, MATCH($B179, 'Resource costs'!$B$121:$B$142,0))</f>
        <v>1269.7220328567898</v>
      </c>
      <c r="AD201" s="90">
        <f>INDEX(AD$151:AD$168,MATCH($B179,$B$151:$B$168,0))*INDEX('Resource costs'!$C$121:$C$142, MATCH($B179, 'Resource costs'!$B$121:$B$142,0))</f>
        <v>1283.4864196652288</v>
      </c>
      <c r="AE201" s="90">
        <f>INDEX(AE$151:AE$168,MATCH($B179,$B$151:$B$168,0))*INDEX('Resource costs'!$C$121:$C$142, MATCH($B179, 'Resource costs'!$B$121:$B$142,0))</f>
        <v>1296.7154946831292</v>
      </c>
      <c r="AF201" s="90">
        <f>INDEX(AF$151:AF$168,MATCH($B179,$B$151:$B$168,0))*INDEX('Resource costs'!$C$121:$C$142, MATCH($B179, 'Resource costs'!$B$121:$B$142,0))</f>
        <v>1309.3539194441073</v>
      </c>
      <c r="AG201" s="90">
        <f>INDEX(AG$151:AG$168,MATCH($B179,$B$151:$B$168,0))*INDEX('Resource costs'!$C$121:$C$142, MATCH($B179, 'Resource costs'!$B$121:$B$142,0))</f>
        <v>1321.4486430141496</v>
      </c>
      <c r="AH201" s="90">
        <f>INDEX(AH$151:AH$168,MATCH($B179,$B$151:$B$168,0))*INDEX('Resource costs'!$C$121:$C$142, MATCH($B179, 'Resource costs'!$B$121:$B$142,0))</f>
        <v>1333.2395041608058</v>
      </c>
      <c r="AI201" s="90">
        <f>INDEX(AI$151:AI$168,MATCH($B179,$B$151:$B$168,0))*INDEX('Resource costs'!$C$121:$C$142, MATCH($B179, 'Resource costs'!$B$121:$B$142,0))</f>
        <v>1344.753684617413</v>
      </c>
      <c r="AJ201" s="90">
        <f>INDEX(AJ$151:AJ$168,MATCH($B179,$B$151:$B$168,0))*INDEX('Resource costs'!$C$121:$C$142, MATCH($B179, 'Resource costs'!$B$121:$B$142,0))</f>
        <v>1356.0813187866058</v>
      </c>
      <c r="AK201" s="90">
        <f>INDEX(AK$151:AK$168,MATCH($B179,$B$151:$B$168,0))*INDEX('Resource costs'!$C$121:$C$142, MATCH($B179, 'Resource costs'!$B$121:$B$142,0))</f>
        <v>1366.9548597978071</v>
      </c>
      <c r="AL201" s="90">
        <f>INDEX(AL$151:AL$168,MATCH($B179,$B$151:$B$168,0))*INDEX('Resource costs'!$C$121:$C$142, MATCH($B179, 'Resource costs'!$B$121:$B$142,0))</f>
        <v>1377.1694201168655</v>
      </c>
      <c r="AM201" s="90">
        <f>INDEX(AM$151:AM$168,MATCH($B179,$B$151:$B$168,0))*INDEX('Resource costs'!$C$121:$C$142, MATCH($B179, 'Resource costs'!$B$121:$B$142,0))</f>
        <v>1386.5857413650569</v>
      </c>
      <c r="AN201" s="90">
        <f>INDEX(AN$151:AN$168,MATCH($B179,$B$151:$B$168,0))*INDEX('Resource costs'!$C$121:$C$142, MATCH($B179, 'Resource costs'!$B$121:$B$142,0))</f>
        <v>1395.2862250761643</v>
      </c>
      <c r="AO201" s="90">
        <f>INDEX(AO$151:AO$168,MATCH($B179,$B$151:$B$168,0))*INDEX('Resource costs'!$C$121:$C$142, MATCH($B179, 'Resource costs'!$B$121:$B$142,0))</f>
        <v>1403.2892925986832</v>
      </c>
      <c r="AP201" s="90">
        <f>INDEX(AP$151:AP$168,MATCH($B179,$B$151:$B$168,0))*INDEX('Resource costs'!$C$121:$C$142, MATCH($B179, 'Resource costs'!$B$121:$B$142,0))</f>
        <v>1410.5611437866505</v>
      </c>
      <c r="AQ201" s="90">
        <f>INDEX(AQ$151:AQ$168,MATCH($B179,$B$151:$B$168,0))*INDEX('Resource costs'!$C$121:$C$142, MATCH($B179, 'Resource costs'!$B$121:$B$142,0))</f>
        <v>1417.3942727087212</v>
      </c>
      <c r="AR201" s="90">
        <f>INDEX(AR$151:AR$168,MATCH($B179,$B$151:$B$168,0))*INDEX('Resource costs'!$C$121:$C$142, MATCH($B179, 'Resource costs'!$B$121:$B$142,0))</f>
        <v>1424.1171637840794</v>
      </c>
      <c r="AS201" s="90">
        <f>INDEX(AS$151:AS$168,MATCH($B179,$B$151:$B$168,0))*INDEX('Resource costs'!$C$121:$C$142, MATCH($B179, 'Resource costs'!$B$121:$B$142,0))</f>
        <v>1430.9940519131244</v>
      </c>
      <c r="AT201" s="90">
        <f>INDEX(AT$151:AT$168,MATCH($B179,$B$151:$B$168,0))*INDEX('Resource costs'!$C$121:$C$142, MATCH($B179, 'Resource costs'!$B$121:$B$142,0))</f>
        <v>1436.3545862097144</v>
      </c>
      <c r="AU201" s="90">
        <f>INDEX(AU$151:AU$168,MATCH($B179,$B$151:$B$168,0))*INDEX('Resource costs'!$C$121:$C$142, MATCH($B179, 'Resource costs'!$B$121:$B$142,0))</f>
        <v>1440.5331226939065</v>
      </c>
      <c r="AV201" s="90">
        <f>INDEX(AV$151:AV$168,MATCH($B179,$B$151:$B$168,0))*INDEX('Resource costs'!$C$121:$C$142, MATCH($B179, 'Resource costs'!$B$121:$B$142,0))</f>
        <v>1443.7902918833342</v>
      </c>
      <c r="AW201" s="90">
        <f>INDEX(AW$151:AW$168,MATCH($B179,$B$151:$B$168,0))*INDEX('Resource costs'!$C$121:$C$142, MATCH($B179, 'Resource costs'!$B$121:$B$142,0))</f>
        <v>1446.3292552664934</v>
      </c>
      <c r="AX201" s="90">
        <f>INDEX(AX$151:AX$168,MATCH($B179,$B$151:$B$168,0))*INDEX('Resource costs'!$C$121:$C$142, MATCH($B179, 'Resource costs'!$B$121:$B$142,0))</f>
        <v>1448.3083772236653</v>
      </c>
      <c r="AY201" s="90">
        <f>INDEX(AY$151:AY$168,MATCH($B179,$B$151:$B$168,0))*INDEX('Resource costs'!$C$121:$C$142, MATCH($B179, 'Resource costs'!$B$121:$B$142,0))</f>
        <v>1449.8511027892812</v>
      </c>
      <c r="AZ201" s="90">
        <f>INDEX(AZ$151:AZ$168,MATCH($B179,$B$151:$B$168,0))*INDEX('Resource costs'!$C$121:$C$142, MATCH($B179, 'Resource costs'!$B$121:$B$142,0))</f>
        <v>1451.0536573676789</v>
      </c>
      <c r="BA201" s="90">
        <f>INDEX(BA$151:BA$168,MATCH($B179,$B$151:$B$168,0))*INDEX('Resource costs'!$C$121:$C$142, MATCH($B179, 'Resource costs'!$B$121:$B$142,0))</f>
        <v>1451.9910486615399</v>
      </c>
      <c r="BB201" s="90">
        <f>INDEX(BB$151:BB$168,MATCH($B179,$B$151:$B$168,0))*INDEX('Resource costs'!$C$121:$C$142, MATCH($B179, 'Resource costs'!$B$121:$B$142,0))</f>
        <v>1452.7217451751042</v>
      </c>
    </row>
    <row r="202" spans="2:54" s="97" customFormat="1" ht="29">
      <c r="B202" s="6" t="s">
        <v>16</v>
      </c>
      <c r="C202" s="316"/>
      <c r="D202" s="90">
        <f>INDEX(D$151:D$168,MATCH($B180,$B$151:$B$168,0))*INDEX('Resource costs'!$C$121:$C$142, MATCH($B180, 'Resource costs'!$B$121:$B$142,0))</f>
        <v>10207.905123589268</v>
      </c>
      <c r="E202" s="90">
        <f>INDEX(E$151:E$168,MATCH($B180,$B$151:$B$168,0))*INDEX('Resource costs'!$C$121:$C$142, MATCH($B180, 'Resource costs'!$B$121:$B$142,0))</f>
        <v>10600.291106521219</v>
      </c>
      <c r="F202" s="90">
        <f>INDEX(F$151:F$168,MATCH($B180,$B$151:$B$168,0))*INDEX('Resource costs'!$C$121:$C$142, MATCH($B180, 'Resource costs'!$B$121:$B$142,0))</f>
        <v>10939.160587921671</v>
      </c>
      <c r="G202" s="90">
        <f>INDEX(G$151:G$168,MATCH($B180,$B$151:$B$168,0))*INDEX('Resource costs'!$C$121:$C$142, MATCH($B180, 'Resource costs'!$B$121:$B$142,0))</f>
        <v>11240.013444627721</v>
      </c>
      <c r="H202" s="90">
        <f>INDEX(H$151:H$168,MATCH($B180,$B$151:$B$168,0))*INDEX('Resource costs'!$C$121:$C$142, MATCH($B180, 'Resource costs'!$B$121:$B$142,0))</f>
        <v>11517.268956429732</v>
      </c>
      <c r="I202" s="90">
        <f>INDEX(I$151:I$168,MATCH($B180,$B$151:$B$168,0))*INDEX('Resource costs'!$C$121:$C$142, MATCH($B180, 'Resource costs'!$B$121:$B$142,0))</f>
        <v>11779.398391161863</v>
      </c>
      <c r="J202" s="90">
        <f>INDEX(J$151:J$168,MATCH($B180,$B$151:$B$168,0))*INDEX('Resource costs'!$C$121:$C$142, MATCH($B180, 'Resource costs'!$B$121:$B$142,0))</f>
        <v>12027.53911661346</v>
      </c>
      <c r="K202" s="90">
        <f>INDEX(K$151:K$168,MATCH($B180,$B$151:$B$168,0))*INDEX('Resource costs'!$C$121:$C$142, MATCH($B180, 'Resource costs'!$B$121:$B$142,0))</f>
        <v>12265.964117198819</v>
      </c>
      <c r="L202" s="90">
        <f>INDEX(L$151:L$168,MATCH($B180,$B$151:$B$168,0))*INDEX('Resource costs'!$C$121:$C$142, MATCH($B180, 'Resource costs'!$B$121:$B$142,0))</f>
        <v>12516.564548918315</v>
      </c>
      <c r="M202" s="90">
        <f>INDEX(M$151:M$168,MATCH($B180,$B$151:$B$168,0))*INDEX('Resource costs'!$C$121:$C$142, MATCH($B180, 'Resource costs'!$B$121:$B$142,0))</f>
        <v>12766.488051544731</v>
      </c>
      <c r="N202" s="90">
        <f>INDEX(N$151:N$168,MATCH($B180,$B$151:$B$168,0))*INDEX('Resource costs'!$C$121:$C$142, MATCH($B180, 'Resource costs'!$B$121:$B$142,0))</f>
        <v>13009.624476098052</v>
      </c>
      <c r="O202" s="90">
        <f>INDEX(O$151:O$168,MATCH($B180,$B$151:$B$168,0))*INDEX('Resource costs'!$C$121:$C$142, MATCH($B180, 'Resource costs'!$B$121:$B$142,0))</f>
        <v>13243.46442070878</v>
      </c>
      <c r="P202" s="90">
        <f>INDEX(P$151:P$168,MATCH($B180,$B$151:$B$168,0))*INDEX('Resource costs'!$C$121:$C$142, MATCH($B180, 'Resource costs'!$B$121:$B$142,0))</f>
        <v>13466.574034690637</v>
      </c>
      <c r="Q202" s="90">
        <f>INDEX(Q$151:Q$168,MATCH($B180,$B$151:$B$168,0))*INDEX('Resource costs'!$C$121:$C$142, MATCH($B180, 'Resource costs'!$B$121:$B$142,0))</f>
        <v>13682.831288560641</v>
      </c>
      <c r="R202" s="90">
        <f>INDEX(R$151:R$168,MATCH($B180,$B$151:$B$168,0))*INDEX('Resource costs'!$C$121:$C$142, MATCH($B180, 'Resource costs'!$B$121:$B$142,0))</f>
        <v>13896.686643945877</v>
      </c>
      <c r="S202" s="90">
        <f>INDEX(S$151:S$168,MATCH($B180,$B$151:$B$168,0))*INDEX('Resource costs'!$C$121:$C$142, MATCH($B180, 'Resource costs'!$B$121:$B$142,0))</f>
        <v>14108.853639305558</v>
      </c>
      <c r="T202" s="90">
        <f>INDEX(T$151:T$168,MATCH($B180,$B$151:$B$168,0))*INDEX('Resource costs'!$C$121:$C$142, MATCH($B180, 'Resource costs'!$B$121:$B$142,0))</f>
        <v>14316.000159166546</v>
      </c>
      <c r="U202" s="90">
        <f>INDEX(U$151:U$168,MATCH($B180,$B$151:$B$168,0))*INDEX('Resource costs'!$C$121:$C$142, MATCH($B180, 'Resource costs'!$B$121:$B$142,0))</f>
        <v>14518.730690976625</v>
      </c>
      <c r="V202" s="90">
        <f>INDEX(V$151:V$168,MATCH($B180,$B$151:$B$168,0))*INDEX('Resource costs'!$C$121:$C$142, MATCH($B180, 'Resource costs'!$B$121:$B$142,0))</f>
        <v>14725.231728322935</v>
      </c>
      <c r="W202" s="90">
        <f>INDEX(W$151:W$168,MATCH($B180,$B$151:$B$168,0))*INDEX('Resource costs'!$C$121:$C$142, MATCH($B180, 'Resource costs'!$B$121:$B$142,0))</f>
        <v>14928.77718176664</v>
      </c>
      <c r="X202" s="90">
        <f>INDEX(X$151:X$168,MATCH($B180,$B$151:$B$168,0))*INDEX('Resource costs'!$C$121:$C$142, MATCH($B180, 'Resource costs'!$B$121:$B$142,0))</f>
        <v>15127.461422018179</v>
      </c>
      <c r="Y202" s="90">
        <f>INDEX(Y$151:Y$168,MATCH($B180,$B$151:$B$168,0))*INDEX('Resource costs'!$C$121:$C$142, MATCH($B180, 'Resource costs'!$B$121:$B$142,0))</f>
        <v>15320.992383056077</v>
      </c>
      <c r="Z202" s="90">
        <f>INDEX(Z$151:Z$168,MATCH($B180,$B$151:$B$168,0))*INDEX('Resource costs'!$C$121:$C$142, MATCH($B180, 'Resource costs'!$B$121:$B$142,0))</f>
        <v>15512.646324091496</v>
      </c>
      <c r="AA202" s="90">
        <f>INDEX(AA$151:AA$168,MATCH($B180,$B$151:$B$168,0))*INDEX('Resource costs'!$C$121:$C$142, MATCH($B180, 'Resource costs'!$B$121:$B$142,0))</f>
        <v>15701.709080661682</v>
      </c>
      <c r="AB202" s="90">
        <f>INDEX(AB$151:AB$168,MATCH($B180,$B$151:$B$168,0))*INDEX('Resource costs'!$C$121:$C$142, MATCH($B180, 'Resource costs'!$B$121:$B$142,0))</f>
        <v>15886.848190768202</v>
      </c>
      <c r="AC202" s="90">
        <f>INDEX(AC$151:AC$168,MATCH($B180,$B$151:$B$168,0))*INDEX('Resource costs'!$C$121:$C$142, MATCH($B180, 'Resource costs'!$B$121:$B$142,0))</f>
        <v>16067.025543947117</v>
      </c>
      <c r="AD202" s="90">
        <f>INDEX(AD$151:AD$168,MATCH($B180,$B$151:$B$168,0))*INDEX('Resource costs'!$C$121:$C$142, MATCH($B180, 'Resource costs'!$B$121:$B$142,0))</f>
        <v>16241.199692875116</v>
      </c>
      <c r="AE202" s="90">
        <f>INDEX(AE$151:AE$168,MATCH($B180,$B$151:$B$168,0))*INDEX('Resource costs'!$C$121:$C$142, MATCH($B180, 'Resource costs'!$B$121:$B$142,0))</f>
        <v>16408.600022029972</v>
      </c>
      <c r="AF202" s="90">
        <f>INDEX(AF$151:AF$168,MATCH($B180,$B$151:$B$168,0))*INDEX('Resource costs'!$C$121:$C$142, MATCH($B180, 'Resource costs'!$B$121:$B$142,0))</f>
        <v>16568.526280073249</v>
      </c>
      <c r="AG202" s="90">
        <f>INDEX(AG$151:AG$168,MATCH($B180,$B$151:$B$168,0))*INDEX('Resource costs'!$C$121:$C$142, MATCH($B180, 'Resource costs'!$B$121:$B$142,0))</f>
        <v>16721.572559115619</v>
      </c>
      <c r="AH202" s="90">
        <f>INDEX(AH$151:AH$168,MATCH($B180,$B$151:$B$168,0))*INDEX('Resource costs'!$C$121:$C$142, MATCH($B180, 'Resource costs'!$B$121:$B$142,0))</f>
        <v>16870.773771921406</v>
      </c>
      <c r="AI202" s="90">
        <f>INDEX(AI$151:AI$168,MATCH($B180,$B$151:$B$168,0))*INDEX('Resource costs'!$C$121:$C$142, MATCH($B180, 'Resource costs'!$B$121:$B$142,0))</f>
        <v>17016.473875350883</v>
      </c>
      <c r="AJ202" s="90">
        <f>INDEX(AJ$151:AJ$168,MATCH($B180,$B$151:$B$168,0))*INDEX('Resource costs'!$C$121:$C$142, MATCH($B180, 'Resource costs'!$B$121:$B$142,0))</f>
        <v>17159.813427504218</v>
      </c>
      <c r="AK202" s="90">
        <f>INDEX(AK$151:AK$168,MATCH($B180,$B$151:$B$168,0))*INDEX('Resource costs'!$C$121:$C$142, MATCH($B180, 'Resource costs'!$B$121:$B$142,0))</f>
        <v>17297.406898090099</v>
      </c>
      <c r="AL202" s="90">
        <f>INDEX(AL$151:AL$168,MATCH($B180,$B$151:$B$168,0))*INDEX('Resource costs'!$C$121:$C$142, MATCH($B180, 'Resource costs'!$B$121:$B$142,0))</f>
        <v>17426.661646231507</v>
      </c>
      <c r="AM202" s="90">
        <f>INDEX(AM$151:AM$168,MATCH($B180,$B$151:$B$168,0))*INDEX('Resource costs'!$C$121:$C$142, MATCH($B180, 'Resource costs'!$B$121:$B$142,0))</f>
        <v>17545.815500468649</v>
      </c>
      <c r="AN202" s="90">
        <f>INDEX(AN$151:AN$168,MATCH($B180,$B$151:$B$168,0))*INDEX('Resource costs'!$C$121:$C$142, MATCH($B180, 'Resource costs'!$B$121:$B$142,0))</f>
        <v>17655.911167404927</v>
      </c>
      <c r="AO202" s="90">
        <f>INDEX(AO$151:AO$168,MATCH($B180,$B$151:$B$168,0))*INDEX('Resource costs'!$C$121:$C$142, MATCH($B180, 'Resource costs'!$B$121:$B$142,0))</f>
        <v>17757.181750246542</v>
      </c>
      <c r="AP202" s="90">
        <f>INDEX(AP$151:AP$168,MATCH($B180,$B$151:$B$168,0))*INDEX('Resource costs'!$C$121:$C$142, MATCH($B180, 'Resource costs'!$B$121:$B$142,0))</f>
        <v>17849.199542933005</v>
      </c>
      <c r="AQ202" s="90">
        <f>INDEX(AQ$151:AQ$168,MATCH($B180,$B$151:$B$168,0))*INDEX('Resource costs'!$C$121:$C$142, MATCH($B180, 'Resource costs'!$B$121:$B$142,0))</f>
        <v>17935.665756871957</v>
      </c>
      <c r="AR202" s="90">
        <f>INDEX(AR$151:AR$168,MATCH($B180,$B$151:$B$168,0))*INDEX('Resource costs'!$C$121:$C$142, MATCH($B180, 'Resource costs'!$B$121:$B$142,0))</f>
        <v>18020.737024316157</v>
      </c>
      <c r="AS202" s="90">
        <f>INDEX(AS$151:AS$168,MATCH($B180,$B$151:$B$168,0))*INDEX('Resource costs'!$C$121:$C$142, MATCH($B180, 'Resource costs'!$B$121:$B$142,0))</f>
        <v>18107.756965982942</v>
      </c>
      <c r="AT202" s="90">
        <f>INDEX(AT$151:AT$168,MATCH($B180,$B$151:$B$168,0))*INDEX('Resource costs'!$C$121:$C$142, MATCH($B180, 'Resource costs'!$B$121:$B$142,0))</f>
        <v>18175.589010512198</v>
      </c>
      <c r="AU202" s="90">
        <f>INDEX(AU$151:AU$168,MATCH($B180,$B$151:$B$168,0))*INDEX('Resource costs'!$C$121:$C$142, MATCH($B180, 'Resource costs'!$B$121:$B$142,0))</f>
        <v>18228.464089222754</v>
      </c>
      <c r="AV202" s="90">
        <f>INDEX(AV$151:AV$168,MATCH($B180,$B$151:$B$168,0))*INDEX('Resource costs'!$C$121:$C$142, MATCH($B180, 'Resource costs'!$B$121:$B$142,0))</f>
        <v>18269.680213077634</v>
      </c>
      <c r="AW202" s="90">
        <f>INDEX(AW$151:AW$168,MATCH($B180,$B$151:$B$168,0))*INDEX('Resource costs'!$C$121:$C$142, MATCH($B180, 'Resource costs'!$B$121:$B$142,0))</f>
        <v>18301.808181622509</v>
      </c>
      <c r="AX202" s="90">
        <f>INDEX(AX$151:AX$168,MATCH($B180,$B$151:$B$168,0))*INDEX('Resource costs'!$C$121:$C$142, MATCH($B180, 'Resource costs'!$B$121:$B$142,0))</f>
        <v>18326.85193310324</v>
      </c>
      <c r="AY202" s="90">
        <f>INDEX(AY$151:AY$168,MATCH($B180,$B$151:$B$168,0))*INDEX('Resource costs'!$C$121:$C$142, MATCH($B180, 'Resource costs'!$B$121:$B$142,0))</f>
        <v>18346.373537382467</v>
      </c>
      <c r="AZ202" s="90">
        <f>INDEX(AZ$151:AZ$168,MATCH($B180,$B$151:$B$168,0))*INDEX('Resource costs'!$C$121:$C$142, MATCH($B180, 'Resource costs'!$B$121:$B$142,0))</f>
        <v>18361.590627918129</v>
      </c>
      <c r="BA202" s="90">
        <f>INDEX(BA$151:BA$168,MATCH($B180,$B$151:$B$168,0))*INDEX('Resource costs'!$C$121:$C$142, MATCH($B180, 'Resource costs'!$B$121:$B$142,0))</f>
        <v>18373.452349990679</v>
      </c>
      <c r="BB202" s="90">
        <f>INDEX(BB$151:BB$168,MATCH($B180,$B$151:$B$168,0))*INDEX('Resource costs'!$C$121:$C$142, MATCH($B180, 'Resource costs'!$B$121:$B$142,0))</f>
        <v>18382.698562346224</v>
      </c>
    </row>
    <row r="203" spans="2:54" s="97" customFormat="1">
      <c r="B203" s="6" t="s">
        <v>103</v>
      </c>
      <c r="C203" s="316"/>
      <c r="D203" s="90">
        <f>INDEX(D$151:D$168,MATCH($B181,$B$151:$B$168,0))*INDEX('Resource costs'!$C$121:$C$142, MATCH($B181, 'Resource costs'!$B$121:$B$142,0))</f>
        <v>145058.16295132678</v>
      </c>
      <c r="E203" s="90">
        <f>INDEX(E$151:E$168,MATCH($B181,$B$151:$B$168,0))*INDEX('Resource costs'!$C$121:$C$142, MATCH($B181, 'Resource costs'!$B$121:$B$142,0))</f>
        <v>150634.11503579779</v>
      </c>
      <c r="F203" s="90">
        <f>INDEX(F$151:F$168,MATCH($B181,$B$151:$B$168,0))*INDEX('Resource costs'!$C$121:$C$142, MATCH($B181, 'Resource costs'!$B$121:$B$142,0))</f>
        <v>155449.5775481427</v>
      </c>
      <c r="G203" s="90">
        <f>INDEX(G$151:G$168,MATCH($B181,$B$151:$B$168,0))*INDEX('Resource costs'!$C$121:$C$142, MATCH($B181, 'Resource costs'!$B$121:$B$142,0))</f>
        <v>159724.80955550031</v>
      </c>
      <c r="H203" s="90">
        <f>INDEX(H$151:H$168,MATCH($B181,$B$151:$B$168,0))*INDEX('Resource costs'!$C$121:$C$142, MATCH($B181, 'Resource costs'!$B$121:$B$142,0))</f>
        <v>163664.71443541444</v>
      </c>
      <c r="I203" s="90">
        <f>INDEX(I$151:I$168,MATCH($B181,$B$151:$B$168,0))*INDEX('Resource costs'!$C$121:$C$142, MATCH($B181, 'Resource costs'!$B$121:$B$142,0))</f>
        <v>167389.6720831735</v>
      </c>
      <c r="J203" s="90">
        <f>INDEX(J$151:J$168,MATCH($B181,$B$151:$B$168,0))*INDEX('Resource costs'!$C$121:$C$142, MATCH($B181, 'Resource costs'!$B$121:$B$142,0))</f>
        <v>170915.84492193133</v>
      </c>
      <c r="K203" s="90">
        <f>INDEX(K$151:K$168,MATCH($B181,$B$151:$B$168,0))*INDEX('Resource costs'!$C$121:$C$142, MATCH($B181, 'Resource costs'!$B$121:$B$142,0))</f>
        <v>174303.95366391589</v>
      </c>
      <c r="L203" s="90">
        <f>INDEX(L$151:L$168,MATCH($B181,$B$151:$B$168,0))*INDEX('Resource costs'!$C$121:$C$142, MATCH($B181, 'Resource costs'!$B$121:$B$142,0))</f>
        <v>177865.07985189691</v>
      </c>
      <c r="M203" s="90">
        <f>INDEX(M$151:M$168,MATCH($B181,$B$151:$B$168,0))*INDEX('Resource costs'!$C$121:$C$142, MATCH($B181, 'Resource costs'!$B$121:$B$142,0))</f>
        <v>181416.58662340595</v>
      </c>
      <c r="N203" s="90">
        <f>INDEX(N$151:N$168,MATCH($B181,$B$151:$B$168,0))*INDEX('Resource costs'!$C$121:$C$142, MATCH($B181, 'Resource costs'!$B$121:$B$142,0))</f>
        <v>184871.64646822721</v>
      </c>
      <c r="O203" s="90">
        <f>INDEX(O$151:O$168,MATCH($B181,$B$151:$B$168,0))*INDEX('Resource costs'!$C$121:$C$142, MATCH($B181, 'Resource costs'!$B$121:$B$142,0))</f>
        <v>188194.59984398755</v>
      </c>
      <c r="P203" s="90">
        <f>INDEX(P$151:P$168,MATCH($B181,$B$151:$B$168,0))*INDEX('Resource costs'!$C$121:$C$142, MATCH($B181, 'Resource costs'!$B$121:$B$142,0))</f>
        <v>191365.07119429417</v>
      </c>
      <c r="Q203" s="90">
        <f>INDEX(Q$151:Q$168,MATCH($B181,$B$151:$B$168,0))*INDEX('Resource costs'!$C$121:$C$142, MATCH($B181, 'Resource costs'!$B$121:$B$142,0))</f>
        <v>194438.16793564116</v>
      </c>
      <c r="R203" s="90">
        <f>INDEX(R$151:R$168,MATCH($B181,$B$151:$B$168,0))*INDEX('Resource costs'!$C$121:$C$142, MATCH($B181, 'Resource costs'!$B$121:$B$142,0))</f>
        <v>197477.13279805926</v>
      </c>
      <c r="S203" s="90">
        <f>INDEX(S$151:S$168,MATCH($B181,$B$151:$B$168,0))*INDEX('Resource costs'!$C$121:$C$142, MATCH($B181, 'Resource costs'!$B$121:$B$142,0))</f>
        <v>200492.10543085312</v>
      </c>
      <c r="T203" s="90">
        <f>INDEX(T$151:T$168,MATCH($B181,$B$151:$B$168,0))*INDEX('Resource costs'!$C$121:$C$142, MATCH($B181, 'Resource costs'!$B$121:$B$142,0))</f>
        <v>203435.73522256792</v>
      </c>
      <c r="U203" s="90">
        <f>INDEX(U$151:U$168,MATCH($B181,$B$151:$B$168,0))*INDEX('Resource costs'!$C$121:$C$142, MATCH($B181, 'Resource costs'!$B$121:$B$142,0))</f>
        <v>206316.61216670778</v>
      </c>
      <c r="V203" s="90">
        <f>INDEX(V$151:V$168,MATCH($B181,$B$151:$B$168,0))*INDEX('Resource costs'!$C$121:$C$142, MATCH($B181, 'Resource costs'!$B$121:$B$142,0))</f>
        <v>209251.06940963192</v>
      </c>
      <c r="W203" s="90">
        <f>INDEX(W$151:W$168,MATCH($B181,$B$151:$B$168,0))*INDEX('Resource costs'!$C$121:$C$142, MATCH($B181, 'Resource costs'!$B$121:$B$142,0))</f>
        <v>212143.52669603517</v>
      </c>
      <c r="X203" s="90">
        <f>INDEX(X$151:X$168,MATCH($B181,$B$151:$B$168,0))*INDEX('Resource costs'!$C$121:$C$142, MATCH($B181, 'Resource costs'!$B$121:$B$142,0))</f>
        <v>214966.90431850805</v>
      </c>
      <c r="Y203" s="90">
        <f>INDEX(Y$151:Y$168,MATCH($B181,$B$151:$B$168,0))*INDEX('Resource costs'!$C$121:$C$142, MATCH($B181, 'Resource costs'!$B$121:$B$142,0))</f>
        <v>217717.05190926971</v>
      </c>
      <c r="Z203" s="90">
        <f>INDEX(Z$151:Z$168,MATCH($B181,$B$151:$B$168,0))*INDEX('Resource costs'!$C$121:$C$142, MATCH($B181, 'Resource costs'!$B$121:$B$142,0))</f>
        <v>220440.52634132872</v>
      </c>
      <c r="AA203" s="90">
        <f>INDEX(AA$151:AA$168,MATCH($B181,$B$151:$B$168,0))*INDEX('Resource costs'!$C$121:$C$142, MATCH($B181, 'Resource costs'!$B$121:$B$142,0))</f>
        <v>223127.17906963525</v>
      </c>
      <c r="AB203" s="90">
        <f>INDEX(AB$151:AB$168,MATCH($B181,$B$151:$B$168,0))*INDEX('Resource costs'!$C$121:$C$142, MATCH($B181, 'Resource costs'!$B$121:$B$142,0))</f>
        <v>225758.07530910303</v>
      </c>
      <c r="AC203" s="90">
        <f>INDEX(AC$151:AC$168,MATCH($B181,$B$151:$B$168,0))*INDEX('Resource costs'!$C$121:$C$142, MATCH($B181, 'Resource costs'!$B$121:$B$142,0))</f>
        <v>228318.46312042468</v>
      </c>
      <c r="AD203" s="90">
        <f>INDEX(AD$151:AD$168,MATCH($B181,$B$151:$B$168,0))*INDEX('Resource costs'!$C$121:$C$142, MATCH($B181, 'Resource costs'!$B$121:$B$142,0))</f>
        <v>230793.54314626867</v>
      </c>
      <c r="AE203" s="90">
        <f>INDEX(AE$151:AE$168,MATCH($B181,$B$151:$B$168,0))*INDEX('Resource costs'!$C$121:$C$142, MATCH($B181, 'Resource costs'!$B$121:$B$142,0))</f>
        <v>233172.36465084323</v>
      </c>
      <c r="AF203" s="90">
        <f>INDEX(AF$151:AF$168,MATCH($B181,$B$151:$B$168,0))*INDEX('Resource costs'!$C$121:$C$142, MATCH($B181, 'Resource costs'!$B$121:$B$142,0))</f>
        <v>235444.97679981671</v>
      </c>
      <c r="AG203" s="90">
        <f>INDEX(AG$151:AG$168,MATCH($B181,$B$151:$B$168,0))*INDEX('Resource costs'!$C$121:$C$142, MATCH($B181, 'Resource costs'!$B$121:$B$142,0))</f>
        <v>237619.82186505146</v>
      </c>
      <c r="AH203" s="90">
        <f>INDEX(AH$151:AH$168,MATCH($B181,$B$151:$B$168,0))*INDEX('Resource costs'!$C$121:$C$142, MATCH($B181, 'Resource costs'!$B$121:$B$142,0))</f>
        <v>239740.02709596639</v>
      </c>
      <c r="AI203" s="90">
        <f>INDEX(AI$151:AI$168,MATCH($B181,$B$151:$B$168,0))*INDEX('Resource costs'!$C$121:$C$142, MATCH($B181, 'Resource costs'!$B$121:$B$142,0))</f>
        <v>241810.48024863703</v>
      </c>
      <c r="AJ203" s="90">
        <f>INDEX(AJ$151:AJ$168,MATCH($B181,$B$151:$B$168,0))*INDEX('Resource costs'!$C$121:$C$142, MATCH($B181, 'Resource costs'!$B$121:$B$142,0))</f>
        <v>243847.38908173144</v>
      </c>
      <c r="AK203" s="90">
        <f>INDEX(AK$151:AK$168,MATCH($B181,$B$151:$B$168,0))*INDEX('Resource costs'!$C$121:$C$142, MATCH($B181, 'Resource costs'!$B$121:$B$142,0))</f>
        <v>245802.64393918129</v>
      </c>
      <c r="AL203" s="90">
        <f>INDEX(AL$151:AL$168,MATCH($B181,$B$151:$B$168,0))*INDEX('Resource costs'!$C$121:$C$142, MATCH($B181, 'Resource costs'!$B$121:$B$142,0))</f>
        <v>247639.40242107597</v>
      </c>
      <c r="AM203" s="90">
        <f>INDEX(AM$151:AM$168,MATCH($B181,$B$151:$B$168,0))*INDEX('Resource costs'!$C$121:$C$142, MATCH($B181, 'Resource costs'!$B$121:$B$142,0))</f>
        <v>249332.6234096085</v>
      </c>
      <c r="AN203" s="90">
        <f>INDEX(AN$151:AN$168,MATCH($B181,$B$151:$B$168,0))*INDEX('Resource costs'!$C$121:$C$142, MATCH($B181, 'Resource costs'!$B$121:$B$142,0))</f>
        <v>250897.1241569531</v>
      </c>
      <c r="AO203" s="90">
        <f>INDEX(AO$151:AO$168,MATCH($B181,$B$151:$B$168,0))*INDEX('Resource costs'!$C$121:$C$142, MATCH($B181, 'Resource costs'!$B$121:$B$142,0))</f>
        <v>252336.2171471561</v>
      </c>
      <c r="AP203" s="90">
        <f>INDEX(AP$151:AP$168,MATCH($B181,$B$151:$B$168,0))*INDEX('Resource costs'!$C$121:$C$142, MATCH($B181, 'Resource costs'!$B$121:$B$142,0))</f>
        <v>253643.82451657503</v>
      </c>
      <c r="AQ203" s="90">
        <f>INDEX(AQ$151:AQ$168,MATCH($B181,$B$151:$B$168,0))*INDEX('Resource costs'!$C$121:$C$142, MATCH($B181, 'Resource costs'!$B$121:$B$142,0))</f>
        <v>254872.54186841991</v>
      </c>
      <c r="AR203" s="90">
        <f>INDEX(AR$151:AR$168,MATCH($B181,$B$151:$B$168,0))*INDEX('Resource costs'!$C$121:$C$142, MATCH($B181, 'Resource costs'!$B$121:$B$142,0))</f>
        <v>256081.43650703484</v>
      </c>
      <c r="AS203" s="90">
        <f>INDEX(AS$151:AS$168,MATCH($B181,$B$151:$B$168,0))*INDEX('Resource costs'!$C$121:$C$142, MATCH($B181, 'Resource costs'!$B$121:$B$142,0))</f>
        <v>257318.02253771268</v>
      </c>
      <c r="AT203" s="90">
        <f>INDEX(AT$151:AT$168,MATCH($B181,$B$151:$B$168,0))*INDEX('Resource costs'!$C$121:$C$142, MATCH($B181, 'Resource costs'!$B$121:$B$142,0))</f>
        <v>258281.94134862602</v>
      </c>
      <c r="AU203" s="90">
        <f>INDEX(AU$151:AU$168,MATCH($B181,$B$151:$B$168,0))*INDEX('Resource costs'!$C$121:$C$142, MATCH($B181, 'Resource costs'!$B$121:$B$142,0))</f>
        <v>259033.316061733</v>
      </c>
      <c r="AV203" s="90">
        <f>INDEX(AV$151:AV$168,MATCH($B181,$B$151:$B$168,0))*INDEX('Resource costs'!$C$121:$C$142, MATCH($B181, 'Resource costs'!$B$121:$B$142,0))</f>
        <v>259619.01265059991</v>
      </c>
      <c r="AW203" s="90">
        <f>INDEX(AW$151:AW$168,MATCH($B181,$B$151:$B$168,0))*INDEX('Resource costs'!$C$121:$C$142, MATCH($B181, 'Resource costs'!$B$121:$B$142,0))</f>
        <v>260075.56314162162</v>
      </c>
      <c r="AX203" s="90">
        <f>INDEX(AX$151:AX$168,MATCH($B181,$B$151:$B$168,0))*INDEX('Resource costs'!$C$121:$C$142, MATCH($B181, 'Resource costs'!$B$121:$B$142,0))</f>
        <v>260431.44424937302</v>
      </c>
      <c r="AY203" s="90">
        <f>INDEX(AY$151:AY$168,MATCH($B181,$B$151:$B$168,0))*INDEX('Resource costs'!$C$121:$C$142, MATCH($B181, 'Resource costs'!$B$121:$B$142,0))</f>
        <v>260708.85357286525</v>
      </c>
      <c r="AZ203" s="90">
        <f>INDEX(AZ$151:AZ$168,MATCH($B181,$B$151:$B$168,0))*INDEX('Resource costs'!$C$121:$C$142, MATCH($B181, 'Resource costs'!$B$121:$B$142,0))</f>
        <v>260925.09414052748</v>
      </c>
      <c r="BA203" s="90">
        <f>INDEX(BA$151:BA$168,MATCH($B181,$B$151:$B$168,0))*INDEX('Resource costs'!$C$121:$C$142, MATCH($B181, 'Resource costs'!$B$121:$B$142,0))</f>
        <v>261093.65366302017</v>
      </c>
      <c r="BB203" s="90">
        <f>INDEX(BB$151:BB$168,MATCH($B181,$B$151:$B$168,0))*INDEX('Resource costs'!$C$121:$C$142, MATCH($B181, 'Resource costs'!$B$121:$B$142,0))</f>
        <v>261225.04581080319</v>
      </c>
    </row>
    <row r="204" spans="2:54" s="97" customFormat="1">
      <c r="B204" s="6" t="s">
        <v>104</v>
      </c>
      <c r="C204" s="315"/>
      <c r="D204" s="90">
        <f>INDEX(D$151:D$168,MATCH($B182,$B$151:$B$168,0))*INDEX('Resource costs'!$C$121:$C$142, MATCH($B182, 'Resource costs'!$B$121:$B$142,0))</f>
        <v>12798.431414473565</v>
      </c>
      <c r="E204" s="90">
        <f>INDEX(E$151:E$168,MATCH($B182,$B$151:$B$168,0))*INDEX('Resource costs'!$C$121:$C$142, MATCH($B182, 'Resource costs'!$B$121:$B$142,0))</f>
        <v>13290.395733278832</v>
      </c>
      <c r="F204" s="90">
        <f>INDEX(F$151:F$168,MATCH($B182,$B$151:$B$168,0))*INDEX('Resource costs'!$C$121:$C$142, MATCH($B182, 'Resource costs'!$B$121:$B$142,0))</f>
        <v>13715.262320855119</v>
      </c>
      <c r="G204" s="90">
        <f>INDEX(G$151:G$168,MATCH($B182,$B$151:$B$168,0))*INDEX('Resource costs'!$C$121:$C$142, MATCH($B182, 'Resource costs'!$B$121:$B$142,0))</f>
        <v>14092.464558315469</v>
      </c>
      <c r="H204" s="90">
        <f>INDEX(H$151:H$168,MATCH($B182,$B$151:$B$168,0))*INDEX('Resource costs'!$C$121:$C$142, MATCH($B182, 'Resource costs'!$B$121:$B$142,0))</f>
        <v>14440.080999604956</v>
      </c>
      <c r="I204" s="90">
        <f>INDEX(I$151:I$168,MATCH($B182,$B$151:$B$168,0))*INDEX('Resource costs'!$C$121:$C$142, MATCH($B182, 'Resource costs'!$B$121:$B$142,0))</f>
        <v>14768.73272113999</v>
      </c>
      <c r="J204" s="90">
        <f>INDEX(J$151:J$168,MATCH($B182,$B$151:$B$168,0))*INDEX('Resource costs'!$C$121:$C$142, MATCH($B182, 'Resource costs'!$B$121:$B$142,0))</f>
        <v>15079.845727910693</v>
      </c>
      <c r="K204" s="90">
        <f>INDEX(K$151:K$168,MATCH($B182,$B$151:$B$168,0))*INDEX('Resource costs'!$C$121:$C$142, MATCH($B182, 'Resource costs'!$B$121:$B$142,0))</f>
        <v>15378.777387300433</v>
      </c>
      <c r="L204" s="90">
        <f>INDEX(L$151:L$168,MATCH($B182,$B$151:$B$168,0))*INDEX('Resource costs'!$C$121:$C$142, MATCH($B182, 'Resource costs'!$B$121:$B$142,0))</f>
        <v>15692.974315952106</v>
      </c>
      <c r="M204" s="90">
        <f>INDEX(M$151:M$168,MATCH($B182,$B$151:$B$168,0))*INDEX('Resource costs'!$C$121:$C$142, MATCH($B182, 'Resource costs'!$B$121:$B$142,0))</f>
        <v>16006.32252682424</v>
      </c>
      <c r="N204" s="90">
        <f>INDEX(N$151:N$168,MATCH($B182,$B$151:$B$168,0))*INDEX('Resource costs'!$C$121:$C$142, MATCH($B182, 'Resource costs'!$B$121:$B$142,0))</f>
        <v>16311.161258800215</v>
      </c>
      <c r="O204" s="90">
        <f>INDEX(O$151:O$168,MATCH($B182,$B$151:$B$168,0))*INDEX('Resource costs'!$C$121:$C$142, MATCH($B182, 'Resource costs'!$B$121:$B$142,0))</f>
        <v>16604.344282822327</v>
      </c>
      <c r="P204" s="90">
        <f>INDEX(P$151:P$168,MATCH($B182,$B$151:$B$168,0))*INDEX('Resource costs'!$C$121:$C$142, MATCH($B182, 'Resource costs'!$B$121:$B$142,0))</f>
        <v>16884.073870615797</v>
      </c>
      <c r="Q204" s="90">
        <f>INDEX(Q$151:Q$168,MATCH($B182,$B$151:$B$168,0))*INDEX('Resource costs'!$C$121:$C$142, MATCH($B182, 'Resource costs'!$B$121:$B$142,0))</f>
        <v>17155.212130427957</v>
      </c>
      <c r="R204" s="90">
        <f>INDEX(R$151:R$168,MATCH($B182,$B$151:$B$168,0))*INDEX('Resource costs'!$C$121:$C$142, MATCH($B182, 'Resource costs'!$B$121:$B$142,0))</f>
        <v>17423.338946398348</v>
      </c>
      <c r="S204" s="90">
        <f>INDEX(S$151:S$168,MATCH($B182,$B$151:$B$168,0))*INDEX('Resource costs'!$C$121:$C$142, MATCH($B182, 'Resource costs'!$B$121:$B$142,0))</f>
        <v>17689.348936268925</v>
      </c>
      <c r="T204" s="90">
        <f>INDEX(T$151:T$168,MATCH($B182,$B$151:$B$168,0))*INDEX('Resource costs'!$C$121:$C$142, MATCH($B182, 'Resource costs'!$B$121:$B$142,0))</f>
        <v>17949.064372011097</v>
      </c>
      <c r="U204" s="90">
        <f>INDEX(U$151:U$168,MATCH($B182,$B$151:$B$168,0))*INDEX('Resource costs'!$C$121:$C$142, MATCH($B182, 'Resource costs'!$B$121:$B$142,0))</f>
        <v>18203.243145772929</v>
      </c>
      <c r="V204" s="90">
        <f>INDEX(V$151:V$168,MATCH($B182,$B$151:$B$168,0))*INDEX('Resource costs'!$C$121:$C$142, MATCH($B182, 'Resource costs'!$B$121:$B$142,0))</f>
        <v>18462.149290716123</v>
      </c>
      <c r="W204" s="90">
        <f>INDEX(W$151:W$168,MATCH($B182,$B$151:$B$168,0))*INDEX('Resource costs'!$C$121:$C$142, MATCH($B182, 'Resource costs'!$B$121:$B$142,0))</f>
        <v>18717.349794060065</v>
      </c>
      <c r="X204" s="90">
        <f>INDEX(X$151:X$168,MATCH($B182,$B$151:$B$168,0))*INDEX('Resource costs'!$C$121:$C$142, MATCH($B182, 'Resource costs'!$B$121:$B$142,0))</f>
        <v>18966.455422610619</v>
      </c>
      <c r="Y204" s="90">
        <f>INDEX(Y$151:Y$168,MATCH($B182,$B$151:$B$168,0))*INDEX('Resource costs'!$C$121:$C$142, MATCH($B182, 'Resource costs'!$B$121:$B$142,0))</f>
        <v>19209.099990857721</v>
      </c>
      <c r="Z204" s="90">
        <f>INDEX(Z$151:Z$168,MATCH($B182,$B$151:$B$168,0))*INDEX('Resource costs'!$C$121:$C$142, MATCH($B182, 'Resource costs'!$B$121:$B$142,0))</f>
        <v>19449.391195562112</v>
      </c>
      <c r="AA204" s="90">
        <f>INDEX(AA$151:AA$168,MATCH($B182,$B$151:$B$168,0))*INDEX('Resource costs'!$C$121:$C$142, MATCH($B182, 'Resource costs'!$B$121:$B$142,0))</f>
        <v>19686.433634113306</v>
      </c>
      <c r="AB204" s="90">
        <f>INDEX(AB$151:AB$168,MATCH($B182,$B$151:$B$168,0))*INDEX('Resource costs'!$C$121:$C$142, MATCH($B182, 'Resource costs'!$B$121:$B$142,0))</f>
        <v>19918.556696989286</v>
      </c>
      <c r="AC204" s="90">
        <f>INDEX(AC$151:AC$168,MATCH($B182,$B$151:$B$168,0))*INDEX('Resource costs'!$C$121:$C$142, MATCH($B182, 'Resource costs'!$B$121:$B$142,0))</f>
        <v>20144.458825700578</v>
      </c>
      <c r="AD204" s="90">
        <f>INDEX(AD$151:AD$168,MATCH($B182,$B$151:$B$168,0))*INDEX('Resource costs'!$C$121:$C$142, MATCH($B182, 'Resource costs'!$B$121:$B$142,0))</f>
        <v>20362.834278081886</v>
      </c>
      <c r="AE204" s="90">
        <f>INDEX(AE$151:AE$168,MATCH($B182,$B$151:$B$168,0))*INDEX('Resource costs'!$C$121:$C$142, MATCH($B182, 'Resource costs'!$B$121:$B$142,0))</f>
        <v>20572.716874511763</v>
      </c>
      <c r="AF204" s="90">
        <f>INDEX(AF$151:AF$168,MATCH($B182,$B$151:$B$168,0))*INDEX('Resource costs'!$C$121:$C$142, MATCH($B182, 'Resource costs'!$B$121:$B$142,0))</f>
        <v>20773.228656327832</v>
      </c>
      <c r="AG204" s="90">
        <f>INDEX(AG$151:AG$168,MATCH($B182,$B$151:$B$168,0))*INDEX('Resource costs'!$C$121:$C$142, MATCH($B182, 'Resource costs'!$B$121:$B$142,0))</f>
        <v>20965.114482248937</v>
      </c>
      <c r="AH204" s="90">
        <f>INDEX(AH$151:AH$168,MATCH($B182,$B$151:$B$168,0))*INDEX('Resource costs'!$C$121:$C$142, MATCH($B182, 'Resource costs'!$B$121:$B$142,0))</f>
        <v>21152.179454535795</v>
      </c>
      <c r="AI204" s="90">
        <f>INDEX(AI$151:AI$168,MATCH($B182,$B$151:$B$168,0))*INDEX('Resource costs'!$C$121:$C$142, MATCH($B182, 'Resource costs'!$B$121:$B$142,0))</f>
        <v>21334.854818211999</v>
      </c>
      <c r="AJ204" s="90">
        <f>INDEX(AJ$151:AJ$168,MATCH($B182,$B$151:$B$168,0))*INDEX('Resource costs'!$C$121:$C$142, MATCH($B182, 'Resource costs'!$B$121:$B$142,0))</f>
        <v>21514.570578204366</v>
      </c>
      <c r="AK204" s="90">
        <f>INDEX(AK$151:AK$168,MATCH($B182,$B$151:$B$168,0))*INDEX('Resource costs'!$C$121:$C$142, MATCH($B182, 'Resource costs'!$B$121:$B$142,0))</f>
        <v>21687.082036241274</v>
      </c>
      <c r="AL204" s="90">
        <f>INDEX(AL$151:AL$168,MATCH($B182,$B$151:$B$168,0))*INDEX('Resource costs'!$C$121:$C$142, MATCH($B182, 'Resource costs'!$B$121:$B$142,0))</f>
        <v>21849.138600154671</v>
      </c>
      <c r="AM204" s="90">
        <f>INDEX(AM$151:AM$168,MATCH($B182,$B$151:$B$168,0))*INDEX('Resource costs'!$C$121:$C$142, MATCH($B182, 'Resource costs'!$B$121:$B$142,0))</f>
        <v>21998.530900804111</v>
      </c>
      <c r="AN204" s="90">
        <f>INDEX(AN$151:AN$168,MATCH($B182,$B$151:$B$168,0))*INDEX('Resource costs'!$C$121:$C$142, MATCH($B182, 'Resource costs'!$B$121:$B$142,0))</f>
        <v>22136.566259210664</v>
      </c>
      <c r="AO204" s="90">
        <f>INDEX(AO$151:AO$168,MATCH($B182,$B$151:$B$168,0))*INDEX('Resource costs'!$C$121:$C$142, MATCH($B182, 'Resource costs'!$B$121:$B$142,0))</f>
        <v>22263.536934693042</v>
      </c>
      <c r="AP204" s="90">
        <f>INDEX(AP$151:AP$168,MATCH($B182,$B$151:$B$168,0))*INDEX('Resource costs'!$C$121:$C$142, MATCH($B182, 'Resource costs'!$B$121:$B$142,0))</f>
        <v>22378.906679449727</v>
      </c>
      <c r="AQ204" s="90">
        <f>INDEX(AQ$151:AQ$168,MATCH($B182,$B$151:$B$168,0))*INDEX('Resource costs'!$C$121:$C$142, MATCH($B182, 'Resource costs'!$B$121:$B$142,0))</f>
        <v>22487.315985313042</v>
      </c>
      <c r="AR204" s="90">
        <f>INDEX(AR$151:AR$168,MATCH($B182,$B$151:$B$168,0))*INDEX('Resource costs'!$C$121:$C$142, MATCH($B182, 'Resource costs'!$B$121:$B$142,0))</f>
        <v>22593.976340062112</v>
      </c>
      <c r="AS204" s="90">
        <f>INDEX(AS$151:AS$168,MATCH($B182,$B$151:$B$168,0))*INDEX('Resource costs'!$C$121:$C$142, MATCH($B182, 'Resource costs'!$B$121:$B$142,0))</f>
        <v>22703.079896730189</v>
      </c>
      <c r="AT204" s="90">
        <f>INDEX(AT$151:AT$168,MATCH($B182,$B$151:$B$168,0))*INDEX('Resource costs'!$C$121:$C$142, MATCH($B182, 'Resource costs'!$B$121:$B$142,0))</f>
        <v>22788.126119152948</v>
      </c>
      <c r="AU204" s="90">
        <f>INDEX(AU$151:AU$168,MATCH($B182,$B$151:$B$168,0))*INDEX('Resource costs'!$C$121:$C$142, MATCH($B182, 'Resource costs'!$B$121:$B$142,0))</f>
        <v>22854.41964953149</v>
      </c>
      <c r="AV204" s="90">
        <f>INDEX(AV$151:AV$168,MATCH($B182,$B$151:$B$168,0))*INDEX('Resource costs'!$C$121:$C$142, MATCH($B182, 'Resource costs'!$B$121:$B$142,0))</f>
        <v>22906.095456461564</v>
      </c>
      <c r="AW204" s="90">
        <f>INDEX(AW$151:AW$168,MATCH($B182,$B$151:$B$168,0))*INDEX('Resource costs'!$C$121:$C$142, MATCH($B182, 'Resource costs'!$B$121:$B$142,0))</f>
        <v>22946.376747963557</v>
      </c>
      <c r="AX204" s="90">
        <f>INDEX(AX$151:AX$168,MATCH($B182,$B$151:$B$168,0))*INDEX('Resource costs'!$C$121:$C$142, MATCH($B182, 'Resource costs'!$B$121:$B$142,0))</f>
        <v>22977.776014689356</v>
      </c>
      <c r="AY204" s="90">
        <f>INDEX(AY$151:AY$168,MATCH($B182,$B$151:$B$168,0))*INDEX('Resource costs'!$C$121:$C$142, MATCH($B182, 'Resource costs'!$B$121:$B$142,0))</f>
        <v>23002.251743102119</v>
      </c>
      <c r="AZ204" s="90">
        <f>INDEX(AZ$151:AZ$168,MATCH($B182,$B$151:$B$168,0))*INDEX('Resource costs'!$C$121:$C$142, MATCH($B182, 'Resource costs'!$B$121:$B$142,0))</f>
        <v>23021.330573399868</v>
      </c>
      <c r="BA204" s="90">
        <f>INDEX(BA$151:BA$168,MATCH($B182,$B$151:$B$168,0))*INDEX('Resource costs'!$C$121:$C$142, MATCH($B182, 'Resource costs'!$B$121:$B$142,0))</f>
        <v>23036.202521616964</v>
      </c>
      <c r="BB204" s="90">
        <f>INDEX(BB$151:BB$168,MATCH($B182,$B$151:$B$168,0))*INDEX('Resource costs'!$C$121:$C$142, MATCH($B182, 'Resource costs'!$B$121:$B$142,0))</f>
        <v>23047.795205252187</v>
      </c>
    </row>
    <row r="205" spans="2:54" s="97" customFormat="1">
      <c r="B205" s="6" t="s">
        <v>17</v>
      </c>
      <c r="C205" s="315"/>
      <c r="D205" s="90">
        <f>INDEX(D$151:D$168,MATCH($B183,$B$151:$B$168,0))*INDEX('Resource costs'!$C$121:$C$142, MATCH($B183, 'Resource costs'!$B$121:$B$142,0))</f>
        <v>1530.980258977585</v>
      </c>
      <c r="E205" s="90">
        <f>INDEX(E$151:E$168,MATCH($B183,$B$151:$B$168,0))*INDEX('Resource costs'!$C$121:$C$142, MATCH($B183, 'Resource costs'!$B$121:$B$142,0))</f>
        <v>1589.8302567484404</v>
      </c>
      <c r="F205" s="90">
        <f>INDEX(F$151:F$168,MATCH($B183,$B$151:$B$168,0))*INDEX('Resource costs'!$C$121:$C$142, MATCH($B183, 'Resource costs'!$B$121:$B$142,0))</f>
        <v>1640.6538567048283</v>
      </c>
      <c r="G205" s="90">
        <f>INDEX(G$151:G$168,MATCH($B183,$B$151:$B$168,0))*INDEX('Resource costs'!$C$121:$C$142, MATCH($B183, 'Resource costs'!$B$121:$B$142,0))</f>
        <v>1685.7757283226965</v>
      </c>
      <c r="H205" s="90">
        <f>INDEX(H$151:H$168,MATCH($B183,$B$151:$B$168,0))*INDEX('Resource costs'!$C$121:$C$142, MATCH($B183, 'Resource costs'!$B$121:$B$142,0))</f>
        <v>1727.358473275988</v>
      </c>
      <c r="I205" s="90">
        <f>INDEX(I$151:I$168,MATCH($B183,$B$151:$B$168,0))*INDEX('Resource costs'!$C$121:$C$142, MATCH($B183, 'Resource costs'!$B$121:$B$142,0))</f>
        <v>1766.6726111929295</v>
      </c>
      <c r="J205" s="90">
        <f>INDEX(J$151:J$168,MATCH($B183,$B$151:$B$168,0))*INDEX('Resource costs'!$C$121:$C$142, MATCH($B183, 'Resource costs'!$B$121:$B$142,0))</f>
        <v>1803.8887243439881</v>
      </c>
      <c r="K205" s="90">
        <f>INDEX(K$151:K$168,MATCH($B183,$B$151:$B$168,0))*INDEX('Resource costs'!$C$121:$C$142, MATCH($B183, 'Resource costs'!$B$121:$B$142,0))</f>
        <v>1839.6476743659057</v>
      </c>
      <c r="L205" s="90">
        <f>INDEX(L$151:L$168,MATCH($B183,$B$151:$B$168,0))*INDEX('Resource costs'!$C$121:$C$142, MATCH($B183, 'Resource costs'!$B$121:$B$142,0))</f>
        <v>1877.2326939373754</v>
      </c>
      <c r="M205" s="90">
        <f>INDEX(M$151:M$168,MATCH($B183,$B$151:$B$168,0))*INDEX('Resource costs'!$C$121:$C$142, MATCH($B183, 'Resource costs'!$B$121:$B$142,0))</f>
        <v>1914.7161877730859</v>
      </c>
      <c r="N205" s="90">
        <f>INDEX(N$151:N$168,MATCH($B183,$B$151:$B$168,0))*INDEX('Resource costs'!$C$121:$C$142, MATCH($B183, 'Resource costs'!$B$121:$B$142,0))</f>
        <v>1951.1817565379574</v>
      </c>
      <c r="O205" s="90">
        <f>INDEX(O$151:O$168,MATCH($B183,$B$151:$B$168,0))*INDEX('Resource costs'!$C$121:$C$142, MATCH($B183, 'Resource costs'!$B$121:$B$142,0))</f>
        <v>1986.2530404718304</v>
      </c>
      <c r="P205" s="90">
        <f>INDEX(P$151:P$168,MATCH($B183,$B$151:$B$168,0))*INDEX('Resource costs'!$C$121:$C$142, MATCH($B183, 'Resource costs'!$B$121:$B$142,0))</f>
        <v>2019.7149908386095</v>
      </c>
      <c r="Q205" s="90">
        <f>INDEX(Q$151:Q$168,MATCH($B183,$B$151:$B$168,0))*INDEX('Resource costs'!$C$121:$C$142, MATCH($B183, 'Resource costs'!$B$121:$B$142,0))</f>
        <v>2052.1492251430191</v>
      </c>
      <c r="R205" s="90">
        <f>INDEX(R$151:R$168,MATCH($B183,$B$151:$B$168,0))*INDEX('Resource costs'!$C$121:$C$142, MATCH($B183, 'Resource costs'!$B$121:$B$142,0))</f>
        <v>2084.223223030679</v>
      </c>
      <c r="S205" s="90">
        <f>INDEX(S$151:S$168,MATCH($B183,$B$151:$B$168,0))*INDEX('Resource costs'!$C$121:$C$142, MATCH($B183, 'Resource costs'!$B$121:$B$142,0))</f>
        <v>2116.0440009052336</v>
      </c>
      <c r="T205" s="90">
        <f>INDEX(T$151:T$168,MATCH($B183,$B$151:$B$168,0))*INDEX('Resource costs'!$C$121:$C$142, MATCH($B183, 'Resource costs'!$B$121:$B$142,0))</f>
        <v>2147.1118085291714</v>
      </c>
      <c r="U205" s="90">
        <f>INDEX(U$151:U$168,MATCH($B183,$B$151:$B$168,0))*INDEX('Resource costs'!$C$121:$C$142, MATCH($B183, 'Resource costs'!$B$121:$B$142,0))</f>
        <v>2177.5173068498807</v>
      </c>
      <c r="V205" s="90">
        <f>INDEX(V$151:V$168,MATCH($B183,$B$151:$B$168,0))*INDEX('Resource costs'!$C$121:$C$142, MATCH($B183, 'Resource costs'!$B$121:$B$142,0))</f>
        <v>2208.4883050917247</v>
      </c>
      <c r="W205" s="90">
        <f>INDEX(W$151:W$168,MATCH($B183,$B$151:$B$168,0))*INDEX('Resource costs'!$C$121:$C$142, MATCH($B183, 'Resource costs'!$B$121:$B$142,0))</f>
        <v>2239.0160252511555</v>
      </c>
      <c r="X205" s="90">
        <f>INDEX(X$151:X$168,MATCH($B183,$B$151:$B$168,0))*INDEX('Resource costs'!$C$121:$C$142, MATCH($B183, 'Resource costs'!$B$121:$B$142,0))</f>
        <v>2268.8146612996175</v>
      </c>
      <c r="Y205" s="90">
        <f>INDEX(Y$151:Y$168,MATCH($B183,$B$151:$B$168,0))*INDEX('Resource costs'!$C$121:$C$142, MATCH($B183, 'Resource costs'!$B$121:$B$142,0))</f>
        <v>2297.8404092138776</v>
      </c>
      <c r="Z205" s="90">
        <f>INDEX(Z$151:Z$168,MATCH($B183,$B$151:$B$168,0))*INDEX('Resource costs'!$C$121:$C$142, MATCH($B183, 'Resource costs'!$B$121:$B$142,0))</f>
        <v>2326.5846419166701</v>
      </c>
      <c r="AA205" s="90">
        <f>INDEX(AA$151:AA$168,MATCH($B183,$B$151:$B$168,0))*INDEX('Resource costs'!$C$121:$C$142, MATCH($B183, 'Resource costs'!$B$121:$B$142,0))</f>
        <v>2354.9402491164228</v>
      </c>
      <c r="AB205" s="90">
        <f>INDEX(AB$151:AB$168,MATCH($B183,$B$151:$B$168,0))*INDEX('Resource costs'!$C$121:$C$142, MATCH($B183, 'Resource costs'!$B$121:$B$142,0))</f>
        <v>2382.7073883390194</v>
      </c>
      <c r="AC205" s="90">
        <f>INDEX(AC$151:AC$168,MATCH($B183,$B$151:$B$168,0))*INDEX('Resource costs'!$C$121:$C$142, MATCH($B183, 'Resource costs'!$B$121:$B$142,0))</f>
        <v>2409.7303639145171</v>
      </c>
      <c r="AD205" s="90">
        <f>INDEX(AD$151:AD$168,MATCH($B183,$B$151:$B$168,0))*INDEX('Resource costs'!$C$121:$C$142, MATCH($B183, 'Resource costs'!$B$121:$B$142,0))</f>
        <v>2435.8529797112465</v>
      </c>
      <c r="AE205" s="90">
        <f>INDEX(AE$151:AE$168,MATCH($B183,$B$151:$B$168,0))*INDEX('Resource costs'!$C$121:$C$142, MATCH($B183, 'Resource costs'!$B$121:$B$142,0))</f>
        <v>2460.9596589152084</v>
      </c>
      <c r="AF205" s="90">
        <f>INDEX(AF$151:AF$168,MATCH($B183,$B$151:$B$168,0))*INDEX('Resource costs'!$C$121:$C$142, MATCH($B183, 'Resource costs'!$B$121:$B$142,0))</f>
        <v>2484.9453779233722</v>
      </c>
      <c r="AG205" s="90">
        <f>INDEX(AG$151:AG$168,MATCH($B183,$B$151:$B$168,0))*INDEX('Resource costs'!$C$121:$C$142, MATCH($B183, 'Resource costs'!$B$121:$B$142,0))</f>
        <v>2507.8992385918441</v>
      </c>
      <c r="AH205" s="90">
        <f>INDEX(AH$151:AH$168,MATCH($B183,$B$151:$B$168,0))*INDEX('Resource costs'!$C$121:$C$142, MATCH($B183, 'Resource costs'!$B$121:$B$142,0))</f>
        <v>2530.2764167352138</v>
      </c>
      <c r="AI205" s="90">
        <f>INDEX(AI$151:AI$168,MATCH($B183,$B$151:$B$168,0))*INDEX('Resource costs'!$C$121:$C$142, MATCH($B183, 'Resource costs'!$B$121:$B$142,0))</f>
        <v>2552.128498957848</v>
      </c>
      <c r="AJ205" s="90">
        <f>INDEX(AJ$151:AJ$168,MATCH($B183,$B$151:$B$168,0))*INDEX('Resource costs'!$C$121:$C$142, MATCH($B183, 'Resource costs'!$B$121:$B$142,0))</f>
        <v>2573.6265460126074</v>
      </c>
      <c r="AK205" s="90">
        <f>INDEX(AK$151:AK$168,MATCH($B183,$B$151:$B$168,0))*INDEX('Resource costs'!$C$121:$C$142, MATCH($B183, 'Resource costs'!$B$121:$B$142,0))</f>
        <v>2594.2627965146235</v>
      </c>
      <c r="AL205" s="90">
        <f>INDEX(AL$151:AL$168,MATCH($B183,$B$151:$B$168,0))*INDEX('Resource costs'!$C$121:$C$142, MATCH($B183, 'Resource costs'!$B$121:$B$142,0))</f>
        <v>2613.6484065284076</v>
      </c>
      <c r="AM205" s="90">
        <f>INDEX(AM$151:AM$168,MATCH($B183,$B$151:$B$168,0))*INDEX('Resource costs'!$C$121:$C$142, MATCH($B183, 'Resource costs'!$B$121:$B$142,0))</f>
        <v>2631.5190858117207</v>
      </c>
      <c r="AN205" s="90">
        <f>INDEX(AN$151:AN$168,MATCH($B183,$B$151:$B$168,0))*INDEX('Resource costs'!$C$121:$C$142, MATCH($B183, 'Resource costs'!$B$121:$B$142,0))</f>
        <v>2648.0312193628947</v>
      </c>
      <c r="AO205" s="90">
        <f>INDEX(AO$151:AO$168,MATCH($B183,$B$151:$B$168,0))*INDEX('Resource costs'!$C$121:$C$142, MATCH($B183, 'Resource costs'!$B$121:$B$142,0))</f>
        <v>2663.2197679699325</v>
      </c>
      <c r="AP205" s="90">
        <f>INDEX(AP$151:AP$168,MATCH($B183,$B$151:$B$168,0))*INDEX('Resource costs'!$C$121:$C$142, MATCH($B183, 'Resource costs'!$B$121:$B$142,0))</f>
        <v>2677.0205843345079</v>
      </c>
      <c r="AQ205" s="90">
        <f>INDEX(AQ$151:AQ$168,MATCH($B183,$B$151:$B$168,0))*INDEX('Resource costs'!$C$121:$C$142, MATCH($B183, 'Resource costs'!$B$121:$B$142,0))</f>
        <v>2689.988775653524</v>
      </c>
      <c r="AR205" s="90">
        <f>INDEX(AR$151:AR$168,MATCH($B183,$B$151:$B$168,0))*INDEX('Resource costs'!$C$121:$C$142, MATCH($B183, 'Resource costs'!$B$121:$B$142,0))</f>
        <v>2702.7477530819388</v>
      </c>
      <c r="AS205" s="90">
        <f>INDEX(AS$151:AS$168,MATCH($B183,$B$151:$B$168,0))*INDEX('Resource costs'!$C$121:$C$142, MATCH($B183, 'Resource costs'!$B$121:$B$142,0))</f>
        <v>2715.7989924122649</v>
      </c>
      <c r="AT205" s="90">
        <f>INDEX(AT$151:AT$168,MATCH($B183,$B$151:$B$168,0))*INDEX('Resource costs'!$C$121:$C$142, MATCH($B183, 'Resource costs'!$B$121:$B$142,0))</f>
        <v>2725.9724334702537</v>
      </c>
      <c r="AU205" s="90">
        <f>INDEX(AU$151:AU$168,MATCH($B183,$B$151:$B$168,0))*INDEX('Resource costs'!$C$121:$C$142, MATCH($B183, 'Resource costs'!$B$121:$B$142,0))</f>
        <v>2733.9026307749568</v>
      </c>
      <c r="AV205" s="90">
        <f>INDEX(AV$151:AV$168,MATCH($B183,$B$151:$B$168,0))*INDEX('Resource costs'!$C$121:$C$142, MATCH($B183, 'Resource costs'!$B$121:$B$142,0))</f>
        <v>2740.0842195739724</v>
      </c>
      <c r="AW205" s="90">
        <f>INDEX(AW$151:AW$168,MATCH($B183,$B$151:$B$168,0))*INDEX('Resource costs'!$C$121:$C$142, MATCH($B183, 'Resource costs'!$B$121:$B$142,0))</f>
        <v>2744.9027680428048</v>
      </c>
      <c r="AX205" s="90">
        <f>INDEX(AX$151:AX$168,MATCH($B183,$B$151:$B$168,0))*INDEX('Resource costs'!$C$121:$C$142, MATCH($B183, 'Resource costs'!$B$121:$B$142,0))</f>
        <v>2748.6588265742598</v>
      </c>
      <c r="AY205" s="90">
        <f>INDEX(AY$151:AY$168,MATCH($B183,$B$151:$B$168,0))*INDEX('Resource costs'!$C$121:$C$142, MATCH($B183, 'Resource costs'!$B$121:$B$142,0))</f>
        <v>2751.5866741995287</v>
      </c>
      <c r="AZ205" s="90">
        <f>INDEX(AZ$151:AZ$168,MATCH($B183,$B$151:$B$168,0))*INDEX('Resource costs'!$C$121:$C$142, MATCH($B183, 'Resource costs'!$B$121:$B$142,0))</f>
        <v>2753.8689314234266</v>
      </c>
      <c r="BA205" s="90">
        <f>INDEX(BA$151:BA$168,MATCH($B183,$B$151:$B$168,0))*INDEX('Resource costs'!$C$121:$C$142, MATCH($B183, 'Resource costs'!$B$121:$B$142,0))</f>
        <v>2755.6479509294545</v>
      </c>
      <c r="BB205" s="90">
        <f>INDEX(BB$151:BB$168,MATCH($B183,$B$151:$B$168,0))*INDEX('Resource costs'!$C$121:$C$142, MATCH($B183, 'Resource costs'!$B$121:$B$142,0))</f>
        <v>2757.0346966344027</v>
      </c>
    </row>
    <row r="206" spans="2:54" s="97" customFormat="1" ht="29">
      <c r="B206" s="6" t="s">
        <v>106</v>
      </c>
      <c r="C206" s="315"/>
      <c r="D206" s="90">
        <f>INDEX(D$151:D$168,MATCH($B184,$B$151:$B$168,0))*INDEX('Resource costs'!$C$121:$C$142, MATCH($B184, 'Resource costs'!$B$121:$B$142,0))</f>
        <v>19762.080978165504</v>
      </c>
      <c r="E206" s="90">
        <f>INDEX(E$151:E$168,MATCH($B184,$B$151:$B$168,0))*INDEX('Resource costs'!$C$121:$C$142, MATCH($B184, 'Resource costs'!$B$121:$B$142,0))</f>
        <v>20521.723968134022</v>
      </c>
      <c r="F206" s="90">
        <f>INDEX(F$151:F$168,MATCH($B184,$B$151:$B$168,0))*INDEX('Resource costs'!$C$121:$C$142, MATCH($B184, 'Resource costs'!$B$121:$B$142,0))</f>
        <v>21177.761230567939</v>
      </c>
      <c r="G206" s="90">
        <f>INDEX(G$151:G$168,MATCH($B184,$B$151:$B$168,0))*INDEX('Resource costs'!$C$121:$C$142, MATCH($B184, 'Resource costs'!$B$121:$B$142,0))</f>
        <v>21760.199884214715</v>
      </c>
      <c r="H206" s="90">
        <f>INDEX(H$151:H$168,MATCH($B184,$B$151:$B$168,0))*INDEX('Resource costs'!$C$121:$C$142, MATCH($B184, 'Resource costs'!$B$121:$B$142,0))</f>
        <v>22296.95505675373</v>
      </c>
      <c r="I206" s="90">
        <f>INDEX(I$151:I$168,MATCH($B184,$B$151:$B$168,0))*INDEX('Resource costs'!$C$121:$C$142, MATCH($B184, 'Resource costs'!$B$121:$B$142,0))</f>
        <v>22804.426771392442</v>
      </c>
      <c r="J206" s="90">
        <f>INDEX(J$151:J$168,MATCH($B184,$B$151:$B$168,0))*INDEX('Resource costs'!$C$121:$C$142, MATCH($B184, 'Resource costs'!$B$121:$B$142,0))</f>
        <v>23284.816925002226</v>
      </c>
      <c r="K206" s="90">
        <f>INDEX(K$151:K$168,MATCH($B184,$B$151:$B$168,0))*INDEX('Resource costs'!$C$121:$C$142, MATCH($B184, 'Resource costs'!$B$121:$B$142,0))</f>
        <v>23746.397838200439</v>
      </c>
      <c r="L206" s="90">
        <f>INDEX(L$151:L$168,MATCH($B184,$B$151:$B$168,0))*INDEX('Resource costs'!$C$121:$C$142, MATCH($B184, 'Resource costs'!$B$121:$B$142,0))</f>
        <v>24231.549881136216</v>
      </c>
      <c r="M206" s="90">
        <f>INDEX(M$151:M$168,MATCH($B184,$B$151:$B$168,0))*INDEX('Resource costs'!$C$121:$C$142, MATCH($B184, 'Resource costs'!$B$121:$B$142,0))</f>
        <v>24715.391417421321</v>
      </c>
      <c r="N206" s="90">
        <f>INDEX(N$151:N$168,MATCH($B184,$B$151:$B$168,0))*INDEX('Resource costs'!$C$121:$C$142, MATCH($B184, 'Resource costs'!$B$121:$B$142,0))</f>
        <v>25186.093452029851</v>
      </c>
      <c r="O206" s="90">
        <f>INDEX(O$151:O$168,MATCH($B184,$B$151:$B$168,0))*INDEX('Resource costs'!$C$121:$C$142, MATCH($B184, 'Resource costs'!$B$121:$B$142,0))</f>
        <v>25638.797887012108</v>
      </c>
      <c r="P206" s="90">
        <f>INDEX(P$151:P$168,MATCH($B184,$B$151:$B$168,0))*INDEX('Resource costs'!$C$121:$C$142, MATCH($B184, 'Resource costs'!$B$121:$B$142,0))</f>
        <v>26070.728846903941</v>
      </c>
      <c r="Q206" s="90">
        <f>INDEX(Q$151:Q$168,MATCH($B184,$B$151:$B$168,0))*INDEX('Resource costs'!$C$121:$C$142, MATCH($B184, 'Resource costs'!$B$121:$B$142,0))</f>
        <v>26489.393921799547</v>
      </c>
      <c r="R206" s="90">
        <f>INDEX(R$151:R$168,MATCH($B184,$B$151:$B$168,0))*INDEX('Resource costs'!$C$121:$C$142, MATCH($B184, 'Resource costs'!$B$121:$B$142,0))</f>
        <v>26903.409020839907</v>
      </c>
      <c r="S206" s="90">
        <f>INDEX(S$151:S$168,MATCH($B184,$B$151:$B$168,0))*INDEX('Resource costs'!$C$121:$C$142, MATCH($B184, 'Resource costs'!$B$121:$B$142,0))</f>
        <v>27314.155524890266</v>
      </c>
      <c r="T206" s="90">
        <f>INDEX(T$151:T$168,MATCH($B184,$B$151:$B$168,0))*INDEX('Resource costs'!$C$121:$C$142, MATCH($B184, 'Resource costs'!$B$121:$B$142,0))</f>
        <v>27715.18259658376</v>
      </c>
      <c r="U206" s="90">
        <f>INDEX(U$151:U$168,MATCH($B184,$B$151:$B$168,0))*INDEX('Resource costs'!$C$121:$C$142, MATCH($B184, 'Resource costs'!$B$121:$B$142,0))</f>
        <v>28107.66049855006</v>
      </c>
      <c r="V206" s="90">
        <f>INDEX(V$151:V$168,MATCH($B184,$B$151:$B$168,0))*INDEX('Resource costs'!$C$121:$C$142, MATCH($B184, 'Resource costs'!$B$121:$B$142,0))</f>
        <v>28507.437942864515</v>
      </c>
      <c r="W206" s="90">
        <f>INDEX(W$151:W$168,MATCH($B184,$B$151:$B$168,0))*INDEX('Resource costs'!$C$121:$C$142, MATCH($B184, 'Resource costs'!$B$121:$B$142,0))</f>
        <v>28901.49349931717</v>
      </c>
      <c r="X206" s="90">
        <f>INDEX(X$151:X$168,MATCH($B184,$B$151:$B$168,0))*INDEX('Resource costs'!$C$121:$C$142, MATCH($B184, 'Resource costs'!$B$121:$B$142,0))</f>
        <v>29286.137948633495</v>
      </c>
      <c r="Y206" s="90">
        <f>INDEX(Y$151:Y$168,MATCH($B184,$B$151:$B$168,0))*INDEX('Resource costs'!$C$121:$C$142, MATCH($B184, 'Resource costs'!$B$121:$B$142,0))</f>
        <v>29660.80586310842</v>
      </c>
      <c r="Z206" s="90">
        <f>INDEX(Z$151:Z$168,MATCH($B184,$B$151:$B$168,0))*INDEX('Resource costs'!$C$121:$C$142, MATCH($B184, 'Resource costs'!$B$121:$B$142,0))</f>
        <v>30031.839944702111</v>
      </c>
      <c r="AA206" s="90">
        <f>INDEX(AA$151:AA$168,MATCH($B184,$B$151:$B$168,0))*INDEX('Resource costs'!$C$121:$C$142, MATCH($B184, 'Resource costs'!$B$121:$B$142,0))</f>
        <v>30397.857600632426</v>
      </c>
      <c r="AB206" s="90">
        <f>INDEX(AB$151:AB$168,MATCH($B184,$B$151:$B$168,0))*INDEX('Resource costs'!$C$121:$C$142, MATCH($B184, 'Resource costs'!$B$121:$B$142,0))</f>
        <v>30756.279239730116</v>
      </c>
      <c r="AC206" s="90">
        <f>INDEX(AC$151:AC$168,MATCH($B184,$B$151:$B$168,0))*INDEX('Resource costs'!$C$121:$C$142, MATCH($B184, 'Resource costs'!$B$121:$B$142,0))</f>
        <v>31105.095123189392</v>
      </c>
      <c r="AD206" s="90">
        <f>INDEX(AD$151:AD$168,MATCH($B184,$B$151:$B$168,0))*INDEX('Resource costs'!$C$121:$C$142, MATCH($B184, 'Resource costs'!$B$121:$B$142,0))</f>
        <v>31442.289052183107</v>
      </c>
      <c r="AE206" s="90">
        <f>INDEX(AE$151:AE$168,MATCH($B184,$B$151:$B$168,0))*INDEX('Resource costs'!$C$121:$C$142, MATCH($B184, 'Resource costs'!$B$121:$B$142,0))</f>
        <v>31766.369147019122</v>
      </c>
      <c r="AF206" s="90">
        <f>INDEX(AF$151:AF$168,MATCH($B184,$B$151:$B$168,0))*INDEX('Resource costs'!$C$121:$C$142, MATCH($B184, 'Resource costs'!$B$121:$B$142,0))</f>
        <v>32075.979750146958</v>
      </c>
      <c r="AG206" s="90">
        <f>INDEX(AG$151:AG$168,MATCH($B184,$B$151:$B$168,0))*INDEX('Resource costs'!$C$121:$C$142, MATCH($B184, 'Resource costs'!$B$121:$B$142,0))</f>
        <v>32372.270999254768</v>
      </c>
      <c r="AH206" s="90">
        <f>INDEX(AH$151:AH$168,MATCH($B184,$B$151:$B$168,0))*INDEX('Resource costs'!$C$121:$C$142, MATCH($B184, 'Resource costs'!$B$121:$B$142,0))</f>
        <v>32661.118359590706</v>
      </c>
      <c r="AI206" s="90">
        <f>INDEX(AI$151:AI$168,MATCH($B184,$B$151:$B$168,0))*INDEX('Resource costs'!$C$121:$C$142, MATCH($B184, 'Resource costs'!$B$121:$B$142,0))</f>
        <v>32943.187717371729</v>
      </c>
      <c r="AJ206" s="90">
        <f>INDEX(AJ$151:AJ$168,MATCH($B184,$B$151:$B$168,0))*INDEX('Resource costs'!$C$121:$C$142, MATCH($B184, 'Resource costs'!$B$121:$B$142,0))</f>
        <v>33220.687145778655</v>
      </c>
      <c r="AK206" s="90">
        <f>INDEX(AK$151:AK$168,MATCH($B184,$B$151:$B$168,0))*INDEX('Resource costs'!$C$121:$C$142, MATCH($B184, 'Resource costs'!$B$121:$B$142,0))</f>
        <v>33487.062398571848</v>
      </c>
      <c r="AL206" s="90">
        <f>INDEX(AL$151:AL$168,MATCH($B184,$B$151:$B$168,0))*INDEX('Resource costs'!$C$121:$C$142, MATCH($B184, 'Resource costs'!$B$121:$B$142,0))</f>
        <v>33737.294230535103</v>
      </c>
      <c r="AM206" s="90">
        <f>INDEX(AM$151:AM$168,MATCH($B184,$B$151:$B$168,0))*INDEX('Resource costs'!$C$121:$C$142, MATCH($B184, 'Resource costs'!$B$121:$B$142,0))</f>
        <v>33967.971150802849</v>
      </c>
      <c r="AN206" s="90">
        <f>INDEX(AN$151:AN$168,MATCH($B184,$B$151:$B$168,0))*INDEX('Resource costs'!$C$121:$C$142, MATCH($B184, 'Resource costs'!$B$121:$B$142,0))</f>
        <v>34181.111796116267</v>
      </c>
      <c r="AO206" s="90">
        <f>INDEX(AO$151:AO$168,MATCH($B184,$B$151:$B$168,0))*INDEX('Resource costs'!$C$121:$C$142, MATCH($B184, 'Resource costs'!$B$121:$B$142,0))</f>
        <v>34377.167444615305</v>
      </c>
      <c r="AP206" s="90">
        <f>INDEX(AP$151:AP$168,MATCH($B184,$B$151:$B$168,0))*INDEX('Resource costs'!$C$121:$C$142, MATCH($B184, 'Resource costs'!$B$121:$B$142,0))</f>
        <v>34555.310075104659</v>
      </c>
      <c r="AQ206" s="90">
        <f>INDEX(AQ$151:AQ$168,MATCH($B184,$B$151:$B$168,0))*INDEX('Resource costs'!$C$121:$C$142, MATCH($B184, 'Resource costs'!$B$121:$B$142,0))</f>
        <v>34722.705079373285</v>
      </c>
      <c r="AR206" s="90">
        <f>INDEX(AR$151:AR$168,MATCH($B184,$B$151:$B$168,0))*INDEX('Resource costs'!$C$121:$C$142, MATCH($B184, 'Resource costs'!$B$121:$B$142,0))</f>
        <v>34887.399525079134</v>
      </c>
      <c r="AS206" s="90">
        <f>INDEX(AS$151:AS$168,MATCH($B184,$B$151:$B$168,0))*INDEX('Resource costs'!$C$121:$C$142, MATCH($B184, 'Resource costs'!$B$121:$B$142,0))</f>
        <v>35055.866523264711</v>
      </c>
      <c r="AT206" s="90">
        <f>INDEX(AT$151:AT$168,MATCH($B184,$B$151:$B$168,0))*INDEX('Resource costs'!$C$121:$C$142, MATCH($B184, 'Resource costs'!$B$121:$B$142,0))</f>
        <v>35187.186548350364</v>
      </c>
      <c r="AU206" s="90">
        <f>INDEX(AU$151:AU$168,MATCH($B184,$B$151:$B$168,0))*INDEX('Resource costs'!$C$121:$C$142, MATCH($B184, 'Resource costs'!$B$121:$B$142,0))</f>
        <v>35289.550507904627</v>
      </c>
      <c r="AV206" s="90">
        <f>INDEX(AV$151:AV$168,MATCH($B184,$B$151:$B$168,0))*INDEX('Resource costs'!$C$121:$C$142, MATCH($B184, 'Resource costs'!$B$121:$B$142,0))</f>
        <v>35369.343214377186</v>
      </c>
      <c r="AW206" s="90">
        <f>INDEX(AW$151:AW$168,MATCH($B184,$B$151:$B$168,0))*INDEX('Resource costs'!$C$121:$C$142, MATCH($B184, 'Resource costs'!$B$121:$B$142,0))</f>
        <v>35431.541629072533</v>
      </c>
      <c r="AX206" s="90">
        <f>INDEX(AX$151:AX$168,MATCH($B184,$B$151:$B$168,0))*INDEX('Resource costs'!$C$121:$C$142, MATCH($B184, 'Resource costs'!$B$121:$B$142,0))</f>
        <v>35480.025293327555</v>
      </c>
      <c r="AY206" s="90">
        <f>INDEX(AY$151:AY$168,MATCH($B184,$B$151:$B$168,0))*INDEX('Resource costs'!$C$121:$C$142, MATCH($B184, 'Resource costs'!$B$121:$B$142,0))</f>
        <v>35517.818309614348</v>
      </c>
      <c r="AZ206" s="90">
        <f>INDEX(AZ$151:AZ$168,MATCH($B184,$B$151:$B$168,0))*INDEX('Resource costs'!$C$121:$C$142, MATCH($B184, 'Resource costs'!$B$121:$B$142,0))</f>
        <v>35547.277965809903</v>
      </c>
      <c r="BA206" s="90">
        <f>INDEX(BA$151:BA$168,MATCH($B184,$B$151:$B$168,0))*INDEX('Resource costs'!$C$121:$C$142, MATCH($B184, 'Resource costs'!$B$121:$B$142,0))</f>
        <v>35570.241767814347</v>
      </c>
      <c r="BB206" s="90">
        <f>INDEX(BB$151:BB$168,MATCH($B184,$B$151:$B$168,0))*INDEX('Resource costs'!$C$121:$C$142, MATCH($B184, 'Resource costs'!$B$121:$B$142,0))</f>
        <v>35588.142051476796</v>
      </c>
    </row>
    <row r="207" spans="2:54" ht="29">
      <c r="B207" s="6" t="s">
        <v>107</v>
      </c>
      <c r="C207" s="52"/>
      <c r="D207" s="90">
        <f>INDEX(D$151:D$168,MATCH($B185,$B$151:$B$168,0))*INDEX('Resource costs'!$C$121:$C$142, MATCH($B185, 'Resource costs'!$B$121:$B$142,0))</f>
        <v>44872.276183693444</v>
      </c>
      <c r="E207" s="90">
        <f>INDEX(E$151:E$168,MATCH($B185,$B$151:$B$168,0))*INDEX('Resource costs'!$C$121:$C$142, MATCH($B185, 'Resource costs'!$B$121:$B$142,0))</f>
        <v>46597.14058863822</v>
      </c>
      <c r="F207" s="90">
        <f>INDEX(F$151:F$168,MATCH($B185,$B$151:$B$168,0))*INDEX('Resource costs'!$C$121:$C$142, MATCH($B185, 'Resource costs'!$B$121:$B$142,0))</f>
        <v>48086.755232928655</v>
      </c>
      <c r="G207" s="90">
        <f>INDEX(G$151:G$168,MATCH($B185,$B$151:$B$168,0))*INDEX('Resource costs'!$C$121:$C$142, MATCH($B185, 'Resource costs'!$B$121:$B$142,0))</f>
        <v>49409.25503218425</v>
      </c>
      <c r="H207" s="90">
        <f>INDEX(H$151:H$168,MATCH($B185,$B$151:$B$168,0))*INDEX('Resource costs'!$C$121:$C$142, MATCH($B185, 'Resource costs'!$B$121:$B$142,0))</f>
        <v>50628.024774693062</v>
      </c>
      <c r="I207" s="90">
        <f>INDEX(I$151:I$168,MATCH($B185,$B$151:$B$168,0))*INDEX('Resource costs'!$C$121:$C$142, MATCH($B185, 'Resource costs'!$B$121:$B$142,0))</f>
        <v>51780.302764032342</v>
      </c>
      <c r="J207" s="90">
        <f>INDEX(J$151:J$168,MATCH($B185,$B$151:$B$168,0))*INDEX('Resource costs'!$C$121:$C$142, MATCH($B185, 'Resource costs'!$B$121:$B$142,0))</f>
        <v>52871.088682404086</v>
      </c>
      <c r="K207" s="90">
        <f>INDEX(K$151:K$168,MATCH($B185,$B$151:$B$168,0))*INDEX('Resource costs'!$C$121:$C$142, MATCH($B185, 'Resource costs'!$B$121:$B$142,0))</f>
        <v>53919.165868254902</v>
      </c>
      <c r="L207" s="90">
        <f>INDEX(L$151:L$168,MATCH($B185,$B$151:$B$168,0))*INDEX('Resource costs'!$C$121:$C$142, MATCH($B185, 'Resource costs'!$B$121:$B$142,0))</f>
        <v>55020.764251833541</v>
      </c>
      <c r="M207" s="90">
        <f>INDEX(M$151:M$168,MATCH($B185,$B$151:$B$168,0))*INDEX('Resource costs'!$C$121:$C$142, MATCH($B185, 'Resource costs'!$B$121:$B$142,0))</f>
        <v>56119.386966178026</v>
      </c>
      <c r="N207" s="90">
        <f>INDEX(N$151:N$168,MATCH($B185,$B$151:$B$168,0))*INDEX('Resource costs'!$C$121:$C$142, MATCH($B185, 'Resource costs'!$B$121:$B$142,0))</f>
        <v>57188.174798821608</v>
      </c>
      <c r="O207" s="90">
        <f>INDEX(O$151:O$168,MATCH($B185,$B$151:$B$168,0))*INDEX('Resource costs'!$C$121:$C$142, MATCH($B185, 'Resource costs'!$B$121:$B$142,0))</f>
        <v>58216.096830846007</v>
      </c>
      <c r="P207" s="90">
        <f>INDEX(P$151:P$168,MATCH($B185,$B$151:$B$168,0))*INDEX('Resource costs'!$C$121:$C$142, MATCH($B185, 'Resource costs'!$B$121:$B$142,0))</f>
        <v>59196.850089876199</v>
      </c>
      <c r="Q207" s="90">
        <f>INDEX(Q$151:Q$168,MATCH($B185,$B$151:$B$168,0))*INDEX('Resource costs'!$C$121:$C$142, MATCH($B185, 'Resource costs'!$B$121:$B$142,0))</f>
        <v>60147.481498073488</v>
      </c>
      <c r="R207" s="90">
        <f>INDEX(R$151:R$168,MATCH($B185,$B$151:$B$168,0))*INDEX('Resource costs'!$C$121:$C$142, MATCH($B185, 'Resource costs'!$B$121:$B$142,0))</f>
        <v>61087.554554594411</v>
      </c>
      <c r="S207" s="90">
        <f>INDEX(S$151:S$168,MATCH($B185,$B$151:$B$168,0))*INDEX('Resource costs'!$C$121:$C$142, MATCH($B185, 'Resource costs'!$B$121:$B$142,0))</f>
        <v>62020.205857440422</v>
      </c>
      <c r="T207" s="90">
        <f>INDEX(T$151:T$168,MATCH($B185,$B$151:$B$168,0))*INDEX('Resource costs'!$C$121:$C$142, MATCH($B185, 'Resource costs'!$B$121:$B$142,0))</f>
        <v>62930.787973668492</v>
      </c>
      <c r="U207" s="90">
        <f>INDEX(U$151:U$168,MATCH($B185,$B$151:$B$168,0))*INDEX('Resource costs'!$C$121:$C$142, MATCH($B185, 'Resource costs'!$B$121:$B$142,0))</f>
        <v>63821.958130925028</v>
      </c>
      <c r="V207" s="90">
        <f>INDEX(V$151:V$168,MATCH($B185,$B$151:$B$168,0))*INDEX('Resource costs'!$C$121:$C$142, MATCH($B185, 'Resource costs'!$B$121:$B$142,0))</f>
        <v>64729.70281191836</v>
      </c>
      <c r="W207" s="90">
        <f>INDEX(W$151:W$168,MATCH($B185,$B$151:$B$168,0))*INDEX('Resource costs'!$C$121:$C$142, MATCH($B185, 'Resource costs'!$B$121:$B$142,0))</f>
        <v>65624.455230977823</v>
      </c>
      <c r="X207" s="90">
        <f>INDEX(X$151:X$168,MATCH($B185,$B$151:$B$168,0))*INDEX('Resource costs'!$C$121:$C$142, MATCH($B185, 'Resource costs'!$B$121:$B$142,0))</f>
        <v>66497.838554389804</v>
      </c>
      <c r="Y207" s="90">
        <f>INDEX(Y$151:Y$168,MATCH($B185,$B$151:$B$168,0))*INDEX('Resource costs'!$C$121:$C$142, MATCH($B185, 'Resource costs'!$B$121:$B$142,0))</f>
        <v>67348.568907841065</v>
      </c>
      <c r="Z207" s="90">
        <f>INDEX(Z$151:Z$168,MATCH($B185,$B$151:$B$168,0))*INDEX('Resource costs'!$C$121:$C$142, MATCH($B185, 'Resource costs'!$B$121:$B$142,0))</f>
        <v>68191.048189310997</v>
      </c>
      <c r="AA207" s="90">
        <f>INDEX(AA$151:AA$168,MATCH($B185,$B$151:$B$168,0))*INDEX('Resource costs'!$C$121:$C$142, MATCH($B185, 'Resource costs'!$B$121:$B$142,0))</f>
        <v>69022.137048989258</v>
      </c>
      <c r="AB207" s="90">
        <f>INDEX(AB$151:AB$168,MATCH($B185,$B$151:$B$168,0))*INDEX('Resource costs'!$C$121:$C$142, MATCH($B185, 'Resource costs'!$B$121:$B$142,0))</f>
        <v>69835.978202538477</v>
      </c>
      <c r="AC207" s="90">
        <f>INDEX(AC$151:AC$168,MATCH($B185,$B$151:$B$168,0))*INDEX('Resource costs'!$C$121:$C$142, MATCH($B185, 'Resource costs'!$B$121:$B$142,0))</f>
        <v>70628.008286674725</v>
      </c>
      <c r="AD207" s="90">
        <f>INDEX(AD$151:AD$168,MATCH($B185,$B$151:$B$168,0))*INDEX('Resource costs'!$C$121:$C$142, MATCH($B185, 'Resource costs'!$B$121:$B$142,0))</f>
        <v>71393.649269827671</v>
      </c>
      <c r="AE207" s="90">
        <f>INDEX(AE$151:AE$168,MATCH($B185,$B$151:$B$168,0))*INDEX('Resource costs'!$C$121:$C$142, MATCH($B185, 'Resource costs'!$B$121:$B$142,0))</f>
        <v>72129.513652591137</v>
      </c>
      <c r="AF207" s="90">
        <f>INDEX(AF$151:AF$168,MATCH($B185,$B$151:$B$168,0))*INDEX('Resource costs'!$C$121:$C$142, MATCH($B185, 'Resource costs'!$B$121:$B$142,0))</f>
        <v>72832.523244966651</v>
      </c>
      <c r="AG207" s="90">
        <f>INDEX(AG$151:AG$168,MATCH($B185,$B$151:$B$168,0))*INDEX('Resource costs'!$C$121:$C$142, MATCH($B185, 'Resource costs'!$B$121:$B$142,0))</f>
        <v>73505.289578404248</v>
      </c>
      <c r="AH207" s="90">
        <f>INDEX(AH$151:AH$168,MATCH($B185,$B$151:$B$168,0))*INDEX('Resource costs'!$C$121:$C$142, MATCH($B185, 'Resource costs'!$B$121:$B$142,0))</f>
        <v>74161.153631498935</v>
      </c>
      <c r="AI207" s="90">
        <f>INDEX(AI$151:AI$168,MATCH($B185,$B$151:$B$168,0))*INDEX('Resource costs'!$C$121:$C$142, MATCH($B185, 'Resource costs'!$B$121:$B$142,0))</f>
        <v>74801.627382177889</v>
      </c>
      <c r="AJ207" s="90">
        <f>INDEX(AJ$151:AJ$168,MATCH($B185,$B$151:$B$168,0))*INDEX('Resource costs'!$C$121:$C$142, MATCH($B185, 'Resource costs'!$B$121:$B$142,0))</f>
        <v>75431.724536726062</v>
      </c>
      <c r="AK207" s="90">
        <f>INDEX(AK$151:AK$168,MATCH($B185,$B$151:$B$168,0))*INDEX('Resource costs'!$C$121:$C$142, MATCH($B185, 'Resource costs'!$B$121:$B$142,0))</f>
        <v>76036.562859423138</v>
      </c>
      <c r="AL207" s="90">
        <f>INDEX(AL$151:AL$168,MATCH($B185,$B$151:$B$168,0))*INDEX('Resource costs'!$C$121:$C$142, MATCH($B185, 'Resource costs'!$B$121:$B$142,0))</f>
        <v>76604.745526330167</v>
      </c>
      <c r="AM207" s="90">
        <f>INDEX(AM$151:AM$168,MATCH($B185,$B$151:$B$168,0))*INDEX('Resource costs'!$C$121:$C$142, MATCH($B185, 'Resource costs'!$B$121:$B$142,0))</f>
        <v>77128.52632081708</v>
      </c>
      <c r="AN207" s="90">
        <f>INDEX(AN$151:AN$168,MATCH($B185,$B$151:$B$168,0))*INDEX('Resource costs'!$C$121:$C$142, MATCH($B185, 'Resource costs'!$B$121:$B$142,0))</f>
        <v>77612.488810042851</v>
      </c>
      <c r="AO207" s="90">
        <f>INDEX(AO$151:AO$168,MATCH($B185,$B$151:$B$168,0))*INDEX('Resource costs'!$C$121:$C$142, MATCH($B185, 'Resource costs'!$B$121:$B$142,0))</f>
        <v>78057.657677458279</v>
      </c>
      <c r="AP207" s="90">
        <f>INDEX(AP$151:AP$168,MATCH($B185,$B$151:$B$168,0))*INDEX('Resource costs'!$C$121:$C$142, MATCH($B185, 'Resource costs'!$B$121:$B$142,0))</f>
        <v>78462.152797392249</v>
      </c>
      <c r="AQ207" s="90">
        <f>INDEX(AQ$151:AQ$168,MATCH($B185,$B$151:$B$168,0))*INDEX('Resource costs'!$C$121:$C$142, MATCH($B185, 'Resource costs'!$B$121:$B$142,0))</f>
        <v>78842.244087960848</v>
      </c>
      <c r="AR207" s="90">
        <f>INDEX(AR$151:AR$168,MATCH($B185,$B$151:$B$168,0))*INDEX('Resource costs'!$C$121:$C$142, MATCH($B185, 'Resource costs'!$B$121:$B$142,0))</f>
        <v>79216.203422597653</v>
      </c>
      <c r="AS207" s="90">
        <f>INDEX(AS$151:AS$168,MATCH($B185,$B$151:$B$168,0))*INDEX('Resource costs'!$C$121:$C$142, MATCH($B185, 'Resource costs'!$B$121:$B$142,0))</f>
        <v>79598.728809411594</v>
      </c>
      <c r="AT207" s="90">
        <f>INDEX(AT$151:AT$168,MATCH($B185,$B$151:$B$168,0))*INDEX('Resource costs'!$C$121:$C$142, MATCH($B185, 'Resource costs'!$B$121:$B$142,0))</f>
        <v>79896.907348433044</v>
      </c>
      <c r="AU207" s="90">
        <f>INDEX(AU$151:AU$168,MATCH($B185,$B$151:$B$168,0))*INDEX('Resource costs'!$C$121:$C$142, MATCH($B185, 'Resource costs'!$B$121:$B$142,0))</f>
        <v>80129.337519600245</v>
      </c>
      <c r="AV207" s="90">
        <f>INDEX(AV$151:AV$168,MATCH($B185,$B$151:$B$168,0))*INDEX('Resource costs'!$C$121:$C$142, MATCH($B185, 'Resource costs'!$B$121:$B$142,0))</f>
        <v>80310.516838025113</v>
      </c>
      <c r="AW207" s="90">
        <f>INDEX(AW$151:AW$168,MATCH($B185,$B$151:$B$168,0))*INDEX('Resource costs'!$C$121:$C$142, MATCH($B185, 'Resource costs'!$B$121:$B$142,0))</f>
        <v>80451.746116737268</v>
      </c>
      <c r="AX207" s="90">
        <f>INDEX(AX$151:AX$168,MATCH($B185,$B$151:$B$168,0))*INDEX('Resource costs'!$C$121:$C$142, MATCH($B185, 'Resource costs'!$B$121:$B$142,0))</f>
        <v>80561.834339493391</v>
      </c>
      <c r="AY207" s="90">
        <f>INDEX(AY$151:AY$168,MATCH($B185,$B$151:$B$168,0))*INDEX('Resource costs'!$C$121:$C$142, MATCH($B185, 'Resource costs'!$B$121:$B$142,0))</f>
        <v>80647.648109131798</v>
      </c>
      <c r="AZ207" s="90">
        <f>INDEX(AZ$151:AZ$168,MATCH($B185,$B$151:$B$168,0))*INDEX('Resource costs'!$C$121:$C$142, MATCH($B185, 'Resource costs'!$B$121:$B$142,0))</f>
        <v>80714.539942564938</v>
      </c>
      <c r="BA207" s="90">
        <f>INDEX(BA$151:BA$168,MATCH($B185,$B$151:$B$168,0))*INDEX('Resource costs'!$C$121:$C$142, MATCH($B185, 'Resource costs'!$B$121:$B$142,0))</f>
        <v>80766.682126726068</v>
      </c>
      <c r="BB207" s="90">
        <f>INDEX(BB$151:BB$168,MATCH($B185,$B$151:$B$168,0))*INDEX('Resource costs'!$C$121:$C$142, MATCH($B185, 'Resource costs'!$B$121:$B$142,0))</f>
        <v>80807.326959279657</v>
      </c>
    </row>
    <row r="208" spans="2:54" s="97" customFormat="1">
      <c r="B208" s="6" t="s">
        <v>2863</v>
      </c>
      <c r="C208" s="315"/>
      <c r="D208" s="90">
        <f>INDEX(D$151:D$168,MATCH($B186,$B$151:$B$168,0))*INDEX('Resource costs'!$C$121:$C$142, MATCH($B186, 'Resource costs'!$B$121:$B$142,0))</f>
        <v>2239.38</v>
      </c>
      <c r="E208" s="90">
        <f>INDEX(E$151:E$168,MATCH($B186,$B$151:$B$168,0))*INDEX('Resource costs'!$C$121:$C$142, MATCH($B186, 'Resource costs'!$B$121:$B$142,0))</f>
        <v>2325.460475065112</v>
      </c>
      <c r="F208" s="90">
        <f>INDEX(F$151:F$168,MATCH($B186,$B$151:$B$168,0))*INDEX('Resource costs'!$C$121:$C$142, MATCH($B186, 'Resource costs'!$B$121:$B$142,0))</f>
        <v>2399.8006584887321</v>
      </c>
      <c r="G208" s="90">
        <f>INDEX(G$151:G$168,MATCH($B186,$B$151:$B$168,0))*INDEX('Resource costs'!$C$121:$C$142, MATCH($B186, 'Resource costs'!$B$121:$B$142,0))</f>
        <v>2465.8008673556328</v>
      </c>
      <c r="H208" s="90">
        <f>INDEX(H$151:H$168,MATCH($B186,$B$151:$B$168,0))*INDEX('Resource costs'!$C$121:$C$142, MATCH($B186, 'Resource costs'!$B$121:$B$142,0))</f>
        <v>2526.624360570162</v>
      </c>
      <c r="I208" s="90">
        <f>INDEX(I$151:I$168,MATCH($B186,$B$151:$B$168,0))*INDEX('Resource costs'!$C$121:$C$142, MATCH($B186, 'Resource costs'!$B$121:$B$142,0))</f>
        <v>2584.1295397860163</v>
      </c>
      <c r="J208" s="90">
        <f>INDEX(J$151:J$168,MATCH($B186,$B$151:$B$168,0))*INDEX('Resource costs'!$C$121:$C$142, MATCH($B186, 'Resource costs'!$B$121:$B$142,0))</f>
        <v>2638.5659173810313</v>
      </c>
      <c r="K208" s="90">
        <f>INDEX(K$151:K$168,MATCH($B186,$B$151:$B$168,0))*INDEX('Resource costs'!$C$121:$C$142, MATCH($B186, 'Resource costs'!$B$121:$B$142,0))</f>
        <v>2690.8708880235395</v>
      </c>
      <c r="L208" s="90">
        <f>INDEX(L$151:L$168,MATCH($B186,$B$151:$B$168,0))*INDEX('Resource costs'!$C$121:$C$142, MATCH($B186, 'Resource costs'!$B$121:$B$142,0))</f>
        <v>2745.8468686963179</v>
      </c>
      <c r="M208" s="90">
        <f>INDEX(M$151:M$168,MATCH($B186,$B$151:$B$168,0))*INDEX('Resource costs'!$C$121:$C$142, MATCH($B186, 'Resource costs'!$B$121:$B$142,0))</f>
        <v>2800.6743466690714</v>
      </c>
      <c r="N208" s="90">
        <f>INDEX(N$151:N$168,MATCH($B186,$B$151:$B$168,0))*INDEX('Resource costs'!$C$121:$C$142, MATCH($B186, 'Resource costs'!$B$121:$B$142,0))</f>
        <v>2854.0128955509567</v>
      </c>
      <c r="O208" s="90">
        <f>INDEX(O$151:O$168,MATCH($B186,$B$151:$B$168,0))*INDEX('Resource costs'!$C$121:$C$142, MATCH($B186, 'Resource costs'!$B$121:$B$142,0))</f>
        <v>2905.3120101902828</v>
      </c>
      <c r="P208" s="90">
        <f>INDEX(P$151:P$168,MATCH($B186,$B$151:$B$168,0))*INDEX('Resource costs'!$C$121:$C$142, MATCH($B186, 'Resource costs'!$B$121:$B$142,0))</f>
        <v>2954.2571366691836</v>
      </c>
      <c r="Q208" s="90">
        <f>INDEX(Q$151:Q$168,MATCH($B186,$B$151:$B$168,0))*INDEX('Resource costs'!$C$121:$C$142, MATCH($B186, 'Resource costs'!$B$121:$B$142,0))</f>
        <v>3001.699012676856</v>
      </c>
      <c r="R208" s="90">
        <f>INDEX(R$151:R$168,MATCH($B186,$B$151:$B$168,0))*INDEX('Resource costs'!$C$121:$C$142, MATCH($B186, 'Resource costs'!$B$121:$B$142,0))</f>
        <v>3048.6139673070575</v>
      </c>
      <c r="S208" s="90">
        <f>INDEX(S$151:S$168,MATCH($B186,$B$151:$B$168,0))*INDEX('Resource costs'!$C$121:$C$142, MATCH($B186, 'Resource costs'!$B$121:$B$142,0))</f>
        <v>3095.1585345141534</v>
      </c>
      <c r="T208" s="90">
        <f>INDEX(T$151:T$168,MATCH($B186,$B$151:$B$168,0))*INDEX('Resource costs'!$C$121:$C$142, MATCH($B186, 'Resource costs'!$B$121:$B$142,0))</f>
        <v>3140.601724672174</v>
      </c>
      <c r="U208" s="90">
        <f>INDEX(U$151:U$168,MATCH($B186,$B$151:$B$168,0))*INDEX('Resource costs'!$C$121:$C$142, MATCH($B186, 'Resource costs'!$B$121:$B$142,0))</f>
        <v>3185.0761484475024</v>
      </c>
      <c r="V208" s="90">
        <f>INDEX(V$151:V$168,MATCH($B186,$B$151:$B$168,0))*INDEX('Resource costs'!$C$121:$C$142, MATCH($B186, 'Resource costs'!$B$121:$B$142,0))</f>
        <v>3230.3777345627523</v>
      </c>
      <c r="W208" s="90">
        <f>INDEX(W$151:W$168,MATCH($B186,$B$151:$B$168,0))*INDEX('Resource costs'!$C$121:$C$142, MATCH($B186, 'Resource costs'!$B$121:$B$142,0))</f>
        <v>3275.03093343305</v>
      </c>
      <c r="X208" s="90">
        <f>INDEX(X$151:X$168,MATCH($B186,$B$151:$B$168,0))*INDEX('Resource costs'!$C$121:$C$142, MATCH($B186, 'Resource costs'!$B$121:$B$142,0))</f>
        <v>3318.6176937474966</v>
      </c>
      <c r="Y208" s="90">
        <f>INDEX(Y$151:Y$168,MATCH($B186,$B$151:$B$168,0))*INDEX('Resource costs'!$C$121:$C$142, MATCH($B186, 'Resource costs'!$B$121:$B$142,0))</f>
        <v>3361.0739429271184</v>
      </c>
      <c r="Z208" s="90">
        <f>INDEX(Z$151:Z$168,MATCH($B186,$B$151:$B$168,0))*INDEX('Resource costs'!$C$121:$C$142, MATCH($B186, 'Resource costs'!$B$121:$B$142,0))</f>
        <v>3403.1184170165275</v>
      </c>
      <c r="AA208" s="90">
        <f>INDEX(AA$151:AA$168,MATCH($B186,$B$151:$B$168,0))*INDEX('Resource costs'!$C$121:$C$142, MATCH($B186, 'Resource costs'!$B$121:$B$142,0))</f>
        <v>3444.5944447305542</v>
      </c>
      <c r="AB208" s="90">
        <f>INDEX(AB$151:AB$168,MATCH($B186,$B$151:$B$168,0))*INDEX('Resource costs'!$C$121:$C$142, MATCH($B186, 'Resource costs'!$B$121:$B$142,0))</f>
        <v>3485.2097145014554</v>
      </c>
      <c r="AC208" s="90">
        <f>INDEX(AC$151:AC$168,MATCH($B186,$B$151:$B$168,0))*INDEX('Resource costs'!$C$121:$C$142, MATCH($B186, 'Resource costs'!$B$121:$B$142,0))</f>
        <v>3524.7364887295375</v>
      </c>
      <c r="AD208" s="90">
        <f>INDEX(AD$151:AD$168,MATCH($B186,$B$151:$B$168,0))*INDEX('Resource costs'!$C$121:$C$142, MATCH($B186, 'Resource costs'!$B$121:$B$142,0))</f>
        <v>3562.9462977847802</v>
      </c>
      <c r="AE208" s="90">
        <f>INDEX(AE$151:AE$168,MATCH($B186,$B$151:$B$168,0))*INDEX('Resource costs'!$C$121:$C$142, MATCH($B186, 'Resource costs'!$B$121:$B$142,0))</f>
        <v>3599.6700863157412</v>
      </c>
      <c r="AF208" s="90">
        <f>INDEX(AF$151:AF$168,MATCH($B186,$B$151:$B$168,0))*INDEX('Resource costs'!$C$121:$C$142, MATCH($B186, 'Resource costs'!$B$121:$B$142,0))</f>
        <v>3634.754235257265</v>
      </c>
      <c r="AG208" s="90">
        <f>INDEX(AG$151:AG$168,MATCH($B186,$B$151:$B$168,0))*INDEX('Resource costs'!$C$121:$C$142, MATCH($B186, 'Resource costs'!$B$121:$B$142,0))</f>
        <v>3668.3290747774622</v>
      </c>
      <c r="AH208" s="90">
        <f>INDEX(AH$151:AH$168,MATCH($B186,$B$151:$B$168,0))*INDEX('Resource costs'!$C$121:$C$142, MATCH($B186, 'Resource costs'!$B$121:$B$142,0))</f>
        <v>3701.0603950520713</v>
      </c>
      <c r="AI208" s="90">
        <f>INDEX(AI$151:AI$168,MATCH($B186,$B$151:$B$168,0))*INDEX('Resource costs'!$C$121:$C$142, MATCH($B186, 'Resource costs'!$B$121:$B$142,0))</f>
        <v>3733.0236523186295</v>
      </c>
      <c r="AJ208" s="90">
        <f>INDEX(AJ$151:AJ$168,MATCH($B186,$B$151:$B$168,0))*INDEX('Resource costs'!$C$121:$C$142, MATCH($B186, 'Resource costs'!$B$121:$B$142,0))</f>
        <v>3764.4690588359135</v>
      </c>
      <c r="AK208" s="90">
        <f>INDEX(AK$151:AK$168,MATCH($B186,$B$151:$B$168,0))*INDEX('Resource costs'!$C$121:$C$142, MATCH($B186, 'Resource costs'!$B$121:$B$142,0))</f>
        <v>3794.6539069933065</v>
      </c>
      <c r="AL208" s="90">
        <f>INDEX(AL$151:AL$168,MATCH($B186,$B$151:$B$168,0))*INDEX('Resource costs'!$C$121:$C$142, MATCH($B186, 'Resource costs'!$B$121:$B$142,0))</f>
        <v>3823.0094309121187</v>
      </c>
      <c r="AM208" s="90">
        <f>INDEX(AM$151:AM$168,MATCH($B186,$B$151:$B$168,0))*INDEX('Resource costs'!$C$121:$C$142, MATCH($B186, 'Resource costs'!$B$121:$B$142,0))</f>
        <v>3849.1490506353616</v>
      </c>
      <c r="AN208" s="90">
        <f>INDEX(AN$151:AN$168,MATCH($B186,$B$151:$B$168,0))*INDEX('Resource costs'!$C$121:$C$142, MATCH($B186, 'Resource costs'!$B$121:$B$142,0))</f>
        <v>3873.301512050195</v>
      </c>
      <c r="AO208" s="90">
        <f>INDEX(AO$151:AO$168,MATCH($B186,$B$151:$B$168,0))*INDEX('Resource costs'!$C$121:$C$142, MATCH($B186, 'Resource costs'!$B$121:$B$142,0))</f>
        <v>3895.517952647765</v>
      </c>
      <c r="AP208" s="90">
        <f>INDEX(AP$151:AP$168,MATCH($B186,$B$151:$B$168,0))*INDEX('Resource costs'!$C$121:$C$142, MATCH($B186, 'Resource costs'!$B$121:$B$142,0))</f>
        <v>3915.7045435389778</v>
      </c>
      <c r="AQ208" s="90">
        <f>INDEX(AQ$151:AQ$168,MATCH($B186,$B$151:$B$168,0))*INDEX('Resource costs'!$C$121:$C$142, MATCH($B186, 'Resource costs'!$B$121:$B$142,0))</f>
        <v>3934.6732455230067</v>
      </c>
      <c r="AR208" s="90">
        <f>INDEX(AR$151:AR$168,MATCH($B186,$B$151:$B$168,0))*INDEX('Resource costs'!$C$121:$C$142, MATCH($B186, 'Resource costs'!$B$121:$B$142,0))</f>
        <v>3953.33592827551</v>
      </c>
      <c r="AS208" s="90">
        <f>INDEX(AS$151:AS$168,MATCH($B186,$B$151:$B$168,0))*INDEX('Resource costs'!$C$121:$C$142, MATCH($B186, 'Resource costs'!$B$121:$B$142,0))</f>
        <v>3972.4261054088611</v>
      </c>
      <c r="AT208" s="90">
        <f>INDEX(AT$151:AT$168,MATCH($B186,$B$151:$B$168,0))*INDEX('Resource costs'!$C$121:$C$142, MATCH($B186, 'Resource costs'!$B$121:$B$142,0))</f>
        <v>3987.306898484308</v>
      </c>
      <c r="AU208" s="90">
        <f>INDEX(AU$151:AU$168,MATCH($B186,$B$151:$B$168,0))*INDEX('Resource costs'!$C$121:$C$142, MATCH($B186, 'Resource costs'!$B$121:$B$142,0))</f>
        <v>3998.906476686619</v>
      </c>
      <c r="AV208" s="90">
        <f>INDEX(AV$151:AV$168,MATCH($B186,$B$151:$B$168,0))*INDEX('Resource costs'!$C$121:$C$142, MATCH($B186, 'Resource costs'!$B$121:$B$142,0))</f>
        <v>4007.9483478953207</v>
      </c>
      <c r="AW208" s="90">
        <f>INDEX(AW$151:AW$168,MATCH($B186,$B$151:$B$168,0))*INDEX('Resource costs'!$C$121:$C$142, MATCH($B186, 'Resource costs'!$B$121:$B$142,0))</f>
        <v>4014.9964865025031</v>
      </c>
      <c r="AX208" s="90">
        <f>INDEX(AX$151:AX$168,MATCH($B186,$B$151:$B$168,0))*INDEX('Resource costs'!$C$121:$C$142, MATCH($B186, 'Resource costs'!$B$121:$B$142,0))</f>
        <v>4020.4905105468019</v>
      </c>
      <c r="AY208" s="90">
        <f>INDEX(AY$151:AY$168,MATCH($B186,$B$151:$B$168,0))*INDEX('Resource costs'!$C$121:$C$142, MATCH($B186, 'Resource costs'!$B$121:$B$142,0))</f>
        <v>4024.7731022893327</v>
      </c>
      <c r="AZ208" s="90">
        <f>INDEX(AZ$151:AZ$168,MATCH($B186,$B$151:$B$168,0))*INDEX('Resource costs'!$C$121:$C$142, MATCH($B186, 'Resource costs'!$B$121:$B$142,0))</f>
        <v>4028.1113825526359</v>
      </c>
      <c r="BA208" s="90">
        <f>INDEX(BA$151:BA$168,MATCH($B186,$B$151:$B$168,0))*INDEX('Resource costs'!$C$121:$C$142, MATCH($B186, 'Resource costs'!$B$121:$B$142,0))</f>
        <v>4030.7135720178803</v>
      </c>
      <c r="BB208" s="90">
        <f>INDEX(BB$151:BB$168,MATCH($B186,$B$151:$B$168,0))*INDEX('Resource costs'!$C$121:$C$142, MATCH($B186, 'Resource costs'!$B$121:$B$142,0))</f>
        <v>4032.741978706038</v>
      </c>
    </row>
    <row r="209" spans="1:54">
      <c r="B209" s="6" t="s">
        <v>2862</v>
      </c>
      <c r="C209" s="52"/>
      <c r="D209" s="90">
        <f>INDEX(D$151:D$168,MATCH($B187,$B$151:$B$168,0))*INDEX('Resource costs'!$C$121:$C$142, MATCH($B187, 'Resource costs'!$B$121:$B$142,0))</f>
        <v>2905.8388984119206</v>
      </c>
      <c r="E209" s="90">
        <f>INDEX(E$151:E$168,MATCH($B187,$B$151:$B$168,0))*INDEX('Resource costs'!$C$121:$C$142, MATCH($B187, 'Resource costs'!$B$121:$B$142,0))</f>
        <v>3017.5376689814439</v>
      </c>
      <c r="F209" s="90">
        <f>INDEX(F$151:F$168,MATCH($B187,$B$151:$B$168,0))*INDEX('Resource costs'!$C$121:$C$142, MATCH($B187, 'Resource costs'!$B$121:$B$142,0))</f>
        <v>3114.0021353549196</v>
      </c>
      <c r="G209" s="90">
        <f>INDEX(G$151:G$168,MATCH($B187,$B$151:$B$168,0))*INDEX('Resource costs'!$C$121:$C$142, MATCH($B187, 'Resource costs'!$B$121:$B$142,0))</f>
        <v>3199.6445784546841</v>
      </c>
      <c r="H209" s="90">
        <f>INDEX(H$151:H$168,MATCH($B187,$B$151:$B$168,0))*INDEX('Resource costs'!$C$121:$C$142, MATCH($B187, 'Resource costs'!$B$121:$B$142,0))</f>
        <v>3278.5696704533948</v>
      </c>
      <c r="I209" s="90">
        <f>INDEX(I$151:I$168,MATCH($B187,$B$151:$B$168,0))*INDEX('Resource costs'!$C$121:$C$142, MATCH($B187, 'Resource costs'!$B$121:$B$142,0))</f>
        <v>3353.1888894450699</v>
      </c>
      <c r="J209" s="90">
        <f>INDEX(J$151:J$168,MATCH($B187,$B$151:$B$168,0))*INDEX('Resource costs'!$C$121:$C$142, MATCH($B187, 'Resource costs'!$B$121:$B$142,0))</f>
        <v>3423.8260048539032</v>
      </c>
      <c r="K209" s="90">
        <f>INDEX(K$151:K$168,MATCH($B187,$B$151:$B$168,0))*INDEX('Resource costs'!$C$121:$C$142, MATCH($B187, 'Resource costs'!$B$121:$B$142,0))</f>
        <v>3491.6973881266367</v>
      </c>
      <c r="L209" s="90">
        <f>INDEX(L$151:L$168,MATCH($B187,$B$151:$B$168,0))*INDEX('Resource costs'!$C$121:$C$142, MATCH($B187, 'Resource costs'!$B$121:$B$142,0))</f>
        <v>3563.0346971663271</v>
      </c>
      <c r="M209" s="90">
        <f>INDEX(M$151:M$168,MATCH($B187,$B$151:$B$168,0))*INDEX('Resource costs'!$C$121:$C$142, MATCH($B187, 'Resource costs'!$B$121:$B$142,0))</f>
        <v>3634.1793078152791</v>
      </c>
      <c r="N209" s="90">
        <f>INDEX(N$151:N$168,MATCH($B187,$B$151:$B$168,0))*INDEX('Resource costs'!$C$121:$C$142, MATCH($B187, 'Resource costs'!$B$121:$B$142,0))</f>
        <v>3703.3918711702381</v>
      </c>
      <c r="O209" s="90">
        <f>INDEX(O$151:O$168,MATCH($B187,$B$151:$B$168,0))*INDEX('Resource costs'!$C$121:$C$142, MATCH($B187, 'Resource costs'!$B$121:$B$142,0))</f>
        <v>3769.9580469747225</v>
      </c>
      <c r="P209" s="90">
        <f>INDEX(P$151:P$168,MATCH($B187,$B$151:$B$168,0))*INDEX('Resource costs'!$C$121:$C$142, MATCH($B187, 'Resource costs'!$B$121:$B$142,0))</f>
        <v>3833.4696673384306</v>
      </c>
      <c r="Q209" s="90">
        <f>INDEX(Q$151:Q$168,MATCH($B187,$B$151:$B$168,0))*INDEX('Resource costs'!$C$121:$C$142, MATCH($B187, 'Resource costs'!$B$121:$B$142,0))</f>
        <v>3895.0306568608562</v>
      </c>
      <c r="R209" s="90">
        <f>INDEX(R$151:R$168,MATCH($B187,$B$151:$B$168,0))*INDEX('Resource costs'!$C$121:$C$142, MATCH($B187, 'Resource costs'!$B$121:$B$142,0))</f>
        <v>3955.9079086366469</v>
      </c>
      <c r="S209" s="90">
        <f>INDEX(S$151:S$168,MATCH($B187,$B$151:$B$168,0))*INDEX('Resource costs'!$C$121:$C$142, MATCH($B187, 'Resource costs'!$B$121:$B$142,0))</f>
        <v>4016.3045424817856</v>
      </c>
      <c r="T209" s="90">
        <f>INDEX(T$151:T$168,MATCH($B187,$B$151:$B$168,0))*INDEX('Resource costs'!$C$121:$C$142, MATCH($B187, 'Resource costs'!$B$121:$B$142,0))</f>
        <v>4075.272019921571</v>
      </c>
      <c r="U209" s="90">
        <f>INDEX(U$151:U$168,MATCH($B187,$B$151:$B$168,0))*INDEX('Resource costs'!$C$121:$C$142, MATCH($B187, 'Resource costs'!$B$121:$B$142,0))</f>
        <v>4132.9824177061382</v>
      </c>
      <c r="V209" s="90">
        <f>INDEX(V$151:V$168,MATCH($B187,$B$151:$B$168,0))*INDEX('Resource costs'!$C$121:$C$142, MATCH($B187, 'Resource costs'!$B$121:$B$142,0))</f>
        <v>4191.7661485126346</v>
      </c>
      <c r="W209" s="90">
        <f>INDEX(W$151:W$168,MATCH($B187,$B$151:$B$168,0))*INDEX('Resource costs'!$C$121:$C$142, MATCH($B187, 'Resource costs'!$B$121:$B$142,0))</f>
        <v>4249.7085264100142</v>
      </c>
      <c r="X209" s="90">
        <f>INDEX(X$151:X$168,MATCH($B187,$B$151:$B$168,0))*INDEX('Resource costs'!$C$121:$C$142, MATCH($B187, 'Resource costs'!$B$121:$B$142,0))</f>
        <v>4306.2670843936867</v>
      </c>
      <c r="Y209" s="90">
        <f>INDEX(Y$151:Y$168,MATCH($B187,$B$151:$B$168,0))*INDEX('Resource costs'!$C$121:$C$142, MATCH($B187, 'Resource costs'!$B$121:$B$142,0))</f>
        <v>4361.3586813298098</v>
      </c>
      <c r="Z209" s="90">
        <f>INDEX(Z$151:Z$168,MATCH($B187,$B$151:$B$168,0))*INDEX('Resource costs'!$C$121:$C$142, MATCH($B187, 'Resource costs'!$B$121:$B$142,0))</f>
        <v>4415.915955339703</v>
      </c>
      <c r="AA209" s="90">
        <f>INDEX(AA$151:AA$168,MATCH($B187,$B$151:$B$168,0))*INDEX('Resource costs'!$C$121:$C$142, MATCH($B187, 'Resource costs'!$B$121:$B$142,0))</f>
        <v>4469.7356084057437</v>
      </c>
      <c r="AB209" s="90">
        <f>INDEX(AB$151:AB$168,MATCH($B187,$B$151:$B$168,0))*INDEX('Resource costs'!$C$121:$C$142, MATCH($B187, 'Resource costs'!$B$121:$B$142,0))</f>
        <v>4522.4383345039396</v>
      </c>
      <c r="AC209" s="90">
        <f>INDEX(AC$151:AC$168,MATCH($B187,$B$151:$B$168,0))*INDEX('Resource costs'!$C$121:$C$142, MATCH($B187, 'Resource costs'!$B$121:$B$142,0))</f>
        <v>4573.7286193509544</v>
      </c>
      <c r="AD209" s="90">
        <f>INDEX(AD$151:AD$168,MATCH($B187,$B$151:$B$168,0))*INDEX('Resource costs'!$C$121:$C$142, MATCH($B187, 'Resource costs'!$B$121:$B$142,0))</f>
        <v>4623.3099987745518</v>
      </c>
      <c r="AE209" s="90">
        <f>INDEX(AE$151:AE$168,MATCH($B187,$B$151:$B$168,0))*INDEX('Resource costs'!$C$121:$C$142, MATCH($B187, 'Resource costs'!$B$121:$B$142,0))</f>
        <v>4670.9631050853704</v>
      </c>
      <c r="AF209" s="90">
        <f>INDEX(AF$151:AF$168,MATCH($B187,$B$151:$B$168,0))*INDEX('Resource costs'!$C$121:$C$142, MATCH($B187, 'Resource costs'!$B$121:$B$142,0))</f>
        <v>4716.4886008529302</v>
      </c>
      <c r="AG209" s="90">
        <f>INDEX(AG$151:AG$168,MATCH($B187,$B$151:$B$168,0))*INDEX('Resource costs'!$C$121:$C$142, MATCH($B187, 'Resource costs'!$B$121:$B$142,0))</f>
        <v>4760.0556036330408</v>
      </c>
      <c r="AH209" s="90">
        <f>INDEX(AH$151:AH$168,MATCH($B187,$B$151:$B$168,0))*INDEX('Resource costs'!$C$121:$C$142, MATCH($B187, 'Resource costs'!$B$121:$B$142,0))</f>
        <v>4802.5280485286548</v>
      </c>
      <c r="AI209" s="90">
        <f>INDEX(AI$151:AI$168,MATCH($B187,$B$151:$B$168,0))*INDEX('Resource costs'!$C$121:$C$142, MATCH($B187, 'Resource costs'!$B$121:$B$142,0))</f>
        <v>4844.0038482076343</v>
      </c>
      <c r="AJ209" s="90">
        <f>INDEX(AJ$151:AJ$168,MATCH($B187,$B$151:$B$168,0))*INDEX('Resource costs'!$C$121:$C$142, MATCH($B187, 'Resource costs'!$B$121:$B$142,0))</f>
        <v>4884.8076802657479</v>
      </c>
      <c r="AK209" s="90">
        <f>INDEX(AK$151:AK$168,MATCH($B187,$B$151:$B$168,0))*INDEX('Resource costs'!$C$121:$C$142, MATCH($B187, 'Resource costs'!$B$121:$B$142,0))</f>
        <v>4923.9758008698482</v>
      </c>
      <c r="AL209" s="90">
        <f>INDEX(AL$151:AL$168,MATCH($B187,$B$151:$B$168,0))*INDEX('Resource costs'!$C$121:$C$142, MATCH($B187, 'Resource costs'!$B$121:$B$142,0))</f>
        <v>4960.7701744858196</v>
      </c>
      <c r="AM209" s="90">
        <f>INDEX(AM$151:AM$168,MATCH($B187,$B$151:$B$168,0))*INDEX('Resource costs'!$C$121:$C$142, MATCH($B187, 'Resource costs'!$B$121:$B$142,0))</f>
        <v>4994.6891716106911</v>
      </c>
      <c r="AN209" s="90">
        <f>INDEX(AN$151:AN$168,MATCH($B187,$B$151:$B$168,0))*INDEX('Resource costs'!$C$121:$C$142, MATCH($B187, 'Resource costs'!$B$121:$B$142,0))</f>
        <v>5026.0296148903562</v>
      </c>
      <c r="AO209" s="90">
        <f>INDEX(AO$151:AO$168,MATCH($B187,$B$151:$B$168,0))*INDEX('Resource costs'!$C$121:$C$142, MATCH($B187, 'Resource costs'!$B$121:$B$142,0))</f>
        <v>5054.8578607765721</v>
      </c>
      <c r="AP209" s="90">
        <f>INDEX(AP$151:AP$168,MATCH($B187,$B$151:$B$168,0))*INDEX('Resource costs'!$C$121:$C$142, MATCH($B187, 'Resource costs'!$B$121:$B$142,0))</f>
        <v>5081.0521560895677</v>
      </c>
      <c r="AQ209" s="90">
        <f>INDEX(AQ$151:AQ$168,MATCH($B187,$B$151:$B$168,0))*INDEX('Resource costs'!$C$121:$C$142, MATCH($B187, 'Resource costs'!$B$121:$B$142,0))</f>
        <v>5105.6661082002302</v>
      </c>
      <c r="AR209" s="90">
        <f>INDEX(AR$151:AR$168,MATCH($B187,$B$151:$B$168,0))*INDEX('Resource costs'!$C$121:$C$142, MATCH($B187, 'Resource costs'!$B$121:$B$142,0))</f>
        <v>5129.8829671035619</v>
      </c>
      <c r="AS209" s="90">
        <f>INDEX(AS$151:AS$168,MATCH($B187,$B$151:$B$168,0))*INDEX('Resource costs'!$C$121:$C$142, MATCH($B187, 'Resource costs'!$B$121:$B$142,0))</f>
        <v>5154.6545464209021</v>
      </c>
      <c r="AT209" s="90">
        <f>INDEX(AT$151:AT$168,MATCH($B187,$B$151:$B$168,0))*INDEX('Resource costs'!$C$121:$C$142, MATCH($B187, 'Resource costs'!$B$121:$B$142,0))</f>
        <v>5173.9639924987687</v>
      </c>
      <c r="AU209" s="90">
        <f>INDEX(AU$151:AU$168,MATCH($B187,$B$151:$B$168,0))*INDEX('Resource costs'!$C$121:$C$142, MATCH($B187, 'Resource costs'!$B$121:$B$142,0))</f>
        <v>5189.0157057164661</v>
      </c>
      <c r="AV209" s="90">
        <f>INDEX(AV$151:AV$168,MATCH($B187,$B$151:$B$168,0))*INDEX('Resource costs'!$C$121:$C$142, MATCH($B187, 'Resource costs'!$B$121:$B$142,0))</f>
        <v>5200.7485161696613</v>
      </c>
      <c r="AW209" s="90">
        <f>INDEX(AW$151:AW$168,MATCH($B187,$B$151:$B$168,0))*INDEX('Resource costs'!$C$121:$C$142, MATCH($B187, 'Resource costs'!$B$121:$B$142,0))</f>
        <v>5209.8942419179266</v>
      </c>
      <c r="AX209" s="90">
        <f>INDEX(AX$151:AX$168,MATCH($B187,$B$151:$B$168,0))*INDEX('Resource costs'!$C$121:$C$142, MATCH($B187, 'Resource costs'!$B$121:$B$142,0))</f>
        <v>5217.0233351386987</v>
      </c>
      <c r="AY209" s="90">
        <f>INDEX(AY$151:AY$168,MATCH($B187,$B$151:$B$168,0))*INDEX('Resource costs'!$C$121:$C$142, MATCH($B187, 'Resource costs'!$B$121:$B$142,0))</f>
        <v>5222.5804633042908</v>
      </c>
      <c r="AZ209" s="90">
        <f>INDEX(AZ$151:AZ$168,MATCH($B187,$B$151:$B$168,0))*INDEX('Resource costs'!$C$121:$C$142, MATCH($B187, 'Resource costs'!$B$121:$B$142,0))</f>
        <v>5226.9122447093705</v>
      </c>
      <c r="BA209" s="90">
        <f>INDEX(BA$151:BA$168,MATCH($B187,$B$151:$B$168,0))*INDEX('Resource costs'!$C$121:$C$142, MATCH($B187, 'Resource costs'!$B$121:$B$142,0))</f>
        <v>5230.2888683146293</v>
      </c>
      <c r="BB209" s="90">
        <f>INDEX(BB$151:BB$168,MATCH($B187,$B$151:$B$168,0))*INDEX('Resource costs'!$C$121:$C$142, MATCH($B187, 'Resource costs'!$B$121:$B$142,0))</f>
        <v>5232.920946414928</v>
      </c>
    </row>
    <row r="210" spans="1:54">
      <c r="B210" s="6" t="s">
        <v>131</v>
      </c>
      <c r="C210" s="52"/>
      <c r="D210" s="90">
        <f>INDEX(D$151:D$168,MATCH($B188,$B$151:$B$168,0))*INDEX('Resource costs'!$C$121:$C$142, MATCH($B188, 'Resource costs'!$B$121:$B$142,0))</f>
        <v>0</v>
      </c>
      <c r="E210" s="90">
        <f>INDEX(E$151:E$168,MATCH($B188,$B$151:$B$168,0))*INDEX('Resource costs'!$C$121:$C$142, MATCH($B188, 'Resource costs'!$B$121:$B$142,0))</f>
        <v>0</v>
      </c>
      <c r="F210" s="90">
        <f>INDEX(F$151:F$168,MATCH($B188,$B$151:$B$168,0))*INDEX('Resource costs'!$C$121:$C$142, MATCH($B188, 'Resource costs'!$B$121:$B$142,0))</f>
        <v>0</v>
      </c>
      <c r="G210" s="90">
        <f>INDEX(G$151:G$168,MATCH($B188,$B$151:$B$168,0))*INDEX('Resource costs'!$C$121:$C$142, MATCH($B188, 'Resource costs'!$B$121:$B$142,0))</f>
        <v>0</v>
      </c>
      <c r="H210" s="90">
        <f>INDEX(H$151:H$168,MATCH($B188,$B$151:$B$168,0))*INDEX('Resource costs'!$C$121:$C$142, MATCH($B188, 'Resource costs'!$B$121:$B$142,0))</f>
        <v>0</v>
      </c>
      <c r="I210" s="90">
        <f>INDEX(I$151:I$168,MATCH($B188,$B$151:$B$168,0))*INDEX('Resource costs'!$C$121:$C$142, MATCH($B188, 'Resource costs'!$B$121:$B$142,0))</f>
        <v>0</v>
      </c>
      <c r="J210" s="90">
        <f>INDEX(J$151:J$168,MATCH($B188,$B$151:$B$168,0))*INDEX('Resource costs'!$C$121:$C$142, MATCH($B188, 'Resource costs'!$B$121:$B$142,0))</f>
        <v>0</v>
      </c>
      <c r="K210" s="90">
        <f>INDEX(K$151:K$168,MATCH($B188,$B$151:$B$168,0))*INDEX('Resource costs'!$C$121:$C$142, MATCH($B188, 'Resource costs'!$B$121:$B$142,0))</f>
        <v>0</v>
      </c>
      <c r="L210" s="90">
        <f>INDEX(L$151:L$168,MATCH($B188,$B$151:$B$168,0))*INDEX('Resource costs'!$C$121:$C$142, MATCH($B188, 'Resource costs'!$B$121:$B$142,0))</f>
        <v>0</v>
      </c>
      <c r="M210" s="90">
        <f>INDEX(M$151:M$168,MATCH($B188,$B$151:$B$168,0))*INDEX('Resource costs'!$C$121:$C$142, MATCH($B188, 'Resource costs'!$B$121:$B$142,0))</f>
        <v>0</v>
      </c>
      <c r="N210" s="90">
        <f>INDEX(N$151:N$168,MATCH($B188,$B$151:$B$168,0))*INDEX('Resource costs'!$C$121:$C$142, MATCH($B188, 'Resource costs'!$B$121:$B$142,0))</f>
        <v>0</v>
      </c>
      <c r="O210" s="90">
        <f>INDEX(O$151:O$168,MATCH($B188,$B$151:$B$168,0))*INDEX('Resource costs'!$C$121:$C$142, MATCH($B188, 'Resource costs'!$B$121:$B$142,0))</f>
        <v>0</v>
      </c>
      <c r="P210" s="90">
        <f>INDEX(P$151:P$168,MATCH($B188,$B$151:$B$168,0))*INDEX('Resource costs'!$C$121:$C$142, MATCH($B188, 'Resource costs'!$B$121:$B$142,0))</f>
        <v>0</v>
      </c>
      <c r="Q210" s="90">
        <f>INDEX(Q$151:Q$168,MATCH($B188,$B$151:$B$168,0))*INDEX('Resource costs'!$C$121:$C$142, MATCH($B188, 'Resource costs'!$B$121:$B$142,0))</f>
        <v>0</v>
      </c>
      <c r="R210" s="90">
        <f>INDEX(R$151:R$168,MATCH($B188,$B$151:$B$168,0))*INDEX('Resource costs'!$C$121:$C$142, MATCH($B188, 'Resource costs'!$B$121:$B$142,0))</f>
        <v>0</v>
      </c>
      <c r="S210" s="90">
        <f>INDEX(S$151:S$168,MATCH($B188,$B$151:$B$168,0))*INDEX('Resource costs'!$C$121:$C$142, MATCH($B188, 'Resource costs'!$B$121:$B$142,0))</f>
        <v>0</v>
      </c>
      <c r="T210" s="90">
        <f>INDEX(T$151:T$168,MATCH($B188,$B$151:$B$168,0))*INDEX('Resource costs'!$C$121:$C$142, MATCH($B188, 'Resource costs'!$B$121:$B$142,0))</f>
        <v>0</v>
      </c>
      <c r="U210" s="90">
        <f>INDEX(U$151:U$168,MATCH($B188,$B$151:$B$168,0))*INDEX('Resource costs'!$C$121:$C$142, MATCH($B188, 'Resource costs'!$B$121:$B$142,0))</f>
        <v>0</v>
      </c>
      <c r="V210" s="90">
        <f>INDEX(V$151:V$168,MATCH($B188,$B$151:$B$168,0))*INDEX('Resource costs'!$C$121:$C$142, MATCH($B188, 'Resource costs'!$B$121:$B$142,0))</f>
        <v>0</v>
      </c>
      <c r="W210" s="90">
        <f>INDEX(W$151:W$168,MATCH($B188,$B$151:$B$168,0))*INDEX('Resource costs'!$C$121:$C$142, MATCH($B188, 'Resource costs'!$B$121:$B$142,0))</f>
        <v>0</v>
      </c>
      <c r="X210" s="90">
        <f>INDEX(X$151:X$168,MATCH($B188,$B$151:$B$168,0))*INDEX('Resource costs'!$C$121:$C$142, MATCH($B188, 'Resource costs'!$B$121:$B$142,0))</f>
        <v>0</v>
      </c>
      <c r="Y210" s="90">
        <f>INDEX(Y$151:Y$168,MATCH($B188,$B$151:$B$168,0))*INDEX('Resource costs'!$C$121:$C$142, MATCH($B188, 'Resource costs'!$B$121:$B$142,0))</f>
        <v>0</v>
      </c>
      <c r="Z210" s="90">
        <f>INDEX(Z$151:Z$168,MATCH($B188,$B$151:$B$168,0))*INDEX('Resource costs'!$C$121:$C$142, MATCH($B188, 'Resource costs'!$B$121:$B$142,0))</f>
        <v>0</v>
      </c>
      <c r="AA210" s="90">
        <f>INDEX(AA$151:AA$168,MATCH($B188,$B$151:$B$168,0))*INDEX('Resource costs'!$C$121:$C$142, MATCH($B188, 'Resource costs'!$B$121:$B$142,0))</f>
        <v>0</v>
      </c>
      <c r="AB210" s="90">
        <f>INDEX(AB$151:AB$168,MATCH($B188,$B$151:$B$168,0))*INDEX('Resource costs'!$C$121:$C$142, MATCH($B188, 'Resource costs'!$B$121:$B$142,0))</f>
        <v>0</v>
      </c>
      <c r="AC210" s="90">
        <f>INDEX(AC$151:AC$168,MATCH($B188,$B$151:$B$168,0))*INDEX('Resource costs'!$C$121:$C$142, MATCH($B188, 'Resource costs'!$B$121:$B$142,0))</f>
        <v>0</v>
      </c>
      <c r="AD210" s="90">
        <f>INDEX(AD$151:AD$168,MATCH($B188,$B$151:$B$168,0))*INDEX('Resource costs'!$C$121:$C$142, MATCH($B188, 'Resource costs'!$B$121:$B$142,0))</f>
        <v>0</v>
      </c>
      <c r="AE210" s="90">
        <f>INDEX(AE$151:AE$168,MATCH($B188,$B$151:$B$168,0))*INDEX('Resource costs'!$C$121:$C$142, MATCH($B188, 'Resource costs'!$B$121:$B$142,0))</f>
        <v>0</v>
      </c>
      <c r="AF210" s="90">
        <f>INDEX(AF$151:AF$168,MATCH($B188,$B$151:$B$168,0))*INDEX('Resource costs'!$C$121:$C$142, MATCH($B188, 'Resource costs'!$B$121:$B$142,0))</f>
        <v>0</v>
      </c>
      <c r="AG210" s="90">
        <f>INDEX(AG$151:AG$168,MATCH($B188,$B$151:$B$168,0))*INDEX('Resource costs'!$C$121:$C$142, MATCH($B188, 'Resource costs'!$B$121:$B$142,0))</f>
        <v>0</v>
      </c>
      <c r="AH210" s="90">
        <f>INDEX(AH$151:AH$168,MATCH($B188,$B$151:$B$168,0))*INDEX('Resource costs'!$C$121:$C$142, MATCH($B188, 'Resource costs'!$B$121:$B$142,0))</f>
        <v>0</v>
      </c>
      <c r="AI210" s="90">
        <f>INDEX(AI$151:AI$168,MATCH($B188,$B$151:$B$168,0))*INDEX('Resource costs'!$C$121:$C$142, MATCH($B188, 'Resource costs'!$B$121:$B$142,0))</f>
        <v>0</v>
      </c>
      <c r="AJ210" s="90">
        <f>INDEX(AJ$151:AJ$168,MATCH($B188,$B$151:$B$168,0))*INDEX('Resource costs'!$C$121:$C$142, MATCH($B188, 'Resource costs'!$B$121:$B$142,0))</f>
        <v>0</v>
      </c>
      <c r="AK210" s="90">
        <f>INDEX(AK$151:AK$168,MATCH($B188,$B$151:$B$168,0))*INDEX('Resource costs'!$C$121:$C$142, MATCH($B188, 'Resource costs'!$B$121:$B$142,0))</f>
        <v>0</v>
      </c>
      <c r="AL210" s="90">
        <f>INDEX(AL$151:AL$168,MATCH($B188,$B$151:$B$168,0))*INDEX('Resource costs'!$C$121:$C$142, MATCH($B188, 'Resource costs'!$B$121:$B$142,0))</f>
        <v>0</v>
      </c>
      <c r="AM210" s="90">
        <f>INDEX(AM$151:AM$168,MATCH($B188,$B$151:$B$168,0))*INDEX('Resource costs'!$C$121:$C$142, MATCH($B188, 'Resource costs'!$B$121:$B$142,0))</f>
        <v>0</v>
      </c>
      <c r="AN210" s="90">
        <f>INDEX(AN$151:AN$168,MATCH($B188,$B$151:$B$168,0))*INDEX('Resource costs'!$C$121:$C$142, MATCH($B188, 'Resource costs'!$B$121:$B$142,0))</f>
        <v>0</v>
      </c>
      <c r="AO210" s="90">
        <f>INDEX(AO$151:AO$168,MATCH($B188,$B$151:$B$168,0))*INDEX('Resource costs'!$C$121:$C$142, MATCH($B188, 'Resource costs'!$B$121:$B$142,0))</f>
        <v>0</v>
      </c>
      <c r="AP210" s="90">
        <f>INDEX(AP$151:AP$168,MATCH($B188,$B$151:$B$168,0))*INDEX('Resource costs'!$C$121:$C$142, MATCH($B188, 'Resource costs'!$B$121:$B$142,0))</f>
        <v>0</v>
      </c>
      <c r="AQ210" s="90">
        <f>INDEX(AQ$151:AQ$168,MATCH($B188,$B$151:$B$168,0))*INDEX('Resource costs'!$C$121:$C$142, MATCH($B188, 'Resource costs'!$B$121:$B$142,0))</f>
        <v>0</v>
      </c>
      <c r="AR210" s="90">
        <f>INDEX(AR$151:AR$168,MATCH($B188,$B$151:$B$168,0))*INDEX('Resource costs'!$C$121:$C$142, MATCH($B188, 'Resource costs'!$B$121:$B$142,0))</f>
        <v>0</v>
      </c>
      <c r="AS210" s="90">
        <f>INDEX(AS$151:AS$168,MATCH($B188,$B$151:$B$168,0))*INDEX('Resource costs'!$C$121:$C$142, MATCH($B188, 'Resource costs'!$B$121:$B$142,0))</f>
        <v>0</v>
      </c>
      <c r="AT210" s="90">
        <f>INDEX(AT$151:AT$168,MATCH($B188,$B$151:$B$168,0))*INDEX('Resource costs'!$C$121:$C$142, MATCH($B188, 'Resource costs'!$B$121:$B$142,0))</f>
        <v>0</v>
      </c>
      <c r="AU210" s="90">
        <f>INDEX(AU$151:AU$168,MATCH($B188,$B$151:$B$168,0))*INDEX('Resource costs'!$C$121:$C$142, MATCH($B188, 'Resource costs'!$B$121:$B$142,0))</f>
        <v>0</v>
      </c>
      <c r="AV210" s="90">
        <f>INDEX(AV$151:AV$168,MATCH($B188,$B$151:$B$168,0))*INDEX('Resource costs'!$C$121:$C$142, MATCH($B188, 'Resource costs'!$B$121:$B$142,0))</f>
        <v>0</v>
      </c>
      <c r="AW210" s="90">
        <f>INDEX(AW$151:AW$168,MATCH($B188,$B$151:$B$168,0))*INDEX('Resource costs'!$C$121:$C$142, MATCH($B188, 'Resource costs'!$B$121:$B$142,0))</f>
        <v>0</v>
      </c>
      <c r="AX210" s="90">
        <f>INDEX(AX$151:AX$168,MATCH($B188,$B$151:$B$168,0))*INDEX('Resource costs'!$C$121:$C$142, MATCH($B188, 'Resource costs'!$B$121:$B$142,0))</f>
        <v>0</v>
      </c>
      <c r="AY210" s="90">
        <f>INDEX(AY$151:AY$168,MATCH($B188,$B$151:$B$168,0))*INDEX('Resource costs'!$C$121:$C$142, MATCH($B188, 'Resource costs'!$B$121:$B$142,0))</f>
        <v>0</v>
      </c>
      <c r="AZ210" s="90">
        <f>INDEX(AZ$151:AZ$168,MATCH($B188,$B$151:$B$168,0))*INDEX('Resource costs'!$C$121:$C$142, MATCH($B188, 'Resource costs'!$B$121:$B$142,0))</f>
        <v>0</v>
      </c>
      <c r="BA210" s="90">
        <f>INDEX(BA$151:BA$168,MATCH($B188,$B$151:$B$168,0))*INDEX('Resource costs'!$C$121:$C$142, MATCH($B188, 'Resource costs'!$B$121:$B$142,0))</f>
        <v>0</v>
      </c>
      <c r="BB210" s="90">
        <f>INDEX(BB$151:BB$168,MATCH($B188,$B$151:$B$168,0))*INDEX('Resource costs'!$C$121:$C$142, MATCH($B188, 'Resource costs'!$B$121:$B$142,0))</f>
        <v>0</v>
      </c>
    </row>
    <row r="211" spans="1:54" ht="29">
      <c r="B211" s="6" t="s">
        <v>2869</v>
      </c>
      <c r="C211" s="52"/>
      <c r="D211" s="90">
        <f>INDEX(D$151:D$168,MATCH($B189,$B$151:$B$168,0))*INDEX('Resource costs'!$C$121:$C$142, MATCH($B189, 'Resource costs'!$B$121:$B$142,0))</f>
        <v>19441.067241450779</v>
      </c>
      <c r="E211" s="90">
        <f>INDEX(E$151:E$168,MATCH($B189,$B$151:$B$168,0))*INDEX('Resource costs'!$C$121:$C$142, MATCH($B189, 'Resource costs'!$B$121:$B$142,0))</f>
        <v>20188.37064860672</v>
      </c>
      <c r="F211" s="90">
        <f>INDEX(F$151:F$168,MATCH($B189,$B$151:$B$168,0))*INDEX('Resource costs'!$C$121:$C$142, MATCH($B189, 'Resource costs'!$B$121:$B$142,0))</f>
        <v>20833.751291767054</v>
      </c>
      <c r="G211" s="90">
        <f>INDEX(G$151:G$168,MATCH($B189,$B$151:$B$168,0))*INDEX('Resource costs'!$C$121:$C$142, MATCH($B189, 'Resource costs'!$B$121:$B$142,0))</f>
        <v>21406.728856330104</v>
      </c>
      <c r="H211" s="90">
        <f>INDEX(H$151:H$168,MATCH($B189,$B$151:$B$168,0))*INDEX('Resource costs'!$C$121:$C$142, MATCH($B189, 'Resource costs'!$B$121:$B$142,0))</f>
        <v>21934.765018769525</v>
      </c>
      <c r="I211" s="90">
        <f>INDEX(I$151:I$168,MATCH($B189,$B$151:$B$168,0))*INDEX('Resource costs'!$C$121:$C$142, MATCH($B189, 'Resource costs'!$B$121:$B$142,0))</f>
        <v>22433.993401566149</v>
      </c>
      <c r="J211" s="90">
        <f>INDEX(J$151:J$168,MATCH($B189,$B$151:$B$168,0))*INDEX('Resource costs'!$C$121:$C$142, MATCH($B189, 'Resource costs'!$B$121:$B$142,0))</f>
        <v>22906.580134146458</v>
      </c>
      <c r="K211" s="90">
        <f>INDEX(K$151:K$168,MATCH($B189,$B$151:$B$168,0))*INDEX('Resource costs'!$C$121:$C$142, MATCH($B189, 'Resource costs'!$B$121:$B$142,0))</f>
        <v>23360.663162182391</v>
      </c>
      <c r="L211" s="90">
        <f>INDEX(L$151:L$168,MATCH($B189,$B$151:$B$168,0))*INDEX('Resource costs'!$C$121:$C$142, MATCH($B189, 'Resource costs'!$B$121:$B$142,0))</f>
        <v>23837.934432321534</v>
      </c>
      <c r="M211" s="90">
        <f>INDEX(M$151:M$168,MATCH($B189,$B$151:$B$168,0))*INDEX('Resource costs'!$C$121:$C$142, MATCH($B189, 'Resource costs'!$B$121:$B$142,0))</f>
        <v>24313.91648358012</v>
      </c>
      <c r="N211" s="90">
        <f>INDEX(N$151:N$168,MATCH($B189,$B$151:$B$168,0))*INDEX('Resource costs'!$C$121:$C$142, MATCH($B189, 'Resource costs'!$B$121:$B$142,0))</f>
        <v>24776.972470225595</v>
      </c>
      <c r="O211" s="90">
        <f>INDEX(O$151:O$168,MATCH($B189,$B$151:$B$168,0))*INDEX('Resource costs'!$C$121:$C$142, MATCH($B189, 'Resource costs'!$B$121:$B$142,0))</f>
        <v>25222.323208880953</v>
      </c>
      <c r="P211" s="90">
        <f>INDEX(P$151:P$168,MATCH($B189,$B$151:$B$168,0))*INDEX('Resource costs'!$C$121:$C$142, MATCH($B189, 'Resource costs'!$B$121:$B$142,0))</f>
        <v>25647.237915191454</v>
      </c>
      <c r="Q211" s="90">
        <f>INDEX(Q$151:Q$168,MATCH($B189,$B$151:$B$168,0))*INDEX('Resource costs'!$C$121:$C$142, MATCH($B189, 'Resource costs'!$B$121:$B$142,0))</f>
        <v>26059.102226530191</v>
      </c>
      <c r="R211" s="90">
        <f>INDEX(R$151:R$168,MATCH($B189,$B$151:$B$168,0))*INDEX('Resource costs'!$C$121:$C$142, MATCH($B189, 'Resource costs'!$B$121:$B$142,0))</f>
        <v>26466.392095866951</v>
      </c>
      <c r="S211" s="90">
        <f>INDEX(S$151:S$168,MATCH($B189,$B$151:$B$168,0))*INDEX('Resource costs'!$C$121:$C$142, MATCH($B189, 'Resource costs'!$B$121:$B$142,0))</f>
        <v>26870.466465021531</v>
      </c>
      <c r="T211" s="90">
        <f>INDEX(T$151:T$168,MATCH($B189,$B$151:$B$168,0))*INDEX('Resource costs'!$C$121:$C$142, MATCH($B189, 'Resource costs'!$B$121:$B$142,0))</f>
        <v>27264.979283537421</v>
      </c>
      <c r="U211" s="90">
        <f>INDEX(U$151:U$168,MATCH($B189,$B$151:$B$168,0))*INDEX('Resource costs'!$C$121:$C$142, MATCH($B189, 'Resource costs'!$B$121:$B$142,0))</f>
        <v>27651.081804387359</v>
      </c>
      <c r="V211" s="90">
        <f>INDEX(V$151:V$168,MATCH($B189,$B$151:$B$168,0))*INDEX('Resource costs'!$C$121:$C$142, MATCH($B189, 'Resource costs'!$B$121:$B$142,0))</f>
        <v>28044.365294376079</v>
      </c>
      <c r="W211" s="90">
        <f>INDEX(W$151:W$168,MATCH($B189,$B$151:$B$168,0))*INDEX('Resource costs'!$C$121:$C$142, MATCH($B189, 'Resource costs'!$B$121:$B$142,0))</f>
        <v>28432.019842413189</v>
      </c>
      <c r="X211" s="90">
        <f>INDEX(X$151:X$168,MATCH($B189,$B$151:$B$168,0))*INDEX('Resource costs'!$C$121:$C$142, MATCH($B189, 'Resource costs'!$B$121:$B$142,0))</f>
        <v>28810.416156620755</v>
      </c>
      <c r="Y211" s="90">
        <f>INDEX(Y$151:Y$168,MATCH($B189,$B$151:$B$168,0))*INDEX('Resource costs'!$C$121:$C$142, MATCH($B189, 'Resource costs'!$B$121:$B$142,0))</f>
        <v>29178.997994058274</v>
      </c>
      <c r="Z211" s="90">
        <f>INDEX(Z$151:Z$168,MATCH($B189,$B$151:$B$168,0))*INDEX('Resource costs'!$C$121:$C$142, MATCH($B189, 'Resource costs'!$B$121:$B$142,0))</f>
        <v>29544.005026318828</v>
      </c>
      <c r="AA211" s="90">
        <f>INDEX(AA$151:AA$168,MATCH($B189,$B$151:$B$168,0))*INDEX('Resource costs'!$C$121:$C$142, MATCH($B189, 'Resource costs'!$B$121:$B$142,0))</f>
        <v>29904.077119352016</v>
      </c>
      <c r="AB211" s="90">
        <f>INDEX(AB$151:AB$168,MATCH($B189,$B$151:$B$168,0))*INDEX('Resource costs'!$C$121:$C$142, MATCH($B189, 'Resource costs'!$B$121:$B$142,0))</f>
        <v>30256.676584670877</v>
      </c>
      <c r="AC211" s="90">
        <f>INDEX(AC$151:AC$168,MATCH($B189,$B$151:$B$168,0))*INDEX('Resource costs'!$C$121:$C$142, MATCH($B189, 'Resource costs'!$B$121:$B$142,0))</f>
        <v>30599.826329513555</v>
      </c>
      <c r="AD211" s="90">
        <f>INDEX(AD$151:AD$168,MATCH($B189,$B$151:$B$168,0))*INDEX('Resource costs'!$C$121:$C$142, MATCH($B189, 'Resource costs'!$B$121:$B$142,0))</f>
        <v>30931.542906032933</v>
      </c>
      <c r="AE211" s="90">
        <f>INDEX(AE$151:AE$168,MATCH($B189,$B$151:$B$168,0))*INDEX('Resource costs'!$C$121:$C$142, MATCH($B189, 'Resource costs'!$B$121:$B$142,0))</f>
        <v>31250.358668516848</v>
      </c>
      <c r="AF211" s="90">
        <f>INDEX(AF$151:AF$168,MATCH($B189,$B$151:$B$168,0))*INDEX('Resource costs'!$C$121:$C$142, MATCH($B189, 'Resource costs'!$B$121:$B$142,0))</f>
        <v>31554.939980612715</v>
      </c>
      <c r="AG211" s="90">
        <f>INDEX(AG$151:AG$168,MATCH($B189,$B$151:$B$168,0))*INDEX('Resource costs'!$C$121:$C$142, MATCH($B189, 'Resource costs'!$B$121:$B$142,0))</f>
        <v>31846.418297259766</v>
      </c>
      <c r="AH211" s="90">
        <f>INDEX(AH$151:AH$168,MATCH($B189,$B$151:$B$168,0))*INDEX('Resource costs'!$C$121:$C$142, MATCH($B189, 'Resource costs'!$B$121:$B$142,0))</f>
        <v>32130.573643096617</v>
      </c>
      <c r="AI211" s="90">
        <f>INDEX(AI$151:AI$168,MATCH($B189,$B$151:$B$168,0))*INDEX('Resource costs'!$C$121:$C$142, MATCH($B189, 'Resource costs'!$B$121:$B$142,0))</f>
        <v>32408.061087735288</v>
      </c>
      <c r="AJ211" s="90">
        <f>INDEX(AJ$151:AJ$168,MATCH($B189,$B$151:$B$168,0))*INDEX('Resource costs'!$C$121:$C$142, MATCH($B189, 'Resource costs'!$B$121:$B$142,0))</f>
        <v>32681.0528365842</v>
      </c>
      <c r="AK211" s="90">
        <f>INDEX(AK$151:AK$168,MATCH($B189,$B$151:$B$168,0))*INDEX('Resource costs'!$C$121:$C$142, MATCH($B189, 'Resource costs'!$B$121:$B$142,0))</f>
        <v>32943.10111007993</v>
      </c>
      <c r="AL211" s="90">
        <f>INDEX(AL$151:AL$168,MATCH($B189,$B$151:$B$168,0))*INDEX('Resource costs'!$C$121:$C$142, MATCH($B189, 'Resource costs'!$B$121:$B$142,0))</f>
        <v>33189.268195242868</v>
      </c>
      <c r="AM211" s="90">
        <f>INDEX(AM$151:AM$168,MATCH($B189,$B$151:$B$168,0))*INDEX('Resource costs'!$C$121:$C$142, MATCH($B189, 'Resource costs'!$B$121:$B$142,0))</f>
        <v>33416.198017204988</v>
      </c>
      <c r="AN211" s="90">
        <f>INDEX(AN$151:AN$168,MATCH($B189,$B$151:$B$168,0))*INDEX('Resource costs'!$C$121:$C$142, MATCH($B189, 'Resource costs'!$B$121:$B$142,0))</f>
        <v>33625.876422126137</v>
      </c>
      <c r="AO211" s="90">
        <f>INDEX(AO$151:AO$168,MATCH($B189,$B$151:$B$168,0))*INDEX('Resource costs'!$C$121:$C$142, MATCH($B189, 'Resource costs'!$B$121:$B$142,0))</f>
        <v>33818.747357618573</v>
      </c>
      <c r="AP211" s="90">
        <f>INDEX(AP$151:AP$168,MATCH($B189,$B$151:$B$168,0))*INDEX('Resource costs'!$C$121:$C$142, MATCH($B189, 'Resource costs'!$B$121:$B$142,0))</f>
        <v>33993.996252800149</v>
      </c>
      <c r="AQ211" s="90">
        <f>INDEX(AQ$151:AQ$168,MATCH($B189,$B$151:$B$168,0))*INDEX('Resource costs'!$C$121:$C$142, MATCH($B189, 'Resource costs'!$B$121:$B$142,0))</f>
        <v>34158.672105381913</v>
      </c>
      <c r="AR211" s="90">
        <f>INDEX(AR$151:AR$168,MATCH($B189,$B$151:$B$168,0))*INDEX('Resource costs'!$C$121:$C$142, MATCH($B189, 'Resource costs'!$B$121:$B$142,0))</f>
        <v>34320.691267068309</v>
      </c>
      <c r="AS211" s="90">
        <f>INDEX(AS$151:AS$168,MATCH($B189,$B$151:$B$168,0))*INDEX('Resource costs'!$C$121:$C$142, MATCH($B189, 'Resource costs'!$B$121:$B$142,0))</f>
        <v>34486.42170017957</v>
      </c>
      <c r="AT211" s="90">
        <f>INDEX(AT$151:AT$168,MATCH($B189,$B$151:$B$168,0))*INDEX('Resource costs'!$C$121:$C$142, MATCH($B189, 'Resource costs'!$B$121:$B$142,0))</f>
        <v>34615.608572789788</v>
      </c>
      <c r="AU211" s="90">
        <f>INDEX(AU$151:AU$168,MATCH($B189,$B$151:$B$168,0))*INDEX('Resource costs'!$C$121:$C$142, MATCH($B189, 'Resource costs'!$B$121:$B$142,0))</f>
        <v>34716.309739989461</v>
      </c>
      <c r="AV211" s="90">
        <f>INDEX(AV$151:AV$168,MATCH($B189,$B$151:$B$168,0))*INDEX('Resource costs'!$C$121:$C$142, MATCH($B189, 'Resource costs'!$B$121:$B$142,0))</f>
        <v>34794.806299821597</v>
      </c>
      <c r="AW211" s="90">
        <f>INDEX(AW$151:AW$168,MATCH($B189,$B$151:$B$168,0))*INDEX('Resource costs'!$C$121:$C$142, MATCH($B189, 'Resource costs'!$B$121:$B$142,0))</f>
        <v>34855.994368210755</v>
      </c>
      <c r="AX211" s="90">
        <f>INDEX(AX$151:AX$168,MATCH($B189,$B$151:$B$168,0))*INDEX('Resource costs'!$C$121:$C$142, MATCH($B189, 'Resource costs'!$B$121:$B$142,0))</f>
        <v>34903.690467520093</v>
      </c>
      <c r="AY211" s="90">
        <f>INDEX(AY$151:AY$168,MATCH($B189,$B$151:$B$168,0))*INDEX('Resource costs'!$C$121:$C$142, MATCH($B189, 'Resource costs'!$B$121:$B$142,0))</f>
        <v>34940.869576931727</v>
      </c>
      <c r="AZ211" s="90">
        <f>INDEX(AZ$151:AZ$168,MATCH($B189,$B$151:$B$168,0))*INDEX('Resource costs'!$C$121:$C$142, MATCH($B189, 'Resource costs'!$B$121:$B$142,0))</f>
        <v>34969.850692718101</v>
      </c>
      <c r="BA211" s="90">
        <f>INDEX(BA$151:BA$168,MATCH($B189,$B$151:$B$168,0))*INDEX('Resource costs'!$C$121:$C$142, MATCH($B189, 'Resource costs'!$B$121:$B$142,0))</f>
        <v>34992.441472473576</v>
      </c>
      <c r="BB211" s="90">
        <f>INDEX(BB$151:BB$168,MATCH($B189,$B$151:$B$168,0))*INDEX('Resource costs'!$C$121:$C$142, MATCH($B189, 'Resource costs'!$B$121:$B$142,0))</f>
        <v>35010.050985292961</v>
      </c>
    </row>
    <row r="212" spans="1:54" ht="29">
      <c r="B212" s="6" t="s">
        <v>2870</v>
      </c>
      <c r="C212" s="52"/>
      <c r="D212" s="90">
        <f>INDEX(D$151:D$168,MATCH($B190,$B$151:$B$168,0))*INDEX('Resource costs'!$C$121:$C$142, MATCH($B190, 'Resource costs'!$B$121:$B$142,0))</f>
        <v>9501.9113250099381</v>
      </c>
      <c r="E212" s="90">
        <f>INDEX(E$151:E$168,MATCH($B190,$B$151:$B$168,0))*INDEX('Resource costs'!$C$121:$C$142, MATCH($B190, 'Resource costs'!$B$121:$B$142,0))</f>
        <v>9867.1593136869033</v>
      </c>
      <c r="F212" s="90">
        <f>INDEX(F$151:F$168,MATCH($B190,$B$151:$B$168,0))*INDEX('Resource costs'!$C$121:$C$142, MATCH($B190, 'Resource costs'!$B$121:$B$142,0))</f>
        <v>10182.592081138704</v>
      </c>
      <c r="G212" s="90">
        <f>INDEX(G$151:G$168,MATCH($B190,$B$151:$B$168,0))*INDEX('Resource costs'!$C$121:$C$142, MATCH($B190, 'Resource costs'!$B$121:$B$142,0))</f>
        <v>10462.637509822278</v>
      </c>
      <c r="H212" s="90">
        <f>INDEX(H$151:H$168,MATCH($B190,$B$151:$B$168,0))*INDEX('Resource costs'!$C$121:$C$142, MATCH($B190, 'Resource costs'!$B$121:$B$142,0))</f>
        <v>10720.717620835952</v>
      </c>
      <c r="I212" s="90">
        <f>INDEX(I$151:I$168,MATCH($B190,$B$151:$B$168,0))*INDEX('Resource costs'!$C$121:$C$142, MATCH($B190, 'Resource costs'!$B$121:$B$142,0))</f>
        <v>10964.717796615789</v>
      </c>
      <c r="J212" s="90">
        <f>INDEX(J$151:J$168,MATCH($B190,$B$151:$B$168,0))*INDEX('Resource costs'!$C$121:$C$142, MATCH($B190, 'Resource costs'!$B$121:$B$142,0))</f>
        <v>11195.696742914583</v>
      </c>
      <c r="K212" s="90">
        <f>INDEX(K$151:K$168,MATCH($B190,$B$151:$B$168,0))*INDEX('Resource costs'!$C$121:$C$142, MATCH($B190, 'Resource costs'!$B$121:$B$142,0))</f>
        <v>11417.631918232017</v>
      </c>
      <c r="L212" s="90">
        <f>INDEX(L$151:L$168,MATCH($B190,$B$151:$B$168,0))*INDEX('Resource costs'!$C$121:$C$142, MATCH($B190, 'Resource costs'!$B$121:$B$142,0))</f>
        <v>11650.900453879476</v>
      </c>
      <c r="M212" s="90">
        <f>INDEX(M$151:M$168,MATCH($B190,$B$151:$B$168,0))*INDEX('Resource costs'!$C$121:$C$142, MATCH($B190, 'Resource costs'!$B$121:$B$142,0))</f>
        <v>11883.538877849966</v>
      </c>
      <c r="N212" s="90">
        <f>INDEX(N$151:N$168,MATCH($B190,$B$151:$B$168,0))*INDEX('Resource costs'!$C$121:$C$142, MATCH($B190, 'Resource costs'!$B$121:$B$142,0))</f>
        <v>12109.859628093507</v>
      </c>
      <c r="O212" s="90">
        <f>INDEX(O$151:O$168,MATCH($B190,$B$151:$B$168,0))*INDEX('Resource costs'!$C$121:$C$142, MATCH($B190, 'Resource costs'!$B$121:$B$142,0))</f>
        <v>12327.526856681063</v>
      </c>
      <c r="P212" s="90">
        <f>INDEX(P$151:P$168,MATCH($B190,$B$151:$B$168,0))*INDEX('Resource costs'!$C$121:$C$142, MATCH($B190, 'Resource costs'!$B$121:$B$142,0))</f>
        <v>12535.205880158055</v>
      </c>
      <c r="Q212" s="90">
        <f>INDEX(Q$151:Q$168,MATCH($B190,$B$151:$B$168,0))*INDEX('Resource costs'!$C$121:$C$142, MATCH($B190, 'Resource costs'!$B$121:$B$142,0))</f>
        <v>12736.506462871585</v>
      </c>
      <c r="R212" s="90">
        <f>INDEX(R$151:R$168,MATCH($B190,$B$151:$B$168,0))*INDEX('Resource costs'!$C$121:$C$142, MATCH($B190, 'Resource costs'!$B$121:$B$142,0))</f>
        <v>12935.571265947898</v>
      </c>
      <c r="S212" s="90">
        <f>INDEX(S$151:S$168,MATCH($B190,$B$151:$B$168,0))*INDEX('Resource costs'!$C$121:$C$142, MATCH($B190, 'Resource costs'!$B$121:$B$142,0))</f>
        <v>13133.064478472255</v>
      </c>
      <c r="T212" s="90">
        <f>INDEX(T$151:T$168,MATCH($B190,$B$151:$B$168,0))*INDEX('Resource costs'!$C$121:$C$142, MATCH($B190, 'Resource costs'!$B$121:$B$142,0))</f>
        <v>13325.884439000203</v>
      </c>
      <c r="U212" s="90">
        <f>INDEX(U$151:U$168,MATCH($B190,$B$151:$B$168,0))*INDEX('Resource costs'!$C$121:$C$142, MATCH($B190, 'Resource costs'!$B$121:$B$142,0))</f>
        <v>13514.593827734621</v>
      </c>
      <c r="V212" s="90">
        <f>INDEX(V$151:V$168,MATCH($B190,$B$151:$B$168,0))*INDEX('Resource costs'!$C$121:$C$142, MATCH($B190, 'Resource costs'!$B$121:$B$142,0))</f>
        <v>13706.812948272183</v>
      </c>
      <c r="W212" s="90">
        <f>INDEX(W$151:W$168,MATCH($B190,$B$151:$B$168,0))*INDEX('Resource costs'!$C$121:$C$142, MATCH($B190, 'Resource costs'!$B$121:$B$142,0))</f>
        <v>13896.280897456156</v>
      </c>
      <c r="X212" s="90">
        <f>INDEX(X$151:X$168,MATCH($B190,$B$151:$B$168,0))*INDEX('Resource costs'!$C$121:$C$142, MATCH($B190, 'Resource costs'!$B$121:$B$142,0))</f>
        <v>14081.223842133848</v>
      </c>
      <c r="Y212" s="90">
        <f>INDEX(Y$151:Y$168,MATCH($B190,$B$151:$B$168,0))*INDEX('Resource costs'!$C$121:$C$142, MATCH($B190, 'Resource costs'!$B$121:$B$142,0))</f>
        <v>14261.3699160013</v>
      </c>
      <c r="Z212" s="90">
        <f>INDEX(Z$151:Z$168,MATCH($B190,$B$151:$B$168,0))*INDEX('Resource costs'!$C$121:$C$142, MATCH($B190, 'Resource costs'!$B$121:$B$142,0))</f>
        <v>14439.768787342586</v>
      </c>
      <c r="AA212" s="90">
        <f>INDEX(AA$151:AA$168,MATCH($B190,$B$151:$B$168,0))*INDEX('Resource costs'!$C$121:$C$142, MATCH($B190, 'Resource costs'!$B$121:$B$142,0))</f>
        <v>14615.755684364232</v>
      </c>
      <c r="AB212" s="90">
        <f>INDEX(AB$151:AB$168,MATCH($B190,$B$151:$B$168,0))*INDEX('Resource costs'!$C$121:$C$142, MATCH($B190, 'Resource costs'!$B$121:$B$142,0))</f>
        <v>14788.090300108079</v>
      </c>
      <c r="AC212" s="90">
        <f>INDEX(AC$151:AC$168,MATCH($B190,$B$151:$B$168,0))*INDEX('Resource costs'!$C$121:$C$142, MATCH($B190, 'Resource costs'!$B$121:$B$142,0))</f>
        <v>14955.806321363485</v>
      </c>
      <c r="AD212" s="90">
        <f>INDEX(AD$151:AD$168,MATCH($B190,$B$151:$B$168,0))*INDEX('Resource costs'!$C$121:$C$142, MATCH($B190, 'Resource costs'!$B$121:$B$142,0))</f>
        <v>15117.934328842553</v>
      </c>
      <c r="AE212" s="90">
        <f>INDEX(AE$151:AE$168,MATCH($B190,$B$151:$B$168,0))*INDEX('Resource costs'!$C$121:$C$142, MATCH($B190, 'Resource costs'!$B$121:$B$142,0))</f>
        <v>15273.757003931018</v>
      </c>
      <c r="AF212" s="90">
        <f>INDEX(AF$151:AF$168,MATCH($B190,$B$151:$B$168,0))*INDEX('Resource costs'!$C$121:$C$142, MATCH($B190, 'Resource costs'!$B$121:$B$142,0))</f>
        <v>15422.622525707493</v>
      </c>
      <c r="AG212" s="90">
        <f>INDEX(AG$151:AG$168,MATCH($B190,$B$151:$B$168,0))*INDEX('Resource costs'!$C$121:$C$142, MATCH($B190, 'Resource costs'!$B$121:$B$142,0))</f>
        <v>15565.083897994622</v>
      </c>
      <c r="AH212" s="90">
        <f>INDEX(AH$151:AH$168,MATCH($B190,$B$151:$B$168,0))*INDEX('Resource costs'!$C$121:$C$142, MATCH($B190, 'Resource costs'!$B$121:$B$142,0))</f>
        <v>15703.96613450644</v>
      </c>
      <c r="AI212" s="90">
        <f>INDEX(AI$151:AI$168,MATCH($B190,$B$151:$B$168,0))*INDEX('Resource costs'!$C$121:$C$142, MATCH($B190, 'Resource costs'!$B$121:$B$142,0))</f>
        <v>15839.589403538634</v>
      </c>
      <c r="AJ212" s="90">
        <f>INDEX(AJ$151:AJ$168,MATCH($B190,$B$151:$B$168,0))*INDEX('Resource costs'!$C$121:$C$142, MATCH($B190, 'Resource costs'!$B$121:$B$142,0))</f>
        <v>15973.015380508208</v>
      </c>
      <c r="AK212" s="90">
        <f>INDEX(AK$151:AK$168,MATCH($B190,$B$151:$B$168,0))*INDEX('Resource costs'!$C$121:$C$142, MATCH($B190, 'Resource costs'!$B$121:$B$142,0))</f>
        <v>16101.092683400271</v>
      </c>
      <c r="AL212" s="90">
        <f>INDEX(AL$151:AL$168,MATCH($B190,$B$151:$B$168,0))*INDEX('Resource costs'!$C$121:$C$142, MATCH($B190, 'Resource costs'!$B$121:$B$142,0))</f>
        <v>16221.407982210996</v>
      </c>
      <c r="AM212" s="90">
        <f>INDEX(AM$151:AM$168,MATCH($B190,$B$151:$B$168,0))*INDEX('Resource costs'!$C$121:$C$142, MATCH($B190, 'Resource costs'!$B$121:$B$142,0))</f>
        <v>16332.320979862014</v>
      </c>
      <c r="AN212" s="90">
        <f>INDEX(AN$151:AN$168,MATCH($B190,$B$151:$B$168,0))*INDEX('Resource costs'!$C$121:$C$142, MATCH($B190, 'Resource costs'!$B$121:$B$142,0))</f>
        <v>16434.802267827643</v>
      </c>
      <c r="AO212" s="90">
        <f>INDEX(AO$151:AO$168,MATCH($B190,$B$151:$B$168,0))*INDEX('Resource costs'!$C$121:$C$142, MATCH($B190, 'Resource costs'!$B$121:$B$142,0))</f>
        <v>16529.068827551968</v>
      </c>
      <c r="AP212" s="90">
        <f>INDEX(AP$151:AP$168,MATCH($B190,$B$151:$B$168,0))*INDEX('Resource costs'!$C$121:$C$142, MATCH($B190, 'Resource costs'!$B$121:$B$142,0))</f>
        <v>16614.722533757507</v>
      </c>
      <c r="AQ212" s="90">
        <f>INDEX(AQ$151:AQ$168,MATCH($B190,$B$151:$B$168,0))*INDEX('Resource costs'!$C$121:$C$142, MATCH($B190, 'Resource costs'!$B$121:$B$142,0))</f>
        <v>16695.208616603108</v>
      </c>
      <c r="AR212" s="90">
        <f>INDEX(AR$151:AR$168,MATCH($B190,$B$151:$B$168,0))*INDEX('Resource costs'!$C$121:$C$142, MATCH($B190, 'Resource costs'!$B$121:$B$142,0))</f>
        <v>16774.396229514303</v>
      </c>
      <c r="AS212" s="90">
        <f>INDEX(AS$151:AS$168,MATCH($B190,$B$151:$B$168,0))*INDEX('Resource costs'!$C$121:$C$142, MATCH($B190, 'Resource costs'!$B$121:$B$142,0))</f>
        <v>16855.397743460057</v>
      </c>
      <c r="AT212" s="90">
        <f>INDEX(AT$151:AT$168,MATCH($B190,$B$151:$B$168,0))*INDEX('Resource costs'!$C$121:$C$142, MATCH($B190, 'Resource costs'!$B$121:$B$142,0))</f>
        <v>16918.538423580765</v>
      </c>
      <c r="AU212" s="90">
        <f>INDEX(AU$151:AU$168,MATCH($B190,$B$151:$B$168,0))*INDEX('Resource costs'!$C$121:$C$142, MATCH($B190, 'Resource costs'!$B$121:$B$142,0))</f>
        <v>16967.756583734863</v>
      </c>
      <c r="AV212" s="90">
        <f>INDEX(AV$151:AV$168,MATCH($B190,$B$151:$B$168,0))*INDEX('Resource costs'!$C$121:$C$142, MATCH($B190, 'Resource costs'!$B$121:$B$142,0))</f>
        <v>17006.122139574982</v>
      </c>
      <c r="AW212" s="90">
        <f>INDEX(AW$151:AW$168,MATCH($B190,$B$151:$B$168,0))*INDEX('Resource costs'!$C$121:$C$142, MATCH($B190, 'Resource costs'!$B$121:$B$142,0))</f>
        <v>17036.028090352353</v>
      </c>
      <c r="AX212" s="90">
        <f>INDEX(AX$151:AX$168,MATCH($B190,$B$151:$B$168,0))*INDEX('Resource costs'!$C$121:$C$142, MATCH($B190, 'Resource costs'!$B$121:$B$142,0))</f>
        <v>17059.339778983307</v>
      </c>
      <c r="AY212" s="90">
        <f>INDEX(AY$151:AY$168,MATCH($B190,$B$151:$B$168,0))*INDEX('Resource costs'!$C$121:$C$142, MATCH($B190, 'Resource costs'!$B$121:$B$142,0))</f>
        <v>17077.511240271142</v>
      </c>
      <c r="AZ212" s="90">
        <f>INDEX(AZ$151:AZ$168,MATCH($B190,$B$151:$B$168,0))*INDEX('Resource costs'!$C$121:$C$142, MATCH($B190, 'Resource costs'!$B$121:$B$142,0))</f>
        <v>17091.675894345011</v>
      </c>
      <c r="BA212" s="90">
        <f>INDEX(BA$151:BA$168,MATCH($B190,$B$151:$B$168,0))*INDEX('Resource costs'!$C$121:$C$142, MATCH($B190, 'Resource costs'!$B$121:$B$142,0))</f>
        <v>17102.717242195587</v>
      </c>
      <c r="BB212" s="90">
        <f>INDEX(BB$151:BB$168,MATCH($B190,$B$151:$B$168,0))*INDEX('Resource costs'!$C$121:$C$142, MATCH($B190, 'Resource costs'!$B$121:$B$142,0))</f>
        <v>17111.323972845112</v>
      </c>
    </row>
    <row r="213" spans="1:54" s="97" customFormat="1">
      <c r="B213" s="6" t="s">
        <v>102</v>
      </c>
      <c r="C213" s="315"/>
      <c r="D213" s="90">
        <f>INDEX(D$151:D$168,MATCH($B191,$B$151:$B$168,0))*INDEX('Resource costs'!$C$121:$C$142, MATCH($B191, 'Resource costs'!$B$121:$B$142,0))</f>
        <v>0</v>
      </c>
      <c r="E213" s="90">
        <f>INDEX(E$151:E$168,MATCH($B191,$B$151:$B$168,0))*INDEX('Resource costs'!$C$121:$C$142, MATCH($B191, 'Resource costs'!$B$121:$B$142,0))</f>
        <v>0</v>
      </c>
      <c r="F213" s="90">
        <f>INDEX(F$151:F$168,MATCH($B191,$B$151:$B$168,0))*INDEX('Resource costs'!$C$121:$C$142, MATCH($B191, 'Resource costs'!$B$121:$B$142,0))</f>
        <v>0</v>
      </c>
      <c r="G213" s="90">
        <f>INDEX(G$151:G$168,MATCH($B191,$B$151:$B$168,0))*INDEX('Resource costs'!$C$121:$C$142, MATCH($B191, 'Resource costs'!$B$121:$B$142,0))</f>
        <v>0</v>
      </c>
      <c r="H213" s="90">
        <f>INDEX(H$151:H$168,MATCH($B191,$B$151:$B$168,0))*INDEX('Resource costs'!$C$121:$C$142, MATCH($B191, 'Resource costs'!$B$121:$B$142,0))</f>
        <v>0</v>
      </c>
      <c r="I213" s="90">
        <f>INDEX(I$151:I$168,MATCH($B191,$B$151:$B$168,0))*INDEX('Resource costs'!$C$121:$C$142, MATCH($B191, 'Resource costs'!$B$121:$B$142,0))</f>
        <v>0</v>
      </c>
      <c r="J213" s="90">
        <f>INDEX(J$151:J$168,MATCH($B191,$B$151:$B$168,0))*INDEX('Resource costs'!$C$121:$C$142, MATCH($B191, 'Resource costs'!$B$121:$B$142,0))</f>
        <v>0</v>
      </c>
      <c r="K213" s="90">
        <f>INDEX(K$151:K$168,MATCH($B191,$B$151:$B$168,0))*INDEX('Resource costs'!$C$121:$C$142, MATCH($B191, 'Resource costs'!$B$121:$B$142,0))</f>
        <v>0</v>
      </c>
      <c r="L213" s="90">
        <f>INDEX(L$151:L$168,MATCH($B191,$B$151:$B$168,0))*INDEX('Resource costs'!$C$121:$C$142, MATCH($B191, 'Resource costs'!$B$121:$B$142,0))</f>
        <v>0</v>
      </c>
      <c r="M213" s="90">
        <f>INDEX(M$151:M$168,MATCH($B191,$B$151:$B$168,0))*INDEX('Resource costs'!$C$121:$C$142, MATCH($B191, 'Resource costs'!$B$121:$B$142,0))</f>
        <v>0</v>
      </c>
      <c r="N213" s="90">
        <f>INDEX(N$151:N$168,MATCH($B191,$B$151:$B$168,0))*INDEX('Resource costs'!$C$121:$C$142, MATCH($B191, 'Resource costs'!$B$121:$B$142,0))</f>
        <v>0</v>
      </c>
      <c r="O213" s="90">
        <f>INDEX(O$151:O$168,MATCH($B191,$B$151:$B$168,0))*INDEX('Resource costs'!$C$121:$C$142, MATCH($B191, 'Resource costs'!$B$121:$B$142,0))</f>
        <v>0</v>
      </c>
      <c r="P213" s="90">
        <f>INDEX(P$151:P$168,MATCH($B191,$B$151:$B$168,0))*INDEX('Resource costs'!$C$121:$C$142, MATCH($B191, 'Resource costs'!$B$121:$B$142,0))</f>
        <v>0</v>
      </c>
      <c r="Q213" s="90">
        <f>INDEX(Q$151:Q$168,MATCH($B191,$B$151:$B$168,0))*INDEX('Resource costs'!$C$121:$C$142, MATCH($B191, 'Resource costs'!$B$121:$B$142,0))</f>
        <v>0</v>
      </c>
      <c r="R213" s="90">
        <f>INDEX(R$151:R$168,MATCH($B191,$B$151:$B$168,0))*INDEX('Resource costs'!$C$121:$C$142, MATCH($B191, 'Resource costs'!$B$121:$B$142,0))</f>
        <v>0</v>
      </c>
      <c r="S213" s="90">
        <f>INDEX(S$151:S$168,MATCH($B191,$B$151:$B$168,0))*INDEX('Resource costs'!$C$121:$C$142, MATCH($B191, 'Resource costs'!$B$121:$B$142,0))</f>
        <v>0</v>
      </c>
      <c r="T213" s="90">
        <f>INDEX(T$151:T$168,MATCH($B191,$B$151:$B$168,0))*INDEX('Resource costs'!$C$121:$C$142, MATCH($B191, 'Resource costs'!$B$121:$B$142,0))</f>
        <v>0</v>
      </c>
      <c r="U213" s="90">
        <f>INDEX(U$151:U$168,MATCH($B191,$B$151:$B$168,0))*INDEX('Resource costs'!$C$121:$C$142, MATCH($B191, 'Resource costs'!$B$121:$B$142,0))</f>
        <v>0</v>
      </c>
      <c r="V213" s="90">
        <f>INDEX(V$151:V$168,MATCH($B191,$B$151:$B$168,0))*INDEX('Resource costs'!$C$121:$C$142, MATCH($B191, 'Resource costs'!$B$121:$B$142,0))</f>
        <v>0</v>
      </c>
      <c r="W213" s="90">
        <f>INDEX(W$151:W$168,MATCH($B191,$B$151:$B$168,0))*INDEX('Resource costs'!$C$121:$C$142, MATCH($B191, 'Resource costs'!$B$121:$B$142,0))</f>
        <v>0</v>
      </c>
      <c r="X213" s="90">
        <f>INDEX(X$151:X$168,MATCH($B191,$B$151:$B$168,0))*INDEX('Resource costs'!$C$121:$C$142, MATCH($B191, 'Resource costs'!$B$121:$B$142,0))</f>
        <v>0</v>
      </c>
      <c r="Y213" s="90">
        <f>INDEX(Y$151:Y$168,MATCH($B191,$B$151:$B$168,0))*INDEX('Resource costs'!$C$121:$C$142, MATCH($B191, 'Resource costs'!$B$121:$B$142,0))</f>
        <v>0</v>
      </c>
      <c r="Z213" s="90">
        <f>INDEX(Z$151:Z$168,MATCH($B191,$B$151:$B$168,0))*INDEX('Resource costs'!$C$121:$C$142, MATCH($B191, 'Resource costs'!$B$121:$B$142,0))</f>
        <v>0</v>
      </c>
      <c r="AA213" s="90">
        <f>INDEX(AA$151:AA$168,MATCH($B191,$B$151:$B$168,0))*INDEX('Resource costs'!$C$121:$C$142, MATCH($B191, 'Resource costs'!$B$121:$B$142,0))</f>
        <v>0</v>
      </c>
      <c r="AB213" s="90">
        <f>INDEX(AB$151:AB$168,MATCH($B191,$B$151:$B$168,0))*INDEX('Resource costs'!$C$121:$C$142, MATCH($B191, 'Resource costs'!$B$121:$B$142,0))</f>
        <v>0</v>
      </c>
      <c r="AC213" s="90">
        <f>INDEX(AC$151:AC$168,MATCH($B191,$B$151:$B$168,0))*INDEX('Resource costs'!$C$121:$C$142, MATCH($B191, 'Resource costs'!$B$121:$B$142,0))</f>
        <v>0</v>
      </c>
      <c r="AD213" s="90">
        <f>INDEX(AD$151:AD$168,MATCH($B191,$B$151:$B$168,0))*INDEX('Resource costs'!$C$121:$C$142, MATCH($B191, 'Resource costs'!$B$121:$B$142,0))</f>
        <v>0</v>
      </c>
      <c r="AE213" s="90">
        <f>INDEX(AE$151:AE$168,MATCH($B191,$B$151:$B$168,0))*INDEX('Resource costs'!$C$121:$C$142, MATCH($B191, 'Resource costs'!$B$121:$B$142,0))</f>
        <v>0</v>
      </c>
      <c r="AF213" s="90">
        <f>INDEX(AF$151:AF$168,MATCH($B191,$B$151:$B$168,0))*INDEX('Resource costs'!$C$121:$C$142, MATCH($B191, 'Resource costs'!$B$121:$B$142,0))</f>
        <v>0</v>
      </c>
      <c r="AG213" s="90">
        <f>INDEX(AG$151:AG$168,MATCH($B191,$B$151:$B$168,0))*INDEX('Resource costs'!$C$121:$C$142, MATCH($B191, 'Resource costs'!$B$121:$B$142,0))</f>
        <v>0</v>
      </c>
      <c r="AH213" s="90">
        <f>INDEX(AH$151:AH$168,MATCH($B191,$B$151:$B$168,0))*INDEX('Resource costs'!$C$121:$C$142, MATCH($B191, 'Resource costs'!$B$121:$B$142,0))</f>
        <v>0</v>
      </c>
      <c r="AI213" s="90">
        <f>INDEX(AI$151:AI$168,MATCH($B191,$B$151:$B$168,0))*INDEX('Resource costs'!$C$121:$C$142, MATCH($B191, 'Resource costs'!$B$121:$B$142,0))</f>
        <v>0</v>
      </c>
      <c r="AJ213" s="90">
        <f>INDEX(AJ$151:AJ$168,MATCH($B191,$B$151:$B$168,0))*INDEX('Resource costs'!$C$121:$C$142, MATCH($B191, 'Resource costs'!$B$121:$B$142,0))</f>
        <v>0</v>
      </c>
      <c r="AK213" s="90">
        <f>INDEX(AK$151:AK$168,MATCH($B191,$B$151:$B$168,0))*INDEX('Resource costs'!$C$121:$C$142, MATCH($B191, 'Resource costs'!$B$121:$B$142,0))</f>
        <v>0</v>
      </c>
      <c r="AL213" s="90">
        <f>INDEX(AL$151:AL$168,MATCH($B191,$B$151:$B$168,0))*INDEX('Resource costs'!$C$121:$C$142, MATCH($B191, 'Resource costs'!$B$121:$B$142,0))</f>
        <v>0</v>
      </c>
      <c r="AM213" s="90">
        <f>INDEX(AM$151:AM$168,MATCH($B191,$B$151:$B$168,0))*INDEX('Resource costs'!$C$121:$C$142, MATCH($B191, 'Resource costs'!$B$121:$B$142,0))</f>
        <v>0</v>
      </c>
      <c r="AN213" s="90">
        <f>INDEX(AN$151:AN$168,MATCH($B191,$B$151:$B$168,0))*INDEX('Resource costs'!$C$121:$C$142, MATCH($B191, 'Resource costs'!$B$121:$B$142,0))</f>
        <v>0</v>
      </c>
      <c r="AO213" s="90">
        <f>INDEX(AO$151:AO$168,MATCH($B191,$B$151:$B$168,0))*INDEX('Resource costs'!$C$121:$C$142, MATCH($B191, 'Resource costs'!$B$121:$B$142,0))</f>
        <v>0</v>
      </c>
      <c r="AP213" s="90">
        <f>INDEX(AP$151:AP$168,MATCH($B191,$B$151:$B$168,0))*INDEX('Resource costs'!$C$121:$C$142, MATCH($B191, 'Resource costs'!$B$121:$B$142,0))</f>
        <v>0</v>
      </c>
      <c r="AQ213" s="90">
        <f>INDEX(AQ$151:AQ$168,MATCH($B191,$B$151:$B$168,0))*INDEX('Resource costs'!$C$121:$C$142, MATCH($B191, 'Resource costs'!$B$121:$B$142,0))</f>
        <v>0</v>
      </c>
      <c r="AR213" s="90">
        <f>INDEX(AR$151:AR$168,MATCH($B191,$B$151:$B$168,0))*INDEX('Resource costs'!$C$121:$C$142, MATCH($B191, 'Resource costs'!$B$121:$B$142,0))</f>
        <v>0</v>
      </c>
      <c r="AS213" s="90">
        <f>INDEX(AS$151:AS$168,MATCH($B191,$B$151:$B$168,0))*INDEX('Resource costs'!$C$121:$C$142, MATCH($B191, 'Resource costs'!$B$121:$B$142,0))</f>
        <v>0</v>
      </c>
      <c r="AT213" s="90">
        <f>INDEX(AT$151:AT$168,MATCH($B191,$B$151:$B$168,0))*INDEX('Resource costs'!$C$121:$C$142, MATCH($B191, 'Resource costs'!$B$121:$B$142,0))</f>
        <v>0</v>
      </c>
      <c r="AU213" s="90">
        <f>INDEX(AU$151:AU$168,MATCH($B191,$B$151:$B$168,0))*INDEX('Resource costs'!$C$121:$C$142, MATCH($B191, 'Resource costs'!$B$121:$B$142,0))</f>
        <v>0</v>
      </c>
      <c r="AV213" s="90">
        <f>INDEX(AV$151:AV$168,MATCH($B191,$B$151:$B$168,0))*INDEX('Resource costs'!$C$121:$C$142, MATCH($B191, 'Resource costs'!$B$121:$B$142,0))</f>
        <v>0</v>
      </c>
      <c r="AW213" s="90">
        <f>INDEX(AW$151:AW$168,MATCH($B191,$B$151:$B$168,0))*INDEX('Resource costs'!$C$121:$C$142, MATCH($B191, 'Resource costs'!$B$121:$B$142,0))</f>
        <v>0</v>
      </c>
      <c r="AX213" s="90">
        <f>INDEX(AX$151:AX$168,MATCH($B191,$B$151:$B$168,0))*INDEX('Resource costs'!$C$121:$C$142, MATCH($B191, 'Resource costs'!$B$121:$B$142,0))</f>
        <v>0</v>
      </c>
      <c r="AY213" s="90">
        <f>INDEX(AY$151:AY$168,MATCH($B191,$B$151:$B$168,0))*INDEX('Resource costs'!$C$121:$C$142, MATCH($B191, 'Resource costs'!$B$121:$B$142,0))</f>
        <v>0</v>
      </c>
      <c r="AZ213" s="90">
        <f>INDEX(AZ$151:AZ$168,MATCH($B191,$B$151:$B$168,0))*INDEX('Resource costs'!$C$121:$C$142, MATCH($B191, 'Resource costs'!$B$121:$B$142,0))</f>
        <v>0</v>
      </c>
      <c r="BA213" s="90">
        <f>INDEX(BA$151:BA$168,MATCH($B191,$B$151:$B$168,0))*INDEX('Resource costs'!$C$121:$C$142, MATCH($B191, 'Resource costs'!$B$121:$B$142,0))</f>
        <v>0</v>
      </c>
      <c r="BB213" s="90">
        <f>INDEX(BB$151:BB$168,MATCH($B191,$B$151:$B$168,0))*INDEX('Resource costs'!$C$121:$C$142, MATCH($B191, 'Resource costs'!$B$121:$B$142,0))</f>
        <v>0</v>
      </c>
    </row>
    <row r="214" spans="1:54">
      <c r="B214" s="6" t="s">
        <v>2831</v>
      </c>
      <c r="C214" s="52"/>
      <c r="D214" s="90">
        <f>INDEX(D$151:D$168,MATCH($B192,$B$151:$B$168,0))*INDEX('Resource costs'!$C$121:$C$142, MATCH($B192, 'Resource costs'!$B$121:$B$142,0))</f>
        <v>54827.134587156354</v>
      </c>
      <c r="E214" s="90">
        <f>INDEX(E$151:E$168,MATCH($B192,$B$151:$B$168,0))*INDEX('Resource costs'!$C$121:$C$142, MATCH($B192, 'Resource costs'!$B$121:$B$142,0))</f>
        <v>56934.658005120822</v>
      </c>
      <c r="F214" s="90">
        <f>INDEX(F$151:F$168,MATCH($B192,$B$151:$B$168,0))*INDEX('Resource costs'!$C$121:$C$142, MATCH($B192, 'Resource costs'!$B$121:$B$142,0))</f>
        <v>58754.741796974246</v>
      </c>
      <c r="G214" s="90">
        <f>INDEX(G$151:G$168,MATCH($B192,$B$151:$B$168,0))*INDEX('Resource costs'!$C$121:$C$142, MATCH($B192, 'Resource costs'!$B$121:$B$142,0))</f>
        <v>60370.636524231784</v>
      </c>
      <c r="H214" s="90">
        <f>INDEX(H$151:H$168,MATCH($B192,$B$151:$B$168,0))*INDEX('Resource costs'!$C$121:$C$142, MATCH($B192, 'Resource costs'!$B$121:$B$142,0))</f>
        <v>61859.788811263898</v>
      </c>
      <c r="I214" s="90">
        <f>INDEX(I$151:I$168,MATCH($B192,$B$151:$B$168,0))*INDEX('Resource costs'!$C$121:$C$142, MATCH($B192, 'Resource costs'!$B$121:$B$142,0))</f>
        <v>63267.698232767259</v>
      </c>
      <c r="J214" s="90">
        <f>INDEX(J$151:J$168,MATCH($B192,$B$151:$B$168,0))*INDEX('Resource costs'!$C$121:$C$142, MATCH($B192, 'Resource costs'!$B$121:$B$142,0))</f>
        <v>64600.473644193247</v>
      </c>
      <c r="K214" s="90">
        <f>INDEX(K$151:K$168,MATCH($B192,$B$151:$B$168,0))*INDEX('Resource costs'!$C$121:$C$142, MATCH($B192, 'Resource costs'!$B$121:$B$142,0))</f>
        <v>65881.065444153079</v>
      </c>
      <c r="L214" s="90">
        <f>INDEX(L$151:L$168,MATCH($B192,$B$151:$B$168,0))*INDEX('Resource costs'!$C$121:$C$142, MATCH($B192, 'Resource costs'!$B$121:$B$142,0))</f>
        <v>67227.052052681945</v>
      </c>
      <c r="M214" s="90">
        <f>INDEX(M$151:M$168,MATCH($B192,$B$151:$B$168,0))*INDEX('Resource costs'!$C$121:$C$142, MATCH($B192, 'Resource costs'!$B$121:$B$142,0))</f>
        <v>68569.402843475153</v>
      </c>
      <c r="N214" s="90">
        <f>INDEX(N$151:N$168,MATCH($B192,$B$151:$B$168,0))*INDEX('Resource costs'!$C$121:$C$142, MATCH($B192, 'Resource costs'!$B$121:$B$142,0))</f>
        <v>69875.299921340789</v>
      </c>
      <c r="O214" s="90">
        <f>INDEX(O$151:O$168,MATCH($B192,$B$151:$B$168,0))*INDEX('Resource costs'!$C$121:$C$142, MATCH($B192, 'Resource costs'!$B$121:$B$142,0))</f>
        <v>71131.265171781677</v>
      </c>
      <c r="P214" s="90">
        <f>INDEX(P$151:P$168,MATCH($B192,$B$151:$B$168,0))*INDEX('Resource costs'!$C$121:$C$142, MATCH($B192, 'Resource costs'!$B$121:$B$142,0))</f>
        <v>72329.597315876948</v>
      </c>
      <c r="Q214" s="90">
        <f>INDEX(Q$151:Q$168,MATCH($B192,$B$151:$B$168,0))*INDEX('Resource costs'!$C$121:$C$142, MATCH($B192, 'Resource costs'!$B$121:$B$142,0))</f>
        <v>73491.125114169263</v>
      </c>
      <c r="R214" s="90">
        <f>INDEX(R$151:R$168,MATCH($B192,$B$151:$B$168,0))*INDEX('Resource costs'!$C$121:$C$142, MATCH($B192, 'Resource costs'!$B$121:$B$142,0))</f>
        <v>74639.752203658485</v>
      </c>
      <c r="S214" s="90">
        <f>INDEX(S$151:S$168,MATCH($B192,$B$151:$B$168,0))*INDEX('Resource costs'!$C$121:$C$142, MATCH($B192, 'Resource costs'!$B$121:$B$142,0))</f>
        <v>75779.311032693484</v>
      </c>
      <c r="T214" s="90">
        <f>INDEX(T$151:T$168,MATCH($B192,$B$151:$B$168,0))*INDEX('Resource costs'!$C$121:$C$142, MATCH($B192, 'Resource costs'!$B$121:$B$142,0))</f>
        <v>76891.904653634789</v>
      </c>
      <c r="U214" s="90">
        <f>INDEX(U$151:U$168,MATCH($B192,$B$151:$B$168,0))*INDEX('Resource costs'!$C$121:$C$142, MATCH($B192, 'Resource costs'!$B$121:$B$142,0))</f>
        <v>77980.77979676197</v>
      </c>
      <c r="V214" s="90">
        <f>INDEX(V$151:V$168,MATCH($B192,$B$151:$B$168,0))*INDEX('Resource costs'!$C$121:$C$142, MATCH($B192, 'Resource costs'!$B$121:$B$142,0))</f>
        <v>79089.906501007106</v>
      </c>
      <c r="W214" s="90">
        <f>INDEX(W$151:W$168,MATCH($B192,$B$151:$B$168,0))*INDEX('Resource costs'!$C$121:$C$142, MATCH($B192, 'Resource costs'!$B$121:$B$142,0))</f>
        <v>80183.158626242162</v>
      </c>
      <c r="X214" s="90">
        <f>INDEX(X$151:X$168,MATCH($B192,$B$151:$B$168,0))*INDEX('Resource costs'!$C$121:$C$142, MATCH($B192, 'Resource costs'!$B$121:$B$142,0))</f>
        <v>81250.300948660981</v>
      </c>
      <c r="Y214" s="90">
        <f>INDEX(Y$151:Y$168,MATCH($B192,$B$151:$B$168,0))*INDEX('Resource costs'!$C$121:$C$142, MATCH($B192, 'Resource costs'!$B$121:$B$142,0))</f>
        <v>82289.764768038222</v>
      </c>
      <c r="Z214" s="90">
        <f>INDEX(Z$151:Z$168,MATCH($B192,$B$151:$B$168,0))*INDEX('Resource costs'!$C$121:$C$142, MATCH($B192, 'Resource costs'!$B$121:$B$142,0))</f>
        <v>83319.147025424754</v>
      </c>
      <c r="AA214" s="90">
        <f>INDEX(AA$151:AA$168,MATCH($B192,$B$151:$B$168,0))*INDEX('Resource costs'!$C$121:$C$142, MATCH($B192, 'Resource costs'!$B$121:$B$142,0))</f>
        <v>84334.611910177482</v>
      </c>
      <c r="AB214" s="90">
        <f>INDEX(AB$151:AB$168,MATCH($B192,$B$151:$B$168,0))*INDEX('Resource costs'!$C$121:$C$142, MATCH($B192, 'Resource costs'!$B$121:$B$142,0))</f>
        <v>85329.002706747429</v>
      </c>
      <c r="AC214" s="90">
        <f>INDEX(AC$151:AC$168,MATCH($B192,$B$151:$B$168,0))*INDEX('Resource costs'!$C$121:$C$142, MATCH($B192, 'Resource costs'!$B$121:$B$142,0))</f>
        <v>86296.743675408055</v>
      </c>
      <c r="AD214" s="90">
        <f>INDEX(AD$151:AD$168,MATCH($B192,$B$151:$B$168,0))*INDEX('Resource costs'!$C$121:$C$142, MATCH($B192, 'Resource costs'!$B$121:$B$142,0))</f>
        <v>87232.241154005416</v>
      </c>
      <c r="AE214" s="90">
        <f>INDEX(AE$151:AE$168,MATCH($B192,$B$151:$B$168,0))*INDEX('Resource costs'!$C$121:$C$142, MATCH($B192, 'Resource costs'!$B$121:$B$142,0))</f>
        <v>88131.35613062272</v>
      </c>
      <c r="AF214" s="90">
        <f>INDEX(AF$151:AF$168,MATCH($B192,$B$151:$B$168,0))*INDEX('Resource costs'!$C$121:$C$142, MATCH($B192, 'Resource costs'!$B$121:$B$142,0))</f>
        <v>88990.327522656575</v>
      </c>
      <c r="AG214" s="90">
        <f>INDEX(AG$151:AG$168,MATCH($B192,$B$151:$B$168,0))*INDEX('Resource costs'!$C$121:$C$142, MATCH($B192, 'Resource costs'!$B$121:$B$142,0))</f>
        <v>89812.346226546055</v>
      </c>
      <c r="AH214" s="90">
        <f>INDEX(AH$151:AH$168,MATCH($B192,$B$151:$B$168,0))*INDEX('Resource costs'!$C$121:$C$142, MATCH($B192, 'Resource costs'!$B$121:$B$142,0))</f>
        <v>90613.712900317943</v>
      </c>
      <c r="AI214" s="90">
        <f>INDEX(AI$151:AI$168,MATCH($B192,$B$151:$B$168,0))*INDEX('Resource costs'!$C$121:$C$142, MATCH($B192, 'Resource costs'!$B$121:$B$142,0))</f>
        <v>91396.274952313368</v>
      </c>
      <c r="AJ214" s="90">
        <f>INDEX(AJ$151:AJ$168,MATCH($B192,$B$151:$B$168,0))*INDEX('Resource costs'!$C$121:$C$142, MATCH($B192, 'Resource costs'!$B$121:$B$142,0))</f>
        <v>92166.158373291924</v>
      </c>
      <c r="AK214" s="90">
        <f>INDEX(AK$151:AK$168,MATCH($B192,$B$151:$B$168,0))*INDEX('Resource costs'!$C$121:$C$142, MATCH($B192, 'Resource costs'!$B$121:$B$142,0))</f>
        <v>92905.179322134121</v>
      </c>
      <c r="AL214" s="90">
        <f>INDEX(AL$151:AL$168,MATCH($B192,$B$151:$B$168,0))*INDEX('Resource costs'!$C$121:$C$142, MATCH($B192, 'Resource costs'!$B$121:$B$142,0))</f>
        <v>93599.41260375049</v>
      </c>
      <c r="AM214" s="90">
        <f>INDEX(AM$151:AM$168,MATCH($B192,$B$151:$B$168,0))*INDEX('Resource costs'!$C$121:$C$142, MATCH($B192, 'Resource costs'!$B$121:$B$142,0))</f>
        <v>94239.393513030445</v>
      </c>
      <c r="AN214" s="90">
        <f>INDEX(AN$151:AN$168,MATCH($B192,$B$151:$B$168,0))*INDEX('Resource costs'!$C$121:$C$142, MATCH($B192, 'Resource costs'!$B$121:$B$142,0))</f>
        <v>94830.722475780043</v>
      </c>
      <c r="AO214" s="90">
        <f>INDEX(AO$151:AO$168,MATCH($B192,$B$151:$B$168,0))*INDEX('Resource costs'!$C$121:$C$142, MATCH($B192, 'Resource costs'!$B$121:$B$142,0))</f>
        <v>95374.651500193271</v>
      </c>
      <c r="AP214" s="90">
        <f>INDEX(AP$151:AP$168,MATCH($B192,$B$151:$B$168,0))*INDEX('Resource costs'!$C$121:$C$142, MATCH($B192, 'Resource costs'!$B$121:$B$142,0))</f>
        <v>95868.883357068131</v>
      </c>
      <c r="AQ214" s="90">
        <f>INDEX(AQ$151:AQ$168,MATCH($B192,$B$151:$B$168,0))*INDEX('Resource costs'!$C$121:$C$142, MATCH($B192, 'Resource costs'!$B$121:$B$142,0))</f>
        <v>96333.297425525481</v>
      </c>
      <c r="AR214" s="90">
        <f>INDEX(AR$151:AR$168,MATCH($B192,$B$151:$B$168,0))*INDEX('Resource costs'!$C$121:$C$142, MATCH($B192, 'Resource costs'!$B$121:$B$142,0))</f>
        <v>96790.219171289413</v>
      </c>
      <c r="AS214" s="90">
        <f>INDEX(AS$151:AS$168,MATCH($B192,$B$151:$B$168,0))*INDEX('Resource costs'!$C$121:$C$142, MATCH($B192, 'Resource costs'!$B$121:$B$142,0))</f>
        <v>97257.607337202717</v>
      </c>
      <c r="AT214" s="90">
        <f>INDEX(AT$151:AT$168,MATCH($B192,$B$151:$B$168,0))*INDEX('Resource costs'!$C$121:$C$142, MATCH($B192, 'Resource costs'!$B$121:$B$142,0))</f>
        <v>97621.936412532115</v>
      </c>
      <c r="AU214" s="90">
        <f>INDEX(AU$151:AU$168,MATCH($B192,$B$151:$B$168,0))*INDEX('Resource costs'!$C$121:$C$142, MATCH($B192, 'Resource costs'!$B$121:$B$142,0))</f>
        <v>97905.930926751389</v>
      </c>
      <c r="AV214" s="90">
        <f>INDEX(AV$151:AV$168,MATCH($B192,$B$151:$B$168,0))*INDEX('Resource costs'!$C$121:$C$142, MATCH($B192, 'Resource costs'!$B$121:$B$142,0))</f>
        <v>98127.304650585298</v>
      </c>
      <c r="AW214" s="90">
        <f>INDEX(AW$151:AW$168,MATCH($B192,$B$151:$B$168,0))*INDEX('Resource costs'!$C$121:$C$142, MATCH($B192, 'Resource costs'!$B$121:$B$142,0))</f>
        <v>98299.865468313859</v>
      </c>
      <c r="AX214" s="90">
        <f>INDEX(AX$151:AX$168,MATCH($B192,$B$151:$B$168,0))*INDEX('Resource costs'!$C$121:$C$142, MATCH($B192, 'Resource costs'!$B$121:$B$142,0))</f>
        <v>98434.376625733246</v>
      </c>
      <c r="AY214" s="90">
        <f>INDEX(AY$151:AY$168,MATCH($B192,$B$151:$B$168,0))*INDEX('Resource costs'!$C$121:$C$142, MATCH($B192, 'Resource costs'!$B$121:$B$142,0))</f>
        <v>98539.228072941638</v>
      </c>
      <c r="AZ214" s="90">
        <f>INDEX(AZ$151:AZ$168,MATCH($B192,$B$151:$B$168,0))*INDEX('Resource costs'!$C$121:$C$142, MATCH($B192, 'Resource costs'!$B$121:$B$142,0))</f>
        <v>98620.959776040618</v>
      </c>
      <c r="BA214" s="90">
        <f>INDEX(BA$151:BA$168,MATCH($B192,$B$151:$B$168,0))*INDEX('Resource costs'!$C$121:$C$142, MATCH($B192, 'Resource costs'!$B$121:$B$142,0))</f>
        <v>98684.669638606254</v>
      </c>
      <c r="BB214" s="90">
        <f>INDEX(BB$151:BB$168,MATCH($B192,$B$151:$B$168,0))*INDEX('Resource costs'!$C$121:$C$142, MATCH($B192, 'Resource costs'!$B$121:$B$142,0))</f>
        <v>98734.331476476174</v>
      </c>
    </row>
    <row r="215" spans="1:54">
      <c r="B215" s="6" t="s">
        <v>2832</v>
      </c>
      <c r="C215" s="52"/>
      <c r="D215" s="90">
        <f>INDEX(D$151:D$168,MATCH($B193,$B$151:$B$168,0))*INDEX('Resource costs'!$C$121:$C$142, MATCH($B193, 'Resource costs'!$B$121:$B$142,0))</f>
        <v>21775.522265906737</v>
      </c>
      <c r="E215" s="90">
        <f>INDEX(E$151:E$168,MATCH($B193,$B$151:$B$168,0))*INDEX('Resource costs'!$C$121:$C$142, MATCH($B193, 'Resource costs'!$B$121:$B$142,0))</f>
        <v>22612.560777209052</v>
      </c>
      <c r="F215" s="90">
        <f>INDEX(F$151:F$168,MATCH($B193,$B$151:$B$168,0))*INDEX('Resource costs'!$C$121:$C$142, MATCH($B193, 'Resource costs'!$B$121:$B$142,0))</f>
        <v>23335.43778753898</v>
      </c>
      <c r="G215" s="90">
        <f>INDEX(G$151:G$168,MATCH($B193,$B$151:$B$168,0))*INDEX('Resource costs'!$C$121:$C$142, MATCH($B193, 'Resource costs'!$B$121:$B$142,0))</f>
        <v>23977.217663100826</v>
      </c>
      <c r="H215" s="90">
        <f>INDEX(H$151:H$168,MATCH($B193,$B$151:$B$168,0))*INDEX('Resource costs'!$C$121:$C$142, MATCH($B193, 'Resource costs'!$B$121:$B$142,0))</f>
        <v>24568.659638461508</v>
      </c>
      <c r="I215" s="90">
        <f>INDEX(I$151:I$168,MATCH($B193,$B$151:$B$168,0))*INDEX('Resource costs'!$C$121:$C$142, MATCH($B193, 'Resource costs'!$B$121:$B$142,0))</f>
        <v>25127.83463797914</v>
      </c>
      <c r="J215" s="90">
        <f>INDEX(J$151:J$168,MATCH($B193,$B$151:$B$168,0))*INDEX('Resource costs'!$C$121:$C$142, MATCH($B193, 'Resource costs'!$B$121:$B$142,0))</f>
        <v>25657.168896745206</v>
      </c>
      <c r="K215" s="90">
        <f>INDEX(K$151:K$168,MATCH($B193,$B$151:$B$168,0))*INDEX('Resource costs'!$C$121:$C$142, MATCH($B193, 'Resource costs'!$B$121:$B$142,0))</f>
        <v>26165.777553089163</v>
      </c>
      <c r="L215" s="90">
        <f>INDEX(L$151:L$168,MATCH($B193,$B$151:$B$168,0))*INDEX('Resource costs'!$C$121:$C$142, MATCH($B193, 'Resource costs'!$B$121:$B$142,0))</f>
        <v>26700.358861857731</v>
      </c>
      <c r="M215" s="90">
        <f>INDEX(M$151:M$168,MATCH($B193,$B$151:$B$168,0))*INDEX('Resource costs'!$C$121:$C$142, MATCH($B193, 'Resource costs'!$B$121:$B$142,0))</f>
        <v>27233.496144221241</v>
      </c>
      <c r="N215" s="90">
        <f>INDEX(N$151:N$168,MATCH($B193,$B$151:$B$168,0))*INDEX('Resource costs'!$C$121:$C$142, MATCH($B193, 'Resource costs'!$B$121:$B$142,0))</f>
        <v>27752.155218969005</v>
      </c>
      <c r="O215" s="90">
        <f>INDEX(O$151:O$168,MATCH($B193,$B$151:$B$168,0))*INDEX('Resource costs'!$C$121:$C$142, MATCH($B193, 'Resource costs'!$B$121:$B$142,0))</f>
        <v>28250.983025348432</v>
      </c>
      <c r="P215" s="90">
        <f>INDEX(P$151:P$168,MATCH($B193,$B$151:$B$168,0))*INDEX('Resource costs'!$C$121:$C$142, MATCH($B193, 'Resource costs'!$B$121:$B$142,0))</f>
        <v>28726.920870398812</v>
      </c>
      <c r="Q215" s="90">
        <f>INDEX(Q$151:Q$168,MATCH($B193,$B$151:$B$168,0))*INDEX('Resource costs'!$C$121:$C$142, MATCH($B193, 'Resource costs'!$B$121:$B$142,0))</f>
        <v>29188.241248066497</v>
      </c>
      <c r="R215" s="90">
        <f>INDEX(R$151:R$168,MATCH($B193,$B$151:$B$168,0))*INDEX('Resource costs'!$C$121:$C$142, MATCH($B193, 'Resource costs'!$B$121:$B$142,0))</f>
        <v>29644.437891402576</v>
      </c>
      <c r="S215" s="90">
        <f>INDEX(S$151:S$168,MATCH($B193,$B$151:$B$168,0))*INDEX('Resource costs'!$C$121:$C$142, MATCH($B193, 'Resource costs'!$B$121:$B$142,0))</f>
        <v>30097.032921980288</v>
      </c>
      <c r="T215" s="90">
        <f>INDEX(T$151:T$168,MATCH($B193,$B$151:$B$168,0))*INDEX('Resource costs'!$C$121:$C$142, MATCH($B193, 'Resource costs'!$B$121:$B$142,0))</f>
        <v>30538.918264851891</v>
      </c>
      <c r="U215" s="90">
        <f>INDEX(U$151:U$168,MATCH($B193,$B$151:$B$168,0))*INDEX('Resource costs'!$C$121:$C$142, MATCH($B193, 'Resource costs'!$B$121:$B$142,0))</f>
        <v>30971.383413769465</v>
      </c>
      <c r="V215" s="90">
        <f>INDEX(V$151:V$168,MATCH($B193,$B$151:$B$168,0))*INDEX('Resource costs'!$C$121:$C$142, MATCH($B193, 'Resource costs'!$B$121:$B$142,0))</f>
        <v>31411.891812135756</v>
      </c>
      <c r="W215" s="90">
        <f>INDEX(W$151:W$168,MATCH($B193,$B$151:$B$168,0))*INDEX('Resource costs'!$C$121:$C$142, MATCH($B193, 'Resource costs'!$B$121:$B$142,0))</f>
        <v>31846.095353403489</v>
      </c>
      <c r="X215" s="90">
        <f>INDEX(X$151:X$168,MATCH($B193,$B$151:$B$168,0))*INDEX('Resource costs'!$C$121:$C$142, MATCH($B193, 'Resource costs'!$B$121:$B$142,0))</f>
        <v>32269.928945614713</v>
      </c>
      <c r="Y215" s="90">
        <f>INDEX(Y$151:Y$168,MATCH($B193,$B$151:$B$168,0))*INDEX('Resource costs'!$C$121:$C$142, MATCH($B193, 'Resource costs'!$B$121:$B$142,0))</f>
        <v>32682.769552987174</v>
      </c>
      <c r="Z215" s="90">
        <f>INDEX(Z$151:Z$168,MATCH($B193,$B$151:$B$168,0))*INDEX('Resource costs'!$C$121:$C$142, MATCH($B193, 'Resource costs'!$B$121:$B$142,0))</f>
        <v>33091.606097786302</v>
      </c>
      <c r="AA215" s="90">
        <f>INDEX(AA$151:AA$168,MATCH($B193,$B$151:$B$168,0))*INDEX('Resource costs'!$C$121:$C$142, MATCH($B193, 'Resource costs'!$B$121:$B$142,0))</f>
        <v>33494.915123046929</v>
      </c>
      <c r="AB215" s="90">
        <f>INDEX(AB$151:AB$168,MATCH($B193,$B$151:$B$168,0))*INDEX('Resource costs'!$C$121:$C$142, MATCH($B193, 'Resource costs'!$B$121:$B$142,0))</f>
        <v>33889.854218346547</v>
      </c>
      <c r="AC215" s="90">
        <f>INDEX(AC$151:AC$168,MATCH($B193,$B$151:$B$168,0))*INDEX('Resource costs'!$C$121:$C$142, MATCH($B193, 'Resource costs'!$B$121:$B$142,0))</f>
        <v>34274.208884505526</v>
      </c>
      <c r="AD215" s="90">
        <f>INDEX(AD$151:AD$168,MATCH($B193,$B$151:$B$168,0))*INDEX('Resource costs'!$C$121:$C$142, MATCH($B193, 'Resource costs'!$B$121:$B$142,0))</f>
        <v>34645.757504149566</v>
      </c>
      <c r="AE215" s="90">
        <f>INDEX(AE$151:AE$168,MATCH($B193,$B$151:$B$168,0))*INDEX('Resource costs'!$C$121:$C$142, MATCH($B193, 'Resource costs'!$B$121:$B$142,0))</f>
        <v>35002.856198808084</v>
      </c>
      <c r="AF215" s="90">
        <f>INDEX(AF$151:AF$168,MATCH($B193,$B$151:$B$168,0))*INDEX('Resource costs'!$C$121:$C$142, MATCH($B193, 'Resource costs'!$B$121:$B$142,0))</f>
        <v>35344.011191018675</v>
      </c>
      <c r="AG215" s="90">
        <f>INDEX(AG$151:AG$168,MATCH($B193,$B$151:$B$168,0))*INDEX('Resource costs'!$C$121:$C$142, MATCH($B193, 'Resource costs'!$B$121:$B$142,0))</f>
        <v>35670.48979918089</v>
      </c>
      <c r="AH215" s="90">
        <f>INDEX(AH$151:AH$168,MATCH($B193,$B$151:$B$168,0))*INDEX('Resource costs'!$C$121:$C$142, MATCH($B193, 'Resource costs'!$B$121:$B$142,0))</f>
        <v>35988.766104869188</v>
      </c>
      <c r="AI215" s="90">
        <f>INDEX(AI$151:AI$168,MATCH($B193,$B$151:$B$168,0))*INDEX('Resource costs'!$C$121:$C$142, MATCH($B193, 'Resource costs'!$B$121:$B$142,0))</f>
        <v>36299.573837500029</v>
      </c>
      <c r="AJ215" s="90">
        <f>INDEX(AJ$151:AJ$168,MATCH($B193,$B$151:$B$168,0))*INDEX('Resource costs'!$C$121:$C$142, MATCH($B193, 'Resource costs'!$B$121:$B$142,0))</f>
        <v>36605.346037741881</v>
      </c>
      <c r="AK215" s="90">
        <f>INDEX(AK$151:AK$168,MATCH($B193,$B$151:$B$168,0))*INDEX('Resource costs'!$C$121:$C$142, MATCH($B193, 'Resource costs'!$B$121:$B$142,0))</f>
        <v>36898.860686057182</v>
      </c>
      <c r="AL215" s="90">
        <f>INDEX(AL$151:AL$168,MATCH($B193,$B$151:$B$168,0))*INDEX('Resource costs'!$C$121:$C$142, MATCH($B193, 'Resource costs'!$B$121:$B$142,0))</f>
        <v>37174.58715608708</v>
      </c>
      <c r="AM215" s="90">
        <f>INDEX(AM$151:AM$168,MATCH($B193,$B$151:$B$168,0))*INDEX('Resource costs'!$C$121:$C$142, MATCH($B193, 'Resource costs'!$B$121:$B$142,0))</f>
        <v>37428.766380383902</v>
      </c>
      <c r="AN215" s="90">
        <f>INDEX(AN$151:AN$168,MATCH($B193,$B$151:$B$168,0))*INDEX('Resource costs'!$C$121:$C$142, MATCH($B193, 'Resource costs'!$B$121:$B$142,0))</f>
        <v>37663.622662620568</v>
      </c>
      <c r="AO215" s="90">
        <f>INDEX(AO$151:AO$168,MATCH($B193,$B$151:$B$168,0))*INDEX('Resource costs'!$C$121:$C$142, MATCH($B193, 'Resource costs'!$B$121:$B$142,0))</f>
        <v>37879.653258991697</v>
      </c>
      <c r="AP215" s="90">
        <f>INDEX(AP$151:AP$168,MATCH($B193,$B$151:$B$168,0))*INDEX('Resource costs'!$C$121:$C$142, MATCH($B193, 'Resource costs'!$B$121:$B$142,0))</f>
        <v>38075.945786130622</v>
      </c>
      <c r="AQ215" s="90">
        <f>INDEX(AQ$151:AQ$168,MATCH($B193,$B$151:$B$168,0))*INDEX('Resource costs'!$C$121:$C$142, MATCH($B193, 'Resource costs'!$B$121:$B$142,0))</f>
        <v>38260.395675121581</v>
      </c>
      <c r="AR215" s="90">
        <f>INDEX(AR$151:AR$168,MATCH($B193,$B$151:$B$168,0))*INDEX('Resource costs'!$C$121:$C$142, MATCH($B193, 'Resource costs'!$B$121:$B$142,0))</f>
        <v>38441.869861645835</v>
      </c>
      <c r="AS215" s="90">
        <f>INDEX(AS$151:AS$168,MATCH($B193,$B$151:$B$168,0))*INDEX('Resource costs'!$C$121:$C$142, MATCH($B193, 'Resource costs'!$B$121:$B$142,0))</f>
        <v>38627.500963659513</v>
      </c>
      <c r="AT215" s="90">
        <f>INDEX(AT$151:AT$168,MATCH($B193,$B$151:$B$168,0))*INDEX('Resource costs'!$C$121:$C$142, MATCH($B193, 'Resource costs'!$B$121:$B$142,0))</f>
        <v>38772.200407679171</v>
      </c>
      <c r="AU215" s="90">
        <f>INDEX(AU$151:AU$168,MATCH($B193,$B$151:$B$168,0))*INDEX('Resource costs'!$C$121:$C$142, MATCH($B193, 'Resource costs'!$B$121:$B$142,0))</f>
        <v>38884.993624292496</v>
      </c>
      <c r="AV215" s="90">
        <f>INDEX(AV$151:AV$168,MATCH($B193,$B$151:$B$168,0))*INDEX('Resource costs'!$C$121:$C$142, MATCH($B193, 'Resource costs'!$B$121:$B$142,0))</f>
        <v>38972.915936642588</v>
      </c>
      <c r="AW215" s="90">
        <f>INDEX(AW$151:AW$168,MATCH($B193,$B$151:$B$168,0))*INDEX('Resource costs'!$C$121:$C$142, MATCH($B193, 'Resource costs'!$B$121:$B$142,0))</f>
        <v>39041.451379119477</v>
      </c>
      <c r="AX215" s="90">
        <f>INDEX(AX$151:AX$168,MATCH($B193,$B$151:$B$168,0))*INDEX('Resource costs'!$C$121:$C$142, MATCH($B193, 'Resource costs'!$B$121:$B$142,0))</f>
        <v>39094.874756530211</v>
      </c>
      <c r="AY215" s="90">
        <f>INDEX(AY$151:AY$168,MATCH($B193,$B$151:$B$168,0))*INDEX('Resource costs'!$C$121:$C$142, MATCH($B193, 'Resource costs'!$B$121:$B$142,0))</f>
        <v>39136.518279221884</v>
      </c>
      <c r="AZ215" s="90">
        <f>INDEX(AZ$151:AZ$168,MATCH($B193,$B$151:$B$168,0))*INDEX('Resource costs'!$C$121:$C$142, MATCH($B193, 'Resource costs'!$B$121:$B$142,0))</f>
        <v>39168.97940516004</v>
      </c>
      <c r="BA215" s="90">
        <f>INDEX(BA$151:BA$168,MATCH($B193,$B$151:$B$168,0))*INDEX('Resource costs'!$C$121:$C$142, MATCH($B193, 'Resource costs'!$B$121:$B$142,0))</f>
        <v>39194.282852828837</v>
      </c>
      <c r="BB215" s="90">
        <f>INDEX(BB$151:BB$168,MATCH($B193,$B$151:$B$168,0))*INDEX('Resource costs'!$C$121:$C$142, MATCH($B193, 'Resource costs'!$B$121:$B$142,0))</f>
        <v>39214.006890286655</v>
      </c>
    </row>
    <row r="216" spans="1:54">
      <c r="B216" s="6" t="s">
        <v>2871</v>
      </c>
      <c r="C216" s="52"/>
      <c r="D216" s="90">
        <f>INDEX(D$151:D$168,MATCH($B194,$B$151:$B$168,0))*INDEX('Resource costs'!$C$121:$C$142, MATCH($B194, 'Resource costs'!$B$121:$B$142,0))</f>
        <v>1079.8530155440415</v>
      </c>
      <c r="E216" s="90">
        <f>INDEX(E$151:E$168,MATCH($B194,$B$151:$B$168,0))*INDEX('Resource costs'!$C$121:$C$142, MATCH($B194, 'Resource costs'!$B$121:$B$142,0))</f>
        <v>1121.3619423802752</v>
      </c>
      <c r="F216" s="90">
        <f>INDEX(F$151:F$168,MATCH($B194,$B$151:$B$168,0))*INDEX('Resource costs'!$C$121:$C$142, MATCH($B194, 'Resource costs'!$B$121:$B$142,0))</f>
        <v>1157.2095748705597</v>
      </c>
      <c r="G216" s="90">
        <f>INDEX(G$151:G$168,MATCH($B194,$B$151:$B$168,0))*INDEX('Resource costs'!$C$121:$C$142, MATCH($B194, 'Resource costs'!$B$121:$B$142,0))</f>
        <v>1189.0355823241669</v>
      </c>
      <c r="H216" s="90">
        <f>INDEX(H$151:H$168,MATCH($B194,$B$151:$B$168,0))*INDEX('Resource costs'!$C$121:$C$142, MATCH($B194, 'Resource costs'!$B$121:$B$142,0))</f>
        <v>1218.3653220573217</v>
      </c>
      <c r="I216" s="90">
        <f>INDEX(I$151:I$168,MATCH($B194,$B$151:$B$168,0))*INDEX('Resource costs'!$C$121:$C$142, MATCH($B194, 'Resource costs'!$B$121:$B$142,0))</f>
        <v>1246.0949352474192</v>
      </c>
      <c r="J216" s="90">
        <f>INDEX(J$151:J$168,MATCH($B194,$B$151:$B$168,0))*INDEX('Resource costs'!$C$121:$C$142, MATCH($B194, 'Resource costs'!$B$121:$B$142,0))</f>
        <v>1272.34473943486</v>
      </c>
      <c r="K216" s="90">
        <f>INDEX(K$151:K$168,MATCH($B194,$B$151:$B$168,0))*INDEX('Resource costs'!$C$121:$C$142, MATCH($B194, 'Resource costs'!$B$121:$B$142,0))</f>
        <v>1297.5667563664458</v>
      </c>
      <c r="L216" s="90">
        <f>INDEX(L$151:L$168,MATCH($B194,$B$151:$B$168,0))*INDEX('Resource costs'!$C$121:$C$142, MATCH($B194, 'Resource costs'!$B$121:$B$142,0))</f>
        <v>1324.0767629361176</v>
      </c>
      <c r="M216" s="90">
        <f>INDEX(M$151:M$168,MATCH($B194,$B$151:$B$168,0))*INDEX('Resource costs'!$C$121:$C$142, MATCH($B194, 'Resource costs'!$B$121:$B$142,0))</f>
        <v>1350.5151599136525</v>
      </c>
      <c r="N216" s="90">
        <f>INDEX(N$151:N$168,MATCH($B194,$B$151:$B$168,0))*INDEX('Resource costs'!$C$121:$C$142, MATCH($B194, 'Resource costs'!$B$121:$B$142,0))</f>
        <v>1376.2355793399431</v>
      </c>
      <c r="O216" s="90">
        <f>INDEX(O$151:O$168,MATCH($B194,$B$151:$B$168,0))*INDEX('Resource costs'!$C$121:$C$142, MATCH($B194, 'Resource costs'!$B$121:$B$142,0))</f>
        <v>1400.9725617359709</v>
      </c>
      <c r="P216" s="90">
        <f>INDEX(P$151:P$168,MATCH($B194,$B$151:$B$168,0))*INDEX('Resource costs'!$C$121:$C$142, MATCH($B194, 'Resource costs'!$B$121:$B$142,0))</f>
        <v>1424.5744258342593</v>
      </c>
      <c r="Q216" s="90">
        <f>INDEX(Q$151:Q$168,MATCH($B194,$B$151:$B$168,0))*INDEX('Resource costs'!$C$121:$C$142, MATCH($B194, 'Resource costs'!$B$121:$B$142,0))</f>
        <v>1447.4514064583391</v>
      </c>
      <c r="R216" s="90">
        <f>INDEX(R$151:R$168,MATCH($B194,$B$151:$B$168,0))*INDEX('Resource costs'!$C$121:$C$142, MATCH($B194, 'Resource costs'!$B$121:$B$142,0))</f>
        <v>1470.0742999518661</v>
      </c>
      <c r="S216" s="90">
        <f>INDEX(S$151:S$168,MATCH($B194,$B$151:$B$168,0))*INDEX('Resource costs'!$C$121:$C$142, MATCH($B194, 'Resource costs'!$B$121:$B$142,0))</f>
        <v>1492.5185886638199</v>
      </c>
      <c r="T216" s="90">
        <f>INDEX(T$151:T$168,MATCH($B194,$B$151:$B$168,0))*INDEX('Resource costs'!$C$121:$C$142, MATCH($B194, 'Resource costs'!$B$121:$B$142,0))</f>
        <v>1514.4317815690347</v>
      </c>
      <c r="U216" s="90">
        <f>INDEX(U$151:U$168,MATCH($B194,$B$151:$B$168,0))*INDEX('Resource costs'!$C$121:$C$142, MATCH($B194, 'Resource costs'!$B$121:$B$142,0))</f>
        <v>1535.8778249508509</v>
      </c>
      <c r="V216" s="90">
        <f>INDEX(V$151:V$168,MATCH($B194,$B$151:$B$168,0))*INDEX('Resource costs'!$C$121:$C$142, MATCH($B194, 'Resource costs'!$B$121:$B$142,0))</f>
        <v>1557.7227348703288</v>
      </c>
      <c r="W216" s="90">
        <f>INDEX(W$151:W$168,MATCH($B194,$B$151:$B$168,0))*INDEX('Resource costs'!$C$121:$C$142, MATCH($B194, 'Resource costs'!$B$121:$B$142,0))</f>
        <v>1579.2549855172842</v>
      </c>
      <c r="X216" s="90">
        <f>INDEX(X$151:X$168,MATCH($B194,$B$151:$B$168,0))*INDEX('Resource costs'!$C$121:$C$142, MATCH($B194, 'Resource costs'!$B$121:$B$142,0))</f>
        <v>1600.2729880730587</v>
      </c>
      <c r="Y216" s="90">
        <f>INDEX(Y$151:Y$168,MATCH($B194,$B$151:$B$168,0))*INDEX('Resource costs'!$C$121:$C$142, MATCH($B194, 'Resource costs'!$B$121:$B$142,0))</f>
        <v>1620.7458460539749</v>
      </c>
      <c r="Z216" s="90">
        <f>INDEX(Z$151:Z$168,MATCH($B194,$B$151:$B$168,0))*INDEX('Resource costs'!$C$121:$C$142, MATCH($B194, 'Resource costs'!$B$121:$B$142,0))</f>
        <v>1641.0201416770547</v>
      </c>
      <c r="AA216" s="90">
        <f>INDEX(AA$151:AA$168,MATCH($B194,$B$151:$B$168,0))*INDEX('Resource costs'!$C$121:$C$142, MATCH($B194, 'Resource costs'!$B$121:$B$142,0))</f>
        <v>1661.0203263709341</v>
      </c>
      <c r="AB216" s="90">
        <f>INDEX(AB$151:AB$168,MATCH($B194,$B$151:$B$168,0))*INDEX('Resource costs'!$C$121:$C$142, MATCH($B194, 'Resource costs'!$B$121:$B$142,0))</f>
        <v>1680.6054443675412</v>
      </c>
      <c r="AC216" s="90">
        <f>INDEX(AC$151:AC$168,MATCH($B194,$B$151:$B$168,0))*INDEX('Resource costs'!$C$121:$C$142, MATCH($B194, 'Resource costs'!$B$121:$B$142,0))</f>
        <v>1699.6656781576633</v>
      </c>
      <c r="AD216" s="90">
        <f>INDEX(AD$151:AD$168,MATCH($B194,$B$151:$B$168,0))*INDEX('Resource costs'!$C$121:$C$142, MATCH($B194, 'Resource costs'!$B$121:$B$142,0))</f>
        <v>1718.0908572392241</v>
      </c>
      <c r="AE216" s="90">
        <f>INDEX(AE$151:AE$168,MATCH($B194,$B$151:$B$168,0))*INDEX('Resource costs'!$C$121:$C$142, MATCH($B194, 'Resource costs'!$B$121:$B$142,0))</f>
        <v>1735.7994613114938</v>
      </c>
      <c r="AF216" s="90">
        <f>INDEX(AF$151:AF$168,MATCH($B194,$B$151:$B$168,0))*INDEX('Resource costs'!$C$121:$C$142, MATCH($B194, 'Resource costs'!$B$121:$B$142,0))</f>
        <v>1752.7174136162841</v>
      </c>
      <c r="AG216" s="90">
        <f>INDEX(AG$151:AG$168,MATCH($B194,$B$151:$B$168,0))*INDEX('Resource costs'!$C$121:$C$142, MATCH($B194, 'Resource costs'!$B$121:$B$142,0))</f>
        <v>1768.9075607562479</v>
      </c>
      <c r="AH216" s="90">
        <f>INDEX(AH$151:AH$168,MATCH($B194,$B$151:$B$168,0))*INDEX('Resource costs'!$C$121:$C$142, MATCH($B194, 'Resource costs'!$B$121:$B$142,0))</f>
        <v>1784.6909538834859</v>
      </c>
      <c r="AI216" s="90">
        <f>INDEX(AI$151:AI$168,MATCH($B194,$B$151:$B$168,0))*INDEX('Resource costs'!$C$121:$C$142, MATCH($B194, 'Resource costs'!$B$121:$B$142,0))</f>
        <v>1800.1039788037328</v>
      </c>
      <c r="AJ216" s="90">
        <f>INDEX(AJ$151:AJ$168,MATCH($B194,$B$151:$B$168,0))*INDEX('Resource costs'!$C$121:$C$142, MATCH($B194, 'Resource costs'!$B$121:$B$142,0))</f>
        <v>1815.2672905474735</v>
      </c>
      <c r="AK216" s="90">
        <f>INDEX(AK$151:AK$168,MATCH($B194,$B$151:$B$168,0))*INDEX('Resource costs'!$C$121:$C$142, MATCH($B194, 'Resource costs'!$B$121:$B$142,0))</f>
        <v>1829.822747551867</v>
      </c>
      <c r="AL216" s="90">
        <f>INDEX(AL$151:AL$168,MATCH($B194,$B$151:$B$168,0))*INDEX('Resource costs'!$C$121:$C$142, MATCH($B194, 'Resource costs'!$B$121:$B$142,0))</f>
        <v>1843.4960848197989</v>
      </c>
      <c r="AM216" s="90">
        <f>INDEX(AM$151:AM$168,MATCH($B194,$B$151:$B$168,0))*INDEX('Resource costs'!$C$121:$C$142, MATCH($B194, 'Resource costs'!$B$121:$B$142,0))</f>
        <v>1856.1008893564647</v>
      </c>
      <c r="AN216" s="90">
        <f>INDEX(AN$151:AN$168,MATCH($B194,$B$151:$B$168,0))*INDEX('Resource costs'!$C$121:$C$142, MATCH($B194, 'Resource costs'!$B$121:$B$142,0))</f>
        <v>1867.7474648780908</v>
      </c>
      <c r="AO216" s="90">
        <f>INDEX(AO$151:AO$168,MATCH($B194,$B$151:$B$168,0))*INDEX('Resource costs'!$C$121:$C$142, MATCH($B194, 'Resource costs'!$B$121:$B$142,0))</f>
        <v>1878.4604704304941</v>
      </c>
      <c r="AP216" s="90">
        <f>INDEX(AP$151:AP$168,MATCH($B194,$B$151:$B$168,0))*INDEX('Resource costs'!$C$121:$C$142, MATCH($B194, 'Resource costs'!$B$121:$B$142,0))</f>
        <v>1888.194660718623</v>
      </c>
      <c r="AQ216" s="90">
        <f>INDEX(AQ$151:AQ$168,MATCH($B194,$B$151:$B$168,0))*INDEX('Resource costs'!$C$121:$C$142, MATCH($B194, 'Resource costs'!$B$121:$B$142,0))</f>
        <v>1897.3415719344102</v>
      </c>
      <c r="AR216" s="90">
        <f>INDEX(AR$151:AR$168,MATCH($B194,$B$151:$B$168,0))*INDEX('Resource costs'!$C$121:$C$142, MATCH($B194, 'Resource costs'!$B$121:$B$142,0))</f>
        <v>1906.3409173998659</v>
      </c>
      <c r="AS216" s="90">
        <f>INDEX(AS$151:AS$168,MATCH($B194,$B$151:$B$168,0))*INDEX('Resource costs'!$C$121:$C$142, MATCH($B194, 'Resource costs'!$B$121:$B$142,0))</f>
        <v>1915.5464052334269</v>
      </c>
      <c r="AT216" s="90">
        <f>INDEX(AT$151:AT$168,MATCH($B194,$B$151:$B$168,0))*INDEX('Resource costs'!$C$121:$C$142, MATCH($B194, 'Resource costs'!$B$121:$B$142,0))</f>
        <v>1922.722082999687</v>
      </c>
      <c r="AU216" s="90">
        <f>INDEX(AU$151:AU$168,MATCH($B194,$B$151:$B$168,0))*INDEX('Resource costs'!$C$121:$C$142, MATCH($B194, 'Resource costs'!$B$121:$B$142,0))</f>
        <v>1928.3155238184872</v>
      </c>
      <c r="AV216" s="90">
        <f>INDEX(AV$151:AV$168,MATCH($B194,$B$151:$B$168,0))*INDEX('Resource costs'!$C$121:$C$142, MATCH($B194, 'Resource costs'!$B$121:$B$142,0))</f>
        <v>1932.675610936742</v>
      </c>
      <c r="AW216" s="90">
        <f>INDEX(AW$151:AW$168,MATCH($B194,$B$151:$B$168,0))*INDEX('Resource costs'!$C$121:$C$142, MATCH($B194, 'Resource costs'!$B$121:$B$142,0))</f>
        <v>1936.0742988454215</v>
      </c>
      <c r="AX216" s="90">
        <f>INDEX(AX$151:AX$168,MATCH($B194,$B$151:$B$168,0))*INDEX('Resource costs'!$C$121:$C$142, MATCH($B194, 'Resource costs'!$B$121:$B$142,0))</f>
        <v>1938.7235760702367</v>
      </c>
      <c r="AY216" s="90">
        <f>INDEX(AY$151:AY$168,MATCH($B194,$B$151:$B$168,0))*INDEX('Resource costs'!$C$121:$C$142, MATCH($B194, 'Resource costs'!$B$121:$B$142,0))</f>
        <v>1940.7886876669804</v>
      </c>
      <c r="AZ216" s="90">
        <f>INDEX(AZ$151:AZ$168,MATCH($B194,$B$151:$B$168,0))*INDEX('Resource costs'!$C$121:$C$142, MATCH($B194, 'Resource costs'!$B$121:$B$142,0))</f>
        <v>1942.3984421566424</v>
      </c>
      <c r="BA216" s="90">
        <f>INDEX(BA$151:BA$168,MATCH($B194,$B$151:$B$168,0))*INDEX('Resource costs'!$C$121:$C$142, MATCH($B194, 'Resource costs'!$B$121:$B$142,0))</f>
        <v>1943.6532457813337</v>
      </c>
      <c r="BB216" s="90">
        <f>INDEX(BB$151:BB$168,MATCH($B194,$B$151:$B$168,0))*INDEX('Resource costs'!$C$121:$C$142, MATCH($B194, 'Resource costs'!$B$121:$B$142,0))</f>
        <v>1944.6313652067802</v>
      </c>
    </row>
    <row r="217" spans="1:54">
      <c r="B217" s="52"/>
      <c r="C217" s="52"/>
      <c r="D217" s="116"/>
      <c r="E217" s="116"/>
      <c r="F217" s="116"/>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row>
    <row r="218" spans="1:54">
      <c r="D218" s="15"/>
    </row>
    <row r="219" spans="1:54">
      <c r="D219" s="19"/>
      <c r="E219" s="19"/>
      <c r="F219" s="19"/>
    </row>
    <row r="220" spans="1:54" s="588" customFormat="1">
      <c r="A220" s="593" t="s">
        <v>10</v>
      </c>
      <c r="B220" s="646" t="s">
        <v>182</v>
      </c>
      <c r="C220" s="646"/>
    </row>
    <row r="221" spans="1:54">
      <c r="D221" s="15"/>
    </row>
    <row r="222" spans="1:54">
      <c r="B222" s="7" t="s">
        <v>9</v>
      </c>
      <c r="D222" s="34">
        <f>'Prevalence projection'!C$21</f>
        <v>2020</v>
      </c>
      <c r="E222" s="34">
        <f>'Prevalence projection'!D$21</f>
        <v>2021</v>
      </c>
      <c r="F222" s="34">
        <f>'Prevalence projection'!E$21</f>
        <v>2022</v>
      </c>
      <c r="G222" s="34">
        <f>'Prevalence projection'!F$21</f>
        <v>2023</v>
      </c>
      <c r="H222" s="34">
        <f>'Prevalence projection'!G$21</f>
        <v>2024</v>
      </c>
      <c r="I222" s="34">
        <f>'Prevalence projection'!H$21</f>
        <v>2025</v>
      </c>
      <c r="J222" s="34">
        <f>'Prevalence projection'!I$21</f>
        <v>2026</v>
      </c>
      <c r="K222" s="34">
        <f>'Prevalence projection'!J$21</f>
        <v>2027</v>
      </c>
      <c r="L222" s="34">
        <f>'Prevalence projection'!K$21</f>
        <v>2028</v>
      </c>
      <c r="M222" s="34">
        <f>'Prevalence projection'!L$21</f>
        <v>2029</v>
      </c>
      <c r="N222" s="34">
        <f>'Prevalence projection'!M$21</f>
        <v>2030</v>
      </c>
      <c r="O222" s="34">
        <f>'Prevalence projection'!N$21</f>
        <v>2031</v>
      </c>
      <c r="P222" s="34">
        <f>'Prevalence projection'!O$21</f>
        <v>2032</v>
      </c>
      <c r="Q222" s="34">
        <f>'Prevalence projection'!P$21</f>
        <v>2033</v>
      </c>
      <c r="R222" s="34">
        <f>'Prevalence projection'!Q$21</f>
        <v>2034</v>
      </c>
      <c r="S222" s="34">
        <f>'Prevalence projection'!R$21</f>
        <v>2035</v>
      </c>
      <c r="T222" s="34">
        <f>'Prevalence projection'!S$21</f>
        <v>2036</v>
      </c>
      <c r="U222" s="34">
        <f>'Prevalence projection'!T$21</f>
        <v>2037</v>
      </c>
      <c r="V222" s="34">
        <f>'Prevalence projection'!U$21</f>
        <v>2038</v>
      </c>
      <c r="W222" s="34">
        <f>'Prevalence projection'!V$21</f>
        <v>2039</v>
      </c>
      <c r="X222" s="34">
        <f>'Prevalence projection'!W$21</f>
        <v>2040</v>
      </c>
      <c r="Y222" s="34">
        <f>'Prevalence projection'!X$21</f>
        <v>2041</v>
      </c>
      <c r="Z222" s="34">
        <f>'Prevalence projection'!Y$21</f>
        <v>2042</v>
      </c>
      <c r="AA222" s="34">
        <f>'Prevalence projection'!Z$21</f>
        <v>2043</v>
      </c>
      <c r="AB222" s="34">
        <f>'Prevalence projection'!AA$21</f>
        <v>2044</v>
      </c>
      <c r="AC222" s="34">
        <f>'Prevalence projection'!AB$21</f>
        <v>2045</v>
      </c>
      <c r="AD222" s="34">
        <f>'Prevalence projection'!AC$21</f>
        <v>2046</v>
      </c>
      <c r="AE222" s="34">
        <f>'Prevalence projection'!AD$21</f>
        <v>2047</v>
      </c>
      <c r="AF222" s="34">
        <f>'Prevalence projection'!AE$21</f>
        <v>2048</v>
      </c>
      <c r="AG222" s="34">
        <f>'Prevalence projection'!AF$21</f>
        <v>2049</v>
      </c>
      <c r="AH222" s="34">
        <f>'Prevalence projection'!AG$21</f>
        <v>2050</v>
      </c>
      <c r="AI222" s="34">
        <f>'Prevalence projection'!AH$21</f>
        <v>2051</v>
      </c>
      <c r="AJ222" s="34">
        <f>'Prevalence projection'!AI$21</f>
        <v>2052</v>
      </c>
      <c r="AK222" s="34">
        <f>'Prevalence projection'!AJ$21</f>
        <v>2053</v>
      </c>
      <c r="AL222" s="34">
        <f>'Prevalence projection'!AK$21</f>
        <v>2054</v>
      </c>
      <c r="AM222" s="34">
        <f>'Prevalence projection'!AL$21</f>
        <v>2055</v>
      </c>
      <c r="AN222" s="34">
        <f>'Prevalence projection'!AM$21</f>
        <v>2056</v>
      </c>
      <c r="AO222" s="34">
        <f>'Prevalence projection'!AN$21</f>
        <v>2057</v>
      </c>
      <c r="AP222" s="34">
        <f>'Prevalence projection'!AO$21</f>
        <v>2058</v>
      </c>
      <c r="AQ222" s="34">
        <f>'Prevalence projection'!AP$21</f>
        <v>2059</v>
      </c>
      <c r="AR222" s="34">
        <f>'Prevalence projection'!AQ$21</f>
        <v>2060</v>
      </c>
      <c r="AS222" s="34">
        <f>'Prevalence projection'!AR$21</f>
        <v>2061</v>
      </c>
      <c r="AT222" s="34">
        <f>'Prevalence projection'!AS$21</f>
        <v>2062</v>
      </c>
      <c r="AU222" s="34">
        <f>'Prevalence projection'!AT$21</f>
        <v>2063</v>
      </c>
      <c r="AV222" s="34">
        <f>'Prevalence projection'!AU$21</f>
        <v>2064</v>
      </c>
      <c r="AW222" s="34">
        <f>'Prevalence projection'!AV$21</f>
        <v>2065</v>
      </c>
      <c r="AX222" s="34">
        <f>'Prevalence projection'!AW$21</f>
        <v>2066</v>
      </c>
      <c r="AY222" s="34">
        <f>'Prevalence projection'!AX$21</f>
        <v>2067</v>
      </c>
      <c r="AZ222" s="34">
        <f>'Prevalence projection'!AY$21</f>
        <v>2068</v>
      </c>
      <c r="BA222" s="34">
        <f>'Prevalence projection'!AZ$21</f>
        <v>2069</v>
      </c>
      <c r="BB222" s="34">
        <f>'Prevalence projection'!BA$21</f>
        <v>2070</v>
      </c>
    </row>
    <row r="223" spans="1:54">
      <c r="B223" s="6" t="s">
        <v>11</v>
      </c>
      <c r="C223" s="142"/>
      <c r="D223" s="732">
        <f>(D177+D199)*INDEX(Inflation!$D$126:$BD$166, MATCH($B223, Inflation!$B$126:$B$166,0), MATCH(D$222, Inflation!$D$125:$BD$125,0))</f>
        <v>61084.352723118456</v>
      </c>
      <c r="E223" s="732">
        <f>(E177+E199)*INDEX(Inflation!$D$126:$BD$166, MATCH($B223, Inflation!$B$126:$B$166,0), MATCH(E$222, Inflation!$D$125:$BD$125,0))</f>
        <v>64878.658715682905</v>
      </c>
      <c r="F223" s="732">
        <f>(F177+F199)*INDEX(Inflation!$D$126:$BD$166, MATCH($B223, Inflation!$B$126:$B$166,0), MATCH(F$222, Inflation!$D$125:$BD$125,0))</f>
        <v>68479.217319571821</v>
      </c>
      <c r="G223" s="732">
        <f>(G177+G199)*INDEX(Inflation!$D$126:$BD$166, MATCH($B223, Inflation!$B$126:$B$166,0), MATCH(G$222, Inflation!$D$125:$BD$125,0))</f>
        <v>71966.824510390681</v>
      </c>
      <c r="H223" s="732">
        <f>(H177+H199)*INDEX(Inflation!$D$126:$BD$166, MATCH($B223, Inflation!$B$126:$B$166,0), MATCH(H$222, Inflation!$D$125:$BD$125,0))</f>
        <v>75423.336016985355</v>
      </c>
      <c r="I223" s="732">
        <f>(I177+I199)*INDEX(Inflation!$D$126:$BD$166, MATCH($B223, Inflation!$B$126:$B$166,0), MATCH(I$222, Inflation!$D$125:$BD$125,0))</f>
        <v>78898.73832894623</v>
      </c>
      <c r="J223" s="732">
        <f>(J177+J199)*INDEX(Inflation!$D$126:$BD$166, MATCH($B223, Inflation!$B$126:$B$166,0), MATCH(J$222, Inflation!$D$125:$BD$125,0))</f>
        <v>82397.57786894757</v>
      </c>
      <c r="K223" s="732">
        <f>(K177+K199)*INDEX(Inflation!$D$126:$BD$166, MATCH($B223, Inflation!$B$126:$B$166,0), MATCH(K$222, Inflation!$D$125:$BD$125,0))</f>
        <v>85946.872272498425</v>
      </c>
      <c r="L223" s="732">
        <f>(L177+L199)*INDEX(Inflation!$D$126:$BD$166, MATCH($B223, Inflation!$B$126:$B$166,0), MATCH(L$222, Inflation!$D$125:$BD$125,0))</f>
        <v>89702.438582380099</v>
      </c>
      <c r="M223" s="732">
        <f>(M177+M199)*INDEX(Inflation!$D$126:$BD$166, MATCH($B223, Inflation!$B$126:$B$166,0), MATCH(M$222, Inflation!$D$125:$BD$125,0))</f>
        <v>93579.618136809731</v>
      </c>
      <c r="N223" s="732">
        <f>(N177+N199)*INDEX(Inflation!$D$126:$BD$166, MATCH($B223, Inflation!$B$126:$B$166,0), MATCH(N$222, Inflation!$D$125:$BD$125,0))</f>
        <v>97536.081911816567</v>
      </c>
      <c r="O223" s="732">
        <f>(O177+O199)*INDEX(Inflation!$D$126:$BD$166, MATCH($B223, Inflation!$B$126:$B$166,0), MATCH(O$222, Inflation!$D$125:$BD$125,0))</f>
        <v>101553.02709451616</v>
      </c>
      <c r="P223" s="732">
        <f>(P177+P199)*INDEX(Inflation!$D$126:$BD$166, MATCH($B223, Inflation!$B$126:$B$166,0), MATCH(P$222, Inflation!$D$125:$BD$125,0))</f>
        <v>105618.28388244151</v>
      </c>
      <c r="Q223" s="732">
        <f>(Q177+Q199)*INDEX(Inflation!$D$126:$BD$166, MATCH($B223, Inflation!$B$126:$B$166,0), MATCH(Q$222, Inflation!$D$125:$BD$125,0))</f>
        <v>109761.15668144425</v>
      </c>
      <c r="R223" s="732">
        <f>(R177+R199)*INDEX(Inflation!$D$126:$BD$166, MATCH($B223, Inflation!$B$126:$B$166,0), MATCH(R$222, Inflation!$D$125:$BD$125,0))</f>
        <v>114018.3329823833</v>
      </c>
      <c r="S223" s="732">
        <f>(S177+S199)*INDEX(Inflation!$D$126:$BD$166, MATCH($B223, Inflation!$B$126:$B$166,0), MATCH(S$222, Inflation!$D$125:$BD$125,0))</f>
        <v>118398.40993536828</v>
      </c>
      <c r="T223" s="732">
        <f>(T177+T199)*INDEX(Inflation!$D$126:$BD$166, MATCH($B223, Inflation!$B$126:$B$166,0), MATCH(T$222, Inflation!$D$125:$BD$125,0))</f>
        <v>122875.85579561429</v>
      </c>
      <c r="U223" s="732">
        <f>(U177+U199)*INDEX(Inflation!$D$126:$BD$166, MATCH($B223, Inflation!$B$126:$B$166,0), MATCH(U$222, Inflation!$D$125:$BD$125,0))</f>
        <v>127457.15784379009</v>
      </c>
      <c r="V223" s="732">
        <f>(V177+V199)*INDEX(Inflation!$D$126:$BD$166, MATCH($B223, Inflation!$B$126:$B$166,0), MATCH(V$222, Inflation!$D$125:$BD$125,0))</f>
        <v>132217.34671937037</v>
      </c>
      <c r="W223" s="732">
        <f>(W177+W199)*INDEX(Inflation!$D$126:$BD$166, MATCH($B223, Inflation!$B$126:$B$166,0), MATCH(W$222, Inflation!$D$125:$BD$125,0))</f>
        <v>137101.19972468613</v>
      </c>
      <c r="X223" s="732">
        <f>(X177+X199)*INDEX(Inflation!$D$126:$BD$166, MATCH($B223, Inflation!$B$126:$B$166,0), MATCH(X$222, Inflation!$D$125:$BD$125,0))</f>
        <v>142093.36282684183</v>
      </c>
      <c r="Y223" s="732">
        <f>(Y177+Y199)*INDEX(Inflation!$D$126:$BD$166, MATCH($B223, Inflation!$B$126:$B$166,0), MATCH(Y$222, Inflation!$D$125:$BD$125,0))</f>
        <v>147192.38910936925</v>
      </c>
      <c r="Z223" s="732">
        <f>(Z177+Z199)*INDEX(Inflation!$D$126:$BD$166, MATCH($B223, Inflation!$B$126:$B$166,0), MATCH(Z$222, Inflation!$D$125:$BD$125,0))</f>
        <v>152431.62105075584</v>
      </c>
      <c r="AA223" s="732">
        <f>(AA177+AA199)*INDEX(Inflation!$D$126:$BD$166, MATCH($B223, Inflation!$B$126:$B$166,0), MATCH(AA$222, Inflation!$D$125:$BD$125,0))</f>
        <v>157807.20324365841</v>
      </c>
      <c r="AB223" s="732">
        <f>(AB177+AB199)*INDEX(Inflation!$D$126:$BD$166, MATCH($B223, Inflation!$B$126:$B$166,0), MATCH(AB$222, Inflation!$D$125:$BD$125,0))</f>
        <v>163308.33893454337</v>
      </c>
      <c r="AC223" s="732">
        <f>(AC177+AC199)*INDEX(Inflation!$D$126:$BD$166, MATCH($B223, Inflation!$B$126:$B$166,0), MATCH(AC$222, Inflation!$D$125:$BD$125,0))</f>
        <v>168926.12480135323</v>
      </c>
      <c r="AD223" s="732">
        <f>(AD177+AD199)*INDEX(Inflation!$D$126:$BD$166, MATCH($B223, Inflation!$B$126:$B$166,0), MATCH(AD$222, Inflation!$D$125:$BD$125,0))</f>
        <v>174650.631710596</v>
      </c>
      <c r="AE223" s="732">
        <f>(AE177+AE199)*INDEX(Inflation!$D$126:$BD$166, MATCH($B223, Inflation!$B$126:$B$166,0), MATCH(AE$222, Inflation!$D$125:$BD$125,0))</f>
        <v>180473.85812346765</v>
      </c>
      <c r="AF223" s="732">
        <f>(AF177+AF199)*INDEX(Inflation!$D$126:$BD$166, MATCH($B223, Inflation!$B$126:$B$166,0), MATCH(AF$222, Inflation!$D$125:$BD$125,0))</f>
        <v>186387.75366050625</v>
      </c>
      <c r="AG223" s="732">
        <f>(AG177+AG199)*INDEX(Inflation!$D$126:$BD$166, MATCH($B223, Inflation!$B$126:$B$166,0), MATCH(AG$222, Inflation!$D$125:$BD$125,0))</f>
        <v>192398.34429386715</v>
      </c>
      <c r="AH223" s="732">
        <f>(AH177+AH199)*INDEX(Inflation!$D$126:$BD$166, MATCH($B223, Inflation!$B$126:$B$166,0), MATCH(AH$222, Inflation!$D$125:$BD$125,0))</f>
        <v>198540.87603211842</v>
      </c>
      <c r="AI223" s="732">
        <f>(AI177+AI199)*INDEX(Inflation!$D$126:$BD$166, MATCH($B223, Inflation!$B$126:$B$166,0), MATCH(AI$222, Inflation!$D$125:$BD$125,0))</f>
        <v>204821.34923231826</v>
      </c>
      <c r="AJ223" s="732">
        <f>(AJ177+AJ199)*INDEX(Inflation!$D$126:$BD$166, MATCH($B223, Inflation!$B$126:$B$166,0), MATCH(AJ$222, Inflation!$D$125:$BD$125,0))</f>
        <v>211255.94157130821</v>
      </c>
      <c r="AK223" s="732">
        <f>(AK177+AK199)*INDEX(Inflation!$D$126:$BD$166, MATCH($B223, Inflation!$B$126:$B$166,0), MATCH(AK$222, Inflation!$D$125:$BD$125,0))</f>
        <v>217805.12360200036</v>
      </c>
      <c r="AL223" s="732">
        <f>(AL177+AL199)*INDEX(Inflation!$D$126:$BD$166, MATCH($B223, Inflation!$B$126:$B$166,0), MATCH(AL$222, Inflation!$D$125:$BD$125,0))</f>
        <v>224435.7357099354</v>
      </c>
      <c r="AM223" s="732">
        <f>(AM177+AM199)*INDEX(Inflation!$D$126:$BD$166, MATCH($B223, Inflation!$B$126:$B$166,0), MATCH(AM$222, Inflation!$D$125:$BD$125,0))</f>
        <v>231122.42579107868</v>
      </c>
      <c r="AN223" s="732">
        <f>(AN177+AN199)*INDEX(Inflation!$D$126:$BD$166, MATCH($B223, Inflation!$B$126:$B$166,0), MATCH(AN$222, Inflation!$D$125:$BD$125,0))</f>
        <v>237875.31873193162</v>
      </c>
      <c r="AO223" s="732">
        <f>(AO177+AO199)*INDEX(Inflation!$D$126:$BD$166, MATCH($B223, Inflation!$B$126:$B$166,0), MATCH(AO$222, Inflation!$D$125:$BD$125,0))</f>
        <v>244694.38704025192</v>
      </c>
      <c r="AP223" s="732">
        <f>(AP177+AP199)*INDEX(Inflation!$D$126:$BD$166, MATCH($B223, Inflation!$B$126:$B$166,0), MATCH(AP$222, Inflation!$D$125:$BD$125,0))</f>
        <v>251570.33700559742</v>
      </c>
      <c r="AQ223" s="732">
        <f>(AQ177+AQ199)*INDEX(Inflation!$D$126:$BD$166, MATCH($B223, Inflation!$B$126:$B$166,0), MATCH(AQ$222, Inflation!$D$125:$BD$125,0))</f>
        <v>258552.59926328718</v>
      </c>
      <c r="AR223" s="732">
        <f>(AR177+AR199)*INDEX(Inflation!$D$126:$BD$166, MATCH($B223, Inflation!$B$126:$B$166,0), MATCH(AR$222, Inflation!$D$125:$BD$125,0))</f>
        <v>265701.90894262865</v>
      </c>
      <c r="AS223" s="732">
        <f>(AS177+AS199)*INDEX(Inflation!$D$126:$BD$166, MATCH($B223, Inflation!$B$126:$B$166,0), MATCH(AS$222, Inflation!$D$125:$BD$125,0))</f>
        <v>273072.20794579521</v>
      </c>
      <c r="AT223" s="732">
        <f>(AT177+AT199)*INDEX(Inflation!$D$126:$BD$166, MATCH($B223, Inflation!$B$126:$B$166,0), MATCH(AT$222, Inflation!$D$125:$BD$125,0))</f>
        <v>280344.51151568879</v>
      </c>
      <c r="AU223" s="732" t="e">
        <f>(AU177+AU199)*INDEX(Inflation!$D$126:$BD$166, MATCH($B223, Inflation!$B$126:$B$166,0), MATCH(AU$222, Inflation!$D$125:$BD$125,0))</f>
        <v>#N/A</v>
      </c>
      <c r="AV223" s="732" t="e">
        <f>(AV177+AV199)*INDEX(Inflation!$D$126:$BD$166, MATCH($B223, Inflation!$B$126:$B$166,0), MATCH(AV$222, Inflation!$D$125:$BD$125,0))</f>
        <v>#N/A</v>
      </c>
      <c r="AW223" s="732" t="e">
        <f>(AW177+AW199)*INDEX(Inflation!$D$126:$BD$166, MATCH($B223, Inflation!$B$126:$B$166,0), MATCH(AW$222, Inflation!$D$125:$BD$125,0))</f>
        <v>#N/A</v>
      </c>
      <c r="AX223" s="732" t="e">
        <f>(AX177+AX199)*INDEX(Inflation!$D$126:$BD$166, MATCH($B223, Inflation!$B$126:$B$166,0), MATCH(AX$222, Inflation!$D$125:$BD$125,0))</f>
        <v>#N/A</v>
      </c>
      <c r="AY223" s="732" t="e">
        <f>(AY177+AY199)*INDEX(Inflation!$D$126:$BD$166, MATCH($B223, Inflation!$B$126:$B$166,0), MATCH(AY$222, Inflation!$D$125:$BD$125,0))</f>
        <v>#N/A</v>
      </c>
      <c r="AZ223" s="732" t="e">
        <f>(AZ177+AZ199)*INDEX(Inflation!$D$126:$BD$166, MATCH($B223, Inflation!$B$126:$B$166,0), MATCH(AZ$222, Inflation!$D$125:$BD$125,0))</f>
        <v>#N/A</v>
      </c>
      <c r="BA223" s="732" t="e">
        <f>(BA177+BA199)*INDEX(Inflation!$D$126:$BD$166, MATCH($B223, Inflation!$B$126:$B$166,0), MATCH(BA$222, Inflation!$D$125:$BD$125,0))</f>
        <v>#N/A</v>
      </c>
      <c r="BB223" s="732" t="e">
        <f>(BB177+BB199)*INDEX(Inflation!$D$126:$BD$166, MATCH($B223, Inflation!$B$126:$B$166,0), MATCH(BB$222, Inflation!$D$125:$BD$125,0))</f>
        <v>#N/A</v>
      </c>
    </row>
    <row r="224" spans="1:54">
      <c r="B224" s="6" t="s">
        <v>14</v>
      </c>
      <c r="C224" s="142"/>
      <c r="D224" s="732">
        <f>(D178+D200)*INDEX(Inflation!$D$126:$BD$166, MATCH($B224, Inflation!$B$126:$B$166,0), MATCH(D$222, Inflation!$D$125:$BD$125,0))</f>
        <v>0</v>
      </c>
      <c r="E224" s="732">
        <f>(E178+E200)*INDEX(Inflation!$D$126:$BD$166, MATCH($B224, Inflation!$B$126:$B$166,0), MATCH(E$222, Inflation!$D$125:$BD$125,0))</f>
        <v>0</v>
      </c>
      <c r="F224" s="732">
        <f>(F178+F200)*INDEX(Inflation!$D$126:$BD$166, MATCH($B224, Inflation!$B$126:$B$166,0), MATCH(F$222, Inflation!$D$125:$BD$125,0))</f>
        <v>0</v>
      </c>
      <c r="G224" s="732">
        <f>(G178+G200)*INDEX(Inflation!$D$126:$BD$166, MATCH($B224, Inflation!$B$126:$B$166,0), MATCH(G$222, Inflation!$D$125:$BD$125,0))</f>
        <v>0</v>
      </c>
      <c r="H224" s="732">
        <f>(H178+H200)*INDEX(Inflation!$D$126:$BD$166, MATCH($B224, Inflation!$B$126:$B$166,0), MATCH(H$222, Inflation!$D$125:$BD$125,0))</f>
        <v>0</v>
      </c>
      <c r="I224" s="732">
        <f>(I178+I200)*INDEX(Inflation!$D$126:$BD$166, MATCH($B224, Inflation!$B$126:$B$166,0), MATCH(I$222, Inflation!$D$125:$BD$125,0))</f>
        <v>0</v>
      </c>
      <c r="J224" s="732">
        <f>(J178+J200)*INDEX(Inflation!$D$126:$BD$166, MATCH($B224, Inflation!$B$126:$B$166,0), MATCH(J$222, Inflation!$D$125:$BD$125,0))</f>
        <v>0</v>
      </c>
      <c r="K224" s="732">
        <f>(K178+K200)*INDEX(Inflation!$D$126:$BD$166, MATCH($B224, Inflation!$B$126:$B$166,0), MATCH(K$222, Inflation!$D$125:$BD$125,0))</f>
        <v>0</v>
      </c>
      <c r="L224" s="732">
        <f>(L178+L200)*INDEX(Inflation!$D$126:$BD$166, MATCH($B224, Inflation!$B$126:$B$166,0), MATCH(L$222, Inflation!$D$125:$BD$125,0))</f>
        <v>0</v>
      </c>
      <c r="M224" s="732">
        <f>(M178+M200)*INDEX(Inflation!$D$126:$BD$166, MATCH($B224, Inflation!$B$126:$B$166,0), MATCH(M$222, Inflation!$D$125:$BD$125,0))</f>
        <v>0</v>
      </c>
      <c r="N224" s="732">
        <f>(N178+N200)*INDEX(Inflation!$D$126:$BD$166, MATCH($B224, Inflation!$B$126:$B$166,0), MATCH(N$222, Inflation!$D$125:$BD$125,0))</f>
        <v>0</v>
      </c>
      <c r="O224" s="732">
        <f>(O178+O200)*INDEX(Inflation!$D$126:$BD$166, MATCH($B224, Inflation!$B$126:$B$166,0), MATCH(O$222, Inflation!$D$125:$BD$125,0))</f>
        <v>0</v>
      </c>
      <c r="P224" s="732">
        <f>(P178+P200)*INDEX(Inflation!$D$126:$BD$166, MATCH($B224, Inflation!$B$126:$B$166,0), MATCH(P$222, Inflation!$D$125:$BD$125,0))</f>
        <v>0</v>
      </c>
      <c r="Q224" s="732">
        <f>(Q178+Q200)*INDEX(Inflation!$D$126:$BD$166, MATCH($B224, Inflation!$B$126:$B$166,0), MATCH(Q$222, Inflation!$D$125:$BD$125,0))</f>
        <v>0</v>
      </c>
      <c r="R224" s="732">
        <f>(R178+R200)*INDEX(Inflation!$D$126:$BD$166, MATCH($B224, Inflation!$B$126:$B$166,0), MATCH(R$222, Inflation!$D$125:$BD$125,0))</f>
        <v>0</v>
      </c>
      <c r="S224" s="732">
        <f>(S178+S200)*INDEX(Inflation!$D$126:$BD$166, MATCH($B224, Inflation!$B$126:$B$166,0), MATCH(S$222, Inflation!$D$125:$BD$125,0))</f>
        <v>0</v>
      </c>
      <c r="T224" s="732">
        <f>(T178+T200)*INDEX(Inflation!$D$126:$BD$166, MATCH($B224, Inflation!$B$126:$B$166,0), MATCH(T$222, Inflation!$D$125:$BD$125,0))</f>
        <v>0</v>
      </c>
      <c r="U224" s="732">
        <f>(U178+U200)*INDEX(Inflation!$D$126:$BD$166, MATCH($B224, Inflation!$B$126:$B$166,0), MATCH(U$222, Inflation!$D$125:$BD$125,0))</f>
        <v>0</v>
      </c>
      <c r="V224" s="732">
        <f>(V178+V200)*INDEX(Inflation!$D$126:$BD$166, MATCH($B224, Inflation!$B$126:$B$166,0), MATCH(V$222, Inflation!$D$125:$BD$125,0))</f>
        <v>0</v>
      </c>
      <c r="W224" s="732">
        <f>(W178+W200)*INDEX(Inflation!$D$126:$BD$166, MATCH($B224, Inflation!$B$126:$B$166,0), MATCH(W$222, Inflation!$D$125:$BD$125,0))</f>
        <v>0</v>
      </c>
      <c r="X224" s="732">
        <f>(X178+X200)*INDEX(Inflation!$D$126:$BD$166, MATCH($B224, Inflation!$B$126:$B$166,0), MATCH(X$222, Inflation!$D$125:$BD$125,0))</f>
        <v>0</v>
      </c>
      <c r="Y224" s="732">
        <f>(Y178+Y200)*INDEX(Inflation!$D$126:$BD$166, MATCH($B224, Inflation!$B$126:$B$166,0), MATCH(Y$222, Inflation!$D$125:$BD$125,0))</f>
        <v>0</v>
      </c>
      <c r="Z224" s="732">
        <f>(Z178+Z200)*INDEX(Inflation!$D$126:$BD$166, MATCH($B224, Inflation!$B$126:$B$166,0), MATCH(Z$222, Inflation!$D$125:$BD$125,0))</f>
        <v>0</v>
      </c>
      <c r="AA224" s="732">
        <f>(AA178+AA200)*INDEX(Inflation!$D$126:$BD$166, MATCH($B224, Inflation!$B$126:$B$166,0), MATCH(AA$222, Inflation!$D$125:$BD$125,0))</f>
        <v>0</v>
      </c>
      <c r="AB224" s="732">
        <f>(AB178+AB200)*INDEX(Inflation!$D$126:$BD$166, MATCH($B224, Inflation!$B$126:$B$166,0), MATCH(AB$222, Inflation!$D$125:$BD$125,0))</f>
        <v>0</v>
      </c>
      <c r="AC224" s="732">
        <f>(AC178+AC200)*INDEX(Inflation!$D$126:$BD$166, MATCH($B224, Inflation!$B$126:$B$166,0), MATCH(AC$222, Inflation!$D$125:$BD$125,0))</f>
        <v>0</v>
      </c>
      <c r="AD224" s="732">
        <f>(AD178+AD200)*INDEX(Inflation!$D$126:$BD$166, MATCH($B224, Inflation!$B$126:$B$166,0), MATCH(AD$222, Inflation!$D$125:$BD$125,0))</f>
        <v>0</v>
      </c>
      <c r="AE224" s="732">
        <f>(AE178+AE200)*INDEX(Inflation!$D$126:$BD$166, MATCH($B224, Inflation!$B$126:$B$166,0), MATCH(AE$222, Inflation!$D$125:$BD$125,0))</f>
        <v>0</v>
      </c>
      <c r="AF224" s="732">
        <f>(AF178+AF200)*INDEX(Inflation!$D$126:$BD$166, MATCH($B224, Inflation!$B$126:$B$166,0), MATCH(AF$222, Inflation!$D$125:$BD$125,0))</f>
        <v>0</v>
      </c>
      <c r="AG224" s="732">
        <f>(AG178+AG200)*INDEX(Inflation!$D$126:$BD$166, MATCH($B224, Inflation!$B$126:$B$166,0), MATCH(AG$222, Inflation!$D$125:$BD$125,0))</f>
        <v>0</v>
      </c>
      <c r="AH224" s="732">
        <f>(AH178+AH200)*INDEX(Inflation!$D$126:$BD$166, MATCH($B224, Inflation!$B$126:$B$166,0), MATCH(AH$222, Inflation!$D$125:$BD$125,0))</f>
        <v>0</v>
      </c>
      <c r="AI224" s="732">
        <f>(AI178+AI200)*INDEX(Inflation!$D$126:$BD$166, MATCH($B224, Inflation!$B$126:$B$166,0), MATCH(AI$222, Inflation!$D$125:$BD$125,0))</f>
        <v>0</v>
      </c>
      <c r="AJ224" s="732">
        <f>(AJ178+AJ200)*INDEX(Inflation!$D$126:$BD$166, MATCH($B224, Inflation!$B$126:$B$166,0), MATCH(AJ$222, Inflation!$D$125:$BD$125,0))</f>
        <v>0</v>
      </c>
      <c r="AK224" s="732">
        <f>(AK178+AK200)*INDEX(Inflation!$D$126:$BD$166, MATCH($B224, Inflation!$B$126:$B$166,0), MATCH(AK$222, Inflation!$D$125:$BD$125,0))</f>
        <v>0</v>
      </c>
      <c r="AL224" s="732">
        <f>(AL178+AL200)*INDEX(Inflation!$D$126:$BD$166, MATCH($B224, Inflation!$B$126:$B$166,0), MATCH(AL$222, Inflation!$D$125:$BD$125,0))</f>
        <v>0</v>
      </c>
      <c r="AM224" s="732">
        <f>(AM178+AM200)*INDEX(Inflation!$D$126:$BD$166, MATCH($B224, Inflation!$B$126:$B$166,0), MATCH(AM$222, Inflation!$D$125:$BD$125,0))</f>
        <v>0</v>
      </c>
      <c r="AN224" s="732">
        <f>(AN178+AN200)*INDEX(Inflation!$D$126:$BD$166, MATCH($B224, Inflation!$B$126:$B$166,0), MATCH(AN$222, Inflation!$D$125:$BD$125,0))</f>
        <v>0</v>
      </c>
      <c r="AO224" s="732">
        <f>(AO178+AO200)*INDEX(Inflation!$D$126:$BD$166, MATCH($B224, Inflation!$B$126:$B$166,0), MATCH(AO$222, Inflation!$D$125:$BD$125,0))</f>
        <v>0</v>
      </c>
      <c r="AP224" s="732">
        <f>(AP178+AP200)*INDEX(Inflation!$D$126:$BD$166, MATCH($B224, Inflation!$B$126:$B$166,0), MATCH(AP$222, Inflation!$D$125:$BD$125,0))</f>
        <v>0</v>
      </c>
      <c r="AQ224" s="732">
        <f>(AQ178+AQ200)*INDEX(Inflation!$D$126:$BD$166, MATCH($B224, Inflation!$B$126:$B$166,0), MATCH(AQ$222, Inflation!$D$125:$BD$125,0))</f>
        <v>0</v>
      </c>
      <c r="AR224" s="732">
        <f>(AR178+AR200)*INDEX(Inflation!$D$126:$BD$166, MATCH($B224, Inflation!$B$126:$B$166,0), MATCH(AR$222, Inflation!$D$125:$BD$125,0))</f>
        <v>0</v>
      </c>
      <c r="AS224" s="732">
        <f>(AS178+AS200)*INDEX(Inflation!$D$126:$BD$166, MATCH($B224, Inflation!$B$126:$B$166,0), MATCH(AS$222, Inflation!$D$125:$BD$125,0))</f>
        <v>0</v>
      </c>
      <c r="AT224" s="732">
        <f>(AT178+AT200)*INDEX(Inflation!$D$126:$BD$166, MATCH($B224, Inflation!$B$126:$B$166,0), MATCH(AT$222, Inflation!$D$125:$BD$125,0))</f>
        <v>0</v>
      </c>
      <c r="AU224" s="732" t="e">
        <f>(AU178+AU200)*INDEX(Inflation!$D$126:$BD$166, MATCH($B224, Inflation!$B$126:$B$166,0), MATCH(AU$222, Inflation!$D$125:$BD$125,0))</f>
        <v>#N/A</v>
      </c>
      <c r="AV224" s="732" t="e">
        <f>(AV178+AV200)*INDEX(Inflation!$D$126:$BD$166, MATCH($B224, Inflation!$B$126:$B$166,0), MATCH(AV$222, Inflation!$D$125:$BD$125,0))</f>
        <v>#N/A</v>
      </c>
      <c r="AW224" s="732" t="e">
        <f>(AW178+AW200)*INDEX(Inflation!$D$126:$BD$166, MATCH($B224, Inflation!$B$126:$B$166,0), MATCH(AW$222, Inflation!$D$125:$BD$125,0))</f>
        <v>#N/A</v>
      </c>
      <c r="AX224" s="732" t="e">
        <f>(AX178+AX200)*INDEX(Inflation!$D$126:$BD$166, MATCH($B224, Inflation!$B$126:$B$166,0), MATCH(AX$222, Inflation!$D$125:$BD$125,0))</f>
        <v>#N/A</v>
      </c>
      <c r="AY224" s="732" t="e">
        <f>(AY178+AY200)*INDEX(Inflation!$D$126:$BD$166, MATCH($B224, Inflation!$B$126:$B$166,0), MATCH(AY$222, Inflation!$D$125:$BD$125,0))</f>
        <v>#N/A</v>
      </c>
      <c r="AZ224" s="732" t="e">
        <f>(AZ178+AZ200)*INDEX(Inflation!$D$126:$BD$166, MATCH($B224, Inflation!$B$126:$B$166,0), MATCH(AZ$222, Inflation!$D$125:$BD$125,0))</f>
        <v>#N/A</v>
      </c>
      <c r="BA224" s="732" t="e">
        <f>(BA178+BA200)*INDEX(Inflation!$D$126:$BD$166, MATCH($B224, Inflation!$B$126:$B$166,0), MATCH(BA$222, Inflation!$D$125:$BD$125,0))</f>
        <v>#N/A</v>
      </c>
      <c r="BB224" s="732" t="e">
        <f>(BB178+BB200)*INDEX(Inflation!$D$126:$BD$166, MATCH($B224, Inflation!$B$126:$B$166,0), MATCH(BB$222, Inflation!$D$125:$BD$125,0))</f>
        <v>#N/A</v>
      </c>
    </row>
    <row r="225" spans="2:54">
      <c r="B225" s="6" t="s">
        <v>15</v>
      </c>
      <c r="C225" s="142"/>
      <c r="D225" s="732">
        <f>(D179+D201)*INDEX(Inflation!$D$126:$BD$166, MATCH($B225, Inflation!$B$126:$B$166,0), MATCH(D$222, Inflation!$D$125:$BD$125,0))</f>
        <v>1156.7657895127397</v>
      </c>
      <c r="E225" s="732">
        <f>(E179+E201)*INDEX(Inflation!$D$126:$BD$166, MATCH($B225, Inflation!$B$126:$B$166,0), MATCH(E$222, Inflation!$D$125:$BD$125,0))</f>
        <v>1228.6192703384536</v>
      </c>
      <c r="F225" s="732">
        <f>(F179+F201)*INDEX(Inflation!$D$126:$BD$166, MATCH($B225, Inflation!$B$126:$B$166,0), MATCH(F$222, Inflation!$D$125:$BD$125,0))</f>
        <v>1296.8037206999636</v>
      </c>
      <c r="G225" s="732">
        <f>(G179+G201)*INDEX(Inflation!$D$126:$BD$166, MATCH($B225, Inflation!$B$126:$B$166,0), MATCH(G$222, Inflation!$D$125:$BD$125,0))</f>
        <v>1362.8491890686744</v>
      </c>
      <c r="H225" s="732">
        <f>(H179+H201)*INDEX(Inflation!$D$126:$BD$166, MATCH($B225, Inflation!$B$126:$B$166,0), MATCH(H$222, Inflation!$D$125:$BD$125,0))</f>
        <v>1428.3057926609165</v>
      </c>
      <c r="I225" s="732">
        <f>(I179+I201)*INDEX(Inflation!$D$126:$BD$166, MATCH($B225, Inflation!$B$126:$B$166,0), MATCH(I$222, Inflation!$D$125:$BD$125,0))</f>
        <v>1494.1201349605328</v>
      </c>
      <c r="J225" s="732">
        <f>(J179+J201)*INDEX(Inflation!$D$126:$BD$166, MATCH($B225, Inflation!$B$126:$B$166,0), MATCH(J$222, Inflation!$D$125:$BD$125,0))</f>
        <v>1560.3783124223405</v>
      </c>
      <c r="K225" s="732">
        <f>(K179+K201)*INDEX(Inflation!$D$126:$BD$166, MATCH($B225, Inflation!$B$126:$B$166,0), MATCH(K$222, Inflation!$D$125:$BD$125,0))</f>
        <v>1627.5919630530816</v>
      </c>
      <c r="L225" s="732">
        <f>(L179+L201)*INDEX(Inflation!$D$126:$BD$166, MATCH($B225, Inflation!$B$126:$B$166,0), MATCH(L$222, Inflation!$D$125:$BD$125,0))</f>
        <v>1698.7118232766893</v>
      </c>
      <c r="M225" s="732">
        <f>(M179+M201)*INDEX(Inflation!$D$126:$BD$166, MATCH($B225, Inflation!$B$126:$B$166,0), MATCH(M$222, Inflation!$D$125:$BD$125,0))</f>
        <v>1772.1346962126095</v>
      </c>
      <c r="N225" s="732">
        <f>(N179+N201)*INDEX(Inflation!$D$126:$BD$166, MATCH($B225, Inflation!$B$126:$B$166,0), MATCH(N$222, Inflation!$D$125:$BD$125,0))</f>
        <v>1847.0589892327794</v>
      </c>
      <c r="O225" s="732">
        <f>(O179+O201)*INDEX(Inflation!$D$126:$BD$166, MATCH($B225, Inflation!$B$126:$B$166,0), MATCH(O$222, Inflation!$D$125:$BD$125,0))</f>
        <v>1923.1286299598762</v>
      </c>
      <c r="P225" s="732">
        <f>(P179+P201)*INDEX(Inflation!$D$126:$BD$166, MATCH($B225, Inflation!$B$126:$B$166,0), MATCH(P$222, Inflation!$D$125:$BD$125,0))</f>
        <v>2000.1131565729695</v>
      </c>
      <c r="Q225" s="732">
        <f>(Q179+Q201)*INDEX(Inflation!$D$126:$BD$166, MATCH($B225, Inflation!$B$126:$B$166,0), MATCH(Q$222, Inflation!$D$125:$BD$125,0))</f>
        <v>2078.5675120756268</v>
      </c>
      <c r="R225" s="732">
        <f>(R179+R201)*INDEX(Inflation!$D$126:$BD$166, MATCH($B225, Inflation!$B$126:$B$166,0), MATCH(R$222, Inflation!$D$125:$BD$125,0))</f>
        <v>2159.186454330325</v>
      </c>
      <c r="S225" s="732">
        <f>(S179+S201)*INDEX(Inflation!$D$126:$BD$166, MATCH($B225, Inflation!$B$126:$B$166,0), MATCH(S$222, Inflation!$D$125:$BD$125,0))</f>
        <v>2242.1327891734318</v>
      </c>
      <c r="T225" s="732">
        <f>(T179+T201)*INDEX(Inflation!$D$126:$BD$166, MATCH($B225, Inflation!$B$126:$B$166,0), MATCH(T$222, Inflation!$D$125:$BD$125,0))</f>
        <v>2326.9230171882045</v>
      </c>
      <c r="U225" s="732">
        <f>(U179+U201)*INDEX(Inflation!$D$126:$BD$166, MATCH($B225, Inflation!$B$126:$B$166,0), MATCH(U$222, Inflation!$D$125:$BD$125,0))</f>
        <v>2413.6799892195822</v>
      </c>
      <c r="V225" s="732">
        <f>(V179+V201)*INDEX(Inflation!$D$126:$BD$166, MATCH($B225, Inflation!$B$126:$B$166,0), MATCH(V$222, Inflation!$D$125:$BD$125,0))</f>
        <v>2503.8245744925039</v>
      </c>
      <c r="W225" s="732">
        <f>(W179+W201)*INDEX(Inflation!$D$126:$BD$166, MATCH($B225, Inflation!$B$126:$B$166,0), MATCH(W$222, Inflation!$D$125:$BD$125,0))</f>
        <v>2596.3110104733523</v>
      </c>
      <c r="X225" s="732">
        <f>(X179+X201)*INDEX(Inflation!$D$126:$BD$166, MATCH($B225, Inflation!$B$126:$B$166,0), MATCH(X$222, Inflation!$D$125:$BD$125,0))</f>
        <v>2690.8485349752032</v>
      </c>
      <c r="Y225" s="732">
        <f>(Y179+Y201)*INDEX(Inflation!$D$126:$BD$166, MATCH($B225, Inflation!$B$126:$B$166,0), MATCH(Y$222, Inflation!$D$125:$BD$125,0))</f>
        <v>2787.4097474708169</v>
      </c>
      <c r="Z225" s="732">
        <f>(Z179+Z201)*INDEX(Inflation!$D$126:$BD$166, MATCH($B225, Inflation!$B$126:$B$166,0), MATCH(Z$222, Inflation!$D$125:$BD$125,0))</f>
        <v>2886.6260606990113</v>
      </c>
      <c r="AA225" s="732">
        <f>(AA179+AA201)*INDEX(Inflation!$D$126:$BD$166, MATCH($B225, Inflation!$B$126:$B$166,0), MATCH(AA$222, Inflation!$D$125:$BD$125,0))</f>
        <v>2988.4244640912784</v>
      </c>
      <c r="AB225" s="732">
        <f>(AB179+AB201)*INDEX(Inflation!$D$126:$BD$166, MATCH($B225, Inflation!$B$126:$B$166,0), MATCH(AB$222, Inflation!$D$125:$BD$125,0))</f>
        <v>3092.6004975106334</v>
      </c>
      <c r="AC225" s="732">
        <f>(AC179+AC201)*INDEX(Inflation!$D$126:$BD$166, MATCH($B225, Inflation!$B$126:$B$166,0), MATCH(AC$222, Inflation!$D$125:$BD$125,0))</f>
        <v>3198.9855570853806</v>
      </c>
      <c r="AD225" s="732">
        <f>(AD179+AD201)*INDEX(Inflation!$D$126:$BD$166, MATCH($B225, Inflation!$B$126:$B$166,0), MATCH(AD$222, Inflation!$D$125:$BD$125,0))</f>
        <v>3307.3916129612112</v>
      </c>
      <c r="AE225" s="732">
        <f>(AE179+AE201)*INDEX(Inflation!$D$126:$BD$166, MATCH($B225, Inflation!$B$126:$B$166,0), MATCH(AE$222, Inflation!$D$125:$BD$125,0))</f>
        <v>3417.6671385042278</v>
      </c>
      <c r="AF225" s="732">
        <f>(AF179+AF201)*INDEX(Inflation!$D$126:$BD$166, MATCH($B225, Inflation!$B$126:$B$166,0), MATCH(AF$222, Inflation!$D$125:$BD$125,0))</f>
        <v>3529.6596821758781</v>
      </c>
      <c r="AG225" s="732">
        <f>(AG179+AG201)*INDEX(Inflation!$D$126:$BD$166, MATCH($B225, Inflation!$B$126:$B$166,0), MATCH(AG$222, Inflation!$D$125:$BD$125,0))</f>
        <v>3643.4833589356745</v>
      </c>
      <c r="AH225" s="732">
        <f>(AH179+AH201)*INDEX(Inflation!$D$126:$BD$166, MATCH($B225, Inflation!$B$126:$B$166,0), MATCH(AH$222, Inflation!$D$125:$BD$125,0))</f>
        <v>3759.8056290268828</v>
      </c>
      <c r="AI225" s="732">
        <f>(AI179+AI201)*INDEX(Inflation!$D$126:$BD$166, MATCH($B225, Inflation!$B$126:$B$166,0), MATCH(AI$222, Inflation!$D$125:$BD$125,0))</f>
        <v>3878.7401223311431</v>
      </c>
      <c r="AJ225" s="732">
        <f>(AJ179+AJ201)*INDEX(Inflation!$D$126:$BD$166, MATCH($B225, Inflation!$B$126:$B$166,0), MATCH(AJ$222, Inflation!$D$125:$BD$125,0))</f>
        <v>4000.5931985345246</v>
      </c>
      <c r="AK225" s="732">
        <f>(AK179+AK201)*INDEX(Inflation!$D$126:$BD$166, MATCH($B225, Inflation!$B$126:$B$166,0), MATCH(AK$222, Inflation!$D$125:$BD$125,0))</f>
        <v>4124.6162811189624</v>
      </c>
      <c r="AL225" s="732">
        <f>(AL179+AL201)*INDEX(Inflation!$D$126:$BD$166, MATCH($B225, Inflation!$B$126:$B$166,0), MATCH(AL$222, Inflation!$D$125:$BD$125,0))</f>
        <v>4250.1814202758733</v>
      </c>
      <c r="AM225" s="732">
        <f>(AM179+AM201)*INDEX(Inflation!$D$126:$BD$166, MATCH($B225, Inflation!$B$126:$B$166,0), MATCH(AM$222, Inflation!$D$125:$BD$125,0))</f>
        <v>4376.8085184789343</v>
      </c>
      <c r="AN225" s="732">
        <f>(AN179+AN201)*INDEX(Inflation!$D$126:$BD$166, MATCH($B225, Inflation!$B$126:$B$166,0), MATCH(AN$222, Inflation!$D$125:$BD$125,0))</f>
        <v>4504.6893125937313</v>
      </c>
      <c r="AO225" s="732">
        <f>(AO179+AO201)*INDEX(Inflation!$D$126:$BD$166, MATCH($B225, Inflation!$B$126:$B$166,0), MATCH(AO$222, Inflation!$D$125:$BD$125,0))</f>
        <v>4633.8232819945406</v>
      </c>
      <c r="AP225" s="732">
        <f>(AP179+AP201)*INDEX(Inflation!$D$126:$BD$166, MATCH($B225, Inflation!$B$126:$B$166,0), MATCH(AP$222, Inflation!$D$125:$BD$125,0))</f>
        <v>4764.0344299519566</v>
      </c>
      <c r="AQ225" s="732">
        <f>(AQ179+AQ201)*INDEX(Inflation!$D$126:$BD$166, MATCH($B225, Inflation!$B$126:$B$166,0), MATCH(AQ$222, Inflation!$D$125:$BD$125,0))</f>
        <v>4896.2588336337303</v>
      </c>
      <c r="AR225" s="732">
        <f>(AR179+AR201)*INDEX(Inflation!$D$126:$BD$166, MATCH($B225, Inflation!$B$126:$B$166,0), MATCH(AR$222, Inflation!$D$125:$BD$125,0))</f>
        <v>5031.6466455203663</v>
      </c>
      <c r="AS225" s="732">
        <f>(AS179+AS201)*INDEX(Inflation!$D$126:$BD$166, MATCH($B225, Inflation!$B$126:$B$166,0), MATCH(AS$222, Inflation!$D$125:$BD$125,0))</f>
        <v>5171.2193734821094</v>
      </c>
      <c r="AT225" s="732">
        <f>(AT179+AT201)*INDEX(Inflation!$D$126:$BD$166, MATCH($B225, Inflation!$B$126:$B$166,0), MATCH(AT$222, Inflation!$D$125:$BD$125,0))</f>
        <v>5308.936343632151</v>
      </c>
      <c r="AU225" s="732" t="e">
        <f>(AU179+AU201)*INDEX(Inflation!$D$126:$BD$166, MATCH($B225, Inflation!$B$126:$B$166,0), MATCH(AU$222, Inflation!$D$125:$BD$125,0))</f>
        <v>#N/A</v>
      </c>
      <c r="AV225" s="732" t="e">
        <f>(AV179+AV201)*INDEX(Inflation!$D$126:$BD$166, MATCH($B225, Inflation!$B$126:$B$166,0), MATCH(AV$222, Inflation!$D$125:$BD$125,0))</f>
        <v>#N/A</v>
      </c>
      <c r="AW225" s="732" t="e">
        <f>(AW179+AW201)*INDEX(Inflation!$D$126:$BD$166, MATCH($B225, Inflation!$B$126:$B$166,0), MATCH(AW$222, Inflation!$D$125:$BD$125,0))</f>
        <v>#N/A</v>
      </c>
      <c r="AX225" s="732" t="e">
        <f>(AX179+AX201)*INDEX(Inflation!$D$126:$BD$166, MATCH($B225, Inflation!$B$126:$B$166,0), MATCH(AX$222, Inflation!$D$125:$BD$125,0))</f>
        <v>#N/A</v>
      </c>
      <c r="AY225" s="732" t="e">
        <f>(AY179+AY201)*INDEX(Inflation!$D$126:$BD$166, MATCH($B225, Inflation!$B$126:$B$166,0), MATCH(AY$222, Inflation!$D$125:$BD$125,0))</f>
        <v>#N/A</v>
      </c>
      <c r="AZ225" s="732" t="e">
        <f>(AZ179+AZ201)*INDEX(Inflation!$D$126:$BD$166, MATCH($B225, Inflation!$B$126:$B$166,0), MATCH(AZ$222, Inflation!$D$125:$BD$125,0))</f>
        <v>#N/A</v>
      </c>
      <c r="BA225" s="732" t="e">
        <f>(BA179+BA201)*INDEX(Inflation!$D$126:$BD$166, MATCH($B225, Inflation!$B$126:$B$166,0), MATCH(BA$222, Inflation!$D$125:$BD$125,0))</f>
        <v>#N/A</v>
      </c>
      <c r="BB225" s="732" t="e">
        <f>(BB179+BB201)*INDEX(Inflation!$D$126:$BD$166, MATCH($B225, Inflation!$B$126:$B$166,0), MATCH(BB$222, Inflation!$D$125:$BD$125,0))</f>
        <v>#N/A</v>
      </c>
    </row>
    <row r="226" spans="2:54" ht="29">
      <c r="B226" s="6" t="s">
        <v>16</v>
      </c>
      <c r="C226" s="142"/>
      <c r="D226" s="732">
        <f>(D180+D202)*INDEX(Inflation!$D$126:$BD$166, MATCH($B226, Inflation!$B$126:$B$166,0), MATCH(D$222, Inflation!$D$125:$BD$125,0))</f>
        <v>11444.797128213269</v>
      </c>
      <c r="E226" s="732">
        <f>(E180+E202)*INDEX(Inflation!$D$126:$BD$166, MATCH($B226, Inflation!$B$126:$B$166,0), MATCH(E$222, Inflation!$D$125:$BD$125,0))</f>
        <v>12155.700336504597</v>
      </c>
      <c r="F226" s="732">
        <f>(F180+F202)*INDEX(Inflation!$D$126:$BD$166, MATCH($B226, Inflation!$B$126:$B$166,0), MATCH(F$222, Inflation!$D$125:$BD$125,0))</f>
        <v>12830.302930012243</v>
      </c>
      <c r="G226" s="732">
        <f>(G180+G202)*INDEX(Inflation!$D$126:$BD$166, MATCH($B226, Inflation!$B$126:$B$166,0), MATCH(G$222, Inflation!$D$125:$BD$125,0))</f>
        <v>13483.742886112705</v>
      </c>
      <c r="H226" s="732">
        <f>(H180+H202)*INDEX(Inflation!$D$126:$BD$166, MATCH($B226, Inflation!$B$126:$B$166,0), MATCH(H$222, Inflation!$D$125:$BD$125,0))</f>
        <v>14131.356738118686</v>
      </c>
      <c r="I226" s="732">
        <f>(I180+I202)*INDEX(Inflation!$D$126:$BD$166, MATCH($B226, Inflation!$B$126:$B$166,0), MATCH(I$222, Inflation!$D$125:$BD$125,0))</f>
        <v>14782.509981562356</v>
      </c>
      <c r="J226" s="732">
        <f>(J180+J202)*INDEX(Inflation!$D$126:$BD$166, MATCH($B226, Inflation!$B$126:$B$166,0), MATCH(J$222, Inflation!$D$125:$BD$125,0))</f>
        <v>15438.054436637365</v>
      </c>
      <c r="K226" s="732">
        <f>(K180+K202)*INDEX(Inflation!$D$126:$BD$166, MATCH($B226, Inflation!$B$126:$B$166,0), MATCH(K$222, Inflation!$D$125:$BD$125,0))</f>
        <v>16103.052142041033</v>
      </c>
      <c r="L226" s="732">
        <f>(L180+L202)*INDEX(Inflation!$D$126:$BD$166, MATCH($B226, Inflation!$B$126:$B$166,0), MATCH(L$222, Inflation!$D$125:$BD$125,0))</f>
        <v>16806.69706258189</v>
      </c>
      <c r="M226" s="732">
        <f>(M180+M202)*INDEX(Inflation!$D$126:$BD$166, MATCH($B226, Inflation!$B$126:$B$166,0), MATCH(M$222, Inflation!$D$125:$BD$125,0))</f>
        <v>17533.127505926994</v>
      </c>
      <c r="N226" s="732">
        <f>(N180+N202)*INDEX(Inflation!$D$126:$BD$166, MATCH($B226, Inflation!$B$126:$B$166,0), MATCH(N$222, Inflation!$D$125:$BD$125,0))</f>
        <v>18274.412683414692</v>
      </c>
      <c r="O226" s="732">
        <f>(O180+O202)*INDEX(Inflation!$D$126:$BD$166, MATCH($B226, Inflation!$B$126:$B$166,0), MATCH(O$222, Inflation!$D$125:$BD$125,0))</f>
        <v>19027.029689925937</v>
      </c>
      <c r="P226" s="732">
        <f>(P180+P202)*INDEX(Inflation!$D$126:$BD$166, MATCH($B226, Inflation!$B$126:$B$166,0), MATCH(P$222, Inflation!$D$125:$BD$125,0))</f>
        <v>19788.698384735384</v>
      </c>
      <c r="Q226" s="732">
        <f>(Q180+Q202)*INDEX(Inflation!$D$126:$BD$166, MATCH($B226, Inflation!$B$126:$B$166,0), MATCH(Q$222, Inflation!$D$125:$BD$125,0))</f>
        <v>20564.90925705972</v>
      </c>
      <c r="R226" s="732">
        <f>(R180+R202)*INDEX(Inflation!$D$126:$BD$166, MATCH($B226, Inflation!$B$126:$B$166,0), MATCH(R$222, Inflation!$D$125:$BD$125,0))</f>
        <v>21362.536094887291</v>
      </c>
      <c r="S226" s="732">
        <f>(S180+S202)*INDEX(Inflation!$D$126:$BD$166, MATCH($B226, Inflation!$B$126:$B$166,0), MATCH(S$222, Inflation!$D$125:$BD$125,0))</f>
        <v>22183.189664879261</v>
      </c>
      <c r="T226" s="732">
        <f>(T180+T202)*INDEX(Inflation!$D$126:$BD$166, MATCH($B226, Inflation!$B$126:$B$166,0), MATCH(T$222, Inflation!$D$125:$BD$125,0))</f>
        <v>23022.086325622295</v>
      </c>
      <c r="U226" s="732">
        <f>(U180+U202)*INDEX(Inflation!$D$126:$BD$166, MATCH($B226, Inflation!$B$126:$B$166,0), MATCH(U$222, Inflation!$D$125:$BD$125,0))</f>
        <v>23880.441537506144</v>
      </c>
      <c r="V226" s="732">
        <f>(V180+V202)*INDEX(Inflation!$D$126:$BD$166, MATCH($B226, Inflation!$B$126:$B$166,0), MATCH(V$222, Inflation!$D$125:$BD$125,0))</f>
        <v>24772.31308143388</v>
      </c>
      <c r="W226" s="732">
        <f>(W180+W202)*INDEX(Inflation!$D$126:$BD$166, MATCH($B226, Inflation!$B$126:$B$166,0), MATCH(W$222, Inflation!$D$125:$BD$125,0))</f>
        <v>25687.354403115907</v>
      </c>
      <c r="X226" s="732">
        <f>(X180+X202)*INDEX(Inflation!$D$126:$BD$166, MATCH($B226, Inflation!$B$126:$B$166,0), MATCH(X$222, Inflation!$D$125:$BD$125,0))</f>
        <v>26622.688762703874</v>
      </c>
      <c r="Y226" s="732">
        <f>(Y180+Y202)*INDEX(Inflation!$D$126:$BD$166, MATCH($B226, Inflation!$B$126:$B$166,0), MATCH(Y$222, Inflation!$D$125:$BD$125,0))</f>
        <v>27578.045065151317</v>
      </c>
      <c r="Z226" s="732">
        <f>(Z180+Z202)*INDEX(Inflation!$D$126:$BD$166, MATCH($B226, Inflation!$B$126:$B$166,0), MATCH(Z$222, Inflation!$D$125:$BD$125,0))</f>
        <v>28559.670375132398</v>
      </c>
      <c r="AA226" s="732">
        <f>(AA180+AA202)*INDEX(Inflation!$D$126:$BD$166, MATCH($B226, Inflation!$B$126:$B$166,0), MATCH(AA$222, Inflation!$D$125:$BD$125,0))</f>
        <v>29566.842341456948</v>
      </c>
      <c r="AB226" s="732">
        <f>(AB180+AB202)*INDEX(Inflation!$D$126:$BD$166, MATCH($B226, Inflation!$B$126:$B$166,0), MATCH(AB$222, Inflation!$D$125:$BD$125,0))</f>
        <v>30597.538078585119</v>
      </c>
      <c r="AC226" s="732">
        <f>(AC180+AC202)*INDEX(Inflation!$D$126:$BD$166, MATCH($B226, Inflation!$B$126:$B$166,0), MATCH(AC$222, Inflation!$D$125:$BD$125,0))</f>
        <v>31650.089455315167</v>
      </c>
      <c r="AD226" s="732">
        <f>(AD180+AD202)*INDEX(Inflation!$D$126:$BD$166, MATCH($B226, Inflation!$B$126:$B$166,0), MATCH(AD$222, Inflation!$D$125:$BD$125,0))</f>
        <v>32722.636143864154</v>
      </c>
      <c r="AE226" s="732">
        <f>(AE180+AE202)*INDEX(Inflation!$D$126:$BD$166, MATCH($B226, Inflation!$B$126:$B$166,0), MATCH(AE$222, Inflation!$D$125:$BD$125,0))</f>
        <v>33813.678971624948</v>
      </c>
      <c r="AF226" s="732">
        <f>(AF180+AF202)*INDEX(Inflation!$D$126:$BD$166, MATCH($B226, Inflation!$B$126:$B$166,0), MATCH(AF$222, Inflation!$D$125:$BD$125,0))</f>
        <v>34921.709615178559</v>
      </c>
      <c r="AG226" s="732">
        <f>(AG180+AG202)*INDEX(Inflation!$D$126:$BD$166, MATCH($B226, Inflation!$B$126:$B$166,0), MATCH(AG$222, Inflation!$D$125:$BD$125,0))</f>
        <v>36047.857103903923</v>
      </c>
      <c r="AH226" s="732">
        <f>(AH180+AH202)*INDEX(Inflation!$D$126:$BD$166, MATCH($B226, Inflation!$B$126:$B$166,0), MATCH(AH$222, Inflation!$D$125:$BD$125,0))</f>
        <v>37198.725148893303</v>
      </c>
      <c r="AI226" s="732">
        <f>(AI180+AI202)*INDEX(Inflation!$D$126:$BD$166, MATCH($B226, Inflation!$B$126:$B$166,0), MATCH(AI$222, Inflation!$D$125:$BD$125,0))</f>
        <v>38375.437980267277</v>
      </c>
      <c r="AJ226" s="732">
        <f>(AJ180+AJ202)*INDEX(Inflation!$D$126:$BD$166, MATCH($B226, Inflation!$B$126:$B$166,0), MATCH(AJ$222, Inflation!$D$125:$BD$125,0))</f>
        <v>39581.026656246235</v>
      </c>
      <c r="AK226" s="732">
        <f>(AK180+AK202)*INDEX(Inflation!$D$126:$BD$166, MATCH($B226, Inflation!$B$126:$B$166,0), MATCH(AK$222, Inflation!$D$125:$BD$125,0))</f>
        <v>40808.084918396627</v>
      </c>
      <c r="AL226" s="732">
        <f>(AL180+AL202)*INDEX(Inflation!$D$126:$BD$166, MATCH($B226, Inflation!$B$126:$B$166,0), MATCH(AL$222, Inflation!$D$125:$BD$125,0))</f>
        <v>42050.399963546828</v>
      </c>
      <c r="AM226" s="732">
        <f>(AM180+AM202)*INDEX(Inflation!$D$126:$BD$166, MATCH($B226, Inflation!$B$126:$B$166,0), MATCH(AM$222, Inflation!$D$125:$BD$125,0))</f>
        <v>43303.221807870912</v>
      </c>
      <c r="AN226" s="732">
        <f>(AN180+AN202)*INDEX(Inflation!$D$126:$BD$166, MATCH($B226, Inflation!$B$126:$B$166,0), MATCH(AN$222, Inflation!$D$125:$BD$125,0))</f>
        <v>44568.447455540831</v>
      </c>
      <c r="AO226" s="732">
        <f>(AO180+AO202)*INDEX(Inflation!$D$126:$BD$166, MATCH($B226, Inflation!$B$126:$B$166,0), MATCH(AO$222, Inflation!$D$125:$BD$125,0))</f>
        <v>45846.071755595302</v>
      </c>
      <c r="AP226" s="732">
        <f>(AP180+AP202)*INDEX(Inflation!$D$126:$BD$166, MATCH($B226, Inflation!$B$126:$B$166,0), MATCH(AP$222, Inflation!$D$125:$BD$125,0))</f>
        <v>47134.353433455195</v>
      </c>
      <c r="AQ226" s="732">
        <f>(AQ180+AQ202)*INDEX(Inflation!$D$126:$BD$166, MATCH($B226, Inflation!$B$126:$B$166,0), MATCH(AQ$222, Inflation!$D$125:$BD$125,0))</f>
        <v>48442.553839497894</v>
      </c>
      <c r="AR226" s="732">
        <f>(AR180+AR202)*INDEX(Inflation!$D$126:$BD$166, MATCH($B226, Inflation!$B$126:$B$166,0), MATCH(AR$222, Inflation!$D$125:$BD$125,0))</f>
        <v>49782.052340164948</v>
      </c>
      <c r="AS226" s="732">
        <f>(AS180+AS202)*INDEX(Inflation!$D$126:$BD$166, MATCH($B226, Inflation!$B$126:$B$166,0), MATCH(AS$222, Inflation!$D$125:$BD$125,0))</f>
        <v>51162.955519214098</v>
      </c>
      <c r="AT226" s="732">
        <f>(AT180+AT202)*INDEX(Inflation!$D$126:$BD$166, MATCH($B226, Inflation!$B$126:$B$166,0), MATCH(AT$222, Inflation!$D$125:$BD$125,0))</f>
        <v>52525.49822126214</v>
      </c>
      <c r="AU226" s="732" t="e">
        <f>(AU180+AU202)*INDEX(Inflation!$D$126:$BD$166, MATCH($B226, Inflation!$B$126:$B$166,0), MATCH(AU$222, Inflation!$D$125:$BD$125,0))</f>
        <v>#N/A</v>
      </c>
      <c r="AV226" s="732" t="e">
        <f>(AV180+AV202)*INDEX(Inflation!$D$126:$BD$166, MATCH($B226, Inflation!$B$126:$B$166,0), MATCH(AV$222, Inflation!$D$125:$BD$125,0))</f>
        <v>#N/A</v>
      </c>
      <c r="AW226" s="732" t="e">
        <f>(AW180+AW202)*INDEX(Inflation!$D$126:$BD$166, MATCH($B226, Inflation!$B$126:$B$166,0), MATCH(AW$222, Inflation!$D$125:$BD$125,0))</f>
        <v>#N/A</v>
      </c>
      <c r="AX226" s="732" t="e">
        <f>(AX180+AX202)*INDEX(Inflation!$D$126:$BD$166, MATCH($B226, Inflation!$B$126:$B$166,0), MATCH(AX$222, Inflation!$D$125:$BD$125,0))</f>
        <v>#N/A</v>
      </c>
      <c r="AY226" s="732" t="e">
        <f>(AY180+AY202)*INDEX(Inflation!$D$126:$BD$166, MATCH($B226, Inflation!$B$126:$B$166,0), MATCH(AY$222, Inflation!$D$125:$BD$125,0))</f>
        <v>#N/A</v>
      </c>
      <c r="AZ226" s="732" t="e">
        <f>(AZ180+AZ202)*INDEX(Inflation!$D$126:$BD$166, MATCH($B226, Inflation!$B$126:$B$166,0), MATCH(AZ$222, Inflation!$D$125:$BD$125,0))</f>
        <v>#N/A</v>
      </c>
      <c r="BA226" s="732" t="e">
        <f>(BA180+BA202)*INDEX(Inflation!$D$126:$BD$166, MATCH($B226, Inflation!$B$126:$B$166,0), MATCH(BA$222, Inflation!$D$125:$BD$125,0))</f>
        <v>#N/A</v>
      </c>
      <c r="BB226" s="732" t="e">
        <f>(BB180+BB202)*INDEX(Inflation!$D$126:$BD$166, MATCH($B226, Inflation!$B$126:$B$166,0), MATCH(BB$222, Inflation!$D$125:$BD$125,0))</f>
        <v>#N/A</v>
      </c>
    </row>
    <row r="227" spans="2:54">
      <c r="B227" s="6" t="s">
        <v>103</v>
      </c>
      <c r="C227" s="142"/>
      <c r="D227" s="732">
        <f>(D181+D203)*INDEX(Inflation!$D$126:$BD$166, MATCH($B227, Inflation!$B$126:$B$166,0), MATCH(D$222, Inflation!$D$125:$BD$125,0))</f>
        <v>205359.89171137332</v>
      </c>
      <c r="E227" s="732">
        <f>(E181+E203)*INDEX(Inflation!$D$126:$BD$166, MATCH($B227, Inflation!$B$126:$B$166,0), MATCH(E$222, Inflation!$D$125:$BD$125,0))</f>
        <v>217305.62979658687</v>
      </c>
      <c r="F227" s="732">
        <f>(F181+F203)*INDEX(Inflation!$D$126:$BD$166, MATCH($B227, Inflation!$B$126:$B$166,0), MATCH(F$222, Inflation!$D$125:$BD$125,0))</f>
        <v>228513.23978765222</v>
      </c>
      <c r="G227" s="732">
        <f>(G181+G203)*INDEX(Inflation!$D$126:$BD$166, MATCH($B227, Inflation!$B$126:$B$166,0), MATCH(G$222, Inflation!$D$125:$BD$125,0))</f>
        <v>239259.05578539392</v>
      </c>
      <c r="H227" s="732">
        <f>(H181+H203)*INDEX(Inflation!$D$126:$BD$166, MATCH($B227, Inflation!$B$126:$B$166,0), MATCH(H$222, Inflation!$D$125:$BD$125,0))</f>
        <v>249818.87402483475</v>
      </c>
      <c r="I227" s="732">
        <f>(I181+I203)*INDEX(Inflation!$D$126:$BD$166, MATCH($B227, Inflation!$B$126:$B$166,0), MATCH(I$222, Inflation!$D$125:$BD$125,0))</f>
        <v>260359.26215898569</v>
      </c>
      <c r="J227" s="732">
        <f>(J181+J203)*INDEX(Inflation!$D$126:$BD$166, MATCH($B227, Inflation!$B$126:$B$166,0), MATCH(J$222, Inflation!$D$125:$BD$125,0))</f>
        <v>270894.9342755765</v>
      </c>
      <c r="K227" s="732">
        <f>(K181+K203)*INDEX(Inflation!$D$126:$BD$166, MATCH($B227, Inflation!$B$126:$B$166,0), MATCH(K$222, Inflation!$D$125:$BD$125,0))</f>
        <v>281513.98834379844</v>
      </c>
      <c r="L227" s="732">
        <f>(L181+L203)*INDEX(Inflation!$D$126:$BD$166, MATCH($B227, Inflation!$B$126:$B$166,0), MATCH(L$222, Inflation!$D$125:$BD$125,0))</f>
        <v>292723.51886454126</v>
      </c>
      <c r="M227" s="732">
        <f>(M181+M203)*INDEX(Inflation!$D$126:$BD$166, MATCH($B227, Inflation!$B$126:$B$166,0), MATCH(M$222, Inflation!$D$125:$BD$125,0))</f>
        <v>304241.25293495198</v>
      </c>
      <c r="N227" s="732">
        <f>(N181+N203)*INDEX(Inflation!$D$126:$BD$166, MATCH($B227, Inflation!$B$126:$B$166,0), MATCH(N$222, Inflation!$D$125:$BD$125,0))</f>
        <v>315926.170071406</v>
      </c>
      <c r="O227" s="732">
        <f>(O181+O203)*INDEX(Inflation!$D$126:$BD$166, MATCH($B227, Inflation!$B$126:$B$166,0), MATCH(O$222, Inflation!$D$125:$BD$125,0))</f>
        <v>327715.23756199161</v>
      </c>
      <c r="P227" s="732">
        <f>(P181+P203)*INDEX(Inflation!$D$126:$BD$166, MATCH($B227, Inflation!$B$126:$B$166,0), MATCH(P$222, Inflation!$D$125:$BD$125,0))</f>
        <v>339567.66860507656</v>
      </c>
      <c r="Q227" s="732">
        <f>(Q181+Q203)*INDEX(Inflation!$D$126:$BD$166, MATCH($B227, Inflation!$B$126:$B$166,0), MATCH(Q$222, Inflation!$D$125:$BD$125,0))</f>
        <v>351576.11755355308</v>
      </c>
      <c r="R227" s="732">
        <f>(R181+R203)*INDEX(Inflation!$D$126:$BD$166, MATCH($B227, Inflation!$B$126:$B$166,0), MATCH(R$222, Inflation!$D$125:$BD$125,0))</f>
        <v>363855.41499036661</v>
      </c>
      <c r="S227" s="732">
        <f>(S181+S203)*INDEX(Inflation!$D$126:$BD$166, MATCH($B227, Inflation!$B$126:$B$166,0), MATCH(S$222, Inflation!$D$125:$BD$125,0))</f>
        <v>376429.36069010419</v>
      </c>
      <c r="T227" s="732">
        <f>(T181+T203)*INDEX(Inflation!$D$126:$BD$166, MATCH($B227, Inflation!$B$126:$B$166,0), MATCH(T$222, Inflation!$D$125:$BD$125,0))</f>
        <v>389213.27139008546</v>
      </c>
      <c r="U227" s="732">
        <f>(U181+U203)*INDEX(Inflation!$D$126:$BD$166, MATCH($B227, Inflation!$B$126:$B$166,0), MATCH(U$222, Inflation!$D$125:$BD$125,0))</f>
        <v>402224.73982611002</v>
      </c>
      <c r="V227" s="732">
        <f>(V181+V203)*INDEX(Inflation!$D$126:$BD$166, MATCH($B227, Inflation!$B$126:$B$166,0), MATCH(V$222, Inflation!$D$125:$BD$125,0))</f>
        <v>415696.58028508857</v>
      </c>
      <c r="W227" s="732">
        <f>(W181+W203)*INDEX(Inflation!$D$126:$BD$166, MATCH($B227, Inflation!$B$126:$B$166,0), MATCH(W$222, Inflation!$D$125:$BD$125,0))</f>
        <v>429450.12545770925</v>
      </c>
      <c r="X227" s="732">
        <f>(X181+X203)*INDEX(Inflation!$D$126:$BD$166, MATCH($B227, Inflation!$B$126:$B$166,0), MATCH(X$222, Inflation!$D$125:$BD$125,0))</f>
        <v>443433.74134707806</v>
      </c>
      <c r="Y227" s="732">
        <f>(Y181+Y203)*INDEX(Inflation!$D$126:$BD$166, MATCH($B227, Inflation!$B$126:$B$166,0), MATCH(Y$222, Inflation!$D$125:$BD$125,0))</f>
        <v>457639.77411240002</v>
      </c>
      <c r="Z227" s="732">
        <f>(Z181+Z203)*INDEX(Inflation!$D$126:$BD$166, MATCH($B227, Inflation!$B$126:$B$166,0), MATCH(Z$222, Inflation!$D$125:$BD$125,0))</f>
        <v>472168.42447336385</v>
      </c>
      <c r="AA227" s="732">
        <f>(AA181+AA203)*INDEX(Inflation!$D$126:$BD$166, MATCH($B227, Inflation!$B$126:$B$166,0), MATCH(AA$222, Inflation!$D$125:$BD$125,0))</f>
        <v>487003.58751475165</v>
      </c>
      <c r="AB227" s="732">
        <f>(AB181+AB203)*INDEX(Inflation!$D$126:$BD$166, MATCH($B227, Inflation!$B$126:$B$166,0), MATCH(AB$222, Inflation!$D$125:$BD$125,0))</f>
        <v>502108.02606941678</v>
      </c>
      <c r="AC227" s="732">
        <f>(AC181+AC203)*INDEX(Inflation!$D$126:$BD$166, MATCH($B227, Inflation!$B$126:$B$166,0), MATCH(AC$222, Inflation!$D$125:$BD$125,0))</f>
        <v>517450.82782298326</v>
      </c>
      <c r="AD227" s="732">
        <f>(AD181+AD203)*INDEX(Inflation!$D$126:$BD$166, MATCH($B227, Inflation!$B$126:$B$166,0), MATCH(AD$222, Inflation!$D$125:$BD$125,0))</f>
        <v>532998.38385053177</v>
      </c>
      <c r="AE227" s="732">
        <f>(AE181+AE203)*INDEX(Inflation!$D$126:$BD$166, MATCH($B227, Inflation!$B$126:$B$166,0), MATCH(AE$222, Inflation!$D$125:$BD$125,0))</f>
        <v>548723.42253560317</v>
      </c>
      <c r="AF227" s="732">
        <f>(AF181+AF203)*INDEX(Inflation!$D$126:$BD$166, MATCH($B227, Inflation!$B$126:$B$166,0), MATCH(AF$222, Inflation!$D$125:$BD$125,0))</f>
        <v>564598.9094025977</v>
      </c>
      <c r="AG227" s="732">
        <f>(AG181+AG203)*INDEX(Inflation!$D$126:$BD$166, MATCH($B227, Inflation!$B$126:$B$166,0), MATCH(AG$222, Inflation!$D$125:$BD$125,0))</f>
        <v>580640.67489939975</v>
      </c>
      <c r="AH227" s="732">
        <f>(AH181+AH203)*INDEX(Inflation!$D$126:$BD$166, MATCH($B227, Inflation!$B$126:$B$166,0), MATCH(AH$222, Inflation!$D$125:$BD$125,0))</f>
        <v>596952.15420830809</v>
      </c>
      <c r="AI227" s="732">
        <f>(AI181+AI203)*INDEX(Inflation!$D$126:$BD$166, MATCH($B227, Inflation!$B$126:$B$166,0), MATCH(AI$222, Inflation!$D$125:$BD$125,0))</f>
        <v>613547.62211020477</v>
      </c>
      <c r="AJ227" s="732">
        <f>(AJ181+AJ203)*INDEX(Inflation!$D$126:$BD$166, MATCH($B227, Inflation!$B$126:$B$166,0), MATCH(AJ$222, Inflation!$D$125:$BD$125,0))</f>
        <v>630471.48866735771</v>
      </c>
      <c r="AK227" s="732">
        <f>(AK181+AK203)*INDEX(Inflation!$D$126:$BD$166, MATCH($B227, Inflation!$B$126:$B$166,0), MATCH(AK$222, Inflation!$D$125:$BD$125,0))</f>
        <v>647601.84251056344</v>
      </c>
      <c r="AL227" s="732">
        <f>(AL181+AL203)*INDEX(Inflation!$D$126:$BD$166, MATCH($B227, Inflation!$B$126:$B$166,0), MATCH(AL$222, Inflation!$D$125:$BD$125,0))</f>
        <v>664837.42241183622</v>
      </c>
      <c r="AM227" s="732">
        <f>(AM181+AM203)*INDEX(Inflation!$D$126:$BD$166, MATCH($B227, Inflation!$B$126:$B$166,0), MATCH(AM$222, Inflation!$D$125:$BD$125,0))</f>
        <v>682101.49327672133</v>
      </c>
      <c r="AN227" s="732">
        <f>(AN181+AN203)*INDEX(Inflation!$D$126:$BD$166, MATCH($B227, Inflation!$B$126:$B$166,0), MATCH(AN$222, Inflation!$D$125:$BD$125,0))</f>
        <v>699422.7607258705</v>
      </c>
      <c r="AO227" s="732">
        <f>(AO181+AO203)*INDEX(Inflation!$D$126:$BD$166, MATCH($B227, Inflation!$B$126:$B$166,0), MATCH(AO$222, Inflation!$D$125:$BD$125,0))</f>
        <v>716799.75771511137</v>
      </c>
      <c r="AP227" s="732">
        <f>(AP181+AP203)*INDEX(Inflation!$D$126:$BD$166, MATCH($B227, Inflation!$B$126:$B$166,0), MATCH(AP$222, Inflation!$D$125:$BD$125,0))</f>
        <v>734203.98728812474</v>
      </c>
      <c r="AQ227" s="732">
        <f>(AQ181+AQ203)*INDEX(Inflation!$D$126:$BD$166, MATCH($B227, Inflation!$B$126:$B$166,0), MATCH(AQ$222, Inflation!$D$125:$BD$125,0))</f>
        <v>751778.11699848284</v>
      </c>
      <c r="AR227" s="732">
        <f>(AR181+AR203)*INDEX(Inflation!$D$126:$BD$166, MATCH($B227, Inflation!$B$126:$B$166,0), MATCH(AR$222, Inflation!$D$125:$BD$125,0))</f>
        <v>769695.43553019047</v>
      </c>
      <c r="AS227" s="732">
        <f>(AS181+AS203)*INDEX(Inflation!$D$126:$BD$166, MATCH($B227, Inflation!$B$126:$B$166,0), MATCH(AS$222, Inflation!$D$125:$BD$125,0))</f>
        <v>788107.03275049618</v>
      </c>
      <c r="AT227" s="732">
        <f>(AT181+AT203)*INDEX(Inflation!$D$126:$BD$166, MATCH($B227, Inflation!$B$126:$B$166,0), MATCH(AT$222, Inflation!$D$125:$BD$125,0))</f>
        <v>806089.42520798475</v>
      </c>
      <c r="AU227" s="732" t="e">
        <f>(AU181+AU203)*INDEX(Inflation!$D$126:$BD$166, MATCH($B227, Inflation!$B$126:$B$166,0), MATCH(AU$222, Inflation!$D$125:$BD$125,0))</f>
        <v>#N/A</v>
      </c>
      <c r="AV227" s="732" t="e">
        <f>(AV181+AV203)*INDEX(Inflation!$D$126:$BD$166, MATCH($B227, Inflation!$B$126:$B$166,0), MATCH(AV$222, Inflation!$D$125:$BD$125,0))</f>
        <v>#N/A</v>
      </c>
      <c r="AW227" s="732" t="e">
        <f>(AW181+AW203)*INDEX(Inflation!$D$126:$BD$166, MATCH($B227, Inflation!$B$126:$B$166,0), MATCH(AW$222, Inflation!$D$125:$BD$125,0))</f>
        <v>#N/A</v>
      </c>
      <c r="AX227" s="732" t="e">
        <f>(AX181+AX203)*INDEX(Inflation!$D$126:$BD$166, MATCH($B227, Inflation!$B$126:$B$166,0), MATCH(AX$222, Inflation!$D$125:$BD$125,0))</f>
        <v>#N/A</v>
      </c>
      <c r="AY227" s="732" t="e">
        <f>(AY181+AY203)*INDEX(Inflation!$D$126:$BD$166, MATCH($B227, Inflation!$B$126:$B$166,0), MATCH(AY$222, Inflation!$D$125:$BD$125,0))</f>
        <v>#N/A</v>
      </c>
      <c r="AZ227" s="732" t="e">
        <f>(AZ181+AZ203)*INDEX(Inflation!$D$126:$BD$166, MATCH($B227, Inflation!$B$126:$B$166,0), MATCH(AZ$222, Inflation!$D$125:$BD$125,0))</f>
        <v>#N/A</v>
      </c>
      <c r="BA227" s="732" t="e">
        <f>(BA181+BA203)*INDEX(Inflation!$D$126:$BD$166, MATCH($B227, Inflation!$B$126:$B$166,0), MATCH(BA$222, Inflation!$D$125:$BD$125,0))</f>
        <v>#N/A</v>
      </c>
      <c r="BB227" s="732" t="e">
        <f>(BB181+BB203)*INDEX(Inflation!$D$126:$BD$166, MATCH($B227, Inflation!$B$126:$B$166,0), MATCH(BB$222, Inflation!$D$125:$BD$125,0))</f>
        <v>#N/A</v>
      </c>
    </row>
    <row r="228" spans="2:54">
      <c r="B228" s="6" t="s">
        <v>104</v>
      </c>
      <c r="C228" s="142"/>
      <c r="D228" s="732">
        <f>(D182+D204)*INDEX(Inflation!$D$126:$BD$166, MATCH($B228, Inflation!$B$126:$B$166,0), MATCH(D$222, Inflation!$D$125:$BD$125,0))</f>
        <v>32568.027196340096</v>
      </c>
      <c r="E228" s="732">
        <f>(E182+E204)*INDEX(Inflation!$D$126:$BD$166, MATCH($B228, Inflation!$B$126:$B$166,0), MATCH(E$222, Inflation!$D$125:$BD$125,0))</f>
        <v>34462.501913858876</v>
      </c>
      <c r="F228" s="732">
        <f>(F182+F204)*INDEX(Inflation!$D$126:$BD$166, MATCH($B228, Inflation!$B$126:$B$166,0), MATCH(F$222, Inflation!$D$125:$BD$125,0))</f>
        <v>36239.916889846507</v>
      </c>
      <c r="G228" s="732">
        <f>(G182+G204)*INDEX(Inflation!$D$126:$BD$166, MATCH($B228, Inflation!$B$126:$B$166,0), MATCH(G$222, Inflation!$D$125:$BD$125,0))</f>
        <v>37944.095952003328</v>
      </c>
      <c r="H228" s="732">
        <f>(H182+H204)*INDEX(Inflation!$D$126:$BD$166, MATCH($B228, Inflation!$B$126:$B$166,0), MATCH(H$222, Inflation!$D$125:$BD$125,0))</f>
        <v>39618.777627887124</v>
      </c>
      <c r="I228" s="732">
        <f>(I182+I204)*INDEX(Inflation!$D$126:$BD$166, MATCH($B228, Inflation!$B$126:$B$166,0), MATCH(I$222, Inflation!$D$125:$BD$125,0))</f>
        <v>41290.377883186615</v>
      </c>
      <c r="J228" s="732">
        <f>(J182+J204)*INDEX(Inflation!$D$126:$BD$166, MATCH($B228, Inflation!$B$126:$B$166,0), MATCH(J$222, Inflation!$D$125:$BD$125,0))</f>
        <v>42961.230225216008</v>
      </c>
      <c r="K228" s="732">
        <f>(K182+K204)*INDEX(Inflation!$D$126:$BD$166, MATCH($B228, Inflation!$B$126:$B$166,0), MATCH(K$222, Inflation!$D$125:$BD$125,0))</f>
        <v>44645.306111754406</v>
      </c>
      <c r="L228" s="732">
        <f>(L182+L204)*INDEX(Inflation!$D$126:$BD$166, MATCH($B228, Inflation!$B$126:$B$166,0), MATCH(L$222, Inflation!$D$125:$BD$125,0))</f>
        <v>46423.025664561988</v>
      </c>
      <c r="M228" s="732">
        <f>(M182+M204)*INDEX(Inflation!$D$126:$BD$166, MATCH($B228, Inflation!$B$126:$B$166,0), MATCH(M$222, Inflation!$D$125:$BD$125,0))</f>
        <v>48249.623221267721</v>
      </c>
      <c r="N228" s="732">
        <f>(N182+N204)*INDEX(Inflation!$D$126:$BD$166, MATCH($B228, Inflation!$B$126:$B$166,0), MATCH(N$222, Inflation!$D$125:$BD$125,0))</f>
        <v>50102.734342020907</v>
      </c>
      <c r="O228" s="732">
        <f>(O182+O204)*INDEX(Inflation!$D$126:$BD$166, MATCH($B228, Inflation!$B$126:$B$166,0), MATCH(O$222, Inflation!$D$125:$BD$125,0))</f>
        <v>51972.362668434842</v>
      </c>
      <c r="P228" s="732">
        <f>(P182+P204)*INDEX(Inflation!$D$126:$BD$166, MATCH($B228, Inflation!$B$126:$B$166,0), MATCH(P$222, Inflation!$D$125:$BD$125,0))</f>
        <v>53852.039821247425</v>
      </c>
      <c r="Q228" s="732">
        <f>(Q182+Q204)*INDEX(Inflation!$D$126:$BD$166, MATCH($B228, Inflation!$B$126:$B$166,0), MATCH(Q$222, Inflation!$D$125:$BD$125,0))</f>
        <v>55756.459855172601</v>
      </c>
      <c r="R228" s="732">
        <f>(R182+R204)*INDEX(Inflation!$D$126:$BD$166, MATCH($B228, Inflation!$B$126:$B$166,0), MATCH(R$222, Inflation!$D$125:$BD$125,0))</f>
        <v>57703.833753461164</v>
      </c>
      <c r="S228" s="732">
        <f>(S182+S204)*INDEX(Inflation!$D$126:$BD$166, MATCH($B228, Inflation!$B$126:$B$166,0), MATCH(S$222, Inflation!$D$125:$BD$125,0))</f>
        <v>59697.935922593155</v>
      </c>
      <c r="T228" s="732">
        <f>(T182+T204)*INDEX(Inflation!$D$126:$BD$166, MATCH($B228, Inflation!$B$126:$B$166,0), MATCH(T$222, Inflation!$D$125:$BD$125,0))</f>
        <v>61725.336443127759</v>
      </c>
      <c r="U228" s="732">
        <f>(U182+U204)*INDEX(Inflation!$D$126:$BD$166, MATCH($B228, Inflation!$B$126:$B$166,0), MATCH(U$222, Inflation!$D$125:$BD$125,0))</f>
        <v>63788.825347204263</v>
      </c>
      <c r="V228" s="732">
        <f>(V182+V204)*INDEX(Inflation!$D$126:$BD$166, MATCH($B228, Inflation!$B$126:$B$166,0), MATCH(V$222, Inflation!$D$125:$BD$125,0))</f>
        <v>65925.324654816955</v>
      </c>
      <c r="W228" s="732">
        <f>(W182+W204)*INDEX(Inflation!$D$126:$BD$166, MATCH($B228, Inflation!$B$126:$B$166,0), MATCH(W$222, Inflation!$D$125:$BD$125,0))</f>
        <v>68106.499515668314</v>
      </c>
      <c r="X228" s="732">
        <f>(X182+X204)*INDEX(Inflation!$D$126:$BD$166, MATCH($B228, Inflation!$B$126:$B$166,0), MATCH(X$222, Inflation!$D$125:$BD$125,0))</f>
        <v>70324.161293695608</v>
      </c>
      <c r="Y228" s="732">
        <f>(Y182+Y204)*INDEX(Inflation!$D$126:$BD$166, MATCH($B228, Inflation!$B$126:$B$166,0), MATCH(Y$222, Inflation!$D$125:$BD$125,0))</f>
        <v>72577.096166213742</v>
      </c>
      <c r="Z228" s="732">
        <f>(Z182+Z204)*INDEX(Inflation!$D$126:$BD$166, MATCH($B228, Inflation!$B$126:$B$166,0), MATCH(Z$222, Inflation!$D$125:$BD$125,0))</f>
        <v>74881.194966319337</v>
      </c>
      <c r="AA228" s="732">
        <f>(AA182+AA204)*INDEX(Inflation!$D$126:$BD$166, MATCH($B228, Inflation!$B$126:$B$166,0), MATCH(AA$222, Inflation!$D$125:$BD$125,0))</f>
        <v>77233.90361535344</v>
      </c>
      <c r="AB228" s="732">
        <f>(AB182+AB204)*INDEX(Inflation!$D$126:$BD$166, MATCH($B228, Inflation!$B$126:$B$166,0), MATCH(AB$222, Inflation!$D$125:$BD$125,0))</f>
        <v>79629.316670621149</v>
      </c>
      <c r="AC228" s="732">
        <f>(AC182+AC204)*INDEX(Inflation!$D$126:$BD$166, MATCH($B228, Inflation!$B$126:$B$166,0), MATCH(AC$222, Inflation!$D$125:$BD$125,0))</f>
        <v>82062.531747888992</v>
      </c>
      <c r="AD228" s="732">
        <f>(AD182+AD204)*INDEX(Inflation!$D$126:$BD$166, MATCH($B228, Inflation!$B$126:$B$166,0), MATCH(AD$222, Inflation!$D$125:$BD$125,0))</f>
        <v>84528.21880743168</v>
      </c>
      <c r="AE228" s="732">
        <f>(AE182+AE204)*INDEX(Inflation!$D$126:$BD$166, MATCH($B228, Inflation!$B$126:$B$166,0), MATCH(AE$222, Inflation!$D$125:$BD$125,0))</f>
        <v>87022.052843333353</v>
      </c>
      <c r="AF228" s="732">
        <f>(AF182+AF204)*INDEX(Inflation!$D$126:$BD$166, MATCH($B228, Inflation!$B$126:$B$166,0), MATCH(AF$222, Inflation!$D$125:$BD$125,0))</f>
        <v>89539.746457849324</v>
      </c>
      <c r="AG228" s="732">
        <f>(AG182+AG204)*INDEX(Inflation!$D$126:$BD$166, MATCH($B228, Inflation!$B$126:$B$166,0), MATCH(AG$222, Inflation!$D$125:$BD$125,0))</f>
        <v>92083.81020186143</v>
      </c>
      <c r="AH228" s="732">
        <f>(AH182+AH204)*INDEX(Inflation!$D$126:$BD$166, MATCH($B228, Inflation!$B$126:$B$166,0), MATCH(AH$222, Inflation!$D$125:$BD$125,0))</f>
        <v>94670.647861922625</v>
      </c>
      <c r="AI228" s="732">
        <f>(AI182+AI204)*INDEX(Inflation!$D$126:$BD$166, MATCH($B228, Inflation!$B$126:$B$166,0), MATCH(AI$222, Inflation!$D$125:$BD$125,0))</f>
        <v>97302.523275669882</v>
      </c>
      <c r="AJ228" s="732">
        <f>(AJ182+AJ204)*INDEX(Inflation!$D$126:$BD$166, MATCH($B228, Inflation!$B$126:$B$166,0), MATCH(AJ$222, Inflation!$D$125:$BD$125,0))</f>
        <v>99986.479435304238</v>
      </c>
      <c r="AK228" s="732">
        <f>(AK182+AK204)*INDEX(Inflation!$D$126:$BD$166, MATCH($B228, Inflation!$B$126:$B$166,0), MATCH(AK$222, Inflation!$D$125:$BD$125,0))</f>
        <v>102703.1824156144</v>
      </c>
      <c r="AL228" s="732">
        <f>(AL182+AL204)*INDEX(Inflation!$D$126:$BD$166, MATCH($B228, Inflation!$B$126:$B$166,0), MATCH(AL$222, Inflation!$D$125:$BD$125,0))</f>
        <v>105436.57319748271</v>
      </c>
      <c r="AM228" s="732">
        <f>(AM182+AM204)*INDEX(Inflation!$D$126:$BD$166, MATCH($B228, Inflation!$B$126:$B$166,0), MATCH(AM$222, Inflation!$D$125:$BD$125,0))</f>
        <v>108174.48236154359</v>
      </c>
      <c r="AN228" s="732">
        <f>(AN182+AN204)*INDEX(Inflation!$D$126:$BD$166, MATCH($B228, Inflation!$B$126:$B$166,0), MATCH(AN$222, Inflation!$D$125:$BD$125,0))</f>
        <v>110921.46233245154</v>
      </c>
      <c r="AO228" s="732">
        <f>(AO182+AO204)*INDEX(Inflation!$D$126:$BD$166, MATCH($B228, Inflation!$B$126:$B$166,0), MATCH(AO$222, Inflation!$D$125:$BD$125,0))</f>
        <v>113677.28045165722</v>
      </c>
      <c r="AP228" s="732">
        <f>(AP182+AP204)*INDEX(Inflation!$D$126:$BD$166, MATCH($B228, Inflation!$B$126:$B$166,0), MATCH(AP$222, Inflation!$D$125:$BD$125,0))</f>
        <v>116437.41738658458</v>
      </c>
      <c r="AQ228" s="732">
        <f>(AQ182+AQ204)*INDEX(Inflation!$D$126:$BD$166, MATCH($B228, Inflation!$B$126:$B$166,0), MATCH(AQ$222, Inflation!$D$125:$BD$125,0))</f>
        <v>119224.49878592318</v>
      </c>
      <c r="AR228" s="732">
        <f>(AR182+AR204)*INDEX(Inflation!$D$126:$BD$166, MATCH($B228, Inflation!$B$126:$B$166,0), MATCH(AR$222, Inflation!$D$125:$BD$125,0))</f>
        <v>122066.00650373142</v>
      </c>
      <c r="AS228" s="732">
        <f>(AS182+AS204)*INDEX(Inflation!$D$126:$BD$166, MATCH($B228, Inflation!$B$126:$B$166,0), MATCH(AS$222, Inflation!$D$125:$BD$125,0))</f>
        <v>124985.90188350568</v>
      </c>
      <c r="AT228" s="732">
        <f>(AT182+AT204)*INDEX(Inflation!$D$126:$BD$166, MATCH($B228, Inflation!$B$126:$B$166,0), MATCH(AT$222, Inflation!$D$125:$BD$125,0))</f>
        <v>127837.72967582778</v>
      </c>
      <c r="AU228" s="732" t="e">
        <f>(AU182+AU204)*INDEX(Inflation!$D$126:$BD$166, MATCH($B228, Inflation!$B$126:$B$166,0), MATCH(AU$222, Inflation!$D$125:$BD$125,0))</f>
        <v>#N/A</v>
      </c>
      <c r="AV228" s="732" t="e">
        <f>(AV182+AV204)*INDEX(Inflation!$D$126:$BD$166, MATCH($B228, Inflation!$B$126:$B$166,0), MATCH(AV$222, Inflation!$D$125:$BD$125,0))</f>
        <v>#N/A</v>
      </c>
      <c r="AW228" s="732" t="e">
        <f>(AW182+AW204)*INDEX(Inflation!$D$126:$BD$166, MATCH($B228, Inflation!$B$126:$B$166,0), MATCH(AW$222, Inflation!$D$125:$BD$125,0))</f>
        <v>#N/A</v>
      </c>
      <c r="AX228" s="732" t="e">
        <f>(AX182+AX204)*INDEX(Inflation!$D$126:$BD$166, MATCH($B228, Inflation!$B$126:$B$166,0), MATCH(AX$222, Inflation!$D$125:$BD$125,0))</f>
        <v>#N/A</v>
      </c>
      <c r="AY228" s="732" t="e">
        <f>(AY182+AY204)*INDEX(Inflation!$D$126:$BD$166, MATCH($B228, Inflation!$B$126:$B$166,0), MATCH(AY$222, Inflation!$D$125:$BD$125,0))</f>
        <v>#N/A</v>
      </c>
      <c r="AZ228" s="732" t="e">
        <f>(AZ182+AZ204)*INDEX(Inflation!$D$126:$BD$166, MATCH($B228, Inflation!$B$126:$B$166,0), MATCH(AZ$222, Inflation!$D$125:$BD$125,0))</f>
        <v>#N/A</v>
      </c>
      <c r="BA228" s="732" t="e">
        <f>(BA182+BA204)*INDEX(Inflation!$D$126:$BD$166, MATCH($B228, Inflation!$B$126:$B$166,0), MATCH(BA$222, Inflation!$D$125:$BD$125,0))</f>
        <v>#N/A</v>
      </c>
      <c r="BB228" s="732" t="e">
        <f>(BB182+BB204)*INDEX(Inflation!$D$126:$BD$166, MATCH($B228, Inflation!$B$126:$B$166,0), MATCH(BB$222, Inflation!$D$125:$BD$125,0))</f>
        <v>#N/A</v>
      </c>
    </row>
    <row r="229" spans="2:54">
      <c r="B229" s="6" t="s">
        <v>17</v>
      </c>
      <c r="C229" s="142"/>
      <c r="D229" s="732">
        <f>(D183+D205)*INDEX(Inflation!$D$126:$BD$166, MATCH($B229, Inflation!$B$126:$B$166,0), MATCH(D$222, Inflation!$D$125:$BD$125,0))</f>
        <v>2242.7362758016084</v>
      </c>
      <c r="E229" s="732">
        <f>(E183+E205)*INDEX(Inflation!$D$126:$BD$166, MATCH($B229, Inflation!$B$126:$B$166,0), MATCH(E$222, Inflation!$D$125:$BD$125,0))</f>
        <v>2373.195733691211</v>
      </c>
      <c r="F229" s="732">
        <f>(F183+F205)*INDEX(Inflation!$D$126:$BD$166, MATCH($B229, Inflation!$B$126:$B$166,0), MATCH(F$222, Inflation!$D$125:$BD$125,0))</f>
        <v>2495.5940914354114</v>
      </c>
      <c r="G229" s="732">
        <f>(G183+G205)*INDEX(Inflation!$D$126:$BD$166, MATCH($B229, Inflation!$B$126:$B$166,0), MATCH(G$222, Inflation!$D$125:$BD$125,0))</f>
        <v>2612.9491949582375</v>
      </c>
      <c r="H229" s="732">
        <f>(H183+H205)*INDEX(Inflation!$D$126:$BD$166, MATCH($B229, Inflation!$B$126:$B$166,0), MATCH(H$222, Inflation!$D$125:$BD$125,0))</f>
        <v>2728.2730161489444</v>
      </c>
      <c r="I229" s="732">
        <f>(I183+I205)*INDEX(Inflation!$D$126:$BD$166, MATCH($B229, Inflation!$B$126:$B$166,0), MATCH(I$222, Inflation!$D$125:$BD$125,0))</f>
        <v>2843.3846410747769</v>
      </c>
      <c r="J229" s="732">
        <f>(J183+J205)*INDEX(Inflation!$D$126:$BD$166, MATCH($B229, Inflation!$B$126:$B$166,0), MATCH(J$222, Inflation!$D$125:$BD$125,0))</f>
        <v>2958.4447623522028</v>
      </c>
      <c r="K229" s="732">
        <f>(K183+K205)*INDEX(Inflation!$D$126:$BD$166, MATCH($B229, Inflation!$B$126:$B$166,0), MATCH(K$222, Inflation!$D$125:$BD$125,0))</f>
        <v>3074.4154982881773</v>
      </c>
      <c r="L229" s="732">
        <f>(L183+L205)*INDEX(Inflation!$D$126:$BD$166, MATCH($B229, Inflation!$B$126:$B$166,0), MATCH(L$222, Inflation!$D$125:$BD$125,0))</f>
        <v>3196.8348301453871</v>
      </c>
      <c r="M229" s="732">
        <f>(M183+M205)*INDEX(Inflation!$D$126:$BD$166, MATCH($B229, Inflation!$B$126:$B$166,0), MATCH(M$222, Inflation!$D$125:$BD$125,0))</f>
        <v>3322.6200543168684</v>
      </c>
      <c r="N229" s="732">
        <f>(N183+N205)*INDEX(Inflation!$D$126:$BD$166, MATCH($B229, Inflation!$B$126:$B$166,0), MATCH(N$222, Inflation!$D$125:$BD$125,0))</f>
        <v>3450.2310854840116</v>
      </c>
      <c r="O229" s="732">
        <f>(O183+O205)*INDEX(Inflation!$D$126:$BD$166, MATCH($B229, Inflation!$B$126:$B$166,0), MATCH(O$222, Inflation!$D$125:$BD$125,0))</f>
        <v>3578.9795431242705</v>
      </c>
      <c r="P229" s="732">
        <f>(P183+P205)*INDEX(Inflation!$D$126:$BD$166, MATCH($B229, Inflation!$B$126:$B$166,0), MATCH(P$222, Inflation!$D$125:$BD$125,0))</f>
        <v>3708.4199943985805</v>
      </c>
      <c r="Q229" s="732">
        <f>(Q183+Q205)*INDEX(Inflation!$D$126:$BD$166, MATCH($B229, Inflation!$B$126:$B$166,0), MATCH(Q$222, Inflation!$D$125:$BD$125,0))</f>
        <v>3839.5643179002295</v>
      </c>
      <c r="R229" s="732">
        <f>(R183+R205)*INDEX(Inflation!$D$126:$BD$166, MATCH($B229, Inflation!$B$126:$B$166,0), MATCH(R$222, Inflation!$D$125:$BD$125,0))</f>
        <v>3973.6665789279336</v>
      </c>
      <c r="S229" s="732">
        <f>(S183+S205)*INDEX(Inflation!$D$126:$BD$166, MATCH($B229, Inflation!$B$126:$B$166,0), MATCH(S$222, Inflation!$D$125:$BD$125,0))</f>
        <v>4110.9866949240768</v>
      </c>
      <c r="T229" s="732">
        <f>(T183+T205)*INDEX(Inflation!$D$126:$BD$166, MATCH($B229, Inflation!$B$126:$B$166,0), MATCH(T$222, Inflation!$D$125:$BD$125,0))</f>
        <v>4250.5998396064488</v>
      </c>
      <c r="U229" s="732">
        <f>(U183+U205)*INDEX(Inflation!$D$126:$BD$166, MATCH($B229, Inflation!$B$126:$B$166,0), MATCH(U$222, Inflation!$D$125:$BD$125,0))</f>
        <v>4392.6981433196834</v>
      </c>
      <c r="V229" s="732">
        <f>(V183+V205)*INDEX(Inflation!$D$126:$BD$166, MATCH($B229, Inflation!$B$126:$B$166,0), MATCH(V$222, Inflation!$D$125:$BD$125,0))</f>
        <v>4539.8241719096668</v>
      </c>
      <c r="W229" s="732">
        <f>(W183+W205)*INDEX(Inflation!$D$126:$BD$166, MATCH($B229, Inflation!$B$126:$B$166,0), MATCH(W$222, Inflation!$D$125:$BD$125,0))</f>
        <v>4690.0266989097527</v>
      </c>
      <c r="X229" s="732">
        <f>(X183+X205)*INDEX(Inflation!$D$126:$BD$166, MATCH($B229, Inflation!$B$126:$B$166,0), MATCH(X$222, Inflation!$D$125:$BD$125,0))</f>
        <v>4842.7418292139737</v>
      </c>
      <c r="Y229" s="732">
        <f>(Y183+Y205)*INDEX(Inflation!$D$126:$BD$166, MATCH($B229, Inflation!$B$126:$B$166,0), MATCH(Y$222, Inflation!$D$125:$BD$125,0))</f>
        <v>4997.8859751935242</v>
      </c>
      <c r="Z229" s="732">
        <f>(Z183+Z205)*INDEX(Inflation!$D$126:$BD$166, MATCH($B229, Inflation!$B$126:$B$166,0), MATCH(Z$222, Inflation!$D$125:$BD$125,0))</f>
        <v>5156.5534293464871</v>
      </c>
      <c r="AA229" s="732">
        <f>(AA183+AA205)*INDEX(Inflation!$D$126:$BD$166, MATCH($B229, Inflation!$B$126:$B$166,0), MATCH(AA$222, Inflation!$D$125:$BD$125,0))</f>
        <v>5318.5683098233112</v>
      </c>
      <c r="AB229" s="732">
        <f>(AB183+AB205)*INDEX(Inflation!$D$126:$BD$166, MATCH($B229, Inflation!$B$126:$B$166,0), MATCH(AB$222, Inflation!$D$125:$BD$125,0))</f>
        <v>5483.5239493586823</v>
      </c>
      <c r="AC229" s="732">
        <f>(AC183+AC205)*INDEX(Inflation!$D$126:$BD$166, MATCH($B229, Inflation!$B$126:$B$166,0), MATCH(AC$222, Inflation!$D$125:$BD$125,0))</f>
        <v>5651.08275443206</v>
      </c>
      <c r="AD229" s="732">
        <f>(AD183+AD205)*INDEX(Inflation!$D$126:$BD$166, MATCH($B229, Inflation!$B$126:$B$166,0), MATCH(AD$222, Inflation!$D$125:$BD$125,0))</f>
        <v>5820.8776818273682</v>
      </c>
      <c r="AE229" s="732">
        <f>(AE183+AE205)*INDEX(Inflation!$D$126:$BD$166, MATCH($B229, Inflation!$B$126:$B$166,0), MATCH(AE$222, Inflation!$D$125:$BD$125,0))</f>
        <v>5992.6108981019461</v>
      </c>
      <c r="AF229" s="732">
        <f>(AF183+AF205)*INDEX(Inflation!$D$126:$BD$166, MATCH($B229, Inflation!$B$126:$B$166,0), MATCH(AF$222, Inflation!$D$125:$BD$125,0))</f>
        <v>6165.9871596294961</v>
      </c>
      <c r="AG229" s="732">
        <f>(AG183+AG205)*INDEX(Inflation!$D$126:$BD$166, MATCH($B229, Inflation!$B$126:$B$166,0), MATCH(AG$222, Inflation!$D$125:$BD$125,0))</f>
        <v>6341.1793508006213</v>
      </c>
      <c r="AH229" s="732">
        <f>(AH183+AH205)*INDEX(Inflation!$D$126:$BD$166, MATCH($B229, Inflation!$B$126:$B$166,0), MATCH(AH$222, Inflation!$D$125:$BD$125,0))</f>
        <v>6519.3170876937229</v>
      </c>
      <c r="AI229" s="732">
        <f>(AI183+AI205)*INDEX(Inflation!$D$126:$BD$166, MATCH($B229, Inflation!$B$126:$B$166,0), MATCH(AI$222, Inflation!$D$125:$BD$125,0))</f>
        <v>6700.556265253259</v>
      </c>
      <c r="AJ229" s="732">
        <f>(AJ183+AJ205)*INDEX(Inflation!$D$126:$BD$166, MATCH($B229, Inflation!$B$126:$B$166,0), MATCH(AJ$222, Inflation!$D$125:$BD$125,0))</f>
        <v>6885.3818859635494</v>
      </c>
      <c r="AK229" s="732">
        <f>(AK183+AK205)*INDEX(Inflation!$D$126:$BD$166, MATCH($B229, Inflation!$B$126:$B$166,0), MATCH(AK$222, Inflation!$D$125:$BD$125,0))</f>
        <v>7072.4625552281777</v>
      </c>
      <c r="AL229" s="732">
        <f>(AL183+AL205)*INDEX(Inflation!$D$126:$BD$166, MATCH($B229, Inflation!$B$126:$B$166,0), MATCH(AL$222, Inflation!$D$125:$BD$125,0))</f>
        <v>7260.6923987333048</v>
      </c>
      <c r="AM229" s="732">
        <f>(AM183+AM205)*INDEX(Inflation!$D$126:$BD$166, MATCH($B229, Inflation!$B$126:$B$166,0), MATCH(AM$222, Inflation!$D$125:$BD$125,0))</f>
        <v>7449.2333921766831</v>
      </c>
      <c r="AN229" s="732">
        <f>(AN183+AN205)*INDEX(Inflation!$D$126:$BD$166, MATCH($B229, Inflation!$B$126:$B$166,0), MATCH(AN$222, Inflation!$D$125:$BD$125,0))</f>
        <v>7638.3990297670389</v>
      </c>
      <c r="AO229" s="732">
        <f>(AO183+AO205)*INDEX(Inflation!$D$126:$BD$166, MATCH($B229, Inflation!$B$126:$B$166,0), MATCH(AO$222, Inflation!$D$125:$BD$125,0))</f>
        <v>7828.1732899085464</v>
      </c>
      <c r="AP229" s="732">
        <f>(AP183+AP205)*INDEX(Inflation!$D$126:$BD$166, MATCH($B229, Inflation!$B$126:$B$166,0), MATCH(AP$222, Inflation!$D$125:$BD$125,0))</f>
        <v>8018.2449572165706</v>
      </c>
      <c r="AQ229" s="732">
        <f>(AQ183+AQ205)*INDEX(Inflation!$D$126:$BD$166, MATCH($B229, Inflation!$B$126:$B$166,0), MATCH(AQ$222, Inflation!$D$125:$BD$125,0))</f>
        <v>8210.1721046678304</v>
      </c>
      <c r="AR229" s="732">
        <f>(AR183+AR205)*INDEX(Inflation!$D$126:$BD$166, MATCH($B229, Inflation!$B$126:$B$166,0), MATCH(AR$222, Inflation!$D$125:$BD$125,0))</f>
        <v>8405.8472187384486</v>
      </c>
      <c r="AS229" s="732">
        <f>(AS183+AS205)*INDEX(Inflation!$D$126:$BD$166, MATCH($B229, Inflation!$B$126:$B$166,0), MATCH(AS$222, Inflation!$D$125:$BD$125,0))</f>
        <v>8606.9203525296507</v>
      </c>
      <c r="AT229" s="732">
        <f>(AT183+AT205)*INDEX(Inflation!$D$126:$BD$166, MATCH($B229, Inflation!$B$126:$B$166,0), MATCH(AT$222, Inflation!$D$125:$BD$125,0))</f>
        <v>8803.3061392284144</v>
      </c>
      <c r="AU229" s="732" t="e">
        <f>(AU183+AU205)*INDEX(Inflation!$D$126:$BD$166, MATCH($B229, Inflation!$B$126:$B$166,0), MATCH(AU$222, Inflation!$D$125:$BD$125,0))</f>
        <v>#N/A</v>
      </c>
      <c r="AV229" s="732" t="e">
        <f>(AV183+AV205)*INDEX(Inflation!$D$126:$BD$166, MATCH($B229, Inflation!$B$126:$B$166,0), MATCH(AV$222, Inflation!$D$125:$BD$125,0))</f>
        <v>#N/A</v>
      </c>
      <c r="AW229" s="732" t="e">
        <f>(AW183+AW205)*INDEX(Inflation!$D$126:$BD$166, MATCH($B229, Inflation!$B$126:$B$166,0), MATCH(AW$222, Inflation!$D$125:$BD$125,0))</f>
        <v>#N/A</v>
      </c>
      <c r="AX229" s="732" t="e">
        <f>(AX183+AX205)*INDEX(Inflation!$D$126:$BD$166, MATCH($B229, Inflation!$B$126:$B$166,0), MATCH(AX$222, Inflation!$D$125:$BD$125,0))</f>
        <v>#N/A</v>
      </c>
      <c r="AY229" s="732" t="e">
        <f>(AY183+AY205)*INDEX(Inflation!$D$126:$BD$166, MATCH($B229, Inflation!$B$126:$B$166,0), MATCH(AY$222, Inflation!$D$125:$BD$125,0))</f>
        <v>#N/A</v>
      </c>
      <c r="AZ229" s="732" t="e">
        <f>(AZ183+AZ205)*INDEX(Inflation!$D$126:$BD$166, MATCH($B229, Inflation!$B$126:$B$166,0), MATCH(AZ$222, Inflation!$D$125:$BD$125,0))</f>
        <v>#N/A</v>
      </c>
      <c r="BA229" s="732" t="e">
        <f>(BA183+BA205)*INDEX(Inflation!$D$126:$BD$166, MATCH($B229, Inflation!$B$126:$B$166,0), MATCH(BA$222, Inflation!$D$125:$BD$125,0))</f>
        <v>#N/A</v>
      </c>
      <c r="BB229" s="732" t="e">
        <f>(BB183+BB205)*INDEX(Inflation!$D$126:$BD$166, MATCH($B229, Inflation!$B$126:$B$166,0), MATCH(BB$222, Inflation!$D$125:$BD$125,0))</f>
        <v>#N/A</v>
      </c>
    </row>
    <row r="230" spans="2:54" ht="29">
      <c r="B230" s="6" t="s">
        <v>106</v>
      </c>
      <c r="C230" s="142"/>
      <c r="D230" s="732">
        <f>(D184+D206)*INDEX(Inflation!$D$126:$BD$166, MATCH($B230, Inflation!$B$126:$B$166,0), MATCH(D$222, Inflation!$D$125:$BD$125,0))</f>
        <v>25768.345221762524</v>
      </c>
      <c r="E230" s="732">
        <f>(E184+E206)*INDEX(Inflation!$D$126:$BD$166, MATCH($B230, Inflation!$B$126:$B$166,0), MATCH(E$222, Inflation!$D$125:$BD$125,0))</f>
        <v>27877.386123329325</v>
      </c>
      <c r="F230" s="732">
        <f>(F184+F206)*INDEX(Inflation!$D$126:$BD$166, MATCH($B230, Inflation!$B$126:$B$166,0), MATCH(F$222, Inflation!$D$125:$BD$125,0))</f>
        <v>29971.094934229572</v>
      </c>
      <c r="G230" s="732">
        <f>(G184+G206)*INDEX(Inflation!$D$126:$BD$166, MATCH($B230, Inflation!$B$126:$B$166,0), MATCH(G$222, Inflation!$D$125:$BD$125,0))</f>
        <v>32082.617629447399</v>
      </c>
      <c r="H230" s="732">
        <f>(H184+H206)*INDEX(Inflation!$D$126:$BD$166, MATCH($B230, Inflation!$B$126:$B$166,0), MATCH(H$222, Inflation!$D$125:$BD$125,0))</f>
        <v>34248.127090642607</v>
      </c>
      <c r="I230" s="732">
        <f>(I184+I206)*INDEX(Inflation!$D$126:$BD$166, MATCH($B230, Inflation!$B$126:$B$166,0), MATCH(I$222, Inflation!$D$125:$BD$125,0))</f>
        <v>36491.757574432304</v>
      </c>
      <c r="J230" s="732">
        <f>(J184+J206)*INDEX(Inflation!$D$126:$BD$166, MATCH($B230, Inflation!$B$126:$B$166,0), MATCH(J$222, Inflation!$D$125:$BD$125,0))</f>
        <v>38817.968373066127</v>
      </c>
      <c r="K230" s="732">
        <f>(K184+K206)*INDEX(Inflation!$D$126:$BD$166, MATCH($B230, Inflation!$B$126:$B$166,0), MATCH(K$222, Inflation!$D$125:$BD$125,0))</f>
        <v>41242.223059659416</v>
      </c>
      <c r="L230" s="732">
        <f>(L184+L206)*INDEX(Inflation!$D$126:$BD$166, MATCH($B230, Inflation!$B$126:$B$166,0), MATCH(L$222, Inflation!$D$125:$BD$125,0))</f>
        <v>43843.970153186354</v>
      </c>
      <c r="M230" s="732">
        <f>(M184+M206)*INDEX(Inflation!$D$126:$BD$166, MATCH($B230, Inflation!$B$126:$B$166,0), MATCH(M$222, Inflation!$D$125:$BD$125,0))</f>
        <v>46588.692927326978</v>
      </c>
      <c r="N230" s="732">
        <f>(N184+N206)*INDEX(Inflation!$D$126:$BD$166, MATCH($B230, Inflation!$B$126:$B$166,0), MATCH(N$222, Inflation!$D$125:$BD$125,0))</f>
        <v>49460.465225807107</v>
      </c>
      <c r="O230" s="732">
        <f>(O184+O206)*INDEX(Inflation!$D$126:$BD$166, MATCH($B230, Inflation!$B$126:$B$166,0), MATCH(O$222, Inflation!$D$125:$BD$125,0))</f>
        <v>52454.094997286971</v>
      </c>
      <c r="P230" s="732">
        <f>(P184+P206)*INDEX(Inflation!$D$126:$BD$166, MATCH($B230, Inflation!$B$126:$B$166,0), MATCH(P$222, Inflation!$D$125:$BD$125,0))</f>
        <v>55567.296214255162</v>
      </c>
      <c r="Q230" s="732">
        <f>(Q184+Q206)*INDEX(Inflation!$D$126:$BD$166, MATCH($B230, Inflation!$B$126:$B$166,0), MATCH(Q$222, Inflation!$D$125:$BD$125,0))</f>
        <v>58819.654284879856</v>
      </c>
      <c r="R230" s="732">
        <f>(R184+R206)*INDEX(Inflation!$D$126:$BD$166, MATCH($B230, Inflation!$B$126:$B$166,0), MATCH(R$222, Inflation!$D$125:$BD$125,0))</f>
        <v>62236.063228055486</v>
      </c>
      <c r="S230" s="732">
        <f>(S184+S206)*INDEX(Inflation!$D$126:$BD$166, MATCH($B230, Inflation!$B$126:$B$166,0), MATCH(S$222, Inflation!$D$125:$BD$125,0))</f>
        <v>65827.434553939878</v>
      </c>
      <c r="T230" s="732">
        <f>(T184+T206)*INDEX(Inflation!$D$126:$BD$166, MATCH($B230, Inflation!$B$126:$B$166,0), MATCH(T$222, Inflation!$D$125:$BD$125,0))</f>
        <v>69585.900116865509</v>
      </c>
      <c r="U230" s="732">
        <f>(U184+U206)*INDEX(Inflation!$D$126:$BD$166, MATCH($B230, Inflation!$B$126:$B$166,0), MATCH(U$222, Inflation!$D$125:$BD$125,0))</f>
        <v>73521.19501466387</v>
      </c>
      <c r="V230" s="732">
        <f>(V184+V206)*INDEX(Inflation!$D$126:$BD$166, MATCH($B230, Inflation!$B$126:$B$166,0), MATCH(V$222, Inflation!$D$125:$BD$125,0))</f>
        <v>77683.788811982304</v>
      </c>
      <c r="W230" s="732">
        <f>(W184+W206)*INDEX(Inflation!$D$126:$BD$166, MATCH($B230, Inflation!$B$126:$B$166,0), MATCH(W$222, Inflation!$D$125:$BD$125,0))</f>
        <v>82049.672168543824</v>
      </c>
      <c r="X230" s="732">
        <f>(X184+X206)*INDEX(Inflation!$D$126:$BD$166, MATCH($B230, Inflation!$B$126:$B$166,0), MATCH(X$222, Inflation!$D$125:$BD$125,0))</f>
        <v>86616.976765231229</v>
      </c>
      <c r="Y230" s="732">
        <f>(Y184+Y206)*INDEX(Inflation!$D$126:$BD$166, MATCH($B230, Inflation!$B$126:$B$166,0), MATCH(Y$222, Inflation!$D$125:$BD$125,0))</f>
        <v>91392.007476943851</v>
      </c>
      <c r="Z230" s="732">
        <f>(Z184+Z206)*INDEX(Inflation!$D$126:$BD$166, MATCH($B230, Inflation!$B$126:$B$166,0), MATCH(Z$222, Inflation!$D$125:$BD$125,0))</f>
        <v>96403.225382805889</v>
      </c>
      <c r="AA230" s="732">
        <f>(AA184+AA206)*INDEX(Inflation!$D$126:$BD$166, MATCH($B230, Inflation!$B$126:$B$166,0), MATCH(AA$222, Inflation!$D$125:$BD$125,0))</f>
        <v>101656.92133675855</v>
      </c>
      <c r="AB230" s="732">
        <f>(AB184+AB206)*INDEX(Inflation!$D$126:$BD$166, MATCH($B230, Inflation!$B$126:$B$166,0), MATCH(AB$222, Inflation!$D$125:$BD$125,0))</f>
        <v>107154.92216711203</v>
      </c>
      <c r="AC230" s="732">
        <f>(AC184+AC206)*INDEX(Inflation!$D$126:$BD$166, MATCH($B230, Inflation!$B$126:$B$166,0), MATCH(AC$222, Inflation!$D$125:$BD$125,0))</f>
        <v>112900.07146254374</v>
      </c>
      <c r="AD230" s="732">
        <f>(AD184+AD206)*INDEX(Inflation!$D$126:$BD$166, MATCH($B230, Inflation!$B$126:$B$166,0), MATCH(AD$222, Inflation!$D$125:$BD$125,0))</f>
        <v>118894.34317927955</v>
      </c>
      <c r="AE230" s="732">
        <f>(AE184+AE206)*INDEX(Inflation!$D$126:$BD$166, MATCH($B230, Inflation!$B$126:$B$166,0), MATCH(AE$222, Inflation!$D$125:$BD$125,0))</f>
        <v>125140.81169672517</v>
      </c>
      <c r="AF230" s="732">
        <f>(AF184+AF206)*INDEX(Inflation!$D$126:$BD$166, MATCH($B230, Inflation!$B$126:$B$166,0), MATCH(AF$222, Inflation!$D$125:$BD$125,0))</f>
        <v>131642.36408884605</v>
      </c>
      <c r="AG230" s="732">
        <f>(AG184+AG206)*INDEX(Inflation!$D$126:$BD$166, MATCH($B230, Inflation!$B$126:$B$166,0), MATCH(AG$222, Inflation!$D$125:$BD$125,0))</f>
        <v>138411.84660214456</v>
      </c>
      <c r="AH230" s="732">
        <f>(AH184+AH206)*INDEX(Inflation!$D$126:$BD$166, MATCH($B230, Inflation!$B$126:$B$166,0), MATCH(AH$222, Inflation!$D$125:$BD$125,0))</f>
        <v>145484.08935498836</v>
      </c>
      <c r="AI230" s="732">
        <f>(AI184+AI206)*INDEX(Inflation!$D$126:$BD$166, MATCH($B230, Inflation!$B$126:$B$166,0), MATCH(AI$222, Inflation!$D$125:$BD$125,0))</f>
        <v>152874.27927477885</v>
      </c>
      <c r="AJ230" s="732">
        <f>(AJ184+AJ206)*INDEX(Inflation!$D$126:$BD$166, MATCH($B230, Inflation!$B$126:$B$166,0), MATCH(AJ$222, Inflation!$D$125:$BD$125,0))</f>
        <v>160606.0000471276</v>
      </c>
      <c r="AK230" s="732">
        <f>(AK184+AK206)*INDEX(Inflation!$D$126:$BD$166, MATCH($B230, Inflation!$B$126:$B$166,0), MATCH(AK$222, Inflation!$D$125:$BD$125,0))</f>
        <v>168660.95659141094</v>
      </c>
      <c r="AL230" s="732">
        <f>(AL184+AL206)*INDEX(Inflation!$D$126:$BD$166, MATCH($B230, Inflation!$B$126:$B$166,0), MATCH(AL$222, Inflation!$D$125:$BD$125,0))</f>
        <v>177023.98364037403</v>
      </c>
      <c r="AM230" s="732">
        <f>(AM184+AM206)*INDEX(Inflation!$D$126:$BD$166, MATCH($B230, Inflation!$B$126:$B$166,0), MATCH(AM$222, Inflation!$D$125:$BD$125,0))</f>
        <v>185684.57242854749</v>
      </c>
      <c r="AN230" s="732">
        <f>(AN184+AN206)*INDEX(Inflation!$D$126:$BD$166, MATCH($B230, Inflation!$B$126:$B$166,0), MATCH(AN$222, Inflation!$D$125:$BD$125,0))</f>
        <v>194660.01469534059</v>
      </c>
      <c r="AO230" s="732">
        <f>(AO184+AO206)*INDEX(Inflation!$D$126:$BD$166, MATCH($B230, Inflation!$B$126:$B$166,0), MATCH(AO$222, Inflation!$D$125:$BD$125,0))</f>
        <v>203960.00300373966</v>
      </c>
      <c r="AP230" s="732">
        <f>(AP184+AP206)*INDEX(Inflation!$D$126:$BD$166, MATCH($B230, Inflation!$B$126:$B$166,0), MATCH(AP$222, Inflation!$D$125:$BD$125,0))</f>
        <v>213586.63207128851</v>
      </c>
      <c r="AQ230" s="732">
        <f>(AQ184+AQ206)*INDEX(Inflation!$D$126:$BD$166, MATCH($B230, Inflation!$B$126:$B$166,0), MATCH(AQ$222, Inflation!$D$125:$BD$125,0))</f>
        <v>223592.47227211099</v>
      </c>
      <c r="AR230" s="732">
        <f>(AR184+AR206)*INDEX(Inflation!$D$126:$BD$166, MATCH($B230, Inflation!$B$126:$B$166,0), MATCH(AR$222, Inflation!$D$125:$BD$125,0))</f>
        <v>234043.4968029861</v>
      </c>
      <c r="AS230" s="732">
        <f>(AS184+AS206)*INDEX(Inflation!$D$126:$BD$166, MATCH($B230, Inflation!$B$126:$B$166,0), MATCH(AS$222, Inflation!$D$125:$BD$125,0))</f>
        <v>245003.9234782714</v>
      </c>
      <c r="AT230" s="732">
        <f>(AT184+AT206)*INDEX(Inflation!$D$126:$BD$166, MATCH($B230, Inflation!$B$126:$B$166,0), MATCH(AT$222, Inflation!$D$125:$BD$125,0))</f>
        <v>256201.24103155371</v>
      </c>
      <c r="AU230" s="732" t="e">
        <f>(AU184+AU206)*INDEX(Inflation!$D$126:$BD$166, MATCH($B230, Inflation!$B$126:$B$166,0), MATCH(AU$222, Inflation!$D$125:$BD$125,0))</f>
        <v>#N/A</v>
      </c>
      <c r="AV230" s="732" t="e">
        <f>(AV184+AV206)*INDEX(Inflation!$D$126:$BD$166, MATCH($B230, Inflation!$B$126:$B$166,0), MATCH(AV$222, Inflation!$D$125:$BD$125,0))</f>
        <v>#N/A</v>
      </c>
      <c r="AW230" s="732" t="e">
        <f>(AW184+AW206)*INDEX(Inflation!$D$126:$BD$166, MATCH($B230, Inflation!$B$126:$B$166,0), MATCH(AW$222, Inflation!$D$125:$BD$125,0))</f>
        <v>#N/A</v>
      </c>
      <c r="AX230" s="732" t="e">
        <f>(AX184+AX206)*INDEX(Inflation!$D$126:$BD$166, MATCH($B230, Inflation!$B$126:$B$166,0), MATCH(AX$222, Inflation!$D$125:$BD$125,0))</f>
        <v>#N/A</v>
      </c>
      <c r="AY230" s="732" t="e">
        <f>(AY184+AY206)*INDEX(Inflation!$D$126:$BD$166, MATCH($B230, Inflation!$B$126:$B$166,0), MATCH(AY$222, Inflation!$D$125:$BD$125,0))</f>
        <v>#N/A</v>
      </c>
      <c r="AZ230" s="732" t="e">
        <f>(AZ184+AZ206)*INDEX(Inflation!$D$126:$BD$166, MATCH($B230, Inflation!$B$126:$B$166,0), MATCH(AZ$222, Inflation!$D$125:$BD$125,0))</f>
        <v>#N/A</v>
      </c>
      <c r="BA230" s="732" t="e">
        <f>(BA184+BA206)*INDEX(Inflation!$D$126:$BD$166, MATCH($B230, Inflation!$B$126:$B$166,0), MATCH(BA$222, Inflation!$D$125:$BD$125,0))</f>
        <v>#N/A</v>
      </c>
      <c r="BB230" s="732" t="e">
        <f>(BB184+BB206)*INDEX(Inflation!$D$126:$BD$166, MATCH($B230, Inflation!$B$126:$B$166,0), MATCH(BB$222, Inflation!$D$125:$BD$125,0))</f>
        <v>#N/A</v>
      </c>
    </row>
    <row r="231" spans="2:54" ht="29">
      <c r="B231" s="6" t="s">
        <v>107</v>
      </c>
      <c r="C231" s="142"/>
      <c r="D231" s="732">
        <f>(D185+D207)*INDEX(Inflation!$D$126:$BD$166, MATCH($B231, Inflation!$B$126:$B$166,0), MATCH(D$222, Inflation!$D$125:$BD$125,0))</f>
        <v>58319.362205297948</v>
      </c>
      <c r="E231" s="732">
        <f>(E185+E207)*INDEX(Inflation!$D$126:$BD$166, MATCH($B231, Inflation!$B$126:$B$166,0), MATCH(E$222, Inflation!$D$125:$BD$125,0))</f>
        <v>63092.579856091659</v>
      </c>
      <c r="F231" s="732">
        <f>(F185+F207)*INDEX(Inflation!$D$126:$BD$166, MATCH($B231, Inflation!$B$126:$B$166,0), MATCH(F$222, Inflation!$D$125:$BD$125,0))</f>
        <v>67831.097655526944</v>
      </c>
      <c r="G231" s="732">
        <f>(G185+G207)*INDEX(Inflation!$D$126:$BD$166, MATCH($B231, Inflation!$B$126:$B$166,0), MATCH(G$222, Inflation!$D$125:$BD$125,0))</f>
        <v>72609.932144406586</v>
      </c>
      <c r="H231" s="732">
        <f>(H185+H207)*INDEX(Inflation!$D$126:$BD$166, MATCH($B231, Inflation!$B$126:$B$166,0), MATCH(H$222, Inflation!$D$125:$BD$125,0))</f>
        <v>77510.950410794307</v>
      </c>
      <c r="I231" s="732">
        <f>(I185+I207)*INDEX(Inflation!$D$126:$BD$166, MATCH($B231, Inflation!$B$126:$B$166,0), MATCH(I$222, Inflation!$D$125:$BD$125,0))</f>
        <v>82588.773519453738</v>
      </c>
      <c r="J231" s="732">
        <f>(J185+J207)*INDEX(Inflation!$D$126:$BD$166, MATCH($B231, Inflation!$B$126:$B$166,0), MATCH(J$222, Inflation!$D$125:$BD$125,0))</f>
        <v>87853.493817318551</v>
      </c>
      <c r="K231" s="732">
        <f>(K185+K207)*INDEX(Inflation!$D$126:$BD$166, MATCH($B231, Inflation!$B$126:$B$166,0), MATCH(K$222, Inflation!$D$125:$BD$125,0))</f>
        <v>93340.108729087209</v>
      </c>
      <c r="L231" s="732">
        <f>(L185+L207)*INDEX(Inflation!$D$126:$BD$166, MATCH($B231, Inflation!$B$126:$B$166,0), MATCH(L$222, Inflation!$D$125:$BD$125,0))</f>
        <v>99228.427509675195</v>
      </c>
      <c r="M231" s="732">
        <f>(M185+M207)*INDEX(Inflation!$D$126:$BD$166, MATCH($B231, Inflation!$B$126:$B$166,0), MATCH(M$222, Inflation!$D$125:$BD$125,0))</f>
        <v>105440.3313102751</v>
      </c>
      <c r="N231" s="732">
        <f>(N185+N207)*INDEX(Inflation!$D$126:$BD$166, MATCH($B231, Inflation!$B$126:$B$166,0), MATCH(N$222, Inflation!$D$125:$BD$125,0))</f>
        <v>111939.77578002551</v>
      </c>
      <c r="O231" s="732">
        <f>(O185+O207)*INDEX(Inflation!$D$126:$BD$166, MATCH($B231, Inflation!$B$126:$B$166,0), MATCH(O$222, Inflation!$D$125:$BD$125,0))</f>
        <v>118715.01017901405</v>
      </c>
      <c r="P231" s="732">
        <f>(P185+P207)*INDEX(Inflation!$D$126:$BD$166, MATCH($B231, Inflation!$B$126:$B$166,0), MATCH(P$222, Inflation!$D$125:$BD$125,0))</f>
        <v>125760.8607304498</v>
      </c>
      <c r="Q231" s="732">
        <f>(Q185+Q207)*INDEX(Inflation!$D$126:$BD$166, MATCH($B231, Inflation!$B$126:$B$166,0), MATCH(Q$222, Inflation!$D$125:$BD$125,0))</f>
        <v>133121.65346703175</v>
      </c>
      <c r="R231" s="732">
        <f>(R185+R207)*INDEX(Inflation!$D$126:$BD$166, MATCH($B231, Inflation!$B$126:$B$166,0), MATCH(R$222, Inflation!$D$125:$BD$125,0))</f>
        <v>140853.7289605799</v>
      </c>
      <c r="S231" s="732">
        <f>(S185+S207)*INDEX(Inflation!$D$126:$BD$166, MATCH($B231, Inflation!$B$126:$B$166,0), MATCH(S$222, Inflation!$D$125:$BD$125,0))</f>
        <v>148981.78232859698</v>
      </c>
      <c r="T231" s="732">
        <f>(T185+T207)*INDEX(Inflation!$D$126:$BD$166, MATCH($B231, Inflation!$B$126:$B$166,0), MATCH(T$222, Inflation!$D$125:$BD$125,0))</f>
        <v>157488.00624845046</v>
      </c>
      <c r="U231" s="732">
        <f>(U185+U207)*INDEX(Inflation!$D$126:$BD$166, MATCH($B231, Inflation!$B$126:$B$166,0), MATCH(U$222, Inflation!$D$125:$BD$125,0))</f>
        <v>166394.433361028</v>
      </c>
      <c r="V231" s="732">
        <f>(V185+V207)*INDEX(Inflation!$D$126:$BD$166, MATCH($B231, Inflation!$B$126:$B$166,0), MATCH(V$222, Inflation!$D$125:$BD$125,0))</f>
        <v>175815.28725328017</v>
      </c>
      <c r="W231" s="732">
        <f>(W185+W207)*INDEX(Inflation!$D$126:$BD$166, MATCH($B231, Inflation!$B$126:$B$166,0), MATCH(W$222, Inflation!$D$125:$BD$125,0))</f>
        <v>185696.22957325343</v>
      </c>
      <c r="X231" s="732">
        <f>(X185+X207)*INDEX(Inflation!$D$126:$BD$166, MATCH($B231, Inflation!$B$126:$B$166,0), MATCH(X$222, Inflation!$D$125:$BD$125,0))</f>
        <v>196033.03190898045</v>
      </c>
      <c r="Y231" s="732">
        <f>(Y185+Y207)*INDEX(Inflation!$D$126:$BD$166, MATCH($B231, Inflation!$B$126:$B$166,0), MATCH(Y$222, Inflation!$D$125:$BD$125,0))</f>
        <v>206839.96356179783</v>
      </c>
      <c r="Z231" s="732">
        <f>(Z185+Z207)*INDEX(Inflation!$D$126:$BD$166, MATCH($B231, Inflation!$B$126:$B$166,0), MATCH(Z$222, Inflation!$D$125:$BD$125,0))</f>
        <v>218181.4381356026</v>
      </c>
      <c r="AA231" s="732">
        <f>(AA185+AA207)*INDEX(Inflation!$D$126:$BD$166, MATCH($B231, Inflation!$B$126:$B$166,0), MATCH(AA$222, Inflation!$D$125:$BD$125,0))</f>
        <v>230071.69319925766</v>
      </c>
      <c r="AB231" s="732">
        <f>(AB185+AB207)*INDEX(Inflation!$D$126:$BD$166, MATCH($B231, Inflation!$B$126:$B$166,0), MATCH(AB$222, Inflation!$D$125:$BD$125,0))</f>
        <v>242514.86326202194</v>
      </c>
      <c r="AC231" s="732">
        <f>(AC185+AC207)*INDEX(Inflation!$D$126:$BD$166, MATCH($B231, Inflation!$B$126:$B$166,0), MATCH(AC$222, Inflation!$D$125:$BD$125,0))</f>
        <v>255517.38398270946</v>
      </c>
      <c r="AD231" s="732">
        <f>(AD185+AD207)*INDEX(Inflation!$D$126:$BD$166, MATCH($B231, Inflation!$B$126:$B$166,0), MATCH(AD$222, Inflation!$D$125:$BD$125,0))</f>
        <v>269083.72285300877</v>
      </c>
      <c r="AE231" s="732">
        <f>(AE185+AE207)*INDEX(Inflation!$D$126:$BD$166, MATCH($B231, Inflation!$B$126:$B$166,0), MATCH(AE$222, Inflation!$D$125:$BD$125,0))</f>
        <v>283220.83786128042</v>
      </c>
      <c r="AF231" s="732">
        <f>(AF185+AF207)*INDEX(Inflation!$D$126:$BD$166, MATCH($B231, Inflation!$B$126:$B$166,0), MATCH(AF$222, Inflation!$D$125:$BD$125,0))</f>
        <v>297935.26308298978</v>
      </c>
      <c r="AG231" s="732">
        <f>(AG185+AG207)*INDEX(Inflation!$D$126:$BD$166, MATCH($B231, Inflation!$B$126:$B$166,0), MATCH(AG$222, Inflation!$D$125:$BD$125,0))</f>
        <v>313256.07236421859</v>
      </c>
      <c r="AH231" s="732">
        <f>(AH185+AH207)*INDEX(Inflation!$D$126:$BD$166, MATCH($B231, Inflation!$B$126:$B$166,0), MATCH(AH$222, Inflation!$D$125:$BD$125,0))</f>
        <v>329262.0938280478</v>
      </c>
      <c r="AI231" s="732">
        <f>(AI185+AI207)*INDEX(Inflation!$D$126:$BD$166, MATCH($B231, Inflation!$B$126:$B$166,0), MATCH(AI$222, Inflation!$D$125:$BD$125,0))</f>
        <v>345987.69878983672</v>
      </c>
      <c r="AJ231" s="732">
        <f>(AJ185+AJ207)*INDEX(Inflation!$D$126:$BD$166, MATCH($B231, Inflation!$B$126:$B$166,0), MATCH(AJ$222, Inflation!$D$125:$BD$125,0))</f>
        <v>363486.26225257787</v>
      </c>
      <c r="AK231" s="732">
        <f>(AK185+AK207)*INDEX(Inflation!$D$126:$BD$166, MATCH($B231, Inflation!$B$126:$B$166,0), MATCH(AK$222, Inflation!$D$125:$BD$125,0))</f>
        <v>381716.3784750686</v>
      </c>
      <c r="AL231" s="732">
        <f>(AL185+AL207)*INDEX(Inflation!$D$126:$BD$166, MATCH($B231, Inflation!$B$126:$B$166,0), MATCH(AL$222, Inflation!$D$125:$BD$125,0))</f>
        <v>400643.72516356601</v>
      </c>
      <c r="AM231" s="732">
        <f>(AM185+AM207)*INDEX(Inflation!$D$126:$BD$166, MATCH($B231, Inflation!$B$126:$B$166,0), MATCH(AM$222, Inflation!$D$125:$BD$125,0))</f>
        <v>420244.51869927451</v>
      </c>
      <c r="AN231" s="732">
        <f>(AN185+AN207)*INDEX(Inflation!$D$126:$BD$166, MATCH($B231, Inflation!$B$126:$B$166,0), MATCH(AN$222, Inflation!$D$125:$BD$125,0))</f>
        <v>440557.89404429973</v>
      </c>
      <c r="AO231" s="732">
        <f>(AO185+AO207)*INDEX(Inflation!$D$126:$BD$166, MATCH($B231, Inflation!$B$126:$B$166,0), MATCH(AO$222, Inflation!$D$125:$BD$125,0))</f>
        <v>461605.78757393564</v>
      </c>
      <c r="AP231" s="732">
        <f>(AP185+AP207)*INDEX(Inflation!$D$126:$BD$166, MATCH($B231, Inflation!$B$126:$B$166,0), MATCH(AP$222, Inflation!$D$125:$BD$125,0))</f>
        <v>483392.94008896354</v>
      </c>
      <c r="AQ231" s="732">
        <f>(AQ185+AQ207)*INDEX(Inflation!$D$126:$BD$166, MATCH($B231, Inflation!$B$126:$B$166,0), MATCH(AQ$222, Inflation!$D$125:$BD$125,0))</f>
        <v>506038.32976448198</v>
      </c>
      <c r="AR231" s="732">
        <f>(AR185+AR207)*INDEX(Inflation!$D$126:$BD$166, MATCH($B231, Inflation!$B$126:$B$166,0), MATCH(AR$222, Inflation!$D$125:$BD$125,0))</f>
        <v>529691.26827439514</v>
      </c>
      <c r="AS231" s="732">
        <f>(AS185+AS207)*INDEX(Inflation!$D$126:$BD$166, MATCH($B231, Inflation!$B$126:$B$166,0), MATCH(AS$222, Inflation!$D$125:$BD$125,0))</f>
        <v>554497.09448091208</v>
      </c>
      <c r="AT231" s="732">
        <f>(AT185+AT207)*INDEX(Inflation!$D$126:$BD$166, MATCH($B231, Inflation!$B$126:$B$166,0), MATCH(AT$222, Inflation!$D$125:$BD$125,0))</f>
        <v>579839.05619780591</v>
      </c>
      <c r="AU231" s="732" t="e">
        <f>(AU185+AU207)*INDEX(Inflation!$D$126:$BD$166, MATCH($B231, Inflation!$B$126:$B$166,0), MATCH(AU$222, Inflation!$D$125:$BD$125,0))</f>
        <v>#N/A</v>
      </c>
      <c r="AV231" s="732" t="e">
        <f>(AV185+AV207)*INDEX(Inflation!$D$126:$BD$166, MATCH($B231, Inflation!$B$126:$B$166,0), MATCH(AV$222, Inflation!$D$125:$BD$125,0))</f>
        <v>#N/A</v>
      </c>
      <c r="AW231" s="732" t="e">
        <f>(AW185+AW207)*INDEX(Inflation!$D$126:$BD$166, MATCH($B231, Inflation!$B$126:$B$166,0), MATCH(AW$222, Inflation!$D$125:$BD$125,0))</f>
        <v>#N/A</v>
      </c>
      <c r="AX231" s="732" t="e">
        <f>(AX185+AX207)*INDEX(Inflation!$D$126:$BD$166, MATCH($B231, Inflation!$B$126:$B$166,0), MATCH(AX$222, Inflation!$D$125:$BD$125,0))</f>
        <v>#N/A</v>
      </c>
      <c r="AY231" s="732" t="e">
        <f>(AY185+AY207)*INDEX(Inflation!$D$126:$BD$166, MATCH($B231, Inflation!$B$126:$B$166,0), MATCH(AY$222, Inflation!$D$125:$BD$125,0))</f>
        <v>#N/A</v>
      </c>
      <c r="AZ231" s="732" t="e">
        <f>(AZ185+AZ207)*INDEX(Inflation!$D$126:$BD$166, MATCH($B231, Inflation!$B$126:$B$166,0), MATCH(AZ$222, Inflation!$D$125:$BD$125,0))</f>
        <v>#N/A</v>
      </c>
      <c r="BA231" s="732" t="e">
        <f>(BA185+BA207)*INDEX(Inflation!$D$126:$BD$166, MATCH($B231, Inflation!$B$126:$B$166,0), MATCH(BA$222, Inflation!$D$125:$BD$125,0))</f>
        <v>#N/A</v>
      </c>
      <c r="BB231" s="732" t="e">
        <f>(BB185+BB207)*INDEX(Inflation!$D$126:$BD$166, MATCH($B231, Inflation!$B$126:$B$166,0), MATCH(BB$222, Inflation!$D$125:$BD$125,0))</f>
        <v>#N/A</v>
      </c>
    </row>
    <row r="232" spans="2:54">
      <c r="B232" s="6" t="s">
        <v>2863</v>
      </c>
      <c r="C232" s="142"/>
      <c r="D232" s="732">
        <f>(D186+D208)*INDEX(Inflation!$D$126:$BD$166, MATCH($B232, Inflation!$B$126:$B$166,0), MATCH(D$222, Inflation!$D$125:$BD$125,0))</f>
        <v>2773.2212661234103</v>
      </c>
      <c r="E232" s="732">
        <f>(E186+E208)*INDEX(Inflation!$D$126:$BD$166, MATCH($B232, Inflation!$B$126:$B$166,0), MATCH(E$222, Inflation!$D$125:$BD$125,0))</f>
        <v>2936.2112390236489</v>
      </c>
      <c r="F232" s="732">
        <f>(F186+F208)*INDEX(Inflation!$D$126:$BD$166, MATCH($B232, Inflation!$B$126:$B$166,0), MATCH(F$222, Inflation!$D$125:$BD$125,0))</f>
        <v>3089.3624346031029</v>
      </c>
      <c r="G232" s="732">
        <f>(G186+G208)*INDEX(Inflation!$D$126:$BD$166, MATCH($B232, Inflation!$B$126:$B$166,0), MATCH(G$222, Inflation!$D$125:$BD$125,0))</f>
        <v>3236.4029652627964</v>
      </c>
      <c r="H232" s="732">
        <f>(H186+H208)*INDEX(Inflation!$D$126:$BD$166, MATCH($B232, Inflation!$B$126:$B$166,0), MATCH(H$222, Inflation!$D$125:$BD$125,0))</f>
        <v>3381.0558626317502</v>
      </c>
      <c r="I232" s="732">
        <f>(I186+I208)*INDEX(Inflation!$D$126:$BD$166, MATCH($B232, Inflation!$B$126:$B$166,0), MATCH(I$222, Inflation!$D$125:$BD$125,0))</f>
        <v>3525.5713333733565</v>
      </c>
      <c r="J232" s="732">
        <f>(J186+J208)*INDEX(Inflation!$D$126:$BD$166, MATCH($B232, Inflation!$B$126:$B$166,0), MATCH(J$222, Inflation!$D$125:$BD$125,0))</f>
        <v>3670.1502955268747</v>
      </c>
      <c r="K232" s="732">
        <f>(K186+K208)*INDEX(Inflation!$D$126:$BD$166, MATCH($B232, Inflation!$B$126:$B$166,0), MATCH(K$222, Inflation!$D$125:$BD$125,0))</f>
        <v>3815.9848197481538</v>
      </c>
      <c r="L232" s="732">
        <f>(L186+L208)*INDEX(Inflation!$D$126:$BD$166, MATCH($B232, Inflation!$B$126:$B$166,0), MATCH(L$222, Inflation!$D$125:$BD$125,0))</f>
        <v>3969.9259526948804</v>
      </c>
      <c r="M232" s="732">
        <f>(M186+M208)*INDEX(Inflation!$D$126:$BD$166, MATCH($B232, Inflation!$B$126:$B$166,0), MATCH(M$222, Inflation!$D$125:$BD$125,0))</f>
        <v>4128.1691540340144</v>
      </c>
      <c r="N232" s="732">
        <f>(N186+N208)*INDEX(Inflation!$D$126:$BD$166, MATCH($B232, Inflation!$B$126:$B$166,0), MATCH(N$222, Inflation!$D$125:$BD$125,0))</f>
        <v>4288.8152251093434</v>
      </c>
      <c r="O232" s="732">
        <f>(O186+O208)*INDEX(Inflation!$D$126:$BD$166, MATCH($B232, Inflation!$B$126:$B$166,0), MATCH(O$222, Inflation!$D$125:$BD$125,0))</f>
        <v>4448.9984238490606</v>
      </c>
      <c r="P232" s="732">
        <f>(P186+P208)*INDEX(Inflation!$D$126:$BD$166, MATCH($B232, Inflation!$B$126:$B$166,0), MATCH(P$222, Inflation!$D$125:$BD$125,0))</f>
        <v>4610.0345188342662</v>
      </c>
      <c r="Q232" s="732">
        <f>(Q186+Q208)*INDEX(Inflation!$D$126:$BD$166, MATCH($B232, Inflation!$B$126:$B$166,0), MATCH(Q$222, Inflation!$D$125:$BD$125,0))</f>
        <v>4773.1824519727797</v>
      </c>
      <c r="R232" s="732">
        <f>(R186+R208)*INDEX(Inflation!$D$126:$BD$166, MATCH($B232, Inflation!$B$126:$B$166,0), MATCH(R$222, Inflation!$D$125:$BD$125,0))</f>
        <v>4939.9988222992761</v>
      </c>
      <c r="S232" s="732">
        <f>(S186+S208)*INDEX(Inflation!$D$126:$BD$166, MATCH($B232, Inflation!$B$126:$B$166,0), MATCH(S$222, Inflation!$D$125:$BD$125,0))</f>
        <v>5110.8092667567744</v>
      </c>
      <c r="T232" s="732">
        <f>(T186+T208)*INDEX(Inflation!$D$126:$BD$166, MATCH($B232, Inflation!$B$126:$B$166,0), MATCH(T$222, Inflation!$D$125:$BD$125,0))</f>
        <v>5284.4730825786273</v>
      </c>
      <c r="U232" s="732">
        <f>(U186+U208)*INDEX(Inflation!$D$126:$BD$166, MATCH($B232, Inflation!$B$126:$B$166,0), MATCH(U$222, Inflation!$D$125:$BD$125,0))</f>
        <v>5461.2299430630528</v>
      </c>
      <c r="V232" s="732">
        <f>(V186+V208)*INDEX(Inflation!$D$126:$BD$166, MATCH($B232, Inflation!$B$126:$B$166,0), MATCH(V$222, Inflation!$D$125:$BD$125,0))</f>
        <v>5644.2252337323516</v>
      </c>
      <c r="W232" s="732">
        <f>(W186+W208)*INDEX(Inflation!$D$126:$BD$166, MATCH($B232, Inflation!$B$126:$B$166,0), MATCH(W$222, Inflation!$D$125:$BD$125,0))</f>
        <v>5831.0445480160124</v>
      </c>
      <c r="X232" s="732">
        <f>(X186+X208)*INDEX(Inflation!$D$126:$BD$166, MATCH($B232, Inflation!$B$126:$B$166,0), MATCH(X$222, Inflation!$D$125:$BD$125,0))</f>
        <v>6020.9902511788196</v>
      </c>
      <c r="Y232" s="732">
        <f>(Y186+Y208)*INDEX(Inflation!$D$126:$BD$166, MATCH($B232, Inflation!$B$126:$B$166,0), MATCH(Y$222, Inflation!$D$125:$BD$125,0))</f>
        <v>6213.9595842716417</v>
      </c>
      <c r="Z232" s="732">
        <f>(Z186+Z208)*INDEX(Inflation!$D$126:$BD$166, MATCH($B232, Inflation!$B$126:$B$166,0), MATCH(Z$222, Inflation!$D$125:$BD$125,0))</f>
        <v>6411.3068466893928</v>
      </c>
      <c r="AA232" s="732">
        <f>(AA186+AA208)*INDEX(Inflation!$D$126:$BD$166, MATCH($B232, Inflation!$B$126:$B$166,0), MATCH(AA$222, Inflation!$D$125:$BD$125,0))</f>
        <v>6612.8169622560235</v>
      </c>
      <c r="AB232" s="732">
        <f>(AB186+AB208)*INDEX(Inflation!$D$126:$BD$166, MATCH($B232, Inflation!$B$126:$B$166,0), MATCH(AB$222, Inflation!$D$125:$BD$125,0))</f>
        <v>6817.9884844392564</v>
      </c>
      <c r="AC232" s="732">
        <f>(AC186+AC208)*INDEX(Inflation!$D$126:$BD$166, MATCH($B232, Inflation!$B$126:$B$166,0), MATCH(AC$222, Inflation!$D$125:$BD$125,0))</f>
        <v>7026.4039736085188</v>
      </c>
      <c r="AD232" s="732">
        <f>(AD186+AD208)*INDEX(Inflation!$D$126:$BD$166, MATCH($B232, Inflation!$B$126:$B$166,0), MATCH(AD$222, Inflation!$D$125:$BD$125,0))</f>
        <v>7237.6090890065279</v>
      </c>
      <c r="AE232" s="732">
        <f>(AE186+AE208)*INDEX(Inflation!$D$126:$BD$166, MATCH($B232, Inflation!$B$126:$B$166,0), MATCH(AE$222, Inflation!$D$125:$BD$125,0))</f>
        <v>7451.2356197940826</v>
      </c>
      <c r="AF232" s="732">
        <f>(AF186+AF208)*INDEX(Inflation!$D$126:$BD$166, MATCH($B232, Inflation!$B$126:$B$166,0), MATCH(AF$222, Inflation!$D$125:$BD$125,0))</f>
        <v>7666.9181638532818</v>
      </c>
      <c r="AG232" s="732">
        <f>(AG186+AG208)*INDEX(Inflation!$D$126:$BD$166, MATCH($B232, Inflation!$B$126:$B$166,0), MATCH(AG$222, Inflation!$D$125:$BD$125,0))</f>
        <v>7884.8676607914485</v>
      </c>
      <c r="AH232" s="732">
        <f>(AH186+AH208)*INDEX(Inflation!$D$126:$BD$166, MATCH($B232, Inflation!$B$126:$B$166,0), MATCH(AH$222, Inflation!$D$125:$BD$125,0))</f>
        <v>8106.4799134270688</v>
      </c>
      <c r="AI232" s="732">
        <f>(AI186+AI208)*INDEX(Inflation!$D$126:$BD$166, MATCH($B232, Inflation!$B$126:$B$166,0), MATCH(AI$222, Inflation!$D$125:$BD$125,0))</f>
        <v>8331.9480153312834</v>
      </c>
      <c r="AJ232" s="732">
        <f>(AJ186+AJ208)*INDEX(Inflation!$D$126:$BD$166, MATCH($B232, Inflation!$B$126:$B$166,0), MATCH(AJ$222, Inflation!$D$125:$BD$125,0))</f>
        <v>8561.8722106121058</v>
      </c>
      <c r="AK232" s="732">
        <f>(AK186+AK208)*INDEX(Inflation!$D$126:$BD$166, MATCH($B232, Inflation!$B$126:$B$166,0), MATCH(AK$222, Inflation!$D$125:$BD$125,0))</f>
        <v>8794.6060919302199</v>
      </c>
      <c r="AL232" s="732">
        <f>(AL186+AL208)*INDEX(Inflation!$D$126:$BD$166, MATCH($B232, Inflation!$B$126:$B$166,0), MATCH(AL$222, Inflation!$D$125:$BD$125,0))</f>
        <v>9028.7812794007805</v>
      </c>
      <c r="AM232" s="732">
        <f>(AM186+AM208)*INDEX(Inflation!$D$126:$BD$166, MATCH($B232, Inflation!$B$126:$B$166,0), MATCH(AM$222, Inflation!$D$125:$BD$125,0))</f>
        <v>9263.3601227737709</v>
      </c>
      <c r="AN232" s="732">
        <f>(AN186+AN208)*INDEX(Inflation!$D$126:$BD$166, MATCH($B232, Inflation!$B$126:$B$166,0), MATCH(AN$222, Inflation!$D$125:$BD$125,0))</f>
        <v>9498.728516717294</v>
      </c>
      <c r="AO232" s="732">
        <f>(AO186+AO208)*INDEX(Inflation!$D$126:$BD$166, MATCH($B232, Inflation!$B$126:$B$166,0), MATCH(AO$222, Inflation!$D$125:$BD$125,0))</f>
        <v>9734.8654290143841</v>
      </c>
      <c r="AP232" s="732">
        <f>(AP186+AP208)*INDEX(Inflation!$D$126:$BD$166, MATCH($B232, Inflation!$B$126:$B$166,0), MATCH(AP$222, Inflation!$D$125:$BD$125,0))</f>
        <v>9971.385043010825</v>
      </c>
      <c r="AQ232" s="732">
        <f>(AQ186+AQ208)*INDEX(Inflation!$D$126:$BD$166, MATCH($B232, Inflation!$B$126:$B$166,0), MATCH(AQ$222, Inflation!$D$125:$BD$125,0))</f>
        <v>10210.21299691789</v>
      </c>
      <c r="AR232" s="732">
        <f>(AR186+AR208)*INDEX(Inflation!$D$126:$BD$166, MATCH($B232, Inflation!$B$126:$B$166,0), MATCH(AR$222, Inflation!$D$125:$BD$125,0))</f>
        <v>10453.689430545066</v>
      </c>
      <c r="AS232" s="732">
        <f>(AS186+AS208)*INDEX(Inflation!$D$126:$BD$166, MATCH($B232, Inflation!$B$126:$B$166,0), MATCH(AS$222, Inflation!$D$125:$BD$125,0))</f>
        <v>10703.855101098423</v>
      </c>
      <c r="AT232" s="732">
        <f>(AT186+AT208)*INDEX(Inflation!$D$126:$BD$166, MATCH($B232, Inflation!$B$126:$B$166,0), MATCH(AT$222, Inflation!$D$125:$BD$125,0))</f>
        <v>10948.240609481001</v>
      </c>
      <c r="AU232" s="732" t="e">
        <f>(AU186+AU208)*INDEX(Inflation!$D$126:$BD$166, MATCH($B232, Inflation!$B$126:$B$166,0), MATCH(AU$222, Inflation!$D$125:$BD$125,0))</f>
        <v>#N/A</v>
      </c>
      <c r="AV232" s="732" t="e">
        <f>(AV186+AV208)*INDEX(Inflation!$D$126:$BD$166, MATCH($B232, Inflation!$B$126:$B$166,0), MATCH(AV$222, Inflation!$D$125:$BD$125,0))</f>
        <v>#N/A</v>
      </c>
      <c r="AW232" s="732" t="e">
        <f>(AW186+AW208)*INDEX(Inflation!$D$126:$BD$166, MATCH($B232, Inflation!$B$126:$B$166,0), MATCH(AW$222, Inflation!$D$125:$BD$125,0))</f>
        <v>#N/A</v>
      </c>
      <c r="AX232" s="732" t="e">
        <f>(AX186+AX208)*INDEX(Inflation!$D$126:$BD$166, MATCH($B232, Inflation!$B$126:$B$166,0), MATCH(AX$222, Inflation!$D$125:$BD$125,0))</f>
        <v>#N/A</v>
      </c>
      <c r="AY232" s="732" t="e">
        <f>(AY186+AY208)*INDEX(Inflation!$D$126:$BD$166, MATCH($B232, Inflation!$B$126:$B$166,0), MATCH(AY$222, Inflation!$D$125:$BD$125,0))</f>
        <v>#N/A</v>
      </c>
      <c r="AZ232" s="732" t="e">
        <f>(AZ186+AZ208)*INDEX(Inflation!$D$126:$BD$166, MATCH($B232, Inflation!$B$126:$B$166,0), MATCH(AZ$222, Inflation!$D$125:$BD$125,0))</f>
        <v>#N/A</v>
      </c>
      <c r="BA232" s="732" t="e">
        <f>(BA186+BA208)*INDEX(Inflation!$D$126:$BD$166, MATCH($B232, Inflation!$B$126:$B$166,0), MATCH(BA$222, Inflation!$D$125:$BD$125,0))</f>
        <v>#N/A</v>
      </c>
      <c r="BB232" s="732" t="e">
        <f>(BB186+BB208)*INDEX(Inflation!$D$126:$BD$166, MATCH($B232, Inflation!$B$126:$B$166,0), MATCH(BB$222, Inflation!$D$125:$BD$125,0))</f>
        <v>#N/A</v>
      </c>
    </row>
    <row r="233" spans="2:54">
      <c r="B233" s="6" t="s">
        <v>2862</v>
      </c>
      <c r="C233" s="142"/>
      <c r="D233" s="732">
        <f>(D187+D209)*INDEX(Inflation!$D$126:$BD$166, MATCH($B233, Inflation!$B$126:$B$166,0), MATCH(D$222, Inflation!$D$125:$BD$125,0))</f>
        <v>3598.5559525424728</v>
      </c>
      <c r="E233" s="732">
        <f>(E187+E209)*INDEX(Inflation!$D$126:$BD$166, MATCH($B233, Inflation!$B$126:$B$166,0), MATCH(E$222, Inflation!$D$125:$BD$125,0))</f>
        <v>3810.053154136046</v>
      </c>
      <c r="F233" s="732">
        <f>(F187+F209)*INDEX(Inflation!$D$126:$BD$166, MATCH($B233, Inflation!$B$126:$B$166,0), MATCH(F$222, Inflation!$D$125:$BD$125,0))</f>
        <v>4008.783472997995</v>
      </c>
      <c r="G233" s="732">
        <f>(G187+G209)*INDEX(Inflation!$D$126:$BD$166, MATCH($B233, Inflation!$B$126:$B$166,0), MATCH(G$222, Inflation!$D$125:$BD$125,0))</f>
        <v>4199.5845400942753</v>
      </c>
      <c r="H233" s="732">
        <f>(H187+H209)*INDEX(Inflation!$D$126:$BD$166, MATCH($B233, Inflation!$B$126:$B$166,0), MATCH(H$222, Inflation!$D$125:$BD$125,0))</f>
        <v>4387.2873935370553</v>
      </c>
      <c r="I233" s="732">
        <f>(I187+I209)*INDEX(Inflation!$D$126:$BD$166, MATCH($B233, Inflation!$B$126:$B$166,0), MATCH(I$222, Inflation!$D$125:$BD$125,0))</f>
        <v>4574.8119209970082</v>
      </c>
      <c r="J233" s="732">
        <f>(J187+J209)*INDEX(Inflation!$D$126:$BD$166, MATCH($B233, Inflation!$B$126:$B$166,0), MATCH(J$222, Inflation!$D$125:$BD$125,0))</f>
        <v>4762.4188354633861</v>
      </c>
      <c r="K233" s="732">
        <f>(K187+K209)*INDEX(Inflation!$D$126:$BD$166, MATCH($B233, Inflation!$B$126:$B$166,0), MATCH(K$222, Inflation!$D$125:$BD$125,0))</f>
        <v>4951.6549781518033</v>
      </c>
      <c r="L233" s="732">
        <f>(L187+L209)*INDEX(Inflation!$D$126:$BD$166, MATCH($B233, Inflation!$B$126:$B$166,0), MATCH(L$222, Inflation!$D$125:$BD$125,0))</f>
        <v>5151.4103265885142</v>
      </c>
      <c r="M233" s="732">
        <f>(M187+M209)*INDEX(Inflation!$D$126:$BD$166, MATCH($B233, Inflation!$B$126:$B$166,0), MATCH(M$222, Inflation!$D$125:$BD$125,0))</f>
        <v>5356.7480762605146</v>
      </c>
      <c r="N233" s="732">
        <f>(N187+N209)*INDEX(Inflation!$D$126:$BD$166, MATCH($B233, Inflation!$B$126:$B$166,0), MATCH(N$222, Inflation!$D$125:$BD$125,0))</f>
        <v>5565.2038105297042</v>
      </c>
      <c r="O233" s="732">
        <f>(O187+O209)*INDEX(Inflation!$D$126:$BD$166, MATCH($B233, Inflation!$B$126:$B$166,0), MATCH(O$222, Inflation!$D$125:$BD$125,0))</f>
        <v>5773.0589176441363</v>
      </c>
      <c r="P233" s="732">
        <f>(P187+P209)*INDEX(Inflation!$D$126:$BD$166, MATCH($B233, Inflation!$B$126:$B$166,0), MATCH(P$222, Inflation!$D$125:$BD$125,0))</f>
        <v>5982.0207503194151</v>
      </c>
      <c r="Q233" s="732">
        <f>(Q187+Q209)*INDEX(Inflation!$D$126:$BD$166, MATCH($B233, Inflation!$B$126:$B$166,0), MATCH(Q$222, Inflation!$D$125:$BD$125,0))</f>
        <v>6193.7229224873363</v>
      </c>
      <c r="R233" s="732">
        <f>(R187+R209)*INDEX(Inflation!$D$126:$BD$166, MATCH($B233, Inflation!$B$126:$B$166,0), MATCH(R$222, Inflation!$D$125:$BD$125,0))</f>
        <v>6410.1852905475243</v>
      </c>
      <c r="S233" s="732">
        <f>(S187+S209)*INDEX(Inflation!$D$126:$BD$166, MATCH($B233, Inflation!$B$126:$B$166,0), MATCH(S$222, Inflation!$D$125:$BD$125,0))</f>
        <v>6631.8304038197812</v>
      </c>
      <c r="T233" s="732">
        <f>(T187+T209)*INDEX(Inflation!$D$126:$BD$166, MATCH($B233, Inflation!$B$126:$B$166,0), MATCH(T$222, Inflation!$D$125:$BD$125,0))</f>
        <v>6857.1780765067688</v>
      </c>
      <c r="U233" s="732">
        <f>(U187+U209)*INDEX(Inflation!$D$126:$BD$166, MATCH($B233, Inflation!$B$126:$B$166,0), MATCH(U$222, Inflation!$D$125:$BD$125,0))</f>
        <v>7086.5393107576792</v>
      </c>
      <c r="V233" s="732">
        <f>(V187+V209)*INDEX(Inflation!$D$126:$BD$166, MATCH($B233, Inflation!$B$126:$B$166,0), MATCH(V$222, Inflation!$D$125:$BD$125,0))</f>
        <v>7323.9955860897117</v>
      </c>
      <c r="W233" s="732">
        <f>(W187+W209)*INDEX(Inflation!$D$126:$BD$166, MATCH($B233, Inflation!$B$126:$B$166,0), MATCH(W$222, Inflation!$D$125:$BD$125,0))</f>
        <v>7566.4139476094642</v>
      </c>
      <c r="X233" s="732">
        <f>(X187+X209)*INDEX(Inflation!$D$126:$BD$166, MATCH($B233, Inflation!$B$126:$B$166,0), MATCH(X$222, Inflation!$D$125:$BD$125,0))</f>
        <v>7812.8891384375929</v>
      </c>
      <c r="Y233" s="732">
        <f>(Y187+Y209)*INDEX(Inflation!$D$126:$BD$166, MATCH($B233, Inflation!$B$126:$B$166,0), MATCH(Y$222, Inflation!$D$125:$BD$125,0))</f>
        <v>8063.2878176710092</v>
      </c>
      <c r="Z233" s="732">
        <f>(Z187+Z209)*INDEX(Inflation!$D$126:$BD$166, MATCH($B233, Inflation!$B$126:$B$166,0), MATCH(Z$222, Inflation!$D$125:$BD$125,0))</f>
        <v>8319.3673359433014</v>
      </c>
      <c r="AA233" s="732">
        <f>(AA187+AA209)*INDEX(Inflation!$D$126:$BD$166, MATCH($B233, Inflation!$B$126:$B$166,0), MATCH(AA$222, Inflation!$D$125:$BD$125,0))</f>
        <v>8580.8486085441982</v>
      </c>
      <c r="AB233" s="732">
        <f>(AB187+AB209)*INDEX(Inflation!$D$126:$BD$166, MATCH($B233, Inflation!$B$126:$B$166,0), MATCH(AB$222, Inflation!$D$125:$BD$125,0))</f>
        <v>8847.0809541069957</v>
      </c>
      <c r="AC233" s="732">
        <f>(AC187+AC209)*INDEX(Inflation!$D$126:$BD$166, MATCH($B233, Inflation!$B$126:$B$166,0), MATCH(AC$222, Inflation!$D$125:$BD$125,0))</f>
        <v>9117.5226993488031</v>
      </c>
      <c r="AD233" s="732">
        <f>(AD187+AD209)*INDEX(Inflation!$D$126:$BD$166, MATCH($B233, Inflation!$B$126:$B$166,0), MATCH(AD$222, Inflation!$D$125:$BD$125,0))</f>
        <v>9391.5842877648411</v>
      </c>
      <c r="AE233" s="732">
        <f>(AE187+AE209)*INDEX(Inflation!$D$126:$BD$166, MATCH($B233, Inflation!$B$126:$B$166,0), MATCH(AE$222, Inflation!$D$125:$BD$125,0))</f>
        <v>9668.7879257786099</v>
      </c>
      <c r="AF233" s="732">
        <f>(AF187+AF209)*INDEX(Inflation!$D$126:$BD$166, MATCH($B233, Inflation!$B$126:$B$166,0), MATCH(AF$222, Inflation!$D$125:$BD$125,0))</f>
        <v>9948.6594644346951</v>
      </c>
      <c r="AG233" s="732">
        <f>(AG187+AG209)*INDEX(Inflation!$D$126:$BD$166, MATCH($B233, Inflation!$B$126:$B$166,0), MATCH(AG$222, Inflation!$D$125:$BD$125,0))</f>
        <v>10231.472620795934</v>
      </c>
      <c r="AH233" s="732">
        <f>(AH187+AH209)*INDEX(Inflation!$D$126:$BD$166, MATCH($B233, Inflation!$B$126:$B$166,0), MATCH(AH$222, Inflation!$D$125:$BD$125,0))</f>
        <v>10519.038600698084</v>
      </c>
      <c r="AI233" s="732">
        <f>(AI187+AI209)*INDEX(Inflation!$D$126:$BD$166, MATCH($B233, Inflation!$B$126:$B$166,0), MATCH(AI$222, Inflation!$D$125:$BD$125,0))</f>
        <v>10811.607964032744</v>
      </c>
      <c r="AJ233" s="732">
        <f>(AJ187+AJ209)*INDEX(Inflation!$D$126:$BD$166, MATCH($B233, Inflation!$B$126:$B$166,0), MATCH(AJ$222, Inflation!$D$125:$BD$125,0))</f>
        <v>11109.959592757246</v>
      </c>
      <c r="AK233" s="732">
        <f>(AK187+AK209)*INDEX(Inflation!$D$126:$BD$166, MATCH($B233, Inflation!$B$126:$B$166,0), MATCH(AK$222, Inflation!$D$125:$BD$125,0))</f>
        <v>11411.957094437423</v>
      </c>
      <c r="AL233" s="732">
        <f>(AL187+AL209)*INDEX(Inflation!$D$126:$BD$166, MATCH($B233, Inflation!$B$126:$B$166,0), MATCH(AL$222, Inflation!$D$125:$BD$125,0))</f>
        <v>11715.824847473914</v>
      </c>
      <c r="AM233" s="732">
        <f>(AM187+AM209)*INDEX(Inflation!$D$126:$BD$166, MATCH($B233, Inflation!$B$126:$B$166,0), MATCH(AM$222, Inflation!$D$125:$BD$125,0))</f>
        <v>12020.216387908193</v>
      </c>
      <c r="AN233" s="732">
        <f>(AN187+AN209)*INDEX(Inflation!$D$126:$BD$166, MATCH($B233, Inflation!$B$126:$B$166,0), MATCH(AN$222, Inflation!$D$125:$BD$125,0))</f>
        <v>12325.632456006431</v>
      </c>
      <c r="AO233" s="732">
        <f>(AO187+AO209)*INDEX(Inflation!$D$126:$BD$166, MATCH($B233, Inflation!$B$126:$B$166,0), MATCH(AO$222, Inflation!$D$125:$BD$125,0))</f>
        <v>12632.045760181587</v>
      </c>
      <c r="AP233" s="732">
        <f>(AP187+AP209)*INDEX(Inflation!$D$126:$BD$166, MATCH($B233, Inflation!$B$126:$B$166,0), MATCH(AP$222, Inflation!$D$125:$BD$125,0))</f>
        <v>12938.955661398993</v>
      </c>
      <c r="AQ233" s="732">
        <f>(AQ187+AQ209)*INDEX(Inflation!$D$126:$BD$166, MATCH($B233, Inflation!$B$126:$B$166,0), MATCH(AQ$222, Inflation!$D$125:$BD$125,0))</f>
        <v>13248.860884492564</v>
      </c>
      <c r="AR233" s="732">
        <f>(AR187+AR209)*INDEX(Inflation!$D$126:$BD$166, MATCH($B233, Inflation!$B$126:$B$166,0), MATCH(AR$222, Inflation!$D$125:$BD$125,0))</f>
        <v>13564.798015162862</v>
      </c>
      <c r="AS233" s="732">
        <f>(AS187+AS209)*INDEX(Inflation!$D$126:$BD$166, MATCH($B233, Inflation!$B$126:$B$166,0), MATCH(AS$222, Inflation!$D$125:$BD$125,0))</f>
        <v>13889.415157649284</v>
      </c>
      <c r="AT233" s="732">
        <f>(AT187+AT209)*INDEX(Inflation!$D$126:$BD$166, MATCH($B233, Inflation!$B$126:$B$166,0), MATCH(AT$222, Inflation!$D$125:$BD$125,0))</f>
        <v>14206.53191160184</v>
      </c>
      <c r="AU233" s="732" t="e">
        <f>(AU187+AU209)*INDEX(Inflation!$D$126:$BD$166, MATCH($B233, Inflation!$B$126:$B$166,0), MATCH(AU$222, Inflation!$D$125:$BD$125,0))</f>
        <v>#N/A</v>
      </c>
      <c r="AV233" s="732" t="e">
        <f>(AV187+AV209)*INDEX(Inflation!$D$126:$BD$166, MATCH($B233, Inflation!$B$126:$B$166,0), MATCH(AV$222, Inflation!$D$125:$BD$125,0))</f>
        <v>#N/A</v>
      </c>
      <c r="AW233" s="732" t="e">
        <f>(AW187+AW209)*INDEX(Inflation!$D$126:$BD$166, MATCH($B233, Inflation!$B$126:$B$166,0), MATCH(AW$222, Inflation!$D$125:$BD$125,0))</f>
        <v>#N/A</v>
      </c>
      <c r="AX233" s="732" t="e">
        <f>(AX187+AX209)*INDEX(Inflation!$D$126:$BD$166, MATCH($B233, Inflation!$B$126:$B$166,0), MATCH(AX$222, Inflation!$D$125:$BD$125,0))</f>
        <v>#N/A</v>
      </c>
      <c r="AY233" s="732" t="e">
        <f>(AY187+AY209)*INDEX(Inflation!$D$126:$BD$166, MATCH($B233, Inflation!$B$126:$B$166,0), MATCH(AY$222, Inflation!$D$125:$BD$125,0))</f>
        <v>#N/A</v>
      </c>
      <c r="AZ233" s="732" t="e">
        <f>(AZ187+AZ209)*INDEX(Inflation!$D$126:$BD$166, MATCH($B233, Inflation!$B$126:$B$166,0), MATCH(AZ$222, Inflation!$D$125:$BD$125,0))</f>
        <v>#N/A</v>
      </c>
      <c r="BA233" s="732" t="e">
        <f>(BA187+BA209)*INDEX(Inflation!$D$126:$BD$166, MATCH($B233, Inflation!$B$126:$B$166,0), MATCH(BA$222, Inflation!$D$125:$BD$125,0))</f>
        <v>#N/A</v>
      </c>
      <c r="BB233" s="732" t="e">
        <f>(BB187+BB209)*INDEX(Inflation!$D$126:$BD$166, MATCH($B233, Inflation!$B$126:$B$166,0), MATCH(BB$222, Inflation!$D$125:$BD$125,0))</f>
        <v>#N/A</v>
      </c>
    </row>
    <row r="234" spans="2:54">
      <c r="B234" s="6" t="s">
        <v>131</v>
      </c>
      <c r="C234" s="142"/>
      <c r="D234" s="732">
        <f>(D188+D210)*INDEX(Inflation!$D$126:$BD$166, MATCH($B234, Inflation!$B$126:$B$166,0), MATCH(D$222, Inflation!$D$125:$BD$125,0))</f>
        <v>0</v>
      </c>
      <c r="E234" s="732">
        <f>(E188+E210)*INDEX(Inflation!$D$126:$BD$166, MATCH($B234, Inflation!$B$126:$B$166,0), MATCH(E$222, Inflation!$D$125:$BD$125,0))</f>
        <v>0</v>
      </c>
      <c r="F234" s="732">
        <f>(F188+F210)*INDEX(Inflation!$D$126:$BD$166, MATCH($B234, Inflation!$B$126:$B$166,0), MATCH(F$222, Inflation!$D$125:$BD$125,0))</f>
        <v>0</v>
      </c>
      <c r="G234" s="732">
        <f>(G188+G210)*INDEX(Inflation!$D$126:$BD$166, MATCH($B234, Inflation!$B$126:$B$166,0), MATCH(G$222, Inflation!$D$125:$BD$125,0))</f>
        <v>0</v>
      </c>
      <c r="H234" s="732">
        <f>(H188+H210)*INDEX(Inflation!$D$126:$BD$166, MATCH($B234, Inflation!$B$126:$B$166,0), MATCH(H$222, Inflation!$D$125:$BD$125,0))</f>
        <v>0</v>
      </c>
      <c r="I234" s="732">
        <f>(I188+I210)*INDEX(Inflation!$D$126:$BD$166, MATCH($B234, Inflation!$B$126:$B$166,0), MATCH(I$222, Inflation!$D$125:$BD$125,0))</f>
        <v>0</v>
      </c>
      <c r="J234" s="732">
        <f>(J188+J210)*INDEX(Inflation!$D$126:$BD$166, MATCH($B234, Inflation!$B$126:$B$166,0), MATCH(J$222, Inflation!$D$125:$BD$125,0))</f>
        <v>0</v>
      </c>
      <c r="K234" s="732">
        <f>(K188+K210)*INDEX(Inflation!$D$126:$BD$166, MATCH($B234, Inflation!$B$126:$B$166,0), MATCH(K$222, Inflation!$D$125:$BD$125,0))</f>
        <v>0</v>
      </c>
      <c r="L234" s="732">
        <f>(L188+L210)*INDEX(Inflation!$D$126:$BD$166, MATCH($B234, Inflation!$B$126:$B$166,0), MATCH(L$222, Inflation!$D$125:$BD$125,0))</f>
        <v>0</v>
      </c>
      <c r="M234" s="732">
        <f>(M188+M210)*INDEX(Inflation!$D$126:$BD$166, MATCH($B234, Inflation!$B$126:$B$166,0), MATCH(M$222, Inflation!$D$125:$BD$125,0))</f>
        <v>0</v>
      </c>
      <c r="N234" s="732">
        <f>(N188+N210)*INDEX(Inflation!$D$126:$BD$166, MATCH($B234, Inflation!$B$126:$B$166,0), MATCH(N$222, Inflation!$D$125:$BD$125,0))</f>
        <v>0</v>
      </c>
      <c r="O234" s="732">
        <f>(O188+O210)*INDEX(Inflation!$D$126:$BD$166, MATCH($B234, Inflation!$B$126:$B$166,0), MATCH(O$222, Inflation!$D$125:$BD$125,0))</f>
        <v>0</v>
      </c>
      <c r="P234" s="732">
        <f>(P188+P210)*INDEX(Inflation!$D$126:$BD$166, MATCH($B234, Inflation!$B$126:$B$166,0), MATCH(P$222, Inflation!$D$125:$BD$125,0))</f>
        <v>0</v>
      </c>
      <c r="Q234" s="732">
        <f>(Q188+Q210)*INDEX(Inflation!$D$126:$BD$166, MATCH($B234, Inflation!$B$126:$B$166,0), MATCH(Q$222, Inflation!$D$125:$BD$125,0))</f>
        <v>0</v>
      </c>
      <c r="R234" s="732">
        <f>(R188+R210)*INDEX(Inflation!$D$126:$BD$166, MATCH($B234, Inflation!$B$126:$B$166,0), MATCH(R$222, Inflation!$D$125:$BD$125,0))</f>
        <v>0</v>
      </c>
      <c r="S234" s="732">
        <f>(S188+S210)*INDEX(Inflation!$D$126:$BD$166, MATCH($B234, Inflation!$B$126:$B$166,0), MATCH(S$222, Inflation!$D$125:$BD$125,0))</f>
        <v>0</v>
      </c>
      <c r="T234" s="732">
        <f>(T188+T210)*INDEX(Inflation!$D$126:$BD$166, MATCH($B234, Inflation!$B$126:$B$166,0), MATCH(T$222, Inflation!$D$125:$BD$125,0))</f>
        <v>0</v>
      </c>
      <c r="U234" s="732">
        <f>(U188+U210)*INDEX(Inflation!$D$126:$BD$166, MATCH($B234, Inflation!$B$126:$B$166,0), MATCH(U$222, Inflation!$D$125:$BD$125,0))</f>
        <v>0</v>
      </c>
      <c r="V234" s="732">
        <f>(V188+V210)*INDEX(Inflation!$D$126:$BD$166, MATCH($B234, Inflation!$B$126:$B$166,0), MATCH(V$222, Inflation!$D$125:$BD$125,0))</f>
        <v>0</v>
      </c>
      <c r="W234" s="732">
        <f>(W188+W210)*INDEX(Inflation!$D$126:$BD$166, MATCH($B234, Inflation!$B$126:$B$166,0), MATCH(W$222, Inflation!$D$125:$BD$125,0))</f>
        <v>0</v>
      </c>
      <c r="X234" s="732">
        <f>(X188+X210)*INDEX(Inflation!$D$126:$BD$166, MATCH($B234, Inflation!$B$126:$B$166,0), MATCH(X$222, Inflation!$D$125:$BD$125,0))</f>
        <v>0</v>
      </c>
      <c r="Y234" s="732">
        <f>(Y188+Y210)*INDEX(Inflation!$D$126:$BD$166, MATCH($B234, Inflation!$B$126:$B$166,0), MATCH(Y$222, Inflation!$D$125:$BD$125,0))</f>
        <v>0</v>
      </c>
      <c r="Z234" s="732">
        <f>(Z188+Z210)*INDEX(Inflation!$D$126:$BD$166, MATCH($B234, Inflation!$B$126:$B$166,0), MATCH(Z$222, Inflation!$D$125:$BD$125,0))</f>
        <v>0</v>
      </c>
      <c r="AA234" s="732">
        <f>(AA188+AA210)*INDEX(Inflation!$D$126:$BD$166, MATCH($B234, Inflation!$B$126:$B$166,0), MATCH(AA$222, Inflation!$D$125:$BD$125,0))</f>
        <v>0</v>
      </c>
      <c r="AB234" s="732">
        <f>(AB188+AB210)*INDEX(Inflation!$D$126:$BD$166, MATCH($B234, Inflation!$B$126:$B$166,0), MATCH(AB$222, Inflation!$D$125:$BD$125,0))</f>
        <v>0</v>
      </c>
      <c r="AC234" s="732">
        <f>(AC188+AC210)*INDEX(Inflation!$D$126:$BD$166, MATCH($B234, Inflation!$B$126:$B$166,0), MATCH(AC$222, Inflation!$D$125:$BD$125,0))</f>
        <v>0</v>
      </c>
      <c r="AD234" s="732">
        <f>(AD188+AD210)*INDEX(Inflation!$D$126:$BD$166, MATCH($B234, Inflation!$B$126:$B$166,0), MATCH(AD$222, Inflation!$D$125:$BD$125,0))</f>
        <v>0</v>
      </c>
      <c r="AE234" s="732">
        <f>(AE188+AE210)*INDEX(Inflation!$D$126:$BD$166, MATCH($B234, Inflation!$B$126:$B$166,0), MATCH(AE$222, Inflation!$D$125:$BD$125,0))</f>
        <v>0</v>
      </c>
      <c r="AF234" s="732">
        <f>(AF188+AF210)*INDEX(Inflation!$D$126:$BD$166, MATCH($B234, Inflation!$B$126:$B$166,0), MATCH(AF$222, Inflation!$D$125:$BD$125,0))</f>
        <v>0</v>
      </c>
      <c r="AG234" s="732">
        <f>(AG188+AG210)*INDEX(Inflation!$D$126:$BD$166, MATCH($B234, Inflation!$B$126:$B$166,0), MATCH(AG$222, Inflation!$D$125:$BD$125,0))</f>
        <v>0</v>
      </c>
      <c r="AH234" s="732">
        <f>(AH188+AH210)*INDEX(Inflation!$D$126:$BD$166, MATCH($B234, Inflation!$B$126:$B$166,0), MATCH(AH$222, Inflation!$D$125:$BD$125,0))</f>
        <v>0</v>
      </c>
      <c r="AI234" s="732">
        <f>(AI188+AI210)*INDEX(Inflation!$D$126:$BD$166, MATCH($B234, Inflation!$B$126:$B$166,0), MATCH(AI$222, Inflation!$D$125:$BD$125,0))</f>
        <v>0</v>
      </c>
      <c r="AJ234" s="732">
        <f>(AJ188+AJ210)*INDEX(Inflation!$D$126:$BD$166, MATCH($B234, Inflation!$B$126:$B$166,0), MATCH(AJ$222, Inflation!$D$125:$BD$125,0))</f>
        <v>0</v>
      </c>
      <c r="AK234" s="732">
        <f>(AK188+AK210)*INDEX(Inflation!$D$126:$BD$166, MATCH($B234, Inflation!$B$126:$B$166,0), MATCH(AK$222, Inflation!$D$125:$BD$125,0))</f>
        <v>0</v>
      </c>
      <c r="AL234" s="732">
        <f>(AL188+AL210)*INDEX(Inflation!$D$126:$BD$166, MATCH($B234, Inflation!$B$126:$B$166,0), MATCH(AL$222, Inflation!$D$125:$BD$125,0))</f>
        <v>0</v>
      </c>
      <c r="AM234" s="732">
        <f>(AM188+AM210)*INDEX(Inflation!$D$126:$BD$166, MATCH($B234, Inflation!$B$126:$B$166,0), MATCH(AM$222, Inflation!$D$125:$BD$125,0))</f>
        <v>0</v>
      </c>
      <c r="AN234" s="732">
        <f>(AN188+AN210)*INDEX(Inflation!$D$126:$BD$166, MATCH($B234, Inflation!$B$126:$B$166,0), MATCH(AN$222, Inflation!$D$125:$BD$125,0))</f>
        <v>0</v>
      </c>
      <c r="AO234" s="732">
        <f>(AO188+AO210)*INDEX(Inflation!$D$126:$BD$166, MATCH($B234, Inflation!$B$126:$B$166,0), MATCH(AO$222, Inflation!$D$125:$BD$125,0))</f>
        <v>0</v>
      </c>
      <c r="AP234" s="732">
        <f>(AP188+AP210)*INDEX(Inflation!$D$126:$BD$166, MATCH($B234, Inflation!$B$126:$B$166,0), MATCH(AP$222, Inflation!$D$125:$BD$125,0))</f>
        <v>0</v>
      </c>
      <c r="AQ234" s="732">
        <f>(AQ188+AQ210)*INDEX(Inflation!$D$126:$BD$166, MATCH($B234, Inflation!$B$126:$B$166,0), MATCH(AQ$222, Inflation!$D$125:$BD$125,0))</f>
        <v>0</v>
      </c>
      <c r="AR234" s="732">
        <f>(AR188+AR210)*INDEX(Inflation!$D$126:$BD$166, MATCH($B234, Inflation!$B$126:$B$166,0), MATCH(AR$222, Inflation!$D$125:$BD$125,0))</f>
        <v>0</v>
      </c>
      <c r="AS234" s="732">
        <f>(AS188+AS210)*INDEX(Inflation!$D$126:$BD$166, MATCH($B234, Inflation!$B$126:$B$166,0), MATCH(AS$222, Inflation!$D$125:$BD$125,0))</f>
        <v>0</v>
      </c>
      <c r="AT234" s="732">
        <f>(AT188+AT210)*INDEX(Inflation!$D$126:$BD$166, MATCH($B234, Inflation!$B$126:$B$166,0), MATCH(AT$222, Inflation!$D$125:$BD$125,0))</f>
        <v>0</v>
      </c>
      <c r="AU234" s="732" t="e">
        <f>(AU188+AU210)*INDEX(Inflation!$D$126:$BD$166, MATCH($B234, Inflation!$B$126:$B$166,0), MATCH(AU$222, Inflation!$D$125:$BD$125,0))</f>
        <v>#N/A</v>
      </c>
      <c r="AV234" s="732" t="e">
        <f>(AV188+AV210)*INDEX(Inflation!$D$126:$BD$166, MATCH($B234, Inflation!$B$126:$B$166,0), MATCH(AV$222, Inflation!$D$125:$BD$125,0))</f>
        <v>#N/A</v>
      </c>
      <c r="AW234" s="732" t="e">
        <f>(AW188+AW210)*INDEX(Inflation!$D$126:$BD$166, MATCH($B234, Inflation!$B$126:$B$166,0), MATCH(AW$222, Inflation!$D$125:$BD$125,0))</f>
        <v>#N/A</v>
      </c>
      <c r="AX234" s="732" t="e">
        <f>(AX188+AX210)*INDEX(Inflation!$D$126:$BD$166, MATCH($B234, Inflation!$B$126:$B$166,0), MATCH(AX$222, Inflation!$D$125:$BD$125,0))</f>
        <v>#N/A</v>
      </c>
      <c r="AY234" s="732" t="e">
        <f>(AY188+AY210)*INDEX(Inflation!$D$126:$BD$166, MATCH($B234, Inflation!$B$126:$B$166,0), MATCH(AY$222, Inflation!$D$125:$BD$125,0))</f>
        <v>#N/A</v>
      </c>
      <c r="AZ234" s="732" t="e">
        <f>(AZ188+AZ210)*INDEX(Inflation!$D$126:$BD$166, MATCH($B234, Inflation!$B$126:$B$166,0), MATCH(AZ$222, Inflation!$D$125:$BD$125,0))</f>
        <v>#N/A</v>
      </c>
      <c r="BA234" s="732" t="e">
        <f>(BA188+BA210)*INDEX(Inflation!$D$126:$BD$166, MATCH($B234, Inflation!$B$126:$B$166,0), MATCH(BA$222, Inflation!$D$125:$BD$125,0))</f>
        <v>#N/A</v>
      </c>
      <c r="BB234" s="732" t="e">
        <f>(BB188+BB210)*INDEX(Inflation!$D$126:$BD$166, MATCH($B234, Inflation!$B$126:$B$166,0), MATCH(BB$222, Inflation!$D$125:$BD$125,0))</f>
        <v>#N/A</v>
      </c>
    </row>
    <row r="235" spans="2:54" ht="29">
      <c r="B235" s="6" t="s">
        <v>2869</v>
      </c>
      <c r="C235" s="142"/>
      <c r="D235" s="732">
        <f>(D189+D211)*INDEX(Inflation!$D$126:$BD$166, MATCH($B235, Inflation!$B$126:$B$166,0), MATCH(D$222, Inflation!$D$125:$BD$125,0))</f>
        <v>24071.820426484315</v>
      </c>
      <c r="E235" s="732">
        <f>(E189+E211)*INDEX(Inflation!$D$126:$BD$166, MATCH($B235, Inflation!$B$126:$B$166,0), MATCH(E$222, Inflation!$D$125:$BD$125,0))</f>
        <v>25472.072733070185</v>
      </c>
      <c r="F235" s="732">
        <f>(F189+F211)*INDEX(Inflation!$D$126:$BD$166, MATCH($B235, Inflation!$B$126:$B$166,0), MATCH(F$222, Inflation!$D$125:$BD$125,0))</f>
        <v>26785.803339697966</v>
      </c>
      <c r="G235" s="732">
        <f>(G189+G211)*INDEX(Inflation!$D$126:$BD$166, MATCH($B235, Inflation!$B$126:$B$166,0), MATCH(G$222, Inflation!$D$125:$BD$125,0))</f>
        <v>28045.403502505</v>
      </c>
      <c r="H235" s="732">
        <f>(H189+H211)*INDEX(Inflation!$D$126:$BD$166, MATCH($B235, Inflation!$B$126:$B$166,0), MATCH(H$222, Inflation!$D$125:$BD$125,0))</f>
        <v>29283.201430220088</v>
      </c>
      <c r="I235" s="732">
        <f>(I189+I211)*INDEX(Inflation!$D$126:$BD$166, MATCH($B235, Inflation!$B$126:$B$166,0), MATCH(I$222, Inflation!$D$125:$BD$125,0))</f>
        <v>30518.721805091202</v>
      </c>
      <c r="J235" s="732">
        <f>(J189+J211)*INDEX(Inflation!$D$126:$BD$166, MATCH($B235, Inflation!$B$126:$B$166,0), MATCH(J$222, Inflation!$D$125:$BD$125,0))</f>
        <v>31753.689379087285</v>
      </c>
      <c r="K235" s="732">
        <f>(K189+K211)*INDEX(Inflation!$D$126:$BD$166, MATCH($B235, Inflation!$B$126:$B$166,0), MATCH(K$222, Inflation!$D$125:$BD$125,0))</f>
        <v>32998.430796211869</v>
      </c>
      <c r="L235" s="732">
        <f>(L189+L211)*INDEX(Inflation!$D$126:$BD$166, MATCH($B235, Inflation!$B$126:$B$166,0), MATCH(L$222, Inflation!$D$125:$BD$125,0))</f>
        <v>34312.386522969646</v>
      </c>
      <c r="M235" s="732">
        <f>(M189+M211)*INDEX(Inflation!$D$126:$BD$166, MATCH($B235, Inflation!$B$126:$B$166,0), MATCH(M$222, Inflation!$D$125:$BD$125,0))</f>
        <v>35662.469170328055</v>
      </c>
      <c r="N235" s="732">
        <f>(N189+N211)*INDEX(Inflation!$D$126:$BD$166, MATCH($B235, Inflation!$B$126:$B$166,0), MATCH(N$222, Inflation!$D$125:$BD$125,0))</f>
        <v>37032.148637253355</v>
      </c>
      <c r="O235" s="732">
        <f>(O189+O211)*INDEX(Inflation!$D$126:$BD$166, MATCH($B235, Inflation!$B$126:$B$166,0), MATCH(O$222, Inflation!$D$125:$BD$125,0))</f>
        <v>38414.036372312788</v>
      </c>
      <c r="P235" s="732">
        <f>(P189+P211)*INDEX(Inflation!$D$126:$BD$166, MATCH($B235, Inflation!$B$126:$B$166,0), MATCH(P$222, Inflation!$D$125:$BD$125,0))</f>
        <v>39803.351439187783</v>
      </c>
      <c r="Q235" s="732">
        <f>(Q189+Q211)*INDEX(Inflation!$D$126:$BD$166, MATCH($B235, Inflation!$B$126:$B$166,0), MATCH(Q$222, Inflation!$D$125:$BD$125,0))</f>
        <v>41210.954570838257</v>
      </c>
      <c r="R235" s="732">
        <f>(R189+R211)*INDEX(Inflation!$D$126:$BD$166, MATCH($B235, Inflation!$B$126:$B$166,0), MATCH(R$222, Inflation!$D$125:$BD$125,0))</f>
        <v>42650.305947580317</v>
      </c>
      <c r="S235" s="732">
        <f>(S189+S211)*INDEX(Inflation!$D$126:$BD$166, MATCH($B235, Inflation!$B$126:$B$166,0), MATCH(S$222, Inflation!$D$125:$BD$125,0))</f>
        <v>44124.195324975655</v>
      </c>
      <c r="T235" s="732">
        <f>(T189+T211)*INDEX(Inflation!$D$126:$BD$166, MATCH($B235, Inflation!$B$126:$B$166,0), MATCH(T$222, Inflation!$D$125:$BD$125,0))</f>
        <v>45622.696323167969</v>
      </c>
      <c r="U235" s="732">
        <f>(U189+U211)*INDEX(Inflation!$D$126:$BD$166, MATCH($B235, Inflation!$B$126:$B$166,0), MATCH(U$222, Inflation!$D$125:$BD$125,0))</f>
        <v>47147.871122719669</v>
      </c>
      <c r="V235" s="732">
        <f>(V189+V211)*INDEX(Inflation!$D$126:$BD$166, MATCH($B235, Inflation!$B$126:$B$166,0), MATCH(V$222, Inflation!$D$125:$BD$125,0))</f>
        <v>48727.009685952646</v>
      </c>
      <c r="W235" s="732">
        <f>(W189+W211)*INDEX(Inflation!$D$126:$BD$166, MATCH($B235, Inflation!$B$126:$B$166,0), MATCH(W$222, Inflation!$D$125:$BD$125,0))</f>
        <v>50339.169036368439</v>
      </c>
      <c r="X235" s="732">
        <f>(X189+X211)*INDEX(Inflation!$D$126:$BD$166, MATCH($B235, Inflation!$B$126:$B$166,0), MATCH(X$222, Inflation!$D$125:$BD$125,0))</f>
        <v>51978.29675403842</v>
      </c>
      <c r="Y235" s="732">
        <f>(Y189+Y211)*INDEX(Inflation!$D$126:$BD$166, MATCH($B235, Inflation!$B$126:$B$166,0), MATCH(Y$222, Inflation!$D$125:$BD$125,0))</f>
        <v>53643.495673115583</v>
      </c>
      <c r="Z235" s="732">
        <f>(Z189+Z211)*INDEX(Inflation!$D$126:$BD$166, MATCH($B235, Inflation!$B$126:$B$166,0), MATCH(Z$222, Inflation!$D$125:$BD$125,0))</f>
        <v>55346.511094548681</v>
      </c>
      <c r="AA235" s="732">
        <f>(AA189+AA211)*INDEX(Inflation!$D$126:$BD$166, MATCH($B235, Inflation!$B$126:$B$166,0), MATCH(AA$222, Inflation!$D$125:$BD$125,0))</f>
        <v>57085.455236727175</v>
      </c>
      <c r="AB235" s="732">
        <f>(AB189+AB211)*INDEX(Inflation!$D$126:$BD$166, MATCH($B235, Inflation!$B$126:$B$166,0), MATCH(AB$222, Inflation!$D$125:$BD$125,0))</f>
        <v>58855.963243430764</v>
      </c>
      <c r="AC235" s="732">
        <f>(AC189+AC211)*INDEX(Inflation!$D$126:$BD$166, MATCH($B235, Inflation!$B$126:$B$166,0), MATCH(AC$222, Inflation!$D$125:$BD$125,0))</f>
        <v>60654.411643326108</v>
      </c>
      <c r="AD235" s="732">
        <f>(AD189+AD211)*INDEX(Inflation!$D$126:$BD$166, MATCH($B235, Inflation!$B$126:$B$166,0), MATCH(AD$222, Inflation!$D$125:$BD$125,0))</f>
        <v>62476.860874512196</v>
      </c>
      <c r="AE235" s="732">
        <f>(AE189+AE211)*INDEX(Inflation!$D$126:$BD$166, MATCH($B235, Inflation!$B$126:$B$166,0), MATCH(AE$222, Inflation!$D$125:$BD$125,0))</f>
        <v>64320.114220002702</v>
      </c>
      <c r="AF235" s="732">
        <f>(AF189+AF211)*INDEX(Inflation!$D$126:$BD$166, MATCH($B235, Inflation!$B$126:$B$166,0), MATCH(AF$222, Inflation!$D$125:$BD$125,0))</f>
        <v>66181.00275992461</v>
      </c>
      <c r="AG235" s="732">
        <f>(AG189+AG211)*INDEX(Inflation!$D$126:$BD$166, MATCH($B235, Inflation!$B$126:$B$166,0), MATCH(AG$222, Inflation!$D$125:$BD$125,0))</f>
        <v>68061.382103450553</v>
      </c>
      <c r="AH235" s="732">
        <f>(AH189+AH211)*INDEX(Inflation!$D$126:$BD$166, MATCH($B235, Inflation!$B$126:$B$166,0), MATCH(AH$222, Inflation!$D$125:$BD$125,0))</f>
        <v>69973.376687895565</v>
      </c>
      <c r="AI235" s="732">
        <f>(AI189+AI211)*INDEX(Inflation!$D$126:$BD$166, MATCH($B235, Inflation!$B$126:$B$166,0), MATCH(AI$222, Inflation!$D$125:$BD$125,0))</f>
        <v>71918.659770676895</v>
      </c>
      <c r="AJ235" s="732">
        <f>(AJ189+AJ211)*INDEX(Inflation!$D$126:$BD$166, MATCH($B235, Inflation!$B$126:$B$166,0), MATCH(AJ$222, Inflation!$D$125:$BD$125,0))</f>
        <v>73902.436998501595</v>
      </c>
      <c r="AK235" s="732">
        <f>(AK189+AK211)*INDEX(Inflation!$D$126:$BD$166, MATCH($B235, Inflation!$B$126:$B$166,0), MATCH(AK$222, Inflation!$D$125:$BD$125,0))</f>
        <v>75910.418197358798</v>
      </c>
      <c r="AL235" s="732">
        <f>(AL189+AL211)*INDEX(Inflation!$D$126:$BD$166, MATCH($B235, Inflation!$B$126:$B$166,0), MATCH(AL$222, Inflation!$D$125:$BD$125,0))</f>
        <v>77930.733755924026</v>
      </c>
      <c r="AM235" s="732">
        <f>(AM189+AM211)*INDEX(Inflation!$D$126:$BD$166, MATCH($B235, Inflation!$B$126:$B$166,0), MATCH(AM$222, Inflation!$D$125:$BD$125,0))</f>
        <v>79954.388960581477</v>
      </c>
      <c r="AN235" s="732">
        <f>(AN189+AN211)*INDEX(Inflation!$D$126:$BD$166, MATCH($B235, Inflation!$B$126:$B$166,0), MATCH(AN$222, Inflation!$D$125:$BD$125,0))</f>
        <v>81984.748619034377</v>
      </c>
      <c r="AO235" s="732">
        <f>(AO189+AO211)*INDEX(Inflation!$D$126:$BD$166, MATCH($B235, Inflation!$B$126:$B$166,0), MATCH(AO$222, Inflation!$D$125:$BD$125,0))</f>
        <v>84021.640767694393</v>
      </c>
      <c r="AP235" s="732">
        <f>(AP189+AP211)*INDEX(Inflation!$D$126:$BD$166, MATCH($B235, Inflation!$B$126:$B$166,0), MATCH(AP$222, Inflation!$D$125:$BD$125,0))</f>
        <v>86061.725058017764</v>
      </c>
      <c r="AQ235" s="732">
        <f>(AQ189+AQ211)*INDEX(Inflation!$D$126:$BD$166, MATCH($B235, Inflation!$B$126:$B$166,0), MATCH(AQ$222, Inflation!$D$125:$BD$125,0))</f>
        <v>88121.724656839404</v>
      </c>
      <c r="AR235" s="732">
        <f>(AR189+AR211)*INDEX(Inflation!$D$126:$BD$166, MATCH($B235, Inflation!$B$126:$B$166,0), MATCH(AR$222, Inflation!$D$125:$BD$125,0))</f>
        <v>90221.952070406434</v>
      </c>
      <c r="AS235" s="732">
        <f>(AS189+AS211)*INDEX(Inflation!$D$126:$BD$166, MATCH($B235, Inflation!$B$126:$B$166,0), MATCH(AS$222, Inflation!$D$125:$BD$125,0))</f>
        <v>92380.117710047809</v>
      </c>
      <c r="AT235" s="732">
        <f>(AT189+AT211)*INDEX(Inflation!$D$126:$BD$166, MATCH($B235, Inflation!$B$126:$B$166,0), MATCH(AT$222, Inflation!$D$125:$BD$125,0))</f>
        <v>94487.972941504675</v>
      </c>
      <c r="AU235" s="732" t="e">
        <f>(AU189+AU211)*INDEX(Inflation!$D$126:$BD$166, MATCH($B235, Inflation!$B$126:$B$166,0), MATCH(AU$222, Inflation!$D$125:$BD$125,0))</f>
        <v>#N/A</v>
      </c>
      <c r="AV235" s="732" t="e">
        <f>(AV189+AV211)*INDEX(Inflation!$D$126:$BD$166, MATCH($B235, Inflation!$B$126:$B$166,0), MATCH(AV$222, Inflation!$D$125:$BD$125,0))</f>
        <v>#N/A</v>
      </c>
      <c r="AW235" s="732" t="e">
        <f>(AW189+AW211)*INDEX(Inflation!$D$126:$BD$166, MATCH($B235, Inflation!$B$126:$B$166,0), MATCH(AW$222, Inflation!$D$125:$BD$125,0))</f>
        <v>#N/A</v>
      </c>
      <c r="AX235" s="732" t="e">
        <f>(AX189+AX211)*INDEX(Inflation!$D$126:$BD$166, MATCH($B235, Inflation!$B$126:$B$166,0), MATCH(AX$222, Inflation!$D$125:$BD$125,0))</f>
        <v>#N/A</v>
      </c>
      <c r="AY235" s="732" t="e">
        <f>(AY189+AY211)*INDEX(Inflation!$D$126:$BD$166, MATCH($B235, Inflation!$B$126:$B$166,0), MATCH(AY$222, Inflation!$D$125:$BD$125,0))</f>
        <v>#N/A</v>
      </c>
      <c r="AZ235" s="732" t="e">
        <f>(AZ189+AZ211)*INDEX(Inflation!$D$126:$BD$166, MATCH($B235, Inflation!$B$126:$B$166,0), MATCH(AZ$222, Inflation!$D$125:$BD$125,0))</f>
        <v>#N/A</v>
      </c>
      <c r="BA235" s="732" t="e">
        <f>(BA189+BA211)*INDEX(Inflation!$D$126:$BD$166, MATCH($B235, Inflation!$B$126:$B$166,0), MATCH(BA$222, Inflation!$D$125:$BD$125,0))</f>
        <v>#N/A</v>
      </c>
      <c r="BB235" s="732" t="e">
        <f>(BB189+BB211)*INDEX(Inflation!$D$126:$BD$166, MATCH($B235, Inflation!$B$126:$B$166,0), MATCH(BB$222, Inflation!$D$125:$BD$125,0))</f>
        <v>#N/A</v>
      </c>
    </row>
    <row r="236" spans="2:54" ht="29">
      <c r="B236" s="6" t="s">
        <v>2870</v>
      </c>
      <c r="C236" s="142"/>
      <c r="D236" s="732">
        <f>(D190+D212)*INDEX(Inflation!$D$126:$BD$166, MATCH($B236, Inflation!$B$126:$B$166,0), MATCH(D$222, Inflation!$D$125:$BD$125,0))</f>
        <v>11765.21331279281</v>
      </c>
      <c r="E236" s="732">
        <f>(E190+E212)*INDEX(Inflation!$D$126:$BD$166, MATCH($B236, Inflation!$B$126:$B$166,0), MATCH(E$222, Inflation!$D$125:$BD$125,0))</f>
        <v>12449.593089097036</v>
      </c>
      <c r="F236" s="732">
        <f>(F190+F212)*INDEX(Inflation!$D$126:$BD$166, MATCH($B236, Inflation!$B$126:$B$166,0), MATCH(F$222, Inflation!$D$125:$BD$125,0))</f>
        <v>13091.684985292608</v>
      </c>
      <c r="G236" s="732">
        <f>(G190+G212)*INDEX(Inflation!$D$126:$BD$166, MATCH($B236, Inflation!$B$126:$B$166,0), MATCH(G$222, Inflation!$D$125:$BD$125,0))</f>
        <v>13707.320377286002</v>
      </c>
      <c r="H236" s="732">
        <f>(H190+H212)*INDEX(Inflation!$D$126:$BD$166, MATCH($B236, Inflation!$B$126:$B$166,0), MATCH(H$222, Inflation!$D$125:$BD$125,0))</f>
        <v>14312.299826271856</v>
      </c>
      <c r="I236" s="732">
        <f>(I190+I212)*INDEX(Inflation!$D$126:$BD$166, MATCH($B236, Inflation!$B$126:$B$166,0), MATCH(I$222, Inflation!$D$125:$BD$125,0))</f>
        <v>14916.166110795455</v>
      </c>
      <c r="J236" s="732">
        <f>(J190+J212)*INDEX(Inflation!$D$126:$BD$166, MATCH($B236, Inflation!$B$126:$B$166,0), MATCH(J$222, Inflation!$D$125:$BD$125,0))</f>
        <v>15519.762211340485</v>
      </c>
      <c r="K236" s="732">
        <f>(K190+K212)*INDEX(Inflation!$D$126:$BD$166, MATCH($B236, Inflation!$B$126:$B$166,0), MATCH(K$222, Inflation!$D$125:$BD$125,0))</f>
        <v>16128.135322815942</v>
      </c>
      <c r="L236" s="732">
        <f>(L190+L212)*INDEX(Inflation!$D$126:$BD$166, MATCH($B236, Inflation!$B$126:$B$166,0), MATCH(L$222, Inflation!$D$125:$BD$125,0))</f>
        <v>16770.337247513864</v>
      </c>
      <c r="M236" s="732">
        <f>(M190+M212)*INDEX(Inflation!$D$126:$BD$166, MATCH($B236, Inflation!$B$126:$B$166,0), MATCH(M$222, Inflation!$D$125:$BD$125,0))</f>
        <v>17430.196371362919</v>
      </c>
      <c r="N236" s="732">
        <f>(N190+N212)*INDEX(Inflation!$D$126:$BD$166, MATCH($B236, Inflation!$B$126:$B$166,0), MATCH(N$222, Inflation!$D$125:$BD$125,0))</f>
        <v>18099.633531204756</v>
      </c>
      <c r="O236" s="732">
        <f>(O190+O212)*INDEX(Inflation!$D$126:$BD$166, MATCH($B236, Inflation!$B$126:$B$166,0), MATCH(O$222, Inflation!$D$125:$BD$125,0))</f>
        <v>18775.037538432181</v>
      </c>
      <c r="P236" s="732">
        <f>(P190+P212)*INDEX(Inflation!$D$126:$BD$166, MATCH($B236, Inflation!$B$126:$B$166,0), MATCH(P$222, Inflation!$D$125:$BD$125,0))</f>
        <v>19454.071688357857</v>
      </c>
      <c r="Q236" s="732">
        <f>(Q190+Q212)*INDEX(Inflation!$D$126:$BD$166, MATCH($B236, Inflation!$B$126:$B$166,0), MATCH(Q$222, Inflation!$D$125:$BD$125,0))</f>
        <v>20142.044214332775</v>
      </c>
      <c r="R236" s="732">
        <f>(R190+R212)*INDEX(Inflation!$D$126:$BD$166, MATCH($B236, Inflation!$B$126:$B$166,0), MATCH(R$222, Inflation!$D$125:$BD$125,0))</f>
        <v>20845.533841598393</v>
      </c>
      <c r="S236" s="732">
        <f>(S190+S212)*INDEX(Inflation!$D$126:$BD$166, MATCH($B236, Inflation!$B$126:$B$166,0), MATCH(S$222, Inflation!$D$125:$BD$125,0))</f>
        <v>21565.904076058803</v>
      </c>
      <c r="T236" s="732">
        <f>(T190+T212)*INDEX(Inflation!$D$126:$BD$166, MATCH($B236, Inflation!$B$126:$B$166,0), MATCH(T$222, Inflation!$D$125:$BD$125,0))</f>
        <v>22298.303353754</v>
      </c>
      <c r="U236" s="732">
        <f>(U190+U212)*INDEX(Inflation!$D$126:$BD$166, MATCH($B236, Inflation!$B$126:$B$166,0), MATCH(U$222, Inflation!$D$125:$BD$125,0))</f>
        <v>23043.739574949774</v>
      </c>
      <c r="V236" s="732">
        <f>(V190+V212)*INDEX(Inflation!$D$126:$BD$166, MATCH($B236, Inflation!$B$126:$B$166,0), MATCH(V$222, Inflation!$D$125:$BD$125,0))</f>
        <v>23815.550834660415</v>
      </c>
      <c r="W236" s="732">
        <f>(W190+W212)*INDEX(Inflation!$D$126:$BD$166, MATCH($B236, Inflation!$B$126:$B$166,0), MATCH(W$222, Inflation!$D$125:$BD$125,0))</f>
        <v>24603.501156480987</v>
      </c>
      <c r="X236" s="732">
        <f>(X190+X212)*INDEX(Inflation!$D$126:$BD$166, MATCH($B236, Inflation!$B$126:$B$166,0), MATCH(X$222, Inflation!$D$125:$BD$125,0))</f>
        <v>25404.632392242496</v>
      </c>
      <c r="Y236" s="732">
        <f>(Y190+Y212)*INDEX(Inflation!$D$126:$BD$166, MATCH($B236, Inflation!$B$126:$B$166,0), MATCH(Y$222, Inflation!$D$125:$BD$125,0))</f>
        <v>26218.506047997249</v>
      </c>
      <c r="Z236" s="732">
        <f>(Z190+Z212)*INDEX(Inflation!$D$126:$BD$166, MATCH($B236, Inflation!$B$126:$B$166,0), MATCH(Z$222, Inflation!$D$125:$BD$125,0))</f>
        <v>27050.862693782616</v>
      </c>
      <c r="AA236" s="732">
        <f>(AA190+AA212)*INDEX(Inflation!$D$126:$BD$166, MATCH($B236, Inflation!$B$126:$B$166,0), MATCH(AA$222, Inflation!$D$125:$BD$125,0))</f>
        <v>27900.77966762528</v>
      </c>
      <c r="AB236" s="732">
        <f>(AB190+AB212)*INDEX(Inflation!$D$126:$BD$166, MATCH($B236, Inflation!$B$126:$B$166,0), MATCH(AB$222, Inflation!$D$125:$BD$125,0))</f>
        <v>28766.123625905941</v>
      </c>
      <c r="AC236" s="732">
        <f>(AC190+AC212)*INDEX(Inflation!$D$126:$BD$166, MATCH($B236, Inflation!$B$126:$B$166,0), MATCH(AC$222, Inflation!$D$125:$BD$125,0))</f>
        <v>29645.12358028995</v>
      </c>
      <c r="AD236" s="732">
        <f>(AD190+AD212)*INDEX(Inflation!$D$126:$BD$166, MATCH($B236, Inflation!$B$126:$B$166,0), MATCH(AD$222, Inflation!$D$125:$BD$125,0))</f>
        <v>30535.85405171907</v>
      </c>
      <c r="AE236" s="732">
        <f>(AE190+AE212)*INDEX(Inflation!$D$126:$BD$166, MATCH($B236, Inflation!$B$126:$B$166,0), MATCH(AE$222, Inflation!$D$125:$BD$125,0))</f>
        <v>31436.752630015006</v>
      </c>
      <c r="AF236" s="732">
        <f>(AF190+AF212)*INDEX(Inflation!$D$126:$BD$166, MATCH($B236, Inflation!$B$126:$B$166,0), MATCH(AF$222, Inflation!$D$125:$BD$125,0))</f>
        <v>32346.270490966846</v>
      </c>
      <c r="AG236" s="732">
        <f>(AG190+AG212)*INDEX(Inflation!$D$126:$BD$166, MATCH($B236, Inflation!$B$126:$B$166,0), MATCH(AG$222, Inflation!$D$125:$BD$125,0))</f>
        <v>33265.314572120413</v>
      </c>
      <c r="AH236" s="732">
        <f>(AH190+AH212)*INDEX(Inflation!$D$126:$BD$166, MATCH($B236, Inflation!$B$126:$B$166,0), MATCH(AH$222, Inflation!$D$125:$BD$125,0))</f>
        <v>34199.810748161624</v>
      </c>
      <c r="AI236" s="732">
        <f>(AI190+AI212)*INDEX(Inflation!$D$126:$BD$166, MATCH($B236, Inflation!$B$126:$B$166,0), MATCH(AI$222, Inflation!$D$125:$BD$125,0))</f>
        <v>35150.57683137439</v>
      </c>
      <c r="AJ236" s="732">
        <f>(AJ190+AJ212)*INDEX(Inflation!$D$126:$BD$166, MATCH($B236, Inflation!$B$126:$B$166,0), MATCH(AJ$222, Inflation!$D$125:$BD$125,0))</f>
        <v>36120.157105608232</v>
      </c>
      <c r="AK236" s="732">
        <f>(AK190+AK212)*INDEX(Inflation!$D$126:$BD$166, MATCH($B236, Inflation!$B$126:$B$166,0), MATCH(AK$222, Inflation!$D$125:$BD$125,0))</f>
        <v>37101.56718237335</v>
      </c>
      <c r="AL236" s="732">
        <f>(AL190+AL212)*INDEX(Inflation!$D$126:$BD$166, MATCH($B236, Inflation!$B$126:$B$166,0), MATCH(AL$222, Inflation!$D$125:$BD$125,0))</f>
        <v>38089.005734362661</v>
      </c>
      <c r="AM236" s="732">
        <f>(AM190+AM212)*INDEX(Inflation!$D$126:$BD$166, MATCH($B236, Inflation!$B$126:$B$166,0), MATCH(AM$222, Inflation!$D$125:$BD$125,0))</f>
        <v>39078.076553790313</v>
      </c>
      <c r="AN236" s="732">
        <f>(AN190+AN212)*INDEX(Inflation!$D$126:$BD$166, MATCH($B236, Inflation!$B$126:$B$166,0), MATCH(AN$222, Inflation!$D$125:$BD$125,0))</f>
        <v>40070.424205948177</v>
      </c>
      <c r="AO236" s="732">
        <f>(AO190+AO212)*INDEX(Inflation!$D$126:$BD$166, MATCH($B236, Inflation!$B$126:$B$166,0), MATCH(AO$222, Inflation!$D$125:$BD$125,0))</f>
        <v>41065.964642838924</v>
      </c>
      <c r="AP236" s="732">
        <f>(AP190+AP212)*INDEX(Inflation!$D$126:$BD$166, MATCH($B236, Inflation!$B$126:$B$166,0), MATCH(AP$222, Inflation!$D$125:$BD$125,0))</f>
        <v>42063.065253697787</v>
      </c>
      <c r="AQ236" s="732">
        <f>(AQ190+AQ212)*INDEX(Inflation!$D$126:$BD$166, MATCH($B236, Inflation!$B$126:$B$166,0), MATCH(AQ$222, Inflation!$D$125:$BD$125,0))</f>
        <v>43069.899563484294</v>
      </c>
      <c r="AR236" s="732">
        <f>(AR190+AR212)*INDEX(Inflation!$D$126:$BD$166, MATCH($B236, Inflation!$B$126:$B$166,0), MATCH(AR$222, Inflation!$D$125:$BD$125,0))</f>
        <v>44096.395403358758</v>
      </c>
      <c r="AS236" s="732">
        <f>(AS190+AS212)*INDEX(Inflation!$D$126:$BD$166, MATCH($B236, Inflation!$B$126:$B$166,0), MATCH(AS$222, Inflation!$D$125:$BD$125,0))</f>
        <v>45151.20881858284</v>
      </c>
      <c r="AT236" s="732">
        <f>(AT190+AT212)*INDEX(Inflation!$D$126:$BD$166, MATCH($B236, Inflation!$B$126:$B$166,0), MATCH(AT$222, Inflation!$D$125:$BD$125,0))</f>
        <v>46181.432789649494</v>
      </c>
      <c r="AU236" s="732" t="e">
        <f>(AU190+AU212)*INDEX(Inflation!$D$126:$BD$166, MATCH($B236, Inflation!$B$126:$B$166,0), MATCH(AU$222, Inflation!$D$125:$BD$125,0))</f>
        <v>#N/A</v>
      </c>
      <c r="AV236" s="732" t="e">
        <f>(AV190+AV212)*INDEX(Inflation!$D$126:$BD$166, MATCH($B236, Inflation!$B$126:$B$166,0), MATCH(AV$222, Inflation!$D$125:$BD$125,0))</f>
        <v>#N/A</v>
      </c>
      <c r="AW236" s="732" t="e">
        <f>(AW190+AW212)*INDEX(Inflation!$D$126:$BD$166, MATCH($B236, Inflation!$B$126:$B$166,0), MATCH(AW$222, Inflation!$D$125:$BD$125,0))</f>
        <v>#N/A</v>
      </c>
      <c r="AX236" s="732" t="e">
        <f>(AX190+AX212)*INDEX(Inflation!$D$126:$BD$166, MATCH($B236, Inflation!$B$126:$B$166,0), MATCH(AX$222, Inflation!$D$125:$BD$125,0))</f>
        <v>#N/A</v>
      </c>
      <c r="AY236" s="732" t="e">
        <f>(AY190+AY212)*INDEX(Inflation!$D$126:$BD$166, MATCH($B236, Inflation!$B$126:$B$166,0), MATCH(AY$222, Inflation!$D$125:$BD$125,0))</f>
        <v>#N/A</v>
      </c>
      <c r="AZ236" s="732" t="e">
        <f>(AZ190+AZ212)*INDEX(Inflation!$D$126:$BD$166, MATCH($B236, Inflation!$B$126:$B$166,0), MATCH(AZ$222, Inflation!$D$125:$BD$125,0))</f>
        <v>#N/A</v>
      </c>
      <c r="BA236" s="732" t="e">
        <f>(BA190+BA212)*INDEX(Inflation!$D$126:$BD$166, MATCH($B236, Inflation!$B$126:$B$166,0), MATCH(BA$222, Inflation!$D$125:$BD$125,0))</f>
        <v>#N/A</v>
      </c>
      <c r="BB236" s="732" t="e">
        <f>(BB190+BB212)*INDEX(Inflation!$D$126:$BD$166, MATCH($B236, Inflation!$B$126:$B$166,0), MATCH(BB$222, Inflation!$D$125:$BD$125,0))</f>
        <v>#N/A</v>
      </c>
    </row>
    <row r="237" spans="2:54">
      <c r="B237" s="6" t="s">
        <v>102</v>
      </c>
      <c r="C237" s="142"/>
      <c r="D237" s="732">
        <f>(D191+D213)*INDEX(Inflation!$D$126:$BD$166, MATCH($B237, Inflation!$B$126:$B$166,0), MATCH(D$222, Inflation!$D$125:$BD$125,0))</f>
        <v>33.37775553664288</v>
      </c>
      <c r="E237" s="732">
        <f>(E191+E213)*INDEX(Inflation!$D$126:$BD$166, MATCH($B237, Inflation!$B$126:$B$166,0), MATCH(E$222, Inflation!$D$125:$BD$125,0))</f>
        <v>164.0787922005151</v>
      </c>
      <c r="F237" s="732">
        <f>(F191+F213)*INDEX(Inflation!$D$126:$BD$166, MATCH($B237, Inflation!$B$126:$B$166,0), MATCH(F$222, Inflation!$D$125:$BD$125,0))</f>
        <v>304.5961968973923</v>
      </c>
      <c r="G237" s="732">
        <f>(G191+G213)*INDEX(Inflation!$D$126:$BD$166, MATCH($B237, Inflation!$B$126:$B$166,0), MATCH(G$222, Inflation!$D$125:$BD$125,0))</f>
        <v>454.70087142723952</v>
      </c>
      <c r="H237" s="732">
        <f>(H191+H213)*INDEX(Inflation!$D$126:$BD$166, MATCH($B237, Inflation!$B$126:$B$166,0), MATCH(H$222, Inflation!$D$125:$BD$125,0))</f>
        <v>614.33168382601332</v>
      </c>
      <c r="I237" s="732">
        <f>(I191+I213)*INDEX(Inflation!$D$126:$BD$166, MATCH($B237, Inflation!$B$126:$B$166,0), MATCH(I$222, Inflation!$D$125:$BD$125,0))</f>
        <v>783.58065832020964</v>
      </c>
      <c r="J237" s="732">
        <f>(J191+J213)*INDEX(Inflation!$D$126:$BD$166, MATCH($B237, Inflation!$B$126:$B$166,0), MATCH(J$222, Inflation!$D$125:$BD$125,0))</f>
        <v>962.62080895357246</v>
      </c>
      <c r="K237" s="732">
        <f>(K191+K213)*INDEX(Inflation!$D$126:$BD$166, MATCH($B237, Inflation!$B$126:$B$166,0), MATCH(K$222, Inflation!$D$125:$BD$125,0))</f>
        <v>1151.6495445463872</v>
      </c>
      <c r="L237" s="732">
        <f>(L191+L213)*INDEX(Inflation!$D$126:$BD$166, MATCH($B237, Inflation!$B$126:$B$166,0), MATCH(L$222, Inflation!$D$125:$BD$125,0))</f>
        <v>1350.9910902998665</v>
      </c>
      <c r="M237" s="732">
        <f>(M191+M213)*INDEX(Inflation!$D$126:$BD$166, MATCH($B237, Inflation!$B$126:$B$166,0), MATCH(M$222, Inflation!$D$125:$BD$125,0))</f>
        <v>1561.1639127931351</v>
      </c>
      <c r="N237" s="732">
        <f>(N191+N213)*INDEX(Inflation!$D$126:$BD$166, MATCH($B237, Inflation!$B$126:$B$166,0), MATCH(N$222, Inflation!$D$125:$BD$125,0))</f>
        <v>1782.5431758698442</v>
      </c>
      <c r="O237" s="732">
        <f>(O191+O213)*INDEX(Inflation!$D$126:$BD$166, MATCH($B237, Inflation!$B$126:$B$166,0), MATCH(O$222, Inflation!$D$125:$BD$125,0))</f>
        <v>1860.0108236484557</v>
      </c>
      <c r="P237" s="732">
        <f>(P191+P213)*INDEX(Inflation!$D$126:$BD$166, MATCH($B237, Inflation!$B$126:$B$166,0), MATCH(P$222, Inflation!$D$125:$BD$125,0))</f>
        <v>1937.2748870253299</v>
      </c>
      <c r="Q237" s="732">
        <f>(Q191+Q213)*INDEX(Inflation!$D$126:$BD$166, MATCH($B237, Inflation!$B$126:$B$166,0), MATCH(Q$222, Inflation!$D$125:$BD$125,0))</f>
        <v>2014.9447367082394</v>
      </c>
      <c r="R237" s="732">
        <f>(R191+R213)*INDEX(Inflation!$D$126:$BD$166, MATCH($B237, Inflation!$B$126:$B$166,0), MATCH(R$222, Inflation!$D$125:$BD$125,0))</f>
        <v>2093.4935921112387</v>
      </c>
      <c r="S237" s="732">
        <f>(S191+S213)*INDEX(Inflation!$D$126:$BD$166, MATCH($B237, Inflation!$B$126:$B$166,0), MATCH(S$222, Inflation!$D$125:$BD$125,0))</f>
        <v>2173.2517775666556</v>
      </c>
      <c r="T237" s="732">
        <f>(T191+T213)*INDEX(Inflation!$D$126:$BD$166, MATCH($B237, Inflation!$B$126:$B$166,0), MATCH(T$222, Inflation!$D$125:$BD$125,0))</f>
        <v>2254.4270448862708</v>
      </c>
      <c r="U237" s="732">
        <f>(U191+U213)*INDEX(Inflation!$D$126:$BD$166, MATCH($B237, Inflation!$B$126:$B$166,0), MATCH(U$222, Inflation!$D$125:$BD$125,0))</f>
        <v>2337.1837457446345</v>
      </c>
      <c r="V237" s="732">
        <f>(V191+V213)*INDEX(Inflation!$D$126:$BD$166, MATCH($B237, Inflation!$B$126:$B$166,0), MATCH(V$222, Inflation!$D$125:$BD$125,0))</f>
        <v>2421.6686350491013</v>
      </c>
      <c r="W237" s="732">
        <f>(W191+W213)*INDEX(Inflation!$D$126:$BD$166, MATCH($B237, Inflation!$B$126:$B$166,0), MATCH(W$222, Inflation!$D$125:$BD$125,0))</f>
        <v>2507.7258404296072</v>
      </c>
      <c r="X237" s="732">
        <f>(X191+X213)*INDEX(Inflation!$D$126:$BD$166, MATCH($B237, Inflation!$B$126:$B$166,0), MATCH(X$222, Inflation!$D$125:$BD$125,0))</f>
        <v>2595.3193394807145</v>
      </c>
      <c r="Y237" s="732">
        <f>(Y191+Y213)*INDEX(Inflation!$D$126:$BD$166, MATCH($B237, Inflation!$B$126:$B$166,0), MATCH(Y$222, Inflation!$D$125:$BD$125,0))</f>
        <v>2684.4940890914627</v>
      </c>
      <c r="Z237" s="732">
        <f>(Z191+Z213)*INDEX(Inflation!$D$126:$BD$166, MATCH($B237, Inflation!$B$126:$B$166,0), MATCH(Z$222, Inflation!$D$125:$BD$125,0))</f>
        <v>2775.3563607960737</v>
      </c>
      <c r="AA237" s="732">
        <f>(AA191+AA213)*INDEX(Inflation!$D$126:$BD$166, MATCH($B237, Inflation!$B$126:$B$166,0), MATCH(AA$222, Inflation!$D$125:$BD$125,0))</f>
        <v>2868.0889267976654</v>
      </c>
      <c r="AB237" s="732">
        <f>(AB191+AB213)*INDEX(Inflation!$D$126:$BD$166, MATCH($B237, Inflation!$B$126:$B$166,0), MATCH(AB$222, Inflation!$D$125:$BD$125,0))</f>
        <v>2962.7944246012066</v>
      </c>
      <c r="AC237" s="732">
        <f>(AC191+AC213)*INDEX(Inflation!$D$126:$BD$166, MATCH($B237, Inflation!$B$126:$B$166,0), MATCH(AC$222, Inflation!$D$125:$BD$125,0))</f>
        <v>3059.4683286915438</v>
      </c>
      <c r="AD237" s="732">
        <f>(AD191+AD213)*INDEX(Inflation!$D$126:$BD$166, MATCH($B237, Inflation!$B$126:$B$166,0), MATCH(AD$222, Inflation!$D$125:$BD$125,0))</f>
        <v>3158.0682902253775</v>
      </c>
      <c r="AE237" s="732">
        <f>(AE191+AE213)*INDEX(Inflation!$D$126:$BD$166, MATCH($B237, Inflation!$B$126:$B$166,0), MATCH(AE$222, Inflation!$D$125:$BD$125,0))</f>
        <v>3258.5953088107594</v>
      </c>
      <c r="AF237" s="732">
        <f>(AF191+AF213)*INDEX(Inflation!$D$126:$BD$166, MATCH($B237, Inflation!$B$126:$B$166,0), MATCH(AF$222, Inflation!$D$125:$BD$125,0))</f>
        <v>3361.0201117389515</v>
      </c>
      <c r="AG237" s="732">
        <f>(AG191+AG213)*INDEX(Inflation!$D$126:$BD$166, MATCH($B237, Inflation!$B$126:$B$166,0), MATCH(AG$222, Inflation!$D$125:$BD$125,0))</f>
        <v>3465.1267664243901</v>
      </c>
      <c r="AH237" s="732">
        <f>(AH191+AH213)*INDEX(Inflation!$D$126:$BD$166, MATCH($B237, Inflation!$B$126:$B$166,0), MATCH(AH$222, Inflation!$D$125:$BD$125,0))</f>
        <v>3570.854575899712</v>
      </c>
      <c r="AI237" s="732">
        <f>(AI191+AI213)*INDEX(Inflation!$D$126:$BD$166, MATCH($B237, Inflation!$B$126:$B$166,0), MATCH(AI$222, Inflation!$D$125:$BD$125,0))</f>
        <v>3678.2308110770455</v>
      </c>
      <c r="AJ237" s="732">
        <f>(AJ191+AJ213)*INDEX(Inflation!$D$126:$BD$166, MATCH($B237, Inflation!$B$126:$B$166,0), MATCH(AJ$222, Inflation!$D$125:$BD$125,0))</f>
        <v>3787.3028578654107</v>
      </c>
      <c r="AK237" s="732">
        <f>(AK191+AK213)*INDEX(Inflation!$D$126:$BD$166, MATCH($B237, Inflation!$B$126:$B$166,0), MATCH(AK$222, Inflation!$D$125:$BD$125,0))</f>
        <v>3898.0438413584429</v>
      </c>
      <c r="AL237" s="732">
        <f>(AL191+AL213)*INDEX(Inflation!$D$126:$BD$166, MATCH($B237, Inflation!$B$126:$B$166,0), MATCH(AL$222, Inflation!$D$125:$BD$125,0))</f>
        <v>4010.3658599924574</v>
      </c>
      <c r="AM237" s="732">
        <f>(AM191+AM213)*INDEX(Inflation!$D$126:$BD$166, MATCH($B237, Inflation!$B$126:$B$166,0), MATCH(AM$222, Inflation!$D$125:$BD$125,0))</f>
        <v>4124.1483335458151</v>
      </c>
      <c r="AN237" s="732">
        <f>(AN191+AN213)*INDEX(Inflation!$D$126:$BD$166, MATCH($B237, Inflation!$B$126:$B$166,0), MATCH(AN$222, Inflation!$D$125:$BD$125,0))</f>
        <v>4239.2610486204885</v>
      </c>
      <c r="AO237" s="732">
        <f>(AO191+AO213)*INDEX(Inflation!$D$126:$BD$166, MATCH($B237, Inflation!$B$126:$B$166,0), MATCH(AO$222, Inflation!$D$125:$BD$125,0))</f>
        <v>4355.6097599755894</v>
      </c>
      <c r="AP237" s="732">
        <f>(AP191+AP213)*INDEX(Inflation!$D$126:$BD$166, MATCH($B237, Inflation!$B$126:$B$166,0), MATCH(AP$222, Inflation!$D$125:$BD$125,0))</f>
        <v>4473.1137634718807</v>
      </c>
      <c r="AQ237" s="732">
        <f>(AQ191+AQ213)*INDEX(Inflation!$D$126:$BD$166, MATCH($B237, Inflation!$B$126:$B$166,0), MATCH(AQ$222, Inflation!$D$125:$BD$125,0))</f>
        <v>4591.7213228786359</v>
      </c>
      <c r="AR237" s="732">
        <f>(AR191+AR213)*INDEX(Inflation!$D$126:$BD$166, MATCH($B237, Inflation!$B$126:$B$166,0), MATCH(AR$222, Inflation!$D$125:$BD$125,0))</f>
        <v>4711.4617259213846</v>
      </c>
      <c r="AS237" s="732">
        <f>(AS191+AS213)*INDEX(Inflation!$D$126:$BD$166, MATCH($B237, Inflation!$B$126:$B$166,0), MATCH(AS$222, Inflation!$D$125:$BD$125,0))</f>
        <v>4832.3910404995113</v>
      </c>
      <c r="AT237" s="732">
        <f>(AT191+AT213)*INDEX(Inflation!$D$126:$BD$166, MATCH($B237, Inflation!$B$126:$B$166,0), MATCH(AT$222, Inflation!$D$125:$BD$125,0))</f>
        <v>4954.4752083249959</v>
      </c>
      <c r="AU237" s="732" t="e">
        <f>(AU191+AU213)*INDEX(Inflation!$D$126:$BD$166, MATCH($B237, Inflation!$B$126:$B$166,0), MATCH(AU$222, Inflation!$D$125:$BD$125,0))</f>
        <v>#N/A</v>
      </c>
      <c r="AV237" s="732" t="e">
        <f>(AV191+AV213)*INDEX(Inflation!$D$126:$BD$166, MATCH($B237, Inflation!$B$126:$B$166,0), MATCH(AV$222, Inflation!$D$125:$BD$125,0))</f>
        <v>#N/A</v>
      </c>
      <c r="AW237" s="732" t="e">
        <f>(AW191+AW213)*INDEX(Inflation!$D$126:$BD$166, MATCH($B237, Inflation!$B$126:$B$166,0), MATCH(AW$222, Inflation!$D$125:$BD$125,0))</f>
        <v>#N/A</v>
      </c>
      <c r="AX237" s="732" t="e">
        <f>(AX191+AX213)*INDEX(Inflation!$D$126:$BD$166, MATCH($B237, Inflation!$B$126:$B$166,0), MATCH(AX$222, Inflation!$D$125:$BD$125,0))</f>
        <v>#N/A</v>
      </c>
      <c r="AY237" s="732" t="e">
        <f>(AY191+AY213)*INDEX(Inflation!$D$126:$BD$166, MATCH($B237, Inflation!$B$126:$B$166,0), MATCH(AY$222, Inflation!$D$125:$BD$125,0))</f>
        <v>#N/A</v>
      </c>
      <c r="AZ237" s="732" t="e">
        <f>(AZ191+AZ213)*INDEX(Inflation!$D$126:$BD$166, MATCH($B237, Inflation!$B$126:$B$166,0), MATCH(AZ$222, Inflation!$D$125:$BD$125,0))</f>
        <v>#N/A</v>
      </c>
      <c r="BA237" s="732" t="e">
        <f>(BA191+BA213)*INDEX(Inflation!$D$126:$BD$166, MATCH($B237, Inflation!$B$126:$B$166,0), MATCH(BA$222, Inflation!$D$125:$BD$125,0))</f>
        <v>#N/A</v>
      </c>
      <c r="BB237" s="732" t="e">
        <f>(BB191+BB213)*INDEX(Inflation!$D$126:$BD$166, MATCH($B237, Inflation!$B$126:$B$166,0), MATCH(BB$222, Inflation!$D$125:$BD$125,0))</f>
        <v>#N/A</v>
      </c>
    </row>
    <row r="238" spans="2:54">
      <c r="B238" s="6" t="s">
        <v>2831</v>
      </c>
      <c r="C238" s="142"/>
      <c r="D238" s="732">
        <f>(D192+D214)*INDEX(Inflation!$D$126:$BD$166, MATCH($B238, Inflation!$B$126:$B$166,0), MATCH(D$222, Inflation!$D$125:$BD$125,0))</f>
        <v>68300.427415187005</v>
      </c>
      <c r="E238" s="732">
        <f>(E192+E214)*INDEX(Inflation!$D$126:$BD$166, MATCH($B238, Inflation!$B$126:$B$166,0), MATCH(E$222, Inflation!$D$125:$BD$125,0))</f>
        <v>72606.4790644358</v>
      </c>
      <c r="F238" s="732">
        <f>(F192+F214)*INDEX(Inflation!$D$126:$BD$166, MATCH($B238, Inflation!$B$126:$B$166,0), MATCH(F$222, Inflation!$D$125:$BD$125,0))</f>
        <v>76701.288643287422</v>
      </c>
      <c r="G238" s="732">
        <f>(G192+G214)*INDEX(Inflation!$D$126:$BD$166, MATCH($B238, Inflation!$B$126:$B$166,0), MATCH(G$222, Inflation!$D$125:$BD$125,0))</f>
        <v>80675.118309794227</v>
      </c>
      <c r="H238" s="732">
        <f>(H192+H214)*INDEX(Inflation!$D$126:$BD$166, MATCH($B238, Inflation!$B$126:$B$166,0), MATCH(H$222, Inflation!$D$125:$BD$125,0))</f>
        <v>84619.497386050993</v>
      </c>
      <c r="I238" s="732">
        <f>(I192+I214)*INDEX(Inflation!$D$126:$BD$166, MATCH($B238, Inflation!$B$126:$B$166,0), MATCH(I$222, Inflation!$D$125:$BD$125,0))</f>
        <v>88590.406343209295</v>
      </c>
      <c r="J238" s="732">
        <f>(J192+J214)*INDEX(Inflation!$D$126:$BD$166, MATCH($B238, Inflation!$B$126:$B$166,0), MATCH(J$222, Inflation!$D$125:$BD$125,0))</f>
        <v>92593.071618010828</v>
      </c>
      <c r="K238" s="732">
        <f>(K192+K214)*INDEX(Inflation!$D$126:$BD$166, MATCH($B238, Inflation!$B$126:$B$166,0), MATCH(K$222, Inflation!$D$125:$BD$125,0))</f>
        <v>96657.853436694961</v>
      </c>
      <c r="L238" s="732">
        <f>(L192+L214)*INDEX(Inflation!$D$126:$BD$166, MATCH($B238, Inflation!$B$126:$B$166,0), MATCH(L$222, Inflation!$D$125:$BD$125,0))</f>
        <v>100959.15841931257</v>
      </c>
      <c r="M238" s="732">
        <f>(M192+M214)*INDEX(Inflation!$D$126:$BD$166, MATCH($B238, Inflation!$B$126:$B$166,0), MATCH(M$222, Inflation!$D$125:$BD$125,0))</f>
        <v>105402.67554962978</v>
      </c>
      <c r="N238" s="732">
        <f>(N192+N214)*INDEX(Inflation!$D$126:$BD$166, MATCH($B238, Inflation!$B$126:$B$166,0), MATCH(N$222, Inflation!$D$125:$BD$125,0))</f>
        <v>109941.34389800882</v>
      </c>
      <c r="O238" s="732">
        <f>(O192+O214)*INDEX(Inflation!$D$126:$BD$166, MATCH($B238, Inflation!$B$126:$B$166,0), MATCH(O$222, Inflation!$D$125:$BD$125,0))</f>
        <v>114474.796199947</v>
      </c>
      <c r="P238" s="732">
        <f>(P192+P214)*INDEX(Inflation!$D$126:$BD$166, MATCH($B238, Inflation!$B$126:$B$166,0), MATCH(P$222, Inflation!$D$125:$BD$125,0))</f>
        <v>119062.45815910916</v>
      </c>
      <c r="Q238" s="732">
        <f>(Q192+Q214)*INDEX(Inflation!$D$126:$BD$166, MATCH($B238, Inflation!$B$126:$B$166,0), MATCH(Q$222, Inflation!$D$125:$BD$125,0))</f>
        <v>123737.40297379049</v>
      </c>
      <c r="R238" s="732">
        <f>(R192+R214)*INDEX(Inflation!$D$126:$BD$166, MATCH($B238, Inflation!$B$126:$B$166,0), MATCH(R$222, Inflation!$D$125:$BD$125,0))</f>
        <v>128540.89132954655</v>
      </c>
      <c r="S238" s="732">
        <f>(S192+S214)*INDEX(Inflation!$D$126:$BD$166, MATCH($B238, Inflation!$B$126:$B$166,0), MATCH(S$222, Inflation!$D$125:$BD$125,0))</f>
        <v>133482.71214371207</v>
      </c>
      <c r="T238" s="732">
        <f>(T192+T214)*INDEX(Inflation!$D$126:$BD$166, MATCH($B238, Inflation!$B$126:$B$166,0), MATCH(T$222, Inflation!$D$125:$BD$125,0))</f>
        <v>138534.44153036378</v>
      </c>
      <c r="U238" s="732">
        <f>(U192+U214)*INDEX(Inflation!$D$126:$BD$166, MATCH($B238, Inflation!$B$126:$B$166,0), MATCH(U$222, Inflation!$D$125:$BD$125,0))</f>
        <v>143703.42748862246</v>
      </c>
      <c r="V238" s="732">
        <f>(V192+V214)*INDEX(Inflation!$D$126:$BD$166, MATCH($B238, Inflation!$B$126:$B$166,0), MATCH(V$222, Inflation!$D$125:$BD$125,0))</f>
        <v>149073.63230648296</v>
      </c>
      <c r="W238" s="732">
        <f>(W192+W214)*INDEX(Inflation!$D$126:$BD$166, MATCH($B238, Inflation!$B$126:$B$166,0), MATCH(W$222, Inflation!$D$125:$BD$125,0))</f>
        <v>154583.25430859983</v>
      </c>
      <c r="X238" s="732">
        <f>(X192+X214)*INDEX(Inflation!$D$126:$BD$166, MATCH($B238, Inflation!$B$126:$B$166,0), MATCH(X$222, Inflation!$D$125:$BD$125,0))</f>
        <v>160215.12189064114</v>
      </c>
      <c r="Y238" s="732">
        <f>(Y192+Y214)*INDEX(Inflation!$D$126:$BD$166, MATCH($B238, Inflation!$B$126:$B$166,0), MATCH(Y$222, Inflation!$D$125:$BD$125,0))</f>
        <v>165967.65254478334</v>
      </c>
      <c r="Z238" s="732">
        <f>(Z192+Z214)*INDEX(Inflation!$D$126:$BD$166, MATCH($B238, Inflation!$B$126:$B$166,0), MATCH(Z$222, Inflation!$D$125:$BD$125,0))</f>
        <v>171878.1867274064</v>
      </c>
      <c r="AA238" s="732">
        <f>(AA192+AA214)*INDEX(Inflation!$D$126:$BD$166, MATCH($B238, Inflation!$B$126:$B$166,0), MATCH(AA$222, Inflation!$D$125:$BD$125,0))</f>
        <v>177942.52458300861</v>
      </c>
      <c r="AB238" s="732">
        <f>(AB192+AB214)*INDEX(Inflation!$D$126:$BD$166, MATCH($B238, Inflation!$B$126:$B$166,0), MATCH(AB$222, Inflation!$D$125:$BD$125,0))</f>
        <v>184148.66525585254</v>
      </c>
      <c r="AC238" s="732">
        <f>(AC192+AC214)*INDEX(Inflation!$D$126:$BD$166, MATCH($B238, Inflation!$B$126:$B$166,0), MATCH(AC$222, Inflation!$D$125:$BD$125,0))</f>
        <v>190486.66760669547</v>
      </c>
      <c r="AD238" s="732">
        <f>(AD192+AD214)*INDEX(Inflation!$D$126:$BD$166, MATCH($B238, Inflation!$B$126:$B$166,0), MATCH(AD$222, Inflation!$D$125:$BD$125,0))</f>
        <v>196945.42336425337</v>
      </c>
      <c r="AE238" s="732">
        <f>(AE192+AE214)*INDEX(Inflation!$D$126:$BD$166, MATCH($B238, Inflation!$B$126:$B$166,0), MATCH(AE$222, Inflation!$D$125:$BD$125,0))</f>
        <v>203516.00235945682</v>
      </c>
      <c r="AF238" s="732">
        <f>(AF192+AF214)*INDEX(Inflation!$D$126:$BD$166, MATCH($B238, Inflation!$B$126:$B$166,0), MATCH(AF$222, Inflation!$D$125:$BD$125,0))</f>
        <v>210189.40342112191</v>
      </c>
      <c r="AG238" s="732">
        <f>(AG192+AG214)*INDEX(Inflation!$D$126:$BD$166, MATCH($B238, Inflation!$B$126:$B$166,0), MATCH(AG$222, Inflation!$D$125:$BD$125,0))</f>
        <v>216972.25850368378</v>
      </c>
      <c r="AH238" s="732">
        <f>(AH192+AH214)*INDEX(Inflation!$D$126:$BD$166, MATCH($B238, Inflation!$B$126:$B$166,0), MATCH(AH$222, Inflation!$D$125:$BD$125,0))</f>
        <v>223903.94723643598</v>
      </c>
      <c r="AI238" s="732">
        <f>(AI192+AI214)*INDEX(Inflation!$D$126:$BD$166, MATCH($B238, Inflation!$B$126:$B$166,0), MATCH(AI$222, Inflation!$D$125:$BD$125,0))</f>
        <v>230991.20468490329</v>
      </c>
      <c r="AJ238" s="732">
        <f>(AJ192+AJ214)*INDEX(Inflation!$D$126:$BD$166, MATCH($B238, Inflation!$B$126:$B$166,0), MATCH(AJ$222, Inflation!$D$125:$BD$125,0))</f>
        <v>238252.15422480731</v>
      </c>
      <c r="AK238" s="732">
        <f>(AK192+AK214)*INDEX(Inflation!$D$126:$BD$166, MATCH($B238, Inflation!$B$126:$B$166,0), MATCH(AK$222, Inflation!$D$125:$BD$125,0))</f>
        <v>245642.60543566526</v>
      </c>
      <c r="AL238" s="732">
        <f>(AL192+AL214)*INDEX(Inflation!$D$126:$BD$166, MATCH($B238, Inflation!$B$126:$B$166,0), MATCH(AL$222, Inflation!$D$125:$BD$125,0))</f>
        <v>253125.45433761997</v>
      </c>
      <c r="AM238" s="732">
        <f>(AM192+AM214)*INDEX(Inflation!$D$126:$BD$166, MATCH($B238, Inflation!$B$126:$B$166,0), MATCH(AM$222, Inflation!$D$125:$BD$125,0))</f>
        <v>260672.3057538206</v>
      </c>
      <c r="AN238" s="732">
        <f>(AN192+AN214)*INDEX(Inflation!$D$126:$BD$166, MATCH($B238, Inflation!$B$126:$B$166,0), MATCH(AN$222, Inflation!$D$125:$BD$125,0))</f>
        <v>268294.41663967125</v>
      </c>
      <c r="AO238" s="732">
        <f>(AO192+AO214)*INDEX(Inflation!$D$126:$BD$166, MATCH($B238, Inflation!$B$126:$B$166,0), MATCH(AO$222, Inflation!$D$125:$BD$125,0))</f>
        <v>275991.71424390771</v>
      </c>
      <c r="AP238" s="732">
        <f>(AP192+AP214)*INDEX(Inflation!$D$126:$BD$166, MATCH($B238, Inflation!$B$126:$B$166,0), MATCH(AP$222, Inflation!$D$125:$BD$125,0))</f>
        <v>283753.77438845823</v>
      </c>
      <c r="AQ238" s="732">
        <f>(AQ192+AQ214)*INDEX(Inflation!$D$126:$BD$166, MATCH($B238, Inflation!$B$126:$B$166,0), MATCH(AQ$222, Inflation!$D$125:$BD$125,0))</f>
        <v>291635.83460233331</v>
      </c>
      <c r="AR238" s="732">
        <f>(AR192+AR214)*INDEX(Inflation!$D$126:$BD$166, MATCH($B238, Inflation!$B$126:$B$166,0), MATCH(AR$222, Inflation!$D$125:$BD$125,0))</f>
        <v>299705.81514695974</v>
      </c>
      <c r="AS238" s="732">
        <f>(AS192+AS214)*INDEX(Inflation!$D$126:$BD$166, MATCH($B238, Inflation!$B$126:$B$166,0), MATCH(AS$222, Inflation!$D$125:$BD$125,0))</f>
        <v>308024.05802322511</v>
      </c>
      <c r="AT238" s="732">
        <f>(AT192+AT214)*INDEX(Inflation!$D$126:$BD$166, MATCH($B238, Inflation!$B$126:$B$166,0), MATCH(AT$222, Inflation!$D$125:$BD$125,0))</f>
        <v>316233.9725504411</v>
      </c>
      <c r="AU238" s="732" t="e">
        <f>(AU192+AU214)*INDEX(Inflation!$D$126:$BD$166, MATCH($B238, Inflation!$B$126:$B$166,0), MATCH(AU$222, Inflation!$D$125:$BD$125,0))</f>
        <v>#N/A</v>
      </c>
      <c r="AV238" s="732" t="e">
        <f>(AV192+AV214)*INDEX(Inflation!$D$126:$BD$166, MATCH($B238, Inflation!$B$126:$B$166,0), MATCH(AV$222, Inflation!$D$125:$BD$125,0))</f>
        <v>#N/A</v>
      </c>
      <c r="AW238" s="732" t="e">
        <f>(AW192+AW214)*INDEX(Inflation!$D$126:$BD$166, MATCH($B238, Inflation!$B$126:$B$166,0), MATCH(AW$222, Inflation!$D$125:$BD$125,0))</f>
        <v>#N/A</v>
      </c>
      <c r="AX238" s="732" t="e">
        <f>(AX192+AX214)*INDEX(Inflation!$D$126:$BD$166, MATCH($B238, Inflation!$B$126:$B$166,0), MATCH(AX$222, Inflation!$D$125:$BD$125,0))</f>
        <v>#N/A</v>
      </c>
      <c r="AY238" s="732" t="e">
        <f>(AY192+AY214)*INDEX(Inflation!$D$126:$BD$166, MATCH($B238, Inflation!$B$126:$B$166,0), MATCH(AY$222, Inflation!$D$125:$BD$125,0))</f>
        <v>#N/A</v>
      </c>
      <c r="AZ238" s="732" t="e">
        <f>(AZ192+AZ214)*INDEX(Inflation!$D$126:$BD$166, MATCH($B238, Inflation!$B$126:$B$166,0), MATCH(AZ$222, Inflation!$D$125:$BD$125,0))</f>
        <v>#N/A</v>
      </c>
      <c r="BA238" s="732" t="e">
        <f>(BA192+BA214)*INDEX(Inflation!$D$126:$BD$166, MATCH($B238, Inflation!$B$126:$B$166,0), MATCH(BA$222, Inflation!$D$125:$BD$125,0))</f>
        <v>#N/A</v>
      </c>
      <c r="BB238" s="732" t="e">
        <f>(BB192+BB214)*INDEX(Inflation!$D$126:$BD$166, MATCH($B238, Inflation!$B$126:$B$166,0), MATCH(BB$222, Inflation!$D$125:$BD$125,0))</f>
        <v>#N/A</v>
      </c>
    </row>
    <row r="239" spans="2:54">
      <c r="B239" s="6" t="s">
        <v>2832</v>
      </c>
      <c r="C239" s="142"/>
      <c r="D239" s="732">
        <f>(D193+D215)*INDEX(Inflation!$D$126:$BD$166, MATCH($B239, Inflation!$B$126:$B$166,0), MATCH(D$222, Inflation!$D$125:$BD$125,0))</f>
        <v>27130.909082557548</v>
      </c>
      <c r="E239" s="732">
        <f>(E193+E215)*INDEX(Inflation!$D$126:$BD$166, MATCH($B239, Inflation!$B$126:$B$166,0), MATCH(E$222, Inflation!$D$125:$BD$125,0))</f>
        <v>28857.815190648867</v>
      </c>
      <c r="F239" s="732">
        <f>(F193+F215)*INDEX(Inflation!$D$126:$BD$166, MATCH($B239, Inflation!$B$126:$B$166,0), MATCH(F$222, Inflation!$D$125:$BD$125,0))</f>
        <v>30502.203941496624</v>
      </c>
      <c r="G239" s="732">
        <f>(G193+G215)*INDEX(Inflation!$D$126:$BD$166, MATCH($B239, Inflation!$B$126:$B$166,0), MATCH(G$222, Inflation!$D$125:$BD$125,0))</f>
        <v>32099.909792478189</v>
      </c>
      <c r="H239" s="732">
        <f>(H193+H215)*INDEX(Inflation!$D$126:$BD$166, MATCH($B239, Inflation!$B$126:$B$166,0), MATCH(H$222, Inflation!$D$125:$BD$125,0))</f>
        <v>33687.291808181239</v>
      </c>
      <c r="I239" s="732">
        <f>(I193+I215)*INDEX(Inflation!$D$126:$BD$166, MATCH($B239, Inflation!$B$126:$B$166,0), MATCH(I$222, Inflation!$D$125:$BD$125,0))</f>
        <v>35286.610041737258</v>
      </c>
      <c r="J239" s="732">
        <f>(J193+J215)*INDEX(Inflation!$D$126:$BD$166, MATCH($B239, Inflation!$B$126:$B$166,0), MATCH(J$222, Inflation!$D$125:$BD$125,0))</f>
        <v>36899.977531942</v>
      </c>
      <c r="K239" s="732">
        <f>(K193+K215)*INDEX(Inflation!$D$126:$BD$166, MATCH($B239, Inflation!$B$126:$B$166,0), MATCH(K$222, Inflation!$D$125:$BD$125,0))</f>
        <v>38539.493251467975</v>
      </c>
      <c r="L239" s="732">
        <f>(L193+L215)*INDEX(Inflation!$D$126:$BD$166, MATCH($B239, Inflation!$B$126:$B$166,0), MATCH(L$222, Inflation!$D$125:$BD$125,0))</f>
        <v>40274.483725968777</v>
      </c>
      <c r="M239" s="732">
        <f>(M193+M215)*INDEX(Inflation!$D$126:$BD$166, MATCH($B239, Inflation!$B$126:$B$166,0), MATCH(M$222, Inflation!$D$125:$BD$125,0))</f>
        <v>42067.576002806847</v>
      </c>
      <c r="N239" s="732">
        <f>(N193+N215)*INDEX(Inflation!$D$126:$BD$166, MATCH($B239, Inflation!$B$126:$B$166,0), MATCH(N$222, Inflation!$D$125:$BD$125,0))</f>
        <v>43900.145534013209</v>
      </c>
      <c r="O239" s="732">
        <f>(O193+O215)*INDEX(Inflation!$D$126:$BD$166, MATCH($B239, Inflation!$B$126:$B$166,0), MATCH(O$222, Inflation!$D$125:$BD$125,0))</f>
        <v>45711.813974852979</v>
      </c>
      <c r="P239" s="732">
        <f>(P193+P215)*INDEX(Inflation!$D$126:$BD$166, MATCH($B239, Inflation!$B$126:$B$166,0), MATCH(P$222, Inflation!$D$125:$BD$125,0))</f>
        <v>47545.065398129052</v>
      </c>
      <c r="Q239" s="732">
        <f>(Q193+Q215)*INDEX(Inflation!$D$126:$BD$166, MATCH($B239, Inflation!$B$126:$B$166,0), MATCH(Q$222, Inflation!$D$125:$BD$125,0))</f>
        <v>49413.11678752712</v>
      </c>
      <c r="R239" s="732">
        <f>(R193+R215)*INDEX(Inflation!$D$126:$BD$166, MATCH($B239, Inflation!$B$126:$B$166,0), MATCH(R$222, Inflation!$D$125:$BD$125,0))</f>
        <v>51332.419912513644</v>
      </c>
      <c r="S239" s="732">
        <f>(S193+S215)*INDEX(Inflation!$D$126:$BD$166, MATCH($B239, Inflation!$B$126:$B$166,0), MATCH(S$222, Inflation!$D$125:$BD$125,0))</f>
        <v>53306.908750756731</v>
      </c>
      <c r="T239" s="732">
        <f>(T193+T215)*INDEX(Inflation!$D$126:$BD$166, MATCH($B239, Inflation!$B$126:$B$166,0), MATCH(T$222, Inflation!$D$125:$BD$125,0))</f>
        <v>55325.32456380091</v>
      </c>
      <c r="U239" s="732">
        <f>(U193+U215)*INDEX(Inflation!$D$126:$BD$166, MATCH($B239, Inflation!$B$126:$B$166,0), MATCH(U$222, Inflation!$D$125:$BD$125,0))</f>
        <v>57390.61058029726</v>
      </c>
      <c r="V239" s="732">
        <f>(V193+V215)*INDEX(Inflation!$D$126:$BD$166, MATCH($B239, Inflation!$B$126:$B$166,0), MATCH(V$222, Inflation!$D$125:$BD$125,0))</f>
        <v>59536.136646609666</v>
      </c>
      <c r="W239" s="732">
        <f>(W193+W215)*INDEX(Inflation!$D$126:$BD$166, MATCH($B239, Inflation!$B$126:$B$166,0), MATCH(W$222, Inflation!$D$125:$BD$125,0))</f>
        <v>61737.339036837351</v>
      </c>
      <c r="X239" s="732">
        <f>(X193+X215)*INDEX(Inflation!$D$126:$BD$166, MATCH($B239, Inflation!$B$126:$B$166,0), MATCH(X$222, Inflation!$D$125:$BD$125,0))</f>
        <v>63987.395721670131</v>
      </c>
      <c r="Y239" s="732">
        <f>(Y193+Y215)*INDEX(Inflation!$D$126:$BD$166, MATCH($B239, Inflation!$B$126:$B$166,0), MATCH(Y$222, Inflation!$D$125:$BD$125,0))</f>
        <v>66285.687217498737</v>
      </c>
      <c r="Z239" s="732">
        <f>(Z193+Z215)*INDEX(Inflation!$D$126:$BD$166, MATCH($B239, Inflation!$B$126:$B$166,0), MATCH(Z$222, Inflation!$D$125:$BD$125,0))</f>
        <v>68647.061520988005</v>
      </c>
      <c r="AA239" s="732">
        <f>(AA193+AA215)*INDEX(Inflation!$D$126:$BD$166, MATCH($B239, Inflation!$B$126:$B$166,0), MATCH(AA$222, Inflation!$D$125:$BD$125,0))</f>
        <v>71069.879021035114</v>
      </c>
      <c r="AB239" s="732">
        <f>(AB193+AB215)*INDEX(Inflation!$D$126:$BD$166, MATCH($B239, Inflation!$B$126:$B$166,0), MATCH(AB$222, Inflation!$D$125:$BD$125,0))</f>
        <v>73549.391073372695</v>
      </c>
      <c r="AC239" s="732">
        <f>(AC193+AC215)*INDEX(Inflation!$D$126:$BD$166, MATCH($B239, Inflation!$B$126:$B$166,0), MATCH(AC$222, Inflation!$D$125:$BD$125,0))</f>
        <v>76081.652377559702</v>
      </c>
      <c r="AD239" s="732">
        <f>(AD193+AD215)*INDEX(Inflation!$D$126:$BD$166, MATCH($B239, Inflation!$B$126:$B$166,0), MATCH(AD$222, Inflation!$D$125:$BD$125,0))</f>
        <v>78662.248808857505</v>
      </c>
      <c r="AE239" s="732">
        <f>(AE193+AE215)*INDEX(Inflation!$D$126:$BD$166, MATCH($B239, Inflation!$B$126:$B$166,0), MATCH(AE$222, Inflation!$D$125:$BD$125,0))</f>
        <v>81287.637340185596</v>
      </c>
      <c r="AF239" s="732">
        <f>(AF193+AF215)*INDEX(Inflation!$D$126:$BD$166, MATCH($B239, Inflation!$B$126:$B$166,0), MATCH(AF$222, Inflation!$D$125:$BD$125,0))</f>
        <v>83954.24250323177</v>
      </c>
      <c r="AG239" s="732">
        <f>(AG193+AG215)*INDEX(Inflation!$D$126:$BD$166, MATCH($B239, Inflation!$B$126:$B$166,0), MATCH(AG$222, Inflation!$D$125:$BD$125,0))</f>
        <v>86664.671332469094</v>
      </c>
      <c r="AH239" s="732">
        <f>(AH193+AH215)*INDEX(Inflation!$D$126:$BD$166, MATCH($B239, Inflation!$B$126:$B$166,0), MATCH(AH$222, Inflation!$D$125:$BD$125,0))</f>
        <v>89434.558778759587</v>
      </c>
      <c r="AI239" s="732">
        <f>(AI193+AI215)*INDEX(Inflation!$D$126:$BD$166, MATCH($B239, Inflation!$B$126:$B$166,0), MATCH(AI$222, Inflation!$D$125:$BD$125,0))</f>
        <v>92266.586892124207</v>
      </c>
      <c r="AJ239" s="732">
        <f>(AJ193+AJ215)*INDEX(Inflation!$D$126:$BD$166, MATCH($B239, Inflation!$B$126:$B$166,0), MATCH(AJ$222, Inflation!$D$125:$BD$125,0))</f>
        <v>95167.963741819578</v>
      </c>
      <c r="AK239" s="732">
        <f>(AK193+AK215)*INDEX(Inflation!$D$126:$BD$166, MATCH($B239, Inflation!$B$126:$B$166,0), MATCH(AK$222, Inflation!$D$125:$BD$125,0))</f>
        <v>98121.137875757369</v>
      </c>
      <c r="AL239" s="732">
        <f>(AL193+AL215)*INDEX(Inflation!$D$126:$BD$166, MATCH($B239, Inflation!$B$126:$B$166,0), MATCH(AL$222, Inflation!$D$125:$BD$125,0))</f>
        <v>101111.36350697659</v>
      </c>
      <c r="AM239" s="732">
        <f>(AM193+AM215)*INDEX(Inflation!$D$126:$BD$166, MATCH($B239, Inflation!$B$126:$B$166,0), MATCH(AM$222, Inflation!$D$125:$BD$125,0))</f>
        <v>104127.34880094309</v>
      </c>
      <c r="AN239" s="732">
        <f>(AN193+AN215)*INDEX(Inflation!$D$126:$BD$166, MATCH($B239, Inflation!$B$126:$B$166,0), MATCH(AN$222, Inflation!$D$125:$BD$125,0))</f>
        <v>107173.54879953453</v>
      </c>
      <c r="AO239" s="732">
        <f>(AO193+AO215)*INDEX(Inflation!$D$126:$BD$166, MATCH($B239, Inflation!$B$126:$B$166,0), MATCH(AO$222, Inflation!$D$125:$BD$125,0))</f>
        <v>110249.92374427547</v>
      </c>
      <c r="AP239" s="732">
        <f>(AP193+AP215)*INDEX(Inflation!$D$126:$BD$166, MATCH($B239, Inflation!$B$126:$B$166,0), MATCH(AP$222, Inflation!$D$125:$BD$125,0))</f>
        <v>113352.32442938653</v>
      </c>
      <c r="AQ239" s="732">
        <f>(AQ193+AQ215)*INDEX(Inflation!$D$126:$BD$166, MATCH($B239, Inflation!$B$126:$B$166,0), MATCH(AQ$222, Inflation!$D$125:$BD$125,0))</f>
        <v>116502.68440297799</v>
      </c>
      <c r="AR239" s="732">
        <f>(AR193+AR215)*INDEX(Inflation!$D$126:$BD$166, MATCH($B239, Inflation!$B$126:$B$166,0), MATCH(AR$222, Inflation!$D$125:$BD$125,0))</f>
        <v>119727.98622680714</v>
      </c>
      <c r="AS239" s="732">
        <f>(AS193+AS215)*INDEX(Inflation!$D$126:$BD$166, MATCH($B239, Inflation!$B$126:$B$166,0), MATCH(AS$222, Inflation!$D$125:$BD$125,0))</f>
        <v>123052.20667392074</v>
      </c>
      <c r="AT239" s="732">
        <f>(AT193+AT215)*INDEX(Inflation!$D$126:$BD$166, MATCH($B239, Inflation!$B$126:$B$166,0), MATCH(AT$222, Inflation!$D$125:$BD$125,0))</f>
        <v>126333.71741488649</v>
      </c>
      <c r="AU239" s="732" t="e">
        <f>(AU193+AU215)*INDEX(Inflation!$D$126:$BD$166, MATCH($B239, Inflation!$B$126:$B$166,0), MATCH(AU$222, Inflation!$D$125:$BD$125,0))</f>
        <v>#N/A</v>
      </c>
      <c r="AV239" s="732" t="e">
        <f>(AV193+AV215)*INDEX(Inflation!$D$126:$BD$166, MATCH($B239, Inflation!$B$126:$B$166,0), MATCH(AV$222, Inflation!$D$125:$BD$125,0))</f>
        <v>#N/A</v>
      </c>
      <c r="AW239" s="732" t="e">
        <f>(AW193+AW215)*INDEX(Inflation!$D$126:$BD$166, MATCH($B239, Inflation!$B$126:$B$166,0), MATCH(AW$222, Inflation!$D$125:$BD$125,0))</f>
        <v>#N/A</v>
      </c>
      <c r="AX239" s="732" t="e">
        <f>(AX193+AX215)*INDEX(Inflation!$D$126:$BD$166, MATCH($B239, Inflation!$B$126:$B$166,0), MATCH(AX$222, Inflation!$D$125:$BD$125,0))</f>
        <v>#N/A</v>
      </c>
      <c r="AY239" s="732" t="e">
        <f>(AY193+AY215)*INDEX(Inflation!$D$126:$BD$166, MATCH($B239, Inflation!$B$126:$B$166,0), MATCH(AY$222, Inflation!$D$125:$BD$125,0))</f>
        <v>#N/A</v>
      </c>
      <c r="AZ239" s="732" t="e">
        <f>(AZ193+AZ215)*INDEX(Inflation!$D$126:$BD$166, MATCH($B239, Inflation!$B$126:$B$166,0), MATCH(AZ$222, Inflation!$D$125:$BD$125,0))</f>
        <v>#N/A</v>
      </c>
      <c r="BA239" s="732" t="e">
        <f>(BA193+BA215)*INDEX(Inflation!$D$126:$BD$166, MATCH($B239, Inflation!$B$126:$B$166,0), MATCH(BA$222, Inflation!$D$125:$BD$125,0))</f>
        <v>#N/A</v>
      </c>
      <c r="BB239" s="732" t="e">
        <f>(BB193+BB215)*INDEX(Inflation!$D$126:$BD$166, MATCH($B239, Inflation!$B$126:$B$166,0), MATCH(BB$222, Inflation!$D$125:$BD$125,0))</f>
        <v>#N/A</v>
      </c>
    </row>
    <row r="240" spans="2:54">
      <c r="B240" s="6" t="s">
        <v>2871</v>
      </c>
      <c r="C240" s="142"/>
      <c r="D240" s="732">
        <f>(D194+D216)*INDEX(Inflation!$D$126:$BD$166, MATCH($B240, Inflation!$B$126:$B$166,0), MATCH(D$222, Inflation!$D$125:$BD$125,0))</f>
        <v>1337.0679476768248</v>
      </c>
      <c r="E240" s="732">
        <f>(E194+E216)*INDEX(Inflation!$D$126:$BD$166, MATCH($B240, Inflation!$B$126:$B$166,0), MATCH(E$222, Inflation!$D$125:$BD$125,0))</f>
        <v>1414.8448853834821</v>
      </c>
      <c r="F240" s="732">
        <f>(F194+F216)*INDEX(Inflation!$D$126:$BD$166, MATCH($B240, Inflation!$B$126:$B$166,0), MATCH(F$222, Inflation!$D$125:$BD$125,0))</f>
        <v>1487.8159800029587</v>
      </c>
      <c r="G240" s="732">
        <f>(G194+G216)*INDEX(Inflation!$D$126:$BD$166, MATCH($B240, Inflation!$B$126:$B$166,0), MATCH(G$222, Inflation!$D$125:$BD$125,0))</f>
        <v>1557.7804020840085</v>
      </c>
      <c r="H240" s="732">
        <f>(H194+H216)*INDEX(Inflation!$D$126:$BD$166, MATCH($B240, Inflation!$B$126:$B$166,0), MATCH(H$222, Inflation!$D$125:$BD$125,0))</f>
        <v>1626.5338202105311</v>
      </c>
      <c r="I240" s="732">
        <f>(I194+I216)*INDEX(Inflation!$D$126:$BD$166, MATCH($B240, Inflation!$B$126:$B$166,0), MATCH(I$222, Inflation!$D$125:$BD$125,0))</f>
        <v>1695.1607317890291</v>
      </c>
      <c r="J240" s="732">
        <f>(J194+J216)*INDEX(Inflation!$D$126:$BD$166, MATCH($B240, Inflation!$B$126:$B$166,0), MATCH(J$222, Inflation!$D$125:$BD$125,0))</f>
        <v>1763.7569380731888</v>
      </c>
      <c r="K240" s="732">
        <f>(K194+K216)*INDEX(Inflation!$D$126:$BD$166, MATCH($B240, Inflation!$B$126:$B$166,0), MATCH(K$222, Inflation!$D$125:$BD$125,0))</f>
        <v>1832.8960319388113</v>
      </c>
      <c r="L240" s="732">
        <f>(L194+L216)*INDEX(Inflation!$D$126:$BD$166, MATCH($B240, Inflation!$B$126:$B$166,0), MATCH(L$222, Inflation!$D$125:$BD$125,0))</f>
        <v>1905.8796308435835</v>
      </c>
      <c r="M240" s="732">
        <f>(M194+M216)*INDEX(Inflation!$D$126:$BD$166, MATCH($B240, Inflation!$B$126:$B$166,0), MATCH(M$222, Inflation!$D$125:$BD$125,0))</f>
        <v>1980.869897575199</v>
      </c>
      <c r="N240" s="732">
        <f>(N194+N216)*INDEX(Inflation!$D$126:$BD$166, MATCH($B240, Inflation!$B$126:$B$166,0), MATCH(N$222, Inflation!$D$125:$BD$125,0))</f>
        <v>2056.948668576747</v>
      </c>
      <c r="O240" s="732">
        <f>(O194+O216)*INDEX(Inflation!$D$126:$BD$166, MATCH($B240, Inflation!$B$126:$B$166,0), MATCH(O$222, Inflation!$D$125:$BD$125,0))</f>
        <v>2133.7055471634139</v>
      </c>
      <c r="P240" s="732">
        <f>(P194+P216)*INDEX(Inflation!$D$126:$BD$166, MATCH($B240, Inflation!$B$126:$B$166,0), MATCH(P$222, Inflation!$D$125:$BD$125,0))</f>
        <v>2210.8749764891354</v>
      </c>
      <c r="Q240" s="732">
        <f>(Q194+Q216)*INDEX(Inflation!$D$126:$BD$166, MATCH($B240, Inflation!$B$126:$B$166,0), MATCH(Q$222, Inflation!$D$125:$BD$125,0))</f>
        <v>2289.0602153715545</v>
      </c>
      <c r="R240" s="732">
        <f>(R194+R216)*INDEX(Inflation!$D$126:$BD$166, MATCH($B240, Inflation!$B$126:$B$166,0), MATCH(R$222, Inflation!$D$125:$BD$125,0))</f>
        <v>2369.0089087893953</v>
      </c>
      <c r="S240" s="732">
        <f>(S194+S216)*INDEX(Inflation!$D$126:$BD$166, MATCH($B240, Inflation!$B$126:$B$166,0), MATCH(S$222, Inflation!$D$125:$BD$125,0))</f>
        <v>2450.8760135625953</v>
      </c>
      <c r="T240" s="732">
        <f>(T194+T216)*INDEX(Inflation!$D$126:$BD$166, MATCH($B240, Inflation!$B$126:$B$166,0), MATCH(T$222, Inflation!$D$125:$BD$125,0))</f>
        <v>2534.1101694654985</v>
      </c>
      <c r="U240" s="732">
        <f>(U194+U216)*INDEX(Inflation!$D$126:$BD$166, MATCH($B240, Inflation!$B$126:$B$166,0), MATCH(U$222, Inflation!$D$125:$BD$125,0))</f>
        <v>2618.8259202045392</v>
      </c>
      <c r="V240" s="732">
        <f>(V194+V216)*INDEX(Inflation!$D$126:$BD$166, MATCH($B240, Inflation!$B$126:$B$166,0), MATCH(V$222, Inflation!$D$125:$BD$125,0))</f>
        <v>2706.5390852427859</v>
      </c>
      <c r="W240" s="732">
        <f>(W194+W216)*INDEX(Inflation!$D$126:$BD$166, MATCH($B240, Inflation!$B$126:$B$166,0), MATCH(W$222, Inflation!$D$125:$BD$125,0))</f>
        <v>2796.0863880972406</v>
      </c>
      <c r="X240" s="732">
        <f>(X194+X216)*INDEX(Inflation!$D$126:$BD$166, MATCH($B240, Inflation!$B$126:$B$166,0), MATCH(X$222, Inflation!$D$125:$BD$125,0))</f>
        <v>2887.1316474343334</v>
      </c>
      <c r="Y240" s="732">
        <f>(Y194+Y216)*INDEX(Inflation!$D$126:$BD$166, MATCH($B240, Inflation!$B$126:$B$166,0), MATCH(Y$222, Inflation!$D$125:$BD$125,0))</f>
        <v>2979.6250302262119</v>
      </c>
      <c r="Z240" s="732">
        <f>(Z194+Z216)*INDEX(Inflation!$D$126:$BD$166, MATCH($B240, Inflation!$B$126:$B$166,0), MATCH(Z$222, Inflation!$D$125:$BD$125,0))</f>
        <v>3074.2189285710283</v>
      </c>
      <c r="AA240" s="732">
        <f>(AA194+AA216)*INDEX(Inflation!$D$126:$BD$166, MATCH($B240, Inflation!$B$126:$B$166,0), MATCH(AA$222, Inflation!$D$125:$BD$125,0))</f>
        <v>3170.8084857425806</v>
      </c>
      <c r="AB240" s="732">
        <f>(AB194+AB216)*INDEX(Inflation!$D$126:$BD$166, MATCH($B240, Inflation!$B$126:$B$166,0), MATCH(AB$222, Inflation!$D$125:$BD$125,0))</f>
        <v>3269.1512560410833</v>
      </c>
      <c r="AC240" s="732">
        <f>(AC194+AC216)*INDEX(Inflation!$D$126:$BD$166, MATCH($B240, Inflation!$B$126:$B$166,0), MATCH(AC$222, Inflation!$D$125:$BD$125,0))</f>
        <v>3369.0459739497087</v>
      </c>
      <c r="AD240" s="732">
        <f>(AD194+AD216)*INDEX(Inflation!$D$126:$BD$166, MATCH($B240, Inflation!$B$126:$B$166,0), MATCH(AD$222, Inflation!$D$125:$BD$125,0))</f>
        <v>3470.2738167183529</v>
      </c>
      <c r="AE240" s="732">
        <f>(AE194+AE216)*INDEX(Inflation!$D$126:$BD$166, MATCH($B240, Inflation!$B$126:$B$166,0), MATCH(AE$222, Inflation!$D$125:$BD$125,0))</f>
        <v>3572.6572228770274</v>
      </c>
      <c r="AF240" s="732">
        <f>(AF194+AF216)*INDEX(Inflation!$D$126:$BD$166, MATCH($B240, Inflation!$B$126:$B$166,0), MATCH(AF$222, Inflation!$D$125:$BD$125,0))</f>
        <v>3676.0201749448829</v>
      </c>
      <c r="AG240" s="732">
        <f>(AG194+AG216)*INDEX(Inflation!$D$126:$BD$166, MATCH($B240, Inflation!$B$126:$B$166,0), MATCH(AG$222, Inflation!$D$125:$BD$125,0))</f>
        <v>3780.4657426318181</v>
      </c>
      <c r="AH240" s="732">
        <f>(AH194+AH216)*INDEX(Inflation!$D$126:$BD$166, MATCH($B240, Inflation!$B$126:$B$166,0), MATCH(AH$222, Inflation!$D$125:$BD$125,0))</f>
        <v>3886.6673771446949</v>
      </c>
      <c r="AI240" s="732">
        <f>(AI194+AI216)*INDEX(Inflation!$D$126:$BD$166, MATCH($B240, Inflation!$B$126:$B$166,0), MATCH(AI$222, Inflation!$D$125:$BD$125,0))</f>
        <v>3994.7180194751454</v>
      </c>
      <c r="AJ240" s="732">
        <f>(AJ194+AJ216)*INDEX(Inflation!$D$126:$BD$166, MATCH($B240, Inflation!$B$126:$B$166,0), MATCH(AJ$222, Inflation!$D$125:$BD$125,0))</f>
        <v>4104.9068169845077</v>
      </c>
      <c r="AK240" s="732">
        <f>(AK194+AK216)*INDEX(Inflation!$D$126:$BD$166, MATCH($B240, Inflation!$B$126:$B$166,0), MATCH(AK$222, Inflation!$D$125:$BD$125,0))</f>
        <v>4216.44002273972</v>
      </c>
      <c r="AL240" s="732">
        <f>(AL194+AL216)*INDEX(Inflation!$D$126:$BD$166, MATCH($B240, Inflation!$B$126:$B$166,0), MATCH(AL$222, Inflation!$D$125:$BD$125,0))</f>
        <v>4328.6583398296225</v>
      </c>
      <c r="AM240" s="732">
        <f>(AM194+AM216)*INDEX(Inflation!$D$126:$BD$166, MATCH($B240, Inflation!$B$126:$B$166,0), MATCH(AM$222, Inflation!$D$125:$BD$125,0))</f>
        <v>4441.0621573788721</v>
      </c>
      <c r="AN240" s="732">
        <f>(AN194+AN216)*INDEX(Inflation!$D$126:$BD$166, MATCH($B240, Inflation!$B$126:$B$166,0), MATCH(AN$222, Inflation!$D$125:$BD$125,0))</f>
        <v>4553.8383734471281</v>
      </c>
      <c r="AO240" s="732">
        <f>(AO194+AO216)*INDEX(Inflation!$D$126:$BD$166, MATCH($B240, Inflation!$B$126:$B$166,0), MATCH(AO$222, Inflation!$D$125:$BD$125,0))</f>
        <v>4666.9774363262886</v>
      </c>
      <c r="AP240" s="732">
        <f>(AP194+AP216)*INDEX(Inflation!$D$126:$BD$166, MATCH($B240, Inflation!$B$126:$B$166,0), MATCH(AP$222, Inflation!$D$125:$BD$125,0))</f>
        <v>4780.2938065393746</v>
      </c>
      <c r="AQ240" s="732">
        <f>(AQ194+AQ216)*INDEX(Inflation!$D$126:$BD$166, MATCH($B240, Inflation!$B$126:$B$166,0), MATCH(AQ$222, Inflation!$D$125:$BD$125,0))</f>
        <v>4894.7163714726494</v>
      </c>
      <c r="AR240" s="732">
        <f>(AR194+AR216)*INDEX(Inflation!$D$126:$BD$166, MATCH($B240, Inflation!$B$126:$B$166,0), MATCH(AR$222, Inflation!$D$125:$BD$125,0))</f>
        <v>5011.373388173517</v>
      </c>
      <c r="AS240" s="732">
        <f>(AS194+AS216)*INDEX(Inflation!$D$126:$BD$166, MATCH($B240, Inflation!$B$126:$B$166,0), MATCH(AS$222, Inflation!$D$125:$BD$125,0))</f>
        <v>5131.2485804696153</v>
      </c>
      <c r="AT240" s="732">
        <f>(AT194+AT216)*INDEX(Inflation!$D$126:$BD$166, MATCH($B240, Inflation!$B$126:$B$166,0), MATCH(AT$222, Inflation!$D$125:$BD$125,0))</f>
        <v>5248.3292838975567</v>
      </c>
      <c r="AU240" s="732" t="e">
        <f>(AU194+AU216)*INDEX(Inflation!$D$126:$BD$166, MATCH($B240, Inflation!$B$126:$B$166,0), MATCH(AU$222, Inflation!$D$125:$BD$125,0))</f>
        <v>#N/A</v>
      </c>
      <c r="AV240" s="732" t="e">
        <f>(AV194+AV216)*INDEX(Inflation!$D$126:$BD$166, MATCH($B240, Inflation!$B$126:$B$166,0), MATCH(AV$222, Inflation!$D$125:$BD$125,0))</f>
        <v>#N/A</v>
      </c>
      <c r="AW240" s="732" t="e">
        <f>(AW194+AW216)*INDEX(Inflation!$D$126:$BD$166, MATCH($B240, Inflation!$B$126:$B$166,0), MATCH(AW$222, Inflation!$D$125:$BD$125,0))</f>
        <v>#N/A</v>
      </c>
      <c r="AX240" s="732" t="e">
        <f>(AX194+AX216)*INDEX(Inflation!$D$126:$BD$166, MATCH($B240, Inflation!$B$126:$B$166,0), MATCH(AX$222, Inflation!$D$125:$BD$125,0))</f>
        <v>#N/A</v>
      </c>
      <c r="AY240" s="732" t="e">
        <f>(AY194+AY216)*INDEX(Inflation!$D$126:$BD$166, MATCH($B240, Inflation!$B$126:$B$166,0), MATCH(AY$222, Inflation!$D$125:$BD$125,0))</f>
        <v>#N/A</v>
      </c>
      <c r="AZ240" s="732" t="e">
        <f>(AZ194+AZ216)*INDEX(Inflation!$D$126:$BD$166, MATCH($B240, Inflation!$B$126:$B$166,0), MATCH(AZ$222, Inflation!$D$125:$BD$125,0))</f>
        <v>#N/A</v>
      </c>
      <c r="BA240" s="732" t="e">
        <f>(BA194+BA216)*INDEX(Inflation!$D$126:$BD$166, MATCH($B240, Inflation!$B$126:$B$166,0), MATCH(BA$222, Inflation!$D$125:$BD$125,0))</f>
        <v>#N/A</v>
      </c>
      <c r="BB240" s="732" t="e">
        <f>(BB194+BB216)*INDEX(Inflation!$D$126:$BD$166, MATCH($B240, Inflation!$B$126:$B$166,0), MATCH(BB$222, Inflation!$D$125:$BD$125,0))</f>
        <v>#N/A</v>
      </c>
    </row>
    <row r="241" spans="1:54">
      <c r="C241" s="47"/>
    </row>
    <row r="242" spans="1:54" s="9" customFormat="1" ht="15" customHeight="1">
      <c r="B242" s="91" t="s">
        <v>2986</v>
      </c>
      <c r="C242" s="47"/>
      <c r="D242" s="92">
        <f>SUM(D223:D240)</f>
        <v>536954.8714103211</v>
      </c>
      <c r="E242" s="92">
        <f t="shared" ref="E242:AF242" si="110">SUM(E223:E240)</f>
        <v>571085.41989407956</v>
      </c>
      <c r="F242" s="92">
        <f t="shared" si="110"/>
        <v>603628.80632325076</v>
      </c>
      <c r="G242" s="92">
        <f t="shared" si="110"/>
        <v>635298.28805271327</v>
      </c>
      <c r="H242" s="92">
        <f t="shared" si="110"/>
        <v>666819.49992900214</v>
      </c>
      <c r="I242" s="92">
        <f t="shared" si="110"/>
        <v>698639.95316791511</v>
      </c>
      <c r="J242" s="92">
        <f t="shared" si="110"/>
        <v>730807.52968993422</v>
      </c>
      <c r="K242" s="92">
        <f t="shared" si="110"/>
        <v>763569.65630175604</v>
      </c>
      <c r="L242" s="92">
        <f t="shared" si="110"/>
        <v>798318.19740654051</v>
      </c>
      <c r="M242" s="92">
        <f t="shared" si="110"/>
        <v>834317.26892187854</v>
      </c>
      <c r="N242" s="92">
        <f t="shared" si="110"/>
        <v>871203.71256977343</v>
      </c>
      <c r="O242" s="92">
        <f t="shared" si="110"/>
        <v>908530.32816210377</v>
      </c>
      <c r="P242" s="92">
        <f t="shared" si="110"/>
        <v>946468.53260662942</v>
      </c>
      <c r="Q242" s="92">
        <f t="shared" si="110"/>
        <v>985292.51180214551</v>
      </c>
      <c r="R242" s="92">
        <f t="shared" si="110"/>
        <v>1025344.6006879786</v>
      </c>
      <c r="S242" s="92">
        <f t="shared" si="110"/>
        <v>1066717.7203367881</v>
      </c>
      <c r="T242" s="92">
        <f t="shared" si="110"/>
        <v>1109198.9333210841</v>
      </c>
      <c r="U242" s="92">
        <f t="shared" si="110"/>
        <v>1152862.5987492006</v>
      </c>
      <c r="V242" s="92">
        <f t="shared" si="110"/>
        <v>1198403.0475661943</v>
      </c>
      <c r="W242" s="92">
        <f t="shared" si="110"/>
        <v>1245341.952814799</v>
      </c>
      <c r="X242" s="92">
        <f t="shared" si="110"/>
        <v>1293559.3304038439</v>
      </c>
      <c r="Y242" s="92">
        <f t="shared" si="110"/>
        <v>1343061.2792191957</v>
      </c>
      <c r="Z242" s="92">
        <f t="shared" si="110"/>
        <v>1394171.6253827515</v>
      </c>
      <c r="AA242" s="92">
        <f t="shared" si="110"/>
        <v>1446878.3455168877</v>
      </c>
      <c r="AB242" s="92">
        <f t="shared" si="110"/>
        <v>1501106.2879469201</v>
      </c>
      <c r="AC242" s="92">
        <f t="shared" si="110"/>
        <v>1556797.3937677813</v>
      </c>
      <c r="AD242" s="92">
        <f t="shared" si="110"/>
        <v>1613884.1284225578</v>
      </c>
      <c r="AE242" s="92">
        <f t="shared" si="110"/>
        <v>1672316.7226955614</v>
      </c>
      <c r="AF242" s="92">
        <f t="shared" si="110"/>
        <v>1732044.9302399897</v>
      </c>
      <c r="AG242" s="92">
        <f t="shared" ref="AG242:AP242" si="111">SUM(AG223:AG240)</f>
        <v>1793148.8274774989</v>
      </c>
      <c r="AH242" s="92">
        <f t="shared" si="111"/>
        <v>1855982.4430694215</v>
      </c>
      <c r="AI242" s="92">
        <f t="shared" si="111"/>
        <v>1920631.7400396552</v>
      </c>
      <c r="AJ242" s="92">
        <f t="shared" si="111"/>
        <v>1987279.9272633756</v>
      </c>
      <c r="AK242" s="92">
        <f t="shared" si="111"/>
        <v>2055589.4230910221</v>
      </c>
      <c r="AL242" s="92">
        <f t="shared" si="111"/>
        <v>2125278.9015673306</v>
      </c>
      <c r="AM242" s="92">
        <f t="shared" si="111"/>
        <v>2196137.6633464349</v>
      </c>
      <c r="AN242" s="92">
        <f t="shared" si="111"/>
        <v>2268289.5849867756</v>
      </c>
      <c r="AO242" s="92">
        <f t="shared" si="111"/>
        <v>2341764.0258964086</v>
      </c>
      <c r="AP242" s="92">
        <f t="shared" si="111"/>
        <v>2416502.584065164</v>
      </c>
      <c r="AQ242" s="92">
        <f t="shared" ref="AQ242:BA242" si="112">SUM(AQ223:AQ240)</f>
        <v>2493010.6566634825</v>
      </c>
      <c r="AR242" s="92">
        <f t="shared" si="112"/>
        <v>2571911.1336656907</v>
      </c>
      <c r="AS242" s="92">
        <f t="shared" si="112"/>
        <v>2653771.7568896995</v>
      </c>
      <c r="AT242" s="92">
        <f t="shared" si="112"/>
        <v>2735544.3770427709</v>
      </c>
      <c r="AU242" s="92" t="e">
        <f t="shared" si="112"/>
        <v>#N/A</v>
      </c>
      <c r="AV242" s="92" t="e">
        <f t="shared" si="112"/>
        <v>#N/A</v>
      </c>
      <c r="AW242" s="92" t="e">
        <f t="shared" si="112"/>
        <v>#N/A</v>
      </c>
      <c r="AX242" s="92" t="e">
        <f t="shared" si="112"/>
        <v>#N/A</v>
      </c>
      <c r="AY242" s="92" t="e">
        <f t="shared" si="112"/>
        <v>#N/A</v>
      </c>
      <c r="AZ242" s="92" t="e">
        <f t="shared" si="112"/>
        <v>#N/A</v>
      </c>
      <c r="BA242" s="92" t="e">
        <f t="shared" si="112"/>
        <v>#N/A</v>
      </c>
      <c r="BB242" s="92" t="e">
        <f t="shared" ref="BB242" si="113">SUM(BB223:BB240)</f>
        <v>#N/A</v>
      </c>
    </row>
    <row r="243" spans="1:54" s="9" customFormat="1" ht="15" customHeight="1">
      <c r="C243"/>
    </row>
    <row r="244" spans="1:54" s="4" customFormat="1" ht="15" customHeight="1">
      <c r="B244" s="86" t="s">
        <v>180</v>
      </c>
      <c r="C244"/>
      <c r="D244" s="90" t="s">
        <v>181</v>
      </c>
      <c r="E244" s="137">
        <f>E242/D242-1</f>
        <v>6.3563160148103259E-2</v>
      </c>
      <c r="F244" s="137">
        <f t="shared" ref="F244:AF244" si="114">F242/E242-1</f>
        <v>5.698514669698107E-2</v>
      </c>
      <c r="G244" s="137">
        <f t="shared" si="114"/>
        <v>5.2465159710259224E-2</v>
      </c>
      <c r="H244" s="137">
        <f t="shared" si="114"/>
        <v>4.9616396689665665E-2</v>
      </c>
      <c r="I244" s="137">
        <f t="shared" si="114"/>
        <v>4.7719740113030484E-2</v>
      </c>
      <c r="J244" s="137">
        <f t="shared" si="114"/>
        <v>4.6043139067782235E-2</v>
      </c>
      <c r="K244" s="137">
        <f t="shared" si="114"/>
        <v>4.4830034285117559E-2</v>
      </c>
      <c r="L244" s="137">
        <f t="shared" si="114"/>
        <v>4.5508017268633072E-2</v>
      </c>
      <c r="M244" s="137">
        <f t="shared" si="114"/>
        <v>4.5093637640087003E-2</v>
      </c>
      <c r="N244" s="137">
        <f t="shared" si="114"/>
        <v>4.4211530819157518E-2</v>
      </c>
      <c r="O244" s="137">
        <f t="shared" si="114"/>
        <v>4.2844876638815865E-2</v>
      </c>
      <c r="P244" s="137">
        <f t="shared" si="114"/>
        <v>4.1757774362108702E-2</v>
      </c>
      <c r="Q244" s="137">
        <f t="shared" si="114"/>
        <v>4.1019830937847113E-2</v>
      </c>
      <c r="R244" s="137">
        <f t="shared" si="114"/>
        <v>4.0649947509066031E-2</v>
      </c>
      <c r="S244" s="137">
        <f t="shared" si="114"/>
        <v>4.0350453516846185E-2</v>
      </c>
      <c r="T244" s="137">
        <f t="shared" si="114"/>
        <v>3.982423107294375E-2</v>
      </c>
      <c r="U244" s="137">
        <f t="shared" si="114"/>
        <v>3.9365044552812423E-2</v>
      </c>
      <c r="V244" s="137">
        <f t="shared" si="114"/>
        <v>3.9502061101125863E-2</v>
      </c>
      <c r="W244" s="137">
        <f t="shared" si="114"/>
        <v>3.9167878739904571E-2</v>
      </c>
      <c r="X244" s="137">
        <f t="shared" si="114"/>
        <v>3.8718182969794679E-2</v>
      </c>
      <c r="Y244" s="137">
        <f t="shared" si="114"/>
        <v>3.8268015739098438E-2</v>
      </c>
      <c r="Z244" s="137">
        <f t="shared" si="114"/>
        <v>3.8055111076740644E-2</v>
      </c>
      <c r="AA244" s="137">
        <f t="shared" si="114"/>
        <v>3.7805044353607764E-2</v>
      </c>
      <c r="AB244" s="137">
        <f t="shared" si="114"/>
        <v>3.7479268798276122E-2</v>
      </c>
      <c r="AC244" s="137">
        <f t="shared" si="114"/>
        <v>3.7100041661294103E-2</v>
      </c>
      <c r="AD244" s="137">
        <f t="shared" si="114"/>
        <v>3.6669341099431429E-2</v>
      </c>
      <c r="AE244" s="137">
        <f t="shared" si="114"/>
        <v>3.6206189306859704E-2</v>
      </c>
      <c r="AF244" s="137">
        <f t="shared" si="114"/>
        <v>3.5715846605991031E-2</v>
      </c>
      <c r="AG244" s="137">
        <f t="shared" ref="AG244" si="115">AG242/AF242-1</f>
        <v>3.5278471228250785E-2</v>
      </c>
      <c r="AH244" s="137">
        <f t="shared" ref="AH244" si="116">AH242/AG242-1</f>
        <v>3.5040937276976214E-2</v>
      </c>
      <c r="AI244" s="137">
        <f t="shared" ref="AI244" si="117">AI242/AH242-1</f>
        <v>3.4832924854244274E-2</v>
      </c>
      <c r="AJ244" s="137">
        <f t="shared" ref="AJ244" si="118">AJ242/AI242-1</f>
        <v>3.4701179739091703E-2</v>
      </c>
      <c r="AK244" s="137">
        <f t="shared" ref="AK244" si="119">AK242/AJ242-1</f>
        <v>3.4373363757421727E-2</v>
      </c>
      <c r="AL244" s="137">
        <f t="shared" ref="AL244" si="120">AL242/AK242-1</f>
        <v>3.3902430949228846E-2</v>
      </c>
      <c r="AM244" s="137">
        <f t="shared" ref="AM244" si="121">AM242/AL242-1</f>
        <v>3.3340923737984696E-2</v>
      </c>
      <c r="AN244" s="137">
        <f t="shared" ref="AN244" si="122">AN242/AM242-1</f>
        <v>3.2854006761305232E-2</v>
      </c>
      <c r="AO244" s="137">
        <f t="shared" ref="AO244:AP244" si="123">AO242/AN242-1</f>
        <v>3.2392002060028569E-2</v>
      </c>
      <c r="AP244" s="137">
        <f t="shared" si="123"/>
        <v>3.1915495046579645E-2</v>
      </c>
      <c r="AQ244" s="137">
        <f t="shared" ref="AQ244" si="124">AQ242/AP242-1</f>
        <v>3.1660662439521481E-2</v>
      </c>
      <c r="AR244" s="137">
        <f t="shared" ref="AR244" si="125">AR242/AQ242-1</f>
        <v>3.164867217527445E-2</v>
      </c>
      <c r="AS244" s="137">
        <f t="shared" ref="AS244" si="126">AS242/AR242-1</f>
        <v>3.1828713734496139E-2</v>
      </c>
      <c r="AT244" s="137">
        <f t="shared" ref="AT244" si="127">AT242/AS242-1</f>
        <v>3.0813735183055524E-2</v>
      </c>
      <c r="AU244" s="137" t="e">
        <f t="shared" ref="AU244" si="128">AU242/AT242-1</f>
        <v>#N/A</v>
      </c>
      <c r="AV244" s="137" t="e">
        <f t="shared" ref="AV244" si="129">AV242/AU242-1</f>
        <v>#N/A</v>
      </c>
      <c r="AW244" s="137" t="e">
        <f t="shared" ref="AW244" si="130">AW242/AV242-1</f>
        <v>#N/A</v>
      </c>
      <c r="AX244" s="137" t="e">
        <f t="shared" ref="AX244" si="131">AX242/AW242-1</f>
        <v>#N/A</v>
      </c>
      <c r="AY244" s="137" t="e">
        <f t="shared" ref="AY244" si="132">AY242/AX242-1</f>
        <v>#N/A</v>
      </c>
      <c r="AZ244" s="137" t="e">
        <f t="shared" ref="AZ244" si="133">AZ242/AY242-1</f>
        <v>#N/A</v>
      </c>
      <c r="BA244" s="137" t="e">
        <f t="shared" ref="BA244:BB244" si="134">BA242/AZ242-1</f>
        <v>#N/A</v>
      </c>
      <c r="BB244" s="137" t="e">
        <f t="shared" si="134"/>
        <v>#N/A</v>
      </c>
    </row>
    <row r="245" spans="1:54">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row>
    <row r="246" spans="1:54">
      <c r="A246" s="81"/>
      <c r="B246" s="81"/>
      <c r="C246" s="81"/>
      <c r="D246" s="81"/>
      <c r="E246" s="81"/>
    </row>
    <row r="247" spans="1:54">
      <c r="B247" s="91" t="s">
        <v>2987</v>
      </c>
      <c r="C247" s="9"/>
      <c r="D247" s="92">
        <f>D242/C12</f>
        <v>6508.5438958826799</v>
      </c>
      <c r="Z247" s="212">
        <f>Z242/'Mixed costs INT'!Z245-1</f>
        <v>0.50128839500521605</v>
      </c>
      <c r="AF247" s="15"/>
    </row>
    <row r="248" spans="1:54" ht="29">
      <c r="B248" s="91" t="s">
        <v>2988</v>
      </c>
      <c r="C248" s="9"/>
      <c r="D248" s="92">
        <f>'Resource costs'!O47</f>
        <v>4747.5656656574738</v>
      </c>
      <c r="AF248" s="384">
        <f>AF242/'Mixed costs INT'!AF245-1</f>
        <v>0.51253790573789715</v>
      </c>
    </row>
    <row r="249" spans="1:54">
      <c r="D249" s="19">
        <f>D247/D248-1</f>
        <v>0.37092235352606417</v>
      </c>
    </row>
    <row r="250" spans="1:54">
      <c r="B250" s="52"/>
      <c r="D250" s="81"/>
    </row>
  </sheetData>
  <pageMargins left="0.7" right="0.7" top="0.75" bottom="0.75" header="0.3" footer="0.3"/>
  <pageSetup paperSize="9" orientation="portrait" verticalDpi="3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K351"/>
  <sheetViews>
    <sheetView showGridLines="0" tabSelected="1" topLeftCell="B187" zoomScale="118" zoomScaleNormal="118" workbookViewId="0">
      <selection activeCell="C193" sqref="C193"/>
    </sheetView>
  </sheetViews>
  <sheetFormatPr defaultRowHeight="14.5"/>
  <cols>
    <col min="1" max="1" width="5.36328125" customWidth="1"/>
    <col min="2" max="2" width="32.54296875" customWidth="1"/>
    <col min="3" max="3" width="20.6328125" customWidth="1"/>
    <col min="4" max="4" width="12.36328125" customWidth="1"/>
    <col min="5" max="5" width="15.54296875" customWidth="1"/>
    <col min="6" max="6" width="12.36328125" customWidth="1"/>
    <col min="7" max="7" width="17.36328125" customWidth="1"/>
    <col min="8" max="8" width="15.90625" customWidth="1"/>
    <col min="9" max="9" width="16.6328125" customWidth="1"/>
    <col min="10" max="10" width="190.36328125" customWidth="1"/>
    <col min="11" max="11" width="8.90625" customWidth="1"/>
    <col min="13" max="13" width="31.90625" customWidth="1"/>
  </cols>
  <sheetData>
    <row r="1" spans="1:4" s="777" customFormat="1" ht="18.5">
      <c r="A1" s="780" t="s">
        <v>3552</v>
      </c>
    </row>
    <row r="2" spans="1:4" s="777" customFormat="1">
      <c r="A2" s="777" t="s">
        <v>3553</v>
      </c>
    </row>
    <row r="3" spans="1:4" s="777" customFormat="1">
      <c r="A3" s="777" t="s">
        <v>3750</v>
      </c>
    </row>
    <row r="4" spans="1:4" s="781" customFormat="1"/>
    <row r="7" spans="1:4" s="627" customFormat="1" ht="18.5">
      <c r="A7" s="587" t="s">
        <v>10</v>
      </c>
      <c r="B7" s="587" t="s">
        <v>3581</v>
      </c>
    </row>
    <row r="8" spans="1:4" s="771" customFormat="1" ht="18.5">
      <c r="A8" s="622"/>
      <c r="B8" s="622"/>
    </row>
    <row r="10" spans="1:4">
      <c r="B10" s="445" t="s">
        <v>2890</v>
      </c>
      <c r="C10" s="829">
        <v>2020</v>
      </c>
    </row>
    <row r="11" spans="1:4">
      <c r="B11" s="445" t="s">
        <v>3508</v>
      </c>
      <c r="C11" s="829">
        <v>2021</v>
      </c>
    </row>
    <row r="12" spans="1:4">
      <c r="B12" s="445" t="s">
        <v>3511</v>
      </c>
      <c r="C12" s="829">
        <v>3</v>
      </c>
    </row>
    <row r="13" spans="1:4">
      <c r="B13" s="445" t="s">
        <v>3198</v>
      </c>
      <c r="C13" s="521">
        <f>SUM(C11:C12)</f>
        <v>2024</v>
      </c>
    </row>
    <row r="16" spans="1:4" ht="12.65" customHeight="1">
      <c r="B16" s="83" t="s">
        <v>3254</v>
      </c>
      <c r="C16" s="830">
        <v>0.3</v>
      </c>
      <c r="D16" s="831" t="s">
        <v>3468</v>
      </c>
    </row>
    <row r="17" spans="1:5" ht="12.65" customHeight="1">
      <c r="B17" s="747"/>
      <c r="C17" s="747"/>
      <c r="D17" s="747"/>
    </row>
    <row r="18" spans="1:5">
      <c r="B18" s="747"/>
      <c r="C18" s="747"/>
      <c r="D18" s="745"/>
    </row>
    <row r="19" spans="1:5">
      <c r="B19" s="747"/>
      <c r="C19" s="747"/>
      <c r="D19" s="745"/>
    </row>
    <row r="20" spans="1:5">
      <c r="B20" s="747"/>
      <c r="C20" s="747"/>
      <c r="D20" s="745"/>
    </row>
    <row r="21" spans="1:5" s="627" customFormat="1" ht="18.5">
      <c r="A21" s="587" t="s">
        <v>10</v>
      </c>
      <c r="B21" s="587" t="s">
        <v>3588</v>
      </c>
    </row>
    <row r="22" spans="1:5">
      <c r="B22" s="824" t="s">
        <v>3590</v>
      </c>
      <c r="C22" s="747"/>
      <c r="D22" s="745"/>
    </row>
    <row r="23" spans="1:5">
      <c r="C23" s="211"/>
    </row>
    <row r="24" spans="1:5">
      <c r="A24" s="9" t="s">
        <v>10</v>
      </c>
      <c r="B24" s="9" t="s">
        <v>3587</v>
      </c>
      <c r="C24" s="211"/>
    </row>
    <row r="25" spans="1:5">
      <c r="A25" s="9"/>
      <c r="B25" s="824" t="s">
        <v>3751</v>
      </c>
      <c r="C25" s="211"/>
    </row>
    <row r="26" spans="1:5">
      <c r="A26" s="9"/>
      <c r="B26" s="914"/>
      <c r="C26" s="211"/>
    </row>
    <row r="27" spans="1:5" ht="15" thickBot="1">
      <c r="C27" s="211"/>
    </row>
    <row r="28" spans="1:5" ht="15" thickBot="1">
      <c r="B28" s="774" t="s">
        <v>2514</v>
      </c>
      <c r="C28" s="772" t="s">
        <v>3014</v>
      </c>
      <c r="D28" s="210">
        <f>INDEX(Epidemiology!$E$83:$I$83, MATCH(C28,Epidemiology!$E$84:$I$84,0))</f>
        <v>3</v>
      </c>
    </row>
    <row r="29" spans="1:5">
      <c r="B29" s="52"/>
      <c r="C29" s="52"/>
      <c r="D29" s="210"/>
    </row>
    <row r="30" spans="1:5">
      <c r="C30" s="8" t="s">
        <v>3506</v>
      </c>
      <c r="D30" s="745"/>
    </row>
    <row r="31" spans="1:5">
      <c r="B31" s="7" t="s">
        <v>2505</v>
      </c>
      <c r="C31" s="7" t="str">
        <f>Epidemiology!C84</f>
        <v>Manual</v>
      </c>
      <c r="D31" s="745"/>
      <c r="E31" s="7" t="s">
        <v>3014</v>
      </c>
    </row>
    <row r="32" spans="1:5">
      <c r="B32" s="6" t="s">
        <v>27</v>
      </c>
      <c r="C32" s="208">
        <f>Epidemiology!C85</f>
        <v>2.3000000000000001E-4</v>
      </c>
      <c r="D32" s="745"/>
      <c r="E32" s="827">
        <v>2.3000000000000001E-4</v>
      </c>
    </row>
    <row r="33" spans="1:7">
      <c r="B33" s="6" t="s">
        <v>28</v>
      </c>
      <c r="C33" s="208">
        <f>Epidemiology!C86</f>
        <v>5.5000000000000003E-4</v>
      </c>
      <c r="D33" s="745"/>
      <c r="E33" s="827">
        <v>5.5000000000000003E-4</v>
      </c>
    </row>
    <row r="34" spans="1:7">
      <c r="B34" s="6" t="s">
        <v>30</v>
      </c>
      <c r="C34" s="208">
        <f>Epidemiology!C87</f>
        <v>1.89E-3</v>
      </c>
      <c r="D34" s="745"/>
      <c r="E34" s="827">
        <v>1.89E-3</v>
      </c>
      <c r="F34" t="s">
        <v>3778</v>
      </c>
    </row>
    <row r="35" spans="1:7">
      <c r="D35" s="745"/>
    </row>
    <row r="36" spans="1:7">
      <c r="B36" s="6" t="s">
        <v>2888</v>
      </c>
      <c r="C36" s="134">
        <f>Epidemiology!C89</f>
        <v>2020</v>
      </c>
      <c r="D36" s="745"/>
      <c r="E36" s="828">
        <v>2020</v>
      </c>
    </row>
    <row r="37" spans="1:7">
      <c r="B37" s="747"/>
      <c r="C37" s="747"/>
      <c r="D37" s="745"/>
    </row>
    <row r="38" spans="1:7">
      <c r="A38" s="9"/>
      <c r="B38" s="9"/>
      <c r="C38" s="211"/>
    </row>
    <row r="39" spans="1:7">
      <c r="A39" s="9" t="s">
        <v>10</v>
      </c>
      <c r="B39" s="9" t="s">
        <v>3582</v>
      </c>
      <c r="C39" s="211"/>
    </row>
    <row r="40" spans="1:7">
      <c r="B40" s="824" t="s">
        <v>3591</v>
      </c>
      <c r="C40" s="747"/>
      <c r="D40" s="745"/>
    </row>
    <row r="41" spans="1:7">
      <c r="B41" s="824"/>
      <c r="C41" s="747"/>
      <c r="D41" s="745"/>
    </row>
    <row r="42" spans="1:7" ht="15" thickBot="1">
      <c r="B42" s="824"/>
      <c r="C42" s="747"/>
      <c r="D42" s="745"/>
    </row>
    <row r="43" spans="1:7" ht="15" thickBot="1">
      <c r="B43" s="774" t="s">
        <v>3589</v>
      </c>
      <c r="C43" s="772" t="s">
        <v>3014</v>
      </c>
      <c r="D43" s="151">
        <f>INDEX(E$45:G$45,MATCH(C43,E46:G46,0))</f>
        <v>2</v>
      </c>
    </row>
    <row r="44" spans="1:7">
      <c r="B44" s="52"/>
      <c r="C44" s="52"/>
      <c r="D44" s="210"/>
    </row>
    <row r="45" spans="1:7">
      <c r="C45" s="8" t="s">
        <v>3582</v>
      </c>
      <c r="D45" s="745"/>
      <c r="E45" s="151">
        <v>1</v>
      </c>
      <c r="F45" s="151"/>
      <c r="G45" s="151">
        <v>2</v>
      </c>
    </row>
    <row r="46" spans="1:7">
      <c r="B46" s="7"/>
      <c r="C46" s="7" t="str">
        <f>CHOOSE(D$43,E46,G46)</f>
        <v>Manual</v>
      </c>
      <c r="D46" s="745"/>
      <c r="E46" s="57" t="s">
        <v>3013</v>
      </c>
      <c r="G46" s="57" t="s">
        <v>3014</v>
      </c>
    </row>
    <row r="47" spans="1:7">
      <c r="B47" s="6" t="s">
        <v>3582</v>
      </c>
      <c r="C47" s="12">
        <f>CHOOSE(D$43,E47,G47)</f>
        <v>150000</v>
      </c>
      <c r="D47" s="745"/>
      <c r="E47" s="12">
        <f>SUM('Demographic growth'!N32:N104)</f>
        <v>42070419</v>
      </c>
      <c r="G47" s="832">
        <v>150000</v>
      </c>
    </row>
    <row r="48" spans="1:7">
      <c r="B48" s="747"/>
      <c r="C48" s="747"/>
      <c r="D48" s="745"/>
      <c r="E48" s="824" t="s">
        <v>3676</v>
      </c>
    </row>
    <row r="50" spans="1:11">
      <c r="B50" s="747"/>
      <c r="C50" s="747"/>
      <c r="D50" s="745"/>
    </row>
    <row r="51" spans="1:11" s="627" customFormat="1" ht="18.5">
      <c r="A51" s="587" t="s">
        <v>10</v>
      </c>
      <c r="B51" s="587" t="s">
        <v>3720</v>
      </c>
    </row>
    <row r="52" spans="1:11">
      <c r="B52" s="906" t="s">
        <v>3740</v>
      </c>
      <c r="C52" s="747"/>
      <c r="D52" s="745"/>
    </row>
    <row r="53" spans="1:11">
      <c r="B53" s="905" t="s">
        <v>3776</v>
      </c>
      <c r="C53" s="747"/>
      <c r="D53" s="745"/>
    </row>
    <row r="54" spans="1:11">
      <c r="B54" s="905" t="s">
        <v>3775</v>
      </c>
      <c r="C54" s="747"/>
      <c r="D54" s="745"/>
    </row>
    <row r="55" spans="1:11">
      <c r="B55" s="905" t="s">
        <v>3747</v>
      </c>
      <c r="C55" s="747"/>
      <c r="D55" s="745"/>
    </row>
    <row r="56" spans="1:11">
      <c r="B56" s="905"/>
      <c r="C56" s="747"/>
      <c r="D56" s="745"/>
    </row>
    <row r="57" spans="1:11">
      <c r="B57" s="747"/>
      <c r="C57" s="747"/>
      <c r="D57" s="745"/>
      <c r="G57" s="151">
        <v>1</v>
      </c>
      <c r="H57" s="151"/>
      <c r="I57" s="151">
        <v>2</v>
      </c>
    </row>
    <row r="58" spans="1:11" ht="15" thickBot="1">
      <c r="B58" s="84" t="s">
        <v>125</v>
      </c>
      <c r="C58" s="747"/>
      <c r="D58" s="84" t="s">
        <v>3503</v>
      </c>
      <c r="E58" s="84" t="s">
        <v>2525</v>
      </c>
      <c r="G58" s="84" t="s">
        <v>3013</v>
      </c>
      <c r="I58" s="84" t="s">
        <v>3014</v>
      </c>
    </row>
    <row r="59" spans="1:11" ht="15" thickBot="1">
      <c r="B59" s="6" t="s">
        <v>11</v>
      </c>
      <c r="C59" s="747"/>
      <c r="D59" s="772" t="s">
        <v>3013</v>
      </c>
      <c r="E59" s="888">
        <f>CHOOSE(K59,G59,I59)</f>
        <v>162275.67023773913</v>
      </c>
      <c r="G59" s="888">
        <f>INDEX('National model results detailed'!C227:AO227, MATCH($C$10, 'National model results detailed'!$C$226:$AO$226,0))</f>
        <v>162275.67023773913</v>
      </c>
      <c r="I59" s="907"/>
      <c r="K59" s="151">
        <f t="shared" ref="K59:K70" si="0">INDEX(G$57:I$57,MATCH(D59,$G$58:$I$58,0))</f>
        <v>1</v>
      </c>
    </row>
    <row r="60" spans="1:11" ht="15" thickBot="1">
      <c r="B60" s="6" t="s">
        <v>14</v>
      </c>
      <c r="C60" s="747"/>
      <c r="D60" s="772" t="s">
        <v>3014</v>
      </c>
      <c r="E60" s="888">
        <f t="shared" ref="E60:E72" si="1">CHOOSE(K60,G60,I60)</f>
        <v>18963.68</v>
      </c>
      <c r="G60" s="888">
        <f>INDEX('National model results detailed'!C228:AO228, MATCH($C$10, 'National model results detailed'!$C$226:$AO$226,0))</f>
        <v>330.23812390692063</v>
      </c>
      <c r="I60" s="907">
        <v>18963.68</v>
      </c>
      <c r="J60" t="s">
        <v>3779</v>
      </c>
      <c r="K60" s="151">
        <f t="shared" si="0"/>
        <v>2</v>
      </c>
    </row>
    <row r="61" spans="1:11" ht="15" thickBot="1">
      <c r="B61" s="6" t="s">
        <v>15</v>
      </c>
      <c r="C61" s="747"/>
      <c r="D61" s="772" t="s">
        <v>3013</v>
      </c>
      <c r="E61" s="888">
        <f t="shared" si="1"/>
        <v>5319.9855347552493</v>
      </c>
      <c r="G61" s="888">
        <f>INDEX('National model results detailed'!C229:AO229, MATCH($C$10, 'National model results detailed'!$C$226:$AO$226,0))</f>
        <v>5319.9855347552493</v>
      </c>
      <c r="I61" s="907"/>
      <c r="K61" s="151">
        <f t="shared" si="0"/>
        <v>1</v>
      </c>
    </row>
    <row r="62" spans="1:11" ht="15" thickBot="1">
      <c r="B62" s="6" t="s">
        <v>16</v>
      </c>
      <c r="C62" s="747"/>
      <c r="D62" s="772" t="s">
        <v>3013</v>
      </c>
      <c r="E62" s="888">
        <f t="shared" si="1"/>
        <v>87380.366700960963</v>
      </c>
      <c r="G62" s="888">
        <f>INDEX('National model results detailed'!C230:AO230, MATCH($C$10, 'National model results detailed'!$C$226:$AO$226,0))</f>
        <v>87380.366700960963</v>
      </c>
      <c r="I62" s="907"/>
      <c r="J62" t="s">
        <v>3780</v>
      </c>
      <c r="K62" s="151">
        <f t="shared" si="0"/>
        <v>1</v>
      </c>
    </row>
    <row r="63" spans="1:11" ht="15" thickBot="1">
      <c r="B63" s="6" t="s">
        <v>103</v>
      </c>
      <c r="C63" s="747"/>
      <c r="D63" s="772" t="s">
        <v>3013</v>
      </c>
      <c r="E63" s="888">
        <f t="shared" si="1"/>
        <v>666527.69409990811</v>
      </c>
      <c r="G63" s="888">
        <f>INDEX('National model results detailed'!C231:AO231, MATCH($C$10, 'National model results detailed'!$C$226:$AO$226,0))</f>
        <v>666527.69409990811</v>
      </c>
      <c r="I63" s="907"/>
      <c r="J63" t="s">
        <v>3781</v>
      </c>
      <c r="K63" s="151">
        <f t="shared" si="0"/>
        <v>1</v>
      </c>
    </row>
    <row r="64" spans="1:11" ht="15" thickBot="1">
      <c r="B64" s="6" t="s">
        <v>104</v>
      </c>
      <c r="C64" s="747"/>
      <c r="D64" s="772" t="s">
        <v>3013</v>
      </c>
      <c r="E64" s="888">
        <f t="shared" si="1"/>
        <v>77072.310579558907</v>
      </c>
      <c r="G64" s="888">
        <f>INDEX('National model results detailed'!C232:AO232, MATCH($C$10, 'National model results detailed'!$C$226:$AO$226,0))</f>
        <v>77072.310579558907</v>
      </c>
      <c r="I64" s="907"/>
      <c r="K64" s="151">
        <f t="shared" si="0"/>
        <v>1</v>
      </c>
    </row>
    <row r="65" spans="1:11" ht="15" thickBot="1">
      <c r="B65" s="6" t="s">
        <v>17</v>
      </c>
      <c r="C65" s="747"/>
      <c r="D65" s="772" t="s">
        <v>3013</v>
      </c>
      <c r="E65" s="888">
        <f t="shared" si="1"/>
        <v>38097.301285716727</v>
      </c>
      <c r="G65" s="888">
        <f>INDEX('National model results detailed'!C233:AO233, MATCH($C$10, 'National model results detailed'!$C$226:$AO$226,0))</f>
        <v>38097.301285716727</v>
      </c>
      <c r="I65" s="907"/>
      <c r="K65" s="151">
        <f t="shared" si="0"/>
        <v>1</v>
      </c>
    </row>
    <row r="66" spans="1:11" ht="15" thickBot="1">
      <c r="B66" s="6" t="s">
        <v>217</v>
      </c>
      <c r="C66" s="747"/>
      <c r="D66" s="772" t="s">
        <v>3013</v>
      </c>
      <c r="E66" s="888">
        <f t="shared" si="1"/>
        <v>240715.48338421382</v>
      </c>
      <c r="G66" s="888">
        <f>INDEX('National model results detailed'!C234:AO234, MATCH($C$10, 'National model results detailed'!$C$226:$AO$226,0))</f>
        <v>240715.48338421382</v>
      </c>
      <c r="I66" s="907"/>
      <c r="K66" s="151">
        <f t="shared" si="0"/>
        <v>1</v>
      </c>
    </row>
    <row r="67" spans="1:11" ht="15" thickBot="1">
      <c r="B67" s="26" t="s">
        <v>3714</v>
      </c>
      <c r="C67" s="747"/>
      <c r="D67" s="772" t="s">
        <v>3013</v>
      </c>
      <c r="E67" s="888">
        <f t="shared" si="1"/>
        <v>174779.29552087732</v>
      </c>
      <c r="G67" s="888">
        <f>INDEX('National model results detailed'!C235:AO235, MATCH($C$10, 'National model results detailed'!$C$226:$AO$226,0))</f>
        <v>174779.29552087732</v>
      </c>
      <c r="I67" s="907"/>
      <c r="K67" s="151">
        <f t="shared" si="0"/>
        <v>1</v>
      </c>
    </row>
    <row r="68" spans="1:11" ht="15" thickBot="1">
      <c r="B68" s="26" t="s">
        <v>102</v>
      </c>
      <c r="C68" s="747"/>
      <c r="D68" s="772" t="s">
        <v>3013</v>
      </c>
      <c r="E68" s="888">
        <f t="shared" si="1"/>
        <v>2696.1643307111453</v>
      </c>
      <c r="G68" s="888">
        <f>INDEX('National model results detailed'!C236:AO236, MATCH($C$10, 'National model results detailed'!$C$226:$AO$226,0))</f>
        <v>2696.1643307111453</v>
      </c>
      <c r="I68" s="907"/>
      <c r="K68" s="151">
        <f t="shared" si="0"/>
        <v>1</v>
      </c>
    </row>
    <row r="69" spans="1:11" ht="15" thickBot="1">
      <c r="B69" s="26" t="s">
        <v>2831</v>
      </c>
      <c r="C69" s="747"/>
      <c r="D69" s="772" t="s">
        <v>3014</v>
      </c>
      <c r="E69" s="888">
        <f t="shared" si="1"/>
        <v>385246</v>
      </c>
      <c r="G69" s="888">
        <f>INDEX('National model results detailed'!C237:AO237, MATCH($C$10, 'National model results detailed'!$C$226:$AO$226,0))</f>
        <v>287416.85360564466</v>
      </c>
      <c r="I69" s="907">
        <v>385246</v>
      </c>
      <c r="K69" s="151">
        <f t="shared" si="0"/>
        <v>2</v>
      </c>
    </row>
    <row r="70" spans="1:11" ht="15" thickBot="1">
      <c r="B70" s="26" t="s">
        <v>2832</v>
      </c>
      <c r="C70" s="747"/>
      <c r="D70" s="772" t="s">
        <v>3014</v>
      </c>
      <c r="E70" s="888">
        <f t="shared" si="1"/>
        <v>0</v>
      </c>
      <c r="G70" s="888">
        <f>INDEX('National model results detailed'!C238:AO238, MATCH($C$10, 'National model results detailed'!$C$226:$AO$226,0))</f>
        <v>115059.52680700402</v>
      </c>
      <c r="I70" s="907"/>
      <c r="J70" t="s">
        <v>3782</v>
      </c>
      <c r="K70" s="151">
        <f t="shared" si="0"/>
        <v>2</v>
      </c>
    </row>
    <row r="71" spans="1:11" ht="15" thickBot="1">
      <c r="B71" s="887"/>
      <c r="C71" s="747"/>
      <c r="D71" s="81"/>
      <c r="E71" s="81"/>
      <c r="G71" s="81"/>
      <c r="I71" s="824"/>
      <c r="K71" s="151"/>
    </row>
    <row r="72" spans="1:11" ht="15" thickBot="1">
      <c r="B72" s="26" t="s">
        <v>3724</v>
      </c>
      <c r="C72" s="747"/>
      <c r="D72" s="772" t="s">
        <v>3013</v>
      </c>
      <c r="E72" s="26">
        <f t="shared" si="1"/>
        <v>2020</v>
      </c>
      <c r="G72" s="26">
        <f>C10</f>
        <v>2020</v>
      </c>
      <c r="I72" s="908"/>
      <c r="K72" s="151">
        <f>INDEX(G$57:I$57,MATCH(D72,$G$58:$I$58,0))</f>
        <v>1</v>
      </c>
    </row>
    <row r="73" spans="1:11">
      <c r="B73" s="887"/>
      <c r="C73" s="747"/>
      <c r="D73" s="824"/>
      <c r="G73" s="824" t="s">
        <v>3722</v>
      </c>
      <c r="J73" s="824"/>
    </row>
    <row r="74" spans="1:11">
      <c r="B74" s="747"/>
      <c r="C74" s="747"/>
      <c r="D74" s="745"/>
    </row>
    <row r="75" spans="1:11" s="627" customFormat="1" ht="18.5">
      <c r="A75" s="587" t="s">
        <v>10</v>
      </c>
      <c r="B75" s="587" t="s">
        <v>3017</v>
      </c>
    </row>
    <row r="77" spans="1:11">
      <c r="B77" t="s">
        <v>3002</v>
      </c>
    </row>
    <row r="79" spans="1:11" s="95" customFormat="1"/>
    <row r="80" spans="1:11">
      <c r="A80" t="s">
        <v>10</v>
      </c>
      <c r="B80" s="9" t="s">
        <v>3018</v>
      </c>
    </row>
    <row r="81" spans="1:9" ht="15" thickBot="1">
      <c r="B81" s="9"/>
    </row>
    <row r="82" spans="1:9" ht="15" thickBot="1">
      <c r="B82" s="774" t="s">
        <v>3501</v>
      </c>
      <c r="C82" s="772" t="s">
        <v>3013</v>
      </c>
      <c r="D82" s="151">
        <f>INDEX(E$84:G$84,MATCH(C82,E85:G85,0))</f>
        <v>1</v>
      </c>
      <c r="E82" s="151"/>
      <c r="F82" s="151"/>
      <c r="G82" s="151"/>
    </row>
    <row r="83" spans="1:9">
      <c r="B83" s="9"/>
      <c r="D83" s="151"/>
      <c r="E83" s="151"/>
      <c r="F83" s="151"/>
      <c r="G83" s="151"/>
    </row>
    <row r="84" spans="1:9" ht="29">
      <c r="C84" s="57" t="s">
        <v>3015</v>
      </c>
      <c r="E84" s="151">
        <v>1</v>
      </c>
      <c r="F84" s="151"/>
      <c r="G84" s="151">
        <v>2</v>
      </c>
    </row>
    <row r="85" spans="1:9">
      <c r="B85" s="34" t="s">
        <v>2502</v>
      </c>
      <c r="C85" s="438" t="str">
        <f>CHOOSE(D$82,E85,G85)</f>
        <v>Default</v>
      </c>
      <c r="E85" s="57" t="s">
        <v>3013</v>
      </c>
      <c r="G85" s="57" t="s">
        <v>3014</v>
      </c>
    </row>
    <row r="86" spans="1:9">
      <c r="B86" s="431" t="s">
        <v>2773</v>
      </c>
      <c r="C86" s="483">
        <f>CHOOSE(D$82,E86,G86)</f>
        <v>0.6</v>
      </c>
      <c r="E86" s="483">
        <f>'Resource costs'!E327</f>
        <v>0.6</v>
      </c>
      <c r="F86" s="145"/>
      <c r="G86" s="837">
        <v>1</v>
      </c>
      <c r="H86" t="s">
        <v>3783</v>
      </c>
    </row>
    <row r="87" spans="1:9">
      <c r="B87" s="431" t="s">
        <v>2713</v>
      </c>
      <c r="C87" s="483">
        <f t="shared" ref="C87:C89" si="2">CHOOSE(D$82,E87,G87)</f>
        <v>0.4</v>
      </c>
      <c r="E87" s="483">
        <f>'Resource costs'!E328</f>
        <v>0.4</v>
      </c>
      <c r="F87" s="145"/>
      <c r="G87" s="837">
        <v>0</v>
      </c>
    </row>
    <row r="88" spans="1:9">
      <c r="B88" s="431" t="s">
        <v>2997</v>
      </c>
      <c r="C88" s="483">
        <f t="shared" si="2"/>
        <v>0</v>
      </c>
      <c r="E88" s="770">
        <v>0</v>
      </c>
      <c r="F88" s="145"/>
      <c r="G88" s="770">
        <v>0</v>
      </c>
    </row>
    <row r="89" spans="1:9">
      <c r="B89" s="431" t="s">
        <v>3592</v>
      </c>
      <c r="C89" s="483">
        <f t="shared" si="2"/>
        <v>0</v>
      </c>
      <c r="E89" s="770">
        <v>0</v>
      </c>
      <c r="F89" s="145"/>
      <c r="G89" s="770">
        <v>0</v>
      </c>
    </row>
    <row r="90" spans="1:9">
      <c r="B90" s="773" t="s">
        <v>3504</v>
      </c>
      <c r="C90" s="675" t="str">
        <f>IF(SUM(C86:C89)=1, "No error", "Does not equal 100%")</f>
        <v>No error</v>
      </c>
    </row>
    <row r="91" spans="1:9">
      <c r="B91" s="773"/>
      <c r="C91" s="675"/>
    </row>
    <row r="92" spans="1:9">
      <c r="A92" t="s">
        <v>10</v>
      </c>
      <c r="B92" s="9" t="s">
        <v>3019</v>
      </c>
    </row>
    <row r="93" spans="1:9" ht="15" thickBot="1">
      <c r="B93" s="9"/>
    </row>
    <row r="94" spans="1:9" ht="15" thickBot="1">
      <c r="B94" s="774" t="s">
        <v>3501</v>
      </c>
      <c r="C94" s="772" t="s">
        <v>3013</v>
      </c>
      <c r="D94" s="151">
        <f>INDEX(E$96:I$96,MATCH(C94,E97:I97,0))</f>
        <v>1</v>
      </c>
      <c r="E94" s="151"/>
      <c r="F94" s="151"/>
      <c r="G94" s="151"/>
      <c r="H94" s="151"/>
      <c r="I94" s="151"/>
    </row>
    <row r="95" spans="1:9">
      <c r="B95" s="9"/>
      <c r="D95" s="151"/>
      <c r="E95" s="151"/>
      <c r="F95" s="151"/>
      <c r="G95" s="151"/>
      <c r="H95" s="151"/>
      <c r="I95" s="151"/>
    </row>
    <row r="96" spans="1:9" ht="29">
      <c r="C96" s="57" t="s">
        <v>3016</v>
      </c>
      <c r="E96" s="151">
        <v>1</v>
      </c>
      <c r="F96" s="151"/>
      <c r="G96" s="151">
        <v>2</v>
      </c>
      <c r="I96" s="151">
        <v>3</v>
      </c>
    </row>
    <row r="97" spans="1:9">
      <c r="B97" s="34" t="s">
        <v>2502</v>
      </c>
      <c r="C97" s="438" t="str">
        <f>CHOOSE(D$94,E97,G97,I97)</f>
        <v>Default</v>
      </c>
      <c r="E97" s="57" t="s">
        <v>3013</v>
      </c>
      <c r="G97" s="57" t="s">
        <v>3014</v>
      </c>
      <c r="I97" s="57" t="s">
        <v>20</v>
      </c>
    </row>
    <row r="98" spans="1:9">
      <c r="B98" s="431" t="s">
        <v>2773</v>
      </c>
      <c r="C98" s="483">
        <f>CHOOSE(D$94,E98,G98,I98)</f>
        <v>0.4</v>
      </c>
      <c r="E98" s="770">
        <v>0.4</v>
      </c>
      <c r="G98" s="825">
        <v>0.64</v>
      </c>
      <c r="I98" s="445">
        <f>C86</f>
        <v>0.6</v>
      </c>
    </row>
    <row r="99" spans="1:9">
      <c r="B99" s="431" t="s">
        <v>2713</v>
      </c>
      <c r="C99" s="483">
        <f t="shared" ref="C99:C101" si="3">CHOOSE(D$94,E99,G99,I99)</f>
        <v>0.1</v>
      </c>
      <c r="E99" s="770">
        <v>0.1</v>
      </c>
      <c r="G99" s="825">
        <v>0</v>
      </c>
      <c r="I99" s="445">
        <f>C87</f>
        <v>0.4</v>
      </c>
    </row>
    <row r="100" spans="1:9">
      <c r="B100" s="431" t="s">
        <v>2997</v>
      </c>
      <c r="C100" s="483">
        <f t="shared" si="3"/>
        <v>0.35</v>
      </c>
      <c r="E100" s="770">
        <v>0.35</v>
      </c>
      <c r="G100" s="825">
        <v>0.36</v>
      </c>
      <c r="I100" s="445">
        <f>C88</f>
        <v>0</v>
      </c>
    </row>
    <row r="101" spans="1:9">
      <c r="B101" s="431" t="s">
        <v>3592</v>
      </c>
      <c r="C101" s="483">
        <f t="shared" si="3"/>
        <v>0.15</v>
      </c>
      <c r="E101" s="770">
        <v>0.15</v>
      </c>
      <c r="G101" s="825">
        <v>0</v>
      </c>
      <c r="I101" s="445">
        <f>C89</f>
        <v>0</v>
      </c>
    </row>
    <row r="102" spans="1:9">
      <c r="B102" s="773" t="s">
        <v>3504</v>
      </c>
      <c r="C102" s="675" t="str">
        <f>IF(SUM(C98:C101)=1, "No error", "Does not equal 100%")</f>
        <v>No error</v>
      </c>
    </row>
    <row r="104" spans="1:9" hidden="1"/>
    <row r="105" spans="1:9" hidden="1">
      <c r="A105" t="s">
        <v>10</v>
      </c>
      <c r="B105" s="9" t="s">
        <v>3020</v>
      </c>
    </row>
    <row r="106" spans="1:9" hidden="1">
      <c r="B106" s="9"/>
    </row>
    <row r="107" spans="1:9" hidden="1"/>
    <row r="108" spans="1:9" hidden="1">
      <c r="C108" s="84" t="s">
        <v>2998</v>
      </c>
      <c r="D108" s="84"/>
      <c r="E108" s="84"/>
    </row>
    <row r="109" spans="1:9" ht="43.5" hidden="1">
      <c r="B109" s="34" t="s">
        <v>2502</v>
      </c>
      <c r="C109" s="432" t="s">
        <v>2999</v>
      </c>
      <c r="D109" s="432" t="s">
        <v>3000</v>
      </c>
      <c r="E109" s="432" t="s">
        <v>105</v>
      </c>
      <c r="G109" s="57" t="s">
        <v>20</v>
      </c>
      <c r="H109" s="57" t="s">
        <v>2602</v>
      </c>
    </row>
    <row r="110" spans="1:9" hidden="1">
      <c r="B110" s="431" t="s">
        <v>2773</v>
      </c>
      <c r="C110" s="430">
        <v>1</v>
      </c>
      <c r="D110" s="430">
        <v>0</v>
      </c>
      <c r="E110" s="430">
        <v>0</v>
      </c>
      <c r="G110" s="483">
        <f>C86</f>
        <v>0.6</v>
      </c>
      <c r="H110" s="483">
        <f>C98</f>
        <v>0.4</v>
      </c>
    </row>
    <row r="111" spans="1:9" hidden="1">
      <c r="B111" s="431" t="s">
        <v>2713</v>
      </c>
      <c r="C111" s="430">
        <v>0</v>
      </c>
      <c r="D111" s="430">
        <v>0</v>
      </c>
      <c r="E111" s="430">
        <v>1</v>
      </c>
      <c r="G111" s="483">
        <f>C87</f>
        <v>0.4</v>
      </c>
      <c r="H111" s="483">
        <f>C99</f>
        <v>0.1</v>
      </c>
    </row>
    <row r="112" spans="1:9" hidden="1">
      <c r="B112" s="431" t="s">
        <v>2997</v>
      </c>
      <c r="C112" s="430">
        <v>0</v>
      </c>
      <c r="D112" s="430">
        <v>1</v>
      </c>
      <c r="E112" s="430">
        <v>0</v>
      </c>
      <c r="G112" s="483">
        <f>C88</f>
        <v>0</v>
      </c>
      <c r="H112" s="483">
        <f>C100</f>
        <v>0.35</v>
      </c>
    </row>
    <row r="113" spans="1:8" hidden="1">
      <c r="B113" s="431" t="s">
        <v>3592</v>
      </c>
      <c r="C113" s="430">
        <v>0</v>
      </c>
      <c r="D113" s="430">
        <v>1</v>
      </c>
      <c r="E113" s="430">
        <v>0</v>
      </c>
      <c r="G113" s="483">
        <f>C89</f>
        <v>0</v>
      </c>
      <c r="H113" s="483">
        <f>C101</f>
        <v>0.15</v>
      </c>
    </row>
    <row r="114" spans="1:8" hidden="1">
      <c r="B114" s="472" t="s">
        <v>3113</v>
      </c>
      <c r="D114" s="49"/>
      <c r="E114" s="49"/>
      <c r="G114" s="471"/>
      <c r="H114" s="471"/>
    </row>
    <row r="115" spans="1:8" hidden="1">
      <c r="B115" s="49"/>
      <c r="C115" s="49"/>
      <c r="D115" s="49"/>
      <c r="E115" s="49"/>
      <c r="G115" s="471"/>
      <c r="H115" s="471"/>
    </row>
    <row r="116" spans="1:8" hidden="1"/>
    <row r="117" spans="1:8" hidden="1">
      <c r="C117" s="84" t="s">
        <v>3001</v>
      </c>
      <c r="D117" s="84"/>
    </row>
    <row r="118" spans="1:8" hidden="1">
      <c r="B118" s="84" t="s">
        <v>2998</v>
      </c>
      <c r="C118" s="84" t="s">
        <v>20</v>
      </c>
      <c r="D118" s="84" t="s">
        <v>2602</v>
      </c>
    </row>
    <row r="119" spans="1:8" hidden="1">
      <c r="B119" s="433" t="s">
        <v>2999</v>
      </c>
      <c r="C119" s="272">
        <f>SUMPRODUCT($C$110:$C$113, G110:G113)</f>
        <v>0.6</v>
      </c>
      <c r="D119" s="272">
        <f>SUMPRODUCT($C$110:$C$113, H110:H113)</f>
        <v>0.4</v>
      </c>
    </row>
    <row r="120" spans="1:8" hidden="1">
      <c r="B120" s="433" t="s">
        <v>3000</v>
      </c>
      <c r="C120" s="272">
        <f>SUMPRODUCT($D$110:$D$113, G110:G113)</f>
        <v>0</v>
      </c>
      <c r="D120" s="272">
        <f>SUMPRODUCT($D$110:$D$113, H110:H113)</f>
        <v>0.5</v>
      </c>
    </row>
    <row r="121" spans="1:8" hidden="1">
      <c r="B121" s="433" t="s">
        <v>105</v>
      </c>
      <c r="C121" s="272">
        <f>SUMPRODUCT($E$110:$E$113, G110:G113)</f>
        <v>0.4</v>
      </c>
      <c r="D121" s="272">
        <f>SUMPRODUCT($E$110:$E$113, H110:H113)</f>
        <v>0.1</v>
      </c>
    </row>
    <row r="122" spans="1:8" hidden="1"/>
    <row r="123" spans="1:8" hidden="1"/>
    <row r="127" spans="1:8" s="627" customFormat="1" ht="18.5">
      <c r="A127" s="587" t="s">
        <v>10</v>
      </c>
      <c r="B127" s="587" t="s">
        <v>3583</v>
      </c>
    </row>
    <row r="128" spans="1:8" ht="21">
      <c r="A128" s="37"/>
      <c r="B128" s="37"/>
    </row>
    <row r="129" spans="1:10" s="588" customFormat="1">
      <c r="A129" s="588" t="s">
        <v>10</v>
      </c>
      <c r="B129" s="593" t="s">
        <v>3584</v>
      </c>
    </row>
    <row r="130" spans="1:10">
      <c r="B130" s="472" t="s">
        <v>3599</v>
      </c>
    </row>
    <row r="131" spans="1:10">
      <c r="B131" s="9"/>
    </row>
    <row r="132" spans="1:10" ht="15" thickBot="1">
      <c r="B132" s="9" t="s">
        <v>20</v>
      </c>
    </row>
    <row r="133" spans="1:10" ht="15" thickBot="1">
      <c r="B133" s="774" t="s">
        <v>3501</v>
      </c>
      <c r="C133" s="772" t="s">
        <v>3013</v>
      </c>
      <c r="D133" s="151">
        <f>INDEX(E$135:I$135,MATCH(C133,E136:I136,0))</f>
        <v>1</v>
      </c>
      <c r="E133" s="151"/>
      <c r="F133" s="151"/>
      <c r="G133" s="151"/>
      <c r="H133" s="151"/>
    </row>
    <row r="134" spans="1:10">
      <c r="B134" s="29"/>
      <c r="D134" s="151"/>
      <c r="E134" s="151"/>
      <c r="F134" s="151"/>
      <c r="G134" s="151"/>
    </row>
    <row r="135" spans="1:10" ht="29">
      <c r="C135" s="439" t="s">
        <v>3021</v>
      </c>
      <c r="E135" s="151">
        <v>1</v>
      </c>
      <c r="F135" s="151"/>
      <c r="G135" s="151">
        <v>2</v>
      </c>
    </row>
    <row r="136" spans="1:10">
      <c r="B136" s="307" t="s">
        <v>2914</v>
      </c>
      <c r="C136" s="307" t="str">
        <f>CHOOSE($D$133,E136,G136)</f>
        <v>Default</v>
      </c>
      <c r="E136" s="84" t="s">
        <v>3013</v>
      </c>
      <c r="G136" s="84" t="s">
        <v>3014</v>
      </c>
    </row>
    <row r="137" spans="1:10">
      <c r="B137" s="350" t="s">
        <v>3598</v>
      </c>
      <c r="C137" s="306">
        <f>CHOOSE($D$133,E137,G137)</f>
        <v>0.30538922155688625</v>
      </c>
      <c r="E137" s="306">
        <f>'Resource costs'!D252</f>
        <v>0.30538922155688625</v>
      </c>
      <c r="G137" s="826">
        <v>0.255</v>
      </c>
    </row>
    <row r="138" spans="1:10">
      <c r="B138" s="350" t="s">
        <v>3596</v>
      </c>
      <c r="C138" s="306">
        <f t="shared" ref="C138:C139" si="4">CHOOSE($D$133,E138,G138)</f>
        <v>0.62879720012030726</v>
      </c>
      <c r="E138" s="306">
        <f>'Resource costs'!D281</f>
        <v>0.62879720012030726</v>
      </c>
      <c r="G138" s="826">
        <v>0.42399999999999999</v>
      </c>
    </row>
    <row r="139" spans="1:10">
      <c r="B139" s="350" t="s">
        <v>3597</v>
      </c>
      <c r="C139" s="306">
        <f t="shared" si="4"/>
        <v>6.5813578322806432E-2</v>
      </c>
      <c r="E139" s="306">
        <f>'Resource costs'!D280</f>
        <v>6.5813578322806432E-2</v>
      </c>
      <c r="G139" s="826">
        <v>0.31900000000000001</v>
      </c>
    </row>
    <row r="140" spans="1:10">
      <c r="B140" s="773" t="s">
        <v>3504</v>
      </c>
      <c r="C140" s="675" t="str">
        <f>IF(SUM(C137:C139)=1, "No error", "Does not equal 100%")</f>
        <v>No error</v>
      </c>
      <c r="G140" s="675"/>
    </row>
    <row r="142" spans="1:10" ht="15" thickBot="1">
      <c r="B142" s="9" t="s">
        <v>2602</v>
      </c>
    </row>
    <row r="143" spans="1:10" ht="15" thickBot="1">
      <c r="B143" s="774" t="s">
        <v>3501</v>
      </c>
      <c r="C143" s="772" t="s">
        <v>3013</v>
      </c>
      <c r="D143" s="151">
        <f>INDEX(E145:K145,MATCH(C143,E146:K146,0))</f>
        <v>1</v>
      </c>
      <c r="E143" s="151"/>
      <c r="F143" s="151"/>
      <c r="G143" s="151"/>
      <c r="H143" s="151"/>
      <c r="I143" s="151"/>
      <c r="J143" s="151"/>
    </row>
    <row r="144" spans="1:10">
      <c r="B144" s="29"/>
      <c r="D144" s="151"/>
      <c r="E144" s="151"/>
      <c r="F144" s="151"/>
      <c r="G144" s="151"/>
      <c r="H144" s="151"/>
      <c r="I144" s="151"/>
      <c r="J144" s="151"/>
    </row>
    <row r="145" spans="2:11" ht="29">
      <c r="C145" s="439" t="s">
        <v>3022</v>
      </c>
      <c r="E145" s="151">
        <v>1</v>
      </c>
      <c r="F145" s="151"/>
      <c r="G145" s="151">
        <v>2</v>
      </c>
      <c r="I145" s="151">
        <v>3</v>
      </c>
      <c r="J145" s="151"/>
      <c r="K145" s="151">
        <v>4</v>
      </c>
    </row>
    <row r="146" spans="2:11">
      <c r="B146" s="307" t="s">
        <v>2914</v>
      </c>
      <c r="C146" s="307" t="str">
        <f>CHOOSE($D$143,E146,G146, I146, K146)</f>
        <v>Default</v>
      </c>
      <c r="E146" s="84" t="s">
        <v>3013</v>
      </c>
      <c r="G146" s="84" t="s">
        <v>3594</v>
      </c>
      <c r="I146" s="84" t="s">
        <v>3595</v>
      </c>
      <c r="K146" s="84" t="s">
        <v>20</v>
      </c>
    </row>
    <row r="147" spans="2:11">
      <c r="B147" s="350" t="s">
        <v>3598</v>
      </c>
      <c r="C147" s="306">
        <f>CHOOSE($D$143,E147,G147, I147, K147)</f>
        <v>0.1</v>
      </c>
      <c r="E147" s="400">
        <f>'To-be clinical improvements'!C45</f>
        <v>0.1</v>
      </c>
      <c r="G147" s="826">
        <v>0.1</v>
      </c>
      <c r="I147" s="826"/>
      <c r="K147" s="400">
        <f>C137</f>
        <v>0.30538922155688625</v>
      </c>
    </row>
    <row r="148" spans="2:11">
      <c r="B148" s="350" t="s">
        <v>3596</v>
      </c>
      <c r="C148" s="306">
        <f t="shared" ref="C148:C149" si="5">CHOOSE($D$143,E148,G148, I148, K148)</f>
        <v>0.35217391304347823</v>
      </c>
      <c r="D148" s="3"/>
      <c r="E148" s="400">
        <f>'To-be clinical improvements'!C46</f>
        <v>0.35217391304347823</v>
      </c>
      <c r="F148" s="3"/>
      <c r="G148" s="400">
        <f>'To-be clinical improvements'!F46</f>
        <v>0.35217391304347823</v>
      </c>
      <c r="I148" s="826"/>
      <c r="K148" s="400">
        <f>C138</f>
        <v>0.62879720012030726</v>
      </c>
    </row>
    <row r="149" spans="2:11">
      <c r="B149" s="350" t="s">
        <v>3597</v>
      </c>
      <c r="C149" s="306">
        <f t="shared" si="5"/>
        <v>0.5478260869565218</v>
      </c>
      <c r="D149" s="3"/>
      <c r="E149" s="400">
        <f>'To-be clinical improvements'!C47</f>
        <v>0.5478260869565218</v>
      </c>
      <c r="F149" s="3"/>
      <c r="G149" s="400">
        <f>'To-be clinical improvements'!F47</f>
        <v>0.5478260869565218</v>
      </c>
      <c r="I149" s="826"/>
      <c r="K149" s="400">
        <f>C139</f>
        <v>6.5813578322806432E-2</v>
      </c>
    </row>
    <row r="150" spans="2:11">
      <c r="B150" s="773" t="s">
        <v>3504</v>
      </c>
      <c r="C150" s="675" t="str">
        <f>IF(SUM(C147:C149)=1, "No error", "Does not equal 100%")</f>
        <v>No error</v>
      </c>
    </row>
    <row r="151" spans="2:11">
      <c r="B151" s="773"/>
      <c r="C151" s="675"/>
    </row>
    <row r="152" spans="2:11">
      <c r="B152" s="773"/>
      <c r="C152" s="675"/>
    </row>
    <row r="153" spans="2:11">
      <c r="C153" s="539"/>
    </row>
    <row r="154" spans="2:11" s="588" customFormat="1">
      <c r="B154" s="593" t="s">
        <v>3586</v>
      </c>
    </row>
    <row r="155" spans="2:11">
      <c r="B155" s="472" t="s">
        <v>3600</v>
      </c>
    </row>
    <row r="156" spans="2:11">
      <c r="B156" s="472"/>
    </row>
    <row r="157" spans="2:11" ht="15" thickBot="1">
      <c r="B157" s="9" t="s">
        <v>20</v>
      </c>
    </row>
    <row r="158" spans="2:11" ht="15" thickBot="1">
      <c r="B158" s="774" t="s">
        <v>3501</v>
      </c>
      <c r="C158" s="772" t="s">
        <v>3013</v>
      </c>
      <c r="D158" s="151">
        <f>INDEX(E$160:G$160,MATCH(C158,E161:G161,0))</f>
        <v>1</v>
      </c>
      <c r="E158" s="151"/>
      <c r="F158" s="151"/>
      <c r="G158" s="151"/>
      <c r="H158" s="151"/>
      <c r="I158" s="151"/>
      <c r="J158" s="151"/>
    </row>
    <row r="159" spans="2:11">
      <c r="B159" s="774"/>
      <c r="D159" s="151"/>
      <c r="E159" s="151"/>
      <c r="F159" s="151"/>
      <c r="G159" s="151"/>
      <c r="H159" s="151"/>
      <c r="I159" s="151"/>
      <c r="J159" s="151"/>
    </row>
    <row r="160" spans="2:11" ht="29">
      <c r="C160" s="439" t="s">
        <v>3021</v>
      </c>
      <c r="E160" s="151">
        <v>1</v>
      </c>
      <c r="F160" s="151"/>
      <c r="G160" s="151">
        <v>2</v>
      </c>
    </row>
    <row r="161" spans="2:10">
      <c r="B161" s="307" t="s">
        <v>2914</v>
      </c>
      <c r="C161" s="307" t="str">
        <f>E161</f>
        <v>Default</v>
      </c>
      <c r="E161" s="84" t="s">
        <v>3013</v>
      </c>
      <c r="G161" s="84" t="s">
        <v>3014</v>
      </c>
    </row>
    <row r="162" spans="2:10">
      <c r="B162" s="350" t="s">
        <v>3598</v>
      </c>
      <c r="C162" s="306">
        <f>CHOOSE($D$158, E162,G162)</f>
        <v>0.63834196891191719</v>
      </c>
      <c r="E162" s="306">
        <f>'Resource costs'!D292</f>
        <v>0.63834196891191719</v>
      </c>
      <c r="G162" s="826">
        <v>0.32500000000000001</v>
      </c>
    </row>
    <row r="163" spans="2:10">
      <c r="B163" s="350" t="s">
        <v>3601</v>
      </c>
      <c r="C163" s="306">
        <f>CHOOSE($D$158, E163,G163)</f>
        <v>0.36165803108808287</v>
      </c>
      <c r="E163" s="306">
        <f>'Resource costs'!D291</f>
        <v>0.36165803108808287</v>
      </c>
      <c r="G163" s="826">
        <v>0.67400000000000004</v>
      </c>
    </row>
    <row r="164" spans="2:10">
      <c r="B164" s="773" t="s">
        <v>3504</v>
      </c>
      <c r="C164" s="675" t="str">
        <f>IF(SUM(C162:C163)=1, "No error", "Does not equal 100%")</f>
        <v>No error</v>
      </c>
      <c r="E164" s="401"/>
    </row>
    <row r="165" spans="2:10">
      <c r="B165" s="773"/>
      <c r="C165" s="675"/>
      <c r="E165" s="401"/>
    </row>
    <row r="167" spans="2:10" ht="15" thickBot="1">
      <c r="B167" s="9" t="s">
        <v>2602</v>
      </c>
    </row>
    <row r="168" spans="2:10" ht="15" thickBot="1">
      <c r="B168" s="774" t="s">
        <v>3501</v>
      </c>
      <c r="C168" s="772" t="s">
        <v>3013</v>
      </c>
      <c r="D168" s="151">
        <f>INDEX(E$169:I$169,MATCH(C168,E170:I170,0))</f>
        <v>1</v>
      </c>
      <c r="E168" s="151"/>
      <c r="F168" s="151"/>
      <c r="G168" s="151"/>
      <c r="H168" s="151"/>
      <c r="I168" s="151"/>
      <c r="J168" s="151"/>
    </row>
    <row r="169" spans="2:10">
      <c r="B169" s="29"/>
      <c r="D169" s="151"/>
      <c r="E169" s="151">
        <v>1</v>
      </c>
      <c r="F169" s="151"/>
      <c r="G169" s="151">
        <v>2</v>
      </c>
      <c r="H169" s="151"/>
      <c r="I169" s="151">
        <v>3</v>
      </c>
      <c r="J169" s="151"/>
    </row>
    <row r="170" spans="2:10">
      <c r="B170" s="307" t="s">
        <v>2914</v>
      </c>
      <c r="C170" s="307" t="str">
        <f>E170</f>
        <v>Default</v>
      </c>
      <c r="E170" s="84" t="s">
        <v>3013</v>
      </c>
      <c r="G170" s="84" t="s">
        <v>3014</v>
      </c>
      <c r="I170" s="84" t="s">
        <v>20</v>
      </c>
    </row>
    <row r="171" spans="2:10">
      <c r="B171" s="350" t="s">
        <v>3598</v>
      </c>
      <c r="C171" s="306">
        <f>CHOOSE($D$168, E171,G171,I171)</f>
        <v>0.1</v>
      </c>
      <c r="E171" s="400">
        <f>'To-be clinical improvements'!C123</f>
        <v>0.1</v>
      </c>
      <c r="G171" s="826">
        <v>1</v>
      </c>
      <c r="I171" s="400">
        <f>C162</f>
        <v>0.63834196891191719</v>
      </c>
    </row>
    <row r="172" spans="2:10">
      <c r="B172" s="350" t="s">
        <v>3601</v>
      </c>
      <c r="C172" s="306">
        <f>CHOOSE($D$168, E172,G172,I172)</f>
        <v>0.9</v>
      </c>
      <c r="E172" s="400">
        <f>'To-be clinical improvements'!C124</f>
        <v>0.9</v>
      </c>
      <c r="G172" s="826"/>
      <c r="I172" s="400">
        <f>C163</f>
        <v>0.36165803108808287</v>
      </c>
    </row>
    <row r="173" spans="2:10">
      <c r="B173" s="773" t="s">
        <v>3504</v>
      </c>
      <c r="C173" s="675" t="str">
        <f>IF(SUM(C171:C172)=1, "No error", "Does not equal 100%")</f>
        <v>No error</v>
      </c>
    </row>
    <row r="177" spans="1:9">
      <c r="B177" s="52"/>
      <c r="C177" s="471"/>
    </row>
    <row r="178" spans="1:9" s="627" customFormat="1" ht="18.5">
      <c r="A178" s="587" t="s">
        <v>10</v>
      </c>
      <c r="B178" s="587" t="s">
        <v>3380</v>
      </c>
    </row>
    <row r="179" spans="1:9" s="771" customFormat="1" ht="18.5">
      <c r="A179" s="622"/>
      <c r="B179" s="622"/>
      <c r="D179"/>
    </row>
    <row r="180" spans="1:9">
      <c r="B180" s="151" t="s">
        <v>3079</v>
      </c>
      <c r="C180" s="151" t="s">
        <v>3503</v>
      </c>
      <c r="D180" s="151"/>
    </row>
    <row r="181" spans="1:9" ht="15" thickBot="1">
      <c r="A181" s="9"/>
      <c r="B181" s="151"/>
      <c r="C181" s="151"/>
      <c r="D181" s="151"/>
    </row>
    <row r="182" spans="1:9" ht="15" thickBot="1">
      <c r="A182" s="9" t="s">
        <v>10</v>
      </c>
      <c r="B182" s="9" t="s">
        <v>3260</v>
      </c>
      <c r="C182" s="772" t="s">
        <v>3048</v>
      </c>
      <c r="D182" s="151">
        <f>INDEX($I$183:$I$184, MATCH(C182,$H$183:$H$184,0))</f>
        <v>1</v>
      </c>
    </row>
    <row r="183" spans="1:9" ht="15" thickBot="1">
      <c r="A183" s="9"/>
      <c r="B183" s="113"/>
      <c r="C183" s="471"/>
      <c r="D183" s="151"/>
      <c r="H183" s="151" t="s">
        <v>3048</v>
      </c>
      <c r="I183" s="151">
        <v>1</v>
      </c>
    </row>
    <row r="184" spans="1:9" ht="15" thickBot="1">
      <c r="A184" s="9" t="s">
        <v>10</v>
      </c>
      <c r="B184" s="9" t="s">
        <v>3169</v>
      </c>
      <c r="C184" s="772" t="s">
        <v>3048</v>
      </c>
      <c r="D184" s="151">
        <f>INDEX($I$183:$I$184, MATCH(C184,$H$183:$H$184,0))</f>
        <v>1</v>
      </c>
      <c r="H184" s="151" t="s">
        <v>3049</v>
      </c>
      <c r="I184" s="151">
        <v>0</v>
      </c>
    </row>
    <row r="185" spans="1:9" ht="21.5" thickBot="1">
      <c r="A185" s="37"/>
      <c r="B185" s="37"/>
      <c r="D185" s="151"/>
    </row>
    <row r="186" spans="1:9" ht="15" thickBot="1">
      <c r="A186" s="9" t="s">
        <v>10</v>
      </c>
      <c r="B186" s="9" t="s">
        <v>3314</v>
      </c>
      <c r="C186" s="772" t="s">
        <v>3048</v>
      </c>
      <c r="D186" s="151">
        <f>INDEX($I$183:$I$184, MATCH(C186,$H$183:$H$184,0))</f>
        <v>1</v>
      </c>
    </row>
    <row r="187" spans="1:9" ht="21.5" thickBot="1">
      <c r="A187" s="37"/>
      <c r="B187" s="37"/>
      <c r="D187" s="151"/>
    </row>
    <row r="188" spans="1:9" ht="15" thickBot="1">
      <c r="A188" s="9" t="s">
        <v>10</v>
      </c>
      <c r="B188" s="9" t="s">
        <v>3410</v>
      </c>
      <c r="C188" s="772" t="s">
        <v>3048</v>
      </c>
      <c r="D188" s="151">
        <f>INDEX($I$183:$I$184, MATCH(C188,$H$183:$H$184,0))</f>
        <v>1</v>
      </c>
    </row>
    <row r="189" spans="1:9" ht="29" customHeight="1"/>
    <row r="190" spans="1:9">
      <c r="A190" s="9" t="s">
        <v>10</v>
      </c>
      <c r="B190" s="9" t="s">
        <v>3605</v>
      </c>
    </row>
    <row r="191" spans="1:9">
      <c r="B191" s="151" t="s">
        <v>3606</v>
      </c>
    </row>
    <row r="192" spans="1:9" ht="15" thickBot="1">
      <c r="B192" s="4"/>
    </row>
    <row r="193" spans="1:10" ht="15" thickBot="1">
      <c r="B193" s="774" t="s">
        <v>3501</v>
      </c>
      <c r="C193" s="772" t="s">
        <v>3014</v>
      </c>
      <c r="D193" s="151">
        <f>INDEX(E$194:G$194,MATCH(C193,E195:G195,0))</f>
        <v>2</v>
      </c>
      <c r="E193" s="151"/>
      <c r="F193" s="151"/>
      <c r="G193" s="151"/>
      <c r="H193" s="151"/>
      <c r="I193" s="151"/>
      <c r="J193" s="151"/>
    </row>
    <row r="194" spans="1:10">
      <c r="B194" s="29"/>
      <c r="D194" s="151"/>
      <c r="E194" s="151">
        <v>1</v>
      </c>
      <c r="F194" s="151"/>
      <c r="G194" s="151">
        <v>2</v>
      </c>
      <c r="H194" s="151"/>
      <c r="I194" s="151"/>
      <c r="J194" s="151"/>
    </row>
    <row r="195" spans="1:10">
      <c r="B195" s="307"/>
      <c r="C195" s="307" t="str">
        <f>E195</f>
        <v>Default</v>
      </c>
      <c r="E195" s="84" t="s">
        <v>3013</v>
      </c>
      <c r="G195" s="84" t="s">
        <v>3014</v>
      </c>
      <c r="I195" s="151"/>
    </row>
    <row r="196" spans="1:10">
      <c r="B196" s="350" t="s">
        <v>3604</v>
      </c>
      <c r="C196" s="835">
        <f>CHOOSE($D$193, E196,G196)</f>
        <v>1</v>
      </c>
      <c r="E196" s="430">
        <v>135</v>
      </c>
      <c r="G196" s="836">
        <v>1</v>
      </c>
      <c r="H196" s="18"/>
      <c r="I196" s="151"/>
    </row>
    <row r="197" spans="1:10" ht="21">
      <c r="A197" s="37"/>
      <c r="B197" s="37"/>
    </row>
    <row r="210" spans="1:10" s="627" customFormat="1" ht="18.5">
      <c r="A210" s="587" t="s">
        <v>10</v>
      </c>
      <c r="B210" s="587" t="s">
        <v>3585</v>
      </c>
    </row>
    <row r="211" spans="1:10">
      <c r="B211" s="97" t="s">
        <v>3694</v>
      </c>
    </row>
    <row r="212" spans="1:10">
      <c r="B212" s="97"/>
      <c r="C212" s="97"/>
      <c r="D212" s="97"/>
    </row>
    <row r="214" spans="1:10" ht="15" thickBot="1">
      <c r="B214" s="9" t="s">
        <v>20</v>
      </c>
    </row>
    <row r="215" spans="1:10" ht="15" thickBot="1">
      <c r="B215" s="774" t="s">
        <v>3501</v>
      </c>
      <c r="C215" s="834" t="s">
        <v>3013</v>
      </c>
      <c r="D215" s="151">
        <f>INDEX(E$217:G$217,MATCH(C215,E218:G218,0))</f>
        <v>1</v>
      </c>
      <c r="E215" s="151"/>
      <c r="F215" s="151"/>
      <c r="G215" s="151"/>
      <c r="H215" s="151"/>
      <c r="I215" s="151"/>
      <c r="J215" s="151"/>
    </row>
    <row r="216" spans="1:10">
      <c r="D216" s="151"/>
      <c r="E216" s="151"/>
      <c r="F216" s="151"/>
      <c r="G216" s="151"/>
      <c r="H216" s="151"/>
      <c r="I216" s="151"/>
      <c r="J216" s="151"/>
    </row>
    <row r="217" spans="1:10">
      <c r="D217" s="151"/>
      <c r="E217" s="151">
        <v>1</v>
      </c>
      <c r="F217" s="151"/>
      <c r="G217" s="151">
        <v>2</v>
      </c>
      <c r="H217" s="151"/>
      <c r="I217" s="151"/>
      <c r="J217" s="151"/>
    </row>
    <row r="218" spans="1:10" ht="62" customHeight="1">
      <c r="B218" s="57" t="s">
        <v>3502</v>
      </c>
      <c r="C218" s="84" t="str">
        <f>CHOOSE($D$215,E218,G218)</f>
        <v>Default</v>
      </c>
      <c r="E218" s="84" t="s">
        <v>3013</v>
      </c>
      <c r="G218" s="84" t="s">
        <v>3014</v>
      </c>
    </row>
    <row r="219" spans="1:10">
      <c r="B219" s="166" t="s">
        <v>20</v>
      </c>
      <c r="C219" s="283">
        <f>CHOOSE($D$215,E219,G219)</f>
        <v>0.1</v>
      </c>
      <c r="E219" s="284">
        <v>0.1</v>
      </c>
      <c r="G219" s="284"/>
    </row>
    <row r="220" spans="1:10">
      <c r="B220" s="773" t="s">
        <v>3504</v>
      </c>
      <c r="C220" s="675" t="b">
        <f>C219&lt;=1</f>
        <v>1</v>
      </c>
    </row>
    <row r="221" spans="1:10" ht="15" thickBot="1">
      <c r="B221" s="9" t="s">
        <v>2602</v>
      </c>
    </row>
    <row r="222" spans="1:10" ht="15" thickBot="1">
      <c r="B222" s="774" t="s">
        <v>3501</v>
      </c>
      <c r="C222" s="834" t="s">
        <v>3013</v>
      </c>
      <c r="D222" s="151">
        <f>INDEX(E$223:I$223,MATCH(C222,E224:I224,0))</f>
        <v>1</v>
      </c>
      <c r="E222" s="151"/>
      <c r="F222" s="151"/>
      <c r="G222" s="151"/>
      <c r="H222" s="151"/>
      <c r="I222" s="151"/>
      <c r="J222" s="151"/>
    </row>
    <row r="223" spans="1:10">
      <c r="D223" s="151"/>
      <c r="E223" s="151">
        <v>1</v>
      </c>
      <c r="F223" s="151"/>
      <c r="G223" s="151">
        <v>2</v>
      </c>
      <c r="H223" s="151"/>
      <c r="I223" s="151">
        <v>3</v>
      </c>
      <c r="J223" s="151"/>
    </row>
    <row r="224" spans="1:10" ht="43.5">
      <c r="B224" s="57" t="s">
        <v>3502</v>
      </c>
      <c r="C224" s="84" t="str">
        <f>CHOOSE($D$215,E224,G224)</f>
        <v>Default</v>
      </c>
      <c r="E224" s="84" t="s">
        <v>3013</v>
      </c>
      <c r="G224" s="84" t="s">
        <v>3014</v>
      </c>
      <c r="I224" s="84" t="s">
        <v>20</v>
      </c>
    </row>
    <row r="225" spans="1:9">
      <c r="B225" s="166" t="s">
        <v>2602</v>
      </c>
      <c r="C225" s="283">
        <f>CHOOSE(D222,E225,G225,I225)</f>
        <v>0.85</v>
      </c>
      <c r="E225" s="284">
        <v>0.85</v>
      </c>
      <c r="G225" s="284"/>
      <c r="I225" s="400">
        <f>C219</f>
        <v>0.1</v>
      </c>
    </row>
    <row r="226" spans="1:9">
      <c r="B226" s="773" t="s">
        <v>3504</v>
      </c>
      <c r="C226" s="675" t="b">
        <f>C225&lt;=1</f>
        <v>1</v>
      </c>
    </row>
    <row r="227" spans="1:9">
      <c r="B227" s="773"/>
      <c r="C227" s="675"/>
    </row>
    <row r="228" spans="1:9">
      <c r="B228" s="773"/>
      <c r="C228" s="675"/>
    </row>
    <row r="230" spans="1:9" s="627" customFormat="1" ht="18.5">
      <c r="A230" s="587" t="s">
        <v>10</v>
      </c>
      <c r="B230" s="587" t="s">
        <v>3693</v>
      </c>
    </row>
    <row r="231" spans="1:9" s="771" customFormat="1" ht="18.5">
      <c r="A231" s="622"/>
      <c r="B231" s="97" t="s">
        <v>3694</v>
      </c>
    </row>
    <row r="232" spans="1:9" s="771" customFormat="1" ht="18.5">
      <c r="A232" s="622"/>
      <c r="B232" s="622"/>
    </row>
    <row r="233" spans="1:9">
      <c r="A233" s="9" t="s">
        <v>10</v>
      </c>
      <c r="B233" s="9" t="s">
        <v>3602</v>
      </c>
    </row>
    <row r="234" spans="1:9">
      <c r="B234" s="254" t="s">
        <v>3603</v>
      </c>
    </row>
    <row r="236" spans="1:9">
      <c r="B236" s="9" t="s">
        <v>20</v>
      </c>
    </row>
    <row r="237" spans="1:9" ht="15" thickBot="1"/>
    <row r="238" spans="1:9" ht="15" thickBot="1">
      <c r="B238" s="774" t="s">
        <v>3501</v>
      </c>
      <c r="C238" s="869" t="s">
        <v>3013</v>
      </c>
      <c r="D238" s="151">
        <f>INDEX(E$239:G$239,MATCH(C238,E240:G240,0))</f>
        <v>1</v>
      </c>
      <c r="E238" s="151"/>
      <c r="F238" s="151"/>
      <c r="G238" s="151"/>
    </row>
    <row r="239" spans="1:9">
      <c r="D239" s="151"/>
      <c r="E239" s="151">
        <v>1</v>
      </c>
      <c r="F239" s="151"/>
      <c r="G239" s="151">
        <v>2</v>
      </c>
    </row>
    <row r="240" spans="1:9">
      <c r="B240" s="57" t="s">
        <v>3145</v>
      </c>
      <c r="C240" s="84" t="str">
        <f>CHOOSE(D238,E240,G240)</f>
        <v>Default</v>
      </c>
      <c r="E240" s="84" t="s">
        <v>3013</v>
      </c>
      <c r="G240" s="84" t="s">
        <v>3014</v>
      </c>
      <c r="I240" s="789"/>
    </row>
    <row r="241" spans="2:10">
      <c r="B241" s="166" t="s">
        <v>20</v>
      </c>
      <c r="C241" s="283">
        <f>CHOOSE(D238,E241,G241)</f>
        <v>0</v>
      </c>
      <c r="E241" s="284">
        <v>0</v>
      </c>
      <c r="G241" s="284"/>
    </row>
    <row r="242" spans="2:10">
      <c r="B242" s="773" t="s">
        <v>3504</v>
      </c>
      <c r="C242" s="675" t="b">
        <f>C241&lt;=1</f>
        <v>1</v>
      </c>
    </row>
    <row r="243" spans="2:10">
      <c r="B243" s="773"/>
      <c r="C243" s="675"/>
    </row>
    <row r="244" spans="2:10" ht="15" thickBot="1">
      <c r="B244" s="9" t="s">
        <v>2602</v>
      </c>
    </row>
    <row r="245" spans="2:10" ht="15" thickBot="1">
      <c r="B245" s="774" t="s">
        <v>3501</v>
      </c>
      <c r="C245" s="869" t="s">
        <v>3013</v>
      </c>
      <c r="D245" s="151">
        <f>INDEX(E246:I246,MATCH(C245,E247:I247,0))</f>
        <v>1</v>
      </c>
      <c r="E245" s="151"/>
      <c r="F245" s="151"/>
      <c r="G245" s="151"/>
      <c r="H245" s="151"/>
      <c r="I245" s="151"/>
      <c r="J245" s="151"/>
    </row>
    <row r="246" spans="2:10">
      <c r="D246" s="151"/>
      <c r="E246" s="151">
        <v>1</v>
      </c>
      <c r="F246" s="151"/>
      <c r="G246" s="151">
        <v>2</v>
      </c>
      <c r="H246" s="151"/>
      <c r="I246" s="151">
        <v>3</v>
      </c>
      <c r="J246" s="151"/>
    </row>
    <row r="247" spans="2:10">
      <c r="B247" s="57" t="s">
        <v>3145</v>
      </c>
      <c r="C247" s="84" t="str">
        <f>CHOOSE(D245,E247,G247,I247)</f>
        <v>Default</v>
      </c>
      <c r="E247" s="84" t="s">
        <v>3013</v>
      </c>
      <c r="G247" s="84" t="s">
        <v>3014</v>
      </c>
      <c r="I247" s="84" t="s">
        <v>20</v>
      </c>
    </row>
    <row r="248" spans="2:10">
      <c r="B248" s="166" t="s">
        <v>2602</v>
      </c>
      <c r="C248" s="483">
        <f>CHOOSE(D245,E248,G248,I248)</f>
        <v>0.5780320366132724</v>
      </c>
      <c r="D248" s="145"/>
      <c r="E248" s="483">
        <f>'To-be clinical improvements'!C78</f>
        <v>0.5780320366132724</v>
      </c>
      <c r="G248" s="284"/>
      <c r="I248" s="283">
        <f>C241</f>
        <v>0</v>
      </c>
    </row>
    <row r="249" spans="2:10">
      <c r="B249" s="773" t="s">
        <v>3504</v>
      </c>
      <c r="C249" s="675" t="b">
        <f>C248&lt;=1</f>
        <v>1</v>
      </c>
      <c r="E249" s="471"/>
      <c r="F249" s="471"/>
      <c r="G249" s="471"/>
      <c r="H249" s="471"/>
      <c r="I249" s="471"/>
      <c r="J249" s="471"/>
    </row>
    <row r="250" spans="2:10">
      <c r="B250" s="52"/>
      <c r="C250" s="52"/>
      <c r="E250" s="471"/>
      <c r="F250" s="471"/>
      <c r="G250" s="471"/>
      <c r="H250" s="471"/>
      <c r="I250" s="471"/>
      <c r="J250" s="471"/>
    </row>
    <row r="351" spans="2:7">
      <c r="B351" t="s">
        <v>3262</v>
      </c>
      <c r="G351" t="s">
        <v>3262</v>
      </c>
    </row>
  </sheetData>
  <conditionalFormatting sqref="C90">
    <cfRule type="cellIs" dxfId="5" priority="6" operator="equal">
      <formula>"Does not equal 100%"</formula>
    </cfRule>
  </conditionalFormatting>
  <conditionalFormatting sqref="C102">
    <cfRule type="cellIs" dxfId="4" priority="5" operator="equal">
      <formula>"Does not equal 100%"</formula>
    </cfRule>
  </conditionalFormatting>
  <conditionalFormatting sqref="C140">
    <cfRule type="cellIs" dxfId="3" priority="4" operator="equal">
      <formula>"Does not equal 100%"</formula>
    </cfRule>
  </conditionalFormatting>
  <conditionalFormatting sqref="C150">
    <cfRule type="cellIs" dxfId="2" priority="3" operator="equal">
      <formula>"Does not equal 100%"</formula>
    </cfRule>
  </conditionalFormatting>
  <conditionalFormatting sqref="C164">
    <cfRule type="cellIs" dxfId="1" priority="2" operator="equal">
      <formula>"Does not equal 100%"</formula>
    </cfRule>
  </conditionalFormatting>
  <conditionalFormatting sqref="C173">
    <cfRule type="cellIs" dxfId="0" priority="1" operator="equal">
      <formula>"Does not equal 100%"</formula>
    </cfRule>
  </conditionalFormatting>
  <dataValidations count="9">
    <dataValidation type="list" allowBlank="1" showInputMessage="1" showErrorMessage="1" sqref="C82 C133 C158 C215 C43 C193 C238 D59:D70 D72" xr:uid="{00000000-0002-0000-0100-000000000000}">
      <formula1>"Default, Manual"</formula1>
    </dataValidation>
    <dataValidation type="list" allowBlank="1" showInputMessage="1" showErrorMessage="1" sqref="C94 C168 C222 C245" xr:uid="{00000000-0002-0000-0100-000001000000}">
      <formula1>"Default, Manual, Baseline"</formula1>
    </dataValidation>
    <dataValidation type="list" allowBlank="1" showInputMessage="1" showErrorMessage="1" sqref="C182 C188 C186 C184" xr:uid="{00000000-0002-0000-0100-000002000000}">
      <formula1>"On, Off"</formula1>
    </dataValidation>
    <dataValidation type="list" allowBlank="1" showInputMessage="1" showErrorMessage="1" sqref="C28" xr:uid="{00000000-0002-0000-0100-000003000000}">
      <formula1>"Guest et al., Cullum et al., Manual"</formula1>
    </dataValidation>
    <dataValidation type="list" allowBlank="1" showInputMessage="1" showErrorMessage="1" sqref="C143" xr:uid="{00000000-0002-0000-0100-000004000000}">
      <formula1>"Default, Manual 1, Manual 2, Baseline"</formula1>
    </dataValidation>
    <dataValidation type="whole" operator="greaterThan" allowBlank="1" showInputMessage="1" showErrorMessage="1" error="Must be greater than zero and a whole number" sqref="C12" xr:uid="{00000000-0002-0000-0100-000005000000}">
      <formula1>0</formula1>
    </dataValidation>
    <dataValidation type="decimal" allowBlank="1" showInputMessage="1" showErrorMessage="1" error="Must be a percentage between 0% and 100%" sqref="C16" xr:uid="{00000000-0002-0000-0100-000006000000}">
      <formula1>0</formula1>
      <formula2>1</formula2>
    </dataValidation>
    <dataValidation type="whole" allowBlank="1" showInputMessage="1" showErrorMessage="1" error="Must be a whole number between 2000 and 2040" sqref="I72 E36 C10" xr:uid="{00000000-0002-0000-0100-000007000000}">
      <formula1>2000</formula1>
      <formula2>2030</formula2>
    </dataValidation>
    <dataValidation type="whole" operator="greaterThanOrEqual" allowBlank="1" showInputMessage="1" showErrorMessage="1" error="Baseline year cannot be greater than first year of implementation" sqref="C11" xr:uid="{00000000-0002-0000-0100-000008000000}">
      <formula1>C10</formula1>
    </dataValidation>
  </dataValidations>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1"/>
  </sheetPr>
  <dimension ref="B4"/>
  <sheetViews>
    <sheetView showGridLines="0" workbookViewId="0"/>
  </sheetViews>
  <sheetFormatPr defaultRowHeight="14.5"/>
  <sheetData>
    <row r="4" spans="2:2">
      <c r="B4" s="9" t="s">
        <v>3749</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tint="0.39997558519241921"/>
  </sheetPr>
  <dimension ref="A1:W179"/>
  <sheetViews>
    <sheetView showGridLines="0" workbookViewId="0"/>
  </sheetViews>
  <sheetFormatPr defaultRowHeight="14.5"/>
  <cols>
    <col min="2" max="2" width="39.6328125" customWidth="1"/>
    <col min="3" max="3" width="16" style="285" customWidth="1"/>
    <col min="4" max="4" width="12.36328125" customWidth="1"/>
    <col min="5" max="5" width="14.54296875" style="286" customWidth="1"/>
    <col min="6" max="6" width="15.36328125" style="286" customWidth="1"/>
    <col min="7" max="7" width="13.36328125" customWidth="1"/>
    <col min="8" max="8" width="12.54296875" customWidth="1"/>
    <col min="9" max="10" width="12.36328125" customWidth="1"/>
    <col min="11" max="13" width="9.453125" bestFit="1" customWidth="1"/>
    <col min="14" max="14" width="9" bestFit="1" customWidth="1"/>
  </cols>
  <sheetData>
    <row r="1" spans="1:16" s="782" customFormat="1" ht="18.5">
      <c r="A1" s="780" t="s">
        <v>3531</v>
      </c>
    </row>
    <row r="2" spans="1:16" s="782" customFormat="1">
      <c r="A2" s="782" t="s">
        <v>3527</v>
      </c>
    </row>
    <row r="3" spans="1:16" s="782" customFormat="1">
      <c r="A3" s="782" t="s">
        <v>3525</v>
      </c>
    </row>
    <row r="4" spans="1:16" s="783" customFormat="1"/>
    <row r="5" spans="1:16">
      <c r="A5" s="9" t="s">
        <v>2959</v>
      </c>
    </row>
    <row r="7" spans="1:16">
      <c r="C7"/>
      <c r="E7"/>
    </row>
    <row r="8" spans="1:16" s="588" customFormat="1">
      <c r="A8" s="593" t="s">
        <v>3025</v>
      </c>
      <c r="F8" s="630"/>
    </row>
    <row r="10" spans="1:16">
      <c r="A10" s="9" t="s">
        <v>10</v>
      </c>
      <c r="B10" s="9" t="s">
        <v>36</v>
      </c>
    </row>
    <row r="11" spans="1:16">
      <c r="B11" s="310" t="s">
        <v>2788</v>
      </c>
    </row>
    <row r="13" spans="1:16">
      <c r="B13" s="135" t="s">
        <v>4</v>
      </c>
      <c r="C13" s="792" t="s">
        <v>2765</v>
      </c>
      <c r="D13" s="792" t="s">
        <v>3556</v>
      </c>
      <c r="E13" s="792" t="s">
        <v>3557</v>
      </c>
      <c r="F13" s="792" t="s">
        <v>2761</v>
      </c>
      <c r="G13" s="792" t="s">
        <v>3558</v>
      </c>
      <c r="H13" s="792" t="s">
        <v>3559</v>
      </c>
      <c r="I13" s="792" t="s">
        <v>2762</v>
      </c>
      <c r="J13" s="792" t="s">
        <v>3560</v>
      </c>
      <c r="K13" s="792" t="s">
        <v>3561</v>
      </c>
      <c r="L13" s="792" t="s">
        <v>2763</v>
      </c>
      <c r="M13" s="792" t="s">
        <v>3562</v>
      </c>
      <c r="N13" s="792" t="s">
        <v>3563</v>
      </c>
      <c r="O13" s="792" t="s">
        <v>2764</v>
      </c>
    </row>
    <row r="14" spans="1:16">
      <c r="B14" s="166" t="s">
        <v>36</v>
      </c>
      <c r="C14" s="291"/>
      <c r="D14" s="291"/>
      <c r="E14" s="291"/>
      <c r="F14" s="291"/>
      <c r="G14" s="291"/>
      <c r="H14" s="291"/>
      <c r="I14" s="292"/>
      <c r="J14" s="292"/>
      <c r="K14" s="292"/>
      <c r="L14" s="292"/>
      <c r="M14" s="292"/>
      <c r="N14" s="292"/>
      <c r="O14" s="362"/>
      <c r="P14" s="310" t="s">
        <v>3564</v>
      </c>
    </row>
    <row r="15" spans="1:16" ht="29">
      <c r="B15" s="166" t="s">
        <v>2766</v>
      </c>
      <c r="C15" s="293">
        <f>'VLU Care Pathways INT'!C17</f>
        <v>0</v>
      </c>
      <c r="D15" s="293">
        <f>'VLU Care Pathways INT'!D17</f>
        <v>0.54716981132075471</v>
      </c>
      <c r="E15" s="293">
        <f>'VLU Care Pathways INT'!E17</f>
        <v>0.58490566037735847</v>
      </c>
      <c r="F15" s="293">
        <f>'VLU Care Pathways INT'!F17</f>
        <v>0.67924528301886788</v>
      </c>
      <c r="G15" s="293">
        <f>'VLU Care Pathways INT'!G17</f>
        <v>0.73584905660377353</v>
      </c>
      <c r="H15" s="293">
        <f>'VLU Care Pathways INT'!H17</f>
        <v>0.79245283018867918</v>
      </c>
      <c r="I15" s="293">
        <f>'VLU Care Pathways INT'!I17</f>
        <v>0.83018867924528295</v>
      </c>
      <c r="J15" s="293">
        <f>'VLU Care Pathways INT'!J17</f>
        <v>0.86792452830188682</v>
      </c>
      <c r="K15" s="293">
        <f>'VLU Care Pathways INT'!K17</f>
        <v>0.90566037735849048</v>
      </c>
      <c r="L15" s="293">
        <f>'VLU Care Pathways INT'!L17</f>
        <v>0.94339622641509424</v>
      </c>
      <c r="M15" s="293">
        <f>'VLU Care Pathways INT'!M17</f>
        <v>0.96226415094339623</v>
      </c>
      <c r="N15" s="293">
        <f>'VLU Care Pathways INT'!N17</f>
        <v>0.98113207547169812</v>
      </c>
      <c r="O15" s="293">
        <f>'VLU Care Pathways INT'!O17</f>
        <v>1</v>
      </c>
    </row>
    <row r="16" spans="1:16" ht="29">
      <c r="B16" s="166" t="s">
        <v>2767</v>
      </c>
      <c r="C16" s="293">
        <f>1-C15</f>
        <v>1</v>
      </c>
      <c r="D16" s="293">
        <f t="shared" ref="D16:O16" si="0">1-D15</f>
        <v>0.45283018867924529</v>
      </c>
      <c r="E16" s="293">
        <f t="shared" si="0"/>
        <v>0.41509433962264153</v>
      </c>
      <c r="F16" s="293">
        <f t="shared" si="0"/>
        <v>0.32075471698113212</v>
      </c>
      <c r="G16" s="293">
        <f t="shared" si="0"/>
        <v>0.26415094339622647</v>
      </c>
      <c r="H16" s="293">
        <f t="shared" si="0"/>
        <v>0.20754716981132082</v>
      </c>
      <c r="I16" s="293">
        <f t="shared" si="0"/>
        <v>0.16981132075471705</v>
      </c>
      <c r="J16" s="293">
        <f t="shared" si="0"/>
        <v>0.13207547169811318</v>
      </c>
      <c r="K16" s="293">
        <f t="shared" si="0"/>
        <v>9.4339622641509524E-2</v>
      </c>
      <c r="L16" s="293">
        <f t="shared" si="0"/>
        <v>5.6603773584905759E-2</v>
      </c>
      <c r="M16" s="293">
        <f t="shared" si="0"/>
        <v>3.7735849056603765E-2</v>
      </c>
      <c r="N16" s="293">
        <f t="shared" si="0"/>
        <v>1.8867924528301883E-2</v>
      </c>
      <c r="O16" s="293">
        <f t="shared" si="0"/>
        <v>0</v>
      </c>
    </row>
    <row r="17" spans="1:15">
      <c r="B17" s="166" t="s">
        <v>2768</v>
      </c>
      <c r="C17" s="293">
        <v>1</v>
      </c>
      <c r="D17" s="293">
        <v>1</v>
      </c>
      <c r="E17" s="293">
        <v>1</v>
      </c>
      <c r="F17" s="293">
        <v>1</v>
      </c>
      <c r="G17" s="293">
        <v>1</v>
      </c>
      <c r="H17" s="293">
        <v>1</v>
      </c>
      <c r="I17" s="293">
        <v>1</v>
      </c>
      <c r="J17" s="293">
        <v>1</v>
      </c>
      <c r="K17" s="293">
        <v>1</v>
      </c>
      <c r="L17" s="293">
        <v>1</v>
      </c>
      <c r="M17" s="293">
        <v>1</v>
      </c>
      <c r="N17" s="293">
        <v>1</v>
      </c>
      <c r="O17" s="293">
        <v>1</v>
      </c>
    </row>
    <row r="18" spans="1:15">
      <c r="B18" s="52"/>
      <c r="C18" s="419"/>
      <c r="D18" s="419"/>
      <c r="E18" s="419"/>
      <c r="F18" s="419"/>
      <c r="G18" s="419"/>
    </row>
    <row r="19" spans="1:15">
      <c r="B19" s="113" t="s">
        <v>3003</v>
      </c>
      <c r="C19" s="419"/>
      <c r="D19" s="419"/>
      <c r="E19" s="419"/>
      <c r="F19" s="419"/>
      <c r="G19" s="419"/>
    </row>
    <row r="20" spans="1:15">
      <c r="B20" s="113"/>
      <c r="C20" s="419"/>
      <c r="D20" s="419"/>
      <c r="E20" s="419"/>
      <c r="F20" s="419"/>
      <c r="G20" s="419"/>
    </row>
    <row r="21" spans="1:15" ht="58">
      <c r="B21" s="84" t="s">
        <v>2998</v>
      </c>
      <c r="C21" s="580" t="s">
        <v>3267</v>
      </c>
      <c r="E21" s="580" t="s">
        <v>3446</v>
      </c>
      <c r="F21" s="419"/>
      <c r="G21" s="419"/>
    </row>
    <row r="22" spans="1:15">
      <c r="B22" s="433" t="s">
        <v>2999</v>
      </c>
      <c r="C22" s="434">
        <f>'Control Assumptions'!D119</f>
        <v>0.4</v>
      </c>
      <c r="E22" s="581"/>
      <c r="F22" s="419"/>
      <c r="G22" s="419"/>
    </row>
    <row r="23" spans="1:15">
      <c r="B23" s="433" t="s">
        <v>3000</v>
      </c>
      <c r="C23" s="434">
        <f>'Control Assumptions'!D120</f>
        <v>0.5</v>
      </c>
      <c r="E23" s="434">
        <f>1-E24</f>
        <v>0.9</v>
      </c>
      <c r="F23" s="419"/>
      <c r="G23" s="419"/>
    </row>
    <row r="24" spans="1:15">
      <c r="B24" s="433" t="s">
        <v>105</v>
      </c>
      <c r="C24" s="434">
        <f>'Control Assumptions'!D121</f>
        <v>0.1</v>
      </c>
      <c r="E24" s="434">
        <f>C24/SUM($C$22:$C$24)</f>
        <v>0.1</v>
      </c>
    </row>
    <row r="25" spans="1:15">
      <c r="B25" s="435"/>
      <c r="C25" s="436"/>
    </row>
    <row r="26" spans="1:15">
      <c r="B26" s="435"/>
      <c r="C26" s="436"/>
    </row>
    <row r="27" spans="1:15">
      <c r="B27" s="435"/>
      <c r="C27" s="436"/>
    </row>
    <row r="29" spans="1:15" s="588" customFormat="1">
      <c r="A29" s="588" t="s">
        <v>10</v>
      </c>
      <c r="B29" s="593" t="s">
        <v>2960</v>
      </c>
      <c r="C29" s="637"/>
      <c r="D29" s="638"/>
      <c r="E29" s="630"/>
      <c r="F29" s="630"/>
    </row>
    <row r="30" spans="1:15">
      <c r="B30" s="310" t="s">
        <v>2771</v>
      </c>
      <c r="C30" s="287"/>
      <c r="D30" s="289"/>
    </row>
    <row r="31" spans="1:15">
      <c r="B31" s="310" t="s">
        <v>2893</v>
      </c>
      <c r="C31" s="287"/>
      <c r="D31" s="289"/>
    </row>
    <row r="32" spans="1:15">
      <c r="B32" s="310" t="s">
        <v>2971</v>
      </c>
      <c r="C32" s="287"/>
      <c r="D32" s="289"/>
    </row>
    <row r="33" spans="1:23">
      <c r="B33" s="9"/>
      <c r="C33" s="287"/>
      <c r="F33" s="290"/>
    </row>
    <row r="34" spans="1:23">
      <c r="B34" s="166" t="s">
        <v>2835</v>
      </c>
      <c r="C34" s="304">
        <v>1.5</v>
      </c>
      <c r="F34" s="290"/>
      <c r="L34" s="54"/>
    </row>
    <row r="35" spans="1:23">
      <c r="B35" s="52"/>
      <c r="C35" s="52"/>
      <c r="F35" s="290"/>
      <c r="L35" s="54"/>
    </row>
    <row r="36" spans="1:23">
      <c r="C36"/>
      <c r="E36" s="290"/>
      <c r="F36"/>
      <c r="H36" s="345" t="s">
        <v>2892</v>
      </c>
      <c r="I36" s="7"/>
    </row>
    <row r="37" spans="1:23" s="346" customFormat="1">
      <c r="A37" s="96"/>
      <c r="B37" s="344" t="s">
        <v>2772</v>
      </c>
      <c r="C37" s="345" t="s">
        <v>2833</v>
      </c>
      <c r="E37" s="345" t="s">
        <v>2795</v>
      </c>
      <c r="F37" s="345" t="s">
        <v>2796</v>
      </c>
      <c r="H37" s="345" t="s">
        <v>97</v>
      </c>
      <c r="I37" s="345" t="s">
        <v>2797</v>
      </c>
      <c r="K37"/>
    </row>
    <row r="38" spans="1:23" s="96" customFormat="1">
      <c r="B38" s="347" t="s">
        <v>2863</v>
      </c>
      <c r="C38" s="348">
        <v>1</v>
      </c>
      <c r="D38" s="349" t="s">
        <v>2863</v>
      </c>
      <c r="E38" s="309">
        <f>C38*$C$34</f>
        <v>1.5</v>
      </c>
      <c r="F38" s="309">
        <f>E38*(52/4)</f>
        <v>19.5</v>
      </c>
      <c r="H38" s="309">
        <f>E38*SUM($C$16:$N$16)*(52/12)</f>
        <v>20.603773584905667</v>
      </c>
      <c r="I38" s="309">
        <f>E38*SUM($C$17:$N$17)*(52/12)</f>
        <v>78</v>
      </c>
      <c r="K38"/>
    </row>
    <row r="39" spans="1:23" s="96" customFormat="1">
      <c r="B39" s="347" t="s">
        <v>2862</v>
      </c>
      <c r="C39" s="348">
        <v>2</v>
      </c>
      <c r="D39" s="349" t="s">
        <v>2862</v>
      </c>
      <c r="E39" s="309">
        <f>C39*$C$34</f>
        <v>3</v>
      </c>
      <c r="F39" s="309">
        <f>E39*(52/4)</f>
        <v>39</v>
      </c>
      <c r="H39" s="309">
        <f t="shared" ref="H39:H44" si="1">E39*SUM($C$16:$N$16)*(52/12)</f>
        <v>41.207547169811335</v>
      </c>
      <c r="I39" s="309">
        <f t="shared" ref="I39:I44" si="2">E39*SUM($C$17:$N$17)*(52/12)</f>
        <v>156</v>
      </c>
      <c r="K39"/>
    </row>
    <row r="40" spans="1:23" s="96" customFormat="1">
      <c r="B40" s="347" t="s">
        <v>2869</v>
      </c>
      <c r="C40" s="348">
        <v>1</v>
      </c>
      <c r="D40" s="349" t="s">
        <v>2869</v>
      </c>
      <c r="E40" s="309">
        <f>C40*$C$34</f>
        <v>1.5</v>
      </c>
      <c r="F40" s="309">
        <f>E40*(52/4)</f>
        <v>19.5</v>
      </c>
      <c r="H40" s="309">
        <f t="shared" si="1"/>
        <v>20.603773584905667</v>
      </c>
      <c r="I40" s="309">
        <f t="shared" si="2"/>
        <v>78</v>
      </c>
      <c r="K40"/>
    </row>
    <row r="41" spans="1:23" s="96" customFormat="1">
      <c r="B41" s="344" t="s">
        <v>2799</v>
      </c>
      <c r="C41" s="345"/>
      <c r="K41"/>
    </row>
    <row r="42" spans="1:23" s="96" customFormat="1">
      <c r="B42" s="347" t="s">
        <v>3004</v>
      </c>
      <c r="C42" s="309">
        <f>C22*'Resource costs'!C195</f>
        <v>14</v>
      </c>
      <c r="D42" s="349" t="s">
        <v>2867</v>
      </c>
      <c r="E42" s="297">
        <f>C42*$C$34</f>
        <v>21</v>
      </c>
      <c r="F42" s="309">
        <f>E42*(52/4)</f>
        <v>273</v>
      </c>
      <c r="H42" s="309">
        <f t="shared" si="1"/>
        <v>288.45283018867934</v>
      </c>
      <c r="I42" s="309">
        <f t="shared" si="2"/>
        <v>1092</v>
      </c>
      <c r="K42"/>
      <c r="M42" s="351"/>
      <c r="N42" s="351"/>
      <c r="O42" s="351"/>
      <c r="P42" s="351"/>
      <c r="Q42" s="351"/>
      <c r="R42" s="351"/>
      <c r="S42" s="351"/>
      <c r="T42" s="351"/>
      <c r="U42" s="351"/>
      <c r="V42" s="351"/>
      <c r="W42" s="351"/>
    </row>
    <row r="43" spans="1:23" s="96" customFormat="1">
      <c r="B43" s="347" t="s">
        <v>3005</v>
      </c>
      <c r="C43" s="309">
        <f>C23*'Resource costs'!D195</f>
        <v>10</v>
      </c>
      <c r="D43" s="349" t="s">
        <v>2867</v>
      </c>
      <c r="E43" s="297">
        <f>C43*$C$34</f>
        <v>15</v>
      </c>
      <c r="F43" s="309">
        <f>E43*(52/4)</f>
        <v>195</v>
      </c>
      <c r="H43" s="309">
        <f t="shared" si="1"/>
        <v>206.03773584905667</v>
      </c>
      <c r="I43" s="309">
        <f t="shared" si="2"/>
        <v>780</v>
      </c>
      <c r="K43"/>
      <c r="M43" s="351"/>
      <c r="N43" s="351"/>
      <c r="O43" s="351"/>
      <c r="P43" s="351"/>
      <c r="Q43" s="351"/>
      <c r="R43" s="351"/>
      <c r="S43" s="351"/>
      <c r="T43" s="351"/>
      <c r="U43" s="351"/>
      <c r="V43" s="351"/>
      <c r="W43" s="351"/>
    </row>
    <row r="44" spans="1:23" s="96" customFormat="1">
      <c r="B44" s="347" t="s">
        <v>2868</v>
      </c>
      <c r="C44" s="309">
        <f>C24*'Resource costs'!E195</f>
        <v>2</v>
      </c>
      <c r="D44" s="349" t="s">
        <v>2868</v>
      </c>
      <c r="E44" s="297">
        <f>C44*$C$34</f>
        <v>3</v>
      </c>
      <c r="F44" s="309">
        <f>E44*(52/4)</f>
        <v>39</v>
      </c>
      <c r="H44" s="309">
        <f t="shared" si="1"/>
        <v>41.207547169811335</v>
      </c>
      <c r="I44" s="309">
        <f t="shared" si="2"/>
        <v>156</v>
      </c>
      <c r="K44"/>
      <c r="M44" s="352"/>
      <c r="N44" s="352"/>
      <c r="O44" s="352"/>
      <c r="P44" s="352"/>
      <c r="Q44" s="352"/>
      <c r="R44" s="352"/>
      <c r="S44" s="352"/>
      <c r="T44" s="352"/>
      <c r="U44" s="352"/>
      <c r="V44" s="352"/>
      <c r="W44" s="352"/>
    </row>
    <row r="45" spans="1:23" s="96" customFormat="1">
      <c r="B45" s="416"/>
      <c r="C45"/>
      <c r="L45" s="388"/>
    </row>
    <row r="46" spans="1:23" s="96" customFormat="1">
      <c r="C46" s="356"/>
      <c r="D46" s="352"/>
      <c r="L46" s="388"/>
    </row>
    <row r="47" spans="1:23" s="96" customFormat="1">
      <c r="C47" s="356"/>
      <c r="D47" s="352"/>
      <c r="L47" s="388"/>
    </row>
    <row r="48" spans="1:23" s="96" customFormat="1">
      <c r="B48" s="353"/>
      <c r="C48" s="357"/>
      <c r="L48" s="388"/>
    </row>
    <row r="49" spans="1:13" s="96" customFormat="1">
      <c r="B49" s="357"/>
      <c r="C49" s="288"/>
      <c r="L49" s="388"/>
    </row>
    <row r="50" spans="1:13" s="633" customFormat="1">
      <c r="A50" s="633" t="s">
        <v>10</v>
      </c>
      <c r="B50" s="631" t="s">
        <v>2973</v>
      </c>
      <c r="C50" s="635"/>
      <c r="D50" s="636"/>
      <c r="G50" s="631"/>
      <c r="H50" s="635"/>
      <c r="L50" s="634"/>
    </row>
    <row r="51" spans="1:13" s="96" customFormat="1">
      <c r="B51" s="310" t="s">
        <v>2834</v>
      </c>
      <c r="C51" s="358"/>
      <c r="D51" s="341"/>
      <c r="G51" s="353"/>
      <c r="H51" s="358"/>
      <c r="L51" s="388"/>
    </row>
    <row r="52" spans="1:13">
      <c r="A52" s="96"/>
      <c r="B52" s="310" t="s">
        <v>2893</v>
      </c>
      <c r="C52" s="287"/>
      <c r="D52" s="289"/>
    </row>
    <row r="53" spans="1:13" s="96" customFormat="1">
      <c r="B53" s="707" t="s">
        <v>3010</v>
      </c>
      <c r="C53" s="358"/>
      <c r="D53" s="341"/>
      <c r="G53" s="353"/>
      <c r="H53" s="358"/>
      <c r="L53" s="388"/>
    </row>
    <row r="54" spans="1:13" s="96" customFormat="1">
      <c r="B54" s="354"/>
      <c r="C54" s="354"/>
      <c r="D54" s="341"/>
      <c r="G54" s="353"/>
      <c r="H54" s="358"/>
      <c r="L54" s="388"/>
    </row>
    <row r="55" spans="1:13" s="96" customFormat="1">
      <c r="B55" s="354"/>
      <c r="C55" s="354"/>
      <c r="D55" s="341"/>
      <c r="G55" s="353"/>
      <c r="H55" s="358"/>
      <c r="L55" s="388"/>
    </row>
    <row r="56" spans="1:13" s="96" customFormat="1">
      <c r="B56" s="347" t="s">
        <v>2835</v>
      </c>
      <c r="C56" s="304">
        <v>1.5</v>
      </c>
      <c r="D56" s="341"/>
      <c r="G56" s="353"/>
      <c r="H56" s="358"/>
      <c r="L56" s="388"/>
    </row>
    <row r="57" spans="1:13" s="96" customFormat="1">
      <c r="A57" s="341"/>
      <c r="B57" s="341"/>
      <c r="C57" s="341"/>
      <c r="D57" s="341"/>
      <c r="F57" s="351"/>
      <c r="L57" s="388"/>
    </row>
    <row r="58" spans="1:13" s="96" customFormat="1">
      <c r="H58" s="345" t="s">
        <v>2892</v>
      </c>
      <c r="I58" s="345"/>
    </row>
    <row r="59" spans="1:13" s="346" customFormat="1">
      <c r="A59" s="96"/>
      <c r="B59" s="344" t="s">
        <v>2772</v>
      </c>
      <c r="C59" s="345" t="s">
        <v>2836</v>
      </c>
      <c r="E59" s="345" t="s">
        <v>2795</v>
      </c>
      <c r="F59" s="345" t="s">
        <v>2796</v>
      </c>
      <c r="H59" s="345" t="s">
        <v>97</v>
      </c>
      <c r="I59" s="345" t="s">
        <v>2797</v>
      </c>
      <c r="K59" s="96"/>
    </row>
    <row r="60" spans="1:13" s="96" customFormat="1">
      <c r="B60" s="347" t="s">
        <v>2863</v>
      </c>
      <c r="C60" s="309">
        <v>1</v>
      </c>
      <c r="D60" s="349" t="s">
        <v>2863</v>
      </c>
      <c r="E60" s="309">
        <f>C60*$C$56</f>
        <v>1.5</v>
      </c>
      <c r="F60" s="309">
        <f>E60*(52/4)</f>
        <v>19.5</v>
      </c>
      <c r="H60" s="309">
        <f>E60*SUM($C$16:$N$16)*(52/12)</f>
        <v>20.603773584905667</v>
      </c>
      <c r="I60" s="309">
        <f>E60*SUM($C$17:$N$17)*(52/12)</f>
        <v>78</v>
      </c>
    </row>
    <row r="61" spans="1:13" s="96" customFormat="1">
      <c r="B61" s="347" t="s">
        <v>2862</v>
      </c>
      <c r="C61" s="309">
        <v>2</v>
      </c>
      <c r="D61" s="349" t="s">
        <v>2862</v>
      </c>
      <c r="E61" s="309">
        <f>C61*$C$56</f>
        <v>3</v>
      </c>
      <c r="F61" s="309">
        <f>E61*(52/4)</f>
        <v>39</v>
      </c>
      <c r="H61" s="309">
        <f t="shared" ref="H61:H67" si="3">E61*SUM($C$16:$N$16)*(52/12)</f>
        <v>41.207547169811335</v>
      </c>
      <c r="I61" s="309">
        <f t="shared" ref="I61:I67" si="4">E61*SUM($C$17:$N$17)*(52/12)</f>
        <v>156</v>
      </c>
    </row>
    <row r="62" spans="1:13" s="96" customFormat="1">
      <c r="B62" s="347" t="s">
        <v>2871</v>
      </c>
      <c r="C62" s="309">
        <v>1</v>
      </c>
      <c r="D62" s="349" t="s">
        <v>2871</v>
      </c>
      <c r="E62" s="309">
        <f>C62*$C$56</f>
        <v>1.5</v>
      </c>
      <c r="F62" s="309">
        <f>E62*(52/4)</f>
        <v>19.5</v>
      </c>
      <c r="H62" s="309">
        <f t="shared" si="3"/>
        <v>20.603773584905667</v>
      </c>
      <c r="I62" s="309">
        <f t="shared" si="4"/>
        <v>78</v>
      </c>
    </row>
    <row r="63" spans="1:13" s="96" customFormat="1">
      <c r="B63" s="347" t="s">
        <v>2870</v>
      </c>
      <c r="C63" s="309">
        <v>1</v>
      </c>
      <c r="D63" s="349" t="s">
        <v>2870</v>
      </c>
      <c r="E63" s="309">
        <f>C63*$C$56</f>
        <v>1.5</v>
      </c>
      <c r="F63" s="309">
        <f>E63*(52/4)</f>
        <v>19.5</v>
      </c>
      <c r="H63" s="309">
        <f t="shared" si="3"/>
        <v>20.603773584905667</v>
      </c>
      <c r="I63" s="309">
        <f t="shared" si="4"/>
        <v>78</v>
      </c>
    </row>
    <row r="64" spans="1:13" s="96" customFormat="1">
      <c r="B64" s="344" t="s">
        <v>2799</v>
      </c>
      <c r="C64" s="345"/>
      <c r="E64" s="351"/>
      <c r="F64" s="351"/>
      <c r="G64" s="351"/>
      <c r="H64" s="351"/>
      <c r="I64" s="351"/>
      <c r="J64" s="351"/>
      <c r="M64" s="351"/>
    </row>
    <row r="65" spans="1:13" s="96" customFormat="1">
      <c r="B65" s="347" t="s">
        <v>3004</v>
      </c>
      <c r="C65" s="309">
        <f>C22*'Resource costs'!C194</f>
        <v>18.48</v>
      </c>
      <c r="D65" s="349" t="s">
        <v>2867</v>
      </c>
      <c r="E65" s="297">
        <f>C65*$C$56</f>
        <v>27.72</v>
      </c>
      <c r="F65" s="309">
        <f>E65*(52/4)</f>
        <v>360.36</v>
      </c>
      <c r="H65" s="309">
        <f t="shared" si="3"/>
        <v>380.7577358490567</v>
      </c>
      <c r="I65" s="309">
        <f t="shared" si="4"/>
        <v>1441.4399999999998</v>
      </c>
      <c r="M65" s="351"/>
    </row>
    <row r="66" spans="1:13" s="96" customFormat="1">
      <c r="B66" s="347" t="s">
        <v>3005</v>
      </c>
      <c r="C66" s="309">
        <f>C23*'Resource costs'!D194</f>
        <v>15.05</v>
      </c>
      <c r="D66" s="349" t="s">
        <v>2867</v>
      </c>
      <c r="E66" s="297">
        <f>C66*$C$56</f>
        <v>22.575000000000003</v>
      </c>
      <c r="F66" s="309">
        <f>E66*(52/4)</f>
        <v>293.47500000000002</v>
      </c>
      <c r="H66" s="309">
        <f t="shared" si="3"/>
        <v>310.08679245283037</v>
      </c>
      <c r="I66" s="309">
        <f t="shared" si="4"/>
        <v>1173.9000000000001</v>
      </c>
      <c r="M66" s="351"/>
    </row>
    <row r="67" spans="1:13" s="96" customFormat="1">
      <c r="B67" s="347" t="s">
        <v>2868</v>
      </c>
      <c r="C67" s="309">
        <f>C24*'Resource costs'!E194</f>
        <v>3.0100000000000002</v>
      </c>
      <c r="D67" s="349" t="s">
        <v>2868</v>
      </c>
      <c r="E67" s="297">
        <f>C67*$C$56</f>
        <v>4.5150000000000006</v>
      </c>
      <c r="F67" s="309">
        <f>E67*(52/4)</f>
        <v>58.695000000000007</v>
      </c>
      <c r="H67" s="309">
        <f t="shared" si="3"/>
        <v>62.01735849056606</v>
      </c>
      <c r="I67" s="309">
        <f t="shared" si="4"/>
        <v>234.78</v>
      </c>
      <c r="M67" s="352"/>
    </row>
    <row r="68" spans="1:13" s="96" customFormat="1">
      <c r="B68" s="359"/>
      <c r="D68" s="356"/>
      <c r="K68" s="388"/>
    </row>
    <row r="69" spans="1:13" s="96" customFormat="1">
      <c r="B69" s="359"/>
      <c r="D69" s="356"/>
      <c r="K69" s="388"/>
    </row>
    <row r="70" spans="1:13" s="96" customFormat="1">
      <c r="B70" s="359"/>
      <c r="C70" s="356"/>
      <c r="K70" s="388"/>
    </row>
    <row r="71" spans="1:13" s="96" customFormat="1">
      <c r="C71" s="288"/>
      <c r="L71" s="388"/>
    </row>
    <row r="72" spans="1:13" s="633" customFormat="1">
      <c r="A72" s="631" t="s">
        <v>10</v>
      </c>
      <c r="B72" s="631" t="s">
        <v>2909</v>
      </c>
      <c r="C72" s="632"/>
      <c r="L72" s="634"/>
    </row>
    <row r="73" spans="1:13" s="96" customFormat="1">
      <c r="B73" s="707" t="s">
        <v>3266</v>
      </c>
      <c r="C73" s="288"/>
      <c r="L73" s="388"/>
    </row>
    <row r="74" spans="1:13" s="96" customFormat="1">
      <c r="B74" s="707" t="s">
        <v>2922</v>
      </c>
      <c r="C74" s="288"/>
      <c r="L74" s="388"/>
    </row>
    <row r="75" spans="1:13" s="96" customFormat="1">
      <c r="B75" s="707" t="s">
        <v>2972</v>
      </c>
      <c r="C75" s="288"/>
      <c r="L75" s="388"/>
    </row>
    <row r="76" spans="1:13" s="96" customFormat="1">
      <c r="B76" s="354"/>
      <c r="C76" s="288"/>
      <c r="L76" s="388"/>
    </row>
    <row r="77" spans="1:13" s="96" customFormat="1">
      <c r="B77" s="347" t="s">
        <v>2801</v>
      </c>
      <c r="C77" s="304">
        <f>1/(52/4)</f>
        <v>7.6923076923076927E-2</v>
      </c>
      <c r="L77" s="388"/>
    </row>
    <row r="78" spans="1:13" s="96" customFormat="1">
      <c r="B78" s="347" t="s">
        <v>2895</v>
      </c>
      <c r="C78" s="304">
        <v>60</v>
      </c>
      <c r="L78" s="388"/>
    </row>
    <row r="79" spans="1:13" s="96" customFormat="1">
      <c r="L79" s="388"/>
    </row>
    <row r="80" spans="1:13" s="96" customFormat="1">
      <c r="L80" s="388"/>
    </row>
    <row r="81" spans="2:12" s="96" customFormat="1">
      <c r="C81" s="288"/>
      <c r="D81" s="288"/>
      <c r="E81" s="288"/>
      <c r="K81" s="349"/>
      <c r="L81" s="388"/>
    </row>
    <row r="82" spans="2:12" s="96" customFormat="1">
      <c r="B82" s="96" t="s">
        <v>2779</v>
      </c>
      <c r="H82" s="345" t="s">
        <v>2892</v>
      </c>
      <c r="I82" s="345"/>
      <c r="J82" s="345"/>
      <c r="K82" s="584"/>
    </row>
    <row r="83" spans="2:12" s="96" customFormat="1">
      <c r="B83" s="344" t="s">
        <v>2772</v>
      </c>
      <c r="C83" s="345" t="s">
        <v>2836</v>
      </c>
      <c r="E83" s="345" t="s">
        <v>2795</v>
      </c>
      <c r="F83" s="345" t="s">
        <v>2796</v>
      </c>
      <c r="G83" s="346"/>
      <c r="H83" s="345" t="s">
        <v>2896</v>
      </c>
      <c r="J83" s="345" t="s">
        <v>2912</v>
      </c>
      <c r="K83" s="584"/>
    </row>
    <row r="84" spans="2:12" s="96" customFormat="1">
      <c r="B84" s="347" t="s">
        <v>2863</v>
      </c>
      <c r="C84" s="348">
        <v>1</v>
      </c>
      <c r="D84" s="349" t="s">
        <v>2863</v>
      </c>
      <c r="E84" s="309">
        <f>C84*$C$77</f>
        <v>7.6923076923076927E-2</v>
      </c>
      <c r="F84" s="309">
        <f>E84*(52/4)</f>
        <v>1</v>
      </c>
      <c r="H84" s="309">
        <f>E84*SUM($C$16:$N$16)*(52/12)</f>
        <v>1.0566037735849061</v>
      </c>
      <c r="J84" s="309">
        <f>F84*4</f>
        <v>4</v>
      </c>
      <c r="K84" s="349" t="s">
        <v>2863</v>
      </c>
    </row>
    <row r="85" spans="2:12" s="96" customFormat="1">
      <c r="B85" s="347" t="s">
        <v>2862</v>
      </c>
      <c r="C85" s="348">
        <v>2</v>
      </c>
      <c r="D85" s="349" t="s">
        <v>2862</v>
      </c>
      <c r="E85" s="309">
        <f>C85*$C$77</f>
        <v>0.15384615384615385</v>
      </c>
      <c r="F85" s="309">
        <f>E85*(52/4)</f>
        <v>2</v>
      </c>
      <c r="H85" s="309">
        <f t="shared" ref="H85:H90" si="5">E85*SUM($C$16:$N$16)*(52/12)</f>
        <v>2.1132075471698122</v>
      </c>
      <c r="J85" s="309">
        <f t="shared" ref="J85:J90" si="6">F85*4</f>
        <v>8</v>
      </c>
      <c r="K85" s="349" t="s">
        <v>2862</v>
      </c>
    </row>
    <row r="86" spans="2:12">
      <c r="B86" s="347" t="s">
        <v>2894</v>
      </c>
      <c r="C86" s="348">
        <v>2</v>
      </c>
      <c r="D86" s="349" t="s">
        <v>102</v>
      </c>
      <c r="E86" s="309">
        <f>C86*$C$77</f>
        <v>0.15384615384615385</v>
      </c>
      <c r="F86" s="309">
        <f>E86*(52/4)</f>
        <v>2</v>
      </c>
      <c r="G86" s="96"/>
      <c r="H86" s="309">
        <f t="shared" si="5"/>
        <v>2.1132075471698122</v>
      </c>
      <c r="J86" s="309">
        <f t="shared" si="6"/>
        <v>8</v>
      </c>
      <c r="K86" s="349" t="s">
        <v>102</v>
      </c>
    </row>
    <row r="87" spans="2:12">
      <c r="B87" s="344" t="s">
        <v>2760</v>
      </c>
      <c r="C87" s="345"/>
      <c r="D87" s="96"/>
      <c r="E87" s="96"/>
      <c r="F87" s="96"/>
      <c r="G87" s="96"/>
      <c r="H87" s="96"/>
      <c r="J87" s="352"/>
      <c r="K87" s="349"/>
    </row>
    <row r="88" spans="2:12">
      <c r="B88" s="347" t="s">
        <v>3004</v>
      </c>
      <c r="C88" s="309">
        <f>$C$78*E22</f>
        <v>0</v>
      </c>
      <c r="D88" s="349" t="s">
        <v>2867</v>
      </c>
      <c r="E88" s="297">
        <f>C88*$C$77</f>
        <v>0</v>
      </c>
      <c r="F88" s="309">
        <f>E88*(52/4)</f>
        <v>0</v>
      </c>
      <c r="G88" s="96"/>
      <c r="H88" s="309">
        <f t="shared" si="5"/>
        <v>0</v>
      </c>
      <c r="J88" s="309">
        <f t="shared" si="6"/>
        <v>0</v>
      </c>
      <c r="K88" s="349" t="s">
        <v>2831</v>
      </c>
    </row>
    <row r="89" spans="2:12">
      <c r="B89" s="347" t="s">
        <v>3005</v>
      </c>
      <c r="C89" s="309">
        <f>$C$78*E23</f>
        <v>54</v>
      </c>
      <c r="D89" s="349" t="s">
        <v>2867</v>
      </c>
      <c r="E89" s="297">
        <f>C89*$C$77</f>
        <v>4.1538461538461542</v>
      </c>
      <c r="F89" s="309">
        <f>E89*(52/4)</f>
        <v>54.000000000000007</v>
      </c>
      <c r="G89" s="96"/>
      <c r="H89" s="309">
        <f t="shared" si="5"/>
        <v>57.056603773584925</v>
      </c>
      <c r="J89" s="309">
        <f t="shared" si="6"/>
        <v>216.00000000000003</v>
      </c>
      <c r="K89" s="349" t="s">
        <v>2831</v>
      </c>
    </row>
    <row r="90" spans="2:12" s="95" customFormat="1">
      <c r="B90" s="347" t="s">
        <v>2868</v>
      </c>
      <c r="C90" s="309">
        <f>$C$78*E24</f>
        <v>6</v>
      </c>
      <c r="D90" s="349" t="s">
        <v>2868</v>
      </c>
      <c r="E90" s="297">
        <f>C90*$C$77</f>
        <v>0.46153846153846156</v>
      </c>
      <c r="F90" s="309">
        <f>E90*(52/4)</f>
        <v>6</v>
      </c>
      <c r="G90" s="96"/>
      <c r="H90" s="309">
        <f t="shared" si="5"/>
        <v>6.3396226415094361</v>
      </c>
      <c r="J90" s="309">
        <f t="shared" si="6"/>
        <v>24</v>
      </c>
      <c r="K90" s="349" t="s">
        <v>2832</v>
      </c>
    </row>
    <row r="91" spans="2:12" s="95" customFormat="1">
      <c r="B91" s="389" t="s">
        <v>2897</v>
      </c>
      <c r="C91" s="342"/>
      <c r="D91" s="349"/>
      <c r="E91" s="96"/>
      <c r="F91" s="356"/>
      <c r="G91" s="342"/>
      <c r="H91" s="96"/>
      <c r="I91" s="342"/>
      <c r="K91" s="389"/>
    </row>
    <row r="92" spans="2:12" s="95" customFormat="1">
      <c r="B92" s="389"/>
      <c r="C92" s="342"/>
      <c r="D92" s="349"/>
      <c r="E92" s="96"/>
      <c r="F92" s="356"/>
      <c r="G92" s="342"/>
      <c r="H92" s="96"/>
      <c r="I92" s="342"/>
      <c r="K92" s="389"/>
    </row>
    <row r="93" spans="2:12" s="95" customFormat="1">
      <c r="B93" s="359"/>
      <c r="C93" s="342"/>
      <c r="D93" s="349"/>
      <c r="E93" s="96"/>
      <c r="F93" s="356"/>
      <c r="G93" s="342"/>
      <c r="H93" s="96"/>
      <c r="I93" s="342"/>
      <c r="J93" s="342"/>
      <c r="K93" s="96"/>
    </row>
    <row r="94" spans="2:12" s="95" customFormat="1">
      <c r="B94" s="359"/>
      <c r="C94" s="359"/>
      <c r="D94" s="349"/>
      <c r="E94" s="96"/>
      <c r="F94" s="356"/>
      <c r="G94" s="342"/>
      <c r="H94" s="96"/>
      <c r="I94" s="342"/>
      <c r="J94" s="342"/>
      <c r="K94" s="96"/>
    </row>
    <row r="95" spans="2:12" s="95" customFormat="1">
      <c r="B95" s="359"/>
      <c r="C95" s="359"/>
      <c r="D95" s="349"/>
      <c r="E95" s="96"/>
      <c r="F95" s="356"/>
      <c r="G95" s="342"/>
      <c r="H95" s="96"/>
      <c r="I95" s="342"/>
      <c r="J95" s="342"/>
      <c r="K95" s="96"/>
    </row>
    <row r="96" spans="2:12" s="95" customFormat="1">
      <c r="B96" s="359"/>
      <c r="C96" s="359"/>
      <c r="D96" s="349"/>
      <c r="E96" s="96"/>
      <c r="F96" s="356"/>
      <c r="G96" s="342"/>
      <c r="H96" s="96"/>
      <c r="I96" s="342"/>
      <c r="J96" s="342"/>
      <c r="K96" s="96"/>
    </row>
    <row r="97" spans="1:6" s="588" customFormat="1">
      <c r="A97" s="593" t="s">
        <v>10</v>
      </c>
      <c r="B97" s="593" t="s">
        <v>2920</v>
      </c>
      <c r="C97" s="629"/>
      <c r="E97" s="630"/>
      <c r="F97" s="630"/>
    </row>
    <row r="98" spans="1:6">
      <c r="A98" s="9"/>
      <c r="B98" s="9"/>
    </row>
    <row r="99" spans="1:6">
      <c r="A99" s="9"/>
      <c r="B99" s="9" t="s">
        <v>97</v>
      </c>
    </row>
    <row r="100" spans="1:6">
      <c r="A100" s="9"/>
      <c r="B100" s="9"/>
    </row>
    <row r="101" spans="1:6">
      <c r="A101" s="9"/>
      <c r="B101" s="9"/>
      <c r="C101" s="344" t="s">
        <v>2917</v>
      </c>
    </row>
    <row r="102" spans="1:6">
      <c r="A102" s="9"/>
      <c r="B102" s="344" t="s">
        <v>125</v>
      </c>
      <c r="C102" s="344" t="s">
        <v>2873</v>
      </c>
      <c r="D102" s="344" t="s">
        <v>2975</v>
      </c>
      <c r="F102" s="344" t="s">
        <v>2911</v>
      </c>
    </row>
    <row r="103" spans="1:6">
      <c r="A103" s="9"/>
      <c r="B103" s="350" t="s">
        <v>2863</v>
      </c>
      <c r="C103" s="309">
        <f>SUMIFS($H$38:$H$44, $D$38:$D$44, B103)</f>
        <v>20.603773584905667</v>
      </c>
      <c r="D103" s="309">
        <f>SUMIFS($H$60:$H$67, $D$60:$D$67, B103)</f>
        <v>20.603773584905667</v>
      </c>
      <c r="F103" s="309">
        <f>SUMIFS($H$84:$H$90, $D$84:$D$90, B103)</f>
        <v>1.0566037735849061</v>
      </c>
    </row>
    <row r="104" spans="1:6">
      <c r="A104" s="9"/>
      <c r="B104" s="350" t="s">
        <v>2862</v>
      </c>
      <c r="C104" s="309">
        <f t="shared" ref="C104:C111" si="7">SUMIFS($H$38:$H$44, $D$38:$D$44, B104)</f>
        <v>41.207547169811335</v>
      </c>
      <c r="D104" s="309">
        <f t="shared" ref="D104:D111" si="8">SUMIFS($H$60:$H$67, $D$60:$D$67, B104)</f>
        <v>41.207547169811335</v>
      </c>
      <c r="F104" s="309">
        <f t="shared" ref="F104:F111" si="9">SUMIFS($H$84:$H$90, $D$84:$D$90, B104)</f>
        <v>2.1132075471698122</v>
      </c>
    </row>
    <row r="105" spans="1:6">
      <c r="A105" s="9"/>
      <c r="B105" s="350" t="s">
        <v>131</v>
      </c>
      <c r="C105" s="309">
        <f t="shared" si="7"/>
        <v>0</v>
      </c>
      <c r="D105" s="309">
        <f t="shared" si="8"/>
        <v>0</v>
      </c>
      <c r="F105" s="309">
        <f t="shared" si="9"/>
        <v>0</v>
      </c>
    </row>
    <row r="106" spans="1:6">
      <c r="A106" s="9"/>
      <c r="B106" s="350" t="s">
        <v>2869</v>
      </c>
      <c r="C106" s="309">
        <f t="shared" si="7"/>
        <v>20.603773584905667</v>
      </c>
      <c r="D106" s="309">
        <f t="shared" si="8"/>
        <v>0</v>
      </c>
      <c r="F106" s="309">
        <f t="shared" si="9"/>
        <v>0</v>
      </c>
    </row>
    <row r="107" spans="1:6">
      <c r="A107" s="9"/>
      <c r="B107" s="350" t="s">
        <v>2870</v>
      </c>
      <c r="C107" s="309">
        <f t="shared" si="7"/>
        <v>0</v>
      </c>
      <c r="D107" s="309">
        <f t="shared" si="8"/>
        <v>20.603773584905667</v>
      </c>
      <c r="F107" s="309">
        <f t="shared" si="9"/>
        <v>0</v>
      </c>
    </row>
    <row r="108" spans="1:6">
      <c r="A108" s="9"/>
      <c r="B108" s="350" t="s">
        <v>102</v>
      </c>
      <c r="C108" s="309">
        <f t="shared" si="7"/>
        <v>0</v>
      </c>
      <c r="D108" s="309">
        <f t="shared" si="8"/>
        <v>0</v>
      </c>
      <c r="F108" s="309">
        <f t="shared" si="9"/>
        <v>2.1132075471698122</v>
      </c>
    </row>
    <row r="109" spans="1:6">
      <c r="A109" s="9"/>
      <c r="B109" s="347" t="s">
        <v>2867</v>
      </c>
      <c r="C109" s="309">
        <f t="shared" si="7"/>
        <v>494.49056603773602</v>
      </c>
      <c r="D109" s="309">
        <f t="shared" si="8"/>
        <v>690.84452830188707</v>
      </c>
      <c r="F109" s="309">
        <f t="shared" si="9"/>
        <v>57.056603773584925</v>
      </c>
    </row>
    <row r="110" spans="1:6">
      <c r="A110" s="9"/>
      <c r="B110" s="347" t="s">
        <v>2868</v>
      </c>
      <c r="C110" s="309">
        <f t="shared" si="7"/>
        <v>41.207547169811335</v>
      </c>
      <c r="D110" s="309">
        <f t="shared" si="8"/>
        <v>62.01735849056606</v>
      </c>
      <c r="F110" s="309">
        <f t="shared" si="9"/>
        <v>6.3396226415094361</v>
      </c>
    </row>
    <row r="111" spans="1:6">
      <c r="A111" s="9"/>
      <c r="B111" s="350" t="s">
        <v>2871</v>
      </c>
      <c r="C111" s="309">
        <f t="shared" si="7"/>
        <v>0</v>
      </c>
      <c r="D111" s="309">
        <f t="shared" si="8"/>
        <v>20.603773584905667</v>
      </c>
      <c r="F111" s="309">
        <f t="shared" si="9"/>
        <v>0</v>
      </c>
    </row>
    <row r="112" spans="1:6">
      <c r="A112" s="9"/>
      <c r="B112" s="9"/>
    </row>
    <row r="113" spans="1:7">
      <c r="A113" s="9"/>
      <c r="B113" s="9"/>
    </row>
    <row r="114" spans="1:7">
      <c r="A114" s="9"/>
      <c r="B114" s="9" t="s">
        <v>2797</v>
      </c>
    </row>
    <row r="115" spans="1:7">
      <c r="A115" s="9"/>
      <c r="B115" s="9"/>
    </row>
    <row r="116" spans="1:7">
      <c r="A116" s="9"/>
      <c r="B116" s="9"/>
      <c r="C116" s="344" t="s">
        <v>2917</v>
      </c>
    </row>
    <row r="117" spans="1:7">
      <c r="A117" s="9"/>
      <c r="B117" s="344" t="s">
        <v>125</v>
      </c>
      <c r="C117" s="344" t="s">
        <v>2873</v>
      </c>
      <c r="D117" s="344" t="s">
        <v>2975</v>
      </c>
      <c r="F117" s="344" t="s">
        <v>2911</v>
      </c>
    </row>
    <row r="118" spans="1:7">
      <c r="A118" s="9"/>
      <c r="B118" s="350" t="s">
        <v>2863</v>
      </c>
      <c r="C118" s="309">
        <f>SUMIFS($I$38:$I$44, $D$38:$D$44, B118)</f>
        <v>78</v>
      </c>
      <c r="D118" s="309">
        <f>SUMIFS($I$60:$I$67, $D$60:$D$67, B118)</f>
        <v>78</v>
      </c>
      <c r="F118" s="304">
        <v>0</v>
      </c>
    </row>
    <row r="119" spans="1:7">
      <c r="A119" s="9"/>
      <c r="B119" s="350" t="s">
        <v>2862</v>
      </c>
      <c r="C119" s="309">
        <f t="shared" ref="C119:C126" si="10">SUMIFS($I$38:$I$44, $D$38:$D$44, B119)</f>
        <v>156</v>
      </c>
      <c r="D119" s="309">
        <f t="shared" ref="D119:D126" si="11">SUMIFS($I$60:$I$67, $D$60:$D$67, B119)</f>
        <v>156</v>
      </c>
      <c r="F119" s="304">
        <v>0</v>
      </c>
    </row>
    <row r="120" spans="1:7">
      <c r="A120" s="9"/>
      <c r="B120" s="350" t="s">
        <v>131</v>
      </c>
      <c r="C120" s="309">
        <f t="shared" si="10"/>
        <v>0</v>
      </c>
      <c r="D120" s="309">
        <f t="shared" si="11"/>
        <v>0</v>
      </c>
      <c r="F120" s="304">
        <v>0</v>
      </c>
    </row>
    <row r="121" spans="1:7">
      <c r="A121" s="9"/>
      <c r="B121" s="350" t="s">
        <v>2869</v>
      </c>
      <c r="C121" s="309">
        <f t="shared" si="10"/>
        <v>78</v>
      </c>
      <c r="D121" s="309">
        <f t="shared" si="11"/>
        <v>0</v>
      </c>
      <c r="F121" s="304">
        <v>0</v>
      </c>
    </row>
    <row r="122" spans="1:7">
      <c r="A122" s="9"/>
      <c r="B122" s="350" t="s">
        <v>2870</v>
      </c>
      <c r="C122" s="309">
        <f t="shared" si="10"/>
        <v>0</v>
      </c>
      <c r="D122" s="309">
        <f t="shared" si="11"/>
        <v>78</v>
      </c>
      <c r="F122" s="304">
        <v>0</v>
      </c>
    </row>
    <row r="123" spans="1:7">
      <c r="A123" s="9"/>
      <c r="B123" s="350" t="s">
        <v>102</v>
      </c>
      <c r="C123" s="309">
        <f t="shared" si="10"/>
        <v>0</v>
      </c>
      <c r="D123" s="309">
        <f t="shared" si="11"/>
        <v>0</v>
      </c>
      <c r="F123" s="304">
        <v>0</v>
      </c>
    </row>
    <row r="124" spans="1:7">
      <c r="A124" s="9"/>
      <c r="B124" s="347" t="s">
        <v>2867</v>
      </c>
      <c r="C124" s="309">
        <f t="shared" si="10"/>
        <v>1872</v>
      </c>
      <c r="D124" s="309">
        <f t="shared" si="11"/>
        <v>2615.34</v>
      </c>
      <c r="F124" s="304">
        <v>0</v>
      </c>
    </row>
    <row r="125" spans="1:7">
      <c r="A125" s="9"/>
      <c r="B125" s="347" t="s">
        <v>2868</v>
      </c>
      <c r="C125" s="309">
        <f t="shared" si="10"/>
        <v>156</v>
      </c>
      <c r="D125" s="309">
        <f t="shared" si="11"/>
        <v>234.78</v>
      </c>
      <c r="F125" s="304">
        <v>0</v>
      </c>
    </row>
    <row r="126" spans="1:7">
      <c r="A126" s="9"/>
      <c r="B126" s="350" t="s">
        <v>2871</v>
      </c>
      <c r="C126" s="309">
        <f t="shared" si="10"/>
        <v>0</v>
      </c>
      <c r="D126" s="309">
        <f t="shared" si="11"/>
        <v>78</v>
      </c>
      <c r="F126" s="304">
        <v>0</v>
      </c>
      <c r="G126" s="406" t="s">
        <v>2910</v>
      </c>
    </row>
    <row r="127" spans="1:7">
      <c r="A127" s="9"/>
      <c r="B127" s="9"/>
      <c r="C127" s="312" t="b">
        <f>SUM(C118:C126,C103:C111)=SUM(H38:I44)</f>
        <v>1</v>
      </c>
      <c r="D127" s="312" t="b">
        <f>SUM(D118:D126,D103:D111)=SUM(H60:I67)</f>
        <v>1</v>
      </c>
      <c r="F127" s="312" t="b">
        <f>SUM(F118:F126,F103:F111)=SUM(H84:H90)</f>
        <v>1</v>
      </c>
    </row>
    <row r="128" spans="1:7">
      <c r="A128" s="9"/>
      <c r="B128" s="9"/>
      <c r="D128" s="285"/>
      <c r="F128" s="312"/>
    </row>
    <row r="129" spans="1:6">
      <c r="A129" s="9"/>
      <c r="B129" s="9"/>
      <c r="C129" s="312"/>
      <c r="D129" s="312"/>
      <c r="E129" s="312"/>
    </row>
    <row r="130" spans="1:6" s="54" customFormat="1">
      <c r="A130" s="61"/>
      <c r="B130" s="61"/>
      <c r="C130" s="382"/>
      <c r="D130" s="188"/>
      <c r="E130" s="583"/>
      <c r="F130" s="583"/>
    </row>
    <row r="131" spans="1:6">
      <c r="A131" s="9"/>
      <c r="B131" s="9"/>
    </row>
    <row r="132" spans="1:6">
      <c r="A132" s="9"/>
      <c r="B132" s="9"/>
    </row>
    <row r="133" spans="1:6" s="588" customFormat="1" ht="18.5">
      <c r="A133" s="587" t="s">
        <v>3216</v>
      </c>
      <c r="C133" s="629"/>
      <c r="E133" s="630"/>
      <c r="F133" s="630"/>
    </row>
    <row r="134" spans="1:6" ht="18.5">
      <c r="A134" s="31"/>
    </row>
    <row r="135" spans="1:6">
      <c r="A135" s="9"/>
      <c r="B135" s="9"/>
      <c r="E135" s="312"/>
    </row>
    <row r="136" spans="1:6">
      <c r="A136" s="9" t="s">
        <v>10</v>
      </c>
      <c r="B136" s="9" t="s">
        <v>2875</v>
      </c>
      <c r="E136" s="312"/>
    </row>
    <row r="137" spans="1:6">
      <c r="A137" s="9"/>
      <c r="B137" s="420" t="s">
        <v>2974</v>
      </c>
      <c r="E137" s="312"/>
    </row>
    <row r="138" spans="1:6">
      <c r="A138" s="9"/>
      <c r="B138" s="307" t="s">
        <v>2914</v>
      </c>
      <c r="C138" s="541" t="s">
        <v>2794</v>
      </c>
      <c r="E138"/>
      <c r="F138"/>
    </row>
    <row r="139" spans="1:6">
      <c r="A139" s="9"/>
      <c r="B139" s="350" t="s">
        <v>2873</v>
      </c>
      <c r="C139" s="306">
        <f>'Control Assumptions'!C171</f>
        <v>0.1</v>
      </c>
      <c r="E139"/>
      <c r="F139"/>
    </row>
    <row r="140" spans="1:6">
      <c r="A140" s="9"/>
      <c r="B140" s="350" t="s">
        <v>2975</v>
      </c>
      <c r="C140" s="306">
        <f>'Control Assumptions'!C172</f>
        <v>0.9</v>
      </c>
      <c r="E140"/>
      <c r="F140"/>
    </row>
    <row r="141" spans="1:6">
      <c r="A141" s="9"/>
      <c r="B141" s="9"/>
      <c r="C141" s="311" t="b">
        <f>SUM(C139:C140)=1</f>
        <v>1</v>
      </c>
      <c r="E141" s="312"/>
    </row>
    <row r="142" spans="1:6">
      <c r="A142" s="9"/>
      <c r="B142" s="9"/>
      <c r="C142" s="311"/>
      <c r="E142" s="312"/>
    </row>
    <row r="143" spans="1:6">
      <c r="A143" s="9"/>
      <c r="B143" s="9" t="s">
        <v>2915</v>
      </c>
      <c r="C143" s="311"/>
      <c r="E143" s="312"/>
    </row>
    <row r="144" spans="1:6">
      <c r="A144" s="9"/>
      <c r="B144" s="307" t="s">
        <v>2914</v>
      </c>
      <c r="C144" s="541" t="s">
        <v>120</v>
      </c>
      <c r="E144" s="312"/>
    </row>
    <row r="145" spans="1:10">
      <c r="A145" s="9"/>
      <c r="B145" s="350" t="s">
        <v>2913</v>
      </c>
      <c r="C145" s="440">
        <v>0</v>
      </c>
      <c r="E145" s="312"/>
    </row>
    <row r="146" spans="1:10">
      <c r="A146" s="9"/>
      <c r="B146" s="350" t="s">
        <v>2975</v>
      </c>
      <c r="C146" s="306">
        <f>'Control Assumptions'!C225</f>
        <v>0.85</v>
      </c>
      <c r="E146" s="414"/>
    </row>
    <row r="147" spans="1:10">
      <c r="A147" s="9"/>
      <c r="B147" s="9"/>
      <c r="C147" s="9"/>
      <c r="D147" s="9"/>
      <c r="E147" s="9"/>
    </row>
    <row r="148" spans="1:10">
      <c r="A148" s="9"/>
      <c r="B148" s="9"/>
      <c r="C148" s="9"/>
      <c r="E148" s="312"/>
    </row>
    <row r="149" spans="1:10" ht="29">
      <c r="A149" s="9"/>
      <c r="B149" s="415" t="s">
        <v>2940</v>
      </c>
      <c r="C149" s="306">
        <f>SUMPRODUCT(C145:C146,C139:C140)</f>
        <v>0.76500000000000001</v>
      </c>
      <c r="E149" s="312"/>
    </row>
    <row r="150" spans="1:10">
      <c r="A150" s="9"/>
      <c r="B150" s="364"/>
      <c r="C150" s="401"/>
      <c r="E150" s="312"/>
    </row>
    <row r="151" spans="1:10">
      <c r="A151" s="9"/>
      <c r="B151" s="9"/>
      <c r="C151" s="545" t="s">
        <v>3197</v>
      </c>
      <c r="D151" s="9"/>
      <c r="E151" s="9"/>
    </row>
    <row r="152" spans="1:10">
      <c r="A152" s="9"/>
      <c r="B152" s="347" t="s">
        <v>2531</v>
      </c>
      <c r="C152" s="405">
        <f>'To-be clinical improvements'!D11</f>
        <v>0.47499999999999998</v>
      </c>
      <c r="D152" s="9"/>
      <c r="E152" s="9"/>
    </row>
    <row r="153" spans="1:10">
      <c r="A153" s="9"/>
      <c r="B153" s="6" t="s">
        <v>4</v>
      </c>
      <c r="C153" s="215">
        <f>'To-be clinical improvements'!C11</f>
        <v>0.62286949602337649</v>
      </c>
      <c r="E153"/>
      <c r="F153"/>
    </row>
    <row r="154" spans="1:10">
      <c r="A154" s="9"/>
      <c r="B154" s="9"/>
      <c r="E154" s="312"/>
    </row>
    <row r="155" spans="1:10" ht="19.25" customHeight="1">
      <c r="A155" s="9"/>
      <c r="B155" s="9" t="s">
        <v>3215</v>
      </c>
      <c r="C155"/>
      <c r="E155" s="312"/>
    </row>
    <row r="156" spans="1:10" ht="19.25" customHeight="1">
      <c r="A156" s="9"/>
      <c r="B156" s="9"/>
      <c r="C156"/>
      <c r="E156" s="312"/>
    </row>
    <row r="157" spans="1:10" ht="19.25" customHeight="1">
      <c r="A157" s="9"/>
      <c r="B157" s="9"/>
      <c r="C157" s="542" t="s">
        <v>2917</v>
      </c>
      <c r="D157" s="542"/>
      <c r="E157" s="312"/>
      <c r="F157" s="543" t="s">
        <v>2919</v>
      </c>
      <c r="G157" s="543"/>
      <c r="I157" s="544" t="s">
        <v>2918</v>
      </c>
      <c r="J157" s="544"/>
    </row>
    <row r="158" spans="1:10">
      <c r="A158" s="9"/>
      <c r="B158" s="344" t="s">
        <v>125</v>
      </c>
      <c r="C158" s="542" t="s">
        <v>97</v>
      </c>
      <c r="D158" s="542" t="s">
        <v>2874</v>
      </c>
      <c r="E158" s="312"/>
      <c r="F158" s="543" t="s">
        <v>97</v>
      </c>
      <c r="G158" s="543" t="s">
        <v>98</v>
      </c>
      <c r="I158" s="544" t="s">
        <v>97</v>
      </c>
      <c r="J158" s="544" t="s">
        <v>98</v>
      </c>
    </row>
    <row r="159" spans="1:10">
      <c r="A159" s="9"/>
      <c r="B159" s="350" t="s">
        <v>2863</v>
      </c>
      <c r="C159" s="368">
        <f t="array" ref="C159">SUMPRODUCT(TRANSPOSE($C$139:$C$140),C103:D103)</f>
        <v>20.603773584905667</v>
      </c>
      <c r="D159" s="368">
        <f t="array" ref="D159">SUMPRODUCT(TRANSPOSE($C$139:$C$140),C118:D118)</f>
        <v>78</v>
      </c>
      <c r="E159" s="312"/>
      <c r="F159" s="368">
        <f t="shared" ref="F159:F167" si="12">$C$149*F103*(1-$C$152)</f>
        <v>0.42435849056603792</v>
      </c>
      <c r="G159" s="368">
        <f t="shared" ref="G159:G167" si="13">$C$149*F118*(1-$C$152)</f>
        <v>0</v>
      </c>
      <c r="I159" s="367">
        <f>C159+F159</f>
        <v>21.028132075471706</v>
      </c>
      <c r="J159" s="367">
        <f>D159+G159</f>
        <v>78</v>
      </c>
    </row>
    <row r="160" spans="1:10">
      <c r="A160" s="9"/>
      <c r="B160" s="350" t="s">
        <v>2862</v>
      </c>
      <c r="C160" s="368">
        <f t="array" ref="C160">SUMPRODUCT(TRANSPOSE($C$139:$C$140),C104:D104)</f>
        <v>41.207547169811335</v>
      </c>
      <c r="D160" s="368">
        <f t="array" ref="D160">SUMPRODUCT(TRANSPOSE($C$139:$C$140),C119:D119)</f>
        <v>156</v>
      </c>
      <c r="E160" s="312"/>
      <c r="F160" s="368">
        <f t="shared" si="12"/>
        <v>0.84871698113207583</v>
      </c>
      <c r="G160" s="368">
        <f t="shared" si="13"/>
        <v>0</v>
      </c>
      <c r="I160" s="367">
        <f t="shared" ref="I160:J167" si="14">C160+F160</f>
        <v>42.056264150943413</v>
      </c>
      <c r="J160" s="367">
        <f t="shared" si="14"/>
        <v>156</v>
      </c>
    </row>
    <row r="161" spans="1:13">
      <c r="A161" s="9"/>
      <c r="B161" s="350" t="s">
        <v>131</v>
      </c>
      <c r="C161" s="368">
        <f t="array" ref="C161">SUMPRODUCT(TRANSPOSE($C$139:$C$140),C105:D105)</f>
        <v>0</v>
      </c>
      <c r="D161" s="368">
        <f t="array" ref="D161">SUMPRODUCT(TRANSPOSE($C$139:$C$140),C120:D120)</f>
        <v>0</v>
      </c>
      <c r="E161" s="312"/>
      <c r="F161" s="368">
        <f t="shared" si="12"/>
        <v>0</v>
      </c>
      <c r="G161" s="368">
        <f t="shared" si="13"/>
        <v>0</v>
      </c>
      <c r="I161" s="367">
        <f t="shared" si="14"/>
        <v>0</v>
      </c>
      <c r="J161" s="367">
        <f t="shared" si="14"/>
        <v>0</v>
      </c>
    </row>
    <row r="162" spans="1:13">
      <c r="A162" s="9"/>
      <c r="B162" s="350" t="s">
        <v>2869</v>
      </c>
      <c r="C162" s="368">
        <f t="array" ref="C162">SUMPRODUCT(TRANSPOSE($C$139:$C$140),C106:D106)</f>
        <v>2.0603773584905669</v>
      </c>
      <c r="D162" s="368">
        <f t="array" ref="D162">SUMPRODUCT(TRANSPOSE($C$139:$C$140),C121:D121)</f>
        <v>7.8000000000000007</v>
      </c>
      <c r="E162" s="312"/>
      <c r="F162" s="368">
        <f t="shared" si="12"/>
        <v>0</v>
      </c>
      <c r="G162" s="368">
        <f t="shared" si="13"/>
        <v>0</v>
      </c>
      <c r="I162" s="367">
        <f t="shared" si="14"/>
        <v>2.0603773584905669</v>
      </c>
      <c r="J162" s="367">
        <f t="shared" si="14"/>
        <v>7.8000000000000007</v>
      </c>
    </row>
    <row r="163" spans="1:13">
      <c r="A163" s="9"/>
      <c r="B163" s="350" t="s">
        <v>2870</v>
      </c>
      <c r="C163" s="368">
        <f t="array" ref="C163">SUMPRODUCT(TRANSPOSE($C$139:$C$140),C107:D107)</f>
        <v>18.543396226415101</v>
      </c>
      <c r="D163" s="368">
        <f t="array" ref="D163">SUMPRODUCT(TRANSPOSE($C$139:$C$140),C122:D122)</f>
        <v>70.2</v>
      </c>
      <c r="E163" s="312"/>
      <c r="F163" s="368">
        <f t="shared" si="12"/>
        <v>0</v>
      </c>
      <c r="G163" s="368">
        <f t="shared" si="13"/>
        <v>0</v>
      </c>
      <c r="I163" s="367">
        <f t="shared" si="14"/>
        <v>18.543396226415101</v>
      </c>
      <c r="J163" s="367">
        <f t="shared" si="14"/>
        <v>70.2</v>
      </c>
    </row>
    <row r="164" spans="1:13">
      <c r="A164" s="9"/>
      <c r="B164" s="350" t="s">
        <v>102</v>
      </c>
      <c r="C164" s="368">
        <f t="array" ref="C164">SUMPRODUCT(TRANSPOSE($C$139:$C$140),C108:D108)</f>
        <v>0</v>
      </c>
      <c r="D164" s="368">
        <f t="array" ref="D164">SUMPRODUCT(TRANSPOSE($C$139:$C$140),C123:D123)</f>
        <v>0</v>
      </c>
      <c r="E164" s="312"/>
      <c r="F164" s="368">
        <f t="shared" si="12"/>
        <v>0.84871698113207583</v>
      </c>
      <c r="G164" s="368">
        <f t="shared" si="13"/>
        <v>0</v>
      </c>
      <c r="I164" s="367">
        <f t="shared" si="14"/>
        <v>0.84871698113207583</v>
      </c>
      <c r="J164" s="367">
        <f t="shared" si="14"/>
        <v>0</v>
      </c>
    </row>
    <row r="165" spans="1:13">
      <c r="A165" s="9"/>
      <c r="B165" s="6" t="s">
        <v>2831</v>
      </c>
      <c r="C165" s="368">
        <f t="array" ref="C165">SUMPRODUCT(TRANSPOSE($C$139:$C$140),C109:D109)</f>
        <v>671.20913207547198</v>
      </c>
      <c r="D165" s="368">
        <f t="array" ref="D165">SUMPRODUCT(TRANSPOSE($C$139:$C$140),C124:D124)</f>
        <v>2541.0059999999999</v>
      </c>
      <c r="E165" s="312"/>
      <c r="F165" s="368">
        <f t="shared" si="12"/>
        <v>22.915358490566046</v>
      </c>
      <c r="G165" s="368">
        <f t="shared" si="13"/>
        <v>0</v>
      </c>
      <c r="I165" s="367">
        <f t="shared" si="14"/>
        <v>694.12449056603805</v>
      </c>
      <c r="J165" s="367">
        <f t="shared" si="14"/>
        <v>2541.0059999999999</v>
      </c>
    </row>
    <row r="166" spans="1:13">
      <c r="A166" s="9"/>
      <c r="B166" s="6" t="s">
        <v>2832</v>
      </c>
      <c r="C166" s="368">
        <f t="array" ref="C166">SUMPRODUCT(TRANSPOSE($C$139:$C$140),C110:D110)</f>
        <v>59.936377358490589</v>
      </c>
      <c r="D166" s="368">
        <f t="array" ref="D166">SUMPRODUCT(TRANSPOSE($C$139:$C$140),C125:D125)</f>
        <v>226.90199999999999</v>
      </c>
      <c r="E166" s="312"/>
      <c r="F166" s="368">
        <f t="shared" si="12"/>
        <v>2.5461509433962273</v>
      </c>
      <c r="G166" s="368">
        <f t="shared" si="13"/>
        <v>0</v>
      </c>
      <c r="I166" s="367">
        <f t="shared" si="14"/>
        <v>62.482528301886816</v>
      </c>
      <c r="J166" s="367">
        <f t="shared" si="14"/>
        <v>226.90199999999999</v>
      </c>
    </row>
    <row r="167" spans="1:13">
      <c r="A167" s="9"/>
      <c r="B167" s="350" t="s">
        <v>2871</v>
      </c>
      <c r="C167" s="368">
        <f t="array" ref="C167">SUMPRODUCT(TRANSPOSE($C$139:$C$140),C111:D111)</f>
        <v>18.543396226415101</v>
      </c>
      <c r="D167" s="368">
        <f t="array" ref="D167">SUMPRODUCT(TRANSPOSE($C$139:$C$140),C126:D126)</f>
        <v>70.2</v>
      </c>
      <c r="E167" s="312"/>
      <c r="F167" s="368">
        <f t="shared" si="12"/>
        <v>0</v>
      </c>
      <c r="G167" s="368">
        <f t="shared" si="13"/>
        <v>0</v>
      </c>
      <c r="I167" s="367">
        <f t="shared" si="14"/>
        <v>18.543396226415101</v>
      </c>
      <c r="J167" s="367">
        <f t="shared" si="14"/>
        <v>70.2</v>
      </c>
    </row>
    <row r="168" spans="1:13">
      <c r="A168" s="9"/>
      <c r="B168" s="364"/>
      <c r="C168" s="342"/>
      <c r="D168" s="342"/>
      <c r="E168" s="312"/>
      <c r="F168" s="406" t="s">
        <v>2924</v>
      </c>
      <c r="L168" s="18"/>
      <c r="M168" s="18"/>
    </row>
    <row r="169" spans="1:13">
      <c r="C169" s="312"/>
      <c r="D169" s="312"/>
      <c r="E169" s="312"/>
    </row>
    <row r="170" spans="1:13">
      <c r="C170"/>
      <c r="E170"/>
      <c r="F170"/>
    </row>
    <row r="171" spans="1:13">
      <c r="C171"/>
      <c r="E171"/>
      <c r="F171"/>
    </row>
    <row r="172" spans="1:13">
      <c r="C172"/>
      <c r="E172"/>
      <c r="F172"/>
    </row>
    <row r="173" spans="1:13">
      <c r="C173"/>
      <c r="E173"/>
      <c r="F173"/>
    </row>
    <row r="174" spans="1:13">
      <c r="C174"/>
      <c r="E174"/>
      <c r="F174"/>
    </row>
    <row r="175" spans="1:13">
      <c r="C175"/>
      <c r="E175"/>
      <c r="F175"/>
    </row>
    <row r="176" spans="1:13">
      <c r="C176"/>
      <c r="E176"/>
      <c r="F176"/>
    </row>
    <row r="177" customFormat="1"/>
    <row r="178" customFormat="1"/>
    <row r="179" customFormat="1"/>
  </sheetData>
  <phoneticPr fontId="1"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5" tint="0.39997558519241921"/>
  </sheetPr>
  <dimension ref="A1:W201"/>
  <sheetViews>
    <sheetView showGridLines="0" workbookViewId="0"/>
  </sheetViews>
  <sheetFormatPr defaultRowHeight="14.5"/>
  <cols>
    <col min="2" max="2" width="39.6328125" customWidth="1"/>
    <col min="3" max="3" width="16" style="285" customWidth="1"/>
    <col min="4" max="4" width="12.36328125" customWidth="1"/>
    <col min="5" max="5" width="14.54296875" style="286" customWidth="1"/>
    <col min="6" max="6" width="15.36328125" style="286" customWidth="1"/>
    <col min="7" max="7" width="13.36328125" customWidth="1"/>
    <col min="8" max="8" width="12.54296875" customWidth="1"/>
    <col min="9" max="10" width="12.36328125" customWidth="1"/>
    <col min="11" max="13" width="9.453125" bestFit="1" customWidth="1"/>
    <col min="14" max="14" width="9" bestFit="1" customWidth="1"/>
  </cols>
  <sheetData>
    <row r="1" spans="1:16" s="782" customFormat="1" ht="18.5">
      <c r="A1" s="780" t="s">
        <v>3530</v>
      </c>
    </row>
    <row r="2" spans="1:16" s="782" customFormat="1">
      <c r="A2" s="782" t="s">
        <v>3524</v>
      </c>
    </row>
    <row r="3" spans="1:16" s="782" customFormat="1">
      <c r="A3" s="782" t="s">
        <v>3525</v>
      </c>
    </row>
    <row r="4" spans="1:16" s="783" customFormat="1"/>
    <row r="5" spans="1:16">
      <c r="A5" s="9" t="s">
        <v>2959</v>
      </c>
    </row>
    <row r="7" spans="1:16">
      <c r="C7"/>
    </row>
    <row r="8" spans="1:16">
      <c r="C8"/>
    </row>
    <row r="9" spans="1:16">
      <c r="C9"/>
    </row>
    <row r="10" spans="1:16" s="588" customFormat="1">
      <c r="A10" s="593" t="s">
        <v>3025</v>
      </c>
      <c r="B10" s="708"/>
      <c r="E10" s="630"/>
      <c r="F10" s="630"/>
    </row>
    <row r="12" spans="1:16">
      <c r="A12" s="9" t="s">
        <v>10</v>
      </c>
      <c r="B12" s="9" t="s">
        <v>36</v>
      </c>
    </row>
    <row r="13" spans="1:16">
      <c r="B13" s="152" t="s">
        <v>2788</v>
      </c>
    </row>
    <row r="15" spans="1:16">
      <c r="B15" s="135" t="s">
        <v>4</v>
      </c>
      <c r="C15" s="792" t="s">
        <v>2765</v>
      </c>
      <c r="D15" s="792" t="s">
        <v>3556</v>
      </c>
      <c r="E15" s="792" t="s">
        <v>3557</v>
      </c>
      <c r="F15" s="792" t="s">
        <v>2761</v>
      </c>
      <c r="G15" s="792" t="s">
        <v>3558</v>
      </c>
      <c r="H15" s="792" t="s">
        <v>3559</v>
      </c>
      <c r="I15" s="792" t="s">
        <v>2762</v>
      </c>
      <c r="J15" s="792" t="s">
        <v>3560</v>
      </c>
      <c r="K15" s="792" t="s">
        <v>3561</v>
      </c>
      <c r="L15" s="792" t="s">
        <v>2763</v>
      </c>
      <c r="M15" s="792" t="s">
        <v>3562</v>
      </c>
      <c r="N15" s="792" t="s">
        <v>3563</v>
      </c>
      <c r="O15" s="792" t="s">
        <v>2764</v>
      </c>
    </row>
    <row r="16" spans="1:16">
      <c r="B16" s="166" t="s">
        <v>36</v>
      </c>
      <c r="C16" s="291">
        <v>0</v>
      </c>
      <c r="D16" s="291">
        <v>0.28999999999999998</v>
      </c>
      <c r="E16" s="291">
        <v>0.31</v>
      </c>
      <c r="F16" s="291">
        <v>0.36</v>
      </c>
      <c r="G16" s="291">
        <v>0.39</v>
      </c>
      <c r="H16" s="291">
        <v>0.42</v>
      </c>
      <c r="I16" s="292">
        <v>0.44</v>
      </c>
      <c r="J16" s="292">
        <v>0.46</v>
      </c>
      <c r="K16" s="292">
        <v>0.48</v>
      </c>
      <c r="L16" s="292">
        <v>0.5</v>
      </c>
      <c r="M16" s="292">
        <v>0.51</v>
      </c>
      <c r="N16" s="292">
        <v>0.52</v>
      </c>
      <c r="O16" s="292">
        <v>0.53</v>
      </c>
      <c r="P16" s="310" t="s">
        <v>2489</v>
      </c>
    </row>
    <row r="17" spans="1:15" ht="29">
      <c r="B17" s="166" t="s">
        <v>3403</v>
      </c>
      <c r="C17" s="293">
        <f>C16/$O$16</f>
        <v>0</v>
      </c>
      <c r="D17" s="293">
        <f t="shared" ref="D17:O17" si="0">D16/$O$16</f>
        <v>0.54716981132075471</v>
      </c>
      <c r="E17" s="293">
        <f t="shared" si="0"/>
        <v>0.58490566037735847</v>
      </c>
      <c r="F17" s="293">
        <f t="shared" si="0"/>
        <v>0.67924528301886788</v>
      </c>
      <c r="G17" s="293">
        <f t="shared" si="0"/>
        <v>0.73584905660377353</v>
      </c>
      <c r="H17" s="293">
        <f t="shared" si="0"/>
        <v>0.79245283018867918</v>
      </c>
      <c r="I17" s="293">
        <f t="shared" si="0"/>
        <v>0.83018867924528295</v>
      </c>
      <c r="J17" s="293">
        <f t="shared" si="0"/>
        <v>0.86792452830188682</v>
      </c>
      <c r="K17" s="293">
        <f t="shared" si="0"/>
        <v>0.90566037735849048</v>
      </c>
      <c r="L17" s="293">
        <f t="shared" si="0"/>
        <v>0.94339622641509424</v>
      </c>
      <c r="M17" s="293">
        <f t="shared" si="0"/>
        <v>0.96226415094339623</v>
      </c>
      <c r="N17" s="293">
        <f t="shared" si="0"/>
        <v>0.98113207547169812</v>
      </c>
      <c r="O17" s="293">
        <f t="shared" si="0"/>
        <v>1</v>
      </c>
    </row>
    <row r="18" spans="1:15" ht="29">
      <c r="B18" s="166" t="s">
        <v>3404</v>
      </c>
      <c r="C18" s="293">
        <f>1-C17</f>
        <v>1</v>
      </c>
      <c r="D18" s="293">
        <f t="shared" ref="D18:O18" si="1">1-D17</f>
        <v>0.45283018867924529</v>
      </c>
      <c r="E18" s="293">
        <f t="shared" si="1"/>
        <v>0.41509433962264153</v>
      </c>
      <c r="F18" s="293">
        <f t="shared" si="1"/>
        <v>0.32075471698113212</v>
      </c>
      <c r="G18" s="293">
        <f t="shared" si="1"/>
        <v>0.26415094339622647</v>
      </c>
      <c r="H18" s="293">
        <f t="shared" si="1"/>
        <v>0.20754716981132082</v>
      </c>
      <c r="I18" s="293">
        <f t="shared" si="1"/>
        <v>0.16981132075471705</v>
      </c>
      <c r="J18" s="293">
        <f t="shared" si="1"/>
        <v>0.13207547169811318</v>
      </c>
      <c r="K18" s="293">
        <f t="shared" si="1"/>
        <v>9.4339622641509524E-2</v>
      </c>
      <c r="L18" s="293">
        <f t="shared" si="1"/>
        <v>5.6603773584905759E-2</v>
      </c>
      <c r="M18" s="293">
        <f t="shared" si="1"/>
        <v>3.7735849056603765E-2</v>
      </c>
      <c r="N18" s="293">
        <f t="shared" si="1"/>
        <v>1.8867924528301883E-2</v>
      </c>
      <c r="O18" s="293">
        <f t="shared" si="1"/>
        <v>0</v>
      </c>
    </row>
    <row r="19" spans="1:15" ht="23.4" customHeight="1">
      <c r="B19" s="166" t="s">
        <v>2768</v>
      </c>
      <c r="C19" s="293">
        <v>1</v>
      </c>
      <c r="D19" s="293">
        <v>1</v>
      </c>
      <c r="E19" s="293">
        <v>1</v>
      </c>
      <c r="F19" s="293">
        <v>1</v>
      </c>
      <c r="G19" s="293">
        <v>1</v>
      </c>
      <c r="H19" s="293">
        <v>1</v>
      </c>
      <c r="I19" s="293">
        <v>1</v>
      </c>
      <c r="J19" s="293">
        <v>1</v>
      </c>
      <c r="K19" s="293">
        <v>1</v>
      </c>
      <c r="L19" s="293">
        <v>1</v>
      </c>
      <c r="M19" s="293">
        <v>1</v>
      </c>
      <c r="N19" s="293">
        <v>1</v>
      </c>
      <c r="O19" s="293">
        <v>1</v>
      </c>
    </row>
    <row r="20" spans="1:15">
      <c r="B20" s="52"/>
      <c r="C20" s="419"/>
      <c r="D20" s="419"/>
      <c r="E20" s="419"/>
      <c r="F20" s="419"/>
      <c r="G20" s="419"/>
    </row>
    <row r="21" spans="1:15">
      <c r="B21" s="52"/>
      <c r="C21" s="419"/>
      <c r="D21" s="419"/>
      <c r="E21" s="419"/>
      <c r="F21" s="419"/>
      <c r="G21" s="419"/>
    </row>
    <row r="23" spans="1:15">
      <c r="A23" t="s">
        <v>10</v>
      </c>
      <c r="B23" s="113" t="s">
        <v>3003</v>
      </c>
      <c r="C23" s="419"/>
      <c r="D23" s="419"/>
    </row>
    <row r="24" spans="1:15">
      <c r="B24" s="113"/>
      <c r="C24" s="419"/>
      <c r="D24" s="419"/>
    </row>
    <row r="25" spans="1:15" ht="58">
      <c r="B25" s="84" t="s">
        <v>2998</v>
      </c>
      <c r="C25" s="580" t="s">
        <v>3267</v>
      </c>
      <c r="E25" s="724" t="s">
        <v>3402</v>
      </c>
    </row>
    <row r="26" spans="1:15">
      <c r="B26" s="433" t="s">
        <v>2999</v>
      </c>
      <c r="C26" s="434">
        <f>'Control Assumptions'!D119</f>
        <v>0.4</v>
      </c>
      <c r="E26" s="581"/>
    </row>
    <row r="27" spans="1:15">
      <c r="B27" s="433" t="s">
        <v>3000</v>
      </c>
      <c r="C27" s="434">
        <f>'Control Assumptions'!D120</f>
        <v>0.5</v>
      </c>
      <c r="E27" s="434">
        <f>1-E28</f>
        <v>0.9</v>
      </c>
    </row>
    <row r="28" spans="1:15">
      <c r="B28" s="433" t="s">
        <v>105</v>
      </c>
      <c r="C28" s="434">
        <f>'Control Assumptions'!D121</f>
        <v>0.1</v>
      </c>
      <c r="E28" s="434">
        <f>C28/SUM($C$26:$C$28)</f>
        <v>0.1</v>
      </c>
    </row>
    <row r="29" spans="1:15">
      <c r="B29" s="435"/>
      <c r="C29" s="436"/>
      <c r="E29" s="620" t="b">
        <f>SUM(E26:E28)=1</f>
        <v>1</v>
      </c>
    </row>
    <row r="30" spans="1:15">
      <c r="B30" s="435"/>
      <c r="C30" s="436"/>
      <c r="D30" s="436"/>
    </row>
    <row r="31" spans="1:15" s="588" customFormat="1">
      <c r="A31" s="588" t="s">
        <v>10</v>
      </c>
      <c r="B31" s="593" t="s">
        <v>2770</v>
      </c>
      <c r="C31" s="637"/>
      <c r="D31" s="638"/>
      <c r="E31" s="630"/>
      <c r="F31" s="630"/>
    </row>
    <row r="32" spans="1:15">
      <c r="B32" s="152" t="s">
        <v>2771</v>
      </c>
      <c r="C32" s="287"/>
      <c r="D32" s="289"/>
    </row>
    <row r="33" spans="2:23">
      <c r="B33" s="152" t="s">
        <v>2893</v>
      </c>
      <c r="C33" s="287"/>
      <c r="D33" s="289"/>
    </row>
    <row r="34" spans="2:23">
      <c r="B34" s="9"/>
      <c r="C34" s="287"/>
      <c r="F34" s="290"/>
    </row>
    <row r="35" spans="2:23">
      <c r="B35" s="166" t="s">
        <v>2835</v>
      </c>
      <c r="C35" s="304">
        <v>1.5</v>
      </c>
      <c r="F35" s="290"/>
      <c r="L35" s="54"/>
    </row>
    <row r="36" spans="2:23">
      <c r="B36" s="166" t="s">
        <v>2789</v>
      </c>
      <c r="C36" s="87">
        <f>'To-be clinical improvements'!C223</f>
        <v>0.31773915413277698</v>
      </c>
      <c r="D36" s="310" t="s">
        <v>2618</v>
      </c>
      <c r="F36" s="290"/>
      <c r="L36" s="54"/>
    </row>
    <row r="37" spans="2:23">
      <c r="B37" s="52"/>
      <c r="C37" s="52"/>
      <c r="F37" s="290"/>
      <c r="L37" s="54"/>
    </row>
    <row r="38" spans="2:23">
      <c r="C38"/>
      <c r="E38" s="290"/>
      <c r="F38"/>
      <c r="H38" s="345" t="s">
        <v>2892</v>
      </c>
      <c r="I38" s="7"/>
      <c r="K38" s="54"/>
    </row>
    <row r="39" spans="2:23" s="346" customFormat="1">
      <c r="B39" s="344" t="s">
        <v>2772</v>
      </c>
      <c r="C39" s="345" t="s">
        <v>2833</v>
      </c>
      <c r="E39" s="345" t="s">
        <v>2795</v>
      </c>
      <c r="F39" s="345" t="s">
        <v>2796</v>
      </c>
      <c r="H39" s="345" t="s">
        <v>97</v>
      </c>
      <c r="I39" s="345" t="s">
        <v>2797</v>
      </c>
      <c r="K39" s="54"/>
    </row>
    <row r="40" spans="2:23" s="96" customFormat="1">
      <c r="B40" s="347" t="s">
        <v>2863</v>
      </c>
      <c r="C40" s="348">
        <v>1</v>
      </c>
      <c r="D40" s="349" t="s">
        <v>2863</v>
      </c>
      <c r="E40" s="309">
        <f>C40*$C$35</f>
        <v>1.5</v>
      </c>
      <c r="F40" s="309">
        <f>E40*(52/4)</f>
        <v>19.5</v>
      </c>
      <c r="H40" s="309">
        <f>E40*SUM($C$18:$N$18)*(52/12)</f>
        <v>20.603773584905667</v>
      </c>
      <c r="I40" s="309">
        <f>E40*SUM($C$19:$N$19)*(52/12)</f>
        <v>78</v>
      </c>
      <c r="K40" s="54"/>
    </row>
    <row r="41" spans="2:23" s="96" customFormat="1">
      <c r="B41" s="347" t="s">
        <v>2862</v>
      </c>
      <c r="C41" s="348">
        <v>2</v>
      </c>
      <c r="D41" s="349" t="s">
        <v>2862</v>
      </c>
      <c r="E41" s="309">
        <f>C41*$C$35</f>
        <v>3</v>
      </c>
      <c r="F41" s="309">
        <f>E41*(52/4)</f>
        <v>39</v>
      </c>
      <c r="H41" s="309">
        <f t="shared" ref="H41:H46" si="2">E41*SUM($C$18:$N$18)*(52/12)</f>
        <v>41.207547169811335</v>
      </c>
      <c r="I41" s="309">
        <f t="shared" ref="I41:I46" si="3">E41*SUM($C$19:$N$19)*(52/12)</f>
        <v>156</v>
      </c>
      <c r="K41" s="54"/>
    </row>
    <row r="42" spans="2:23" s="96" customFormat="1">
      <c r="B42" s="347" t="s">
        <v>2869</v>
      </c>
      <c r="C42" s="348">
        <v>1</v>
      </c>
      <c r="D42" s="349" t="s">
        <v>2869</v>
      </c>
      <c r="E42" s="309">
        <f>C42*$C$35</f>
        <v>1.5</v>
      </c>
      <c r="F42" s="309">
        <f>E42*(52/4)</f>
        <v>19.5</v>
      </c>
      <c r="H42" s="309">
        <f t="shared" si="2"/>
        <v>20.603773584905667</v>
      </c>
      <c r="I42" s="309">
        <f t="shared" si="3"/>
        <v>78</v>
      </c>
      <c r="K42" s="54"/>
    </row>
    <row r="43" spans="2:23" s="96" customFormat="1">
      <c r="B43" s="344" t="s">
        <v>2799</v>
      </c>
      <c r="C43" s="345"/>
      <c r="K43" s="54"/>
    </row>
    <row r="44" spans="2:23" s="96" customFormat="1">
      <c r="B44" s="347" t="s">
        <v>3004</v>
      </c>
      <c r="C44" s="309">
        <f>C26*'Resource costs'!C195</f>
        <v>14</v>
      </c>
      <c r="D44" s="349" t="s">
        <v>2867</v>
      </c>
      <c r="E44" s="297">
        <f>C44*$C$35</f>
        <v>21</v>
      </c>
      <c r="F44" s="309">
        <f>E44*(52/4)</f>
        <v>273</v>
      </c>
      <c r="H44" s="309">
        <f t="shared" si="2"/>
        <v>288.45283018867934</v>
      </c>
      <c r="I44" s="309">
        <f t="shared" si="3"/>
        <v>1092</v>
      </c>
      <c r="K44" s="54"/>
      <c r="M44" s="351"/>
      <c r="N44" s="351"/>
      <c r="O44" s="351"/>
      <c r="P44" s="351"/>
      <c r="Q44" s="351"/>
      <c r="R44" s="351"/>
      <c r="S44" s="351"/>
      <c r="T44" s="351"/>
      <c r="U44" s="351"/>
      <c r="V44" s="351"/>
      <c r="W44" s="351"/>
    </row>
    <row r="45" spans="2:23" s="96" customFormat="1">
      <c r="B45" s="347" t="s">
        <v>3005</v>
      </c>
      <c r="C45" s="309">
        <f>C27*'Resource costs'!D195</f>
        <v>10</v>
      </c>
      <c r="D45" s="349" t="s">
        <v>2867</v>
      </c>
      <c r="E45" s="297">
        <f>C45*$C$35</f>
        <v>15</v>
      </c>
      <c r="F45" s="309">
        <f>E45*(52/4)</f>
        <v>195</v>
      </c>
      <c r="H45" s="309">
        <f t="shared" si="2"/>
        <v>206.03773584905667</v>
      </c>
      <c r="I45" s="309">
        <f t="shared" si="3"/>
        <v>780</v>
      </c>
      <c r="K45" s="54"/>
      <c r="M45" s="351"/>
      <c r="N45" s="351"/>
      <c r="O45" s="351"/>
      <c r="P45" s="351"/>
      <c r="Q45" s="351"/>
      <c r="R45" s="351"/>
      <c r="S45" s="351"/>
      <c r="T45" s="351"/>
      <c r="U45" s="351"/>
      <c r="V45" s="351"/>
      <c r="W45" s="351"/>
    </row>
    <row r="46" spans="2:23" s="96" customFormat="1">
      <c r="B46" s="347" t="s">
        <v>2868</v>
      </c>
      <c r="C46" s="309">
        <f>C28*'Resource costs'!E195</f>
        <v>2</v>
      </c>
      <c r="D46" s="349" t="s">
        <v>2868</v>
      </c>
      <c r="E46" s="297">
        <f>C46*$C$35</f>
        <v>3</v>
      </c>
      <c r="F46" s="309">
        <f>E46*(52/4)</f>
        <v>39</v>
      </c>
      <c r="H46" s="309">
        <f t="shared" si="2"/>
        <v>41.207547169811335</v>
      </c>
      <c r="I46" s="309">
        <f t="shared" si="3"/>
        <v>156</v>
      </c>
      <c r="K46" s="54"/>
      <c r="M46" s="352"/>
      <c r="N46" s="352"/>
      <c r="O46" s="352"/>
      <c r="P46" s="352"/>
      <c r="Q46" s="352"/>
      <c r="R46" s="352"/>
      <c r="S46" s="352"/>
      <c r="T46" s="352"/>
      <c r="U46" s="352"/>
      <c r="V46" s="352"/>
      <c r="W46" s="352"/>
    </row>
    <row r="47" spans="2:23" s="96" customFormat="1">
      <c r="C47"/>
      <c r="K47" s="54"/>
      <c r="L47" s="388"/>
    </row>
    <row r="48" spans="2:23" s="96" customFormat="1" ht="19.25" customHeight="1">
      <c r="B48" s="355" t="s">
        <v>2866</v>
      </c>
      <c r="C48" s="356"/>
      <c r="D48" s="352"/>
      <c r="K48" s="54"/>
      <c r="L48" s="388"/>
    </row>
    <row r="49" spans="1:13" s="96" customFormat="1">
      <c r="B49" s="353"/>
      <c r="C49" s="357"/>
      <c r="L49" s="388"/>
    </row>
    <row r="50" spans="1:13" s="96" customFormat="1">
      <c r="B50" s="357"/>
      <c r="C50" s="288"/>
      <c r="L50" s="388"/>
    </row>
    <row r="51" spans="1:13" s="633" customFormat="1">
      <c r="A51" s="633" t="s">
        <v>10</v>
      </c>
      <c r="B51" s="631" t="s">
        <v>2769</v>
      </c>
      <c r="C51" s="635"/>
      <c r="D51" s="636"/>
      <c r="G51" s="631"/>
      <c r="H51" s="635"/>
      <c r="L51" s="634"/>
    </row>
    <row r="52" spans="1:13" s="96" customFormat="1">
      <c r="B52" s="707" t="s">
        <v>2834</v>
      </c>
      <c r="C52" s="358"/>
      <c r="D52" s="341"/>
      <c r="G52" s="353"/>
      <c r="H52" s="358"/>
      <c r="L52" s="388"/>
    </row>
    <row r="53" spans="1:13">
      <c r="B53" s="152" t="s">
        <v>2893</v>
      </c>
      <c r="C53" s="287"/>
      <c r="D53" s="289"/>
    </row>
    <row r="54" spans="1:13" s="96" customFormat="1">
      <c r="B54" s="354"/>
      <c r="C54" s="358"/>
      <c r="D54" s="341"/>
      <c r="G54" s="353"/>
      <c r="H54" s="358"/>
      <c r="L54" s="388"/>
    </row>
    <row r="55" spans="1:13" s="96" customFormat="1">
      <c r="B55" s="354"/>
      <c r="C55" s="354"/>
      <c r="D55" s="341"/>
      <c r="G55" s="353"/>
      <c r="H55" s="358"/>
      <c r="L55" s="388"/>
    </row>
    <row r="56" spans="1:13" s="96" customFormat="1">
      <c r="B56" s="347" t="s">
        <v>2835</v>
      </c>
      <c r="C56" s="304">
        <v>1</v>
      </c>
      <c r="D56" s="349"/>
      <c r="E56" s="341"/>
      <c r="F56" s="341"/>
      <c r="G56" s="353"/>
      <c r="H56" s="358"/>
      <c r="L56" s="388"/>
    </row>
    <row r="57" spans="1:13" s="96" customFormat="1">
      <c r="B57" s="347" t="s">
        <v>2781</v>
      </c>
      <c r="C57" s="87">
        <f>'To-be clinical improvements'!C224</f>
        <v>0.73944253156255113</v>
      </c>
      <c r="D57" s="341"/>
      <c r="F57" s="351"/>
      <c r="L57" s="388"/>
    </row>
    <row r="58" spans="1:13" s="96" customFormat="1">
      <c r="H58" s="345" t="s">
        <v>2892</v>
      </c>
      <c r="I58" s="345"/>
    </row>
    <row r="59" spans="1:13" s="346" customFormat="1">
      <c r="B59" s="344" t="s">
        <v>2772</v>
      </c>
      <c r="C59" s="345" t="s">
        <v>2836</v>
      </c>
      <c r="E59" s="345" t="s">
        <v>2795</v>
      </c>
      <c r="F59" s="345" t="s">
        <v>2796</v>
      </c>
      <c r="H59" s="345" t="s">
        <v>97</v>
      </c>
      <c r="I59" s="345" t="s">
        <v>2797</v>
      </c>
      <c r="K59" s="96"/>
    </row>
    <row r="60" spans="1:13" s="96" customFormat="1">
      <c r="B60" s="347" t="s">
        <v>2863</v>
      </c>
      <c r="C60" s="309">
        <v>1</v>
      </c>
      <c r="D60" s="349" t="s">
        <v>2863</v>
      </c>
      <c r="E60" s="309">
        <f>C60*$C$56</f>
        <v>1</v>
      </c>
      <c r="F60" s="309">
        <f>E60*(52/4)</f>
        <v>13</v>
      </c>
      <c r="H60" s="309">
        <f>E60*SUM($C$18:$N$18)*(52/12)</f>
        <v>13.735849056603778</v>
      </c>
      <c r="I60" s="309">
        <f>E60*SUM($C$19:$N$19)*(52/12)</f>
        <v>52</v>
      </c>
    </row>
    <row r="61" spans="1:13" s="96" customFormat="1">
      <c r="B61" s="347" t="s">
        <v>2862</v>
      </c>
      <c r="C61" s="309">
        <v>2</v>
      </c>
      <c r="D61" s="349" t="s">
        <v>2862</v>
      </c>
      <c r="E61" s="309">
        <f>C61*$C$56</f>
        <v>2</v>
      </c>
      <c r="F61" s="309">
        <f>E61*(52/4)</f>
        <v>26</v>
      </c>
      <c r="H61" s="309">
        <f t="shared" ref="H61:H67" si="4">E61*SUM($C$18:$N$18)*(52/12)</f>
        <v>27.471698113207555</v>
      </c>
      <c r="I61" s="309">
        <f t="shared" ref="I61:I67" si="5">E61*SUM($C$19:$N$19)*(52/12)</f>
        <v>104</v>
      </c>
    </row>
    <row r="62" spans="1:13" s="96" customFormat="1">
      <c r="B62" s="347" t="s">
        <v>2871</v>
      </c>
      <c r="C62" s="309">
        <v>1</v>
      </c>
      <c r="D62" s="349" t="s">
        <v>2871</v>
      </c>
      <c r="E62" s="309">
        <f>C62*$C$56</f>
        <v>1</v>
      </c>
      <c r="F62" s="309">
        <f>E62*(52/4)</f>
        <v>13</v>
      </c>
      <c r="H62" s="309">
        <f t="shared" si="4"/>
        <v>13.735849056603778</v>
      </c>
      <c r="I62" s="309">
        <f t="shared" si="5"/>
        <v>52</v>
      </c>
    </row>
    <row r="63" spans="1:13" s="96" customFormat="1">
      <c r="B63" s="347" t="s">
        <v>2870</v>
      </c>
      <c r="C63" s="309">
        <v>1</v>
      </c>
      <c r="D63" s="349" t="s">
        <v>2870</v>
      </c>
      <c r="E63" s="309">
        <f>C63*$C$56</f>
        <v>1</v>
      </c>
      <c r="F63" s="309">
        <f>E63*(52/4)</f>
        <v>13</v>
      </c>
      <c r="H63" s="309">
        <f t="shared" si="4"/>
        <v>13.735849056603778</v>
      </c>
      <c r="I63" s="309">
        <f t="shared" si="5"/>
        <v>52</v>
      </c>
    </row>
    <row r="64" spans="1:13" s="96" customFormat="1">
      <c r="B64" s="344" t="s">
        <v>2799</v>
      </c>
      <c r="C64" s="345"/>
      <c r="E64" s="351"/>
      <c r="F64" s="351"/>
      <c r="H64" s="351"/>
      <c r="I64" s="351"/>
      <c r="J64" s="351"/>
      <c r="M64" s="351"/>
    </row>
    <row r="65" spans="1:13" s="96" customFormat="1">
      <c r="B65" s="347" t="s">
        <v>3004</v>
      </c>
      <c r="C65" s="309">
        <f>C26*'Resource costs'!C194</f>
        <v>18.48</v>
      </c>
      <c r="D65" s="349" t="s">
        <v>2867</v>
      </c>
      <c r="E65" s="297">
        <f>C65*$C$56</f>
        <v>18.48</v>
      </c>
      <c r="F65" s="309">
        <f>E65*(52/4)</f>
        <v>240.24</v>
      </c>
      <c r="H65" s="309">
        <f t="shared" si="4"/>
        <v>253.83849056603782</v>
      </c>
      <c r="I65" s="309">
        <f t="shared" si="5"/>
        <v>960.95999999999992</v>
      </c>
      <c r="M65" s="351"/>
    </row>
    <row r="66" spans="1:13" s="96" customFormat="1">
      <c r="B66" s="347" t="s">
        <v>3005</v>
      </c>
      <c r="C66" s="309">
        <f>C27*'Resource costs'!D194</f>
        <v>15.05</v>
      </c>
      <c r="D66" s="349" t="s">
        <v>2867</v>
      </c>
      <c r="E66" s="297">
        <f>C66*$C$56</f>
        <v>15.05</v>
      </c>
      <c r="F66" s="309">
        <f>E66*(52/4)</f>
        <v>195.65</v>
      </c>
      <c r="H66" s="309">
        <f t="shared" si="4"/>
        <v>206.72452830188686</v>
      </c>
      <c r="I66" s="309">
        <f t="shared" si="5"/>
        <v>782.6</v>
      </c>
      <c r="M66" s="351"/>
    </row>
    <row r="67" spans="1:13" s="96" customFormat="1">
      <c r="B67" s="347" t="s">
        <v>2868</v>
      </c>
      <c r="C67" s="309">
        <f>C28*'Resource costs'!E194</f>
        <v>3.0100000000000002</v>
      </c>
      <c r="D67" s="349" t="s">
        <v>2868</v>
      </c>
      <c r="E67" s="297">
        <f>C67*$C$56</f>
        <v>3.0100000000000002</v>
      </c>
      <c r="F67" s="309">
        <f>E67*(52/4)</f>
        <v>39.130000000000003</v>
      </c>
      <c r="H67" s="309">
        <f t="shared" si="4"/>
        <v>41.344905660377378</v>
      </c>
      <c r="I67" s="309">
        <f t="shared" si="5"/>
        <v>156.52000000000001</v>
      </c>
      <c r="M67" s="352"/>
    </row>
    <row r="68" spans="1:13" s="96" customFormat="1">
      <c r="B68" s="359"/>
      <c r="D68" s="356"/>
    </row>
    <row r="69" spans="1:13" s="96" customFormat="1">
      <c r="B69" s="353"/>
      <c r="C69" s="357"/>
      <c r="L69" s="388"/>
    </row>
    <row r="70" spans="1:13" s="96" customFormat="1">
      <c r="B70" s="357"/>
      <c r="C70" s="288"/>
      <c r="L70" s="388"/>
    </row>
    <row r="71" spans="1:13" s="633" customFormat="1">
      <c r="A71" s="633" t="s">
        <v>10</v>
      </c>
      <c r="B71" s="631" t="s">
        <v>2778</v>
      </c>
      <c r="C71" s="635"/>
      <c r="L71" s="634"/>
    </row>
    <row r="72" spans="1:13" s="96" customFormat="1">
      <c r="B72" s="349" t="s">
        <v>3139</v>
      </c>
      <c r="C72" s="358"/>
      <c r="L72" s="388"/>
    </row>
    <row r="73" spans="1:13">
      <c r="B73" s="152" t="s">
        <v>2893</v>
      </c>
      <c r="C73" s="287"/>
      <c r="D73" s="289"/>
    </row>
    <row r="74" spans="1:13">
      <c r="B74" s="152"/>
      <c r="C74" s="287"/>
      <c r="D74" s="289"/>
    </row>
    <row r="75" spans="1:13" s="96" customFormat="1">
      <c r="B75" s="354"/>
      <c r="C75" s="358"/>
      <c r="L75" s="388"/>
    </row>
    <row r="76" spans="1:13" s="96" customFormat="1">
      <c r="B76" s="347" t="s">
        <v>2800</v>
      </c>
      <c r="C76" s="304">
        <v>1</v>
      </c>
      <c r="D76" s="349"/>
      <c r="L76" s="388"/>
    </row>
    <row r="77" spans="1:13" s="96" customFormat="1">
      <c r="B77" s="347" t="s">
        <v>2801</v>
      </c>
      <c r="C77" s="304">
        <f>1/12</f>
        <v>8.3333333333333329E-2</v>
      </c>
      <c r="D77" s="363"/>
      <c r="L77" s="388"/>
    </row>
    <row r="78" spans="1:13" s="96" customFormat="1">
      <c r="B78" s="347" t="s">
        <v>2783</v>
      </c>
      <c r="C78" s="87">
        <f>'To-be clinical improvements'!C224</f>
        <v>0.73944253156255113</v>
      </c>
      <c r="D78" s="349" t="s">
        <v>2782</v>
      </c>
      <c r="F78" s="360"/>
      <c r="G78" s="358"/>
      <c r="L78" s="388"/>
    </row>
    <row r="79" spans="1:13" s="96" customFormat="1">
      <c r="B79" s="359"/>
      <c r="C79" s="359"/>
      <c r="D79" s="354"/>
      <c r="F79" s="360"/>
      <c r="G79" s="358"/>
      <c r="L79" s="388"/>
    </row>
    <row r="80" spans="1:13" s="96" customFormat="1">
      <c r="B80" s="96" t="s">
        <v>3140</v>
      </c>
      <c r="H80" s="345" t="s">
        <v>2892</v>
      </c>
      <c r="I80" s="345"/>
      <c r="K80" s="388"/>
    </row>
    <row r="81" spans="1:13" s="96" customFormat="1">
      <c r="A81" s="346"/>
      <c r="B81" s="344" t="s">
        <v>2772</v>
      </c>
      <c r="C81" s="345" t="s">
        <v>2836</v>
      </c>
      <c r="E81" s="345" t="s">
        <v>2795</v>
      </c>
      <c r="F81" s="345" t="s">
        <v>2796</v>
      </c>
      <c r="G81" s="346"/>
      <c r="H81" s="345" t="s">
        <v>97</v>
      </c>
      <c r="I81" s="345" t="s">
        <v>2797</v>
      </c>
      <c r="J81" s="346"/>
      <c r="K81" s="388"/>
      <c r="M81" s="346"/>
    </row>
    <row r="82" spans="1:13" s="96" customFormat="1">
      <c r="B82" s="347" t="s">
        <v>2863</v>
      </c>
      <c r="C82" s="348">
        <v>1</v>
      </c>
      <c r="D82" s="349" t="s">
        <v>2863</v>
      </c>
      <c r="E82" s="309">
        <f>C82*$C$76</f>
        <v>1</v>
      </c>
      <c r="F82" s="309">
        <f>E82*(52/4)</f>
        <v>13</v>
      </c>
      <c r="H82" s="309">
        <f>E82*SUM($C$18:$N$18)*(52/12)</f>
        <v>13.735849056603778</v>
      </c>
      <c r="I82" s="309">
        <f>E82*SUM($C$19:$N$19)*(52/12)</f>
        <v>52</v>
      </c>
      <c r="K82" s="388"/>
    </row>
    <row r="83" spans="1:13" s="96" customFormat="1">
      <c r="B83" s="347" t="s">
        <v>2862</v>
      </c>
      <c r="C83" s="348">
        <v>2</v>
      </c>
      <c r="D83" s="349" t="s">
        <v>2862</v>
      </c>
      <c r="E83" s="309">
        <f>C83*$C$76</f>
        <v>2</v>
      </c>
      <c r="F83" s="309">
        <f>E83*(52/4)</f>
        <v>26</v>
      </c>
      <c r="H83" s="309">
        <f t="shared" ref="H83:H96" si="6">E83*SUM($C$18:$N$18)*(52/12)</f>
        <v>27.471698113207555</v>
      </c>
      <c r="I83" s="309">
        <f t="shared" ref="I83:I96" si="7">E83*SUM($C$19:$N$19)*(52/12)</f>
        <v>104</v>
      </c>
      <c r="K83" s="388"/>
    </row>
    <row r="84" spans="1:13" s="96" customFormat="1">
      <c r="B84" s="347" t="s">
        <v>131</v>
      </c>
      <c r="C84" s="348">
        <v>1</v>
      </c>
      <c r="D84" s="349" t="s">
        <v>131</v>
      </c>
      <c r="E84" s="309">
        <f>C84*$C$76</f>
        <v>1</v>
      </c>
      <c r="F84" s="309">
        <f>E84*(52/4)</f>
        <v>13</v>
      </c>
      <c r="H84" s="309">
        <f t="shared" si="6"/>
        <v>13.735849056603778</v>
      </c>
      <c r="I84" s="309">
        <f t="shared" si="7"/>
        <v>52</v>
      </c>
      <c r="K84" s="388"/>
    </row>
    <row r="85" spans="1:13" s="96" customFormat="1">
      <c r="B85" s="344" t="s">
        <v>2760</v>
      </c>
      <c r="C85" s="345"/>
      <c r="K85" s="388"/>
    </row>
    <row r="86" spans="1:13" s="96" customFormat="1">
      <c r="B86" s="347" t="s">
        <v>3004</v>
      </c>
      <c r="C86" s="309">
        <f>C26*'Resource costs'!C193</f>
        <v>17.680000000000003</v>
      </c>
      <c r="D86" s="349" t="s">
        <v>2867</v>
      </c>
      <c r="E86" s="297">
        <f>C86*$C$76</f>
        <v>17.680000000000003</v>
      </c>
      <c r="F86" s="309">
        <f>E86*(52/4)</f>
        <v>229.84000000000003</v>
      </c>
      <c r="H86" s="309">
        <f t="shared" si="6"/>
        <v>242.84981132075481</v>
      </c>
      <c r="I86" s="309">
        <f t="shared" si="7"/>
        <v>919.36</v>
      </c>
      <c r="K86" s="388"/>
      <c r="M86" s="351"/>
    </row>
    <row r="87" spans="1:13" s="96" customFormat="1">
      <c r="B87" s="347" t="s">
        <v>3005</v>
      </c>
      <c r="C87" s="309">
        <f>C27*'Resource costs'!D193</f>
        <v>12.7</v>
      </c>
      <c r="D87" s="349" t="s">
        <v>2867</v>
      </c>
      <c r="E87" s="297">
        <f>C87*$C$76</f>
        <v>12.7</v>
      </c>
      <c r="F87" s="309">
        <f>E87*(52/4)</f>
        <v>165.1</v>
      </c>
      <c r="H87" s="309">
        <f t="shared" si="6"/>
        <v>174.44528301886794</v>
      </c>
      <c r="I87" s="309">
        <f t="shared" si="7"/>
        <v>660.39999999999986</v>
      </c>
      <c r="K87" s="388"/>
      <c r="M87" s="351"/>
    </row>
    <row r="88" spans="1:13" s="96" customFormat="1">
      <c r="B88" s="347" t="s">
        <v>2868</v>
      </c>
      <c r="C88" s="309">
        <f>C28*'Resource costs'!E193</f>
        <v>2.54</v>
      </c>
      <c r="D88" s="349" t="s">
        <v>2868</v>
      </c>
      <c r="E88" s="297">
        <f>C88*$C$76</f>
        <v>2.54</v>
      </c>
      <c r="F88" s="309">
        <f>E88*(52/4)</f>
        <v>33.020000000000003</v>
      </c>
      <c r="H88" s="309">
        <f t="shared" si="6"/>
        <v>34.889056603773597</v>
      </c>
      <c r="I88" s="309">
        <f t="shared" si="7"/>
        <v>132.07999999999998</v>
      </c>
      <c r="K88" s="388"/>
      <c r="M88" s="352"/>
    </row>
    <row r="89" spans="1:13" s="96" customFormat="1">
      <c r="C89" s="288"/>
      <c r="K89" s="388"/>
    </row>
    <row r="90" spans="1:13" s="96" customFormat="1">
      <c r="B90" s="96" t="s">
        <v>2780</v>
      </c>
      <c r="C90" s="358"/>
      <c r="E90" s="361"/>
      <c r="F90" s="361"/>
      <c r="K90" s="388"/>
    </row>
    <row r="91" spans="1:13" s="96" customFormat="1">
      <c r="B91" s="344" t="s">
        <v>2772</v>
      </c>
      <c r="C91" s="345" t="s">
        <v>2836</v>
      </c>
      <c r="E91" s="361"/>
      <c r="F91" s="361"/>
      <c r="K91" s="388"/>
    </row>
    <row r="92" spans="1:13" s="96" customFormat="1">
      <c r="B92" s="347" t="s">
        <v>102</v>
      </c>
      <c r="C92" s="348">
        <v>2</v>
      </c>
      <c r="D92" s="349" t="s">
        <v>102</v>
      </c>
      <c r="E92" s="309">
        <f>C92*$C$77</f>
        <v>0.16666666666666666</v>
      </c>
      <c r="F92" s="309">
        <f>E92*(52/4)</f>
        <v>2.1666666666666665</v>
      </c>
      <c r="H92" s="309">
        <f t="shared" si="6"/>
        <v>2.2893081761006293</v>
      </c>
      <c r="I92" s="309">
        <f t="shared" si="7"/>
        <v>8.6666666666666661</v>
      </c>
      <c r="K92" s="388"/>
    </row>
    <row r="93" spans="1:13" s="96" customFormat="1">
      <c r="B93" s="344" t="s">
        <v>2760</v>
      </c>
      <c r="C93" s="345"/>
      <c r="K93" s="388"/>
    </row>
    <row r="94" spans="1:13" s="96" customFormat="1">
      <c r="B94" s="347" t="s">
        <v>3004</v>
      </c>
      <c r="C94" s="309"/>
      <c r="D94" s="349" t="s">
        <v>2867</v>
      </c>
      <c r="E94" s="309">
        <f>C94*$C$77</f>
        <v>0</v>
      </c>
      <c r="F94" s="309">
        <f>E94*(52/4)</f>
        <v>0</v>
      </c>
      <c r="H94" s="309">
        <f t="shared" si="6"/>
        <v>0</v>
      </c>
      <c r="I94" s="309">
        <f t="shared" si="7"/>
        <v>0</v>
      </c>
      <c r="K94" s="388"/>
    </row>
    <row r="95" spans="1:13" s="96" customFormat="1">
      <c r="B95" s="347" t="s">
        <v>3005</v>
      </c>
      <c r="C95" s="309"/>
      <c r="D95" s="349" t="s">
        <v>2867</v>
      </c>
      <c r="E95" s="309">
        <f>C95*$C$77</f>
        <v>0</v>
      </c>
      <c r="F95" s="309">
        <f>E95*(52/4)</f>
        <v>0</v>
      </c>
      <c r="H95" s="309">
        <f t="shared" si="6"/>
        <v>0</v>
      </c>
      <c r="I95" s="309">
        <f t="shared" si="7"/>
        <v>0</v>
      </c>
      <c r="K95" s="388"/>
    </row>
    <row r="96" spans="1:13" s="96" customFormat="1">
      <c r="B96" s="347" t="s">
        <v>2868</v>
      </c>
      <c r="C96" s="309"/>
      <c r="D96" s="349" t="s">
        <v>2868</v>
      </c>
      <c r="E96" s="309">
        <f>C96*$C$77</f>
        <v>0</v>
      </c>
      <c r="F96" s="309">
        <f>E96*(52/4)</f>
        <v>0</v>
      </c>
      <c r="H96" s="309">
        <f t="shared" si="6"/>
        <v>0</v>
      </c>
      <c r="I96" s="309">
        <f t="shared" si="7"/>
        <v>0</v>
      </c>
      <c r="K96" s="388"/>
    </row>
    <row r="97" spans="2:12" s="96" customFormat="1">
      <c r="B97" s="359"/>
      <c r="C97" s="356"/>
      <c r="K97" s="388"/>
    </row>
    <row r="98" spans="2:12" s="96" customFormat="1">
      <c r="B98" s="359"/>
      <c r="C98" s="356"/>
      <c r="K98" s="388"/>
    </row>
    <row r="99" spans="2:12" s="96" customFormat="1">
      <c r="B99" s="359"/>
      <c r="C99" s="356"/>
      <c r="K99" s="388"/>
    </row>
    <row r="100" spans="2:12" s="96" customFormat="1">
      <c r="C100" s="288"/>
      <c r="L100" s="388"/>
    </row>
    <row r="101" spans="2:12" s="633" customFormat="1">
      <c r="B101" s="631" t="s">
        <v>2909</v>
      </c>
      <c r="C101" s="632"/>
      <c r="L101" s="634"/>
    </row>
    <row r="102" spans="2:12" s="96" customFormat="1">
      <c r="B102" s="707" t="s">
        <v>3265</v>
      </c>
      <c r="C102" s="288"/>
      <c r="L102" s="388"/>
    </row>
    <row r="103" spans="2:12" s="96" customFormat="1">
      <c r="B103" s="707" t="s">
        <v>2922</v>
      </c>
      <c r="C103" s="288"/>
      <c r="L103" s="388"/>
    </row>
    <row r="104" spans="2:12" s="96" customFormat="1">
      <c r="B104" s="354"/>
      <c r="C104" s="288"/>
      <c r="L104" s="388"/>
    </row>
    <row r="105" spans="2:12" s="96" customFormat="1">
      <c r="B105" s="347" t="s">
        <v>2801</v>
      </c>
      <c r="C105" s="304">
        <f>1/(52/2)</f>
        <v>3.8461538461538464E-2</v>
      </c>
      <c r="L105" s="388"/>
    </row>
    <row r="106" spans="2:12" s="96" customFormat="1">
      <c r="B106" s="347" t="s">
        <v>2895</v>
      </c>
      <c r="C106" s="304">
        <v>60</v>
      </c>
      <c r="L106" s="388"/>
    </row>
    <row r="107" spans="2:12" s="96" customFormat="1">
      <c r="L107" s="388"/>
    </row>
    <row r="108" spans="2:12" s="96" customFormat="1">
      <c r="L108" s="388"/>
    </row>
    <row r="109" spans="2:12" s="96" customFormat="1">
      <c r="C109" s="288"/>
      <c r="D109" s="288"/>
      <c r="E109" s="288"/>
      <c r="L109" s="388"/>
    </row>
    <row r="110" spans="2:12" s="96" customFormat="1">
      <c r="H110" s="345" t="s">
        <v>2892</v>
      </c>
      <c r="I110" s="345"/>
      <c r="J110" s="345"/>
      <c r="K110" s="388"/>
    </row>
    <row r="111" spans="2:12" s="96" customFormat="1">
      <c r="B111" s="344" t="s">
        <v>2772</v>
      </c>
      <c r="C111" s="345" t="s">
        <v>2836</v>
      </c>
      <c r="E111" s="345" t="s">
        <v>2795</v>
      </c>
      <c r="F111" s="345" t="s">
        <v>2796</v>
      </c>
      <c r="G111" s="346"/>
      <c r="H111" s="345" t="s">
        <v>2896</v>
      </c>
      <c r="J111" s="345" t="s">
        <v>2912</v>
      </c>
      <c r="K111" s="388"/>
    </row>
    <row r="112" spans="2:12" s="96" customFormat="1">
      <c r="B112" s="347" t="s">
        <v>2863</v>
      </c>
      <c r="C112" s="348">
        <v>1</v>
      </c>
      <c r="D112" s="349" t="s">
        <v>2863</v>
      </c>
      <c r="E112" s="309">
        <f>C112*$C$105</f>
        <v>3.8461538461538464E-2</v>
      </c>
      <c r="F112" s="309">
        <f>E112*(52/4)</f>
        <v>0.5</v>
      </c>
      <c r="G112" s="489"/>
      <c r="H112" s="309">
        <f>E112*SUM($C$18:$N$18)*(52/12)</f>
        <v>0.52830188679245305</v>
      </c>
      <c r="J112" s="309">
        <f>F112*4</f>
        <v>2</v>
      </c>
      <c r="K112" s="349" t="s">
        <v>2863</v>
      </c>
    </row>
    <row r="113" spans="1:11" s="96" customFormat="1">
      <c r="B113" s="347" t="s">
        <v>2862</v>
      </c>
      <c r="C113" s="348">
        <v>2</v>
      </c>
      <c r="D113" s="349" t="s">
        <v>2862</v>
      </c>
      <c r="E113" s="309">
        <f>C113*$C$105</f>
        <v>7.6923076923076927E-2</v>
      </c>
      <c r="F113" s="309">
        <f>E113*(52/4)</f>
        <v>1</v>
      </c>
      <c r="H113" s="309">
        <f t="shared" ref="H113:H118" si="8">E113*SUM($C$18:$N$18)*(52/12)</f>
        <v>1.0566037735849061</v>
      </c>
      <c r="J113" s="309">
        <f t="shared" ref="J113:J118" si="9">F113*4</f>
        <v>4</v>
      </c>
      <c r="K113" s="349" t="s">
        <v>2862</v>
      </c>
    </row>
    <row r="114" spans="1:11">
      <c r="A114" s="96"/>
      <c r="B114" s="347" t="s">
        <v>2894</v>
      </c>
      <c r="C114" s="348">
        <v>2</v>
      </c>
      <c r="D114" s="349" t="s">
        <v>102</v>
      </c>
      <c r="E114" s="309">
        <f>C114*$C$105</f>
        <v>7.6923076923076927E-2</v>
      </c>
      <c r="F114" s="309">
        <f>E114*(52/4)</f>
        <v>1</v>
      </c>
      <c r="G114" s="96"/>
      <c r="H114" s="309">
        <f t="shared" si="8"/>
        <v>1.0566037735849061</v>
      </c>
      <c r="J114" s="309">
        <f t="shared" si="9"/>
        <v>4</v>
      </c>
      <c r="K114" s="349" t="s">
        <v>102</v>
      </c>
    </row>
    <row r="115" spans="1:11">
      <c r="A115" s="96"/>
      <c r="B115" s="344" t="s">
        <v>2760</v>
      </c>
      <c r="C115" s="345"/>
      <c r="D115" s="96"/>
      <c r="E115" s="96"/>
      <c r="F115" s="96"/>
      <c r="G115" s="96"/>
      <c r="H115" s="96"/>
      <c r="J115" s="352"/>
      <c r="K115" s="349"/>
    </row>
    <row r="116" spans="1:11">
      <c r="A116" s="96"/>
      <c r="B116" s="347" t="s">
        <v>3004</v>
      </c>
      <c r="C116" s="309">
        <f>$C$106*E26</f>
        <v>0</v>
      </c>
      <c r="D116" s="349" t="s">
        <v>2867</v>
      </c>
      <c r="E116" s="297">
        <f>C116*$C$105</f>
        <v>0</v>
      </c>
      <c r="F116" s="309">
        <f>E116*(52/4)</f>
        <v>0</v>
      </c>
      <c r="G116" s="96"/>
      <c r="H116" s="309">
        <f t="shared" si="8"/>
        <v>0</v>
      </c>
      <c r="J116" s="309">
        <f t="shared" si="9"/>
        <v>0</v>
      </c>
      <c r="K116" s="349" t="s">
        <v>2831</v>
      </c>
    </row>
    <row r="117" spans="1:11">
      <c r="A117" s="96"/>
      <c r="B117" s="347" t="s">
        <v>3005</v>
      </c>
      <c r="C117" s="309">
        <f>$C$106*E27</f>
        <v>54</v>
      </c>
      <c r="D117" s="349" t="s">
        <v>2867</v>
      </c>
      <c r="E117" s="297">
        <f>C117*$C$105</f>
        <v>2.0769230769230771</v>
      </c>
      <c r="F117" s="309">
        <f>E117*(52/4)</f>
        <v>27.000000000000004</v>
      </c>
      <c r="G117" s="96"/>
      <c r="H117" s="309">
        <f t="shared" si="8"/>
        <v>28.528301886792462</v>
      </c>
      <c r="J117" s="309">
        <f t="shared" si="9"/>
        <v>108.00000000000001</v>
      </c>
      <c r="K117" s="349" t="s">
        <v>2831</v>
      </c>
    </row>
    <row r="118" spans="1:11" s="95" customFormat="1">
      <c r="A118" s="96"/>
      <c r="B118" s="347" t="s">
        <v>2868</v>
      </c>
      <c r="C118" s="309">
        <f>$C$106*E28</f>
        <v>6</v>
      </c>
      <c r="D118" s="349" t="s">
        <v>2868</v>
      </c>
      <c r="E118" s="297">
        <f>C118*$C$105</f>
        <v>0.23076923076923078</v>
      </c>
      <c r="F118" s="309">
        <f>E118*(52/4)</f>
        <v>3</v>
      </c>
      <c r="G118" s="96"/>
      <c r="H118" s="309">
        <f t="shared" si="8"/>
        <v>3.1698113207547181</v>
      </c>
      <c r="J118" s="309">
        <f t="shared" si="9"/>
        <v>12</v>
      </c>
      <c r="K118" s="349" t="s">
        <v>2832</v>
      </c>
    </row>
    <row r="119" spans="1:11" s="95" customFormat="1">
      <c r="B119" s="389" t="s">
        <v>2897</v>
      </c>
      <c r="C119" s="342"/>
      <c r="D119" s="349"/>
      <c r="E119" s="96"/>
      <c r="F119" s="356"/>
      <c r="G119" s="342"/>
      <c r="H119" s="96"/>
      <c r="I119" s="342"/>
      <c r="K119" s="389"/>
    </row>
    <row r="120" spans="1:11" s="95" customFormat="1">
      <c r="B120" s="389"/>
      <c r="C120" s="342"/>
      <c r="D120" s="349"/>
      <c r="E120" s="96"/>
      <c r="F120" s="356"/>
      <c r="G120" s="342"/>
      <c r="H120" s="96"/>
      <c r="I120" s="342"/>
      <c r="K120" s="389"/>
    </row>
    <row r="121" spans="1:11" s="95" customFormat="1">
      <c r="B121" s="359"/>
      <c r="C121" s="342"/>
      <c r="D121" s="349"/>
      <c r="E121" s="96"/>
      <c r="F121" s="356"/>
      <c r="G121" s="342"/>
      <c r="H121" s="96"/>
      <c r="I121" s="342"/>
      <c r="J121" s="342"/>
      <c r="K121" s="96"/>
    </row>
    <row r="122" spans="1:11" s="95" customFormat="1">
      <c r="B122" s="359"/>
      <c r="C122" s="359"/>
      <c r="D122" s="349"/>
      <c r="E122" s="96"/>
      <c r="F122" s="356"/>
      <c r="G122" s="342"/>
      <c r="H122" s="96"/>
      <c r="I122" s="342"/>
      <c r="J122" s="342"/>
      <c r="K122" s="96"/>
    </row>
    <row r="123" spans="1:11" s="95" customFormat="1">
      <c r="B123" s="359"/>
      <c r="C123" s="359"/>
      <c r="D123" s="349"/>
      <c r="E123" s="96"/>
      <c r="F123" s="356"/>
      <c r="G123" s="342"/>
      <c r="H123" s="96"/>
      <c r="I123" s="342"/>
      <c r="J123" s="342"/>
      <c r="K123" s="96"/>
    </row>
    <row r="124" spans="1:11" s="95" customFormat="1">
      <c r="B124" s="359"/>
      <c r="C124" s="359"/>
      <c r="D124" s="349"/>
      <c r="E124" s="96"/>
      <c r="F124" s="356"/>
      <c r="G124" s="342"/>
      <c r="H124" s="96"/>
      <c r="I124" s="342"/>
      <c r="J124" s="342"/>
      <c r="K124" s="96"/>
    </row>
    <row r="125" spans="1:11" s="588" customFormat="1">
      <c r="A125" s="593" t="s">
        <v>10</v>
      </c>
      <c r="B125" s="593" t="s">
        <v>2920</v>
      </c>
      <c r="C125" s="629"/>
      <c r="E125" s="630"/>
      <c r="F125" s="630"/>
    </row>
    <row r="126" spans="1:11">
      <c r="A126" s="9"/>
      <c r="B126" s="9"/>
    </row>
    <row r="127" spans="1:11">
      <c r="A127" s="9"/>
      <c r="B127" s="9" t="s">
        <v>97</v>
      </c>
    </row>
    <row r="128" spans="1:11">
      <c r="A128" s="9"/>
      <c r="B128" s="9"/>
    </row>
    <row r="129" spans="1:7">
      <c r="A129" s="9"/>
      <c r="B129" s="9"/>
      <c r="C129" s="344" t="s">
        <v>2917</v>
      </c>
    </row>
    <row r="130" spans="1:7">
      <c r="A130" s="9"/>
      <c r="B130" s="344" t="s">
        <v>125</v>
      </c>
      <c r="C130" s="344" t="s">
        <v>2873</v>
      </c>
      <c r="D130" s="344" t="s">
        <v>2872</v>
      </c>
      <c r="E130" s="344" t="s">
        <v>2791</v>
      </c>
      <c r="G130" s="344" t="s">
        <v>2911</v>
      </c>
    </row>
    <row r="131" spans="1:7">
      <c r="A131" s="9"/>
      <c r="B131" s="350" t="s">
        <v>2863</v>
      </c>
      <c r="C131" s="309">
        <f t="shared" ref="C131:C139" si="10">SUMIFS($H$40:$H$46, $D$40:$D$46, B131)</f>
        <v>20.603773584905667</v>
      </c>
      <c r="D131" s="309">
        <f t="shared" ref="D131:D139" si="11">SUMIFS($H$60:$H$67, $D$60:$D$67, B131)</f>
        <v>13.735849056603778</v>
      </c>
      <c r="E131" s="309">
        <f t="shared" ref="E131:E139" si="12">SUMIFS($H$82:$H$96, $D$82:$D$96, B131)</f>
        <v>13.735849056603778</v>
      </c>
      <c r="G131" s="309">
        <f t="shared" ref="G131:G139" si="13">SUMIFS($H$112:$H$118, $D$112:$D$118, B131)</f>
        <v>0.52830188679245305</v>
      </c>
    </row>
    <row r="132" spans="1:7">
      <c r="A132" s="9"/>
      <c r="B132" s="350" t="s">
        <v>2862</v>
      </c>
      <c r="C132" s="309">
        <f t="shared" si="10"/>
        <v>41.207547169811335</v>
      </c>
      <c r="D132" s="309">
        <f t="shared" si="11"/>
        <v>27.471698113207555</v>
      </c>
      <c r="E132" s="309">
        <f t="shared" si="12"/>
        <v>27.471698113207555</v>
      </c>
      <c r="G132" s="309">
        <f t="shared" si="13"/>
        <v>1.0566037735849061</v>
      </c>
    </row>
    <row r="133" spans="1:7">
      <c r="A133" s="9"/>
      <c r="B133" s="350" t="s">
        <v>131</v>
      </c>
      <c r="C133" s="309">
        <f t="shared" si="10"/>
        <v>0</v>
      </c>
      <c r="D133" s="309">
        <f t="shared" si="11"/>
        <v>0</v>
      </c>
      <c r="E133" s="309">
        <f t="shared" si="12"/>
        <v>13.735849056603778</v>
      </c>
      <c r="G133" s="309">
        <f t="shared" si="13"/>
        <v>0</v>
      </c>
    </row>
    <row r="134" spans="1:7">
      <c r="A134" s="9"/>
      <c r="B134" s="350" t="s">
        <v>2869</v>
      </c>
      <c r="C134" s="309">
        <f t="shared" si="10"/>
        <v>20.603773584905667</v>
      </c>
      <c r="D134" s="309">
        <f t="shared" si="11"/>
        <v>0</v>
      </c>
      <c r="E134" s="309">
        <f t="shared" si="12"/>
        <v>0</v>
      </c>
      <c r="G134" s="309">
        <f t="shared" si="13"/>
        <v>0</v>
      </c>
    </row>
    <row r="135" spans="1:7">
      <c r="A135" s="9"/>
      <c r="B135" s="350" t="s">
        <v>2870</v>
      </c>
      <c r="C135" s="309">
        <f t="shared" si="10"/>
        <v>0</v>
      </c>
      <c r="D135" s="309">
        <f t="shared" si="11"/>
        <v>13.735849056603778</v>
      </c>
      <c r="E135" s="309">
        <f t="shared" si="12"/>
        <v>0</v>
      </c>
      <c r="G135" s="309">
        <f t="shared" si="13"/>
        <v>0</v>
      </c>
    </row>
    <row r="136" spans="1:7">
      <c r="A136" s="9"/>
      <c r="B136" s="350" t="s">
        <v>102</v>
      </c>
      <c r="C136" s="309">
        <f t="shared" si="10"/>
        <v>0</v>
      </c>
      <c r="D136" s="309">
        <f t="shared" si="11"/>
        <v>0</v>
      </c>
      <c r="E136" s="309">
        <f t="shared" si="12"/>
        <v>2.2893081761006293</v>
      </c>
      <c r="G136" s="309">
        <f t="shared" si="13"/>
        <v>1.0566037735849061</v>
      </c>
    </row>
    <row r="137" spans="1:7">
      <c r="A137" s="9"/>
      <c r="B137" s="347" t="s">
        <v>2867</v>
      </c>
      <c r="C137" s="309">
        <f t="shared" si="10"/>
        <v>494.49056603773602</v>
      </c>
      <c r="D137" s="309">
        <f t="shared" si="11"/>
        <v>460.56301886792471</v>
      </c>
      <c r="E137" s="309">
        <f t="shared" si="12"/>
        <v>417.29509433962278</v>
      </c>
      <c r="G137" s="309">
        <f t="shared" si="13"/>
        <v>28.528301886792462</v>
      </c>
    </row>
    <row r="138" spans="1:7">
      <c r="A138" s="9"/>
      <c r="B138" s="347" t="s">
        <v>2868</v>
      </c>
      <c r="C138" s="309">
        <f t="shared" si="10"/>
        <v>41.207547169811335</v>
      </c>
      <c r="D138" s="309">
        <f t="shared" si="11"/>
        <v>41.344905660377378</v>
      </c>
      <c r="E138" s="309">
        <f t="shared" si="12"/>
        <v>34.889056603773597</v>
      </c>
      <c r="G138" s="309">
        <f t="shared" si="13"/>
        <v>3.1698113207547181</v>
      </c>
    </row>
    <row r="139" spans="1:7">
      <c r="A139" s="9"/>
      <c r="B139" s="350" t="s">
        <v>2871</v>
      </c>
      <c r="C139" s="309">
        <f t="shared" si="10"/>
        <v>0</v>
      </c>
      <c r="D139" s="309">
        <f t="shared" si="11"/>
        <v>13.735849056603778</v>
      </c>
      <c r="E139" s="309">
        <f t="shared" si="12"/>
        <v>0</v>
      </c>
      <c r="G139" s="309">
        <f t="shared" si="13"/>
        <v>0</v>
      </c>
    </row>
    <row r="140" spans="1:7">
      <c r="A140" s="9"/>
      <c r="B140" s="364"/>
      <c r="C140" s="437"/>
      <c r="D140" s="437"/>
      <c r="E140" s="437"/>
      <c r="G140" s="342"/>
    </row>
    <row r="141" spans="1:7">
      <c r="A141" s="9"/>
      <c r="B141" s="9"/>
      <c r="C141" s="313"/>
      <c r="D141" s="313"/>
      <c r="E141" s="313"/>
      <c r="G141" s="286"/>
    </row>
    <row r="142" spans="1:7">
      <c r="A142" s="9"/>
      <c r="B142" s="9"/>
      <c r="G142" s="286"/>
    </row>
    <row r="143" spans="1:7">
      <c r="A143" s="9"/>
      <c r="B143" s="9" t="s">
        <v>2797</v>
      </c>
      <c r="G143" s="286"/>
    </row>
    <row r="144" spans="1:7">
      <c r="A144" s="9"/>
      <c r="B144" s="9"/>
      <c r="G144" s="286"/>
    </row>
    <row r="145" spans="1:12">
      <c r="A145" s="9"/>
      <c r="B145" s="9"/>
      <c r="C145" s="344" t="s">
        <v>2917</v>
      </c>
      <c r="G145" s="286"/>
    </row>
    <row r="146" spans="1:12">
      <c r="A146" s="9"/>
      <c r="B146" s="344" t="s">
        <v>125</v>
      </c>
      <c r="C146" s="344" t="s">
        <v>2873</v>
      </c>
      <c r="D146" s="344" t="s">
        <v>2872</v>
      </c>
      <c r="E146" s="344" t="s">
        <v>2791</v>
      </c>
      <c r="G146" s="344" t="s">
        <v>2911</v>
      </c>
      <c r="J146" s="344" t="s">
        <v>2873</v>
      </c>
      <c r="K146" s="344" t="s">
        <v>2872</v>
      </c>
      <c r="L146" s="344" t="s">
        <v>2791</v>
      </c>
    </row>
    <row r="147" spans="1:12">
      <c r="A147" s="9"/>
      <c r="B147" s="350" t="s">
        <v>2863</v>
      </c>
      <c r="C147" s="309">
        <f>SUMIFS($I$40:$I$46, $D$40:$D$46, B147)</f>
        <v>78</v>
      </c>
      <c r="D147" s="309">
        <f>SUMIFS($I$60:$I$67, $D$60:$D$67, B147)</f>
        <v>52</v>
      </c>
      <c r="E147" s="309">
        <f>SUMIFS($I$82:$I$96, $D$82:$D$96, B147)</f>
        <v>52</v>
      </c>
      <c r="G147" s="304">
        <v>0</v>
      </c>
      <c r="J147" s="309">
        <f t="shared" ref="J147:J155" si="14">SUMIFS($I$40:$I$46, $D$40:$D$46, I131)</f>
        <v>0</v>
      </c>
      <c r="K147" s="309">
        <f t="shared" ref="K147:K155" si="15">SUMIFS($I$60:$I$67, $D$60:$D$67, I131)</f>
        <v>0</v>
      </c>
      <c r="L147" s="309">
        <f t="shared" ref="L147:L155" si="16">SUMIFS($I$82:$I$96, $D$82:$D$96, I131)</f>
        <v>0</v>
      </c>
    </row>
    <row r="148" spans="1:12">
      <c r="A148" s="9"/>
      <c r="B148" s="350" t="s">
        <v>2862</v>
      </c>
      <c r="C148" s="309">
        <f t="shared" ref="C148:C155" si="17">SUMIFS($I$40:$I$46, $D$40:$D$46, B148)</f>
        <v>156</v>
      </c>
      <c r="D148" s="309">
        <f t="shared" ref="D148:D155" si="18">SUMIFS($I$60:$I$67, $D$60:$D$67, B148)</f>
        <v>104</v>
      </c>
      <c r="E148" s="309">
        <f t="shared" ref="E148:E155" si="19">SUMIFS($I$82:$I$96, $D$82:$D$96, B148)</f>
        <v>104</v>
      </c>
      <c r="G148" s="304">
        <v>0</v>
      </c>
      <c r="J148" s="309">
        <f t="shared" si="14"/>
        <v>0</v>
      </c>
      <c r="K148" s="309">
        <f t="shared" si="15"/>
        <v>0</v>
      </c>
      <c r="L148" s="309">
        <f t="shared" si="16"/>
        <v>0</v>
      </c>
    </row>
    <row r="149" spans="1:12">
      <c r="A149" s="9"/>
      <c r="B149" s="350" t="s">
        <v>131</v>
      </c>
      <c r="C149" s="309">
        <f t="shared" si="17"/>
        <v>0</v>
      </c>
      <c r="D149" s="309">
        <f t="shared" si="18"/>
        <v>0</v>
      </c>
      <c r="E149" s="309">
        <f t="shared" si="19"/>
        <v>52</v>
      </c>
      <c r="G149" s="304">
        <v>0</v>
      </c>
      <c r="J149" s="309">
        <f t="shared" si="14"/>
        <v>0</v>
      </c>
      <c r="K149" s="309">
        <f t="shared" si="15"/>
        <v>0</v>
      </c>
      <c r="L149" s="309">
        <f t="shared" si="16"/>
        <v>0</v>
      </c>
    </row>
    <row r="150" spans="1:12">
      <c r="A150" s="9"/>
      <c r="B150" s="350" t="s">
        <v>2869</v>
      </c>
      <c r="C150" s="309">
        <f t="shared" si="17"/>
        <v>78</v>
      </c>
      <c r="D150" s="309">
        <f t="shared" si="18"/>
        <v>0</v>
      </c>
      <c r="E150" s="309">
        <f t="shared" si="19"/>
        <v>0</v>
      </c>
      <c r="G150" s="304">
        <v>0</v>
      </c>
      <c r="J150" s="309">
        <f t="shared" si="14"/>
        <v>0</v>
      </c>
      <c r="K150" s="309">
        <f t="shared" si="15"/>
        <v>0</v>
      </c>
      <c r="L150" s="309">
        <f t="shared" si="16"/>
        <v>0</v>
      </c>
    </row>
    <row r="151" spans="1:12">
      <c r="A151" s="9"/>
      <c r="B151" s="350" t="s">
        <v>2870</v>
      </c>
      <c r="C151" s="309">
        <f t="shared" si="17"/>
        <v>0</v>
      </c>
      <c r="D151" s="309">
        <f t="shared" si="18"/>
        <v>52</v>
      </c>
      <c r="E151" s="309">
        <f t="shared" si="19"/>
        <v>0</v>
      </c>
      <c r="G151" s="304">
        <v>0</v>
      </c>
      <c r="J151" s="309">
        <f t="shared" si="14"/>
        <v>0</v>
      </c>
      <c r="K151" s="309">
        <f t="shared" si="15"/>
        <v>0</v>
      </c>
      <c r="L151" s="309">
        <f t="shared" si="16"/>
        <v>0</v>
      </c>
    </row>
    <row r="152" spans="1:12">
      <c r="A152" s="9"/>
      <c r="B152" s="350" t="s">
        <v>102</v>
      </c>
      <c r="C152" s="309">
        <f t="shared" si="17"/>
        <v>0</v>
      </c>
      <c r="D152" s="309">
        <f t="shared" si="18"/>
        <v>0</v>
      </c>
      <c r="E152" s="309">
        <f t="shared" si="19"/>
        <v>8.6666666666666661</v>
      </c>
      <c r="G152" s="304">
        <v>0</v>
      </c>
      <c r="J152" s="309">
        <f t="shared" si="14"/>
        <v>0</v>
      </c>
      <c r="K152" s="309">
        <f t="shared" si="15"/>
        <v>0</v>
      </c>
      <c r="L152" s="309">
        <f t="shared" si="16"/>
        <v>0</v>
      </c>
    </row>
    <row r="153" spans="1:12">
      <c r="A153" s="9"/>
      <c r="B153" s="347" t="s">
        <v>2867</v>
      </c>
      <c r="C153" s="309">
        <f t="shared" si="17"/>
        <v>1872</v>
      </c>
      <c r="D153" s="309">
        <f t="shared" si="18"/>
        <v>1743.56</v>
      </c>
      <c r="E153" s="309">
        <f t="shared" si="19"/>
        <v>1579.7599999999998</v>
      </c>
      <c r="G153" s="304">
        <v>0</v>
      </c>
      <c r="J153" s="309">
        <f t="shared" si="14"/>
        <v>0</v>
      </c>
      <c r="K153" s="309">
        <f t="shared" si="15"/>
        <v>0</v>
      </c>
      <c r="L153" s="309">
        <f t="shared" si="16"/>
        <v>0</v>
      </c>
    </row>
    <row r="154" spans="1:12">
      <c r="A154" s="9"/>
      <c r="B154" s="347" t="s">
        <v>2868</v>
      </c>
      <c r="C154" s="309">
        <f t="shared" si="17"/>
        <v>156</v>
      </c>
      <c r="D154" s="309">
        <f t="shared" si="18"/>
        <v>156.52000000000001</v>
      </c>
      <c r="E154" s="309">
        <f t="shared" si="19"/>
        <v>132.07999999999998</v>
      </c>
      <c r="G154" s="304">
        <v>0</v>
      </c>
      <c r="J154" s="309">
        <f t="shared" si="14"/>
        <v>0</v>
      </c>
      <c r="K154" s="309">
        <f t="shared" si="15"/>
        <v>0</v>
      </c>
      <c r="L154" s="309">
        <f t="shared" si="16"/>
        <v>0</v>
      </c>
    </row>
    <row r="155" spans="1:12">
      <c r="A155" s="9"/>
      <c r="B155" s="350" t="s">
        <v>2871</v>
      </c>
      <c r="C155" s="309">
        <f t="shared" si="17"/>
        <v>0</v>
      </c>
      <c r="D155" s="309">
        <f t="shared" si="18"/>
        <v>52</v>
      </c>
      <c r="E155" s="309">
        <f t="shared" si="19"/>
        <v>0</v>
      </c>
      <c r="G155" s="304">
        <v>0</v>
      </c>
      <c r="H155" s="406" t="s">
        <v>2910</v>
      </c>
      <c r="J155" s="309">
        <f t="shared" si="14"/>
        <v>0</v>
      </c>
      <c r="K155" s="309">
        <f t="shared" si="15"/>
        <v>0</v>
      </c>
      <c r="L155" s="309">
        <f t="shared" si="16"/>
        <v>0</v>
      </c>
    </row>
    <row r="156" spans="1:12">
      <c r="A156" s="9"/>
      <c r="B156" s="9"/>
      <c r="C156" s="312" t="b">
        <f>SUM(C147:C155,C131:C139)=SUM(H40:I46)</f>
        <v>1</v>
      </c>
      <c r="D156" s="312" t="b">
        <f>SUM(D147:D155,D131:D139)=SUM(H60:I67)</f>
        <v>1</v>
      </c>
      <c r="E156" s="312" t="b">
        <f>SUM(E147:E155,E131:E139)=SUM(H82:I96)</f>
        <v>1</v>
      </c>
      <c r="G156" s="312" t="b">
        <f>SUM(G147:G155,G131:G139)=SUM(H112:H118)</f>
        <v>1</v>
      </c>
    </row>
    <row r="157" spans="1:12">
      <c r="A157" s="9"/>
      <c r="B157" s="9"/>
      <c r="C157" s="313"/>
      <c r="D157" s="313"/>
      <c r="E157" s="313"/>
      <c r="G157" s="312"/>
    </row>
    <row r="158" spans="1:12">
      <c r="A158" s="9"/>
      <c r="B158" s="9"/>
      <c r="C158" s="312"/>
      <c r="D158" s="312"/>
      <c r="E158" s="312"/>
    </row>
    <row r="159" spans="1:12" s="54" customFormat="1" ht="18.5">
      <c r="A159" s="582"/>
      <c r="C159" s="382"/>
      <c r="E159" s="583"/>
      <c r="F159" s="583"/>
    </row>
    <row r="160" spans="1:12" s="54" customFormat="1">
      <c r="C160" s="382"/>
      <c r="E160" s="583"/>
      <c r="F160" s="583"/>
    </row>
    <row r="164" spans="1:6" s="588" customFormat="1" ht="18.5">
      <c r="A164" s="587" t="s">
        <v>3213</v>
      </c>
      <c r="C164" s="629"/>
      <c r="E164" s="630"/>
      <c r="F164" s="630"/>
    </row>
    <row r="165" spans="1:6" ht="18.5">
      <c r="A165" s="31"/>
    </row>
    <row r="166" spans="1:6">
      <c r="A166" s="9"/>
      <c r="B166" s="9"/>
      <c r="E166" s="312"/>
    </row>
    <row r="167" spans="1:6">
      <c r="A167" s="9" t="s">
        <v>10</v>
      </c>
      <c r="B167" s="9" t="s">
        <v>2875</v>
      </c>
      <c r="E167" s="312"/>
    </row>
    <row r="168" spans="1:6">
      <c r="A168" s="9"/>
      <c r="B168" s="9"/>
      <c r="C168" s="541" t="s">
        <v>3197</v>
      </c>
      <c r="E168"/>
      <c r="F168"/>
    </row>
    <row r="169" spans="1:6">
      <c r="A169" s="9"/>
      <c r="B169" s="307" t="s">
        <v>2914</v>
      </c>
      <c r="C169" s="541" t="s">
        <v>3214</v>
      </c>
      <c r="E169"/>
      <c r="F169"/>
    </row>
    <row r="170" spans="1:6">
      <c r="A170" s="9"/>
      <c r="B170" s="350" t="s">
        <v>2873</v>
      </c>
      <c r="C170" s="306">
        <f>'Control Assumptions'!C147</f>
        <v>0.1</v>
      </c>
      <c r="E170"/>
      <c r="F170"/>
    </row>
    <row r="171" spans="1:6">
      <c r="A171" s="9"/>
      <c r="B171" s="350" t="s">
        <v>2872</v>
      </c>
      <c r="C171" s="306">
        <f>'Control Assumptions'!C148</f>
        <v>0.35217391304347823</v>
      </c>
      <c r="E171"/>
    </row>
    <row r="172" spans="1:6">
      <c r="A172" s="9"/>
      <c r="B172" s="350" t="s">
        <v>2791</v>
      </c>
      <c r="C172" s="306">
        <f>'Control Assumptions'!C149</f>
        <v>0.5478260869565218</v>
      </c>
      <c r="E172"/>
    </row>
    <row r="173" spans="1:6">
      <c r="A173" s="9"/>
      <c r="B173" s="9"/>
      <c r="C173" s="311" t="b">
        <f>SUM(C170:C172)=1</f>
        <v>1</v>
      </c>
      <c r="E173"/>
    </row>
    <row r="174" spans="1:6">
      <c r="A174" s="9"/>
      <c r="B174" s="9" t="s">
        <v>2915</v>
      </c>
      <c r="C174" s="311"/>
      <c r="E174"/>
    </row>
    <row r="175" spans="1:6">
      <c r="A175" s="9"/>
      <c r="B175" s="9"/>
      <c r="C175" s="541" t="s">
        <v>3197</v>
      </c>
      <c r="E175" s="312"/>
    </row>
    <row r="176" spans="1:6">
      <c r="A176" s="9"/>
      <c r="B176" s="307" t="s">
        <v>2914</v>
      </c>
      <c r="C176" s="541" t="s">
        <v>120</v>
      </c>
      <c r="E176" s="312"/>
    </row>
    <row r="177" spans="1:10">
      <c r="A177" s="9"/>
      <c r="B177" s="350" t="s">
        <v>2913</v>
      </c>
      <c r="C177" s="440">
        <v>0</v>
      </c>
      <c r="E177" s="312"/>
    </row>
    <row r="178" spans="1:10">
      <c r="A178" s="9"/>
      <c r="B178" s="350" t="s">
        <v>2872</v>
      </c>
      <c r="C178" s="306">
        <f>'Control Assumptions'!$C$225</f>
        <v>0.85</v>
      </c>
      <c r="E178" s="414"/>
    </row>
    <row r="179" spans="1:10">
      <c r="A179" s="9"/>
      <c r="B179" s="350" t="s">
        <v>2791</v>
      </c>
      <c r="C179" s="306">
        <f>'Control Assumptions'!$C$225</f>
        <v>0.85</v>
      </c>
      <c r="E179" s="312"/>
    </row>
    <row r="180" spans="1:10">
      <c r="A180" s="9"/>
      <c r="B180" s="9"/>
      <c r="C180" s="9"/>
      <c r="D180" s="9"/>
      <c r="E180" s="312"/>
    </row>
    <row r="181" spans="1:10" ht="29">
      <c r="A181" s="9"/>
      <c r="B181" s="415" t="s">
        <v>2940</v>
      </c>
      <c r="C181" s="306">
        <f>SUMPRODUCT(C177:C179,C170:C172)</f>
        <v>0.76500000000000001</v>
      </c>
      <c r="E181" s="312"/>
    </row>
    <row r="182" spans="1:10">
      <c r="A182" s="9"/>
      <c r="B182" s="364"/>
      <c r="C182" s="401"/>
      <c r="E182" s="312"/>
    </row>
    <row r="183" spans="1:10">
      <c r="A183" s="9"/>
      <c r="B183" s="9"/>
      <c r="C183" s="541" t="s">
        <v>3197</v>
      </c>
      <c r="D183" s="9"/>
      <c r="E183" s="9"/>
    </row>
    <row r="184" spans="1:10">
      <c r="A184" s="9"/>
      <c r="B184" s="347" t="s">
        <v>2531</v>
      </c>
      <c r="C184" s="405">
        <f>'To-be clinical improvements'!D10</f>
        <v>0.37076496125633113</v>
      </c>
      <c r="D184" s="9"/>
      <c r="E184" s="9"/>
    </row>
    <row r="185" spans="1:10">
      <c r="A185" s="9"/>
      <c r="B185" s="6" t="s">
        <v>4</v>
      </c>
      <c r="C185" s="215">
        <f>'To-be clinical improvements'!C10</f>
        <v>0.6028558913472728</v>
      </c>
      <c r="E185"/>
      <c r="F185"/>
    </row>
    <row r="186" spans="1:10">
      <c r="A186" s="9"/>
      <c r="B186" s="9"/>
      <c r="E186" s="312"/>
    </row>
    <row r="187" spans="1:10" ht="19.25" customHeight="1">
      <c r="A187" s="9" t="s">
        <v>10</v>
      </c>
      <c r="B187" s="9" t="s">
        <v>3215</v>
      </c>
      <c r="C187"/>
      <c r="E187" s="312"/>
    </row>
    <row r="188" spans="1:10" ht="19.25" customHeight="1">
      <c r="A188" s="9"/>
      <c r="B188" s="9"/>
      <c r="C188"/>
      <c r="E188" s="312"/>
    </row>
    <row r="189" spans="1:10" ht="19.25" customHeight="1">
      <c r="A189" s="9"/>
      <c r="B189" s="9"/>
      <c r="C189" s="542" t="s">
        <v>2917</v>
      </c>
      <c r="D189" s="542"/>
      <c r="E189" s="312"/>
      <c r="F189" s="543" t="s">
        <v>2919</v>
      </c>
      <c r="G189" s="543"/>
      <c r="I189" s="544" t="s">
        <v>2918</v>
      </c>
      <c r="J189" s="544"/>
    </row>
    <row r="190" spans="1:10">
      <c r="A190" s="9"/>
      <c r="B190" s="344" t="s">
        <v>125</v>
      </c>
      <c r="C190" s="542" t="s">
        <v>97</v>
      </c>
      <c r="D190" s="542" t="s">
        <v>2874</v>
      </c>
      <c r="E190" s="312"/>
      <c r="F190" s="543" t="s">
        <v>97</v>
      </c>
      <c r="G190" s="543" t="s">
        <v>98</v>
      </c>
      <c r="I190" s="544" t="s">
        <v>97</v>
      </c>
      <c r="J190" s="544" t="s">
        <v>98</v>
      </c>
    </row>
    <row r="191" spans="1:10">
      <c r="A191" s="9"/>
      <c r="B191" s="350" t="s">
        <v>2863</v>
      </c>
      <c r="C191" s="368">
        <f t="array" ref="C191">SUMPRODUCT(TRANSPOSE($C$170:$C$172),C131:E131)</f>
        <v>14.422641509433966</v>
      </c>
      <c r="D191" s="368">
        <f t="array" ref="D191">SUMPRODUCT(TRANSPOSE($C$170:$C$172),C147:E147)</f>
        <v>54.6</v>
      </c>
      <c r="E191" s="312"/>
      <c r="F191" s="368">
        <f t="shared" ref="F191:F199" si="20">$C$181*G131*(1-$C$184)</f>
        <v>0.25430593452621497</v>
      </c>
      <c r="G191" s="368">
        <f t="shared" ref="G191:G199" si="21">$C$181*G147*(1-$C$184)</f>
        <v>0</v>
      </c>
      <c r="I191" s="367">
        <f>C191+F191</f>
        <v>14.676947443960181</v>
      </c>
      <c r="J191" s="367">
        <f>D191+G191</f>
        <v>54.6</v>
      </c>
    </row>
    <row r="192" spans="1:10">
      <c r="A192" s="9"/>
      <c r="B192" s="350" t="s">
        <v>2862</v>
      </c>
      <c r="C192" s="368">
        <f t="array" ref="C192">SUMPRODUCT(TRANSPOSE($C$170:$C$172),C132:E132)</f>
        <v>28.845283018867931</v>
      </c>
      <c r="D192" s="368">
        <f t="array" ref="D192">SUMPRODUCT(TRANSPOSE($C$170:$C$172),C148:E148)</f>
        <v>109.2</v>
      </c>
      <c r="E192" s="312"/>
      <c r="F192" s="368">
        <f t="shared" si="20"/>
        <v>0.50861186905242994</v>
      </c>
      <c r="G192" s="368">
        <f t="shared" si="21"/>
        <v>0</v>
      </c>
      <c r="I192" s="367">
        <f t="shared" ref="I192:J199" si="22">C192+F192</f>
        <v>29.353894887920362</v>
      </c>
      <c r="J192" s="367">
        <f t="shared" si="22"/>
        <v>109.2</v>
      </c>
    </row>
    <row r="193" spans="1:13">
      <c r="A193" s="9"/>
      <c r="B193" s="350" t="s">
        <v>131</v>
      </c>
      <c r="C193" s="368">
        <f t="array" ref="C193">SUMPRODUCT(TRANSPOSE($C$170:$C$172),C133:E133)</f>
        <v>7.5248564397046787</v>
      </c>
      <c r="D193" s="368">
        <f t="array" ref="D193">SUMPRODUCT(TRANSPOSE($C$170:$C$172),C149:E149)</f>
        <v>28.486956521739135</v>
      </c>
      <c r="E193" s="312"/>
      <c r="F193" s="368">
        <f t="shared" si="20"/>
        <v>0</v>
      </c>
      <c r="G193" s="368">
        <f t="shared" si="21"/>
        <v>0</v>
      </c>
      <c r="I193" s="367">
        <f t="shared" si="22"/>
        <v>7.5248564397046787</v>
      </c>
      <c r="J193" s="367">
        <f t="shared" si="22"/>
        <v>28.486956521739135</v>
      </c>
    </row>
    <row r="194" spans="1:13">
      <c r="A194" s="9"/>
      <c r="B194" s="350" t="s">
        <v>2869</v>
      </c>
      <c r="C194" s="368">
        <f t="array" ref="C194">SUMPRODUCT(TRANSPOSE($C$170:$C$172),C134:E134)</f>
        <v>2.0603773584905669</v>
      </c>
      <c r="D194" s="368">
        <f t="array" ref="D194">SUMPRODUCT(TRANSPOSE($C$170:$C$172),C150:E150)</f>
        <v>7.8000000000000007</v>
      </c>
      <c r="E194" s="312"/>
      <c r="F194" s="368">
        <f t="shared" si="20"/>
        <v>0</v>
      </c>
      <c r="G194" s="368">
        <f t="shared" si="21"/>
        <v>0</v>
      </c>
      <c r="I194" s="367">
        <f t="shared" si="22"/>
        <v>2.0603773584905669</v>
      </c>
      <c r="J194" s="367">
        <f t="shared" si="22"/>
        <v>7.8000000000000007</v>
      </c>
    </row>
    <row r="195" spans="1:13">
      <c r="A195" s="9"/>
      <c r="B195" s="350" t="s">
        <v>2870</v>
      </c>
      <c r="C195" s="368">
        <f t="array" ref="C195">SUMPRODUCT(TRANSPOSE($C$170:$C$172),C135:E135)</f>
        <v>4.837407711238721</v>
      </c>
      <c r="D195" s="368">
        <f t="array" ref="D195">SUMPRODUCT(TRANSPOSE($C$170:$C$172),C151:E151)</f>
        <v>18.313043478260866</v>
      </c>
      <c r="E195" s="312"/>
      <c r="F195" s="368">
        <f t="shared" si="20"/>
        <v>0</v>
      </c>
      <c r="G195" s="368">
        <f t="shared" si="21"/>
        <v>0</v>
      </c>
      <c r="I195" s="367">
        <f t="shared" si="22"/>
        <v>4.837407711238721</v>
      </c>
      <c r="J195" s="367">
        <f t="shared" si="22"/>
        <v>18.313043478260866</v>
      </c>
    </row>
    <row r="196" spans="1:13">
      <c r="A196" s="9"/>
      <c r="B196" s="350" t="s">
        <v>102</v>
      </c>
      <c r="C196" s="368">
        <f t="array" ref="C196">SUMPRODUCT(TRANSPOSE($C$170:$C$172),C136:E136)</f>
        <v>1.2541427399507796</v>
      </c>
      <c r="D196" s="368">
        <f t="array" ref="D196">SUMPRODUCT(TRANSPOSE($C$170:$C$172),C152:E152)</f>
        <v>4.7478260869565219</v>
      </c>
      <c r="E196" s="312"/>
      <c r="F196" s="368">
        <f t="shared" si="20"/>
        <v>0.50861186905242994</v>
      </c>
      <c r="G196" s="368">
        <f t="shared" si="21"/>
        <v>0</v>
      </c>
      <c r="I196" s="367">
        <f t="shared" si="22"/>
        <v>1.7627546090032096</v>
      </c>
      <c r="J196" s="367">
        <f t="shared" si="22"/>
        <v>4.7478260869565219</v>
      </c>
    </row>
    <row r="197" spans="1:13">
      <c r="A197" s="9"/>
      <c r="B197" s="6" t="s">
        <v>2831</v>
      </c>
      <c r="C197" s="368">
        <f t="array" ref="C197">SUMPRODUCT(TRANSPOSE($C$170:$C$172),C137:E137)</f>
        <v>440.25247579983613</v>
      </c>
      <c r="D197" s="368">
        <f t="array" ref="D197">SUMPRODUCT(TRANSPOSE($C$170:$C$172),C153:E153)</f>
        <v>1666.6700869565216</v>
      </c>
      <c r="E197" s="312"/>
      <c r="F197" s="368">
        <f t="shared" si="20"/>
        <v>13.732520464415607</v>
      </c>
      <c r="G197" s="368">
        <f t="shared" si="21"/>
        <v>0</v>
      </c>
      <c r="I197" s="367">
        <f t="shared" si="22"/>
        <v>453.98499626425172</v>
      </c>
      <c r="J197" s="367">
        <f t="shared" si="22"/>
        <v>1666.6700869565216</v>
      </c>
    </row>
    <row r="198" spans="1:13">
      <c r="A198" s="9"/>
      <c r="B198" s="6" t="s">
        <v>2832</v>
      </c>
      <c r="C198" s="368">
        <f t="array" ref="C198">SUMPRODUCT(TRANSPOSE($C$170:$C$172),C138:E138)</f>
        <v>37.794487284659567</v>
      </c>
      <c r="D198" s="368">
        <f t="array" ref="D198">SUMPRODUCT(TRANSPOSE($C$170:$C$172),C154:E154)</f>
        <v>143.0791304347826</v>
      </c>
      <c r="E198" s="312"/>
      <c r="F198" s="368">
        <f t="shared" si="20"/>
        <v>1.5258356071572898</v>
      </c>
      <c r="G198" s="368">
        <f t="shared" si="21"/>
        <v>0</v>
      </c>
      <c r="I198" s="367">
        <f t="shared" si="22"/>
        <v>39.320322891816858</v>
      </c>
      <c r="J198" s="367">
        <f t="shared" si="22"/>
        <v>143.0791304347826</v>
      </c>
    </row>
    <row r="199" spans="1:13">
      <c r="A199" s="9"/>
      <c r="B199" s="350" t="s">
        <v>2871</v>
      </c>
      <c r="C199" s="368">
        <f t="array" ref="C199">SUMPRODUCT(TRANSPOSE($C$170:$C$172),C139:E139)</f>
        <v>4.837407711238721</v>
      </c>
      <c r="D199" s="368">
        <f t="array" ref="D199">SUMPRODUCT(TRANSPOSE($C$170:$C$172),C155:E155)</f>
        <v>18.313043478260866</v>
      </c>
      <c r="E199" s="312"/>
      <c r="F199" s="368">
        <f t="shared" si="20"/>
        <v>0</v>
      </c>
      <c r="G199" s="368">
        <f t="shared" si="21"/>
        <v>0</v>
      </c>
      <c r="I199" s="367">
        <f t="shared" si="22"/>
        <v>4.837407711238721</v>
      </c>
      <c r="J199" s="367">
        <f t="shared" si="22"/>
        <v>18.313043478260866</v>
      </c>
    </row>
    <row r="200" spans="1:13">
      <c r="A200" s="9"/>
      <c r="B200" s="364"/>
      <c r="C200" s="342"/>
      <c r="D200" s="342"/>
      <c r="E200" s="312"/>
      <c r="F200" s="312"/>
      <c r="L200" s="353"/>
      <c r="M200" s="353"/>
    </row>
    <row r="201" spans="1:13">
      <c r="I201" s="585"/>
    </row>
  </sheetData>
  <phoneticPr fontId="1"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tint="0.39997558519241921"/>
  </sheetPr>
  <dimension ref="A1:W130"/>
  <sheetViews>
    <sheetView showGridLines="0" workbookViewId="0"/>
  </sheetViews>
  <sheetFormatPr defaultRowHeight="14.5"/>
  <cols>
    <col min="2" max="2" width="39.6328125" customWidth="1"/>
    <col min="3" max="3" width="16" style="285" customWidth="1"/>
    <col min="4" max="4" width="12.36328125" customWidth="1"/>
    <col min="5" max="5" width="14.54296875" style="286" customWidth="1"/>
    <col min="6" max="6" width="15.36328125" style="286" customWidth="1"/>
    <col min="7" max="7" width="13.36328125" customWidth="1"/>
    <col min="8" max="8" width="12.54296875" customWidth="1"/>
    <col min="9" max="10" width="12.36328125" customWidth="1"/>
    <col min="11" max="13" width="9.453125" bestFit="1" customWidth="1"/>
    <col min="14" max="14" width="9" bestFit="1" customWidth="1"/>
  </cols>
  <sheetData>
    <row r="1" spans="1:8" s="588" customFormat="1" ht="18.5">
      <c r="A1" s="587" t="s">
        <v>3528</v>
      </c>
    </row>
    <row r="2" spans="1:8" s="588" customFormat="1">
      <c r="A2" s="588" t="s">
        <v>3529</v>
      </c>
    </row>
    <row r="3" spans="1:8" s="588" customFormat="1">
      <c r="A3" s="588" t="s">
        <v>3525</v>
      </c>
    </row>
    <row r="4" spans="1:8" s="781" customFormat="1"/>
    <row r="5" spans="1:8">
      <c r="A5" s="9" t="s">
        <v>2959</v>
      </c>
    </row>
    <row r="6" spans="1:8">
      <c r="C6"/>
      <c r="E6"/>
    </row>
    <row r="8" spans="1:8">
      <c r="A8" s="9" t="s">
        <v>10</v>
      </c>
      <c r="B8" s="9" t="s">
        <v>36</v>
      </c>
    </row>
    <row r="9" spans="1:8">
      <c r="B9" s="310" t="s">
        <v>2788</v>
      </c>
    </row>
    <row r="11" spans="1:8">
      <c r="B11" s="135" t="s">
        <v>4</v>
      </c>
      <c r="C11" s="294" t="s">
        <v>2765</v>
      </c>
      <c r="D11" s="294" t="s">
        <v>2761</v>
      </c>
      <c r="E11" s="295" t="s">
        <v>2762</v>
      </c>
      <c r="F11" s="296" t="s">
        <v>2763</v>
      </c>
      <c r="G11" s="296" t="s">
        <v>2764</v>
      </c>
    </row>
    <row r="12" spans="1:8">
      <c r="B12" s="166" t="s">
        <v>36</v>
      </c>
      <c r="C12" s="291">
        <v>0</v>
      </c>
      <c r="D12" s="291">
        <v>0</v>
      </c>
      <c r="E12" s="292">
        <f>0.5*G12</f>
        <v>0</v>
      </c>
      <c r="F12" s="292">
        <f>E12</f>
        <v>0</v>
      </c>
      <c r="G12" s="362">
        <f>Epidemiology!C101</f>
        <v>0</v>
      </c>
      <c r="H12" s="310" t="s">
        <v>2961</v>
      </c>
    </row>
    <row r="13" spans="1:8" ht="29">
      <c r="B13" s="166" t="s">
        <v>2766</v>
      </c>
      <c r="C13" s="293">
        <v>0</v>
      </c>
      <c r="D13" s="293">
        <v>0</v>
      </c>
      <c r="E13" s="293">
        <v>0</v>
      </c>
      <c r="F13" s="293">
        <v>0</v>
      </c>
      <c r="G13" s="293">
        <v>0</v>
      </c>
    </row>
    <row r="14" spans="1:8" ht="29">
      <c r="B14" s="166" t="s">
        <v>2767</v>
      </c>
      <c r="C14" s="293">
        <v>0</v>
      </c>
      <c r="D14" s="293">
        <v>0</v>
      </c>
      <c r="E14" s="293">
        <v>0</v>
      </c>
      <c r="F14" s="293">
        <v>0</v>
      </c>
      <c r="G14" s="293">
        <v>0</v>
      </c>
    </row>
    <row r="15" spans="1:8">
      <c r="B15" s="166" t="s">
        <v>2768</v>
      </c>
      <c r="C15" s="293">
        <v>1</v>
      </c>
      <c r="D15" s="293">
        <v>1</v>
      </c>
      <c r="E15" s="293">
        <v>1</v>
      </c>
      <c r="F15" s="293">
        <v>1</v>
      </c>
      <c r="G15" s="293">
        <v>1</v>
      </c>
    </row>
    <row r="16" spans="1:8">
      <c r="B16" s="52"/>
      <c r="C16" s="419"/>
      <c r="D16" s="419"/>
      <c r="E16" s="419"/>
      <c r="F16" s="419"/>
      <c r="G16" s="419"/>
    </row>
    <row r="17" spans="1:12">
      <c r="B17" s="113" t="s">
        <v>3003</v>
      </c>
      <c r="C17" s="419"/>
      <c r="D17" s="419"/>
      <c r="E17" s="419"/>
      <c r="F17" s="419"/>
      <c r="G17" s="419"/>
    </row>
    <row r="18" spans="1:12">
      <c r="B18" s="113"/>
      <c r="C18" s="419"/>
      <c r="D18" s="419"/>
      <c r="E18" s="419"/>
      <c r="F18" s="419"/>
      <c r="G18" s="419"/>
    </row>
    <row r="19" spans="1:12">
      <c r="B19" s="84" t="s">
        <v>2998</v>
      </c>
      <c r="C19" s="84" t="s">
        <v>388</v>
      </c>
      <c r="D19" s="419"/>
      <c r="E19" s="419"/>
      <c r="F19" s="419"/>
      <c r="G19" s="419"/>
    </row>
    <row r="20" spans="1:12">
      <c r="B20" s="433" t="s">
        <v>2999</v>
      </c>
      <c r="C20" s="434">
        <f>'Control Assumptions'!C119</f>
        <v>0.6</v>
      </c>
      <c r="D20" s="419"/>
      <c r="E20" s="419"/>
      <c r="F20" s="419"/>
      <c r="G20" s="419"/>
    </row>
    <row r="21" spans="1:12">
      <c r="B21" s="433" t="s">
        <v>3000</v>
      </c>
      <c r="C21" s="434">
        <f>'Control Assumptions'!C120</f>
        <v>0</v>
      </c>
      <c r="D21" s="419"/>
      <c r="E21" s="419"/>
      <c r="F21" s="419"/>
      <c r="G21" s="419"/>
    </row>
    <row r="22" spans="1:12">
      <c r="B22" s="433" t="s">
        <v>105</v>
      </c>
      <c r="C22" s="434">
        <f>'Control Assumptions'!C121</f>
        <v>0.4</v>
      </c>
    </row>
    <row r="23" spans="1:12">
      <c r="B23" s="435"/>
      <c r="C23" s="436"/>
    </row>
    <row r="24" spans="1:12">
      <c r="B24" s="435"/>
      <c r="C24" s="436"/>
    </row>
    <row r="26" spans="1:12" s="588" customFormat="1">
      <c r="A26" s="588" t="s">
        <v>10</v>
      </c>
      <c r="B26" s="593" t="s">
        <v>2960</v>
      </c>
      <c r="C26" s="637"/>
      <c r="D26" s="638"/>
      <c r="E26" s="630"/>
      <c r="F26" s="630"/>
    </row>
    <row r="27" spans="1:12">
      <c r="B27" s="310" t="s">
        <v>2771</v>
      </c>
      <c r="C27" s="287"/>
      <c r="D27" s="289"/>
    </row>
    <row r="28" spans="1:12">
      <c r="B28" s="310" t="s">
        <v>2893</v>
      </c>
      <c r="C28" s="287"/>
      <c r="D28" s="289"/>
    </row>
    <row r="29" spans="1:12">
      <c r="B29" s="799" t="s">
        <v>3012</v>
      </c>
      <c r="C29" s="287"/>
      <c r="D29" s="289"/>
    </row>
    <row r="30" spans="1:12">
      <c r="B30" s="9"/>
      <c r="C30" s="287"/>
      <c r="F30" s="290"/>
    </row>
    <row r="31" spans="1:12">
      <c r="B31" s="166" t="s">
        <v>2835</v>
      </c>
      <c r="C31" s="304">
        <v>1.5</v>
      </c>
      <c r="F31" s="290"/>
      <c r="L31" s="54"/>
    </row>
    <row r="32" spans="1:12">
      <c r="B32" s="166" t="s">
        <v>2789</v>
      </c>
      <c r="C32" s="796">
        <f>Epidemiology!C101</f>
        <v>0</v>
      </c>
      <c r="D32" s="310"/>
      <c r="F32" s="290"/>
      <c r="L32" s="54"/>
    </row>
    <row r="33" spans="1:23">
      <c r="B33" s="52"/>
      <c r="C33" s="310" t="s">
        <v>2977</v>
      </c>
      <c r="F33" s="290"/>
      <c r="L33" s="54"/>
    </row>
    <row r="34" spans="1:23">
      <c r="C34"/>
      <c r="E34" s="290"/>
      <c r="F34"/>
      <c r="H34" s="345" t="s">
        <v>2892</v>
      </c>
      <c r="I34" s="7"/>
    </row>
    <row r="35" spans="1:23" s="346" customFormat="1">
      <c r="B35" s="344" t="s">
        <v>2772</v>
      </c>
      <c r="C35" s="345" t="s">
        <v>2833</v>
      </c>
      <c r="E35" s="345" t="s">
        <v>2795</v>
      </c>
      <c r="F35" s="345" t="s">
        <v>2796</v>
      </c>
      <c r="H35" s="345" t="s">
        <v>97</v>
      </c>
      <c r="I35" s="345" t="s">
        <v>2797</v>
      </c>
      <c r="K35"/>
    </row>
    <row r="36" spans="1:23" s="96" customFormat="1">
      <c r="B36" s="347" t="s">
        <v>2863</v>
      </c>
      <c r="C36" s="348">
        <v>1</v>
      </c>
      <c r="D36" s="349" t="s">
        <v>2863</v>
      </c>
      <c r="E36" s="309">
        <f>C36*$C$31</f>
        <v>1.5</v>
      </c>
      <c r="F36" s="309">
        <f>E36*(52/4)</f>
        <v>19.5</v>
      </c>
      <c r="H36" s="309">
        <f>F36*($C$14+$D$14+$E$14+$F$14)</f>
        <v>0</v>
      </c>
      <c r="I36" s="309">
        <f>F36*($C$15+$D$15+$E$15+$F$15)</f>
        <v>78</v>
      </c>
      <c r="K36"/>
    </row>
    <row r="37" spans="1:23" s="96" customFormat="1">
      <c r="B37" s="347" t="s">
        <v>2862</v>
      </c>
      <c r="C37" s="348">
        <v>2</v>
      </c>
      <c r="D37" s="349" t="s">
        <v>2862</v>
      </c>
      <c r="E37" s="309">
        <f>C37*$C$31</f>
        <v>3</v>
      </c>
      <c r="F37" s="309">
        <f>E37*(52/4)</f>
        <v>39</v>
      </c>
      <c r="H37" s="309">
        <f>F37*($C$14+$D$14+$E$14+$F$14)</f>
        <v>0</v>
      </c>
      <c r="I37" s="309">
        <f>F37*($C$15+$D$15+$E$15+$F$15)</f>
        <v>156</v>
      </c>
      <c r="K37"/>
    </row>
    <row r="38" spans="1:23" s="96" customFormat="1">
      <c r="B38" s="347" t="s">
        <v>2869</v>
      </c>
      <c r="C38" s="348">
        <v>1</v>
      </c>
      <c r="D38" s="349" t="s">
        <v>2869</v>
      </c>
      <c r="E38" s="309">
        <f>C38*$C$31</f>
        <v>1.5</v>
      </c>
      <c r="F38" s="309">
        <f>E38*(52/4)</f>
        <v>19.5</v>
      </c>
      <c r="H38" s="309">
        <f>F38*($C$14+$D$14+$E$14+$F$14)</f>
        <v>0</v>
      </c>
      <c r="I38" s="309">
        <f>F38*($C$15+$D$15+$E$15+$F$15)</f>
        <v>78</v>
      </c>
      <c r="K38"/>
    </row>
    <row r="39" spans="1:23" s="96" customFormat="1">
      <c r="B39" s="344" t="s">
        <v>2799</v>
      </c>
      <c r="C39" s="345"/>
      <c r="K39"/>
    </row>
    <row r="40" spans="1:23" s="96" customFormat="1">
      <c r="B40" s="347" t="s">
        <v>3004</v>
      </c>
      <c r="C40" s="309">
        <f>C20*'Resource costs'!C195</f>
        <v>21</v>
      </c>
      <c r="D40" s="349" t="s">
        <v>2867</v>
      </c>
      <c r="E40" s="297">
        <f>C40*$C$31</f>
        <v>31.5</v>
      </c>
      <c r="F40" s="309">
        <f>E40*(52/4)</f>
        <v>409.5</v>
      </c>
      <c r="H40" s="309">
        <f>F40*($C$14+$D$14+$E$14+$F$14)</f>
        <v>0</v>
      </c>
      <c r="I40" s="309">
        <f>F40*($C$15+$D$15+$E$15+$F$15)</f>
        <v>1638</v>
      </c>
      <c r="K40"/>
      <c r="M40" s="351"/>
      <c r="N40" s="351"/>
      <c r="O40" s="351"/>
      <c r="P40" s="351"/>
      <c r="Q40" s="351"/>
      <c r="R40" s="351"/>
      <c r="S40" s="351"/>
      <c r="T40" s="351"/>
      <c r="U40" s="351"/>
      <c r="V40" s="351"/>
      <c r="W40" s="351"/>
    </row>
    <row r="41" spans="1:23" s="96" customFormat="1">
      <c r="B41" s="347" t="s">
        <v>3005</v>
      </c>
      <c r="C41" s="309">
        <f>C21*'Resource costs'!D195</f>
        <v>0</v>
      </c>
      <c r="D41" s="349" t="s">
        <v>2867</v>
      </c>
      <c r="E41" s="297">
        <f>C41*$C$31</f>
        <v>0</v>
      </c>
      <c r="F41" s="309">
        <f>E41*(52/4)</f>
        <v>0</v>
      </c>
      <c r="H41" s="309">
        <f>F41*($C$14+$D$14+$E$14+$F$14)</f>
        <v>0</v>
      </c>
      <c r="I41" s="309">
        <f>F41*($C$15+$D$15+$E$15+$F$15)</f>
        <v>0</v>
      </c>
      <c r="K41"/>
      <c r="M41" s="351"/>
      <c r="N41" s="351"/>
      <c r="O41" s="351"/>
      <c r="P41" s="351"/>
      <c r="Q41" s="351"/>
      <c r="R41" s="351"/>
      <c r="S41" s="351"/>
      <c r="T41" s="351"/>
      <c r="U41" s="351"/>
      <c r="V41" s="351"/>
      <c r="W41" s="351"/>
    </row>
    <row r="42" spans="1:23" s="96" customFormat="1">
      <c r="B42" s="347" t="s">
        <v>2868</v>
      </c>
      <c r="C42" s="309">
        <f>C22*'Resource costs'!E195</f>
        <v>8</v>
      </c>
      <c r="D42" s="349" t="s">
        <v>2868</v>
      </c>
      <c r="E42" s="297">
        <f>C42*$C$31</f>
        <v>12</v>
      </c>
      <c r="F42" s="309">
        <f>E42*(52/4)</f>
        <v>156</v>
      </c>
      <c r="H42" s="309">
        <f>F42*($C$14+$D$14+$E$14+$F$14)</f>
        <v>0</v>
      </c>
      <c r="I42" s="309">
        <f>F42*($C$15+$D$15+$E$15+$F$15)</f>
        <v>624</v>
      </c>
      <c r="K42"/>
      <c r="M42" s="352"/>
      <c r="N42" s="352"/>
      <c r="O42" s="352"/>
      <c r="P42" s="352"/>
      <c r="Q42" s="352"/>
      <c r="R42" s="352"/>
      <c r="S42" s="352"/>
      <c r="T42" s="352"/>
      <c r="U42" s="352"/>
      <c r="V42" s="352"/>
      <c r="W42" s="352"/>
    </row>
    <row r="43" spans="1:23" s="96" customFormat="1">
      <c r="B43" s="359"/>
      <c r="C43" s="342"/>
      <c r="D43" s="349"/>
      <c r="E43" s="356"/>
      <c r="F43" s="342"/>
      <c r="H43" s="342"/>
      <c r="I43" s="342"/>
      <c r="K43"/>
      <c r="M43" s="352"/>
      <c r="N43" s="352"/>
      <c r="O43" s="352"/>
      <c r="P43" s="352"/>
      <c r="Q43" s="352"/>
      <c r="R43" s="352"/>
      <c r="S43" s="352"/>
      <c r="T43" s="352"/>
      <c r="U43" s="352"/>
      <c r="V43" s="352"/>
      <c r="W43" s="352"/>
    </row>
    <row r="44" spans="1:23" s="96" customFormat="1">
      <c r="B44" s="416"/>
      <c r="C44"/>
      <c r="L44" s="388"/>
    </row>
    <row r="45" spans="1:23">
      <c r="A45" t="s">
        <v>10</v>
      </c>
      <c r="B45" s="9" t="s">
        <v>2978</v>
      </c>
      <c r="C45" s="287"/>
      <c r="D45" s="289"/>
    </row>
    <row r="46" spans="1:23" s="95" customFormat="1">
      <c r="B46" s="389"/>
      <c r="C46" s="342"/>
      <c r="D46" s="349"/>
      <c r="E46" s="96"/>
      <c r="F46" s="356"/>
      <c r="G46" s="342"/>
      <c r="H46" s="96"/>
      <c r="I46" s="342"/>
      <c r="K46" s="389"/>
    </row>
    <row r="47" spans="1:23" s="95" customFormat="1" ht="87">
      <c r="B47" s="359" t="s">
        <v>2979</v>
      </c>
      <c r="C47" s="342"/>
      <c r="D47" s="349"/>
      <c r="E47" s="96"/>
      <c r="F47" s="356"/>
      <c r="G47" s="342"/>
      <c r="H47" s="96"/>
      <c r="I47" s="342"/>
      <c r="J47" s="342"/>
      <c r="K47" s="96"/>
    </row>
    <row r="48" spans="1:23" s="95" customFormat="1">
      <c r="B48" s="359"/>
      <c r="C48" s="359"/>
      <c r="D48" s="349"/>
      <c r="E48" s="96"/>
      <c r="F48" s="356"/>
      <c r="G48" s="342"/>
      <c r="H48" s="96"/>
      <c r="I48" s="342"/>
      <c r="J48" s="342"/>
      <c r="K48" s="96"/>
    </row>
    <row r="49" spans="1:11" s="95" customFormat="1">
      <c r="B49" s="359"/>
      <c r="C49" s="359"/>
      <c r="D49" s="349"/>
      <c r="E49" s="96"/>
      <c r="F49" s="356"/>
      <c r="G49" s="342"/>
      <c r="H49" s="96"/>
      <c r="I49" s="342"/>
      <c r="J49" s="342"/>
      <c r="K49" s="96"/>
    </row>
    <row r="50" spans="1:11" s="95" customFormat="1">
      <c r="B50" s="359"/>
      <c r="C50" s="359"/>
      <c r="D50" s="349"/>
      <c r="E50" s="96"/>
      <c r="F50" s="356"/>
      <c r="G50" s="342"/>
      <c r="H50" s="96"/>
      <c r="I50" s="342"/>
      <c r="J50" s="342"/>
      <c r="K50" s="96"/>
    </row>
    <row r="51" spans="1:11" s="588" customFormat="1">
      <c r="A51" s="593" t="s">
        <v>10</v>
      </c>
      <c r="B51" s="593" t="s">
        <v>2920</v>
      </c>
      <c r="C51" s="629"/>
      <c r="E51" s="630"/>
      <c r="F51" s="630"/>
    </row>
    <row r="52" spans="1:11">
      <c r="A52" s="9"/>
      <c r="B52" s="9"/>
    </row>
    <row r="53" spans="1:11">
      <c r="A53" s="9"/>
      <c r="B53" s="9" t="s">
        <v>97</v>
      </c>
    </row>
    <row r="54" spans="1:11">
      <c r="A54" s="9"/>
      <c r="B54" s="9"/>
    </row>
    <row r="55" spans="1:11">
      <c r="A55" s="9"/>
      <c r="B55" s="9"/>
      <c r="C55" s="344" t="s">
        <v>2917</v>
      </c>
    </row>
    <row r="56" spans="1:11">
      <c r="A56" s="9"/>
      <c r="B56" s="344" t="s">
        <v>125</v>
      </c>
      <c r="C56" s="344" t="s">
        <v>2873</v>
      </c>
    </row>
    <row r="57" spans="1:11">
      <c r="A57" s="9"/>
      <c r="B57" s="350" t="s">
        <v>2863</v>
      </c>
      <c r="C57" s="309">
        <f>SUMIFS($H$36:$H$42, $D$36:$D$42, B57)</f>
        <v>0</v>
      </c>
    </row>
    <row r="58" spans="1:11">
      <c r="A58" s="9"/>
      <c r="B58" s="350" t="s">
        <v>2862</v>
      </c>
      <c r="C58" s="309">
        <f t="shared" ref="C58:C65" si="0">SUMIFS($H$36:$H$42, $D$36:$D$42, B58)</f>
        <v>0</v>
      </c>
    </row>
    <row r="59" spans="1:11">
      <c r="A59" s="9"/>
      <c r="B59" s="350" t="s">
        <v>131</v>
      </c>
      <c r="C59" s="309">
        <f t="shared" si="0"/>
        <v>0</v>
      </c>
    </row>
    <row r="60" spans="1:11">
      <c r="A60" s="9"/>
      <c r="B60" s="350" t="s">
        <v>2869</v>
      </c>
      <c r="C60" s="309">
        <f t="shared" si="0"/>
        <v>0</v>
      </c>
    </row>
    <row r="61" spans="1:11">
      <c r="A61" s="9"/>
      <c r="B61" s="350" t="s">
        <v>2870</v>
      </c>
      <c r="C61" s="309">
        <f t="shared" si="0"/>
        <v>0</v>
      </c>
    </row>
    <row r="62" spans="1:11">
      <c r="A62" s="9"/>
      <c r="B62" s="350" t="s">
        <v>102</v>
      </c>
      <c r="C62" s="309">
        <f t="shared" si="0"/>
        <v>0</v>
      </c>
    </row>
    <row r="63" spans="1:11">
      <c r="A63" s="9"/>
      <c r="B63" s="347" t="s">
        <v>2867</v>
      </c>
      <c r="C63" s="309">
        <f t="shared" si="0"/>
        <v>0</v>
      </c>
    </row>
    <row r="64" spans="1:11">
      <c r="A64" s="9"/>
      <c r="B64" s="347" t="s">
        <v>2868</v>
      </c>
      <c r="C64" s="309">
        <f t="shared" si="0"/>
        <v>0</v>
      </c>
    </row>
    <row r="65" spans="1:3">
      <c r="A65" s="9"/>
      <c r="B65" s="350" t="s">
        <v>2871</v>
      </c>
      <c r="C65" s="309">
        <f t="shared" si="0"/>
        <v>0</v>
      </c>
    </row>
    <row r="66" spans="1:3">
      <c r="A66" s="9"/>
      <c r="B66" s="9"/>
    </row>
    <row r="67" spans="1:3">
      <c r="A67" s="9"/>
      <c r="B67" s="9"/>
    </row>
    <row r="68" spans="1:3">
      <c r="A68" s="9"/>
      <c r="B68" s="9" t="s">
        <v>2797</v>
      </c>
    </row>
    <row r="69" spans="1:3">
      <c r="A69" s="9"/>
      <c r="B69" s="9"/>
    </row>
    <row r="70" spans="1:3">
      <c r="A70" s="9"/>
      <c r="B70" s="9"/>
      <c r="C70" s="344" t="s">
        <v>2917</v>
      </c>
    </row>
    <row r="71" spans="1:3">
      <c r="A71" s="9"/>
      <c r="B71" s="344" t="s">
        <v>125</v>
      </c>
      <c r="C71" s="344" t="s">
        <v>2873</v>
      </c>
    </row>
    <row r="72" spans="1:3">
      <c r="A72" s="9"/>
      <c r="B72" s="350" t="s">
        <v>2863</v>
      </c>
      <c r="C72" s="309">
        <f>SUMIFS($I$36:$I$42, $D$36:$D$42, B57)</f>
        <v>78</v>
      </c>
    </row>
    <row r="73" spans="1:3">
      <c r="A73" s="9"/>
      <c r="B73" s="350" t="s">
        <v>2862</v>
      </c>
      <c r="C73" s="309">
        <f t="shared" ref="C73:C80" si="1">SUMIFS($I$36:$I$42, $D$36:$D$42, B58)</f>
        <v>156</v>
      </c>
    </row>
    <row r="74" spans="1:3">
      <c r="A74" s="9"/>
      <c r="B74" s="350" t="s">
        <v>131</v>
      </c>
      <c r="C74" s="309">
        <f t="shared" si="1"/>
        <v>0</v>
      </c>
    </row>
    <row r="75" spans="1:3">
      <c r="A75" s="9"/>
      <c r="B75" s="350" t="s">
        <v>2869</v>
      </c>
      <c r="C75" s="309">
        <f t="shared" si="1"/>
        <v>78</v>
      </c>
    </row>
    <row r="76" spans="1:3">
      <c r="A76" s="9"/>
      <c r="B76" s="350" t="s">
        <v>2870</v>
      </c>
      <c r="C76" s="309">
        <f t="shared" si="1"/>
        <v>0</v>
      </c>
    </row>
    <row r="77" spans="1:3">
      <c r="A77" s="9"/>
      <c r="B77" s="350" t="s">
        <v>102</v>
      </c>
      <c r="C77" s="309">
        <f t="shared" si="1"/>
        <v>0</v>
      </c>
    </row>
    <row r="78" spans="1:3">
      <c r="A78" s="9"/>
      <c r="B78" s="347" t="s">
        <v>2867</v>
      </c>
      <c r="C78" s="309">
        <f t="shared" si="1"/>
        <v>1638</v>
      </c>
    </row>
    <row r="79" spans="1:3">
      <c r="A79" s="9"/>
      <c r="B79" s="347" t="s">
        <v>2868</v>
      </c>
      <c r="C79" s="309">
        <f t="shared" si="1"/>
        <v>624</v>
      </c>
    </row>
    <row r="80" spans="1:3">
      <c r="A80" s="9"/>
      <c r="B80" s="350" t="s">
        <v>2871</v>
      </c>
      <c r="C80" s="309">
        <f t="shared" si="1"/>
        <v>0</v>
      </c>
    </row>
    <row r="81" spans="1:6">
      <c r="A81" s="9"/>
      <c r="B81" s="9"/>
      <c r="C81" s="312" t="b">
        <f>SUM(C72:C80,C57:C65)=SUM(H36:I42)</f>
        <v>1</v>
      </c>
    </row>
    <row r="82" spans="1:6">
      <c r="A82" s="9"/>
      <c r="B82" s="9"/>
    </row>
    <row r="83" spans="1:6">
      <c r="A83" s="9"/>
      <c r="B83" s="9"/>
      <c r="C83" s="312"/>
      <c r="D83" s="312"/>
      <c r="E83" s="312"/>
    </row>
    <row r="84" spans="1:6" s="588" customFormat="1" ht="18.5">
      <c r="A84" s="587" t="s">
        <v>2923</v>
      </c>
      <c r="C84" s="629"/>
      <c r="E84" s="630"/>
      <c r="F84" s="630"/>
    </row>
    <row r="85" spans="1:6" ht="18.5">
      <c r="A85" s="31"/>
    </row>
    <row r="86" spans="1:6">
      <c r="A86" s="9"/>
      <c r="B86" s="9"/>
      <c r="E86" s="312"/>
    </row>
    <row r="87" spans="1:6" ht="19.25" customHeight="1">
      <c r="A87" s="9"/>
      <c r="B87" s="9" t="s">
        <v>2879</v>
      </c>
      <c r="C87"/>
      <c r="E87" s="312"/>
    </row>
    <row r="88" spans="1:6" ht="19.25" customHeight="1">
      <c r="A88" s="9"/>
      <c r="B88" s="9"/>
      <c r="C88"/>
      <c r="E88" s="312"/>
    </row>
    <row r="89" spans="1:6" ht="19.25" customHeight="1">
      <c r="A89" s="9"/>
      <c r="B89" s="9"/>
      <c r="C89" s="404" t="s">
        <v>2917</v>
      </c>
      <c r="D89" s="404"/>
      <c r="E89" s="312"/>
    </row>
    <row r="90" spans="1:6">
      <c r="A90" s="9"/>
      <c r="B90" s="344" t="s">
        <v>125</v>
      </c>
      <c r="C90" s="404" t="s">
        <v>97</v>
      </c>
      <c r="D90" s="404" t="s">
        <v>2874</v>
      </c>
      <c r="E90" s="312"/>
    </row>
    <row r="91" spans="1:6">
      <c r="A91" s="9"/>
      <c r="B91" s="350" t="s">
        <v>2863</v>
      </c>
      <c r="C91" s="368">
        <f>C57</f>
        <v>0</v>
      </c>
      <c r="D91" s="368">
        <f>C72</f>
        <v>78</v>
      </c>
      <c r="E91" s="312"/>
    </row>
    <row r="92" spans="1:6">
      <c r="A92" s="9"/>
      <c r="B92" s="350" t="s">
        <v>2862</v>
      </c>
      <c r="C92" s="368">
        <f t="shared" ref="C92:C99" si="2">C58</f>
        <v>0</v>
      </c>
      <c r="D92" s="368">
        <f t="shared" ref="D92:D99" si="3">C73</f>
        <v>156</v>
      </c>
      <c r="E92" s="312"/>
    </row>
    <row r="93" spans="1:6">
      <c r="A93" s="9"/>
      <c r="B93" s="350" t="s">
        <v>131</v>
      </c>
      <c r="C93" s="368">
        <f t="shared" si="2"/>
        <v>0</v>
      </c>
      <c r="D93" s="368">
        <f t="shared" si="3"/>
        <v>0</v>
      </c>
      <c r="E93" s="312"/>
    </row>
    <row r="94" spans="1:6">
      <c r="A94" s="9"/>
      <c r="B94" s="350" t="s">
        <v>2869</v>
      </c>
      <c r="C94" s="368">
        <f t="shared" si="2"/>
        <v>0</v>
      </c>
      <c r="D94" s="368">
        <f t="shared" si="3"/>
        <v>78</v>
      </c>
      <c r="E94" s="312"/>
    </row>
    <row r="95" spans="1:6">
      <c r="A95" s="9"/>
      <c r="B95" s="350" t="s">
        <v>2870</v>
      </c>
      <c r="C95" s="368">
        <f t="shared" si="2"/>
        <v>0</v>
      </c>
      <c r="D95" s="368">
        <f t="shared" si="3"/>
        <v>0</v>
      </c>
      <c r="E95" s="312"/>
    </row>
    <row r="96" spans="1:6">
      <c r="A96" s="9"/>
      <c r="B96" s="350" t="s">
        <v>102</v>
      </c>
      <c r="C96" s="368">
        <f t="shared" si="2"/>
        <v>0</v>
      </c>
      <c r="D96" s="368">
        <f t="shared" si="3"/>
        <v>0</v>
      </c>
      <c r="E96" s="312"/>
    </row>
    <row r="97" spans="1:6">
      <c r="A97" s="9"/>
      <c r="B97" s="6" t="s">
        <v>2831</v>
      </c>
      <c r="C97" s="368">
        <f t="shared" si="2"/>
        <v>0</v>
      </c>
      <c r="D97" s="368">
        <f t="shared" si="3"/>
        <v>1638</v>
      </c>
      <c r="E97" s="312"/>
    </row>
    <row r="98" spans="1:6">
      <c r="A98" s="9"/>
      <c r="B98" s="6" t="s">
        <v>2832</v>
      </c>
      <c r="C98" s="368">
        <f t="shared" si="2"/>
        <v>0</v>
      </c>
      <c r="D98" s="368">
        <f t="shared" si="3"/>
        <v>624</v>
      </c>
      <c r="E98" s="312"/>
    </row>
    <row r="99" spans="1:6">
      <c r="A99" s="9"/>
      <c r="B99" s="350" t="s">
        <v>2871</v>
      </c>
      <c r="C99" s="368">
        <f t="shared" si="2"/>
        <v>0</v>
      </c>
      <c r="D99" s="368">
        <f t="shared" si="3"/>
        <v>0</v>
      </c>
      <c r="E99" s="312"/>
    </row>
    <row r="100" spans="1:6">
      <c r="A100" s="9"/>
      <c r="B100" s="364"/>
      <c r="C100" s="342"/>
      <c r="D100" s="342"/>
      <c r="E100" s="312"/>
    </row>
    <row r="101" spans="1:6">
      <c r="A101" s="9"/>
      <c r="B101" s="9"/>
      <c r="C101" s="9"/>
      <c r="D101" s="9"/>
      <c r="E101" s="312"/>
    </row>
    <row r="102" spans="1:6">
      <c r="A102" s="9" t="s">
        <v>10</v>
      </c>
      <c r="B102" s="9" t="s">
        <v>2878</v>
      </c>
      <c r="C102" s="312"/>
      <c r="D102" s="312"/>
      <c r="E102" s="312"/>
    </row>
    <row r="103" spans="1:6">
      <c r="A103" s="9"/>
      <c r="B103" s="9"/>
      <c r="C103" s="312"/>
      <c r="D103" s="312"/>
      <c r="E103" s="312"/>
    </row>
    <row r="104" spans="1:6">
      <c r="A104" s="9"/>
      <c r="B104" s="9" t="s">
        <v>2877</v>
      </c>
    </row>
    <row r="105" spans="1:6">
      <c r="A105" s="9"/>
      <c r="B105" s="344" t="s">
        <v>125</v>
      </c>
      <c r="C105" s="344" t="s">
        <v>97</v>
      </c>
      <c r="D105" s="344" t="s">
        <v>2874</v>
      </c>
      <c r="F105" s="344" t="s">
        <v>151</v>
      </c>
    </row>
    <row r="106" spans="1:6">
      <c r="A106" s="9"/>
      <c r="B106" s="350" t="s">
        <v>2863</v>
      </c>
      <c r="C106" s="308">
        <f t="shared" ref="C106:D114" si="4">C91*$F106</f>
        <v>0</v>
      </c>
      <c r="D106" s="308">
        <f t="shared" si="4"/>
        <v>46.8</v>
      </c>
      <c r="E106" s="488" t="s">
        <v>2863</v>
      </c>
      <c r="F106" s="308">
        <f>INDEX('Resource costs'!$C$122:$C$142, MATCH(B106, 'Resource costs'!$B$122:$B$142,0))</f>
        <v>0.6</v>
      </c>
    </row>
    <row r="107" spans="1:6">
      <c r="A107" s="9"/>
      <c r="B107" s="350" t="s">
        <v>2862</v>
      </c>
      <c r="C107" s="308">
        <f t="shared" si="4"/>
        <v>0</v>
      </c>
      <c r="D107" s="308">
        <f t="shared" si="4"/>
        <v>60.728085651241805</v>
      </c>
      <c r="E107" s="488" t="s">
        <v>2862</v>
      </c>
      <c r="F107" s="308">
        <f>INDEX('Resource costs'!$C$122:$C$142, MATCH(B107, 'Resource costs'!$B$122:$B$142,0))</f>
        <v>0.38928260032847312</v>
      </c>
    </row>
    <row r="108" spans="1:6">
      <c r="A108" s="9"/>
      <c r="B108" s="350" t="s">
        <v>131</v>
      </c>
      <c r="C108" s="308">
        <f t="shared" si="4"/>
        <v>0</v>
      </c>
      <c r="D108" s="308">
        <f t="shared" si="4"/>
        <v>0</v>
      </c>
      <c r="E108" s="488" t="s">
        <v>131</v>
      </c>
      <c r="F108" s="308">
        <f>INDEX('Resource costs'!$C$122:$C$142, MATCH(B108, 'Resource costs'!$B$122:$B$142,0))</f>
        <v>2.649607261160202</v>
      </c>
    </row>
    <row r="109" spans="1:6">
      <c r="A109" s="9"/>
      <c r="B109" s="350" t="s">
        <v>2869</v>
      </c>
      <c r="C109" s="308">
        <f t="shared" si="4"/>
        <v>0</v>
      </c>
      <c r="D109" s="308">
        <f t="shared" si="4"/>
        <v>636.48</v>
      </c>
      <c r="E109" s="488" t="s">
        <v>2869</v>
      </c>
      <c r="F109" s="308">
        <f>INDEX('Resource costs'!$C$122:$C$142, MATCH(B109, 'Resource costs'!$B$122:$B$142,0))</f>
        <v>8.16</v>
      </c>
    </row>
    <row r="110" spans="1:6">
      <c r="A110" s="9"/>
      <c r="B110" s="350" t="s">
        <v>2870</v>
      </c>
      <c r="C110" s="308">
        <f t="shared" si="4"/>
        <v>0</v>
      </c>
      <c r="D110" s="308">
        <f t="shared" si="4"/>
        <v>0</v>
      </c>
      <c r="E110" s="488" t="s">
        <v>2870</v>
      </c>
      <c r="F110" s="308">
        <f>INDEX('Resource costs'!$C$122:$C$142, MATCH(B110, 'Resource costs'!$B$122:$B$142,0))</f>
        <v>7.039410874060688</v>
      </c>
    </row>
    <row r="111" spans="1:6">
      <c r="A111" s="9"/>
      <c r="B111" s="350" t="s">
        <v>102</v>
      </c>
      <c r="C111" s="308">
        <f t="shared" si="4"/>
        <v>0</v>
      </c>
      <c r="D111" s="308">
        <f t="shared" si="4"/>
        <v>0</v>
      </c>
      <c r="E111" s="488" t="s">
        <v>102</v>
      </c>
      <c r="F111" s="308">
        <f>INDEX('Resource costs'!$C$122:$C$142, MATCH(B111, 'Resource costs'!$B$122:$B$142,0))</f>
        <v>23.098297183563602</v>
      </c>
    </row>
    <row r="112" spans="1:6">
      <c r="A112" s="9"/>
      <c r="B112" s="347" t="s">
        <v>2831</v>
      </c>
      <c r="C112" s="308">
        <f t="shared" si="4"/>
        <v>0</v>
      </c>
      <c r="D112" s="308">
        <f t="shared" si="4"/>
        <v>1026.9617647058824</v>
      </c>
      <c r="E112" s="488" t="s">
        <v>2867</v>
      </c>
      <c r="F112" s="308">
        <f>INDEX('Resource costs'!$C$122:$C$142, MATCH(B112, 'Resource costs'!$B$122:$B$142,0))</f>
        <v>0.62696078431372548</v>
      </c>
    </row>
    <row r="113" spans="1:6">
      <c r="A113" s="9"/>
      <c r="B113" s="347" t="s">
        <v>2832</v>
      </c>
      <c r="C113" s="308">
        <f t="shared" si="4"/>
        <v>0</v>
      </c>
      <c r="D113" s="308">
        <f t="shared" si="4"/>
        <v>384.8</v>
      </c>
      <c r="E113" s="488" t="s">
        <v>2868</v>
      </c>
      <c r="F113" s="308">
        <f>INDEX('Resource costs'!$C$122:$C$142, MATCH(B113, 'Resource costs'!$B$122:$B$142,0))</f>
        <v>0.6166666666666667</v>
      </c>
    </row>
    <row r="114" spans="1:6">
      <c r="A114" s="9"/>
      <c r="B114" s="350" t="s">
        <v>2871</v>
      </c>
      <c r="C114" s="308">
        <f t="shared" si="4"/>
        <v>0</v>
      </c>
      <c r="D114" s="308">
        <f t="shared" si="4"/>
        <v>0</v>
      </c>
      <c r="E114" s="286" t="s">
        <v>2871</v>
      </c>
      <c r="F114" s="308">
        <f>INDEX('Resource costs'!$C$122:$C$142, MATCH(B114, 'Resource costs'!$B$122:$B$142,0))</f>
        <v>0.8</v>
      </c>
    </row>
    <row r="115" spans="1:6">
      <c r="A115" s="9"/>
      <c r="B115" s="365" t="s">
        <v>22</v>
      </c>
      <c r="C115" s="366">
        <f>SUM(C106:C114)</f>
        <v>0</v>
      </c>
      <c r="D115" s="366">
        <f t="shared" ref="D115" si="5">SUM(D106:D114)</f>
        <v>2155.7698503571241</v>
      </c>
    </row>
    <row r="116" spans="1:6">
      <c r="A116" s="9"/>
      <c r="B116" s="9"/>
    </row>
    <row r="117" spans="1:6">
      <c r="A117" s="9"/>
      <c r="B117" s="9"/>
    </row>
    <row r="118" spans="1:6">
      <c r="A118" s="9"/>
      <c r="B118" s="9"/>
    </row>
    <row r="119" spans="1:6">
      <c r="A119" s="9"/>
      <c r="B119" s="9"/>
    </row>
    <row r="120" spans="1:6">
      <c r="C120" s="312"/>
      <c r="D120" s="312"/>
      <c r="E120" s="312"/>
    </row>
    <row r="121" spans="1:6">
      <c r="C121"/>
      <c r="E121"/>
      <c r="F121"/>
    </row>
    <row r="122" spans="1:6">
      <c r="C122"/>
      <c r="E122"/>
      <c r="F122"/>
    </row>
    <row r="123" spans="1:6">
      <c r="C123"/>
      <c r="E123"/>
      <c r="F123"/>
    </row>
    <row r="124" spans="1:6">
      <c r="C124"/>
      <c r="E124"/>
      <c r="F124"/>
    </row>
    <row r="125" spans="1:6">
      <c r="C125"/>
      <c r="E125"/>
      <c r="F125"/>
    </row>
    <row r="126" spans="1:6">
      <c r="C126"/>
      <c r="E126"/>
      <c r="F126"/>
    </row>
    <row r="127" spans="1:6">
      <c r="C127"/>
      <c r="E127"/>
      <c r="F127"/>
    </row>
    <row r="128" spans="1:6">
      <c r="C128"/>
      <c r="E128"/>
      <c r="F128"/>
    </row>
    <row r="129" customFormat="1"/>
    <row r="130" customFormat="1"/>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4" tint="0.39997558519241921"/>
  </sheetPr>
  <dimension ref="A1:W169"/>
  <sheetViews>
    <sheetView showGridLines="0" workbookViewId="0"/>
  </sheetViews>
  <sheetFormatPr defaultRowHeight="14.5"/>
  <cols>
    <col min="2" max="2" width="39.6328125" customWidth="1"/>
    <col min="3" max="3" width="16" style="285" customWidth="1"/>
    <col min="4" max="4" width="12.36328125" customWidth="1"/>
    <col min="5" max="5" width="14.54296875" style="286" customWidth="1"/>
    <col min="6" max="6" width="15.36328125" style="286" customWidth="1"/>
    <col min="7" max="7" width="13.36328125" customWidth="1"/>
    <col min="8" max="8" width="12.54296875" customWidth="1"/>
    <col min="9" max="10" width="12.36328125" customWidth="1"/>
    <col min="11" max="13" width="9.453125" bestFit="1" customWidth="1"/>
    <col min="14" max="14" width="9" bestFit="1" customWidth="1"/>
  </cols>
  <sheetData>
    <row r="1" spans="1:16" s="588" customFormat="1" ht="18.5">
      <c r="A1" s="587" t="s">
        <v>3526</v>
      </c>
    </row>
    <row r="2" spans="1:16" s="588" customFormat="1">
      <c r="A2" s="588" t="s">
        <v>3527</v>
      </c>
    </row>
    <row r="3" spans="1:16" s="588" customFormat="1">
      <c r="A3" s="588" t="s">
        <v>3525</v>
      </c>
    </row>
    <row r="4" spans="1:16" s="781" customFormat="1"/>
    <row r="5" spans="1:16">
      <c r="A5" s="9" t="s">
        <v>2959</v>
      </c>
    </row>
    <row r="6" spans="1:16">
      <c r="C6"/>
      <c r="E6"/>
    </row>
    <row r="8" spans="1:16">
      <c r="A8" s="9" t="s">
        <v>10</v>
      </c>
      <c r="B8" s="9" t="s">
        <v>36</v>
      </c>
    </row>
    <row r="9" spans="1:16">
      <c r="B9" s="310" t="s">
        <v>2788</v>
      </c>
    </row>
    <row r="11" spans="1:16">
      <c r="B11" s="135" t="s">
        <v>4</v>
      </c>
      <c r="C11" s="792" t="s">
        <v>2765</v>
      </c>
      <c r="D11" s="792" t="s">
        <v>3556</v>
      </c>
      <c r="E11" s="792" t="s">
        <v>3557</v>
      </c>
      <c r="F11" s="792" t="s">
        <v>2761</v>
      </c>
      <c r="G11" s="792" t="s">
        <v>3558</v>
      </c>
      <c r="H11" s="792" t="s">
        <v>3559</v>
      </c>
      <c r="I11" s="792" t="s">
        <v>2762</v>
      </c>
      <c r="J11" s="792" t="s">
        <v>3560</v>
      </c>
      <c r="K11" s="792" t="s">
        <v>3561</v>
      </c>
      <c r="L11" s="792" t="s">
        <v>2763</v>
      </c>
      <c r="M11" s="792" t="s">
        <v>3562</v>
      </c>
      <c r="N11" s="792" t="s">
        <v>3563</v>
      </c>
      <c r="O11" s="792" t="s">
        <v>2764</v>
      </c>
    </row>
    <row r="12" spans="1:16">
      <c r="B12" s="166" t="s">
        <v>36</v>
      </c>
      <c r="C12" s="795"/>
      <c r="D12" s="795"/>
      <c r="E12" s="795"/>
      <c r="F12" s="795"/>
      <c r="G12" s="795"/>
      <c r="H12" s="795"/>
      <c r="I12" s="795"/>
      <c r="J12" s="795"/>
      <c r="K12" s="795"/>
      <c r="L12" s="795"/>
      <c r="M12" s="795"/>
      <c r="N12" s="795"/>
      <c r="O12" s="795"/>
    </row>
    <row r="13" spans="1:16" ht="29">
      <c r="B13" s="166" t="s">
        <v>2766</v>
      </c>
      <c r="C13" s="293">
        <f>'VLU Care Pathways'!C13</f>
        <v>0</v>
      </c>
      <c r="D13" s="293">
        <f>'VLU Care Pathways'!D13</f>
        <v>0.54716981132075471</v>
      </c>
      <c r="E13" s="293">
        <f>'VLU Care Pathways'!E13</f>
        <v>0.58490566037735847</v>
      </c>
      <c r="F13" s="293">
        <f>'VLU Care Pathways'!F13</f>
        <v>0.67924528301886788</v>
      </c>
      <c r="G13" s="293">
        <f>'VLU Care Pathways'!G13</f>
        <v>0.73584905660377353</v>
      </c>
      <c r="H13" s="293">
        <f>'VLU Care Pathways'!H13</f>
        <v>0.79245283018867918</v>
      </c>
      <c r="I13" s="293">
        <f>'VLU Care Pathways'!I13</f>
        <v>0.83018867924528295</v>
      </c>
      <c r="J13" s="293">
        <f>'VLU Care Pathways'!J13</f>
        <v>0.86792452830188682</v>
      </c>
      <c r="K13" s="293">
        <f>'VLU Care Pathways'!K13</f>
        <v>0.90566037735849048</v>
      </c>
      <c r="L13" s="293">
        <f>'VLU Care Pathways'!L13</f>
        <v>0.94339622641509424</v>
      </c>
      <c r="M13" s="293">
        <f>'VLU Care Pathways'!M13</f>
        <v>0.96226415094339623</v>
      </c>
      <c r="N13" s="293">
        <f>'VLU Care Pathways'!N13</f>
        <v>0.98113207547169812</v>
      </c>
      <c r="O13" s="293">
        <f>'VLU Care Pathways'!O13</f>
        <v>1</v>
      </c>
      <c r="P13" s="310" t="s">
        <v>3564</v>
      </c>
    </row>
    <row r="14" spans="1:16" ht="29">
      <c r="B14" s="166" t="s">
        <v>2767</v>
      </c>
      <c r="C14" s="293">
        <f>1-C13</f>
        <v>1</v>
      </c>
      <c r="D14" s="293">
        <f t="shared" ref="D14:O14" si="0">1-D13</f>
        <v>0.45283018867924529</v>
      </c>
      <c r="E14" s="293">
        <f t="shared" si="0"/>
        <v>0.41509433962264153</v>
      </c>
      <c r="F14" s="293">
        <f t="shared" si="0"/>
        <v>0.32075471698113212</v>
      </c>
      <c r="G14" s="293">
        <f t="shared" si="0"/>
        <v>0.26415094339622647</v>
      </c>
      <c r="H14" s="293">
        <f t="shared" si="0"/>
        <v>0.20754716981132082</v>
      </c>
      <c r="I14" s="293">
        <f t="shared" si="0"/>
        <v>0.16981132075471705</v>
      </c>
      <c r="J14" s="293">
        <f t="shared" si="0"/>
        <v>0.13207547169811318</v>
      </c>
      <c r="K14" s="293">
        <f t="shared" si="0"/>
        <v>9.4339622641509524E-2</v>
      </c>
      <c r="L14" s="293">
        <f t="shared" si="0"/>
        <v>5.6603773584905759E-2</v>
      </c>
      <c r="M14" s="293">
        <f t="shared" si="0"/>
        <v>3.7735849056603765E-2</v>
      </c>
      <c r="N14" s="293">
        <f t="shared" si="0"/>
        <v>1.8867924528301883E-2</v>
      </c>
      <c r="O14" s="293">
        <f t="shared" si="0"/>
        <v>0</v>
      </c>
    </row>
    <row r="15" spans="1:16">
      <c r="B15" s="166" t="s">
        <v>2768</v>
      </c>
      <c r="C15" s="293">
        <v>1</v>
      </c>
      <c r="D15" s="293">
        <v>1</v>
      </c>
      <c r="E15" s="293">
        <v>1</v>
      </c>
      <c r="F15" s="293">
        <v>1</v>
      </c>
      <c r="G15" s="293">
        <v>1</v>
      </c>
      <c r="H15" s="293">
        <v>1</v>
      </c>
      <c r="I15" s="293">
        <v>1</v>
      </c>
      <c r="J15" s="293">
        <v>1</v>
      </c>
      <c r="K15" s="293">
        <v>1</v>
      </c>
      <c r="L15" s="293">
        <v>1</v>
      </c>
      <c r="M15" s="293">
        <v>1</v>
      </c>
      <c r="N15" s="293">
        <v>1</v>
      </c>
      <c r="O15" s="293">
        <v>1</v>
      </c>
    </row>
    <row r="16" spans="1:16">
      <c r="B16" s="52"/>
      <c r="C16" s="419"/>
      <c r="D16" s="419"/>
      <c r="E16" s="419"/>
      <c r="F16" s="419"/>
      <c r="G16" s="419"/>
    </row>
    <row r="17" spans="1:12">
      <c r="B17" s="113" t="s">
        <v>3003</v>
      </c>
      <c r="C17" s="419"/>
      <c r="D17" s="419"/>
      <c r="E17" s="419"/>
      <c r="F17" s="419"/>
      <c r="G17" s="419"/>
    </row>
    <row r="18" spans="1:12">
      <c r="B18" s="113"/>
      <c r="C18" s="419"/>
      <c r="D18" s="419"/>
      <c r="E18" s="419"/>
      <c r="F18" s="419"/>
      <c r="G18" s="419"/>
    </row>
    <row r="19" spans="1:12" ht="29">
      <c r="B19" s="84" t="s">
        <v>2998</v>
      </c>
      <c r="C19" s="476" t="s">
        <v>3264</v>
      </c>
      <c r="D19" s="34" t="s">
        <v>3011</v>
      </c>
      <c r="E19" s="419"/>
      <c r="F19" s="419"/>
      <c r="G19" s="419"/>
    </row>
    <row r="20" spans="1:12">
      <c r="B20" s="433" t="s">
        <v>2999</v>
      </c>
      <c r="C20" s="434">
        <f>'Control Assumptions'!C119</f>
        <v>0.6</v>
      </c>
      <c r="D20" s="581"/>
      <c r="E20" s="419"/>
      <c r="F20" s="419"/>
      <c r="G20" s="419"/>
    </row>
    <row r="21" spans="1:12">
      <c r="B21" s="433" t="s">
        <v>3000</v>
      </c>
      <c r="C21" s="434">
        <f>'Control Assumptions'!C120</f>
        <v>0</v>
      </c>
      <c r="D21" s="434">
        <f>1-D22</f>
        <v>0.6</v>
      </c>
      <c r="E21" s="419"/>
      <c r="F21" s="419"/>
      <c r="G21" s="419"/>
    </row>
    <row r="22" spans="1:12">
      <c r="B22" s="433" t="s">
        <v>105</v>
      </c>
      <c r="C22" s="434">
        <f>'Control Assumptions'!C121</f>
        <v>0.4</v>
      </c>
      <c r="D22" s="434">
        <f>C22/SUM($C$20:$C$22)</f>
        <v>0.4</v>
      </c>
    </row>
    <row r="23" spans="1:12">
      <c r="B23" s="435"/>
      <c r="C23" s="436"/>
    </row>
    <row r="24" spans="1:12">
      <c r="B24" s="435"/>
      <c r="C24" s="436"/>
    </row>
    <row r="26" spans="1:12" s="588" customFormat="1">
      <c r="A26" s="588" t="s">
        <v>10</v>
      </c>
      <c r="B26" s="593" t="s">
        <v>2960</v>
      </c>
      <c r="C26" s="637"/>
      <c r="D26" s="638"/>
      <c r="E26" s="630"/>
      <c r="F26" s="630"/>
    </row>
    <row r="27" spans="1:12">
      <c r="B27" s="310" t="s">
        <v>2771</v>
      </c>
      <c r="C27" s="287"/>
      <c r="D27" s="289"/>
    </row>
    <row r="28" spans="1:12">
      <c r="B28" s="310" t="s">
        <v>2893</v>
      </c>
      <c r="C28" s="287"/>
      <c r="D28" s="289"/>
    </row>
    <row r="29" spans="1:12">
      <c r="B29" s="418"/>
      <c r="C29" s="287"/>
      <c r="D29" s="289"/>
    </row>
    <row r="30" spans="1:12">
      <c r="B30" s="9"/>
      <c r="C30" s="287"/>
      <c r="F30" s="290"/>
    </row>
    <row r="31" spans="1:12">
      <c r="B31" s="166" t="s">
        <v>2835</v>
      </c>
      <c r="C31" s="304">
        <v>1.5</v>
      </c>
      <c r="F31" s="290"/>
      <c r="L31" s="54"/>
    </row>
    <row r="32" spans="1:12">
      <c r="B32" s="166" t="s">
        <v>2789</v>
      </c>
      <c r="C32" s="796">
        <f>'To-be clinical improvements'!D415</f>
        <v>0.28393711645907732</v>
      </c>
      <c r="D32" s="310"/>
      <c r="F32" s="290"/>
      <c r="L32" s="54"/>
    </row>
    <row r="33" spans="1:23">
      <c r="B33" s="52"/>
      <c r="C33" s="52"/>
      <c r="F33" s="290"/>
      <c r="L33" s="54"/>
    </row>
    <row r="34" spans="1:23">
      <c r="C34"/>
      <c r="E34" s="290"/>
      <c r="F34"/>
      <c r="H34" s="345" t="s">
        <v>2892</v>
      </c>
      <c r="I34" s="7"/>
    </row>
    <row r="35" spans="1:23" s="346" customFormat="1">
      <c r="A35" s="96"/>
      <c r="B35" s="344" t="s">
        <v>2772</v>
      </c>
      <c r="C35" s="345" t="s">
        <v>2833</v>
      </c>
      <c r="E35" s="345" t="s">
        <v>2795</v>
      </c>
      <c r="F35" s="345" t="s">
        <v>2796</v>
      </c>
      <c r="H35" s="345" t="s">
        <v>97</v>
      </c>
      <c r="I35" s="345" t="s">
        <v>2797</v>
      </c>
      <c r="K35"/>
    </row>
    <row r="36" spans="1:23" s="96" customFormat="1">
      <c r="B36" s="347" t="s">
        <v>2863</v>
      </c>
      <c r="C36" s="348">
        <v>1</v>
      </c>
      <c r="D36" s="349" t="s">
        <v>2863</v>
      </c>
      <c r="E36" s="309">
        <f>C36*$C$31</f>
        <v>1.5</v>
      </c>
      <c r="F36" s="309">
        <f>E36*(52/4)</f>
        <v>19.5</v>
      </c>
      <c r="H36" s="309">
        <f>E36*SUM($C$14:$N$14)*(52/12)</f>
        <v>20.603773584905667</v>
      </c>
      <c r="I36" s="309">
        <f>E36*SUM($C$15:$N$15)*(52/12)</f>
        <v>78</v>
      </c>
      <c r="K36"/>
    </row>
    <row r="37" spans="1:23" s="96" customFormat="1">
      <c r="B37" s="347" t="s">
        <v>2862</v>
      </c>
      <c r="C37" s="348">
        <v>2</v>
      </c>
      <c r="D37" s="349" t="s">
        <v>2862</v>
      </c>
      <c r="E37" s="309">
        <f>C37*$C$31</f>
        <v>3</v>
      </c>
      <c r="F37" s="309">
        <f>E37*(52/4)</f>
        <v>39</v>
      </c>
      <c r="H37" s="309">
        <f t="shared" ref="H37:H42" si="1">E37*SUM($C$14:$N$14)*(52/12)</f>
        <v>41.207547169811335</v>
      </c>
      <c r="I37" s="309">
        <f t="shared" ref="I37:I42" si="2">E37*SUM($C$15:$N$15)*(52/12)</f>
        <v>156</v>
      </c>
      <c r="K37"/>
    </row>
    <row r="38" spans="1:23" s="96" customFormat="1">
      <c r="B38" s="347" t="s">
        <v>2869</v>
      </c>
      <c r="C38" s="348">
        <v>1</v>
      </c>
      <c r="D38" s="349" t="s">
        <v>2869</v>
      </c>
      <c r="E38" s="309">
        <f>C38*$C$31</f>
        <v>1.5</v>
      </c>
      <c r="F38" s="309">
        <f>E38*(52/4)</f>
        <v>19.5</v>
      </c>
      <c r="H38" s="309">
        <f t="shared" si="1"/>
        <v>20.603773584905667</v>
      </c>
      <c r="I38" s="309">
        <f t="shared" si="2"/>
        <v>78</v>
      </c>
      <c r="K38"/>
    </row>
    <row r="39" spans="1:23" s="96" customFormat="1">
      <c r="B39" s="344" t="s">
        <v>2799</v>
      </c>
      <c r="C39" s="345"/>
      <c r="K39"/>
    </row>
    <row r="40" spans="1:23" s="96" customFormat="1">
      <c r="B40" s="347" t="s">
        <v>3004</v>
      </c>
      <c r="C40" s="309">
        <f>C20*'Resource costs'!C195</f>
        <v>21</v>
      </c>
      <c r="D40" s="349" t="s">
        <v>2867</v>
      </c>
      <c r="E40" s="297">
        <f>C40*$C$31</f>
        <v>31.5</v>
      </c>
      <c r="F40" s="309">
        <f>E40*(52/4)</f>
        <v>409.5</v>
      </c>
      <c r="H40" s="309">
        <f t="shared" si="1"/>
        <v>432.67924528301899</v>
      </c>
      <c r="I40" s="309">
        <f t="shared" si="2"/>
        <v>1638</v>
      </c>
      <c r="K40"/>
      <c r="M40" s="351"/>
      <c r="N40" s="351"/>
      <c r="O40" s="351"/>
      <c r="P40" s="351"/>
      <c r="Q40" s="351"/>
      <c r="R40" s="351"/>
      <c r="S40" s="351"/>
      <c r="T40" s="351"/>
      <c r="U40" s="351"/>
      <c r="V40" s="351"/>
      <c r="W40" s="351"/>
    </row>
    <row r="41" spans="1:23" s="96" customFormat="1">
      <c r="B41" s="347" t="s">
        <v>3005</v>
      </c>
      <c r="C41" s="309">
        <f>C21*'Resource costs'!D195</f>
        <v>0</v>
      </c>
      <c r="D41" s="349" t="s">
        <v>2867</v>
      </c>
      <c r="E41" s="297">
        <f>C41*$C$31</f>
        <v>0</v>
      </c>
      <c r="F41" s="309">
        <f>E41*(52/4)</f>
        <v>0</v>
      </c>
      <c r="H41" s="309">
        <f t="shared" si="1"/>
        <v>0</v>
      </c>
      <c r="I41" s="309">
        <f t="shared" si="2"/>
        <v>0</v>
      </c>
      <c r="K41"/>
      <c r="M41" s="351"/>
      <c r="N41" s="351"/>
      <c r="O41" s="351"/>
      <c r="P41" s="351"/>
      <c r="Q41" s="351"/>
      <c r="R41" s="351"/>
      <c r="S41" s="351"/>
      <c r="T41" s="351"/>
      <c r="U41" s="351"/>
      <c r="V41" s="351"/>
      <c r="W41" s="351"/>
    </row>
    <row r="42" spans="1:23" s="96" customFormat="1">
      <c r="B42" s="347" t="s">
        <v>2868</v>
      </c>
      <c r="C42" s="309">
        <f>C22*'Resource costs'!E195</f>
        <v>8</v>
      </c>
      <c r="D42" s="349" t="s">
        <v>2868</v>
      </c>
      <c r="E42" s="297">
        <f>C42*$C$31</f>
        <v>12</v>
      </c>
      <c r="F42" s="309">
        <f>E42*(52/4)</f>
        <v>156</v>
      </c>
      <c r="H42" s="309">
        <f t="shared" si="1"/>
        <v>164.83018867924534</v>
      </c>
      <c r="I42" s="309">
        <f t="shared" si="2"/>
        <v>624</v>
      </c>
      <c r="K42"/>
      <c r="M42" s="352"/>
      <c r="N42" s="352"/>
      <c r="O42" s="352"/>
      <c r="P42" s="352"/>
      <c r="Q42" s="352"/>
      <c r="R42" s="352"/>
      <c r="S42" s="352"/>
      <c r="T42" s="352"/>
      <c r="U42" s="352"/>
      <c r="V42" s="352"/>
      <c r="W42" s="352"/>
    </row>
    <row r="43" spans="1:23" s="96" customFormat="1">
      <c r="B43" s="416"/>
      <c r="C43"/>
      <c r="K43"/>
      <c r="L43" s="388"/>
    </row>
    <row r="44" spans="1:23" s="96" customFormat="1">
      <c r="C44" s="356"/>
      <c r="D44" s="352"/>
      <c r="L44" s="388"/>
    </row>
    <row r="45" spans="1:23" s="96" customFormat="1">
      <c r="B45" s="353"/>
      <c r="C45" s="357"/>
      <c r="L45" s="388"/>
    </row>
    <row r="46" spans="1:23" s="96" customFormat="1">
      <c r="B46" s="357"/>
      <c r="C46" s="288"/>
      <c r="L46" s="388"/>
    </row>
    <row r="47" spans="1:23" s="633" customFormat="1">
      <c r="B47" s="631" t="s">
        <v>2973</v>
      </c>
      <c r="C47" s="635"/>
      <c r="D47" s="636"/>
      <c r="G47" s="631"/>
      <c r="H47" s="635"/>
      <c r="L47" s="634"/>
    </row>
    <row r="48" spans="1:23" s="96" customFormat="1">
      <c r="B48" s="310" t="s">
        <v>2834</v>
      </c>
      <c r="C48" s="358"/>
      <c r="D48" s="341"/>
      <c r="G48" s="353"/>
      <c r="H48" s="358"/>
      <c r="L48" s="388"/>
    </row>
    <row r="49" spans="1:13">
      <c r="A49" s="96"/>
      <c r="B49" s="310" t="s">
        <v>2893</v>
      </c>
      <c r="C49" s="287"/>
      <c r="D49" s="289"/>
    </row>
    <row r="50" spans="1:13" s="96" customFormat="1">
      <c r="B50" s="354" t="s">
        <v>3010</v>
      </c>
      <c r="C50" s="358"/>
      <c r="D50" s="341"/>
      <c r="G50" s="353"/>
      <c r="H50" s="358"/>
      <c r="L50" s="388"/>
    </row>
    <row r="51" spans="1:13" s="96" customFormat="1">
      <c r="B51" s="354"/>
      <c r="C51" s="354"/>
      <c r="D51" s="341"/>
      <c r="G51" s="353"/>
      <c r="H51" s="358"/>
      <c r="L51" s="388"/>
    </row>
    <row r="52" spans="1:13" s="96" customFormat="1">
      <c r="B52" s="347" t="s">
        <v>2835</v>
      </c>
      <c r="C52" s="304">
        <v>1.5</v>
      </c>
      <c r="D52" s="341"/>
      <c r="G52" s="353"/>
      <c r="H52" s="358"/>
      <c r="L52" s="388"/>
    </row>
    <row r="53" spans="1:13" s="96" customFormat="1">
      <c r="B53" s="347" t="s">
        <v>2781</v>
      </c>
      <c r="C53" s="417"/>
      <c r="D53" s="341"/>
      <c r="F53" s="351"/>
      <c r="L53" s="388"/>
    </row>
    <row r="54" spans="1:13" s="96" customFormat="1">
      <c r="H54" s="345" t="s">
        <v>2892</v>
      </c>
      <c r="I54" s="345"/>
    </row>
    <row r="55" spans="1:13" s="346" customFormat="1">
      <c r="A55" s="96"/>
      <c r="B55" s="344" t="s">
        <v>2772</v>
      </c>
      <c r="C55" s="345" t="s">
        <v>2836</v>
      </c>
      <c r="E55" s="345" t="s">
        <v>2795</v>
      </c>
      <c r="F55" s="345" t="s">
        <v>2796</v>
      </c>
      <c r="H55" s="345" t="s">
        <v>97</v>
      </c>
      <c r="I55" s="345" t="s">
        <v>2797</v>
      </c>
      <c r="K55" s="96"/>
    </row>
    <row r="56" spans="1:13" s="96" customFormat="1">
      <c r="B56" s="347" t="s">
        <v>2863</v>
      </c>
      <c r="C56" s="309">
        <v>1</v>
      </c>
      <c r="D56" s="349" t="s">
        <v>2863</v>
      </c>
      <c r="E56" s="309">
        <f>C56*$C$52</f>
        <v>1.5</v>
      </c>
      <c r="F56" s="309">
        <f>E56*(52/4)</f>
        <v>19.5</v>
      </c>
      <c r="H56" s="309">
        <f>E56*SUM($C$14:$N$14)*(52/12)</f>
        <v>20.603773584905667</v>
      </c>
      <c r="I56" s="309">
        <f>E56*SUM($C$15:$N$15)*(52/12)</f>
        <v>78</v>
      </c>
    </row>
    <row r="57" spans="1:13" s="96" customFormat="1">
      <c r="B57" s="347" t="s">
        <v>2862</v>
      </c>
      <c r="C57" s="309">
        <v>2</v>
      </c>
      <c r="D57" s="349" t="s">
        <v>2862</v>
      </c>
      <c r="E57" s="309">
        <f>C57*$C$52</f>
        <v>3</v>
      </c>
      <c r="F57" s="309">
        <f>E57*(52/4)</f>
        <v>39</v>
      </c>
      <c r="H57" s="309">
        <f t="shared" ref="H57:H63" si="3">E57*SUM($C$14:$N$14)*(52/12)</f>
        <v>41.207547169811335</v>
      </c>
      <c r="I57" s="309">
        <f t="shared" ref="I57:I63" si="4">E57*SUM($C$15:$N$15)*(52/12)</f>
        <v>156</v>
      </c>
    </row>
    <row r="58" spans="1:13" s="96" customFormat="1">
      <c r="B58" s="347" t="s">
        <v>2871</v>
      </c>
      <c r="C58" s="309">
        <v>1</v>
      </c>
      <c r="D58" s="349" t="s">
        <v>2871</v>
      </c>
      <c r="E58" s="309">
        <f>C58*$C$52</f>
        <v>1.5</v>
      </c>
      <c r="F58" s="309">
        <f>E58*(52/4)</f>
        <v>19.5</v>
      </c>
      <c r="H58" s="309">
        <f t="shared" si="3"/>
        <v>20.603773584905667</v>
      </c>
      <c r="I58" s="309">
        <f t="shared" si="4"/>
        <v>78</v>
      </c>
    </row>
    <row r="59" spans="1:13" s="96" customFormat="1">
      <c r="B59" s="347" t="s">
        <v>2870</v>
      </c>
      <c r="C59" s="309">
        <v>1</v>
      </c>
      <c r="D59" s="349" t="s">
        <v>2870</v>
      </c>
      <c r="E59" s="309">
        <f>C59*$C$52</f>
        <v>1.5</v>
      </c>
      <c r="F59" s="309">
        <f>E59*(52/4)</f>
        <v>19.5</v>
      </c>
      <c r="H59" s="309">
        <f t="shared" si="3"/>
        <v>20.603773584905667</v>
      </c>
      <c r="I59" s="309">
        <f t="shared" si="4"/>
        <v>78</v>
      </c>
    </row>
    <row r="60" spans="1:13" s="96" customFormat="1">
      <c r="B60" s="344" t="s">
        <v>2799</v>
      </c>
      <c r="C60" s="345"/>
      <c r="E60" s="351"/>
      <c r="F60" s="351"/>
      <c r="G60" s="351"/>
      <c r="H60" s="351"/>
      <c r="I60" s="351"/>
      <c r="J60" s="351"/>
      <c r="M60" s="351"/>
    </row>
    <row r="61" spans="1:13" s="96" customFormat="1">
      <c r="B61" s="347" t="s">
        <v>3004</v>
      </c>
      <c r="C61" s="309">
        <f>C20*'Resource costs'!C194</f>
        <v>27.720000000000002</v>
      </c>
      <c r="D61" s="349" t="s">
        <v>2867</v>
      </c>
      <c r="E61" s="297">
        <f>C61*$C$52</f>
        <v>41.580000000000005</v>
      </c>
      <c r="F61" s="309">
        <f>E61*(52/4)</f>
        <v>540.54000000000008</v>
      </c>
      <c r="H61" s="309">
        <f t="shared" si="3"/>
        <v>571.13660377358519</v>
      </c>
      <c r="I61" s="309">
        <f t="shared" si="4"/>
        <v>2162.16</v>
      </c>
      <c r="M61" s="351"/>
    </row>
    <row r="62" spans="1:13" s="96" customFormat="1">
      <c r="B62" s="347" t="s">
        <v>3005</v>
      </c>
      <c r="C62" s="309">
        <f>C21*'Resource costs'!D194</f>
        <v>0</v>
      </c>
      <c r="D62" s="349" t="s">
        <v>2867</v>
      </c>
      <c r="E62" s="297">
        <f>C62*$C$52</f>
        <v>0</v>
      </c>
      <c r="F62" s="309">
        <f>E62*(52/4)</f>
        <v>0</v>
      </c>
      <c r="H62" s="309">
        <f t="shared" si="3"/>
        <v>0</v>
      </c>
      <c r="I62" s="309">
        <f t="shared" si="4"/>
        <v>0</v>
      </c>
      <c r="M62" s="351"/>
    </row>
    <row r="63" spans="1:13" s="96" customFormat="1">
      <c r="B63" s="347" t="s">
        <v>2868</v>
      </c>
      <c r="C63" s="309">
        <f>C22*'Resource costs'!E194</f>
        <v>12.040000000000001</v>
      </c>
      <c r="D63" s="349" t="s">
        <v>2868</v>
      </c>
      <c r="E63" s="297">
        <f>C63*$C$52</f>
        <v>18.060000000000002</v>
      </c>
      <c r="F63" s="309">
        <f>E63*(52/4)</f>
        <v>234.78000000000003</v>
      </c>
      <c r="H63" s="309">
        <f t="shared" si="3"/>
        <v>248.06943396226424</v>
      </c>
      <c r="I63" s="309">
        <f t="shared" si="4"/>
        <v>939.12</v>
      </c>
      <c r="M63" s="352"/>
    </row>
    <row r="64" spans="1:13" s="96" customFormat="1">
      <c r="B64" s="359"/>
      <c r="D64" s="356"/>
      <c r="K64" s="388"/>
    </row>
    <row r="65" spans="1:12" s="96" customFormat="1">
      <c r="B65" s="359"/>
      <c r="C65" s="356"/>
      <c r="K65" s="388"/>
    </row>
    <row r="66" spans="1:12" s="96" customFormat="1">
      <c r="C66" s="288"/>
      <c r="L66" s="388"/>
    </row>
    <row r="67" spans="1:12" s="633" customFormat="1">
      <c r="A67" s="631" t="s">
        <v>10</v>
      </c>
      <c r="B67" s="631" t="s">
        <v>2909</v>
      </c>
      <c r="C67" s="632"/>
      <c r="L67" s="634"/>
    </row>
    <row r="68" spans="1:12" s="96" customFormat="1">
      <c r="B68" s="349" t="s">
        <v>3266</v>
      </c>
      <c r="C68" s="288"/>
      <c r="L68" s="388"/>
    </row>
    <row r="69" spans="1:12" s="96" customFormat="1">
      <c r="B69" s="349" t="s">
        <v>2922</v>
      </c>
      <c r="C69" s="288"/>
      <c r="L69" s="388"/>
    </row>
    <row r="70" spans="1:12" s="96" customFormat="1">
      <c r="B70" s="349" t="s">
        <v>2972</v>
      </c>
      <c r="C70" s="288"/>
      <c r="L70" s="388"/>
    </row>
    <row r="71" spans="1:12" s="96" customFormat="1">
      <c r="B71" s="354"/>
      <c r="C71" s="288"/>
      <c r="L71" s="388"/>
    </row>
    <row r="72" spans="1:12" s="96" customFormat="1">
      <c r="B72" s="347" t="s">
        <v>2801</v>
      </c>
      <c r="C72" s="304">
        <f>1/(52/4)</f>
        <v>7.6923076923076927E-2</v>
      </c>
      <c r="L72" s="388"/>
    </row>
    <row r="73" spans="1:12" s="96" customFormat="1">
      <c r="B73" s="347" t="s">
        <v>2895</v>
      </c>
      <c r="C73" s="304">
        <v>60</v>
      </c>
      <c r="L73" s="388"/>
    </row>
    <row r="74" spans="1:12" s="96" customFormat="1">
      <c r="L74" s="388"/>
    </row>
    <row r="75" spans="1:12" s="96" customFormat="1">
      <c r="L75" s="388"/>
    </row>
    <row r="76" spans="1:12" s="96" customFormat="1">
      <c r="C76" s="288"/>
      <c r="L76" s="388"/>
    </row>
    <row r="77" spans="1:12" s="96" customFormat="1">
      <c r="B77" s="96" t="s">
        <v>2779</v>
      </c>
      <c r="H77" s="345" t="s">
        <v>2892</v>
      </c>
      <c r="I77" s="345"/>
      <c r="J77" s="345"/>
      <c r="K77" s="388"/>
    </row>
    <row r="78" spans="1:12" s="96" customFormat="1">
      <c r="B78" s="344" t="s">
        <v>2772</v>
      </c>
      <c r="C78" s="345" t="s">
        <v>2836</v>
      </c>
      <c r="E78" s="345" t="s">
        <v>2795</v>
      </c>
      <c r="F78" s="345" t="s">
        <v>2796</v>
      </c>
      <c r="G78" s="346"/>
      <c r="H78" s="345" t="s">
        <v>2896</v>
      </c>
      <c r="J78" s="345" t="s">
        <v>2912</v>
      </c>
      <c r="K78" s="388"/>
    </row>
    <row r="79" spans="1:12" s="96" customFormat="1">
      <c r="B79" s="347" t="s">
        <v>2863</v>
      </c>
      <c r="C79" s="348">
        <v>1</v>
      </c>
      <c r="D79" s="349" t="s">
        <v>2863</v>
      </c>
      <c r="E79" s="309">
        <f>C79*$C$72</f>
        <v>7.6923076923076927E-2</v>
      </c>
      <c r="F79" s="309">
        <f>E79*(52/4)</f>
        <v>1</v>
      </c>
      <c r="H79" s="309">
        <f>E79*SUM($C$14:$N$14)*(52/12)</f>
        <v>1.0566037735849061</v>
      </c>
      <c r="J79" s="309">
        <f>F79*4</f>
        <v>4</v>
      </c>
      <c r="K79" s="349" t="s">
        <v>2863</v>
      </c>
    </row>
    <row r="80" spans="1:12" s="96" customFormat="1">
      <c r="B80" s="347" t="s">
        <v>2862</v>
      </c>
      <c r="C80" s="348">
        <v>2</v>
      </c>
      <c r="D80" s="349" t="s">
        <v>2862</v>
      </c>
      <c r="E80" s="309">
        <f>C80*$C$72</f>
        <v>0.15384615384615385</v>
      </c>
      <c r="F80" s="309">
        <f>E80*(52/4)</f>
        <v>2</v>
      </c>
      <c r="H80" s="309">
        <f t="shared" ref="H80:H85" si="5">E80*SUM($C$14:$N$14)*(52/12)</f>
        <v>2.1132075471698122</v>
      </c>
      <c r="J80" s="309">
        <f t="shared" ref="J80:J85" si="6">F80*4</f>
        <v>8</v>
      </c>
      <c r="K80" s="349" t="s">
        <v>2862</v>
      </c>
    </row>
    <row r="81" spans="1:11">
      <c r="B81" s="347" t="s">
        <v>2894</v>
      </c>
      <c r="C81" s="348">
        <v>2</v>
      </c>
      <c r="D81" s="349" t="s">
        <v>102</v>
      </c>
      <c r="E81" s="309">
        <f>C81*$C$72</f>
        <v>0.15384615384615385</v>
      </c>
      <c r="F81" s="309">
        <f>E81*(52/4)</f>
        <v>2</v>
      </c>
      <c r="G81" s="96"/>
      <c r="H81" s="309">
        <f t="shared" si="5"/>
        <v>2.1132075471698122</v>
      </c>
      <c r="J81" s="309">
        <f t="shared" si="6"/>
        <v>8</v>
      </c>
      <c r="K81" s="349" t="s">
        <v>102</v>
      </c>
    </row>
    <row r="82" spans="1:11">
      <c r="B82" s="344" t="s">
        <v>2760</v>
      </c>
      <c r="C82" s="345"/>
      <c r="D82" s="96"/>
      <c r="E82" s="96"/>
      <c r="F82" s="96"/>
      <c r="G82" s="96"/>
      <c r="H82" s="96"/>
      <c r="J82" s="352"/>
      <c r="K82" s="349"/>
    </row>
    <row r="83" spans="1:11">
      <c r="B83" s="347" t="s">
        <v>3004</v>
      </c>
      <c r="C83" s="309">
        <f>$C$73*D20</f>
        <v>0</v>
      </c>
      <c r="D83" s="349" t="s">
        <v>2867</v>
      </c>
      <c r="E83" s="297">
        <f>C83*$C$72</f>
        <v>0</v>
      </c>
      <c r="F83" s="309">
        <f>E83*(52/4)</f>
        <v>0</v>
      </c>
      <c r="G83" s="96"/>
      <c r="H83" s="309">
        <f t="shared" si="5"/>
        <v>0</v>
      </c>
      <c r="J83" s="309">
        <f t="shared" si="6"/>
        <v>0</v>
      </c>
      <c r="K83" s="349" t="s">
        <v>2831</v>
      </c>
    </row>
    <row r="84" spans="1:11">
      <c r="B84" s="347" t="s">
        <v>3005</v>
      </c>
      <c r="C84" s="309">
        <f t="shared" ref="C84:C85" si="7">$C$73*D21</f>
        <v>36</v>
      </c>
      <c r="D84" s="349" t="s">
        <v>2867</v>
      </c>
      <c r="E84" s="297">
        <f>C84*$C$72</f>
        <v>2.7692307692307692</v>
      </c>
      <c r="F84" s="309">
        <f>E84*(52/4)</f>
        <v>36</v>
      </c>
      <c r="G84" s="96"/>
      <c r="H84" s="309">
        <f t="shared" si="5"/>
        <v>38.037735849056617</v>
      </c>
      <c r="J84" s="309">
        <f t="shared" ref="J84" si="8">F84*4</f>
        <v>144</v>
      </c>
      <c r="K84" s="349" t="s">
        <v>2831</v>
      </c>
    </row>
    <row r="85" spans="1:11" s="95" customFormat="1">
      <c r="B85" s="347" t="s">
        <v>2868</v>
      </c>
      <c r="C85" s="309">
        <f t="shared" si="7"/>
        <v>24</v>
      </c>
      <c r="D85" s="349" t="s">
        <v>2868</v>
      </c>
      <c r="E85" s="297">
        <f>C85*$C$72</f>
        <v>1.8461538461538463</v>
      </c>
      <c r="F85" s="309">
        <f>E85*(52/4)</f>
        <v>24</v>
      </c>
      <c r="G85" s="96"/>
      <c r="H85" s="309">
        <f t="shared" si="5"/>
        <v>25.358490566037744</v>
      </c>
      <c r="J85" s="309">
        <f t="shared" si="6"/>
        <v>96</v>
      </c>
      <c r="K85" s="349" t="s">
        <v>2832</v>
      </c>
    </row>
    <row r="86" spans="1:11" s="95" customFormat="1">
      <c r="B86" s="389" t="s">
        <v>2897</v>
      </c>
      <c r="C86" s="342"/>
      <c r="D86" s="349"/>
      <c r="E86" s="96"/>
      <c r="F86" s="356"/>
      <c r="G86" s="342"/>
      <c r="H86" s="96"/>
      <c r="I86" s="342"/>
      <c r="K86" s="389"/>
    </row>
    <row r="87" spans="1:11" s="95" customFormat="1">
      <c r="B87" s="389"/>
      <c r="C87" s="342"/>
      <c r="D87" s="349"/>
      <c r="E87" s="96"/>
      <c r="F87" s="356"/>
      <c r="G87" s="342"/>
      <c r="H87" s="96"/>
      <c r="I87" s="342"/>
      <c r="K87" s="389"/>
    </row>
    <row r="88" spans="1:11" s="95" customFormat="1">
      <c r="B88" s="359"/>
      <c r="C88" s="342"/>
      <c r="D88" s="349"/>
      <c r="E88" s="96"/>
      <c r="F88" s="356"/>
      <c r="G88" s="342"/>
      <c r="H88" s="96"/>
      <c r="I88" s="342"/>
      <c r="J88" s="342"/>
      <c r="K88" s="96"/>
    </row>
    <row r="89" spans="1:11" s="95" customFormat="1">
      <c r="B89" s="359"/>
      <c r="C89" s="359"/>
      <c r="D89" s="349"/>
      <c r="E89" s="96"/>
      <c r="F89" s="356"/>
      <c r="G89" s="342"/>
      <c r="H89" s="96"/>
      <c r="I89" s="342"/>
      <c r="J89" s="342"/>
      <c r="K89" s="96"/>
    </row>
    <row r="90" spans="1:11" s="95" customFormat="1">
      <c r="B90" s="359"/>
      <c r="C90" s="359"/>
      <c r="D90" s="349"/>
      <c r="E90" s="96"/>
      <c r="F90" s="356"/>
      <c r="G90" s="342"/>
      <c r="H90" s="96"/>
      <c r="I90" s="342"/>
      <c r="J90" s="342"/>
      <c r="K90" s="96"/>
    </row>
    <row r="91" spans="1:11" s="95" customFormat="1">
      <c r="B91" s="359"/>
      <c r="C91" s="359"/>
      <c r="D91" s="349"/>
      <c r="E91" s="96"/>
      <c r="F91" s="356"/>
      <c r="G91" s="342"/>
      <c r="H91" s="96"/>
      <c r="I91" s="342"/>
      <c r="J91" s="342"/>
      <c r="K91" s="96"/>
    </row>
    <row r="92" spans="1:11" s="588" customFormat="1">
      <c r="A92" s="593" t="s">
        <v>10</v>
      </c>
      <c r="B92" s="593" t="s">
        <v>2920</v>
      </c>
      <c r="C92" s="629"/>
      <c r="E92" s="630"/>
      <c r="F92" s="630"/>
    </row>
    <row r="93" spans="1:11">
      <c r="A93" s="9"/>
      <c r="B93" s="9"/>
    </row>
    <row r="94" spans="1:11">
      <c r="A94" s="9"/>
      <c r="B94" s="9" t="s">
        <v>97</v>
      </c>
    </row>
    <row r="95" spans="1:11">
      <c r="A95" s="9"/>
      <c r="B95" s="9"/>
    </row>
    <row r="96" spans="1:11">
      <c r="A96" s="9"/>
      <c r="B96" s="9"/>
      <c r="C96" s="344" t="s">
        <v>2917</v>
      </c>
    </row>
    <row r="97" spans="1:6">
      <c r="A97" s="9"/>
      <c r="B97" s="344" t="s">
        <v>125</v>
      </c>
      <c r="C97" s="344" t="s">
        <v>2873</v>
      </c>
      <c r="D97" s="344" t="s">
        <v>2975</v>
      </c>
      <c r="F97" s="344" t="s">
        <v>2911</v>
      </c>
    </row>
    <row r="98" spans="1:6">
      <c r="A98" s="9"/>
      <c r="B98" s="350" t="s">
        <v>2863</v>
      </c>
      <c r="C98" s="309">
        <f>SUMIFS($H$36:$H$42, $D$36:$D$42, B98)</f>
        <v>20.603773584905667</v>
      </c>
      <c r="D98" s="309">
        <f>SUMIFS($H$56:$H$63, $D$56:$D$63, B98)</f>
        <v>20.603773584905667</v>
      </c>
      <c r="F98" s="309">
        <f>SUMIFS($H$79:$H$85, $D$79:$D$85, B98)</f>
        <v>1.0566037735849061</v>
      </c>
    </row>
    <row r="99" spans="1:6">
      <c r="A99" s="9"/>
      <c r="B99" s="350" t="s">
        <v>2862</v>
      </c>
      <c r="C99" s="309">
        <f t="shared" ref="C99:C106" si="9">SUMIFS($H$36:$H$42, $D$36:$D$42, B99)</f>
        <v>41.207547169811335</v>
      </c>
      <c r="D99" s="309">
        <f t="shared" ref="D99:D106" si="10">SUMIFS($H$56:$H$63, $D$56:$D$63, B99)</f>
        <v>41.207547169811335</v>
      </c>
      <c r="F99" s="309">
        <f t="shared" ref="F99:F106" si="11">SUMIFS($H$79:$H$85, $D$79:$D$85, B99)</f>
        <v>2.1132075471698122</v>
      </c>
    </row>
    <row r="100" spans="1:6">
      <c r="A100" s="9"/>
      <c r="B100" s="350" t="s">
        <v>131</v>
      </c>
      <c r="C100" s="309">
        <f t="shared" si="9"/>
        <v>0</v>
      </c>
      <c r="D100" s="309">
        <f t="shared" si="10"/>
        <v>0</v>
      </c>
      <c r="F100" s="309">
        <f t="shared" si="11"/>
        <v>0</v>
      </c>
    </row>
    <row r="101" spans="1:6">
      <c r="A101" s="9"/>
      <c r="B101" s="350" t="s">
        <v>2869</v>
      </c>
      <c r="C101" s="309">
        <f t="shared" si="9"/>
        <v>20.603773584905667</v>
      </c>
      <c r="D101" s="309">
        <f t="shared" si="10"/>
        <v>0</v>
      </c>
      <c r="F101" s="309">
        <f t="shared" si="11"/>
        <v>0</v>
      </c>
    </row>
    <row r="102" spans="1:6">
      <c r="A102" s="9"/>
      <c r="B102" s="350" t="s">
        <v>2870</v>
      </c>
      <c r="C102" s="309">
        <f t="shared" si="9"/>
        <v>0</v>
      </c>
      <c r="D102" s="309">
        <f t="shared" si="10"/>
        <v>20.603773584905667</v>
      </c>
      <c r="F102" s="309">
        <f t="shared" si="11"/>
        <v>0</v>
      </c>
    </row>
    <row r="103" spans="1:6">
      <c r="A103" s="9"/>
      <c r="B103" s="350" t="s">
        <v>102</v>
      </c>
      <c r="C103" s="309">
        <f t="shared" si="9"/>
        <v>0</v>
      </c>
      <c r="D103" s="309">
        <f t="shared" si="10"/>
        <v>0</v>
      </c>
      <c r="F103" s="309">
        <f t="shared" si="11"/>
        <v>2.1132075471698122</v>
      </c>
    </row>
    <row r="104" spans="1:6">
      <c r="A104" s="9"/>
      <c r="B104" s="347" t="s">
        <v>2867</v>
      </c>
      <c r="C104" s="309">
        <f t="shared" si="9"/>
        <v>432.67924528301899</v>
      </c>
      <c r="D104" s="309">
        <f t="shared" si="10"/>
        <v>571.13660377358519</v>
      </c>
      <c r="F104" s="309">
        <f t="shared" si="11"/>
        <v>38.037735849056617</v>
      </c>
    </row>
    <row r="105" spans="1:6">
      <c r="A105" s="9"/>
      <c r="B105" s="347" t="s">
        <v>2868</v>
      </c>
      <c r="C105" s="309">
        <f t="shared" si="9"/>
        <v>164.83018867924534</v>
      </c>
      <c r="D105" s="309">
        <f t="shared" si="10"/>
        <v>248.06943396226424</v>
      </c>
      <c r="F105" s="309">
        <f t="shared" si="11"/>
        <v>25.358490566037744</v>
      </c>
    </row>
    <row r="106" spans="1:6">
      <c r="A106" s="9"/>
      <c r="B106" s="350" t="s">
        <v>2871</v>
      </c>
      <c r="C106" s="309">
        <f t="shared" si="9"/>
        <v>0</v>
      </c>
      <c r="D106" s="309">
        <f t="shared" si="10"/>
        <v>20.603773584905667</v>
      </c>
      <c r="F106" s="309">
        <f t="shared" si="11"/>
        <v>0</v>
      </c>
    </row>
    <row r="107" spans="1:6">
      <c r="A107" s="9"/>
      <c r="B107" s="9"/>
    </row>
    <row r="108" spans="1:6">
      <c r="A108" s="9"/>
      <c r="B108" s="9"/>
    </row>
    <row r="109" spans="1:6">
      <c r="A109" s="9"/>
      <c r="B109" s="9" t="s">
        <v>2797</v>
      </c>
    </row>
    <row r="110" spans="1:6">
      <c r="A110" s="9"/>
      <c r="B110" s="9"/>
    </row>
    <row r="111" spans="1:6">
      <c r="A111" s="9"/>
      <c r="B111" s="9"/>
      <c r="C111" s="344" t="s">
        <v>2917</v>
      </c>
    </row>
    <row r="112" spans="1:6">
      <c r="A112" s="9"/>
      <c r="B112" s="344" t="s">
        <v>125</v>
      </c>
      <c r="C112" s="344" t="s">
        <v>2873</v>
      </c>
      <c r="D112" s="344" t="s">
        <v>2975</v>
      </c>
      <c r="F112" s="344" t="s">
        <v>2911</v>
      </c>
    </row>
    <row r="113" spans="1:7">
      <c r="A113" s="9"/>
      <c r="B113" s="350" t="s">
        <v>2863</v>
      </c>
      <c r="C113" s="309">
        <f>SUMIFS($I$36:$I$42, $D$36:$D$42, B113)</f>
        <v>78</v>
      </c>
      <c r="D113" s="309">
        <f>SUMIFS($I$56:$I$63, $D$56:$D$63, B113)</f>
        <v>78</v>
      </c>
      <c r="F113" s="304">
        <v>0</v>
      </c>
    </row>
    <row r="114" spans="1:7">
      <c r="A114" s="9"/>
      <c r="B114" s="350" t="s">
        <v>2862</v>
      </c>
      <c r="C114" s="309">
        <f t="shared" ref="C114:C121" si="12">SUMIFS($I$36:$I$42, $D$36:$D$42, B114)</f>
        <v>156</v>
      </c>
      <c r="D114" s="309">
        <f t="shared" ref="D114:D121" si="13">SUMIFS($I$56:$I$63, $D$56:$D$63, B114)</f>
        <v>156</v>
      </c>
      <c r="F114" s="304">
        <v>0</v>
      </c>
    </row>
    <row r="115" spans="1:7">
      <c r="A115" s="9"/>
      <c r="B115" s="350" t="s">
        <v>131</v>
      </c>
      <c r="C115" s="309">
        <f t="shared" si="12"/>
        <v>0</v>
      </c>
      <c r="D115" s="309">
        <f t="shared" si="13"/>
        <v>0</v>
      </c>
      <c r="F115" s="304">
        <v>0</v>
      </c>
    </row>
    <row r="116" spans="1:7">
      <c r="A116" s="9"/>
      <c r="B116" s="350" t="s">
        <v>2869</v>
      </c>
      <c r="C116" s="309">
        <f t="shared" si="12"/>
        <v>78</v>
      </c>
      <c r="D116" s="309">
        <f t="shared" si="13"/>
        <v>0</v>
      </c>
      <c r="F116" s="304">
        <v>0</v>
      </c>
    </row>
    <row r="117" spans="1:7">
      <c r="A117" s="9"/>
      <c r="B117" s="350" t="s">
        <v>2870</v>
      </c>
      <c r="C117" s="309">
        <f t="shared" si="12"/>
        <v>0</v>
      </c>
      <c r="D117" s="309">
        <f t="shared" si="13"/>
        <v>78</v>
      </c>
      <c r="F117" s="304">
        <v>0</v>
      </c>
    </row>
    <row r="118" spans="1:7">
      <c r="A118" s="9"/>
      <c r="B118" s="350" t="s">
        <v>102</v>
      </c>
      <c r="C118" s="309">
        <f t="shared" si="12"/>
        <v>0</v>
      </c>
      <c r="D118" s="309">
        <f t="shared" si="13"/>
        <v>0</v>
      </c>
      <c r="F118" s="304">
        <v>0</v>
      </c>
    </row>
    <row r="119" spans="1:7">
      <c r="A119" s="9"/>
      <c r="B119" s="347" t="s">
        <v>2867</v>
      </c>
      <c r="C119" s="309">
        <f t="shared" si="12"/>
        <v>1638</v>
      </c>
      <c r="D119" s="309">
        <f t="shared" si="13"/>
        <v>2162.16</v>
      </c>
      <c r="F119" s="304">
        <v>0</v>
      </c>
    </row>
    <row r="120" spans="1:7">
      <c r="A120" s="9"/>
      <c r="B120" s="347" t="s">
        <v>2868</v>
      </c>
      <c r="C120" s="309">
        <f t="shared" si="12"/>
        <v>624</v>
      </c>
      <c r="D120" s="309">
        <f t="shared" si="13"/>
        <v>939.12</v>
      </c>
      <c r="F120" s="304">
        <v>0</v>
      </c>
    </row>
    <row r="121" spans="1:7">
      <c r="A121" s="9"/>
      <c r="B121" s="350" t="s">
        <v>2871</v>
      </c>
      <c r="C121" s="309">
        <f t="shared" si="12"/>
        <v>0</v>
      </c>
      <c r="D121" s="309">
        <f t="shared" si="13"/>
        <v>78</v>
      </c>
      <c r="F121" s="304">
        <v>0</v>
      </c>
      <c r="G121" s="406" t="s">
        <v>2910</v>
      </c>
    </row>
    <row r="122" spans="1:7">
      <c r="A122" s="9"/>
      <c r="B122" s="9"/>
      <c r="C122" s="312" t="b">
        <f>SUM(C113:C121,C98:C106)=SUM(H36:I42)</f>
        <v>1</v>
      </c>
      <c r="D122" s="312" t="b">
        <f>SUM(D113:D121,D98:D106)=SUM(H56:I63)</f>
        <v>1</v>
      </c>
      <c r="F122" s="312" t="b">
        <f>SUM(F113:F121,F98:F106)=SUM(H79:H85)</f>
        <v>1</v>
      </c>
    </row>
    <row r="123" spans="1:7">
      <c r="A123" s="9"/>
      <c r="B123" s="9"/>
      <c r="D123" s="285"/>
      <c r="F123" s="312"/>
    </row>
    <row r="124" spans="1:7">
      <c r="A124" s="9"/>
      <c r="B124" s="9"/>
      <c r="C124" s="312"/>
      <c r="D124" s="312"/>
      <c r="E124" s="312"/>
    </row>
    <row r="125" spans="1:7" s="588" customFormat="1" ht="18.5">
      <c r="A125" s="587" t="s">
        <v>2923</v>
      </c>
      <c r="C125" s="629"/>
      <c r="E125" s="630"/>
      <c r="F125" s="630"/>
    </row>
    <row r="126" spans="1:7" ht="18.5">
      <c r="A126" s="31"/>
    </row>
    <row r="127" spans="1:7">
      <c r="A127" s="9"/>
      <c r="B127" s="9"/>
      <c r="E127" s="312"/>
    </row>
    <row r="128" spans="1:7">
      <c r="A128" s="9" t="s">
        <v>10</v>
      </c>
      <c r="B128" s="9" t="s">
        <v>2875</v>
      </c>
      <c r="E128" s="312"/>
    </row>
    <row r="129" spans="1:6">
      <c r="A129" s="9"/>
      <c r="B129" s="420" t="s">
        <v>2974</v>
      </c>
      <c r="E129" s="312"/>
    </row>
    <row r="130" spans="1:6">
      <c r="A130" s="9"/>
      <c r="B130" s="307" t="s">
        <v>2914</v>
      </c>
      <c r="C130" s="307" t="s">
        <v>2794</v>
      </c>
      <c r="E130"/>
      <c r="F130"/>
    </row>
    <row r="131" spans="1:6">
      <c r="A131" s="9"/>
      <c r="B131" s="350" t="s">
        <v>2873</v>
      </c>
      <c r="C131" s="306">
        <f>'Control Assumptions'!C162</f>
        <v>0.63834196891191719</v>
      </c>
      <c r="E131"/>
      <c r="F131"/>
    </row>
    <row r="132" spans="1:6">
      <c r="A132" s="9"/>
      <c r="B132" s="350" t="s">
        <v>2975</v>
      </c>
      <c r="C132" s="306">
        <f>'Control Assumptions'!C163</f>
        <v>0.36165803108808287</v>
      </c>
      <c r="E132"/>
      <c r="F132"/>
    </row>
    <row r="133" spans="1:6">
      <c r="A133" s="9"/>
      <c r="B133" s="9"/>
      <c r="C133" s="311" t="b">
        <f>SUM(C131:C132)=1</f>
        <v>1</v>
      </c>
      <c r="E133" s="312"/>
    </row>
    <row r="134" spans="1:6">
      <c r="A134" s="9"/>
      <c r="B134" s="9"/>
      <c r="C134" s="311"/>
      <c r="E134" s="312"/>
    </row>
    <row r="135" spans="1:6">
      <c r="A135" s="9"/>
      <c r="B135" s="9" t="s">
        <v>2915</v>
      </c>
      <c r="C135" s="311"/>
      <c r="E135" s="312"/>
    </row>
    <row r="136" spans="1:6">
      <c r="A136" s="9"/>
      <c r="B136" s="307" t="s">
        <v>2914</v>
      </c>
      <c r="C136" s="307" t="s">
        <v>120</v>
      </c>
      <c r="E136" s="312"/>
    </row>
    <row r="137" spans="1:6">
      <c r="A137" s="9"/>
      <c r="B137" s="350" t="s">
        <v>2913</v>
      </c>
      <c r="C137" s="440">
        <v>0</v>
      </c>
      <c r="E137" s="312"/>
    </row>
    <row r="138" spans="1:6">
      <c r="A138" s="9"/>
      <c r="B138" s="350" t="s">
        <v>2975</v>
      </c>
      <c r="C138" s="306">
        <f>'Control Assumptions'!$C$219</f>
        <v>0.1</v>
      </c>
      <c r="E138" s="414"/>
    </row>
    <row r="139" spans="1:6">
      <c r="A139" s="9"/>
      <c r="B139" s="9"/>
      <c r="C139" s="9"/>
      <c r="D139" s="9"/>
      <c r="E139" s="9"/>
    </row>
    <row r="140" spans="1:6">
      <c r="A140" s="9"/>
      <c r="B140" s="9"/>
      <c r="C140" s="9"/>
      <c r="E140" s="312"/>
    </row>
    <row r="141" spans="1:6" ht="29">
      <c r="A141" s="9"/>
      <c r="B141" s="415" t="s">
        <v>2940</v>
      </c>
      <c r="C141" s="306">
        <f>SUMPRODUCT(C137:C138,C131:C132)</f>
        <v>3.6165803108808285E-2</v>
      </c>
      <c r="E141" s="312"/>
    </row>
    <row r="142" spans="1:6">
      <c r="A142" s="9"/>
      <c r="B142" s="364"/>
      <c r="C142" s="401"/>
      <c r="E142" s="312"/>
    </row>
    <row r="143" spans="1:6">
      <c r="A143" s="9"/>
      <c r="B143" s="9"/>
      <c r="C143" s="9"/>
      <c r="D143" s="9"/>
      <c r="E143" s="9"/>
    </row>
    <row r="144" spans="1:6">
      <c r="A144" s="9"/>
      <c r="B144" s="347" t="s">
        <v>2921</v>
      </c>
      <c r="C144" s="405">
        <f>Epidemiology!C120</f>
        <v>0.47499999999999998</v>
      </c>
      <c r="D144" s="9"/>
      <c r="E144" s="9"/>
    </row>
    <row r="145" spans="1:10">
      <c r="A145" s="9"/>
      <c r="B145" s="6" t="s">
        <v>4</v>
      </c>
      <c r="C145" s="215">
        <f>Epidemiology!C102</f>
        <v>0.42</v>
      </c>
      <c r="E145" s="9"/>
    </row>
    <row r="146" spans="1:10">
      <c r="A146" s="9"/>
      <c r="B146" s="9"/>
      <c r="E146" s="9"/>
    </row>
    <row r="147" spans="1:10" ht="19.25" customHeight="1">
      <c r="A147" s="9" t="s">
        <v>10</v>
      </c>
      <c r="B147" s="9" t="s">
        <v>2879</v>
      </c>
      <c r="C147"/>
      <c r="E147" s="312"/>
    </row>
    <row r="148" spans="1:10" ht="19.25" customHeight="1">
      <c r="A148" s="9"/>
      <c r="B148" s="9"/>
      <c r="C148"/>
      <c r="E148" s="312"/>
    </row>
    <row r="149" spans="1:10" ht="19.25" customHeight="1">
      <c r="A149" s="9"/>
      <c r="B149" s="9"/>
      <c r="C149" s="404" t="s">
        <v>2917</v>
      </c>
      <c r="D149" s="404"/>
      <c r="E149" s="312"/>
      <c r="F149" s="344" t="s">
        <v>2919</v>
      </c>
      <c r="G149" s="344"/>
      <c r="I149" s="403" t="s">
        <v>2918</v>
      </c>
      <c r="J149" s="403"/>
    </row>
    <row r="150" spans="1:10">
      <c r="A150" s="9"/>
      <c r="B150" s="344" t="s">
        <v>125</v>
      </c>
      <c r="C150" s="404" t="s">
        <v>97</v>
      </c>
      <c r="D150" s="404" t="s">
        <v>2874</v>
      </c>
      <c r="E150" s="312"/>
      <c r="F150" s="344" t="s">
        <v>97</v>
      </c>
      <c r="G150" s="344" t="s">
        <v>98</v>
      </c>
      <c r="I150" s="403" t="s">
        <v>97</v>
      </c>
      <c r="J150" s="403" t="s">
        <v>98</v>
      </c>
    </row>
    <row r="151" spans="1:10">
      <c r="A151" s="9"/>
      <c r="B151" s="350" t="s">
        <v>2863</v>
      </c>
      <c r="C151" s="368">
        <f t="array" ref="C151">SUMPRODUCT(TRANSPOSE($C$131:$C$132),C98:D98)</f>
        <v>20.603773584905667</v>
      </c>
      <c r="D151" s="368">
        <f t="array" ref="D151">SUMPRODUCT(TRANSPOSE($C$131:$C$132),C113:D113)</f>
        <v>78</v>
      </c>
      <c r="E151" s="312"/>
      <c r="F151" s="368">
        <f t="shared" ref="F151:F159" si="14">$C$141*F98*(1-$C$144)</f>
        <v>2.0061785120735171E-2</v>
      </c>
      <c r="G151" s="368">
        <f>$C$141*F113*(1-$C$144)</f>
        <v>0</v>
      </c>
      <c r="I151" s="367">
        <f>C151+F151</f>
        <v>20.623835370026402</v>
      </c>
      <c r="J151" s="367">
        <f>D151+G151</f>
        <v>78</v>
      </c>
    </row>
    <row r="152" spans="1:10">
      <c r="A152" s="9"/>
      <c r="B152" s="350" t="s">
        <v>2862</v>
      </c>
      <c r="C152" s="368">
        <f t="array" ref="C152">SUMPRODUCT(TRANSPOSE($C$131:$C$132),C99:D99)</f>
        <v>41.207547169811335</v>
      </c>
      <c r="D152" s="368">
        <f t="array" ref="D152">SUMPRODUCT(TRANSPOSE($C$131:$C$132),C114:D114)</f>
        <v>156</v>
      </c>
      <c r="E152" s="312"/>
      <c r="F152" s="368">
        <f t="shared" si="14"/>
        <v>4.0123570241470341E-2</v>
      </c>
      <c r="G152" s="368">
        <f t="shared" ref="G152:G159" si="15">$C$141*F114*(1-$C$144)</f>
        <v>0</v>
      </c>
      <c r="I152" s="367">
        <f t="shared" ref="I152:J159" si="16">C152+F152</f>
        <v>41.247670740052804</v>
      </c>
      <c r="J152" s="367">
        <f t="shared" si="16"/>
        <v>156</v>
      </c>
    </row>
    <row r="153" spans="1:10">
      <c r="A153" s="9"/>
      <c r="B153" s="350" t="s">
        <v>131</v>
      </c>
      <c r="C153" s="368">
        <f t="array" ref="C153">SUMPRODUCT(TRANSPOSE($C$131:$C$132),C100:D100)</f>
        <v>0</v>
      </c>
      <c r="D153" s="368">
        <f t="array" ref="D153">SUMPRODUCT(TRANSPOSE($C$131:$C$132),C115:D115)</f>
        <v>0</v>
      </c>
      <c r="E153" s="312"/>
      <c r="F153" s="368">
        <f t="shared" si="14"/>
        <v>0</v>
      </c>
      <c r="G153" s="368">
        <f t="shared" si="15"/>
        <v>0</v>
      </c>
      <c r="I153" s="367">
        <f t="shared" si="16"/>
        <v>0</v>
      </c>
      <c r="J153" s="367">
        <f t="shared" si="16"/>
        <v>0</v>
      </c>
    </row>
    <row r="154" spans="1:10">
      <c r="A154" s="9"/>
      <c r="B154" s="350" t="s">
        <v>2869</v>
      </c>
      <c r="C154" s="368">
        <f t="array" ref="C154">SUMPRODUCT(TRANSPOSE($C$131:$C$132),C101:D101)</f>
        <v>13.152253397204035</v>
      </c>
      <c r="D154" s="368">
        <f t="array" ref="D154">SUMPRODUCT(TRANSPOSE($C$131:$C$132),C116:D116)</f>
        <v>49.790673575129539</v>
      </c>
      <c r="E154" s="312"/>
      <c r="F154" s="368">
        <f t="shared" si="14"/>
        <v>0</v>
      </c>
      <c r="G154" s="368">
        <f t="shared" si="15"/>
        <v>0</v>
      </c>
      <c r="I154" s="367">
        <f t="shared" si="16"/>
        <v>13.152253397204035</v>
      </c>
      <c r="J154" s="367">
        <f t="shared" si="16"/>
        <v>49.790673575129539</v>
      </c>
    </row>
    <row r="155" spans="1:10">
      <c r="A155" s="9"/>
      <c r="B155" s="350" t="s">
        <v>2870</v>
      </c>
      <c r="C155" s="368">
        <f t="array" ref="C155">SUMPRODUCT(TRANSPOSE($C$131:$C$132),C102:D102)</f>
        <v>7.4515201877016342</v>
      </c>
      <c r="D155" s="368">
        <f t="array" ref="D155">SUMPRODUCT(TRANSPOSE($C$131:$C$132),C117:D117)</f>
        <v>28.209326424870465</v>
      </c>
      <c r="E155" s="312"/>
      <c r="F155" s="368">
        <f t="shared" si="14"/>
        <v>0</v>
      </c>
      <c r="G155" s="368">
        <f t="shared" si="15"/>
        <v>0</v>
      </c>
      <c r="I155" s="367">
        <f t="shared" si="16"/>
        <v>7.4515201877016342</v>
      </c>
      <c r="J155" s="367">
        <f t="shared" si="16"/>
        <v>28.209326424870465</v>
      </c>
    </row>
    <row r="156" spans="1:10">
      <c r="A156" s="9"/>
      <c r="B156" s="350" t="s">
        <v>102</v>
      </c>
      <c r="C156" s="368">
        <f t="array" ref="C156">SUMPRODUCT(TRANSPOSE($C$131:$C$132),C103:D103)</f>
        <v>0</v>
      </c>
      <c r="D156" s="368">
        <f t="array" ref="D156">SUMPRODUCT(TRANSPOSE($C$131:$C$132),C118:D118)</f>
        <v>0</v>
      </c>
      <c r="E156" s="312"/>
      <c r="F156" s="368">
        <f t="shared" si="14"/>
        <v>4.0123570241470341E-2</v>
      </c>
      <c r="G156" s="368">
        <f t="shared" si="15"/>
        <v>0</v>
      </c>
      <c r="I156" s="367">
        <f t="shared" si="16"/>
        <v>4.0123570241470341E-2</v>
      </c>
      <c r="J156" s="367">
        <f t="shared" si="16"/>
        <v>0</v>
      </c>
    </row>
    <row r="157" spans="1:10">
      <c r="A157" s="9"/>
      <c r="B157" s="6" t="s">
        <v>2831</v>
      </c>
      <c r="C157" s="368">
        <f t="array" ref="C157">SUMPRODUCT(TRANSPOSE($C$131:$C$132),C104:D104)</f>
        <v>482.75346094437407</v>
      </c>
      <c r="D157" s="368">
        <f t="array" ref="D157">SUMPRODUCT(TRANSPOSE($C$131:$C$132),C119:D119)</f>
        <v>1827.5666735751297</v>
      </c>
      <c r="E157" s="312"/>
      <c r="F157" s="368">
        <f t="shared" si="14"/>
        <v>0.72222426434646614</v>
      </c>
      <c r="G157" s="368">
        <f t="shared" si="15"/>
        <v>0</v>
      </c>
      <c r="I157" s="367">
        <f t="shared" si="16"/>
        <v>483.47568520872056</v>
      </c>
      <c r="J157" s="367">
        <f t="shared" si="16"/>
        <v>1827.5666735751297</v>
      </c>
    </row>
    <row r="158" spans="1:10">
      <c r="A158" s="9"/>
      <c r="B158" s="6" t="s">
        <v>2832</v>
      </c>
      <c r="C158" s="368">
        <f t="array" ref="C158">SUMPRODUCT(TRANSPOSE($C$131:$C$132),C105:D105)</f>
        <v>194.93433023755995</v>
      </c>
      <c r="D158" s="368">
        <f t="array" ref="D158">SUMPRODUCT(TRANSPOSE($C$131:$C$132),C120:D120)</f>
        <v>737.96567875647668</v>
      </c>
      <c r="E158" s="312"/>
      <c r="F158" s="368">
        <f t="shared" si="14"/>
        <v>0.48148284289764409</v>
      </c>
      <c r="G158" s="368">
        <f t="shared" si="15"/>
        <v>0</v>
      </c>
      <c r="I158" s="367">
        <f t="shared" si="16"/>
        <v>195.41581308045758</v>
      </c>
      <c r="J158" s="367">
        <f t="shared" si="16"/>
        <v>737.96567875647668</v>
      </c>
    </row>
    <row r="159" spans="1:10">
      <c r="A159" s="9"/>
      <c r="B159" s="350" t="s">
        <v>2871</v>
      </c>
      <c r="C159" s="368">
        <f t="array" ref="C159">SUMPRODUCT(TRANSPOSE($C$131:$C$132),C106:D106)</f>
        <v>7.4515201877016342</v>
      </c>
      <c r="D159" s="368">
        <f t="array" ref="D159">SUMPRODUCT(TRANSPOSE($C$131:$C$132),C121:D121)</f>
        <v>28.209326424870465</v>
      </c>
      <c r="E159" s="312"/>
      <c r="F159" s="368">
        <f t="shared" si="14"/>
        <v>0</v>
      </c>
      <c r="G159" s="368">
        <f t="shared" si="15"/>
        <v>0</v>
      </c>
      <c r="I159" s="367">
        <f t="shared" si="16"/>
        <v>7.4515201877016342</v>
      </c>
      <c r="J159" s="367">
        <f t="shared" si="16"/>
        <v>28.209326424870465</v>
      </c>
    </row>
    <row r="160" spans="1:10">
      <c r="A160" s="9"/>
      <c r="B160" s="364"/>
      <c r="C160" s="342"/>
      <c r="D160" s="342"/>
      <c r="E160" s="312"/>
      <c r="F160" s="406" t="s">
        <v>2924</v>
      </c>
    </row>
    <row r="161" spans="1:6">
      <c r="A161" s="9"/>
      <c r="B161" s="9"/>
      <c r="C161" s="9"/>
      <c r="D161" s="9"/>
      <c r="E161" s="312"/>
    </row>
    <row r="162" spans="1:6">
      <c r="C162"/>
      <c r="E162"/>
      <c r="F162"/>
    </row>
    <row r="163" spans="1:6">
      <c r="C163"/>
      <c r="E163"/>
      <c r="F163"/>
    </row>
    <row r="164" spans="1:6">
      <c r="C164"/>
      <c r="E164"/>
      <c r="F164"/>
    </row>
    <row r="165" spans="1:6">
      <c r="C165"/>
      <c r="E165"/>
      <c r="F165"/>
    </row>
    <row r="166" spans="1:6">
      <c r="C166"/>
      <c r="E166"/>
      <c r="F166"/>
    </row>
    <row r="167" spans="1:6">
      <c r="C167"/>
      <c r="E167"/>
      <c r="F167"/>
    </row>
    <row r="168" spans="1:6">
      <c r="C168"/>
      <c r="E168"/>
      <c r="F168"/>
    </row>
    <row r="169" spans="1:6">
      <c r="C169"/>
      <c r="E169"/>
      <c r="F169"/>
    </row>
  </sheetData>
  <phoneticPr fontId="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4" tint="0.39997558519241921"/>
  </sheetPr>
  <dimension ref="A1:W189"/>
  <sheetViews>
    <sheetView showGridLines="0" workbookViewId="0"/>
  </sheetViews>
  <sheetFormatPr defaultRowHeight="14.5"/>
  <cols>
    <col min="2" max="2" width="39.6328125" customWidth="1"/>
    <col min="3" max="3" width="16" style="285" customWidth="1"/>
    <col min="4" max="4" width="12.36328125" customWidth="1"/>
    <col min="5" max="5" width="14.54296875" style="286" customWidth="1"/>
    <col min="6" max="6" width="15.36328125" style="286" customWidth="1"/>
    <col min="7" max="7" width="13.36328125" customWidth="1"/>
    <col min="8" max="8" width="12.54296875" customWidth="1"/>
    <col min="9" max="10" width="12.36328125" customWidth="1"/>
    <col min="11" max="11" width="13.90625" bestFit="1" customWidth="1"/>
    <col min="12" max="13" width="9.453125" bestFit="1" customWidth="1"/>
    <col min="14" max="14" width="14.54296875" customWidth="1"/>
    <col min="15" max="15" width="14.36328125" customWidth="1"/>
  </cols>
  <sheetData>
    <row r="1" spans="1:19" s="588" customFormat="1" ht="18.5">
      <c r="A1" s="587" t="s">
        <v>3523</v>
      </c>
    </row>
    <row r="2" spans="1:19" s="588" customFormat="1">
      <c r="A2" s="588" t="s">
        <v>3524</v>
      </c>
    </row>
    <row r="3" spans="1:19" s="588" customFormat="1">
      <c r="A3" s="588" t="s">
        <v>3525</v>
      </c>
    </row>
    <row r="4" spans="1:19" s="781" customFormat="1"/>
    <row r="5" spans="1:19">
      <c r="A5" s="9" t="s">
        <v>2959</v>
      </c>
    </row>
    <row r="6" spans="1:19">
      <c r="C6"/>
    </row>
    <row r="8" spans="1:19">
      <c r="A8" s="9" t="s">
        <v>10</v>
      </c>
      <c r="B8" s="9" t="s">
        <v>36</v>
      </c>
    </row>
    <row r="9" spans="1:19">
      <c r="B9" s="29" t="s">
        <v>2788</v>
      </c>
    </row>
    <row r="11" spans="1:19" s="793" customFormat="1">
      <c r="B11" s="794" t="s">
        <v>4</v>
      </c>
      <c r="C11" s="792" t="s">
        <v>2765</v>
      </c>
      <c r="D11" s="792" t="s">
        <v>3556</v>
      </c>
      <c r="E11" s="792" t="s">
        <v>3557</v>
      </c>
      <c r="F11" s="792" t="s">
        <v>2761</v>
      </c>
      <c r="G11" s="792" t="s">
        <v>3558</v>
      </c>
      <c r="H11" s="792" t="s">
        <v>3559</v>
      </c>
      <c r="I11" s="792" t="s">
        <v>2762</v>
      </c>
      <c r="J11" s="792" t="s">
        <v>3560</v>
      </c>
      <c r="K11" s="792" t="s">
        <v>3561</v>
      </c>
      <c r="L11" s="792" t="s">
        <v>2763</v>
      </c>
      <c r="M11" s="792" t="s">
        <v>3562</v>
      </c>
      <c r="N11" s="792" t="s">
        <v>3563</v>
      </c>
      <c r="O11" s="792" t="s">
        <v>2764</v>
      </c>
    </row>
    <row r="12" spans="1:19">
      <c r="B12" s="166" t="s">
        <v>36</v>
      </c>
      <c r="C12" s="291">
        <v>0</v>
      </c>
      <c r="D12" s="291">
        <v>0.28999999999999998</v>
      </c>
      <c r="E12" s="291">
        <v>0.31</v>
      </c>
      <c r="F12" s="291">
        <v>0.36</v>
      </c>
      <c r="G12" s="291">
        <v>0.39</v>
      </c>
      <c r="H12" s="291">
        <v>0.42</v>
      </c>
      <c r="I12" s="292">
        <v>0.44</v>
      </c>
      <c r="J12" s="292">
        <v>0.46</v>
      </c>
      <c r="K12" s="292">
        <v>0.48</v>
      </c>
      <c r="L12" s="292">
        <v>0.5</v>
      </c>
      <c r="M12" s="292">
        <v>0.51</v>
      </c>
      <c r="N12" s="292">
        <v>0.52</v>
      </c>
      <c r="O12" s="292">
        <v>0.53</v>
      </c>
      <c r="P12" s="310" t="s">
        <v>2489</v>
      </c>
    </row>
    <row r="13" spans="1:19" ht="29">
      <c r="B13" s="166" t="s">
        <v>2766</v>
      </c>
      <c r="C13" s="293">
        <f>C12/$O$12</f>
        <v>0</v>
      </c>
      <c r="D13" s="293">
        <f t="shared" ref="D13:O13" si="0">D12/$O$12</f>
        <v>0.54716981132075471</v>
      </c>
      <c r="E13" s="293">
        <f t="shared" si="0"/>
        <v>0.58490566037735847</v>
      </c>
      <c r="F13" s="293">
        <f t="shared" si="0"/>
        <v>0.67924528301886788</v>
      </c>
      <c r="G13" s="293">
        <f t="shared" si="0"/>
        <v>0.73584905660377353</v>
      </c>
      <c r="H13" s="293">
        <f t="shared" si="0"/>
        <v>0.79245283018867918</v>
      </c>
      <c r="I13" s="293">
        <f t="shared" si="0"/>
        <v>0.83018867924528295</v>
      </c>
      <c r="J13" s="293">
        <f t="shared" si="0"/>
        <v>0.86792452830188682</v>
      </c>
      <c r="K13" s="293">
        <f t="shared" si="0"/>
        <v>0.90566037735849048</v>
      </c>
      <c r="L13" s="293">
        <f t="shared" si="0"/>
        <v>0.94339622641509424</v>
      </c>
      <c r="M13" s="293">
        <f t="shared" si="0"/>
        <v>0.96226415094339623</v>
      </c>
      <c r="N13" s="293">
        <f t="shared" si="0"/>
        <v>0.98113207547169812</v>
      </c>
      <c r="O13" s="293">
        <f t="shared" si="0"/>
        <v>1</v>
      </c>
    </row>
    <row r="14" spans="1:19" ht="29">
      <c r="B14" s="166" t="s">
        <v>2767</v>
      </c>
      <c r="C14" s="293">
        <f>1-C13</f>
        <v>1</v>
      </c>
      <c r="D14" s="293">
        <f t="shared" ref="D14:O14" si="1">1-D13</f>
        <v>0.45283018867924529</v>
      </c>
      <c r="E14" s="293">
        <f t="shared" si="1"/>
        <v>0.41509433962264153</v>
      </c>
      <c r="F14" s="293">
        <f t="shared" si="1"/>
        <v>0.32075471698113212</v>
      </c>
      <c r="G14" s="293">
        <f t="shared" si="1"/>
        <v>0.26415094339622647</v>
      </c>
      <c r="H14" s="293">
        <f t="shared" si="1"/>
        <v>0.20754716981132082</v>
      </c>
      <c r="I14" s="293">
        <f t="shared" si="1"/>
        <v>0.16981132075471705</v>
      </c>
      <c r="J14" s="293">
        <f t="shared" si="1"/>
        <v>0.13207547169811318</v>
      </c>
      <c r="K14" s="293">
        <f t="shared" si="1"/>
        <v>9.4339622641509524E-2</v>
      </c>
      <c r="L14" s="293">
        <f t="shared" si="1"/>
        <v>5.6603773584905759E-2</v>
      </c>
      <c r="M14" s="293">
        <f t="shared" si="1"/>
        <v>3.7735849056603765E-2</v>
      </c>
      <c r="N14" s="293">
        <f t="shared" si="1"/>
        <v>1.8867924528301883E-2</v>
      </c>
      <c r="O14" s="293">
        <f t="shared" si="1"/>
        <v>0</v>
      </c>
    </row>
    <row r="15" spans="1:19">
      <c r="B15" s="166" t="s">
        <v>2768</v>
      </c>
      <c r="C15" s="293">
        <v>1</v>
      </c>
      <c r="D15" s="293">
        <v>1</v>
      </c>
      <c r="E15" s="293">
        <v>1</v>
      </c>
      <c r="F15" s="293">
        <v>1</v>
      </c>
      <c r="G15" s="293">
        <v>1</v>
      </c>
      <c r="H15" s="293">
        <v>1</v>
      </c>
      <c r="I15" s="293">
        <v>1</v>
      </c>
      <c r="J15" s="293">
        <v>1</v>
      </c>
      <c r="K15" s="293">
        <v>1</v>
      </c>
      <c r="L15" s="293">
        <v>1</v>
      </c>
      <c r="M15" s="293">
        <v>1</v>
      </c>
      <c r="N15" s="293">
        <v>1</v>
      </c>
      <c r="O15" s="293">
        <v>1</v>
      </c>
      <c r="R15" s="96"/>
      <c r="S15" s="60"/>
    </row>
    <row r="16" spans="1:19">
      <c r="B16" s="52"/>
      <c r="C16" s="419"/>
      <c r="D16" s="419"/>
      <c r="E16" s="419"/>
      <c r="F16" s="419"/>
      <c r="G16" s="419"/>
      <c r="H16" s="419"/>
      <c r="I16" s="419"/>
      <c r="J16" s="419"/>
      <c r="K16" s="419"/>
      <c r="L16" s="419"/>
      <c r="M16" s="419"/>
      <c r="N16" s="419"/>
      <c r="O16" s="419"/>
      <c r="R16" s="96"/>
    </row>
    <row r="17" spans="1:12">
      <c r="B17" s="52"/>
      <c r="C17" s="419"/>
      <c r="D17" s="419"/>
      <c r="E17" s="419"/>
      <c r="F17" s="419"/>
      <c r="G17" s="419"/>
      <c r="H17" s="419"/>
      <c r="I17" s="419"/>
      <c r="J17" s="419"/>
      <c r="K17" s="419"/>
    </row>
    <row r="18" spans="1:12">
      <c r="G18" s="48"/>
    </row>
    <row r="19" spans="1:12">
      <c r="B19" s="113" t="s">
        <v>3003</v>
      </c>
      <c r="C19" s="419"/>
      <c r="D19" s="419"/>
      <c r="G19" s="48"/>
      <c r="K19" s="9"/>
      <c r="L19" s="9"/>
    </row>
    <row r="20" spans="1:12">
      <c r="B20" s="113"/>
      <c r="C20" s="419"/>
      <c r="D20" s="419"/>
      <c r="G20" s="48"/>
      <c r="H20" s="60"/>
      <c r="I20" s="60"/>
      <c r="K20" s="9"/>
      <c r="L20" s="9"/>
    </row>
    <row r="21" spans="1:12" ht="29">
      <c r="B21" s="84" t="s">
        <v>2998</v>
      </c>
      <c r="C21" s="476" t="s">
        <v>3264</v>
      </c>
      <c r="D21" s="34" t="s">
        <v>3263</v>
      </c>
      <c r="G21" s="48"/>
      <c r="H21" s="60"/>
      <c r="I21" s="60"/>
      <c r="K21" s="9"/>
      <c r="L21" s="9"/>
    </row>
    <row r="22" spans="1:12">
      <c r="B22" s="433" t="s">
        <v>2999</v>
      </c>
      <c r="C22" s="434">
        <f>'Control Assumptions'!C119</f>
        <v>0.6</v>
      </c>
      <c r="D22" s="581"/>
      <c r="G22" s="48"/>
      <c r="K22" s="787"/>
      <c r="L22" s="9"/>
    </row>
    <row r="23" spans="1:12">
      <c r="B23" s="433" t="s">
        <v>3000</v>
      </c>
      <c r="C23" s="434">
        <f>'Control Assumptions'!C120</f>
        <v>0</v>
      </c>
      <c r="D23" s="434">
        <f>1-D24</f>
        <v>0.6</v>
      </c>
    </row>
    <row r="24" spans="1:12">
      <c r="B24" s="433" t="s">
        <v>105</v>
      </c>
      <c r="C24" s="434">
        <f>'Control Assumptions'!C121</f>
        <v>0.4</v>
      </c>
      <c r="D24" s="434">
        <f>C24/SUM($C$22:$C$24)</f>
        <v>0.4</v>
      </c>
    </row>
    <row r="25" spans="1:12">
      <c r="B25" s="435"/>
      <c r="C25" s="436"/>
      <c r="D25" s="436" t="b">
        <f>SUM(D22:D24)=1</f>
        <v>1</v>
      </c>
      <c r="G25" s="48"/>
    </row>
    <row r="26" spans="1:12">
      <c r="B26" s="435"/>
      <c r="C26" s="436"/>
      <c r="D26" s="436"/>
    </row>
    <row r="27" spans="1:12" s="588" customFormat="1">
      <c r="A27" s="588" t="s">
        <v>10</v>
      </c>
      <c r="B27" s="593" t="s">
        <v>2770</v>
      </c>
      <c r="C27" s="637"/>
      <c r="D27" s="638"/>
      <c r="E27" s="630"/>
      <c r="F27" s="630"/>
    </row>
    <row r="28" spans="1:12">
      <c r="B28" s="29" t="s">
        <v>2771</v>
      </c>
      <c r="C28" s="287"/>
      <c r="D28" s="289"/>
    </row>
    <row r="29" spans="1:12">
      <c r="B29" s="29" t="s">
        <v>2893</v>
      </c>
      <c r="C29" s="287"/>
      <c r="D29" s="289"/>
    </row>
    <row r="30" spans="1:12">
      <c r="B30" s="9"/>
      <c r="C30" s="287"/>
      <c r="F30" s="290"/>
    </row>
    <row r="31" spans="1:12">
      <c r="B31" s="166" t="s">
        <v>2835</v>
      </c>
      <c r="C31" s="304">
        <v>1.5</v>
      </c>
      <c r="F31" s="290"/>
      <c r="L31" s="54"/>
    </row>
    <row r="32" spans="1:12">
      <c r="B32" s="166" t="s">
        <v>2789</v>
      </c>
      <c r="C32" s="87">
        <f>'To-be clinical improvements'!C223</f>
        <v>0.31773915413277698</v>
      </c>
      <c r="D32" s="310" t="s">
        <v>2618</v>
      </c>
      <c r="F32" s="290"/>
      <c r="L32" s="54"/>
    </row>
    <row r="33" spans="1:23">
      <c r="B33" s="52"/>
      <c r="C33" s="52"/>
      <c r="F33" s="290"/>
      <c r="L33" s="54"/>
    </row>
    <row r="34" spans="1:23">
      <c r="C34"/>
      <c r="E34" s="290"/>
      <c r="F34"/>
      <c r="H34" s="345" t="s">
        <v>2892</v>
      </c>
      <c r="I34" s="7"/>
    </row>
    <row r="35" spans="1:23" s="346" customFormat="1">
      <c r="B35" s="344" t="s">
        <v>2772</v>
      </c>
      <c r="C35" s="345" t="s">
        <v>2833</v>
      </c>
      <c r="E35" s="345" t="s">
        <v>2795</v>
      </c>
      <c r="F35" s="345" t="s">
        <v>2796</v>
      </c>
      <c r="H35" s="345" t="s">
        <v>97</v>
      </c>
      <c r="I35" s="345" t="s">
        <v>2797</v>
      </c>
      <c r="K35"/>
    </row>
    <row r="36" spans="1:23" s="96" customFormat="1">
      <c r="B36" s="347" t="s">
        <v>2863</v>
      </c>
      <c r="C36" s="348">
        <v>1</v>
      </c>
      <c r="D36" s="349" t="s">
        <v>2863</v>
      </c>
      <c r="E36" s="309">
        <f>C36*$C$31</f>
        <v>1.5</v>
      </c>
      <c r="F36" s="309">
        <f>E36*(52/4)</f>
        <v>19.5</v>
      </c>
      <c r="H36" s="309">
        <f>E36*(SUM($C$14:$N$14))*(52/12)</f>
        <v>20.603773584905667</v>
      </c>
      <c r="I36" s="309">
        <f>E36*(SUM($C$15:$N$15))*(52/12)</f>
        <v>78</v>
      </c>
      <c r="K36"/>
    </row>
    <row r="37" spans="1:23" s="96" customFormat="1">
      <c r="B37" s="347" t="s">
        <v>2862</v>
      </c>
      <c r="C37" s="348">
        <v>2</v>
      </c>
      <c r="D37" s="349" t="s">
        <v>2862</v>
      </c>
      <c r="E37" s="309">
        <f>C37*$C$31</f>
        <v>3</v>
      </c>
      <c r="F37" s="309">
        <f>E37*(52/4)</f>
        <v>39</v>
      </c>
      <c r="H37" s="309">
        <f t="shared" ref="H37:H42" si="2">E37*(SUM($C$14:$N$14))*(52/12)</f>
        <v>41.207547169811335</v>
      </c>
      <c r="I37" s="309">
        <f t="shared" ref="I37:I42" si="3">E37*(SUM($C$15:$N$15))*(52/12)</f>
        <v>156</v>
      </c>
      <c r="K37"/>
    </row>
    <row r="38" spans="1:23" s="96" customFormat="1">
      <c r="B38" s="347" t="s">
        <v>2869</v>
      </c>
      <c r="C38" s="348">
        <v>1</v>
      </c>
      <c r="D38" s="349" t="s">
        <v>2869</v>
      </c>
      <c r="E38" s="309">
        <f>C38*$C$31</f>
        <v>1.5</v>
      </c>
      <c r="F38" s="309">
        <f>E38*(52/4)</f>
        <v>19.5</v>
      </c>
      <c r="H38" s="309">
        <f t="shared" si="2"/>
        <v>20.603773584905667</v>
      </c>
      <c r="I38" s="309">
        <f t="shared" si="3"/>
        <v>78</v>
      </c>
      <c r="K38" s="790"/>
      <c r="L38" s="790"/>
      <c r="M38" s="790"/>
      <c r="N38" s="790"/>
      <c r="O38" s="790"/>
      <c r="P38" s="790"/>
      <c r="Q38" s="790"/>
      <c r="R38" s="790"/>
      <c r="S38" s="790"/>
      <c r="T38" s="790"/>
      <c r="U38" s="790"/>
      <c r="V38" s="790"/>
      <c r="W38" s="790"/>
    </row>
    <row r="39" spans="1:23" s="96" customFormat="1">
      <c r="B39" s="344" t="s">
        <v>2799</v>
      </c>
      <c r="C39" s="345"/>
      <c r="K39"/>
    </row>
    <row r="40" spans="1:23" s="96" customFormat="1">
      <c r="B40" s="347" t="s">
        <v>3004</v>
      </c>
      <c r="C40" s="309">
        <f>C22*'Resource costs'!C195</f>
        <v>21</v>
      </c>
      <c r="D40" s="349" t="s">
        <v>2867</v>
      </c>
      <c r="E40" s="297">
        <f>C40*$C$31</f>
        <v>31.5</v>
      </c>
      <c r="F40" s="309">
        <f>E40*(52/4)</f>
        <v>409.5</v>
      </c>
      <c r="H40" s="309">
        <f t="shared" si="2"/>
        <v>432.67924528301899</v>
      </c>
      <c r="I40" s="309">
        <f t="shared" si="3"/>
        <v>1638</v>
      </c>
      <c r="K40"/>
      <c r="M40" s="351"/>
      <c r="N40" s="351"/>
      <c r="O40" s="351"/>
      <c r="P40" s="351"/>
      <c r="Q40" s="351"/>
      <c r="R40" s="351"/>
      <c r="S40" s="351"/>
      <c r="T40" s="351"/>
      <c r="U40" s="351"/>
      <c r="V40" s="351"/>
      <c r="W40" s="351"/>
    </row>
    <row r="41" spans="1:23" s="96" customFormat="1">
      <c r="B41" s="347" t="s">
        <v>3005</v>
      </c>
      <c r="C41" s="309">
        <f>C23*'Resource costs'!D195</f>
        <v>0</v>
      </c>
      <c r="D41" s="349" t="s">
        <v>2867</v>
      </c>
      <c r="E41" s="297">
        <f>C41*$C$31</f>
        <v>0</v>
      </c>
      <c r="F41" s="309">
        <f>E41*(52/4)</f>
        <v>0</v>
      </c>
      <c r="H41" s="309">
        <f t="shared" si="2"/>
        <v>0</v>
      </c>
      <c r="I41" s="309">
        <f t="shared" si="3"/>
        <v>0</v>
      </c>
      <c r="K41"/>
      <c r="M41" s="351"/>
      <c r="N41" s="351"/>
      <c r="O41" s="351"/>
      <c r="P41" s="351"/>
      <c r="Q41" s="351"/>
      <c r="R41" s="351"/>
      <c r="S41" s="351"/>
      <c r="T41" s="351"/>
      <c r="U41" s="351"/>
      <c r="V41" s="351"/>
      <c r="W41" s="351"/>
    </row>
    <row r="42" spans="1:23" s="96" customFormat="1">
      <c r="B42" s="347" t="s">
        <v>2868</v>
      </c>
      <c r="C42" s="309">
        <f>C24*'Resource costs'!E195</f>
        <v>8</v>
      </c>
      <c r="D42" s="349" t="s">
        <v>2868</v>
      </c>
      <c r="E42" s="297">
        <f>C42*$C$31</f>
        <v>12</v>
      </c>
      <c r="F42" s="309">
        <f>E42*(52/4)</f>
        <v>156</v>
      </c>
      <c r="H42" s="309">
        <f t="shared" si="2"/>
        <v>164.83018867924534</v>
      </c>
      <c r="I42" s="309">
        <f t="shared" si="3"/>
        <v>624</v>
      </c>
      <c r="K42"/>
      <c r="M42" s="352"/>
      <c r="N42" s="352"/>
      <c r="O42" s="352"/>
      <c r="P42" s="352"/>
      <c r="Q42" s="352"/>
      <c r="R42" s="352"/>
      <c r="S42" s="352"/>
      <c r="T42" s="352"/>
      <c r="U42" s="352"/>
      <c r="V42" s="352"/>
      <c r="W42" s="352"/>
    </row>
    <row r="43" spans="1:23" s="96" customFormat="1">
      <c r="C43"/>
      <c r="L43" s="388"/>
    </row>
    <row r="44" spans="1:23" s="96" customFormat="1" ht="12" customHeight="1">
      <c r="B44" s="355" t="s">
        <v>2866</v>
      </c>
      <c r="C44" s="356"/>
      <c r="D44" s="352"/>
      <c r="L44" s="388"/>
    </row>
    <row r="45" spans="1:23" s="96" customFormat="1">
      <c r="B45" s="353"/>
      <c r="C45" s="357"/>
      <c r="L45" s="388"/>
    </row>
    <row r="46" spans="1:23" s="96" customFormat="1">
      <c r="B46" s="357"/>
      <c r="C46" s="288"/>
      <c r="L46" s="388"/>
    </row>
    <row r="47" spans="1:23" s="633" customFormat="1">
      <c r="A47" s="633" t="s">
        <v>10</v>
      </c>
      <c r="B47" s="631" t="s">
        <v>2769</v>
      </c>
      <c r="C47" s="635"/>
      <c r="D47" s="636"/>
      <c r="G47" s="631"/>
      <c r="H47" s="635"/>
      <c r="L47" s="634"/>
    </row>
    <row r="48" spans="1:23" s="96" customFormat="1">
      <c r="B48" s="354" t="s">
        <v>2834</v>
      </c>
      <c r="C48" s="358"/>
      <c r="D48" s="341"/>
      <c r="G48" s="353"/>
      <c r="H48" s="358"/>
      <c r="L48" s="388"/>
    </row>
    <row r="49" spans="2:13">
      <c r="B49" s="29" t="s">
        <v>2893</v>
      </c>
      <c r="C49" s="287"/>
      <c r="D49" s="289"/>
    </row>
    <row r="50" spans="2:13" s="96" customFormat="1">
      <c r="B50" s="354"/>
      <c r="C50" s="358"/>
      <c r="D50" s="341"/>
      <c r="G50" s="353"/>
      <c r="H50" s="358"/>
      <c r="L50" s="388"/>
    </row>
    <row r="51" spans="2:13" s="96" customFormat="1">
      <c r="B51" s="354"/>
      <c r="C51" s="354"/>
      <c r="D51" s="341"/>
      <c r="G51" s="353"/>
      <c r="H51" s="358"/>
      <c r="L51" s="388"/>
    </row>
    <row r="52" spans="2:13" s="96" customFormat="1">
      <c r="B52" s="347" t="s">
        <v>2835</v>
      </c>
      <c r="C52" s="304">
        <v>1</v>
      </c>
      <c r="D52" s="349"/>
      <c r="E52" s="341"/>
      <c r="F52" s="341"/>
      <c r="G52" s="341"/>
      <c r="H52" s="341"/>
      <c r="L52" s="388"/>
    </row>
    <row r="53" spans="2:13" s="96" customFormat="1">
      <c r="B53" s="347" t="s">
        <v>2781</v>
      </c>
      <c r="C53" s="87">
        <f>'To-be clinical improvements'!C224</f>
        <v>0.73944253156255113</v>
      </c>
      <c r="D53" s="341"/>
      <c r="F53" s="351"/>
      <c r="L53" s="388"/>
    </row>
    <row r="54" spans="2:13" s="96" customFormat="1">
      <c r="H54" s="345" t="s">
        <v>2892</v>
      </c>
      <c r="I54" s="345"/>
    </row>
    <row r="55" spans="2:13" s="346" customFormat="1">
      <c r="B55" s="344" t="s">
        <v>2772</v>
      </c>
      <c r="C55" s="345" t="s">
        <v>2836</v>
      </c>
      <c r="E55" s="345" t="s">
        <v>2795</v>
      </c>
      <c r="F55" s="345" t="s">
        <v>2796</v>
      </c>
      <c r="H55" s="345" t="s">
        <v>97</v>
      </c>
      <c r="I55" s="345" t="s">
        <v>2797</v>
      </c>
      <c r="K55" s="96"/>
    </row>
    <row r="56" spans="2:13" s="96" customFormat="1">
      <c r="B56" s="347" t="s">
        <v>2863</v>
      </c>
      <c r="C56" s="309">
        <v>1</v>
      </c>
      <c r="D56" s="349" t="s">
        <v>2863</v>
      </c>
      <c r="E56" s="309">
        <f>C56*$C$52</f>
        <v>1</v>
      </c>
      <c r="F56" s="309">
        <f>E56*(52/4)</f>
        <v>13</v>
      </c>
      <c r="H56" s="309">
        <f>E56*(SUM($C$14:$N$14))*(52/12)</f>
        <v>13.735849056603778</v>
      </c>
      <c r="I56" s="309">
        <f>E56*(SUM($C$15:$N$15))*(52/12)</f>
        <v>52</v>
      </c>
    </row>
    <row r="57" spans="2:13" s="96" customFormat="1">
      <c r="B57" s="347" t="s">
        <v>2862</v>
      </c>
      <c r="C57" s="309">
        <v>2</v>
      </c>
      <c r="D57" s="349" t="s">
        <v>2862</v>
      </c>
      <c r="E57" s="309">
        <f>C57*$C$52</f>
        <v>2</v>
      </c>
      <c r="F57" s="309">
        <f>E57*(52/4)</f>
        <v>26</v>
      </c>
      <c r="H57" s="309">
        <f t="shared" ref="H57:H63" si="4">E57*(SUM($C$14:$N$14))*(52/12)</f>
        <v>27.471698113207555</v>
      </c>
      <c r="I57" s="309">
        <f t="shared" ref="I57:I63" si="5">E57*(SUM($C$15:$N$15))*(52/12)</f>
        <v>104</v>
      </c>
    </row>
    <row r="58" spans="2:13" s="96" customFormat="1">
      <c r="B58" s="347" t="s">
        <v>2871</v>
      </c>
      <c r="C58" s="309">
        <v>1</v>
      </c>
      <c r="D58" s="349" t="s">
        <v>2871</v>
      </c>
      <c r="E58" s="309">
        <f>C58*$C$52</f>
        <v>1</v>
      </c>
      <c r="F58" s="309">
        <f>E58*(52/4)</f>
        <v>13</v>
      </c>
      <c r="H58" s="309">
        <f t="shared" si="4"/>
        <v>13.735849056603778</v>
      </c>
      <c r="I58" s="309">
        <f t="shared" si="5"/>
        <v>52</v>
      </c>
    </row>
    <row r="59" spans="2:13" s="96" customFormat="1">
      <c r="B59" s="347" t="s">
        <v>2870</v>
      </c>
      <c r="C59" s="309">
        <v>1</v>
      </c>
      <c r="D59" s="349" t="s">
        <v>2870</v>
      </c>
      <c r="E59" s="309">
        <f>C59*$C$52</f>
        <v>1</v>
      </c>
      <c r="F59" s="309">
        <f>E59*(52/4)</f>
        <v>13</v>
      </c>
      <c r="H59" s="309">
        <f t="shared" si="4"/>
        <v>13.735849056603778</v>
      </c>
      <c r="I59" s="309">
        <f t="shared" si="5"/>
        <v>52</v>
      </c>
    </row>
    <row r="60" spans="2:13" s="96" customFormat="1">
      <c r="B60" s="344" t="s">
        <v>2799</v>
      </c>
      <c r="C60" s="345"/>
      <c r="E60" s="351"/>
      <c r="F60" s="351"/>
      <c r="H60" s="351"/>
      <c r="I60" s="351"/>
      <c r="J60" s="351"/>
      <c r="M60" s="351"/>
    </row>
    <row r="61" spans="2:13" s="96" customFormat="1">
      <c r="B61" s="347" t="s">
        <v>3004</v>
      </c>
      <c r="C61" s="309">
        <f>C22*'Resource costs'!C194</f>
        <v>27.720000000000002</v>
      </c>
      <c r="D61" s="349" t="s">
        <v>2867</v>
      </c>
      <c r="E61" s="297">
        <f>C61*$C$52</f>
        <v>27.720000000000002</v>
      </c>
      <c r="F61" s="309">
        <f>E61*(52/4)</f>
        <v>360.36</v>
      </c>
      <c r="H61" s="309">
        <f t="shared" si="4"/>
        <v>380.75773584905676</v>
      </c>
      <c r="I61" s="309">
        <f t="shared" si="5"/>
        <v>1441.44</v>
      </c>
      <c r="M61" s="351"/>
    </row>
    <row r="62" spans="2:13" s="96" customFormat="1">
      <c r="B62" s="347" t="s">
        <v>3005</v>
      </c>
      <c r="C62" s="309">
        <f>C23*'Resource costs'!D194</f>
        <v>0</v>
      </c>
      <c r="D62" s="349" t="s">
        <v>2867</v>
      </c>
      <c r="E62" s="297">
        <f>C62*$C$52</f>
        <v>0</v>
      </c>
      <c r="F62" s="309">
        <f>E62*(52/4)</f>
        <v>0</v>
      </c>
      <c r="H62" s="309">
        <f t="shared" si="4"/>
        <v>0</v>
      </c>
      <c r="I62" s="309">
        <f t="shared" si="5"/>
        <v>0</v>
      </c>
      <c r="M62" s="351"/>
    </row>
    <row r="63" spans="2:13" s="96" customFormat="1">
      <c r="B63" s="347" t="s">
        <v>2868</v>
      </c>
      <c r="C63" s="309">
        <f>C24*'Resource costs'!E194</f>
        <v>12.040000000000001</v>
      </c>
      <c r="D63" s="349" t="s">
        <v>2868</v>
      </c>
      <c r="E63" s="297">
        <f>C63*$C$52</f>
        <v>12.040000000000001</v>
      </c>
      <c r="F63" s="309">
        <f>E63*(52/4)</f>
        <v>156.52000000000001</v>
      </c>
      <c r="H63" s="309">
        <f t="shared" si="4"/>
        <v>165.37962264150951</v>
      </c>
      <c r="I63" s="309">
        <f t="shared" si="5"/>
        <v>626.08000000000004</v>
      </c>
      <c r="M63" s="352"/>
    </row>
    <row r="64" spans="2:13" s="96" customFormat="1">
      <c r="B64" s="359"/>
      <c r="D64" s="356"/>
    </row>
    <row r="65" spans="1:13" s="96" customFormat="1">
      <c r="B65" s="353"/>
      <c r="C65" s="357"/>
      <c r="L65" s="388"/>
    </row>
    <row r="66" spans="1:13" s="96" customFormat="1">
      <c r="B66" s="357"/>
      <c r="C66" s="288"/>
      <c r="L66" s="388"/>
    </row>
    <row r="67" spans="1:13" s="633" customFormat="1">
      <c r="A67" s="633" t="s">
        <v>10</v>
      </c>
      <c r="B67" s="631" t="s">
        <v>2778</v>
      </c>
      <c r="C67" s="635"/>
      <c r="L67" s="634"/>
    </row>
    <row r="68" spans="1:13" s="96" customFormat="1">
      <c r="B68" s="96" t="s">
        <v>3139</v>
      </c>
      <c r="C68" s="358"/>
      <c r="L68" s="388"/>
    </row>
    <row r="69" spans="1:13">
      <c r="B69" s="29" t="s">
        <v>2893</v>
      </c>
      <c r="C69" s="287"/>
      <c r="D69" s="289"/>
    </row>
    <row r="70" spans="1:13" s="96" customFormat="1">
      <c r="B70" s="354"/>
      <c r="C70" s="358"/>
      <c r="L70" s="388"/>
    </row>
    <row r="71" spans="1:13" s="96" customFormat="1">
      <c r="B71" s="347" t="s">
        <v>2800</v>
      </c>
      <c r="C71" s="304">
        <v>1</v>
      </c>
      <c r="D71" s="349"/>
      <c r="L71" s="388"/>
    </row>
    <row r="72" spans="1:13" s="96" customFormat="1">
      <c r="B72" s="347" t="s">
        <v>2801</v>
      </c>
      <c r="C72" s="304">
        <f>1/12</f>
        <v>8.3333333333333329E-2</v>
      </c>
      <c r="D72" s="363"/>
      <c r="L72" s="388"/>
    </row>
    <row r="73" spans="1:13" s="96" customFormat="1">
      <c r="B73" s="347" t="s">
        <v>2783</v>
      </c>
      <c r="C73" s="87">
        <f>'To-be clinical improvements'!C224</f>
        <v>0.73944253156255113</v>
      </c>
      <c r="D73" s="349" t="s">
        <v>2782</v>
      </c>
      <c r="F73" s="360"/>
      <c r="G73" s="358"/>
      <c r="L73" s="388"/>
    </row>
    <row r="74" spans="1:13" s="96" customFormat="1">
      <c r="B74" s="359"/>
      <c r="C74" s="359"/>
      <c r="D74" s="354"/>
      <c r="F74" s="360"/>
      <c r="G74" s="358"/>
      <c r="L74" s="388"/>
    </row>
    <row r="75" spans="1:13" s="96" customFormat="1">
      <c r="B75" s="96" t="s">
        <v>3140</v>
      </c>
      <c r="H75" s="345" t="s">
        <v>2892</v>
      </c>
      <c r="I75" s="345"/>
    </row>
    <row r="76" spans="1:13" s="96" customFormat="1">
      <c r="A76" s="346"/>
      <c r="B76" s="344" t="s">
        <v>2772</v>
      </c>
      <c r="C76" s="345" t="s">
        <v>2836</v>
      </c>
      <c r="E76" s="345" t="s">
        <v>2795</v>
      </c>
      <c r="F76" s="345" t="s">
        <v>2796</v>
      </c>
      <c r="G76" s="346"/>
      <c r="H76" s="345" t="s">
        <v>97</v>
      </c>
      <c r="I76" s="345" t="s">
        <v>2797</v>
      </c>
      <c r="J76" s="346"/>
      <c r="M76" s="346"/>
    </row>
    <row r="77" spans="1:13" s="96" customFormat="1">
      <c r="B77" s="347" t="s">
        <v>2863</v>
      </c>
      <c r="C77" s="348">
        <v>1</v>
      </c>
      <c r="D77" s="349" t="s">
        <v>2863</v>
      </c>
      <c r="E77" s="309">
        <f>C77*$C$71</f>
        <v>1</v>
      </c>
      <c r="F77" s="309">
        <f>E77*(52/4)</f>
        <v>13</v>
      </c>
      <c r="H77" s="309">
        <f>E77*(SUM($C$14:$N$14))*(52/12)</f>
        <v>13.735849056603778</v>
      </c>
      <c r="I77" s="309">
        <f>E77*(SUM($C$15:$N$15))*(52/12)</f>
        <v>52</v>
      </c>
    </row>
    <row r="78" spans="1:13" s="96" customFormat="1">
      <c r="B78" s="347" t="s">
        <v>2862</v>
      </c>
      <c r="C78" s="348">
        <v>2</v>
      </c>
      <c r="D78" s="349" t="s">
        <v>2862</v>
      </c>
      <c r="E78" s="309">
        <f>C78*$C$71</f>
        <v>2</v>
      </c>
      <c r="F78" s="309">
        <f>E78*(52/4)</f>
        <v>26</v>
      </c>
      <c r="H78" s="309">
        <f t="shared" ref="H78:H91" si="6">E78*(SUM($C$14:$N$14))*(52/12)</f>
        <v>27.471698113207555</v>
      </c>
      <c r="I78" s="309">
        <f t="shared" ref="I78:I87" si="7">E78*(SUM($C$15:$N$15))*(52/12)</f>
        <v>104</v>
      </c>
    </row>
    <row r="79" spans="1:13" s="96" customFormat="1">
      <c r="B79" s="347" t="s">
        <v>131</v>
      </c>
      <c r="C79" s="348">
        <v>1</v>
      </c>
      <c r="D79" s="349" t="s">
        <v>131</v>
      </c>
      <c r="E79" s="309">
        <f>C79*$C$71</f>
        <v>1</v>
      </c>
      <c r="F79" s="309">
        <f>E79*(52/4)</f>
        <v>13</v>
      </c>
      <c r="H79" s="309">
        <f t="shared" si="6"/>
        <v>13.735849056603778</v>
      </c>
      <c r="I79" s="309">
        <f t="shared" si="7"/>
        <v>52</v>
      </c>
    </row>
    <row r="80" spans="1:13" s="96" customFormat="1">
      <c r="B80" s="344" t="s">
        <v>2760</v>
      </c>
      <c r="C80" s="345"/>
    </row>
    <row r="81" spans="1:13" s="96" customFormat="1">
      <c r="B81" s="347" t="s">
        <v>3004</v>
      </c>
      <c r="C81" s="309">
        <f>C22*'Resource costs'!C193</f>
        <v>26.52</v>
      </c>
      <c r="D81" s="349" t="s">
        <v>2867</v>
      </c>
      <c r="E81" s="297">
        <f>C81*$C$71</f>
        <v>26.52</v>
      </c>
      <c r="F81" s="309">
        <f>E81*(52/4)</f>
        <v>344.76</v>
      </c>
      <c r="H81" s="309">
        <f t="shared" si="6"/>
        <v>364.27471698113214</v>
      </c>
      <c r="I81" s="309">
        <f t="shared" si="7"/>
        <v>1379.04</v>
      </c>
      <c r="M81" s="351"/>
    </row>
    <row r="82" spans="1:13" s="96" customFormat="1">
      <c r="B82" s="347" t="s">
        <v>3005</v>
      </c>
      <c r="C82" s="309">
        <f>C23*'Resource costs'!D193</f>
        <v>0</v>
      </c>
      <c r="D82" s="349" t="s">
        <v>2867</v>
      </c>
      <c r="E82" s="297">
        <f>C82*$C$71</f>
        <v>0</v>
      </c>
      <c r="F82" s="309">
        <f>E82*(52/4)</f>
        <v>0</v>
      </c>
      <c r="H82" s="309">
        <f t="shared" si="6"/>
        <v>0</v>
      </c>
      <c r="I82" s="309">
        <f t="shared" si="7"/>
        <v>0</v>
      </c>
      <c r="M82" s="351"/>
    </row>
    <row r="83" spans="1:13" s="96" customFormat="1">
      <c r="B83" s="347" t="s">
        <v>2868</v>
      </c>
      <c r="C83" s="309">
        <f>C24*'Resource costs'!E193</f>
        <v>10.16</v>
      </c>
      <c r="D83" s="349" t="s">
        <v>2868</v>
      </c>
      <c r="E83" s="297">
        <f>C83*$C$71</f>
        <v>10.16</v>
      </c>
      <c r="F83" s="309">
        <f>E83*(52/4)</f>
        <v>132.08000000000001</v>
      </c>
      <c r="H83" s="309">
        <f t="shared" si="6"/>
        <v>139.55622641509439</v>
      </c>
      <c r="I83" s="309">
        <f t="shared" si="7"/>
        <v>528.31999999999994</v>
      </c>
      <c r="M83" s="352"/>
    </row>
    <row r="84" spans="1:13" s="96" customFormat="1">
      <c r="C84" s="288"/>
    </row>
    <row r="85" spans="1:13" s="96" customFormat="1">
      <c r="B85" s="96" t="s">
        <v>2780</v>
      </c>
      <c r="C85" s="358"/>
      <c r="E85" s="361"/>
      <c r="F85" s="361"/>
    </row>
    <row r="86" spans="1:13" s="96" customFormat="1">
      <c r="B86" s="344" t="s">
        <v>2772</v>
      </c>
      <c r="C86" s="345" t="s">
        <v>2836</v>
      </c>
      <c r="E86" s="361"/>
      <c r="F86" s="361"/>
    </row>
    <row r="87" spans="1:13" s="96" customFormat="1">
      <c r="B87" s="347" t="s">
        <v>102</v>
      </c>
      <c r="C87" s="348">
        <v>2</v>
      </c>
      <c r="D87" s="349" t="s">
        <v>102</v>
      </c>
      <c r="E87" s="309">
        <f>C87*$C$72</f>
        <v>0.16666666666666666</v>
      </c>
      <c r="F87" s="309">
        <f>E87*(52/4)</f>
        <v>2.1666666666666665</v>
      </c>
      <c r="H87" s="309">
        <f t="shared" si="6"/>
        <v>2.2893081761006293</v>
      </c>
      <c r="I87" s="309">
        <f t="shared" si="7"/>
        <v>8.6666666666666661</v>
      </c>
    </row>
    <row r="88" spans="1:13" s="96" customFormat="1">
      <c r="B88" s="344" t="s">
        <v>2760</v>
      </c>
      <c r="C88" s="345"/>
    </row>
    <row r="89" spans="1:13" s="96" customFormat="1">
      <c r="B89" s="347" t="s">
        <v>3004</v>
      </c>
      <c r="C89" s="309"/>
      <c r="D89" s="349" t="s">
        <v>2867</v>
      </c>
      <c r="E89" s="309">
        <f>C89*$C$72</f>
        <v>0</v>
      </c>
      <c r="F89" s="309">
        <f>E89*(52/4)</f>
        <v>0</v>
      </c>
      <c r="H89" s="309">
        <f t="shared" si="6"/>
        <v>0</v>
      </c>
      <c r="I89" s="309">
        <f>F89*($C$15+$F$15+$I$15+$L$15)</f>
        <v>0</v>
      </c>
    </row>
    <row r="90" spans="1:13" s="96" customFormat="1">
      <c r="B90" s="347" t="s">
        <v>3005</v>
      </c>
      <c r="C90" s="309"/>
      <c r="D90" s="349" t="s">
        <v>2867</v>
      </c>
      <c r="E90" s="309">
        <f>C90*$C$72</f>
        <v>0</v>
      </c>
      <c r="F90" s="309">
        <f>E90*(52/4)</f>
        <v>0</v>
      </c>
      <c r="H90" s="309">
        <f t="shared" si="6"/>
        <v>0</v>
      </c>
      <c r="I90" s="309">
        <f>F90*($C$15+$F$15+$I$15+$L$15)</f>
        <v>0</v>
      </c>
    </row>
    <row r="91" spans="1:13" s="96" customFormat="1">
      <c r="B91" s="347" t="s">
        <v>2868</v>
      </c>
      <c r="C91" s="309"/>
      <c r="D91" s="349" t="s">
        <v>2868</v>
      </c>
      <c r="E91" s="309">
        <f>C91*$C$72</f>
        <v>0</v>
      </c>
      <c r="F91" s="309">
        <f>E91*(52/4)</f>
        <v>0</v>
      </c>
      <c r="H91" s="309">
        <f t="shared" si="6"/>
        <v>0</v>
      </c>
      <c r="I91" s="309">
        <f>F91*($C$15+$F$15+$I$15+$L$15)</f>
        <v>0</v>
      </c>
    </row>
    <row r="92" spans="1:13" s="96" customFormat="1">
      <c r="B92" s="359"/>
      <c r="C92" s="356"/>
      <c r="K92" s="388"/>
    </row>
    <row r="93" spans="1:13" s="96" customFormat="1">
      <c r="C93" s="288"/>
      <c r="L93" s="388"/>
    </row>
    <row r="94" spans="1:13" s="633" customFormat="1">
      <c r="A94" s="633" t="s">
        <v>10</v>
      </c>
      <c r="B94" s="631" t="s">
        <v>2909</v>
      </c>
      <c r="C94" s="632"/>
      <c r="L94" s="634"/>
    </row>
    <row r="95" spans="1:13" s="96" customFormat="1">
      <c r="B95" s="349" t="s">
        <v>3265</v>
      </c>
      <c r="C95" s="288"/>
      <c r="L95" s="388"/>
    </row>
    <row r="96" spans="1:13" s="96" customFormat="1">
      <c r="B96" s="349" t="s">
        <v>2922</v>
      </c>
      <c r="C96" s="288"/>
      <c r="L96" s="388"/>
    </row>
    <row r="97" spans="1:12" s="96" customFormat="1">
      <c r="B97" s="354"/>
      <c r="C97" s="288"/>
      <c r="L97" s="388"/>
    </row>
    <row r="98" spans="1:12" s="96" customFormat="1">
      <c r="B98" s="347" t="s">
        <v>2801</v>
      </c>
      <c r="C98" s="304">
        <f>1/(52/2)</f>
        <v>3.8461538461538464E-2</v>
      </c>
      <c r="L98" s="388"/>
    </row>
    <row r="99" spans="1:12" s="96" customFormat="1">
      <c r="B99" s="347" t="s">
        <v>2895</v>
      </c>
      <c r="C99" s="304">
        <v>60</v>
      </c>
      <c r="L99" s="388"/>
    </row>
    <row r="100" spans="1:12" s="96" customFormat="1">
      <c r="L100" s="388"/>
    </row>
    <row r="101" spans="1:12" s="96" customFormat="1">
      <c r="L101" s="388"/>
    </row>
    <row r="102" spans="1:12" s="96" customFormat="1">
      <c r="C102" s="288"/>
      <c r="D102" s="288"/>
      <c r="E102" s="288"/>
      <c r="L102" s="388"/>
    </row>
    <row r="103" spans="1:12" s="96" customFormat="1">
      <c r="H103" s="345" t="s">
        <v>2892</v>
      </c>
      <c r="I103" s="345"/>
      <c r="J103" s="345"/>
      <c r="K103" s="388"/>
    </row>
    <row r="104" spans="1:12" s="96" customFormat="1">
      <c r="B104" s="344" t="s">
        <v>2772</v>
      </c>
      <c r="C104" s="345" t="s">
        <v>2836</v>
      </c>
      <c r="E104" s="345" t="s">
        <v>2795</v>
      </c>
      <c r="F104" s="345" t="s">
        <v>2796</v>
      </c>
      <c r="G104" s="346"/>
      <c r="H104" s="345" t="s">
        <v>2896</v>
      </c>
      <c r="J104" s="345" t="s">
        <v>2912</v>
      </c>
      <c r="K104" s="388"/>
    </row>
    <row r="105" spans="1:12" s="96" customFormat="1">
      <c r="B105" s="347" t="s">
        <v>2863</v>
      </c>
      <c r="C105" s="348">
        <v>1</v>
      </c>
      <c r="D105" s="349" t="s">
        <v>2863</v>
      </c>
      <c r="E105" s="309">
        <f>C105*$C$98</f>
        <v>3.8461538461538464E-2</v>
      </c>
      <c r="F105" s="309">
        <f>E105*(52/4)</f>
        <v>0.5</v>
      </c>
      <c r="G105" s="489">
        <f>($C$14+$F$14+$I$14+$L$14)</f>
        <v>1.5471698113207553</v>
      </c>
      <c r="H105" s="309">
        <f>E105*(SUM($C$14:$N$14))*(52/12)</f>
        <v>0.52830188679245305</v>
      </c>
      <c r="J105" s="309">
        <f>F105*4</f>
        <v>2</v>
      </c>
      <c r="K105" s="349" t="s">
        <v>2863</v>
      </c>
    </row>
    <row r="106" spans="1:12" s="96" customFormat="1">
      <c r="B106" s="347" t="s">
        <v>2862</v>
      </c>
      <c r="C106" s="348">
        <v>2</v>
      </c>
      <c r="D106" s="349" t="s">
        <v>2862</v>
      </c>
      <c r="E106" s="309">
        <f>C106*$C$98</f>
        <v>7.6923076923076927E-2</v>
      </c>
      <c r="F106" s="309">
        <f>E106*(52/4)</f>
        <v>1</v>
      </c>
      <c r="H106" s="309">
        <f t="shared" ref="H106:H111" si="8">E106*(SUM($C$14:$N$14))*(52/12)</f>
        <v>1.0566037735849061</v>
      </c>
      <c r="J106" s="309">
        <f t="shared" ref="J106:J111" si="9">F106*4</f>
        <v>4</v>
      </c>
      <c r="K106" s="349" t="s">
        <v>2862</v>
      </c>
    </row>
    <row r="107" spans="1:12">
      <c r="A107" s="96"/>
      <c r="B107" s="347" t="s">
        <v>2894</v>
      </c>
      <c r="C107" s="348">
        <v>2</v>
      </c>
      <c r="D107" s="349" t="s">
        <v>102</v>
      </c>
      <c r="E107" s="309">
        <f>C107*$C$98</f>
        <v>7.6923076923076927E-2</v>
      </c>
      <c r="F107" s="309">
        <f>E107*(52/4)</f>
        <v>1</v>
      </c>
      <c r="G107" s="96"/>
      <c r="H107" s="309">
        <f t="shared" si="8"/>
        <v>1.0566037735849061</v>
      </c>
      <c r="J107" s="309">
        <f t="shared" si="9"/>
        <v>4</v>
      </c>
      <c r="K107" s="349" t="s">
        <v>102</v>
      </c>
    </row>
    <row r="108" spans="1:12">
      <c r="A108" s="96"/>
      <c r="B108" s="344" t="s">
        <v>2760</v>
      </c>
      <c r="C108" s="345"/>
      <c r="D108" s="96"/>
      <c r="E108" s="96"/>
      <c r="F108" s="96"/>
      <c r="G108" s="96"/>
      <c r="H108" s="96"/>
      <c r="J108" s="352"/>
      <c r="K108" s="349"/>
    </row>
    <row r="109" spans="1:12">
      <c r="A109" s="96"/>
      <c r="B109" s="347" t="s">
        <v>3004</v>
      </c>
      <c r="C109" s="309">
        <f>$C$99*D22</f>
        <v>0</v>
      </c>
      <c r="D109" s="349" t="s">
        <v>2867</v>
      </c>
      <c r="E109" s="297">
        <f>C109*$C$98</f>
        <v>0</v>
      </c>
      <c r="F109" s="309">
        <f>E109*(52/4)</f>
        <v>0</v>
      </c>
      <c r="G109" s="96"/>
      <c r="H109" s="309">
        <f t="shared" si="8"/>
        <v>0</v>
      </c>
      <c r="J109" s="309">
        <f t="shared" si="9"/>
        <v>0</v>
      </c>
      <c r="K109" s="349" t="s">
        <v>2831</v>
      </c>
    </row>
    <row r="110" spans="1:12">
      <c r="A110" s="96"/>
      <c r="B110" s="347" t="s">
        <v>3005</v>
      </c>
      <c r="C110" s="309">
        <f t="shared" ref="C110:C111" si="10">$C$99*D23</f>
        <v>36</v>
      </c>
      <c r="D110" s="349" t="s">
        <v>2867</v>
      </c>
      <c r="E110" s="297">
        <f>C110*$C$98</f>
        <v>1.3846153846153846</v>
      </c>
      <c r="F110" s="309">
        <f>E110*(52/4)</f>
        <v>18</v>
      </c>
      <c r="G110" s="96"/>
      <c r="H110" s="309">
        <f t="shared" si="8"/>
        <v>19.018867924528308</v>
      </c>
      <c r="J110" s="309">
        <f t="shared" ref="J110" si="11">F110*4</f>
        <v>72</v>
      </c>
      <c r="K110" s="349" t="s">
        <v>2831</v>
      </c>
    </row>
    <row r="111" spans="1:12" s="95" customFormat="1">
      <c r="A111" s="96"/>
      <c r="B111" s="347" t="s">
        <v>2868</v>
      </c>
      <c r="C111" s="309">
        <f t="shared" si="10"/>
        <v>24</v>
      </c>
      <c r="D111" s="349" t="s">
        <v>2868</v>
      </c>
      <c r="E111" s="297">
        <f>C111*$C$98</f>
        <v>0.92307692307692313</v>
      </c>
      <c r="F111" s="309">
        <f>E111*(52/4)</f>
        <v>12</v>
      </c>
      <c r="G111" s="96"/>
      <c r="H111" s="309">
        <f t="shared" si="8"/>
        <v>12.679245283018872</v>
      </c>
      <c r="J111" s="309">
        <f t="shared" si="9"/>
        <v>48</v>
      </c>
      <c r="K111" s="349" t="s">
        <v>2832</v>
      </c>
    </row>
    <row r="112" spans="1:12" s="95" customFormat="1">
      <c r="B112" s="389" t="s">
        <v>2897</v>
      </c>
      <c r="C112" s="342"/>
      <c r="D112" s="349"/>
      <c r="E112" s="96"/>
      <c r="F112" s="356"/>
      <c r="G112" s="342"/>
      <c r="H112" s="96"/>
      <c r="I112" s="342"/>
      <c r="K112" s="389"/>
    </row>
    <row r="113" spans="1:11" s="95" customFormat="1">
      <c r="B113" s="389"/>
      <c r="C113" s="342"/>
      <c r="D113" s="349"/>
      <c r="E113" s="96"/>
      <c r="F113" s="356"/>
      <c r="G113" s="342"/>
      <c r="H113" s="96"/>
      <c r="I113" s="342"/>
      <c r="K113" s="389"/>
    </row>
    <row r="114" spans="1:11" s="95" customFormat="1">
      <c r="B114" s="359"/>
      <c r="C114" s="342"/>
      <c r="D114" s="349"/>
      <c r="E114" s="96"/>
      <c r="F114" s="356"/>
      <c r="G114" s="342"/>
      <c r="H114" s="96"/>
      <c r="I114" s="342"/>
      <c r="J114" s="342"/>
      <c r="K114" s="96"/>
    </row>
    <row r="115" spans="1:11" s="95" customFormat="1">
      <c r="B115" s="359"/>
      <c r="C115" s="359"/>
      <c r="D115" s="349"/>
      <c r="E115" s="96"/>
      <c r="F115" s="356"/>
      <c r="G115" s="342"/>
      <c r="H115" s="96"/>
      <c r="I115" s="342"/>
      <c r="J115" s="342"/>
      <c r="K115" s="96"/>
    </row>
    <row r="116" spans="1:11" s="95" customFormat="1">
      <c r="B116" s="359"/>
      <c r="C116" s="359"/>
      <c r="D116" s="349"/>
      <c r="E116" s="96"/>
      <c r="F116" s="356"/>
      <c r="G116" s="342"/>
      <c r="H116" s="96"/>
      <c r="I116" s="342"/>
      <c r="J116" s="342"/>
      <c r="K116" s="96"/>
    </row>
    <row r="117" spans="1:11" s="95" customFormat="1">
      <c r="B117" s="359"/>
      <c r="C117" s="359"/>
      <c r="D117" s="349"/>
      <c r="E117" s="96"/>
      <c r="F117" s="356"/>
      <c r="G117" s="342"/>
      <c r="H117" s="96"/>
      <c r="I117" s="342"/>
      <c r="J117" s="342"/>
      <c r="K117" s="96"/>
    </row>
    <row r="118" spans="1:11" s="588" customFormat="1">
      <c r="A118" s="593" t="s">
        <v>10</v>
      </c>
      <c r="B118" s="593" t="s">
        <v>2920</v>
      </c>
      <c r="C118" s="629"/>
      <c r="E118" s="630"/>
      <c r="F118" s="630"/>
    </row>
    <row r="119" spans="1:11">
      <c r="A119" s="9"/>
      <c r="B119" s="9"/>
    </row>
    <row r="120" spans="1:11">
      <c r="A120" s="9"/>
      <c r="B120" s="9" t="s">
        <v>97</v>
      </c>
    </row>
    <row r="121" spans="1:11">
      <c r="A121" s="9"/>
      <c r="B121" s="9"/>
    </row>
    <row r="122" spans="1:11">
      <c r="A122" s="9"/>
      <c r="B122" s="9"/>
      <c r="C122" s="344" t="s">
        <v>2917</v>
      </c>
    </row>
    <row r="123" spans="1:11">
      <c r="A123" s="9"/>
      <c r="B123" s="344" t="s">
        <v>125</v>
      </c>
      <c r="C123" s="344" t="s">
        <v>2873</v>
      </c>
      <c r="D123" s="344" t="s">
        <v>2872</v>
      </c>
      <c r="E123" s="344" t="s">
        <v>2791</v>
      </c>
      <c r="G123" s="344" t="s">
        <v>2911</v>
      </c>
    </row>
    <row r="124" spans="1:11">
      <c r="A124" s="9"/>
      <c r="B124" s="350" t="s">
        <v>2863</v>
      </c>
      <c r="C124" s="309">
        <f t="shared" ref="C124:C132" si="12">SUMIFS($H$36:$H$42, $D$36:$D$42, B124)</f>
        <v>20.603773584905667</v>
      </c>
      <c r="D124" s="309">
        <f t="shared" ref="D124:D132" si="13">SUMIFS($H$56:$H$63, $D$56:$D$63, B124)</f>
        <v>13.735849056603778</v>
      </c>
      <c r="E124" s="309">
        <f t="shared" ref="E124:E132" si="14">SUMIFS($H$77:$H$91, $D$77:$D$91, B124)</f>
        <v>13.735849056603778</v>
      </c>
      <c r="G124" s="309">
        <f t="shared" ref="G124:G132" si="15">SUMIFS($H$105:$H$111, $D$105:$D$111, B124)</f>
        <v>0.52830188679245305</v>
      </c>
    </row>
    <row r="125" spans="1:11">
      <c r="A125" s="9"/>
      <c r="B125" s="350" t="s">
        <v>2862</v>
      </c>
      <c r="C125" s="309">
        <f t="shared" si="12"/>
        <v>41.207547169811335</v>
      </c>
      <c r="D125" s="309">
        <f t="shared" si="13"/>
        <v>27.471698113207555</v>
      </c>
      <c r="E125" s="309">
        <f t="shared" si="14"/>
        <v>27.471698113207555</v>
      </c>
      <c r="G125" s="309">
        <f t="shared" si="15"/>
        <v>1.0566037735849061</v>
      </c>
    </row>
    <row r="126" spans="1:11">
      <c r="A126" s="9"/>
      <c r="B126" s="350" t="s">
        <v>131</v>
      </c>
      <c r="C126" s="309">
        <f t="shared" si="12"/>
        <v>0</v>
      </c>
      <c r="D126" s="309">
        <f t="shared" si="13"/>
        <v>0</v>
      </c>
      <c r="E126" s="309">
        <f t="shared" si="14"/>
        <v>13.735849056603778</v>
      </c>
      <c r="G126" s="309">
        <f t="shared" si="15"/>
        <v>0</v>
      </c>
    </row>
    <row r="127" spans="1:11">
      <c r="A127" s="9"/>
      <c r="B127" s="350" t="s">
        <v>2869</v>
      </c>
      <c r="C127" s="309">
        <f t="shared" si="12"/>
        <v>20.603773584905667</v>
      </c>
      <c r="D127" s="309">
        <f t="shared" si="13"/>
        <v>0</v>
      </c>
      <c r="E127" s="309">
        <f t="shared" si="14"/>
        <v>0</v>
      </c>
      <c r="G127" s="309">
        <f t="shared" si="15"/>
        <v>0</v>
      </c>
    </row>
    <row r="128" spans="1:11">
      <c r="A128" s="9"/>
      <c r="B128" s="350" t="s">
        <v>2870</v>
      </c>
      <c r="C128" s="309">
        <f t="shared" si="12"/>
        <v>0</v>
      </c>
      <c r="D128" s="309">
        <f t="shared" si="13"/>
        <v>13.735849056603778</v>
      </c>
      <c r="E128" s="309">
        <f t="shared" si="14"/>
        <v>0</v>
      </c>
      <c r="G128" s="309">
        <f t="shared" si="15"/>
        <v>0</v>
      </c>
    </row>
    <row r="129" spans="1:12">
      <c r="A129" s="9"/>
      <c r="B129" s="350" t="s">
        <v>102</v>
      </c>
      <c r="C129" s="309">
        <f t="shared" si="12"/>
        <v>0</v>
      </c>
      <c r="D129" s="309">
        <f t="shared" si="13"/>
        <v>0</v>
      </c>
      <c r="E129" s="309">
        <f t="shared" si="14"/>
        <v>2.2893081761006293</v>
      </c>
      <c r="G129" s="309">
        <f t="shared" si="15"/>
        <v>1.0566037735849061</v>
      </c>
    </row>
    <row r="130" spans="1:12">
      <c r="A130" s="9"/>
      <c r="B130" s="347" t="s">
        <v>2867</v>
      </c>
      <c r="C130" s="309">
        <f t="shared" si="12"/>
        <v>432.67924528301899</v>
      </c>
      <c r="D130" s="309">
        <f t="shared" si="13"/>
        <v>380.75773584905676</v>
      </c>
      <c r="E130" s="309">
        <f t="shared" si="14"/>
        <v>364.27471698113214</v>
      </c>
      <c r="G130" s="309">
        <f t="shared" si="15"/>
        <v>19.018867924528308</v>
      </c>
    </row>
    <row r="131" spans="1:12">
      <c r="A131" s="9"/>
      <c r="B131" s="347" t="s">
        <v>2868</v>
      </c>
      <c r="C131" s="309">
        <f t="shared" si="12"/>
        <v>164.83018867924534</v>
      </c>
      <c r="D131" s="309">
        <f t="shared" si="13"/>
        <v>165.37962264150951</v>
      </c>
      <c r="E131" s="309">
        <f t="shared" si="14"/>
        <v>139.55622641509439</v>
      </c>
      <c r="G131" s="309">
        <f t="shared" si="15"/>
        <v>12.679245283018872</v>
      </c>
    </row>
    <row r="132" spans="1:12">
      <c r="A132" s="9"/>
      <c r="B132" s="350" t="s">
        <v>2871</v>
      </c>
      <c r="C132" s="309">
        <f t="shared" si="12"/>
        <v>0</v>
      </c>
      <c r="D132" s="309">
        <f t="shared" si="13"/>
        <v>13.735849056603778</v>
      </c>
      <c r="E132" s="309">
        <f t="shared" si="14"/>
        <v>0</v>
      </c>
      <c r="G132" s="309">
        <f t="shared" si="15"/>
        <v>0</v>
      </c>
    </row>
    <row r="133" spans="1:12">
      <c r="A133" s="9"/>
      <c r="B133" s="364"/>
      <c r="C133" s="437"/>
      <c r="D133" s="437"/>
      <c r="E133" s="437"/>
      <c r="G133" s="342"/>
    </row>
    <row r="134" spans="1:12">
      <c r="A134" s="9"/>
      <c r="B134" s="9"/>
      <c r="C134" s="313"/>
      <c r="D134" s="313"/>
      <c r="E134" s="313"/>
      <c r="G134" s="286"/>
    </row>
    <row r="135" spans="1:12">
      <c r="A135" s="9"/>
      <c r="B135" s="9"/>
      <c r="G135" s="286"/>
    </row>
    <row r="136" spans="1:12">
      <c r="A136" s="9"/>
      <c r="B136" s="9" t="s">
        <v>2797</v>
      </c>
      <c r="G136" s="286"/>
    </row>
    <row r="137" spans="1:12">
      <c r="A137" s="9"/>
      <c r="B137" s="9"/>
      <c r="G137" s="286"/>
    </row>
    <row r="138" spans="1:12">
      <c r="A138" s="9"/>
      <c r="B138" s="9"/>
      <c r="C138" s="344" t="s">
        <v>2917</v>
      </c>
      <c r="G138" s="286"/>
    </row>
    <row r="139" spans="1:12">
      <c r="A139" s="9"/>
      <c r="B139" s="344" t="s">
        <v>125</v>
      </c>
      <c r="C139" s="344" t="s">
        <v>2873</v>
      </c>
      <c r="D139" s="344" t="s">
        <v>2872</v>
      </c>
      <c r="E139" s="344" t="s">
        <v>2791</v>
      </c>
      <c r="G139" s="344" t="s">
        <v>2911</v>
      </c>
      <c r="J139" s="344" t="s">
        <v>2873</v>
      </c>
      <c r="K139" s="344" t="s">
        <v>2872</v>
      </c>
      <c r="L139" s="344" t="s">
        <v>2791</v>
      </c>
    </row>
    <row r="140" spans="1:12">
      <c r="A140" s="9"/>
      <c r="B140" s="350" t="s">
        <v>2863</v>
      </c>
      <c r="C140" s="309">
        <f>SUMIFS($I$36:$I$42, $D$36:$D$42, B140)</f>
        <v>78</v>
      </c>
      <c r="D140" s="309">
        <f>SUMIFS($I$56:$I$63, $D$56:$D$63, B140)</f>
        <v>52</v>
      </c>
      <c r="E140" s="309">
        <f>SUMIFS($I$77:$I$91, $D$77:$D$91, B140)</f>
        <v>52</v>
      </c>
      <c r="G140" s="304">
        <v>0</v>
      </c>
      <c r="J140" s="309">
        <f t="shared" ref="J140:J148" si="16">SUMIFS($I$36:$I$42, $D$36:$D$42, I124)</f>
        <v>0</v>
      </c>
      <c r="K140" s="309">
        <f t="shared" ref="K140:K148" si="17">SUMIFS($I$56:$I$63, $D$56:$D$63, I124)</f>
        <v>0</v>
      </c>
      <c r="L140" s="309">
        <f t="shared" ref="L140:L148" si="18">SUMIFS($I$77:$I$91, $D$77:$D$91, I124)</f>
        <v>0</v>
      </c>
    </row>
    <row r="141" spans="1:12">
      <c r="A141" s="9"/>
      <c r="B141" s="350" t="s">
        <v>2862</v>
      </c>
      <c r="C141" s="309">
        <f t="shared" ref="C141:C148" si="19">SUMIFS($I$36:$I$42, $D$36:$D$42, B141)</f>
        <v>156</v>
      </c>
      <c r="D141" s="309">
        <f t="shared" ref="D141:D148" si="20">SUMIFS($I$56:$I$63, $D$56:$D$63, B141)</f>
        <v>104</v>
      </c>
      <c r="E141" s="309">
        <f t="shared" ref="E141:E148" si="21">SUMIFS($I$77:$I$91, $D$77:$D$91, B141)</f>
        <v>104</v>
      </c>
      <c r="G141" s="304">
        <v>0</v>
      </c>
      <c r="J141" s="309">
        <f t="shared" si="16"/>
        <v>0</v>
      </c>
      <c r="K141" s="309">
        <f t="shared" si="17"/>
        <v>0</v>
      </c>
      <c r="L141" s="309">
        <f t="shared" si="18"/>
        <v>0</v>
      </c>
    </row>
    <row r="142" spans="1:12">
      <c r="A142" s="9"/>
      <c r="B142" s="350" t="s">
        <v>131</v>
      </c>
      <c r="C142" s="309">
        <f t="shared" si="19"/>
        <v>0</v>
      </c>
      <c r="D142" s="309">
        <f t="shared" si="20"/>
        <v>0</v>
      </c>
      <c r="E142" s="309">
        <f t="shared" si="21"/>
        <v>52</v>
      </c>
      <c r="G142" s="304">
        <v>0</v>
      </c>
      <c r="J142" s="309">
        <f t="shared" si="16"/>
        <v>0</v>
      </c>
      <c r="K142" s="309">
        <f t="shared" si="17"/>
        <v>0</v>
      </c>
      <c r="L142" s="309">
        <f t="shared" si="18"/>
        <v>0</v>
      </c>
    </row>
    <row r="143" spans="1:12">
      <c r="A143" s="9"/>
      <c r="B143" s="350" t="s">
        <v>2869</v>
      </c>
      <c r="C143" s="309">
        <f t="shared" si="19"/>
        <v>78</v>
      </c>
      <c r="D143" s="309">
        <f t="shared" si="20"/>
        <v>0</v>
      </c>
      <c r="E143" s="309">
        <f t="shared" si="21"/>
        <v>0</v>
      </c>
      <c r="G143" s="304">
        <v>0</v>
      </c>
      <c r="J143" s="309">
        <f t="shared" si="16"/>
        <v>0</v>
      </c>
      <c r="K143" s="309">
        <f t="shared" si="17"/>
        <v>0</v>
      </c>
      <c r="L143" s="309">
        <f t="shared" si="18"/>
        <v>0</v>
      </c>
    </row>
    <row r="144" spans="1:12">
      <c r="A144" s="9"/>
      <c r="B144" s="350" t="s">
        <v>2870</v>
      </c>
      <c r="C144" s="309">
        <f t="shared" si="19"/>
        <v>0</v>
      </c>
      <c r="D144" s="309">
        <f t="shared" si="20"/>
        <v>52</v>
      </c>
      <c r="E144" s="309">
        <f t="shared" si="21"/>
        <v>0</v>
      </c>
      <c r="G144" s="304">
        <v>0</v>
      </c>
      <c r="J144" s="309">
        <f t="shared" si="16"/>
        <v>0</v>
      </c>
      <c r="K144" s="309">
        <f t="shared" si="17"/>
        <v>0</v>
      </c>
      <c r="L144" s="309">
        <f t="shared" si="18"/>
        <v>0</v>
      </c>
    </row>
    <row r="145" spans="1:12">
      <c r="A145" s="9"/>
      <c r="B145" s="350" t="s">
        <v>102</v>
      </c>
      <c r="C145" s="309">
        <f t="shared" si="19"/>
        <v>0</v>
      </c>
      <c r="D145" s="309">
        <f t="shared" si="20"/>
        <v>0</v>
      </c>
      <c r="E145" s="309">
        <f t="shared" si="21"/>
        <v>8.6666666666666661</v>
      </c>
      <c r="G145" s="304">
        <v>0</v>
      </c>
      <c r="J145" s="309">
        <f t="shared" si="16"/>
        <v>0</v>
      </c>
      <c r="K145" s="309">
        <f t="shared" si="17"/>
        <v>0</v>
      </c>
      <c r="L145" s="309">
        <f t="shared" si="18"/>
        <v>0</v>
      </c>
    </row>
    <row r="146" spans="1:12">
      <c r="A146" s="9"/>
      <c r="B146" s="347" t="s">
        <v>2867</v>
      </c>
      <c r="C146" s="309">
        <f t="shared" si="19"/>
        <v>1638</v>
      </c>
      <c r="D146" s="309">
        <f t="shared" si="20"/>
        <v>1441.44</v>
      </c>
      <c r="E146" s="309">
        <f t="shared" si="21"/>
        <v>1379.04</v>
      </c>
      <c r="G146" s="304">
        <v>0</v>
      </c>
      <c r="J146" s="309">
        <f t="shared" si="16"/>
        <v>0</v>
      </c>
      <c r="K146" s="309">
        <f t="shared" si="17"/>
        <v>0</v>
      </c>
      <c r="L146" s="309">
        <f t="shared" si="18"/>
        <v>0</v>
      </c>
    </row>
    <row r="147" spans="1:12">
      <c r="A147" s="9"/>
      <c r="B147" s="347" t="s">
        <v>2868</v>
      </c>
      <c r="C147" s="309">
        <f t="shared" si="19"/>
        <v>624</v>
      </c>
      <c r="D147" s="309">
        <f t="shared" si="20"/>
        <v>626.08000000000004</v>
      </c>
      <c r="E147" s="309">
        <f t="shared" si="21"/>
        <v>528.31999999999994</v>
      </c>
      <c r="G147" s="304">
        <v>0</v>
      </c>
      <c r="J147" s="309">
        <f t="shared" si="16"/>
        <v>0</v>
      </c>
      <c r="K147" s="309">
        <f t="shared" si="17"/>
        <v>0</v>
      </c>
      <c r="L147" s="309">
        <f t="shared" si="18"/>
        <v>0</v>
      </c>
    </row>
    <row r="148" spans="1:12">
      <c r="A148" s="9"/>
      <c r="B148" s="350" t="s">
        <v>2871</v>
      </c>
      <c r="C148" s="309">
        <f t="shared" si="19"/>
        <v>0</v>
      </c>
      <c r="D148" s="309">
        <f t="shared" si="20"/>
        <v>52</v>
      </c>
      <c r="E148" s="309">
        <f t="shared" si="21"/>
        <v>0</v>
      </c>
      <c r="G148" s="304">
        <v>0</v>
      </c>
      <c r="H148" s="406" t="s">
        <v>2910</v>
      </c>
      <c r="J148" s="309">
        <f t="shared" si="16"/>
        <v>0</v>
      </c>
      <c r="K148" s="309">
        <f t="shared" si="17"/>
        <v>0</v>
      </c>
      <c r="L148" s="309">
        <f t="shared" si="18"/>
        <v>0</v>
      </c>
    </row>
    <row r="149" spans="1:12">
      <c r="A149" s="9"/>
      <c r="B149" s="9"/>
      <c r="C149" s="312" t="b">
        <f>SUM(C140:C148,C124:C132)=SUM(H36:I42)</f>
        <v>1</v>
      </c>
      <c r="D149" s="312" t="b">
        <f>SUM(D140:D148,D124:D132)=SUM(H56:I63)</f>
        <v>1</v>
      </c>
      <c r="E149" s="312" t="b">
        <f>SUM(E140:E148,E124:E132)=SUM(H77:I91)</f>
        <v>1</v>
      </c>
      <c r="G149" s="312" t="b">
        <f>SUM(G140:G148,G124:G132)=SUM(H105:H111)</f>
        <v>1</v>
      </c>
    </row>
    <row r="150" spans="1:12">
      <c r="A150" s="9"/>
      <c r="B150" s="9"/>
      <c r="C150" s="313"/>
      <c r="D150" s="313"/>
      <c r="E150" s="313"/>
      <c r="G150" s="312"/>
    </row>
    <row r="151" spans="1:12">
      <c r="A151" s="9"/>
      <c r="B151" s="9"/>
      <c r="C151" s="312"/>
      <c r="D151" s="312"/>
      <c r="E151" s="312"/>
    </row>
    <row r="152" spans="1:12" s="588" customFormat="1" ht="18.5">
      <c r="A152" s="587" t="s">
        <v>2923</v>
      </c>
      <c r="C152" s="629"/>
      <c r="E152" s="630"/>
      <c r="F152" s="630"/>
    </row>
    <row r="153" spans="1:12" ht="18.5">
      <c r="A153" s="31"/>
    </row>
    <row r="154" spans="1:12">
      <c r="A154" s="9"/>
      <c r="B154" s="9"/>
      <c r="E154" s="312"/>
    </row>
    <row r="155" spans="1:12">
      <c r="A155" s="9" t="s">
        <v>10</v>
      </c>
      <c r="B155" s="9" t="s">
        <v>2875</v>
      </c>
      <c r="E155" s="312"/>
    </row>
    <row r="156" spans="1:12">
      <c r="A156" s="9"/>
      <c r="B156" s="9"/>
      <c r="E156" s="312"/>
    </row>
    <row r="157" spans="1:12">
      <c r="A157" s="9"/>
      <c r="B157" s="307" t="s">
        <v>2914</v>
      </c>
      <c r="C157" s="307" t="s">
        <v>2794</v>
      </c>
      <c r="E157" s="307" t="s">
        <v>36</v>
      </c>
      <c r="F157"/>
    </row>
    <row r="158" spans="1:12">
      <c r="A158" s="9"/>
      <c r="B158" s="350" t="s">
        <v>2873</v>
      </c>
      <c r="C158" s="306">
        <f>'Control Assumptions'!C137</f>
        <v>0.30538922155688625</v>
      </c>
      <c r="E158" s="306">
        <f>'To-be clinical improvements'!C223</f>
        <v>0.31773915413277698</v>
      </c>
      <c r="F158"/>
    </row>
    <row r="159" spans="1:12">
      <c r="A159" s="9"/>
      <c r="B159" s="350" t="s">
        <v>2872</v>
      </c>
      <c r="C159" s="306">
        <f>'Control Assumptions'!C138</f>
        <v>0.62879720012030726</v>
      </c>
      <c r="E159" s="306">
        <f>'To-be clinical improvements'!C224</f>
        <v>0.73944253156255113</v>
      </c>
      <c r="G159" s="286"/>
      <c r="H159" s="286"/>
      <c r="I159" s="286"/>
      <c r="J159" s="286"/>
      <c r="K159" s="286"/>
    </row>
    <row r="160" spans="1:12">
      <c r="A160" s="9"/>
      <c r="B160" s="350" t="s">
        <v>2791</v>
      </c>
      <c r="C160" s="306">
        <f>'Control Assumptions'!C139</f>
        <v>6.5813578322806432E-2</v>
      </c>
      <c r="E160" s="306">
        <f>'To-be clinical improvements'!C224</f>
        <v>0.73944253156255113</v>
      </c>
      <c r="G160" s="286"/>
      <c r="H160" s="286"/>
      <c r="I160" s="286"/>
      <c r="J160" s="286"/>
      <c r="K160" s="286"/>
    </row>
    <row r="161" spans="1:5">
      <c r="A161" s="9"/>
      <c r="B161" s="9"/>
      <c r="C161" s="311" t="b">
        <f>SUM(C158:C160)=1</f>
        <v>1</v>
      </c>
      <c r="E161" s="312"/>
    </row>
    <row r="162" spans="1:5">
      <c r="A162" s="9"/>
      <c r="B162" s="9" t="s">
        <v>2915</v>
      </c>
      <c r="C162" s="311"/>
      <c r="E162" s="312"/>
    </row>
    <row r="163" spans="1:5">
      <c r="A163" s="9"/>
      <c r="B163" s="307" t="s">
        <v>2914</v>
      </c>
      <c r="C163" s="307" t="s">
        <v>120</v>
      </c>
      <c r="E163" s="312"/>
    </row>
    <row r="164" spans="1:5">
      <c r="A164" s="9"/>
      <c r="B164" s="350" t="s">
        <v>2913</v>
      </c>
      <c r="C164" s="440">
        <v>0</v>
      </c>
      <c r="E164" s="312"/>
    </row>
    <row r="165" spans="1:5">
      <c r="A165" s="9"/>
      <c r="B165" s="350" t="s">
        <v>2872</v>
      </c>
      <c r="C165" s="306">
        <f>'Control Assumptions'!$C$219</f>
        <v>0.1</v>
      </c>
      <c r="E165" s="414"/>
    </row>
    <row r="166" spans="1:5">
      <c r="A166" s="9"/>
      <c r="B166" s="350" t="s">
        <v>2791</v>
      </c>
      <c r="C166" s="306">
        <f>'Control Assumptions'!$C$219</f>
        <v>0.1</v>
      </c>
      <c r="E166" s="312"/>
    </row>
    <row r="167" spans="1:5">
      <c r="A167" s="9"/>
      <c r="B167" s="9"/>
      <c r="C167" s="9"/>
      <c r="D167" s="9"/>
      <c r="E167" s="312"/>
    </row>
    <row r="168" spans="1:5" ht="29">
      <c r="A168" s="9"/>
      <c r="B168" s="415" t="s">
        <v>2940</v>
      </c>
      <c r="C168" s="306">
        <f>SUMPRODUCT(C164:C166,C158:C160)</f>
        <v>6.9461077844311367E-2</v>
      </c>
      <c r="E168" s="312"/>
    </row>
    <row r="169" spans="1:5">
      <c r="A169" s="9"/>
      <c r="B169" s="364"/>
      <c r="C169" s="401"/>
      <c r="E169" s="312"/>
    </row>
    <row r="170" spans="1:5">
      <c r="A170" s="9"/>
      <c r="B170" s="9"/>
      <c r="C170" s="9"/>
      <c r="D170" s="9"/>
      <c r="E170" s="9"/>
    </row>
    <row r="171" spans="1:5">
      <c r="A171" s="9"/>
      <c r="B171" s="347" t="s">
        <v>2921</v>
      </c>
      <c r="C171" s="405">
        <f>Epidemiology!C119</f>
        <v>0.47499999999999998</v>
      </c>
      <c r="D171" s="9"/>
      <c r="E171" s="9"/>
    </row>
    <row r="172" spans="1:5">
      <c r="A172" s="9"/>
      <c r="B172" s="6" t="s">
        <v>4</v>
      </c>
      <c r="C172" s="215">
        <f>Epidemiology!C104</f>
        <v>0.47</v>
      </c>
      <c r="E172" s="9"/>
    </row>
    <row r="173" spans="1:5">
      <c r="A173" s="9"/>
      <c r="B173" s="9"/>
      <c r="E173" s="9"/>
    </row>
    <row r="174" spans="1:5">
      <c r="A174" s="9"/>
      <c r="B174" s="9"/>
      <c r="E174" s="9"/>
    </row>
    <row r="175" spans="1:5" ht="19.25" customHeight="1">
      <c r="A175" s="9" t="s">
        <v>10</v>
      </c>
      <c r="B175" s="9" t="s">
        <v>2879</v>
      </c>
      <c r="C175"/>
      <c r="E175" s="312"/>
    </row>
    <row r="176" spans="1:5" ht="19.25" customHeight="1">
      <c r="A176" s="9"/>
      <c r="B176" s="9"/>
      <c r="C176"/>
      <c r="E176" s="312"/>
    </row>
    <row r="177" spans="1:10" ht="19.25" customHeight="1">
      <c r="A177" s="9"/>
      <c r="B177" s="9"/>
      <c r="C177" s="404" t="s">
        <v>2917</v>
      </c>
      <c r="D177" s="404"/>
      <c r="E177" s="312"/>
      <c r="F177" s="344" t="s">
        <v>2919</v>
      </c>
      <c r="G177" s="344"/>
      <c r="I177" s="403" t="s">
        <v>2918</v>
      </c>
      <c r="J177" s="403"/>
    </row>
    <row r="178" spans="1:10">
      <c r="A178" s="9"/>
      <c r="B178" s="344" t="s">
        <v>125</v>
      </c>
      <c r="C178" s="404" t="s">
        <v>97</v>
      </c>
      <c r="D178" s="404" t="s">
        <v>2874</v>
      </c>
      <c r="E178" s="312"/>
      <c r="F178" s="344" t="s">
        <v>97</v>
      </c>
      <c r="G178" s="344" t="s">
        <v>98</v>
      </c>
      <c r="I178" s="403" t="s">
        <v>97</v>
      </c>
      <c r="J178" s="403" t="s">
        <v>98</v>
      </c>
    </row>
    <row r="179" spans="1:10">
      <c r="A179" s="9"/>
      <c r="B179" s="350" t="s">
        <v>2863</v>
      </c>
      <c r="C179" s="368">
        <f t="array" ref="C179">SUMPRODUCT(TRANSPOSE($C$158:$C$160),C124:E124)</f>
        <v>15.833239182013337</v>
      </c>
      <c r="D179" s="368">
        <f t="array" ref="D179">SUMPRODUCT(TRANSPOSE($C$158:$C$160),C140:E140)</f>
        <v>59.940119760479043</v>
      </c>
      <c r="E179" s="312"/>
      <c r="F179" s="368">
        <f t="shared" ref="F179:F187" si="22">$C$168*G124*(1-$C$171)</f>
        <v>1.9265619703988254E-2</v>
      </c>
      <c r="G179" s="368">
        <f t="shared" ref="G179:G187" si="23">$C$168*G140*(1-$C$171)</f>
        <v>0</v>
      </c>
      <c r="I179" s="367">
        <f>C179+F179</f>
        <v>15.852504801717325</v>
      </c>
      <c r="J179" s="367">
        <f>D179+G179</f>
        <v>59.940119760479043</v>
      </c>
    </row>
    <row r="180" spans="1:10">
      <c r="A180" s="9"/>
      <c r="B180" s="350" t="s">
        <v>2862</v>
      </c>
      <c r="C180" s="368">
        <f t="array" ref="C180">SUMPRODUCT(TRANSPOSE($C$158:$C$160),C125:E125)</f>
        <v>31.666478364026673</v>
      </c>
      <c r="D180" s="368">
        <f t="array" ref="D180">SUMPRODUCT(TRANSPOSE($C$158:$C$160),C141:E141)</f>
        <v>119.88023952095809</v>
      </c>
      <c r="E180" s="312"/>
      <c r="F180" s="368">
        <f t="shared" si="22"/>
        <v>3.8531239407976509E-2</v>
      </c>
      <c r="G180" s="368">
        <f t="shared" si="23"/>
        <v>0</v>
      </c>
      <c r="I180" s="367">
        <f t="shared" ref="I180:I187" si="24">C180+F180</f>
        <v>31.70500960343465</v>
      </c>
      <c r="J180" s="367">
        <f t="shared" ref="J180:J187" si="25">D180+G180</f>
        <v>119.88023952095809</v>
      </c>
    </row>
    <row r="181" spans="1:10">
      <c r="A181" s="9"/>
      <c r="B181" s="350" t="s">
        <v>131</v>
      </c>
      <c r="C181" s="368">
        <f t="array" ref="C181">SUMPRODUCT(TRANSPOSE($C$158:$C$160),C126:E126)</f>
        <v>0.90400537771703959</v>
      </c>
      <c r="D181" s="368">
        <f t="array" ref="D181">SUMPRODUCT(TRANSPOSE($C$158:$C$160),C142:E142)</f>
        <v>3.4223060727859345</v>
      </c>
      <c r="E181" s="312"/>
      <c r="F181" s="368">
        <f t="shared" si="22"/>
        <v>0</v>
      </c>
      <c r="G181" s="368">
        <f t="shared" si="23"/>
        <v>0</v>
      </c>
      <c r="I181" s="367">
        <f t="shared" si="24"/>
        <v>0.90400537771703959</v>
      </c>
      <c r="J181" s="367">
        <f t="shared" si="25"/>
        <v>3.4223060727859345</v>
      </c>
    </row>
    <row r="182" spans="1:10">
      <c r="A182" s="9"/>
      <c r="B182" s="350" t="s">
        <v>2869</v>
      </c>
      <c r="C182" s="368">
        <f t="array" ref="C182">SUMPRODUCT(TRANSPOSE($C$158:$C$160),C127:E127)</f>
        <v>6.2921703762286771</v>
      </c>
      <c r="D182" s="368">
        <f t="array" ref="D182">SUMPRODUCT(TRANSPOSE($C$158:$C$160),C143:E143)</f>
        <v>23.820359281437128</v>
      </c>
      <c r="E182" s="312"/>
      <c r="F182" s="368">
        <f t="shared" si="22"/>
        <v>0</v>
      </c>
      <c r="G182" s="368">
        <f t="shared" si="23"/>
        <v>0</v>
      </c>
      <c r="I182" s="367">
        <f t="shared" si="24"/>
        <v>6.2921703762286771</v>
      </c>
      <c r="J182" s="367">
        <f t="shared" si="25"/>
        <v>23.820359281437128</v>
      </c>
    </row>
    <row r="183" spans="1:10">
      <c r="A183" s="9"/>
      <c r="B183" s="350" t="s">
        <v>2870</v>
      </c>
      <c r="C183" s="368">
        <f t="array" ref="C183">SUMPRODUCT(TRANSPOSE($C$158:$C$160),C128:E128)</f>
        <v>8.63706342806762</v>
      </c>
      <c r="D183" s="368">
        <f t="array" ref="D183">SUMPRODUCT(TRANSPOSE($C$158:$C$160),C144:E144)</f>
        <v>32.697454406255979</v>
      </c>
      <c r="E183" s="312"/>
      <c r="F183" s="368">
        <f t="shared" si="22"/>
        <v>0</v>
      </c>
      <c r="G183" s="368">
        <f t="shared" si="23"/>
        <v>0</v>
      </c>
      <c r="I183" s="367">
        <f t="shared" si="24"/>
        <v>8.63706342806762</v>
      </c>
      <c r="J183" s="367">
        <f t="shared" si="25"/>
        <v>32.697454406255979</v>
      </c>
    </row>
    <row r="184" spans="1:10">
      <c r="A184" s="9"/>
      <c r="B184" s="350" t="s">
        <v>102</v>
      </c>
      <c r="C184" s="368">
        <f t="array" ref="C184">SUMPRODUCT(TRANSPOSE($C$158:$C$160),C129:E129)</f>
        <v>0.1506675629528399</v>
      </c>
      <c r="D184" s="368">
        <f t="array" ref="D184">SUMPRODUCT(TRANSPOSE($C$158:$C$160),C145:E145)</f>
        <v>0.57038434546432237</v>
      </c>
      <c r="E184" s="312"/>
      <c r="F184" s="368">
        <f t="shared" si="22"/>
        <v>3.8531239407976509E-2</v>
      </c>
      <c r="G184" s="368">
        <f t="shared" si="23"/>
        <v>0</v>
      </c>
      <c r="I184" s="367">
        <f t="shared" si="24"/>
        <v>0.1891988023608164</v>
      </c>
      <c r="J184" s="367">
        <f t="shared" si="25"/>
        <v>0.57038434546432237</v>
      </c>
    </row>
    <row r="185" spans="1:10">
      <c r="A185" s="9"/>
      <c r="B185" s="6" t="s">
        <v>2831</v>
      </c>
      <c r="C185" s="368">
        <f t="array" ref="C185">SUMPRODUCT(TRANSPOSE($C$158:$C$160),C130:E130)</f>
        <v>395.52919874389255</v>
      </c>
      <c r="D185" s="368">
        <f t="array" ref="D185">SUMPRODUCT(TRANSPOSE($C$158:$C$160),C146:E146)</f>
        <v>1497.3605381018783</v>
      </c>
      <c r="E185" s="312"/>
      <c r="F185" s="368">
        <f t="shared" si="22"/>
        <v>0.6935623093435771</v>
      </c>
      <c r="G185" s="368">
        <f t="shared" si="23"/>
        <v>0</v>
      </c>
      <c r="I185" s="367">
        <f t="shared" si="24"/>
        <v>396.22276105323613</v>
      </c>
      <c r="J185" s="367">
        <f t="shared" si="25"/>
        <v>1497.3605381018783</v>
      </c>
    </row>
    <row r="186" spans="1:10">
      <c r="A186" s="9"/>
      <c r="B186" s="6" t="s">
        <v>2832</v>
      </c>
      <c r="C186" s="368">
        <f t="array" ref="C186">SUMPRODUCT(TRANSPOSE($C$158:$C$160),C131:E131)</f>
        <v>163.51230132136871</v>
      </c>
      <c r="D186" s="368">
        <f t="array" ref="D186">SUMPRODUCT(TRANSPOSE($C$158:$C$160),C147:E147)</f>
        <v>619.01085500232409</v>
      </c>
      <c r="E186" s="312"/>
      <c r="F186" s="368">
        <f t="shared" si="22"/>
        <v>0.4623748728957181</v>
      </c>
      <c r="G186" s="368">
        <f t="shared" si="23"/>
        <v>0</v>
      </c>
      <c r="I186" s="367">
        <f t="shared" si="24"/>
        <v>163.97467619426442</v>
      </c>
      <c r="J186" s="367">
        <f t="shared" si="25"/>
        <v>619.01085500232409</v>
      </c>
    </row>
    <row r="187" spans="1:10">
      <c r="A187" s="9"/>
      <c r="B187" s="350" t="s">
        <v>2871</v>
      </c>
      <c r="C187" s="368">
        <f t="array" ref="C187">SUMPRODUCT(TRANSPOSE($C$158:$C$160),C132:E132)</f>
        <v>8.63706342806762</v>
      </c>
      <c r="D187" s="368">
        <f t="array" ref="D187">SUMPRODUCT(TRANSPOSE($C$158:$C$160),C148:E148)</f>
        <v>32.697454406255979</v>
      </c>
      <c r="E187" s="312"/>
      <c r="F187" s="368">
        <f t="shared" si="22"/>
        <v>0</v>
      </c>
      <c r="G187" s="368">
        <f t="shared" si="23"/>
        <v>0</v>
      </c>
      <c r="I187" s="367">
        <f t="shared" si="24"/>
        <v>8.63706342806762</v>
      </c>
      <c r="J187" s="367">
        <f t="shared" si="25"/>
        <v>32.697454406255979</v>
      </c>
    </row>
    <row r="188" spans="1:10">
      <c r="A188" s="9"/>
      <c r="B188" s="364"/>
      <c r="C188" s="342"/>
      <c r="D188" s="342"/>
      <c r="E188" s="312"/>
      <c r="F188" s="406" t="s">
        <v>2924</v>
      </c>
    </row>
    <row r="189" spans="1:10">
      <c r="A189" s="9"/>
      <c r="B189" s="9"/>
      <c r="C189" s="9"/>
      <c r="D189" s="9"/>
      <c r="E189" s="312"/>
    </row>
  </sheetData>
  <phoneticPr fontId="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1"/>
  </sheetPr>
  <dimension ref="B3"/>
  <sheetViews>
    <sheetView showGridLines="0" workbookViewId="0"/>
  </sheetViews>
  <sheetFormatPr defaultRowHeight="14.5"/>
  <sheetData>
    <row r="3" spans="2:2">
      <c r="B3" s="9" t="s">
        <v>3749</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5" tint="0.59999389629810485"/>
  </sheetPr>
  <dimension ref="A1:BA203"/>
  <sheetViews>
    <sheetView showGridLines="0" workbookViewId="0"/>
  </sheetViews>
  <sheetFormatPr defaultRowHeight="14.5"/>
  <cols>
    <col min="1" max="1" width="6" customWidth="1"/>
    <col min="2" max="2" width="40" customWidth="1"/>
    <col min="3" max="31" width="12.36328125" customWidth="1"/>
    <col min="32" max="40" width="14.36328125" customWidth="1"/>
    <col min="41" max="54" width="12.453125" customWidth="1"/>
  </cols>
  <sheetData>
    <row r="1" spans="1:31" s="782" customFormat="1" ht="18.5">
      <c r="A1" s="780" t="s">
        <v>3522</v>
      </c>
    </row>
    <row r="2" spans="1:31" s="782" customFormat="1">
      <c r="A2" s="782" t="s">
        <v>3521</v>
      </c>
    </row>
    <row r="3" spans="1:31" s="782" customFormat="1"/>
    <row r="4" spans="1:31" s="783" customFormat="1"/>
    <row r="6" spans="1:31">
      <c r="B6" s="445" t="s">
        <v>3198</v>
      </c>
      <c r="C6" s="521">
        <f>'Control Assumptions'!C13</f>
        <v>2024</v>
      </c>
    </row>
    <row r="8" spans="1:31">
      <c r="A8" s="9"/>
      <c r="B8" s="9"/>
    </row>
    <row r="9" spans="1:31" ht="18.5">
      <c r="A9" s="31"/>
      <c r="B9" s="9"/>
    </row>
    <row r="10" spans="1:31">
      <c r="A10" s="9"/>
      <c r="B10" s="9"/>
    </row>
    <row r="11" spans="1:31" s="588" customFormat="1">
      <c r="A11" s="593" t="s">
        <v>3400</v>
      </c>
    </row>
    <row r="12" spans="1:31">
      <c r="A12" s="9"/>
      <c r="B12" s="9"/>
    </row>
    <row r="13" spans="1:31">
      <c r="A13" s="9" t="s">
        <v>10</v>
      </c>
      <c r="B13" s="9" t="s">
        <v>2934</v>
      </c>
    </row>
    <row r="14" spans="1:31">
      <c r="A14" s="9"/>
      <c r="B14" s="9"/>
    </row>
    <row r="15" spans="1:31">
      <c r="A15" s="9"/>
      <c r="B15" s="9"/>
      <c r="C15" s="34" t="s">
        <v>20</v>
      </c>
      <c r="E15" s="537" t="s">
        <v>3200</v>
      </c>
    </row>
    <row r="16" spans="1:31">
      <c r="A16" s="9"/>
      <c r="B16" s="12" t="s">
        <v>2531</v>
      </c>
      <c r="C16" s="24">
        <f>Epidemiology!C119</f>
        <v>0.47499999999999998</v>
      </c>
      <c r="E16" s="24">
        <f>'To-be clinical improvements'!D10</f>
        <v>0.37076496125633113</v>
      </c>
      <c r="AE16" s="60"/>
    </row>
    <row r="17" spans="1:53">
      <c r="A17" s="9"/>
      <c r="B17" s="9"/>
    </row>
    <row r="18" spans="1:53">
      <c r="A18" s="9"/>
      <c r="B18" s="4"/>
      <c r="C18" s="34">
        <f>'Wound growth'!C81</f>
        <v>2020</v>
      </c>
      <c r="D18" s="34">
        <f>'Wound growth'!D81</f>
        <v>2021</v>
      </c>
      <c r="E18" s="34">
        <f>'Wound growth'!E81</f>
        <v>2022</v>
      </c>
      <c r="F18" s="34">
        <f>'Wound growth'!F81</f>
        <v>2023</v>
      </c>
      <c r="G18" s="34">
        <f>'Wound growth'!G81</f>
        <v>2024</v>
      </c>
      <c r="H18" s="34">
        <f>'Wound growth'!H81</f>
        <v>2025</v>
      </c>
      <c r="I18" s="34">
        <f>'Wound growth'!I81</f>
        <v>2026</v>
      </c>
      <c r="J18" s="34">
        <f>'Wound growth'!J81</f>
        <v>2027</v>
      </c>
      <c r="K18" s="34">
        <f>'Wound growth'!K81</f>
        <v>2028</v>
      </c>
      <c r="L18" s="34">
        <f>'Wound growth'!L81</f>
        <v>2029</v>
      </c>
      <c r="M18" s="34">
        <f>'Wound growth'!M81</f>
        <v>2030</v>
      </c>
      <c r="N18" s="34">
        <f>'Wound growth'!N81</f>
        <v>2031</v>
      </c>
      <c r="O18" s="34">
        <f>'Wound growth'!O81</f>
        <v>2032</v>
      </c>
      <c r="P18" s="34">
        <f>'Wound growth'!P81</f>
        <v>2033</v>
      </c>
      <c r="Q18" s="34">
        <f>'Wound growth'!Q81</f>
        <v>2034</v>
      </c>
      <c r="R18" s="34">
        <f>'Wound growth'!R81</f>
        <v>2035</v>
      </c>
      <c r="S18" s="34">
        <f>'Wound growth'!S81</f>
        <v>2036</v>
      </c>
      <c r="T18" s="34">
        <f>'Wound growth'!T81</f>
        <v>2037</v>
      </c>
      <c r="U18" s="34">
        <f>'Wound growth'!U81</f>
        <v>2038</v>
      </c>
      <c r="V18" s="34">
        <f>'Wound growth'!V81</f>
        <v>2039</v>
      </c>
      <c r="W18" s="34">
        <f>'Wound growth'!W81</f>
        <v>2040</v>
      </c>
      <c r="X18" s="34">
        <f>'Wound growth'!X81</f>
        <v>2041</v>
      </c>
      <c r="Y18" s="34">
        <f>'Wound growth'!Y81</f>
        <v>2042</v>
      </c>
      <c r="Z18" s="34">
        <f>'Wound growth'!Z81</f>
        <v>2043</v>
      </c>
      <c r="AA18" s="34">
        <f>'Wound growth'!AA81</f>
        <v>2044</v>
      </c>
      <c r="AB18" s="34">
        <f>'Wound growth'!AB81</f>
        <v>2045</v>
      </c>
      <c r="AC18" s="34">
        <f>'Wound growth'!AC81</f>
        <v>2046</v>
      </c>
      <c r="AD18" s="34">
        <f>'Wound growth'!AD81</f>
        <v>2047</v>
      </c>
      <c r="AE18" s="34">
        <f>'Wound growth'!AE81</f>
        <v>2048</v>
      </c>
      <c r="AF18" s="34">
        <f>'Wound growth'!AF81</f>
        <v>2049</v>
      </c>
      <c r="AG18" s="34">
        <f>'Wound growth'!AG81</f>
        <v>2050</v>
      </c>
      <c r="AH18" s="34">
        <f>'Wound growth'!AH81</f>
        <v>2051</v>
      </c>
      <c r="AI18" s="34">
        <f>'Wound growth'!AI81</f>
        <v>2052</v>
      </c>
      <c r="AJ18" s="34">
        <f>'Wound growth'!AJ81</f>
        <v>2053</v>
      </c>
      <c r="AK18" s="34">
        <f>'Wound growth'!AK81</f>
        <v>2054</v>
      </c>
      <c r="AL18" s="34">
        <f>'Wound growth'!AL81</f>
        <v>2055</v>
      </c>
      <c r="AM18" s="34">
        <f>'Wound growth'!AM81</f>
        <v>2056</v>
      </c>
      <c r="AN18" s="34">
        <f>'Wound growth'!AN81</f>
        <v>2057</v>
      </c>
      <c r="AO18" s="34">
        <f>'Wound growth'!AO81</f>
        <v>2058</v>
      </c>
      <c r="AP18" s="34">
        <f>'Wound growth'!AP81</f>
        <v>2059</v>
      </c>
      <c r="AQ18" s="34">
        <f>'Wound growth'!AQ81</f>
        <v>2060</v>
      </c>
      <c r="AR18" s="34">
        <f>'Wound growth'!AR81</f>
        <v>2061</v>
      </c>
      <c r="AS18" s="34">
        <f>'Wound growth'!AS81</f>
        <v>2062</v>
      </c>
      <c r="AT18" s="34">
        <f>'Wound growth'!AT81</f>
        <v>2063</v>
      </c>
      <c r="AU18" s="34">
        <f>'Wound growth'!AU81</f>
        <v>2064</v>
      </c>
      <c r="AV18" s="34">
        <f>'Wound growth'!AV81</f>
        <v>2065</v>
      </c>
      <c r="AW18" s="34">
        <f>'Wound growth'!AW81</f>
        <v>2066</v>
      </c>
      <c r="AX18" s="34">
        <f>'Wound growth'!AX81</f>
        <v>2067</v>
      </c>
      <c r="AY18" s="34">
        <f>'Wound growth'!AY81</f>
        <v>2068</v>
      </c>
      <c r="AZ18" s="34">
        <f>'Wound growth'!AZ81</f>
        <v>2069</v>
      </c>
      <c r="BA18" s="34">
        <f>'Wound growth'!BA81</f>
        <v>2070</v>
      </c>
    </row>
    <row r="19" spans="1:53">
      <c r="A19" s="9"/>
      <c r="B19" s="12" t="s">
        <v>2931</v>
      </c>
      <c r="C19" s="39">
        <f>'Prevalence projection INT'!C38</f>
        <v>133.245</v>
      </c>
      <c r="D19" s="39">
        <f>'Prevalence projection INT'!D38</f>
        <v>137.79937479036644</v>
      </c>
      <c r="E19" s="39">
        <f>'Prevalence projection INT'!E38</f>
        <v>141.69735847370831</v>
      </c>
      <c r="F19" s="39">
        <f>'Prevalence projection INT'!F38</f>
        <v>145.15330654457324</v>
      </c>
      <c r="G19" s="39">
        <f>'Prevalence projection INT'!G38</f>
        <v>190.2995171814749</v>
      </c>
      <c r="H19" s="39">
        <f>'Prevalence projection INT'!H38</f>
        <v>169.00375478486791</v>
      </c>
      <c r="I19" s="39">
        <f>'Prevalence projection INT'!I38</f>
        <v>156.52327577525293</v>
      </c>
      <c r="J19" s="39">
        <f>'Prevalence projection INT'!J38</f>
        <v>149.59355462943111</v>
      </c>
      <c r="K19" s="39">
        <f>'Prevalence projection INT'!K38</f>
        <v>146.4092175364006</v>
      </c>
      <c r="L19" s="39">
        <f>'Prevalence projection INT'!L38</f>
        <v>145.41812447116655</v>
      </c>
      <c r="M19" s="39">
        <f>'Prevalence projection INT'!M38</f>
        <v>145.72145284775848</v>
      </c>
      <c r="N19" s="39">
        <f>'Prevalence projection INT'!N38</f>
        <v>146.89235977639419</v>
      </c>
      <c r="O19" s="39">
        <f>'Prevalence projection INT'!O38</f>
        <v>148.45564589220066</v>
      </c>
      <c r="P19" s="39">
        <f>'Prevalence projection INT'!P38</f>
        <v>150.2183079732992</v>
      </c>
      <c r="Q19" s="39">
        <f>'Prevalence projection INT'!Q38</f>
        <v>152.10919089638682</v>
      </c>
      <c r="R19" s="39">
        <f>'Prevalence projection INT'!R38</f>
        <v>154.06630217827885</v>
      </c>
      <c r="S19" s="39">
        <f>'Prevalence projection INT'!S38</f>
        <v>156.04007255947141</v>
      </c>
      <c r="T19" s="39">
        <f>'Prevalence projection INT'!T38</f>
        <v>158.0367393911794</v>
      </c>
      <c r="U19" s="39">
        <f>'Prevalence projection INT'!U38</f>
        <v>160.13033129591901</v>
      </c>
      <c r="V19" s="39">
        <f>'Prevalence projection INT'!V38</f>
        <v>162.19609209762405</v>
      </c>
      <c r="W19" s="39">
        <f>'Prevalence projection INT'!W38</f>
        <v>164.21245787776834</v>
      </c>
      <c r="X19" s="39">
        <f>'Prevalence projection INT'!X38</f>
        <v>166.22593825614459</v>
      </c>
      <c r="Y19" s="39">
        <f>'Prevalence projection INT'!Y38</f>
        <v>168.21039512284861</v>
      </c>
      <c r="Z19" s="39">
        <f>'Prevalence projection INT'!Z38</f>
        <v>170.148546203423</v>
      </c>
      <c r="AA19" s="39">
        <f>'Prevalence projection INT'!AA38</f>
        <v>172.0299806659207</v>
      </c>
      <c r="AB19" s="39">
        <f>'Prevalence projection INT'!AB38</f>
        <v>173.86888578277521</v>
      </c>
      <c r="AC19" s="39">
        <f>'Prevalence projection INT'!AC38</f>
        <v>175.64342854430961</v>
      </c>
      <c r="AD19" s="39">
        <f>'Prevalence projection INT'!AD38</f>
        <v>177.33538045304454</v>
      </c>
      <c r="AE19" s="39">
        <f>'Prevalence projection INT'!AE38</f>
        <v>178.93341595230237</v>
      </c>
      <c r="AF19" s="39">
        <f>'Prevalence projection INT'!AF38</f>
        <v>180.4434687582833</v>
      </c>
      <c r="AG19" s="39">
        <f>'Prevalence projection INT'!AG38</f>
        <v>181.90310884616252</v>
      </c>
      <c r="AH19" s="39">
        <f>'Prevalence projection INT'!AH38</f>
        <v>183.31672692808709</v>
      </c>
      <c r="AI19" s="39">
        <f>'Prevalence projection INT'!AI38</f>
        <v>184.70621653823764</v>
      </c>
      <c r="AJ19" s="39">
        <f>'Prevalence projection INT'!AJ38</f>
        <v>186.05084087555167</v>
      </c>
      <c r="AK19" s="39">
        <f>'Prevalence projection INT'!AK38</f>
        <v>187.31503300530355</v>
      </c>
      <c r="AL19" s="39">
        <f>'Prevalence projection INT'!AL38</f>
        <v>188.48089970089151</v>
      </c>
      <c r="AM19" s="39">
        <f>'Prevalence projection INT'!AM38</f>
        <v>189.53473744863209</v>
      </c>
      <c r="AN19" s="39">
        <f>'Prevalence projection INT'!AN38</f>
        <v>190.46892453884621</v>
      </c>
      <c r="AO19" s="39">
        <f>'Prevalence projection INT'!AO38</f>
        <v>191.27773227438377</v>
      </c>
      <c r="AP19" s="39">
        <f>'Prevalence projection INT'!AP38</f>
        <v>192.02323445877101</v>
      </c>
      <c r="AQ19" s="39">
        <f>'Prevalence projection INT'!AQ38</f>
        <v>192.75937976959113</v>
      </c>
      <c r="AR19" s="39">
        <f>'Prevalence projection INT'!AR38</f>
        <v>193.52284999160057</v>
      </c>
      <c r="AS19" s="39">
        <f>'Prevalence projection INT'!AS38</f>
        <v>194.08428856720113</v>
      </c>
      <c r="AT19" s="39">
        <f>'Prevalence projection INT'!AT38</f>
        <v>194.51708754858549</v>
      </c>
      <c r="AU19" s="39">
        <f>'Prevalence projection INT'!AU38</f>
        <v>194.86807737084365</v>
      </c>
      <c r="AV19" s="39">
        <f>'Prevalence projection INT'!AV38</f>
        <v>195.01628596872857</v>
      </c>
      <c r="AW19" s="39">
        <f>'Prevalence projection INT'!AW38</f>
        <v>195.05631097919189</v>
      </c>
      <c r="AX19" s="39">
        <f>'Prevalence projection INT'!AX38</f>
        <v>195.04221960493388</v>
      </c>
      <c r="AY19" s="39">
        <f>'Prevalence projection INT'!AY38</f>
        <v>195.00423198772552</v>
      </c>
      <c r="AZ19" s="39">
        <f>'Prevalence projection INT'!AZ38</f>
        <v>194.95866144629758</v>
      </c>
      <c r="BA19" s="39">
        <f>'Prevalence projection INT'!BA38</f>
        <v>194.91382318190682</v>
      </c>
    </row>
    <row r="20" spans="1:53">
      <c r="A20" s="9"/>
      <c r="B20" s="12" t="s">
        <v>2904</v>
      </c>
      <c r="C20" s="39">
        <f>C19*IF(C$18&lt;$C$6,       (1-$C$16), (1-$E$16))</f>
        <v>69.953625000000002</v>
      </c>
      <c r="D20" s="39">
        <f t="shared" ref="D20:AE20" si="0">D19*IF(D$18&lt;$C$6,       (1-$C$16), (1-$E$16))</f>
        <v>72.34467176494239</v>
      </c>
      <c r="E20" s="39">
        <f t="shared" si="0"/>
        <v>74.391113198696857</v>
      </c>
      <c r="F20" s="39">
        <f t="shared" si="0"/>
        <v>76.205485935900953</v>
      </c>
      <c r="G20" s="39">
        <f t="shared" si="0"/>
        <v>119.74312406658684</v>
      </c>
      <c r="H20" s="39">
        <f t="shared" si="0"/>
        <v>106.34308418988188</v>
      </c>
      <c r="I20" s="39">
        <f t="shared" si="0"/>
        <v>98.489929496727257</v>
      </c>
      <c r="J20" s="39">
        <f t="shared" si="0"/>
        <v>94.129506143053234</v>
      </c>
      <c r="K20" s="39">
        <f t="shared" si="0"/>
        <v>92.125809668947284</v>
      </c>
      <c r="L20" s="39">
        <f t="shared" si="0"/>
        <v>91.502179185646156</v>
      </c>
      <c r="M20" s="39">
        <f t="shared" si="0"/>
        <v>91.69304402844304</v>
      </c>
      <c r="N20" s="39">
        <f t="shared" si="0"/>
        <v>92.429819695048351</v>
      </c>
      <c r="O20" s="39">
        <f t="shared" si="0"/>
        <v>93.413494094695281</v>
      </c>
      <c r="P20" s="39">
        <f t="shared" si="0"/>
        <v>94.522622837587321</v>
      </c>
      <c r="Q20" s="39">
        <f t="shared" si="0"/>
        <v>95.712432626956101</v>
      </c>
      <c r="R20" s="39">
        <f t="shared" si="0"/>
        <v>96.943915620243089</v>
      </c>
      <c r="S20" s="39">
        <f t="shared" si="0"/>
        <v>98.185881102523908</v>
      </c>
      <c r="T20" s="39">
        <f t="shared" si="0"/>
        <v>99.442253833731883</v>
      </c>
      <c r="U20" s="39">
        <f t="shared" si="0"/>
        <v>100.75961521702413</v>
      </c>
      <c r="V20" s="39">
        <f t="shared" si="0"/>
        <v>102.05946429512016</v>
      </c>
      <c r="W20" s="39">
        <f t="shared" si="0"/>
        <v>103.32823229491066</v>
      </c>
      <c r="X20" s="39">
        <f t="shared" si="0"/>
        <v>104.59518469880786</v>
      </c>
      <c r="Y20" s="39">
        <f t="shared" si="0"/>
        <v>105.8438744922135</v>
      </c>
      <c r="Z20" s="39">
        <f t="shared" si="0"/>
        <v>107.06342706248981</v>
      </c>
      <c r="AA20" s="39">
        <f t="shared" si="0"/>
        <v>108.24729154939322</v>
      </c>
      <c r="AB20" s="39">
        <f t="shared" si="0"/>
        <v>109.40439508184311</v>
      </c>
      <c r="AC20" s="39">
        <f t="shared" si="0"/>
        <v>110.52099956514951</v>
      </c>
      <c r="AD20" s="39">
        <f t="shared" si="0"/>
        <v>111.58563498999474</v>
      </c>
      <c r="AE20" s="39">
        <f t="shared" si="0"/>
        <v>112.59117491928401</v>
      </c>
      <c r="AF20" s="39">
        <f t="shared" ref="AF20:AO20" si="1">AF19*IF(AF$18&lt;$C$6,       (1-$C$16), (1-$E$16))</f>
        <v>113.54135305516041</v>
      </c>
      <c r="AG20" s="39">
        <f t="shared" si="1"/>
        <v>114.45980974240891</v>
      </c>
      <c r="AH20" s="39">
        <f t="shared" si="1"/>
        <v>115.34930777095745</v>
      </c>
      <c r="AI20" s="39">
        <f t="shared" si="1"/>
        <v>116.22362331963447</v>
      </c>
      <c r="AJ20" s="39">
        <f t="shared" si="1"/>
        <v>117.06970806661994</v>
      </c>
      <c r="AK20" s="39">
        <f t="shared" si="1"/>
        <v>117.8651820503638</v>
      </c>
      <c r="AL20" s="39">
        <f t="shared" si="1"/>
        <v>118.59878622573204</v>
      </c>
      <c r="AM20" s="39">
        <f t="shared" si="1"/>
        <v>119.26189786176113</v>
      </c>
      <c r="AN20" s="39">
        <f t="shared" si="1"/>
        <v>119.84972111166584</v>
      </c>
      <c r="AO20" s="39">
        <f t="shared" si="1"/>
        <v>120.358651278473</v>
      </c>
      <c r="AP20" s="39">
        <f t="shared" ref="AP20:BA20" si="2">AP19*IF(AP$18&lt;$C$6,       (1-$C$16), (1-$E$16))</f>
        <v>120.8277473743494</v>
      </c>
      <c r="AQ20" s="39">
        <f t="shared" si="2"/>
        <v>121.29095579752428</v>
      </c>
      <c r="AR20" s="39">
        <f t="shared" si="2"/>
        <v>121.77135801225002</v>
      </c>
      <c r="AS20" s="39">
        <f t="shared" si="2"/>
        <v>122.12463483612022</v>
      </c>
      <c r="AT20" s="39">
        <f t="shared" si="2"/>
        <v>122.39696711993983</v>
      </c>
      <c r="AU20" s="39">
        <f t="shared" si="2"/>
        <v>122.61782221434707</v>
      </c>
      <c r="AV20" s="39">
        <f t="shared" si="2"/>
        <v>122.71108025717933</v>
      </c>
      <c r="AW20" s="39">
        <f t="shared" si="2"/>
        <v>122.73626539618894</v>
      </c>
      <c r="AX20" s="39">
        <f t="shared" si="2"/>
        <v>122.72739860976175</v>
      </c>
      <c r="AY20" s="39">
        <f t="shared" si="2"/>
        <v>122.70349546997588</v>
      </c>
      <c r="AZ20" s="39">
        <f t="shared" si="2"/>
        <v>122.6748208885749</v>
      </c>
      <c r="BA20" s="39">
        <f t="shared" si="2"/>
        <v>122.64660708154378</v>
      </c>
    </row>
    <row r="21" spans="1:53">
      <c r="A21" s="9"/>
      <c r="T21" s="64"/>
      <c r="U21" s="64"/>
      <c r="V21" s="64"/>
      <c r="W21" s="64"/>
      <c r="X21" s="64"/>
      <c r="Y21" s="64"/>
      <c r="Z21" s="64"/>
      <c r="AA21" s="64"/>
      <c r="AB21" s="64"/>
      <c r="AC21" s="64"/>
      <c r="AD21" s="64"/>
      <c r="AE21" s="64"/>
      <c r="AF21" s="64"/>
      <c r="AG21" s="64"/>
      <c r="AH21" s="64"/>
      <c r="AI21" s="64"/>
      <c r="AJ21" s="64"/>
      <c r="AK21" s="64"/>
      <c r="AL21" s="64"/>
      <c r="AM21" s="64"/>
      <c r="AN21" s="64"/>
      <c r="AO21" s="64"/>
      <c r="AP21" s="64"/>
      <c r="AQ21" s="64"/>
      <c r="AR21" s="64"/>
      <c r="AS21" s="64"/>
      <c r="AT21" s="64"/>
      <c r="AU21" s="64"/>
      <c r="AV21" s="64"/>
      <c r="AW21" s="64"/>
      <c r="AX21" s="64"/>
      <c r="AY21" s="64"/>
      <c r="AZ21" s="64"/>
      <c r="BA21" s="64"/>
    </row>
    <row r="22" spans="1:53">
      <c r="A22" s="9"/>
      <c r="C22" s="34" t="s">
        <v>20</v>
      </c>
      <c r="E22" s="537" t="s">
        <v>3200</v>
      </c>
      <c r="F22" s="64"/>
      <c r="G22" s="64"/>
      <c r="H22" s="64"/>
      <c r="I22" s="64"/>
      <c r="J22" s="64"/>
      <c r="K22" s="64"/>
      <c r="L22" s="64"/>
      <c r="M22" s="64"/>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c r="AS22" s="64"/>
      <c r="AT22" s="64"/>
      <c r="AU22" s="64"/>
      <c r="AV22" s="64"/>
      <c r="AW22" s="64"/>
      <c r="AX22" s="64"/>
      <c r="AY22" s="64"/>
      <c r="AZ22" s="64"/>
      <c r="BA22" s="64"/>
    </row>
    <row r="23" spans="1:53" ht="29">
      <c r="A23" s="9"/>
      <c r="B23" s="347" t="s">
        <v>3212</v>
      </c>
      <c r="C23" s="391">
        <f>'Control Assumptions'!C219*SUM('Control Assumptions'!C138:C139)</f>
        <v>6.9461077844311367E-2</v>
      </c>
      <c r="D23" s="64"/>
      <c r="E23" s="391">
        <f>'Control Assumptions'!C225*SUM('Control Assumptions'!C148:C149)</f>
        <v>0.76500000000000001</v>
      </c>
      <c r="F23" s="64"/>
      <c r="G23" s="64"/>
      <c r="H23" s="64"/>
      <c r="I23" s="64"/>
      <c r="J23" s="64"/>
      <c r="K23" s="64"/>
      <c r="L23" s="64"/>
      <c r="M23" s="64"/>
      <c r="N23" s="64"/>
      <c r="O23" s="64"/>
      <c r="P23" s="64"/>
      <c r="Q23" s="64"/>
      <c r="R23" s="64"/>
      <c r="S23" s="64"/>
      <c r="T23" s="64"/>
      <c r="U23" s="64"/>
      <c r="V23" s="64"/>
      <c r="W23" s="64"/>
      <c r="X23" s="64"/>
      <c r="Y23" s="64"/>
      <c r="Z23" s="64"/>
      <c r="AA23" s="64"/>
      <c r="AB23" s="64"/>
      <c r="AC23" s="64"/>
      <c r="AD23" s="64"/>
      <c r="AE23" s="64"/>
      <c r="AF23" s="64"/>
      <c r="AG23" s="64"/>
      <c r="AH23" s="64"/>
      <c r="AI23" s="64"/>
      <c r="AJ23" s="64"/>
      <c r="AK23" s="64"/>
      <c r="AL23" s="64"/>
      <c r="AM23" s="64"/>
      <c r="AN23" s="64"/>
      <c r="AO23" s="64"/>
      <c r="AP23" s="64"/>
      <c r="AQ23" s="64"/>
      <c r="AR23" s="64"/>
      <c r="AS23" s="64"/>
      <c r="AT23" s="64"/>
      <c r="AU23" s="64"/>
      <c r="AV23" s="64"/>
      <c r="AW23" s="64"/>
      <c r="AX23" s="64"/>
      <c r="AY23" s="64"/>
      <c r="AZ23" s="64"/>
      <c r="BA23" s="64"/>
    </row>
    <row r="24" spans="1:53">
      <c r="A24" s="9"/>
      <c r="B24" s="63"/>
      <c r="C24" s="64"/>
      <c r="D24" s="64"/>
      <c r="E24" s="64"/>
      <c r="F24" s="64"/>
      <c r="G24" s="64"/>
      <c r="H24" s="64"/>
      <c r="I24" s="64"/>
      <c r="J24" s="64"/>
      <c r="K24" s="64"/>
      <c r="L24" s="64"/>
      <c r="M24" s="64"/>
      <c r="N24" s="64"/>
      <c r="O24" s="64"/>
      <c r="P24" s="64"/>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64"/>
      <c r="AS24" s="64"/>
      <c r="AT24" s="64"/>
      <c r="AU24" s="64"/>
      <c r="AV24" s="64"/>
      <c r="AW24" s="64"/>
      <c r="AX24" s="64"/>
      <c r="AY24" s="64"/>
      <c r="AZ24" s="64"/>
      <c r="BA24" s="64"/>
    </row>
    <row r="25" spans="1:53">
      <c r="A25" s="9"/>
      <c r="B25" s="4"/>
    </row>
    <row r="26" spans="1:53">
      <c r="B26" s="34"/>
      <c r="C26" s="386">
        <f>'Prevalence projection'!C$21</f>
        <v>2020</v>
      </c>
      <c r="D26" s="386">
        <f t="shared" ref="D26:AE26" si="3">C26+1</f>
        <v>2021</v>
      </c>
      <c r="E26" s="386">
        <f t="shared" si="3"/>
        <v>2022</v>
      </c>
      <c r="F26" s="386">
        <f t="shared" si="3"/>
        <v>2023</v>
      </c>
      <c r="G26" s="386">
        <f t="shared" si="3"/>
        <v>2024</v>
      </c>
      <c r="H26" s="386">
        <f t="shared" si="3"/>
        <v>2025</v>
      </c>
      <c r="I26" s="386">
        <f t="shared" si="3"/>
        <v>2026</v>
      </c>
      <c r="J26" s="386">
        <f t="shared" si="3"/>
        <v>2027</v>
      </c>
      <c r="K26" s="386">
        <f t="shared" si="3"/>
        <v>2028</v>
      </c>
      <c r="L26" s="386">
        <f t="shared" si="3"/>
        <v>2029</v>
      </c>
      <c r="M26" s="386">
        <f t="shared" si="3"/>
        <v>2030</v>
      </c>
      <c r="N26" s="386">
        <f t="shared" si="3"/>
        <v>2031</v>
      </c>
      <c r="O26" s="386">
        <f t="shared" si="3"/>
        <v>2032</v>
      </c>
      <c r="P26" s="386">
        <f t="shared" si="3"/>
        <v>2033</v>
      </c>
      <c r="Q26" s="386">
        <f t="shared" si="3"/>
        <v>2034</v>
      </c>
      <c r="R26" s="386">
        <f t="shared" si="3"/>
        <v>2035</v>
      </c>
      <c r="S26" s="386">
        <f t="shared" si="3"/>
        <v>2036</v>
      </c>
      <c r="T26" s="386">
        <f t="shared" si="3"/>
        <v>2037</v>
      </c>
      <c r="U26" s="386">
        <f t="shared" si="3"/>
        <v>2038</v>
      </c>
      <c r="V26" s="386">
        <f t="shared" si="3"/>
        <v>2039</v>
      </c>
      <c r="W26" s="386">
        <f t="shared" si="3"/>
        <v>2040</v>
      </c>
      <c r="X26" s="386">
        <f t="shared" si="3"/>
        <v>2041</v>
      </c>
      <c r="Y26" s="386">
        <f t="shared" si="3"/>
        <v>2042</v>
      </c>
      <c r="Z26" s="386">
        <f t="shared" si="3"/>
        <v>2043</v>
      </c>
      <c r="AA26" s="386">
        <f t="shared" si="3"/>
        <v>2044</v>
      </c>
      <c r="AB26" s="386">
        <f t="shared" si="3"/>
        <v>2045</v>
      </c>
      <c r="AC26" s="386">
        <f t="shared" si="3"/>
        <v>2046</v>
      </c>
      <c r="AD26" s="386">
        <f t="shared" si="3"/>
        <v>2047</v>
      </c>
      <c r="AE26" s="386">
        <f t="shared" si="3"/>
        <v>2048</v>
      </c>
      <c r="AF26" s="386">
        <f t="shared" ref="AF26" si="4">AE26+1</f>
        <v>2049</v>
      </c>
      <c r="AG26" s="386">
        <f t="shared" ref="AG26" si="5">AF26+1</f>
        <v>2050</v>
      </c>
      <c r="AH26" s="386">
        <f t="shared" ref="AH26" si="6">AG26+1</f>
        <v>2051</v>
      </c>
      <c r="AI26" s="386">
        <f t="shared" ref="AI26" si="7">AH26+1</f>
        <v>2052</v>
      </c>
      <c r="AJ26" s="386">
        <f t="shared" ref="AJ26" si="8">AI26+1</f>
        <v>2053</v>
      </c>
      <c r="AK26" s="386">
        <f t="shared" ref="AK26" si="9">AJ26+1</f>
        <v>2054</v>
      </c>
      <c r="AL26" s="386">
        <f t="shared" ref="AL26" si="10">AK26+1</f>
        <v>2055</v>
      </c>
      <c r="AM26" s="386">
        <f t="shared" ref="AM26" si="11">AL26+1</f>
        <v>2056</v>
      </c>
      <c r="AN26" s="386">
        <f t="shared" ref="AN26:AO26" si="12">AM26+1</f>
        <v>2057</v>
      </c>
      <c r="AO26" s="386">
        <f t="shared" si="12"/>
        <v>2058</v>
      </c>
      <c r="AP26" s="386">
        <f t="shared" ref="AP26" si="13">AO26+1</f>
        <v>2059</v>
      </c>
      <c r="AQ26" s="386">
        <f t="shared" ref="AQ26" si="14">AP26+1</f>
        <v>2060</v>
      </c>
      <c r="AR26" s="386">
        <f t="shared" ref="AR26" si="15">AQ26+1</f>
        <v>2061</v>
      </c>
      <c r="AS26" s="386">
        <f t="shared" ref="AS26" si="16">AR26+1</f>
        <v>2062</v>
      </c>
      <c r="AT26" s="386">
        <f t="shared" ref="AT26" si="17">AS26+1</f>
        <v>2063</v>
      </c>
      <c r="AU26" s="386">
        <f t="shared" ref="AU26" si="18">AT26+1</f>
        <v>2064</v>
      </c>
      <c r="AV26" s="386">
        <f t="shared" ref="AV26" si="19">AU26+1</f>
        <v>2065</v>
      </c>
      <c r="AW26" s="386">
        <f t="shared" ref="AW26" si="20">AV26+1</f>
        <v>2066</v>
      </c>
      <c r="AX26" s="386">
        <f t="shared" ref="AX26" si="21">AW26+1</f>
        <v>2067</v>
      </c>
      <c r="AY26" s="386">
        <f t="shared" ref="AY26" si="22">AX26+1</f>
        <v>2068</v>
      </c>
      <c r="AZ26" s="386">
        <f t="shared" ref="AZ26" si="23">AY26+1</f>
        <v>2069</v>
      </c>
      <c r="BA26" s="386">
        <f t="shared" ref="BA26" si="24">AZ26+1</f>
        <v>2070</v>
      </c>
    </row>
    <row r="27" spans="1:53" ht="29">
      <c r="B27" s="6" t="s">
        <v>2935</v>
      </c>
      <c r="C27" s="394">
        <f>C20*IF(  C$26&lt;$C$6, $C$23, $E$23)</f>
        <v>4.8590541916167656</v>
      </c>
      <c r="D27" s="394">
        <f t="shared" ref="D27:AE27" si="25">D20*IF(  D$26&lt;$C$6, $C$23, $E$23)</f>
        <v>5.0251388770858183</v>
      </c>
      <c r="E27" s="394">
        <f t="shared" si="25"/>
        <v>5.1672869048196608</v>
      </c>
      <c r="F27" s="394">
        <f t="shared" si="25"/>
        <v>5.2933151907571911</v>
      </c>
      <c r="G27" s="394">
        <f t="shared" si="25"/>
        <v>91.603489910938933</v>
      </c>
      <c r="H27" s="394">
        <f t="shared" si="25"/>
        <v>81.352459405259637</v>
      </c>
      <c r="I27" s="394">
        <f t="shared" si="25"/>
        <v>75.344796064996359</v>
      </c>
      <c r="J27" s="394">
        <f t="shared" si="25"/>
        <v>72.009072199435721</v>
      </c>
      <c r="K27" s="394">
        <f t="shared" si="25"/>
        <v>70.476244396744676</v>
      </c>
      <c r="L27" s="394">
        <f t="shared" si="25"/>
        <v>69.999167077019308</v>
      </c>
      <c r="M27" s="394">
        <f t="shared" si="25"/>
        <v>70.145178681758921</v>
      </c>
      <c r="N27" s="394">
        <f t="shared" si="25"/>
        <v>70.708812066711985</v>
      </c>
      <c r="O27" s="394">
        <f t="shared" si="25"/>
        <v>71.461322982441885</v>
      </c>
      <c r="P27" s="394">
        <f t="shared" si="25"/>
        <v>72.309806470754296</v>
      </c>
      <c r="Q27" s="394">
        <f t="shared" si="25"/>
        <v>73.220010959621419</v>
      </c>
      <c r="R27" s="394">
        <f t="shared" si="25"/>
        <v>74.16209544948596</v>
      </c>
      <c r="S27" s="394">
        <f t="shared" si="25"/>
        <v>75.112199043430792</v>
      </c>
      <c r="T27" s="394">
        <f t="shared" si="25"/>
        <v>76.073324182804896</v>
      </c>
      <c r="U27" s="394">
        <f t="shared" si="25"/>
        <v>77.08110564102347</v>
      </c>
      <c r="V27" s="394">
        <f t="shared" si="25"/>
        <v>78.075490185766924</v>
      </c>
      <c r="W27" s="394">
        <f t="shared" si="25"/>
        <v>79.046097705606655</v>
      </c>
      <c r="X27" s="394">
        <f t="shared" si="25"/>
        <v>80.015316294588004</v>
      </c>
      <c r="Y27" s="394">
        <f t="shared" si="25"/>
        <v>80.970563986543326</v>
      </c>
      <c r="Z27" s="394">
        <f t="shared" si="25"/>
        <v>81.90352170280471</v>
      </c>
      <c r="AA27" s="394">
        <f t="shared" si="25"/>
        <v>82.809178035285825</v>
      </c>
      <c r="AB27" s="394">
        <f t="shared" si="25"/>
        <v>83.69436223760998</v>
      </c>
      <c r="AC27" s="394">
        <f t="shared" si="25"/>
        <v>84.548564667339377</v>
      </c>
      <c r="AD27" s="394">
        <f t="shared" si="25"/>
        <v>85.363010767345983</v>
      </c>
      <c r="AE27" s="394">
        <f t="shared" si="25"/>
        <v>86.132248813252275</v>
      </c>
      <c r="AF27" s="394">
        <f t="shared" ref="AF27:AO27" si="26">AF20*IF(  AF$26&lt;$C$6, $C$23, $E$23)</f>
        <v>86.859135087197714</v>
      </c>
      <c r="AG27" s="394">
        <f t="shared" si="26"/>
        <v>87.561754452942822</v>
      </c>
      <c r="AH27" s="394">
        <f t="shared" si="26"/>
        <v>88.242220444782447</v>
      </c>
      <c r="AI27" s="394">
        <f t="shared" si="26"/>
        <v>88.911071839520375</v>
      </c>
      <c r="AJ27" s="394">
        <f t="shared" si="26"/>
        <v>89.558326670964249</v>
      </c>
      <c r="AK27" s="394">
        <f t="shared" si="26"/>
        <v>90.166864268528315</v>
      </c>
      <c r="AL27" s="394">
        <f t="shared" si="26"/>
        <v>90.728071462685008</v>
      </c>
      <c r="AM27" s="394">
        <f t="shared" si="26"/>
        <v>91.235351864247264</v>
      </c>
      <c r="AN27" s="394">
        <f t="shared" si="26"/>
        <v>91.685036650424365</v>
      </c>
      <c r="AO27" s="394">
        <f t="shared" si="26"/>
        <v>92.074368228031844</v>
      </c>
      <c r="AP27" s="394">
        <f t="shared" ref="AP27:BA27" si="27">AP20*IF(  AP$26&lt;$C$6, $C$23, $E$23)</f>
        <v>92.433226741377297</v>
      </c>
      <c r="AQ27" s="394">
        <f t="shared" si="27"/>
        <v>92.787581185106077</v>
      </c>
      <c r="AR27" s="394">
        <f t="shared" si="27"/>
        <v>93.155088879371263</v>
      </c>
      <c r="AS27" s="394">
        <f t="shared" si="27"/>
        <v>93.425345649631979</v>
      </c>
      <c r="AT27" s="394">
        <f t="shared" si="27"/>
        <v>93.633679846753978</v>
      </c>
      <c r="AU27" s="394">
        <f t="shared" si="27"/>
        <v>93.802633993975505</v>
      </c>
      <c r="AV27" s="394">
        <f t="shared" si="27"/>
        <v>93.873976396742194</v>
      </c>
      <c r="AW27" s="394">
        <f t="shared" si="27"/>
        <v>93.893243028084541</v>
      </c>
      <c r="AX27" s="394">
        <f t="shared" si="27"/>
        <v>93.886459936467745</v>
      </c>
      <c r="AY27" s="394">
        <f t="shared" si="27"/>
        <v>93.868174034531549</v>
      </c>
      <c r="AZ27" s="394">
        <f t="shared" si="27"/>
        <v>93.846237979759806</v>
      </c>
      <c r="BA27" s="394">
        <f t="shared" si="27"/>
        <v>93.824654417380998</v>
      </c>
    </row>
    <row r="28" spans="1:53">
      <c r="B28" s="349" t="s">
        <v>2933</v>
      </c>
      <c r="C28" s="540">
        <f>C27/C20</f>
        <v>6.9461077844311367E-2</v>
      </c>
      <c r="D28" s="540">
        <f t="shared" ref="D28:AE28" si="28">D27/D20</f>
        <v>6.9461077844311367E-2</v>
      </c>
      <c r="E28" s="540">
        <f t="shared" si="28"/>
        <v>6.9461077844311367E-2</v>
      </c>
      <c r="F28" s="540">
        <f t="shared" si="28"/>
        <v>6.9461077844311367E-2</v>
      </c>
      <c r="G28" s="540">
        <f t="shared" si="28"/>
        <v>0.76500000000000001</v>
      </c>
      <c r="H28" s="540">
        <f t="shared" si="28"/>
        <v>0.76500000000000001</v>
      </c>
      <c r="I28" s="540">
        <f t="shared" si="28"/>
        <v>0.76500000000000012</v>
      </c>
      <c r="J28" s="540">
        <f t="shared" si="28"/>
        <v>0.76500000000000001</v>
      </c>
      <c r="K28" s="540">
        <f t="shared" si="28"/>
        <v>0.76500000000000001</v>
      </c>
      <c r="L28" s="540">
        <f t="shared" si="28"/>
        <v>0.76500000000000001</v>
      </c>
      <c r="M28" s="540">
        <f t="shared" si="28"/>
        <v>0.7649999999999999</v>
      </c>
      <c r="N28" s="540">
        <f t="shared" si="28"/>
        <v>0.76500000000000001</v>
      </c>
      <c r="O28" s="540">
        <f t="shared" si="28"/>
        <v>0.7649999999999999</v>
      </c>
      <c r="P28" s="540">
        <f t="shared" si="28"/>
        <v>0.7649999999999999</v>
      </c>
      <c r="Q28" s="540">
        <f t="shared" si="28"/>
        <v>0.76500000000000001</v>
      </c>
      <c r="R28" s="540">
        <f t="shared" si="28"/>
        <v>0.76500000000000001</v>
      </c>
      <c r="S28" s="540">
        <f t="shared" si="28"/>
        <v>0.76500000000000001</v>
      </c>
      <c r="T28" s="540">
        <f t="shared" si="28"/>
        <v>0.76500000000000001</v>
      </c>
      <c r="U28" s="540">
        <f t="shared" si="28"/>
        <v>0.76500000000000012</v>
      </c>
      <c r="V28" s="540">
        <f t="shared" si="28"/>
        <v>0.76500000000000001</v>
      </c>
      <c r="W28" s="540">
        <f t="shared" si="28"/>
        <v>0.76500000000000001</v>
      </c>
      <c r="X28" s="540">
        <f t="shared" si="28"/>
        <v>0.7649999999999999</v>
      </c>
      <c r="Y28" s="540">
        <f t="shared" si="28"/>
        <v>0.76500000000000001</v>
      </c>
      <c r="Z28" s="540">
        <f t="shared" si="28"/>
        <v>0.76500000000000001</v>
      </c>
      <c r="AA28" s="540">
        <f t="shared" si="28"/>
        <v>0.76500000000000012</v>
      </c>
      <c r="AB28" s="540">
        <f t="shared" si="28"/>
        <v>0.76500000000000001</v>
      </c>
      <c r="AC28" s="540">
        <f t="shared" si="28"/>
        <v>0.76500000000000001</v>
      </c>
      <c r="AD28" s="540">
        <f t="shared" si="28"/>
        <v>0.76500000000000001</v>
      </c>
      <c r="AE28" s="540">
        <f t="shared" si="28"/>
        <v>0.76500000000000001</v>
      </c>
      <c r="AF28" s="540">
        <f t="shared" ref="AF28:AO28" si="29">AF27/AF20</f>
        <v>0.76500000000000001</v>
      </c>
      <c r="AG28" s="540">
        <f t="shared" si="29"/>
        <v>0.76500000000000001</v>
      </c>
      <c r="AH28" s="540">
        <f t="shared" si="29"/>
        <v>0.76500000000000001</v>
      </c>
      <c r="AI28" s="540">
        <f t="shared" si="29"/>
        <v>0.76500000000000001</v>
      </c>
      <c r="AJ28" s="540">
        <f t="shared" si="29"/>
        <v>0.76500000000000001</v>
      </c>
      <c r="AK28" s="540">
        <f t="shared" si="29"/>
        <v>0.76500000000000012</v>
      </c>
      <c r="AL28" s="540">
        <f t="shared" si="29"/>
        <v>0.76500000000000001</v>
      </c>
      <c r="AM28" s="540">
        <f t="shared" si="29"/>
        <v>0.76500000000000001</v>
      </c>
      <c r="AN28" s="540">
        <f t="shared" si="29"/>
        <v>0.76500000000000001</v>
      </c>
      <c r="AO28" s="540">
        <f t="shared" si="29"/>
        <v>0.76500000000000001</v>
      </c>
      <c r="AP28" s="540">
        <f t="shared" ref="AP28:BA28" si="30">AP27/AP20</f>
        <v>0.76500000000000001</v>
      </c>
      <c r="AQ28" s="540">
        <f t="shared" si="30"/>
        <v>0.76500000000000001</v>
      </c>
      <c r="AR28" s="540">
        <f t="shared" si="30"/>
        <v>0.76500000000000001</v>
      </c>
      <c r="AS28" s="540">
        <f t="shared" si="30"/>
        <v>0.76500000000000012</v>
      </c>
      <c r="AT28" s="540">
        <f t="shared" si="30"/>
        <v>0.76500000000000001</v>
      </c>
      <c r="AU28" s="540">
        <f t="shared" si="30"/>
        <v>0.7649999999999999</v>
      </c>
      <c r="AV28" s="540">
        <f t="shared" si="30"/>
        <v>0.76500000000000001</v>
      </c>
      <c r="AW28" s="540">
        <f t="shared" si="30"/>
        <v>0.76500000000000001</v>
      </c>
      <c r="AX28" s="540">
        <f t="shared" si="30"/>
        <v>0.76500000000000001</v>
      </c>
      <c r="AY28" s="540">
        <f t="shared" si="30"/>
        <v>0.76500000000000001</v>
      </c>
      <c r="AZ28" s="540">
        <f t="shared" si="30"/>
        <v>0.76500000000000001</v>
      </c>
      <c r="BA28" s="540">
        <f t="shared" si="30"/>
        <v>0.76500000000000001</v>
      </c>
    </row>
    <row r="29" spans="1:53">
      <c r="B29" s="349"/>
      <c r="C29" s="393"/>
      <c r="D29" s="393"/>
      <c r="E29" s="393"/>
      <c r="F29" s="393"/>
      <c r="G29" s="393"/>
      <c r="H29" s="393"/>
      <c r="I29" s="393"/>
      <c r="J29" s="393"/>
      <c r="K29" s="393"/>
      <c r="L29" s="393"/>
      <c r="M29" s="393"/>
      <c r="N29" s="393"/>
      <c r="O29" s="393"/>
      <c r="P29" s="393"/>
      <c r="Q29" s="393"/>
      <c r="R29" s="393"/>
      <c r="S29" s="393"/>
      <c r="T29" s="393"/>
      <c r="U29" s="393"/>
      <c r="V29" s="393"/>
      <c r="W29" s="393"/>
      <c r="X29" s="393"/>
      <c r="Y29" s="393"/>
      <c r="Z29" s="393"/>
      <c r="AA29" s="393"/>
      <c r="AB29" s="393"/>
      <c r="AC29" s="393"/>
      <c r="AD29" s="393"/>
      <c r="AE29" s="393"/>
    </row>
    <row r="30" spans="1:53">
      <c r="B30" s="349"/>
      <c r="C30" s="393"/>
      <c r="D30" s="393"/>
      <c r="E30" s="393"/>
      <c r="F30" s="393"/>
      <c r="G30" s="393"/>
      <c r="H30" s="393"/>
      <c r="I30" s="393"/>
      <c r="J30" s="393"/>
      <c r="K30" s="393"/>
      <c r="L30" s="393"/>
      <c r="M30" s="393"/>
      <c r="N30" s="393"/>
      <c r="O30" s="393"/>
      <c r="P30" s="393"/>
      <c r="Q30" s="393"/>
      <c r="R30" s="393"/>
      <c r="S30" s="393"/>
      <c r="T30" s="393"/>
      <c r="U30" s="393"/>
      <c r="V30" s="393"/>
      <c r="W30" s="393"/>
      <c r="X30" s="393"/>
      <c r="Y30" s="393"/>
      <c r="Z30" s="393"/>
      <c r="AA30" s="393"/>
      <c r="AB30" s="393"/>
      <c r="AC30" s="393"/>
      <c r="AD30" s="393"/>
      <c r="AE30" s="393"/>
    </row>
    <row r="31" spans="1:53">
      <c r="A31" s="9"/>
      <c r="B31" s="9" t="s">
        <v>2981</v>
      </c>
      <c r="C31" s="393"/>
      <c r="D31" s="393"/>
      <c r="E31" s="393"/>
      <c r="F31" s="393"/>
      <c r="G31" s="393"/>
      <c r="H31" s="393"/>
      <c r="I31" s="393"/>
      <c r="J31" s="393"/>
      <c r="K31" s="393"/>
      <c r="L31" s="393"/>
      <c r="M31" s="393"/>
      <c r="N31" s="393"/>
      <c r="O31" s="393"/>
      <c r="P31" s="393"/>
      <c r="Q31" s="393"/>
      <c r="R31" s="393"/>
      <c r="S31" s="393"/>
      <c r="T31" s="393"/>
      <c r="U31" s="393"/>
      <c r="V31" s="393"/>
      <c r="W31" s="393"/>
      <c r="X31" s="393"/>
      <c r="Y31" s="393"/>
      <c r="Z31" s="393"/>
      <c r="AA31" s="393"/>
      <c r="AB31" s="393"/>
      <c r="AC31" s="393"/>
      <c r="AD31" s="393"/>
      <c r="AE31" s="393"/>
    </row>
    <row r="32" spans="1:53">
      <c r="A32" s="9"/>
      <c r="B32" s="9"/>
    </row>
    <row r="33" spans="1:32" s="95" customFormat="1">
      <c r="B33" s="345" t="s">
        <v>2898</v>
      </c>
      <c r="C33" s="345" t="s">
        <v>2898</v>
      </c>
      <c r="D33" s="345" t="s">
        <v>2937</v>
      </c>
      <c r="E33" s="96"/>
      <c r="F33" s="356"/>
      <c r="G33" s="342"/>
      <c r="H33" s="96"/>
      <c r="I33" s="342"/>
      <c r="J33" s="342"/>
      <c r="K33" s="96"/>
    </row>
    <row r="34" spans="1:32" s="95" customFormat="1">
      <c r="B34" s="347" t="s">
        <v>2899</v>
      </c>
      <c r="C34" s="304">
        <v>79.2</v>
      </c>
      <c r="D34" s="391">
        <f>1-D35</f>
        <v>0.43200000000000005</v>
      </c>
      <c r="E34" s="96"/>
      <c r="F34" s="356"/>
      <c r="G34" s="342"/>
      <c r="H34" s="96"/>
      <c r="I34" s="342"/>
      <c r="J34" s="342"/>
      <c r="K34" s="96"/>
    </row>
    <row r="35" spans="1:32" s="95" customFormat="1">
      <c r="B35" s="347" t="s">
        <v>2900</v>
      </c>
      <c r="C35" s="304">
        <v>82.9</v>
      </c>
      <c r="D35" s="390">
        <v>0.56799999999999995</v>
      </c>
      <c r="E35" s="96"/>
      <c r="F35" s="356"/>
      <c r="G35" s="342"/>
      <c r="H35" s="96"/>
      <c r="I35" s="342"/>
      <c r="J35" s="342"/>
      <c r="K35" s="96"/>
    </row>
    <row r="36" spans="1:32" s="95" customFormat="1">
      <c r="B36" s="347" t="s">
        <v>2530</v>
      </c>
      <c r="C36" s="309">
        <f>SUMPRODUCT(C34:C35,D34:D35)</f>
        <v>81.301600000000008</v>
      </c>
      <c r="D36" s="96"/>
      <c r="E36" s="96"/>
      <c r="F36" s="356"/>
      <c r="G36" s="342"/>
      <c r="H36" s="96"/>
      <c r="I36" s="342"/>
      <c r="J36" s="342"/>
      <c r="K36" s="96"/>
    </row>
    <row r="37" spans="1:32" s="95" customFormat="1">
      <c r="B37" s="359"/>
      <c r="C37" s="349" t="s">
        <v>2901</v>
      </c>
      <c r="D37" s="349" t="s">
        <v>2504</v>
      </c>
      <c r="E37" s="96"/>
      <c r="F37" s="356"/>
      <c r="G37" s="342"/>
      <c r="H37" s="96"/>
      <c r="I37" s="342"/>
      <c r="J37" s="342"/>
      <c r="K37" s="96"/>
    </row>
    <row r="38" spans="1:32" s="95" customFormat="1">
      <c r="B38" s="345" t="s">
        <v>2</v>
      </c>
      <c r="C38" s="345" t="s">
        <v>40</v>
      </c>
      <c r="D38" s="349"/>
      <c r="E38" s="96"/>
      <c r="F38" s="356"/>
      <c r="G38" s="342"/>
      <c r="H38" s="96"/>
      <c r="I38" s="342"/>
      <c r="J38" s="342"/>
      <c r="K38" s="96"/>
    </row>
    <row r="39" spans="1:32" s="95" customFormat="1">
      <c r="B39" s="347" t="s">
        <v>2902</v>
      </c>
      <c r="C39" s="304">
        <v>70.599999999999994</v>
      </c>
      <c r="D39" s="349" t="s">
        <v>2504</v>
      </c>
      <c r="E39" s="96"/>
      <c r="F39" s="356"/>
      <c r="G39" s="342"/>
      <c r="H39" s="96"/>
      <c r="I39" s="342"/>
      <c r="J39" s="342"/>
      <c r="K39" s="96"/>
    </row>
    <row r="40" spans="1:32" s="95" customFormat="1" ht="29">
      <c r="B40" s="347" t="s">
        <v>2903</v>
      </c>
      <c r="C40" s="309">
        <f>C36-C39-1</f>
        <v>9.7016000000000133</v>
      </c>
      <c r="D40" s="349"/>
      <c r="E40" s="96"/>
      <c r="F40" s="356"/>
      <c r="G40" s="342"/>
      <c r="H40" s="96"/>
      <c r="I40" s="342"/>
      <c r="J40" s="342"/>
      <c r="K40" s="96"/>
    </row>
    <row r="42" spans="1:32" ht="29">
      <c r="B42" s="347" t="s">
        <v>2905</v>
      </c>
      <c r="C42" s="309">
        <f>ROUNDUP('Wound maintenance vols INT'!C40, 0.1)</f>
        <v>10</v>
      </c>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116"/>
      <c r="AE42" s="116"/>
      <c r="AF42" s="116"/>
    </row>
    <row r="43" spans="1:32">
      <c r="D43" s="116"/>
      <c r="E43" s="116"/>
      <c r="F43" s="116"/>
      <c r="G43" s="116"/>
      <c r="H43" s="116"/>
      <c r="I43" s="116"/>
      <c r="J43" s="116"/>
      <c r="K43" s="116"/>
      <c r="L43" s="116"/>
      <c r="M43" s="116"/>
      <c r="N43" s="116"/>
      <c r="O43" s="116"/>
      <c r="P43" s="116"/>
      <c r="Q43" s="116"/>
      <c r="R43" s="116"/>
      <c r="S43" s="116"/>
      <c r="T43" s="116"/>
      <c r="U43" s="116"/>
      <c r="V43" s="116"/>
      <c r="W43" s="116"/>
      <c r="X43" s="116"/>
      <c r="Y43" s="116"/>
      <c r="Z43" s="116"/>
      <c r="AA43" s="116"/>
      <c r="AB43" s="116"/>
      <c r="AC43" s="116"/>
      <c r="AD43" s="116"/>
      <c r="AE43" s="116"/>
      <c r="AF43" s="116"/>
    </row>
    <row r="44" spans="1:32">
      <c r="B44" s="359"/>
      <c r="C44" s="396"/>
      <c r="D44" s="116"/>
      <c r="E44" s="116"/>
      <c r="F44" s="116"/>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row>
    <row r="46" spans="1:32">
      <c r="B46" s="52"/>
      <c r="C46" s="113"/>
      <c r="D46" s="393"/>
      <c r="E46" s="393"/>
      <c r="F46" s="393"/>
      <c r="G46" s="393"/>
      <c r="H46" s="393"/>
      <c r="I46" s="393"/>
      <c r="J46" s="393"/>
      <c r="K46" s="393"/>
      <c r="L46" s="393"/>
      <c r="M46" s="393"/>
      <c r="N46" s="393"/>
      <c r="O46" s="393"/>
      <c r="P46" s="393"/>
      <c r="Q46" s="393"/>
      <c r="R46" s="393"/>
      <c r="S46" s="393"/>
      <c r="T46" s="393"/>
      <c r="U46" s="393"/>
      <c r="V46" s="393"/>
      <c r="W46" s="393"/>
      <c r="X46" s="393"/>
      <c r="Y46" s="393"/>
      <c r="Z46" s="393"/>
      <c r="AA46" s="393"/>
      <c r="AB46" s="393"/>
      <c r="AC46" s="393"/>
      <c r="AD46" s="393"/>
      <c r="AE46" s="393"/>
      <c r="AF46" s="393"/>
    </row>
    <row r="47" spans="1:32">
      <c r="A47" t="s">
        <v>10</v>
      </c>
      <c r="B47" s="114" t="s">
        <v>2936</v>
      </c>
      <c r="C47" s="393"/>
      <c r="D47" s="393"/>
      <c r="E47" s="393"/>
      <c r="F47" s="393"/>
      <c r="G47" s="393"/>
      <c r="H47" s="393"/>
      <c r="I47" s="393"/>
      <c r="J47" s="393"/>
      <c r="K47" s="393"/>
      <c r="L47" s="393"/>
      <c r="M47" s="393"/>
      <c r="N47" s="393"/>
      <c r="O47" s="393"/>
      <c r="P47" s="393"/>
      <c r="Q47" s="393"/>
      <c r="R47" s="393"/>
      <c r="S47" s="393"/>
      <c r="T47" s="393"/>
      <c r="U47" s="393"/>
      <c r="V47" s="393"/>
      <c r="W47" s="393"/>
      <c r="X47" s="393"/>
      <c r="Y47" s="393"/>
      <c r="Z47" s="393"/>
      <c r="AA47" s="393"/>
      <c r="AB47" s="393"/>
      <c r="AC47" s="393"/>
      <c r="AD47" s="393"/>
      <c r="AE47" s="393"/>
    </row>
    <row r="48" spans="1:32">
      <c r="B48" s="349" t="s">
        <v>2938</v>
      </c>
      <c r="C48" s="393"/>
      <c r="D48" s="393"/>
      <c r="E48" s="393"/>
      <c r="F48" s="393"/>
      <c r="G48" s="393"/>
      <c r="H48" s="393"/>
      <c r="I48" s="393"/>
      <c r="J48" s="393"/>
      <c r="K48" s="393"/>
      <c r="L48" s="393"/>
      <c r="M48" s="393"/>
      <c r="N48" s="393"/>
      <c r="O48" s="393"/>
      <c r="P48" s="393"/>
      <c r="Q48" s="393"/>
      <c r="R48" s="393"/>
      <c r="S48" s="393"/>
      <c r="T48" s="393"/>
      <c r="U48" s="393"/>
      <c r="V48" s="393"/>
      <c r="W48" s="393"/>
      <c r="X48" s="393"/>
      <c r="Y48" s="393"/>
      <c r="Z48" s="393"/>
      <c r="AA48" s="393"/>
      <c r="AB48" s="393"/>
      <c r="AC48" s="393"/>
      <c r="AD48" s="393"/>
      <c r="AE48" s="393"/>
    </row>
    <row r="49" spans="2:53">
      <c r="B49" s="114"/>
      <c r="C49" s="393"/>
      <c r="D49" s="393"/>
      <c r="E49" s="393"/>
      <c r="F49" s="393"/>
      <c r="G49" s="393"/>
      <c r="H49" s="393"/>
      <c r="I49" s="393"/>
      <c r="J49" s="393"/>
      <c r="K49" s="393"/>
      <c r="L49" s="393"/>
      <c r="M49" s="393"/>
      <c r="N49" s="393"/>
      <c r="O49" s="393"/>
      <c r="P49" s="393"/>
      <c r="Q49" s="393"/>
      <c r="R49" s="393"/>
      <c r="S49" s="393"/>
      <c r="T49" s="393"/>
      <c r="U49" s="393"/>
      <c r="V49" s="393"/>
      <c r="W49" s="393"/>
      <c r="X49" s="393"/>
      <c r="Y49" s="393"/>
      <c r="Z49" s="393"/>
      <c r="AA49" s="393"/>
      <c r="AB49" s="393"/>
      <c r="AC49" s="393"/>
      <c r="AD49" s="393"/>
      <c r="AE49" s="393"/>
    </row>
    <row r="50" spans="2:53">
      <c r="B50" s="113"/>
      <c r="C50" s="393" t="s">
        <v>2906</v>
      </c>
      <c r="D50" s="393"/>
      <c r="E50" s="393"/>
      <c r="F50" s="393"/>
      <c r="G50" s="393"/>
      <c r="H50" s="393"/>
      <c r="I50" s="393"/>
      <c r="J50" s="393"/>
      <c r="K50" s="393"/>
      <c r="L50" s="393"/>
      <c r="M50" s="393"/>
      <c r="N50" s="393"/>
      <c r="O50" s="393"/>
      <c r="P50" s="393"/>
      <c r="Q50" s="393"/>
      <c r="R50" s="393"/>
      <c r="S50" s="393"/>
      <c r="T50" s="393"/>
      <c r="U50" s="393"/>
      <c r="V50" s="393"/>
      <c r="W50" s="393"/>
      <c r="X50" s="393"/>
      <c r="Y50" s="393"/>
      <c r="Z50" s="393"/>
      <c r="AA50" s="393"/>
      <c r="AB50" s="393"/>
      <c r="AC50" s="393"/>
      <c r="AD50" s="393"/>
      <c r="AE50" s="393"/>
    </row>
    <row r="51" spans="2:53">
      <c r="B51" s="399" t="s">
        <v>2907</v>
      </c>
      <c r="C51" s="386">
        <f>'Prevalence projection'!C$21</f>
        <v>2020</v>
      </c>
      <c r="D51" s="386">
        <f t="shared" ref="D51:AE51" si="31">C51+1</f>
        <v>2021</v>
      </c>
      <c r="E51" s="386">
        <f t="shared" si="31"/>
        <v>2022</v>
      </c>
      <c r="F51" s="386">
        <f t="shared" si="31"/>
        <v>2023</v>
      </c>
      <c r="G51" s="386">
        <f t="shared" si="31"/>
        <v>2024</v>
      </c>
      <c r="H51" s="386">
        <f t="shared" si="31"/>
        <v>2025</v>
      </c>
      <c r="I51" s="386">
        <f t="shared" si="31"/>
        <v>2026</v>
      </c>
      <c r="J51" s="386">
        <f t="shared" si="31"/>
        <v>2027</v>
      </c>
      <c r="K51" s="386">
        <f t="shared" si="31"/>
        <v>2028</v>
      </c>
      <c r="L51" s="386">
        <f t="shared" si="31"/>
        <v>2029</v>
      </c>
      <c r="M51" s="386">
        <f t="shared" si="31"/>
        <v>2030</v>
      </c>
      <c r="N51" s="386">
        <f t="shared" si="31"/>
        <v>2031</v>
      </c>
      <c r="O51" s="386">
        <f t="shared" si="31"/>
        <v>2032</v>
      </c>
      <c r="P51" s="386">
        <f t="shared" si="31"/>
        <v>2033</v>
      </c>
      <c r="Q51" s="386">
        <f t="shared" si="31"/>
        <v>2034</v>
      </c>
      <c r="R51" s="386">
        <f t="shared" si="31"/>
        <v>2035</v>
      </c>
      <c r="S51" s="386">
        <f t="shared" si="31"/>
        <v>2036</v>
      </c>
      <c r="T51" s="386">
        <f t="shared" si="31"/>
        <v>2037</v>
      </c>
      <c r="U51" s="386">
        <f t="shared" si="31"/>
        <v>2038</v>
      </c>
      <c r="V51" s="386">
        <f t="shared" si="31"/>
        <v>2039</v>
      </c>
      <c r="W51" s="386">
        <f t="shared" si="31"/>
        <v>2040</v>
      </c>
      <c r="X51" s="386">
        <f t="shared" si="31"/>
        <v>2041</v>
      </c>
      <c r="Y51" s="386">
        <f t="shared" si="31"/>
        <v>2042</v>
      </c>
      <c r="Z51" s="386">
        <f t="shared" si="31"/>
        <v>2043</v>
      </c>
      <c r="AA51" s="386">
        <f t="shared" si="31"/>
        <v>2044</v>
      </c>
      <c r="AB51" s="386">
        <f t="shared" si="31"/>
        <v>2045</v>
      </c>
      <c r="AC51" s="386">
        <f t="shared" si="31"/>
        <v>2046</v>
      </c>
      <c r="AD51" s="386">
        <f t="shared" si="31"/>
        <v>2047</v>
      </c>
      <c r="AE51" s="386">
        <f t="shared" si="31"/>
        <v>2048</v>
      </c>
      <c r="AF51" s="386">
        <f t="shared" ref="AF51" si="32">AE51+1</f>
        <v>2049</v>
      </c>
      <c r="AG51" s="386">
        <f t="shared" ref="AG51" si="33">AF51+1</f>
        <v>2050</v>
      </c>
      <c r="AH51" s="386">
        <f t="shared" ref="AH51" si="34">AG51+1</f>
        <v>2051</v>
      </c>
      <c r="AI51" s="386">
        <f t="shared" ref="AI51" si="35">AH51+1</f>
        <v>2052</v>
      </c>
      <c r="AJ51" s="386">
        <f t="shared" ref="AJ51" si="36">AI51+1</f>
        <v>2053</v>
      </c>
      <c r="AK51" s="386">
        <f t="shared" ref="AK51" si="37">AJ51+1</f>
        <v>2054</v>
      </c>
      <c r="AL51" s="386">
        <f t="shared" ref="AL51" si="38">AK51+1</f>
        <v>2055</v>
      </c>
      <c r="AM51" s="386">
        <f t="shared" ref="AM51" si="39">AL51+1</f>
        <v>2056</v>
      </c>
      <c r="AN51" s="386">
        <f t="shared" ref="AN51" si="40">AM51+1</f>
        <v>2057</v>
      </c>
      <c r="AO51" s="386">
        <f t="shared" ref="AO51" si="41">AN51+1</f>
        <v>2058</v>
      </c>
      <c r="AP51" s="386">
        <f t="shared" ref="AP51" si="42">AO51+1</f>
        <v>2059</v>
      </c>
      <c r="AQ51" s="386">
        <f t="shared" ref="AQ51" si="43">AP51+1</f>
        <v>2060</v>
      </c>
      <c r="AR51" s="386">
        <f t="shared" ref="AR51" si="44">AQ51+1</f>
        <v>2061</v>
      </c>
      <c r="AS51" s="386">
        <f t="shared" ref="AS51" si="45">AR51+1</f>
        <v>2062</v>
      </c>
      <c r="AT51" s="386">
        <f t="shared" ref="AT51" si="46">AS51+1</f>
        <v>2063</v>
      </c>
      <c r="AU51" s="386">
        <f t="shared" ref="AU51" si="47">AT51+1</f>
        <v>2064</v>
      </c>
      <c r="AV51" s="386">
        <f t="shared" ref="AV51" si="48">AU51+1</f>
        <v>2065</v>
      </c>
      <c r="AW51" s="386">
        <f t="shared" ref="AW51" si="49">AV51+1</f>
        <v>2066</v>
      </c>
      <c r="AX51" s="386">
        <f t="shared" ref="AX51" si="50">AW51+1</f>
        <v>2067</v>
      </c>
      <c r="AY51" s="386">
        <f t="shared" ref="AY51" si="51">AX51+1</f>
        <v>2068</v>
      </c>
      <c r="AZ51" s="386">
        <f t="shared" ref="AZ51" si="52">AY51+1</f>
        <v>2069</v>
      </c>
      <c r="BA51" s="386">
        <f t="shared" ref="BA51" si="53">AZ51+1</f>
        <v>2070</v>
      </c>
    </row>
    <row r="52" spans="2:53">
      <c r="B52" s="398">
        <f>C51</f>
        <v>2020</v>
      </c>
      <c r="C52" s="397">
        <f>IF($B52&gt;=C$51,0,        IF(C$51-$B52&lt;=$C$42,    INDEX($C$27:$BA$27, MATCH($B52, $C$26:$BA$26,0)),       0))</f>
        <v>0</v>
      </c>
      <c r="D52" s="397">
        <f t="shared" ref="D52:BA57" si="54">IF($B52&gt;=D$51,0,        IF(D$51-$B52&lt;=$C$42,    INDEX($C$27:$BA$27, MATCH($B52, $C$26:$BA$26,0)),       0))</f>
        <v>4.8590541916167656</v>
      </c>
      <c r="E52" s="397">
        <f t="shared" si="54"/>
        <v>4.8590541916167656</v>
      </c>
      <c r="F52" s="397">
        <f t="shared" si="54"/>
        <v>4.8590541916167656</v>
      </c>
      <c r="G52" s="397">
        <f t="shared" si="54"/>
        <v>4.8590541916167656</v>
      </c>
      <c r="H52" s="397">
        <f t="shared" si="54"/>
        <v>4.8590541916167656</v>
      </c>
      <c r="I52" s="397">
        <f t="shared" si="54"/>
        <v>4.8590541916167656</v>
      </c>
      <c r="J52" s="397">
        <f t="shared" si="54"/>
        <v>4.8590541916167656</v>
      </c>
      <c r="K52" s="397">
        <f t="shared" si="54"/>
        <v>4.8590541916167656</v>
      </c>
      <c r="L52" s="397">
        <f t="shared" si="54"/>
        <v>4.8590541916167656</v>
      </c>
      <c r="M52" s="397">
        <f t="shared" si="54"/>
        <v>4.8590541916167656</v>
      </c>
      <c r="N52" s="397">
        <f t="shared" si="54"/>
        <v>0</v>
      </c>
      <c r="O52" s="397">
        <f t="shared" si="54"/>
        <v>0</v>
      </c>
      <c r="P52" s="397">
        <f t="shared" si="54"/>
        <v>0</v>
      </c>
      <c r="Q52" s="397">
        <f t="shared" si="54"/>
        <v>0</v>
      </c>
      <c r="R52" s="397">
        <f t="shared" si="54"/>
        <v>0</v>
      </c>
      <c r="S52" s="397">
        <f t="shared" si="54"/>
        <v>0</v>
      </c>
      <c r="T52" s="397">
        <f t="shared" si="54"/>
        <v>0</v>
      </c>
      <c r="U52" s="397">
        <f t="shared" si="54"/>
        <v>0</v>
      </c>
      <c r="V52" s="397">
        <f t="shared" si="54"/>
        <v>0</v>
      </c>
      <c r="W52" s="397">
        <f t="shared" si="54"/>
        <v>0</v>
      </c>
      <c r="X52" s="397">
        <f t="shared" si="54"/>
        <v>0</v>
      </c>
      <c r="Y52" s="397">
        <f t="shared" si="54"/>
        <v>0</v>
      </c>
      <c r="Z52" s="397">
        <f t="shared" si="54"/>
        <v>0</v>
      </c>
      <c r="AA52" s="397">
        <f t="shared" si="54"/>
        <v>0</v>
      </c>
      <c r="AB52" s="397">
        <f t="shared" si="54"/>
        <v>0</v>
      </c>
      <c r="AC52" s="397">
        <f t="shared" si="54"/>
        <v>0</v>
      </c>
      <c r="AD52" s="397">
        <f t="shared" si="54"/>
        <v>0</v>
      </c>
      <c r="AE52" s="397">
        <f t="shared" si="54"/>
        <v>0</v>
      </c>
      <c r="AF52" s="397">
        <f t="shared" si="54"/>
        <v>0</v>
      </c>
      <c r="AG52" s="397">
        <f t="shared" si="54"/>
        <v>0</v>
      </c>
      <c r="AH52" s="397">
        <f t="shared" si="54"/>
        <v>0</v>
      </c>
      <c r="AI52" s="397">
        <f t="shared" si="54"/>
        <v>0</v>
      </c>
      <c r="AJ52" s="397">
        <f t="shared" si="54"/>
        <v>0</v>
      </c>
      <c r="AK52" s="397">
        <f t="shared" si="54"/>
        <v>0</v>
      </c>
      <c r="AL52" s="397">
        <f t="shared" si="54"/>
        <v>0</v>
      </c>
      <c r="AM52" s="397">
        <f t="shared" si="54"/>
        <v>0</v>
      </c>
      <c r="AN52" s="397">
        <f t="shared" si="54"/>
        <v>0</v>
      </c>
      <c r="AO52" s="397">
        <f t="shared" si="54"/>
        <v>0</v>
      </c>
      <c r="AP52" s="397">
        <f t="shared" si="54"/>
        <v>0</v>
      </c>
      <c r="AQ52" s="397">
        <f t="shared" si="54"/>
        <v>0</v>
      </c>
      <c r="AR52" s="397">
        <f t="shared" si="54"/>
        <v>0</v>
      </c>
      <c r="AS52" s="397">
        <f t="shared" si="54"/>
        <v>0</v>
      </c>
      <c r="AT52" s="397">
        <f t="shared" si="54"/>
        <v>0</v>
      </c>
      <c r="AU52" s="397">
        <f t="shared" si="54"/>
        <v>0</v>
      </c>
      <c r="AV52" s="397">
        <f t="shared" si="54"/>
        <v>0</v>
      </c>
      <c r="AW52" s="397">
        <f t="shared" si="54"/>
        <v>0</v>
      </c>
      <c r="AX52" s="397">
        <f t="shared" si="54"/>
        <v>0</v>
      </c>
      <c r="AY52" s="397">
        <f t="shared" si="54"/>
        <v>0</v>
      </c>
      <c r="AZ52" s="397">
        <f t="shared" si="54"/>
        <v>0</v>
      </c>
      <c r="BA52" s="397">
        <f t="shared" si="54"/>
        <v>0</v>
      </c>
    </row>
    <row r="53" spans="2:53">
      <c r="B53" s="398">
        <f>B52+1</f>
        <v>2021</v>
      </c>
      <c r="C53" s="397">
        <f t="shared" ref="C53:R73" si="55">IF($B53&gt;=C$51,0,        IF(C$51-$B53&lt;=$C$42,    INDEX($C$27:$BA$27, MATCH($B53, $C$26:$BA$26,0)),       0))</f>
        <v>0</v>
      </c>
      <c r="D53" s="397">
        <f t="shared" si="54"/>
        <v>0</v>
      </c>
      <c r="E53" s="397">
        <f t="shared" si="54"/>
        <v>5.0251388770858183</v>
      </c>
      <c r="F53" s="397">
        <f t="shared" si="54"/>
        <v>5.0251388770858183</v>
      </c>
      <c r="G53" s="397">
        <f t="shared" si="54"/>
        <v>5.0251388770858183</v>
      </c>
      <c r="H53" s="397">
        <f t="shared" si="54"/>
        <v>5.0251388770858183</v>
      </c>
      <c r="I53" s="397">
        <f t="shared" si="54"/>
        <v>5.0251388770858183</v>
      </c>
      <c r="J53" s="397">
        <f t="shared" si="54"/>
        <v>5.0251388770858183</v>
      </c>
      <c r="K53" s="397">
        <f t="shared" si="54"/>
        <v>5.0251388770858183</v>
      </c>
      <c r="L53" s="397">
        <f t="shared" si="54"/>
        <v>5.0251388770858183</v>
      </c>
      <c r="M53" s="397">
        <f t="shared" si="54"/>
        <v>5.0251388770858183</v>
      </c>
      <c r="N53" s="397">
        <f t="shared" si="54"/>
        <v>5.0251388770858183</v>
      </c>
      <c r="O53" s="397">
        <f t="shared" si="54"/>
        <v>0</v>
      </c>
      <c r="P53" s="397">
        <f t="shared" si="54"/>
        <v>0</v>
      </c>
      <c r="Q53" s="397">
        <f t="shared" si="54"/>
        <v>0</v>
      </c>
      <c r="R53" s="397">
        <f t="shared" si="54"/>
        <v>0</v>
      </c>
      <c r="S53" s="397">
        <f t="shared" si="54"/>
        <v>0</v>
      </c>
      <c r="T53" s="397">
        <f t="shared" si="54"/>
        <v>0</v>
      </c>
      <c r="U53" s="397">
        <f t="shared" si="54"/>
        <v>0</v>
      </c>
      <c r="V53" s="397">
        <f t="shared" si="54"/>
        <v>0</v>
      </c>
      <c r="W53" s="397">
        <f t="shared" si="54"/>
        <v>0</v>
      </c>
      <c r="X53" s="397">
        <f t="shared" si="54"/>
        <v>0</v>
      </c>
      <c r="Y53" s="397">
        <f t="shared" si="54"/>
        <v>0</v>
      </c>
      <c r="Z53" s="397">
        <f t="shared" si="54"/>
        <v>0</v>
      </c>
      <c r="AA53" s="397">
        <f t="shared" si="54"/>
        <v>0</v>
      </c>
      <c r="AB53" s="397">
        <f t="shared" si="54"/>
        <v>0</v>
      </c>
      <c r="AC53" s="397">
        <f t="shared" si="54"/>
        <v>0</v>
      </c>
      <c r="AD53" s="397">
        <f t="shared" si="54"/>
        <v>0</v>
      </c>
      <c r="AE53" s="397">
        <f t="shared" si="54"/>
        <v>0</v>
      </c>
      <c r="AF53" s="397">
        <f t="shared" si="54"/>
        <v>0</v>
      </c>
      <c r="AG53" s="397">
        <f t="shared" si="54"/>
        <v>0</v>
      </c>
      <c r="AH53" s="397">
        <f t="shared" si="54"/>
        <v>0</v>
      </c>
      <c r="AI53" s="397">
        <f t="shared" si="54"/>
        <v>0</v>
      </c>
      <c r="AJ53" s="397">
        <f t="shared" si="54"/>
        <v>0</v>
      </c>
      <c r="AK53" s="397">
        <f t="shared" si="54"/>
        <v>0</v>
      </c>
      <c r="AL53" s="397">
        <f t="shared" si="54"/>
        <v>0</v>
      </c>
      <c r="AM53" s="397">
        <f t="shared" si="54"/>
        <v>0</v>
      </c>
      <c r="AN53" s="397">
        <f t="shared" si="54"/>
        <v>0</v>
      </c>
      <c r="AO53" s="397">
        <f t="shared" si="54"/>
        <v>0</v>
      </c>
      <c r="AP53" s="397">
        <f t="shared" si="54"/>
        <v>0</v>
      </c>
      <c r="AQ53" s="397">
        <f t="shared" si="54"/>
        <v>0</v>
      </c>
      <c r="AR53" s="397">
        <f t="shared" si="54"/>
        <v>0</v>
      </c>
      <c r="AS53" s="397">
        <f t="shared" si="54"/>
        <v>0</v>
      </c>
      <c r="AT53" s="397">
        <f t="shared" si="54"/>
        <v>0</v>
      </c>
      <c r="AU53" s="397">
        <f t="shared" si="54"/>
        <v>0</v>
      </c>
      <c r="AV53" s="397">
        <f t="shared" si="54"/>
        <v>0</v>
      </c>
      <c r="AW53" s="397">
        <f t="shared" si="54"/>
        <v>0</v>
      </c>
      <c r="AX53" s="397">
        <f t="shared" si="54"/>
        <v>0</v>
      </c>
      <c r="AY53" s="397">
        <f t="shared" si="54"/>
        <v>0</v>
      </c>
      <c r="AZ53" s="397">
        <f t="shared" si="54"/>
        <v>0</v>
      </c>
      <c r="BA53" s="397">
        <f t="shared" si="54"/>
        <v>0</v>
      </c>
    </row>
    <row r="54" spans="2:53">
      <c r="B54" s="398">
        <f t="shared" ref="B54:B102" si="56">B53+1</f>
        <v>2022</v>
      </c>
      <c r="C54" s="397">
        <f t="shared" si="55"/>
        <v>0</v>
      </c>
      <c r="D54" s="397">
        <f t="shared" si="54"/>
        <v>0</v>
      </c>
      <c r="E54" s="397">
        <f t="shared" si="54"/>
        <v>0</v>
      </c>
      <c r="F54" s="397">
        <f t="shared" si="54"/>
        <v>5.1672869048196608</v>
      </c>
      <c r="G54" s="397">
        <f t="shared" si="54"/>
        <v>5.1672869048196608</v>
      </c>
      <c r="H54" s="397">
        <f t="shared" si="54"/>
        <v>5.1672869048196608</v>
      </c>
      <c r="I54" s="397">
        <f t="shared" si="54"/>
        <v>5.1672869048196608</v>
      </c>
      <c r="J54" s="397">
        <f t="shared" si="54"/>
        <v>5.1672869048196608</v>
      </c>
      <c r="K54" s="397">
        <f t="shared" si="54"/>
        <v>5.1672869048196608</v>
      </c>
      <c r="L54" s="397">
        <f t="shared" si="54"/>
        <v>5.1672869048196608</v>
      </c>
      <c r="M54" s="397">
        <f t="shared" si="54"/>
        <v>5.1672869048196608</v>
      </c>
      <c r="N54" s="397">
        <f t="shared" si="54"/>
        <v>5.1672869048196608</v>
      </c>
      <c r="O54" s="397">
        <f t="shared" si="54"/>
        <v>5.1672869048196608</v>
      </c>
      <c r="P54" s="397">
        <f t="shared" si="54"/>
        <v>0</v>
      </c>
      <c r="Q54" s="397">
        <f t="shared" si="54"/>
        <v>0</v>
      </c>
      <c r="R54" s="397">
        <f t="shared" si="54"/>
        <v>0</v>
      </c>
      <c r="S54" s="397">
        <f t="shared" si="54"/>
        <v>0</v>
      </c>
      <c r="T54" s="397">
        <f t="shared" si="54"/>
        <v>0</v>
      </c>
      <c r="U54" s="397">
        <f t="shared" si="54"/>
        <v>0</v>
      </c>
      <c r="V54" s="397">
        <f t="shared" si="54"/>
        <v>0</v>
      </c>
      <c r="W54" s="397">
        <f t="shared" si="54"/>
        <v>0</v>
      </c>
      <c r="X54" s="397">
        <f t="shared" si="54"/>
        <v>0</v>
      </c>
      <c r="Y54" s="397">
        <f t="shared" si="54"/>
        <v>0</v>
      </c>
      <c r="Z54" s="397">
        <f t="shared" si="54"/>
        <v>0</v>
      </c>
      <c r="AA54" s="397">
        <f t="shared" si="54"/>
        <v>0</v>
      </c>
      <c r="AB54" s="397">
        <f t="shared" si="54"/>
        <v>0</v>
      </c>
      <c r="AC54" s="397">
        <f t="shared" si="54"/>
        <v>0</v>
      </c>
      <c r="AD54" s="397">
        <f t="shared" si="54"/>
        <v>0</v>
      </c>
      <c r="AE54" s="397">
        <f t="shared" si="54"/>
        <v>0</v>
      </c>
      <c r="AF54" s="397">
        <f t="shared" si="54"/>
        <v>0</v>
      </c>
      <c r="AG54" s="397">
        <f t="shared" si="54"/>
        <v>0</v>
      </c>
      <c r="AH54" s="397">
        <f t="shared" si="54"/>
        <v>0</v>
      </c>
      <c r="AI54" s="397">
        <f t="shared" si="54"/>
        <v>0</v>
      </c>
      <c r="AJ54" s="397">
        <f t="shared" si="54"/>
        <v>0</v>
      </c>
      <c r="AK54" s="397">
        <f t="shared" si="54"/>
        <v>0</v>
      </c>
      <c r="AL54" s="397">
        <f t="shared" si="54"/>
        <v>0</v>
      </c>
      <c r="AM54" s="397">
        <f t="shared" si="54"/>
        <v>0</v>
      </c>
      <c r="AN54" s="397">
        <f t="shared" si="54"/>
        <v>0</v>
      </c>
      <c r="AO54" s="397">
        <f t="shared" si="54"/>
        <v>0</v>
      </c>
      <c r="AP54" s="397">
        <f t="shared" si="54"/>
        <v>0</v>
      </c>
      <c r="AQ54" s="397">
        <f t="shared" si="54"/>
        <v>0</v>
      </c>
      <c r="AR54" s="397">
        <f t="shared" si="54"/>
        <v>0</v>
      </c>
      <c r="AS54" s="397">
        <f t="shared" si="54"/>
        <v>0</v>
      </c>
      <c r="AT54" s="397">
        <f t="shared" si="54"/>
        <v>0</v>
      </c>
      <c r="AU54" s="397">
        <f t="shared" si="54"/>
        <v>0</v>
      </c>
      <c r="AV54" s="397">
        <f t="shared" si="54"/>
        <v>0</v>
      </c>
      <c r="AW54" s="397">
        <f t="shared" si="54"/>
        <v>0</v>
      </c>
      <c r="AX54" s="397">
        <f t="shared" si="54"/>
        <v>0</v>
      </c>
      <c r="AY54" s="397">
        <f t="shared" si="54"/>
        <v>0</v>
      </c>
      <c r="AZ54" s="397">
        <f t="shared" si="54"/>
        <v>0</v>
      </c>
      <c r="BA54" s="397">
        <f t="shared" si="54"/>
        <v>0</v>
      </c>
    </row>
    <row r="55" spans="2:53">
      <c r="B55" s="398">
        <f t="shared" si="56"/>
        <v>2023</v>
      </c>
      <c r="C55" s="397">
        <f t="shared" si="55"/>
        <v>0</v>
      </c>
      <c r="D55" s="397">
        <f t="shared" si="54"/>
        <v>0</v>
      </c>
      <c r="E55" s="397">
        <f t="shared" si="54"/>
        <v>0</v>
      </c>
      <c r="F55" s="397">
        <f t="shared" si="54"/>
        <v>0</v>
      </c>
      <c r="G55" s="397">
        <f t="shared" si="54"/>
        <v>5.2933151907571911</v>
      </c>
      <c r="H55" s="397">
        <f t="shared" si="54"/>
        <v>5.2933151907571911</v>
      </c>
      <c r="I55" s="397">
        <f t="shared" si="54"/>
        <v>5.2933151907571911</v>
      </c>
      <c r="J55" s="397">
        <f t="shared" si="54"/>
        <v>5.2933151907571911</v>
      </c>
      <c r="K55" s="397">
        <f t="shared" si="54"/>
        <v>5.2933151907571911</v>
      </c>
      <c r="L55" s="397">
        <f t="shared" si="54"/>
        <v>5.2933151907571911</v>
      </c>
      <c r="M55" s="397">
        <f t="shared" si="54"/>
        <v>5.2933151907571911</v>
      </c>
      <c r="N55" s="397">
        <f t="shared" si="54"/>
        <v>5.2933151907571911</v>
      </c>
      <c r="O55" s="397">
        <f t="shared" si="54"/>
        <v>5.2933151907571911</v>
      </c>
      <c r="P55" s="397">
        <f t="shared" si="54"/>
        <v>5.2933151907571911</v>
      </c>
      <c r="Q55" s="397">
        <f t="shared" si="54"/>
        <v>0</v>
      </c>
      <c r="R55" s="397">
        <f t="shared" si="54"/>
        <v>0</v>
      </c>
      <c r="S55" s="397">
        <f t="shared" si="54"/>
        <v>0</v>
      </c>
      <c r="T55" s="397">
        <f t="shared" si="54"/>
        <v>0</v>
      </c>
      <c r="U55" s="397">
        <f t="shared" si="54"/>
        <v>0</v>
      </c>
      <c r="V55" s="397">
        <f t="shared" si="54"/>
        <v>0</v>
      </c>
      <c r="W55" s="397">
        <f t="shared" si="54"/>
        <v>0</v>
      </c>
      <c r="X55" s="397">
        <f t="shared" si="54"/>
        <v>0</v>
      </c>
      <c r="Y55" s="397">
        <f t="shared" si="54"/>
        <v>0</v>
      </c>
      <c r="Z55" s="397">
        <f t="shared" si="54"/>
        <v>0</v>
      </c>
      <c r="AA55" s="397">
        <f t="shared" si="54"/>
        <v>0</v>
      </c>
      <c r="AB55" s="397">
        <f t="shared" si="54"/>
        <v>0</v>
      </c>
      <c r="AC55" s="397">
        <f t="shared" si="54"/>
        <v>0</v>
      </c>
      <c r="AD55" s="397">
        <f t="shared" si="54"/>
        <v>0</v>
      </c>
      <c r="AE55" s="397">
        <f t="shared" si="54"/>
        <v>0</v>
      </c>
      <c r="AF55" s="397">
        <f t="shared" si="54"/>
        <v>0</v>
      </c>
      <c r="AG55" s="397">
        <f t="shared" si="54"/>
        <v>0</v>
      </c>
      <c r="AH55" s="397">
        <f t="shared" si="54"/>
        <v>0</v>
      </c>
      <c r="AI55" s="397">
        <f t="shared" si="54"/>
        <v>0</v>
      </c>
      <c r="AJ55" s="397">
        <f t="shared" si="54"/>
        <v>0</v>
      </c>
      <c r="AK55" s="397">
        <f t="shared" si="54"/>
        <v>0</v>
      </c>
      <c r="AL55" s="397">
        <f t="shared" si="54"/>
        <v>0</v>
      </c>
      <c r="AM55" s="397">
        <f t="shared" si="54"/>
        <v>0</v>
      </c>
      <c r="AN55" s="397">
        <f t="shared" si="54"/>
        <v>0</v>
      </c>
      <c r="AO55" s="397">
        <f t="shared" si="54"/>
        <v>0</v>
      </c>
      <c r="AP55" s="397">
        <f t="shared" si="54"/>
        <v>0</v>
      </c>
      <c r="AQ55" s="397">
        <f t="shared" si="54"/>
        <v>0</v>
      </c>
      <c r="AR55" s="397">
        <f t="shared" si="54"/>
        <v>0</v>
      </c>
      <c r="AS55" s="397">
        <f t="shared" si="54"/>
        <v>0</v>
      </c>
      <c r="AT55" s="397">
        <f t="shared" si="54"/>
        <v>0</v>
      </c>
      <c r="AU55" s="397">
        <f t="shared" si="54"/>
        <v>0</v>
      </c>
      <c r="AV55" s="397">
        <f t="shared" si="54"/>
        <v>0</v>
      </c>
      <c r="AW55" s="397">
        <f t="shared" si="54"/>
        <v>0</v>
      </c>
      <c r="AX55" s="397">
        <f t="shared" si="54"/>
        <v>0</v>
      </c>
      <c r="AY55" s="397">
        <f t="shared" si="54"/>
        <v>0</v>
      </c>
      <c r="AZ55" s="397">
        <f t="shared" si="54"/>
        <v>0</v>
      </c>
      <c r="BA55" s="397">
        <f t="shared" si="54"/>
        <v>0</v>
      </c>
    </row>
    <row r="56" spans="2:53">
      <c r="B56" s="398">
        <f t="shared" si="56"/>
        <v>2024</v>
      </c>
      <c r="C56" s="397">
        <f t="shared" si="55"/>
        <v>0</v>
      </c>
      <c r="D56" s="397">
        <f t="shared" si="54"/>
        <v>0</v>
      </c>
      <c r="E56" s="397">
        <f t="shared" si="54"/>
        <v>0</v>
      </c>
      <c r="F56" s="397">
        <f t="shared" si="54"/>
        <v>0</v>
      </c>
      <c r="G56" s="397">
        <f t="shared" si="54"/>
        <v>0</v>
      </c>
      <c r="H56" s="397">
        <f t="shared" si="54"/>
        <v>91.603489910938933</v>
      </c>
      <c r="I56" s="397">
        <f t="shared" si="54"/>
        <v>91.603489910938933</v>
      </c>
      <c r="J56" s="397">
        <f t="shared" si="54"/>
        <v>91.603489910938933</v>
      </c>
      <c r="K56" s="397">
        <f t="shared" si="54"/>
        <v>91.603489910938933</v>
      </c>
      <c r="L56" s="397">
        <f t="shared" si="54"/>
        <v>91.603489910938933</v>
      </c>
      <c r="M56" s="397">
        <f t="shared" si="54"/>
        <v>91.603489910938933</v>
      </c>
      <c r="N56" s="397">
        <f t="shared" si="54"/>
        <v>91.603489910938933</v>
      </c>
      <c r="O56" s="397">
        <f t="shared" si="54"/>
        <v>91.603489910938933</v>
      </c>
      <c r="P56" s="397">
        <f t="shared" si="54"/>
        <v>91.603489910938933</v>
      </c>
      <c r="Q56" s="397">
        <f t="shared" si="54"/>
        <v>91.603489910938933</v>
      </c>
      <c r="R56" s="397">
        <f t="shared" si="54"/>
        <v>0</v>
      </c>
      <c r="S56" s="397">
        <f t="shared" si="54"/>
        <v>0</v>
      </c>
      <c r="T56" s="397">
        <f t="shared" si="54"/>
        <v>0</v>
      </c>
      <c r="U56" s="397">
        <f t="shared" si="54"/>
        <v>0</v>
      </c>
      <c r="V56" s="397">
        <f t="shared" si="54"/>
        <v>0</v>
      </c>
      <c r="W56" s="397">
        <f t="shared" si="54"/>
        <v>0</v>
      </c>
      <c r="X56" s="397">
        <f t="shared" si="54"/>
        <v>0</v>
      </c>
      <c r="Y56" s="397">
        <f t="shared" si="54"/>
        <v>0</v>
      </c>
      <c r="Z56" s="397">
        <f t="shared" si="54"/>
        <v>0</v>
      </c>
      <c r="AA56" s="397">
        <f t="shared" si="54"/>
        <v>0</v>
      </c>
      <c r="AB56" s="397">
        <f t="shared" si="54"/>
        <v>0</v>
      </c>
      <c r="AC56" s="397">
        <f t="shared" si="54"/>
        <v>0</v>
      </c>
      <c r="AD56" s="397">
        <f t="shared" si="54"/>
        <v>0</v>
      </c>
      <c r="AE56" s="397">
        <f t="shared" si="54"/>
        <v>0</v>
      </c>
      <c r="AF56" s="397">
        <f t="shared" si="54"/>
        <v>0</v>
      </c>
      <c r="AG56" s="397">
        <f t="shared" si="54"/>
        <v>0</v>
      </c>
      <c r="AH56" s="397">
        <f t="shared" si="54"/>
        <v>0</v>
      </c>
      <c r="AI56" s="397">
        <f t="shared" si="54"/>
        <v>0</v>
      </c>
      <c r="AJ56" s="397">
        <f t="shared" si="54"/>
        <v>0</v>
      </c>
      <c r="AK56" s="397">
        <f t="shared" si="54"/>
        <v>0</v>
      </c>
      <c r="AL56" s="397">
        <f t="shared" si="54"/>
        <v>0</v>
      </c>
      <c r="AM56" s="397">
        <f t="shared" si="54"/>
        <v>0</v>
      </c>
      <c r="AN56" s="397">
        <f t="shared" si="54"/>
        <v>0</v>
      </c>
      <c r="AO56" s="397">
        <f t="shared" si="54"/>
        <v>0</v>
      </c>
      <c r="AP56" s="397">
        <f t="shared" si="54"/>
        <v>0</v>
      </c>
      <c r="AQ56" s="397">
        <f t="shared" si="54"/>
        <v>0</v>
      </c>
      <c r="AR56" s="397">
        <f t="shared" si="54"/>
        <v>0</v>
      </c>
      <c r="AS56" s="397">
        <f t="shared" si="54"/>
        <v>0</v>
      </c>
      <c r="AT56" s="397">
        <f t="shared" si="54"/>
        <v>0</v>
      </c>
      <c r="AU56" s="397">
        <f t="shared" si="54"/>
        <v>0</v>
      </c>
      <c r="AV56" s="397">
        <f t="shared" si="54"/>
        <v>0</v>
      </c>
      <c r="AW56" s="397">
        <f t="shared" si="54"/>
        <v>0</v>
      </c>
      <c r="AX56" s="397">
        <f t="shared" si="54"/>
        <v>0</v>
      </c>
      <c r="AY56" s="397">
        <f t="shared" si="54"/>
        <v>0</v>
      </c>
      <c r="AZ56" s="397">
        <f t="shared" si="54"/>
        <v>0</v>
      </c>
      <c r="BA56" s="397">
        <f t="shared" si="54"/>
        <v>0</v>
      </c>
    </row>
    <row r="57" spans="2:53">
      <c r="B57" s="398">
        <f t="shared" si="56"/>
        <v>2025</v>
      </c>
      <c r="C57" s="397">
        <f t="shared" si="55"/>
        <v>0</v>
      </c>
      <c r="D57" s="397">
        <f t="shared" si="54"/>
        <v>0</v>
      </c>
      <c r="E57" s="397">
        <f t="shared" si="54"/>
        <v>0</v>
      </c>
      <c r="F57" s="397">
        <f t="shared" si="54"/>
        <v>0</v>
      </c>
      <c r="G57" s="397">
        <f t="shared" si="54"/>
        <v>0</v>
      </c>
      <c r="H57" s="397">
        <f t="shared" si="54"/>
        <v>0</v>
      </c>
      <c r="I57" s="397">
        <f t="shared" ref="I57:X72" si="57">IF($B57&gt;=I$51,0,        IF(I$51-$B57&lt;=$C$42,    INDEX($C$27:$BA$27, MATCH($B57, $C$26:$BA$26,0)),       0))</f>
        <v>81.352459405259637</v>
      </c>
      <c r="J57" s="397">
        <f t="shared" si="57"/>
        <v>81.352459405259637</v>
      </c>
      <c r="K57" s="397">
        <f t="shared" si="57"/>
        <v>81.352459405259637</v>
      </c>
      <c r="L57" s="397">
        <f t="shared" si="57"/>
        <v>81.352459405259637</v>
      </c>
      <c r="M57" s="397">
        <f t="shared" si="57"/>
        <v>81.352459405259637</v>
      </c>
      <c r="N57" s="397">
        <f t="shared" si="57"/>
        <v>81.352459405259637</v>
      </c>
      <c r="O57" s="397">
        <f t="shared" si="57"/>
        <v>81.352459405259637</v>
      </c>
      <c r="P57" s="397">
        <f t="shared" si="57"/>
        <v>81.352459405259637</v>
      </c>
      <c r="Q57" s="397">
        <f t="shared" si="57"/>
        <v>81.352459405259637</v>
      </c>
      <c r="R57" s="397">
        <f t="shared" si="57"/>
        <v>81.352459405259637</v>
      </c>
      <c r="S57" s="397">
        <f t="shared" si="57"/>
        <v>0</v>
      </c>
      <c r="T57" s="397">
        <f t="shared" si="57"/>
        <v>0</v>
      </c>
      <c r="U57" s="397">
        <f t="shared" si="57"/>
        <v>0</v>
      </c>
      <c r="V57" s="397">
        <f t="shared" si="57"/>
        <v>0</v>
      </c>
      <c r="W57" s="397">
        <f t="shared" si="57"/>
        <v>0</v>
      </c>
      <c r="X57" s="397">
        <f t="shared" si="57"/>
        <v>0</v>
      </c>
      <c r="Y57" s="397">
        <f t="shared" ref="Y57:AN72" si="58">IF($B57&gt;=Y$51,0,        IF(Y$51-$B57&lt;=$C$42,    INDEX($C$27:$BA$27, MATCH($B57, $C$26:$BA$26,0)),       0))</f>
        <v>0</v>
      </c>
      <c r="Z57" s="397">
        <f t="shared" si="58"/>
        <v>0</v>
      </c>
      <c r="AA57" s="397">
        <f t="shared" si="58"/>
        <v>0</v>
      </c>
      <c r="AB57" s="397">
        <f t="shared" si="58"/>
        <v>0</v>
      </c>
      <c r="AC57" s="397">
        <f t="shared" si="58"/>
        <v>0</v>
      </c>
      <c r="AD57" s="397">
        <f t="shared" si="58"/>
        <v>0</v>
      </c>
      <c r="AE57" s="397">
        <f t="shared" si="58"/>
        <v>0</v>
      </c>
      <c r="AF57" s="397">
        <f t="shared" si="58"/>
        <v>0</v>
      </c>
      <c r="AG57" s="397">
        <f t="shared" si="58"/>
        <v>0</v>
      </c>
      <c r="AH57" s="397">
        <f t="shared" si="58"/>
        <v>0</v>
      </c>
      <c r="AI57" s="397">
        <f t="shared" si="58"/>
        <v>0</v>
      </c>
      <c r="AJ57" s="397">
        <f t="shared" si="58"/>
        <v>0</v>
      </c>
      <c r="AK57" s="397">
        <f t="shared" si="58"/>
        <v>0</v>
      </c>
      <c r="AL57" s="397">
        <f t="shared" si="58"/>
        <v>0</v>
      </c>
      <c r="AM57" s="397">
        <f t="shared" si="58"/>
        <v>0</v>
      </c>
      <c r="AN57" s="397">
        <f t="shared" si="58"/>
        <v>0</v>
      </c>
      <c r="AO57" s="397">
        <f t="shared" ref="AO57:BA71" si="59">IF($B57&gt;=AO$51,0,        IF(AO$51-$B57&lt;=$C$42,    INDEX($C$27:$BA$27, MATCH($B57, $C$26:$BA$26,0)),       0))</f>
        <v>0</v>
      </c>
      <c r="AP57" s="397">
        <f t="shared" si="59"/>
        <v>0</v>
      </c>
      <c r="AQ57" s="397">
        <f t="shared" si="59"/>
        <v>0</v>
      </c>
      <c r="AR57" s="397">
        <f t="shared" si="59"/>
        <v>0</v>
      </c>
      <c r="AS57" s="397">
        <f t="shared" si="59"/>
        <v>0</v>
      </c>
      <c r="AT57" s="397">
        <f t="shared" si="59"/>
        <v>0</v>
      </c>
      <c r="AU57" s="397">
        <f t="shared" si="59"/>
        <v>0</v>
      </c>
      <c r="AV57" s="397">
        <f t="shared" si="59"/>
        <v>0</v>
      </c>
      <c r="AW57" s="397">
        <f t="shared" si="59"/>
        <v>0</v>
      </c>
      <c r="AX57" s="397">
        <f t="shared" si="59"/>
        <v>0</v>
      </c>
      <c r="AY57" s="397">
        <f t="shared" si="59"/>
        <v>0</v>
      </c>
      <c r="AZ57" s="397">
        <f t="shared" si="59"/>
        <v>0</v>
      </c>
      <c r="BA57" s="397">
        <f t="shared" si="59"/>
        <v>0</v>
      </c>
    </row>
    <row r="58" spans="2:53">
      <c r="B58" s="398">
        <f t="shared" si="56"/>
        <v>2026</v>
      </c>
      <c r="C58" s="397">
        <f t="shared" si="55"/>
        <v>0</v>
      </c>
      <c r="D58" s="397">
        <f t="shared" si="55"/>
        <v>0</v>
      </c>
      <c r="E58" s="397">
        <f t="shared" si="55"/>
        <v>0</v>
      </c>
      <c r="F58" s="397">
        <f t="shared" si="55"/>
        <v>0</v>
      </c>
      <c r="G58" s="397">
        <f t="shared" si="55"/>
        <v>0</v>
      </c>
      <c r="H58" s="397">
        <f t="shared" si="55"/>
        <v>0</v>
      </c>
      <c r="I58" s="397">
        <f t="shared" si="55"/>
        <v>0</v>
      </c>
      <c r="J58" s="397">
        <f t="shared" si="55"/>
        <v>75.344796064996359</v>
      </c>
      <c r="K58" s="397">
        <f t="shared" si="55"/>
        <v>75.344796064996359</v>
      </c>
      <c r="L58" s="397">
        <f t="shared" si="55"/>
        <v>75.344796064996359</v>
      </c>
      <c r="M58" s="397">
        <f t="shared" si="55"/>
        <v>75.344796064996359</v>
      </c>
      <c r="N58" s="397">
        <f t="shared" si="55"/>
        <v>75.344796064996359</v>
      </c>
      <c r="O58" s="397">
        <f t="shared" si="55"/>
        <v>75.344796064996359</v>
      </c>
      <c r="P58" s="397">
        <f t="shared" si="55"/>
        <v>75.344796064996359</v>
      </c>
      <c r="Q58" s="397">
        <f t="shared" si="55"/>
        <v>75.344796064996359</v>
      </c>
      <c r="R58" s="397">
        <f t="shared" si="55"/>
        <v>75.344796064996359</v>
      </c>
      <c r="S58" s="397">
        <f t="shared" si="57"/>
        <v>75.344796064996359</v>
      </c>
      <c r="T58" s="397">
        <f t="shared" si="57"/>
        <v>0</v>
      </c>
      <c r="U58" s="397">
        <f t="shared" si="57"/>
        <v>0</v>
      </c>
      <c r="V58" s="397">
        <f t="shared" si="57"/>
        <v>0</v>
      </c>
      <c r="W58" s="397">
        <f t="shared" si="57"/>
        <v>0</v>
      </c>
      <c r="X58" s="397">
        <f t="shared" si="57"/>
        <v>0</v>
      </c>
      <c r="Y58" s="397">
        <f t="shared" si="58"/>
        <v>0</v>
      </c>
      <c r="Z58" s="397">
        <f t="shared" si="58"/>
        <v>0</v>
      </c>
      <c r="AA58" s="397">
        <f t="shared" si="58"/>
        <v>0</v>
      </c>
      <c r="AB58" s="397">
        <f t="shared" si="58"/>
        <v>0</v>
      </c>
      <c r="AC58" s="397">
        <f t="shared" si="58"/>
        <v>0</v>
      </c>
      <c r="AD58" s="397">
        <f t="shared" si="58"/>
        <v>0</v>
      </c>
      <c r="AE58" s="397">
        <f t="shared" si="58"/>
        <v>0</v>
      </c>
      <c r="AF58" s="397">
        <f t="shared" si="58"/>
        <v>0</v>
      </c>
      <c r="AG58" s="397">
        <f t="shared" si="58"/>
        <v>0</v>
      </c>
      <c r="AH58" s="397">
        <f t="shared" si="58"/>
        <v>0</v>
      </c>
      <c r="AI58" s="397">
        <f t="shared" si="58"/>
        <v>0</v>
      </c>
      <c r="AJ58" s="397">
        <f t="shared" si="58"/>
        <v>0</v>
      </c>
      <c r="AK58" s="397">
        <f t="shared" si="58"/>
        <v>0</v>
      </c>
      <c r="AL58" s="397">
        <f t="shared" si="58"/>
        <v>0</v>
      </c>
      <c r="AM58" s="397">
        <f t="shared" si="58"/>
        <v>0</v>
      </c>
      <c r="AN58" s="397">
        <f t="shared" si="58"/>
        <v>0</v>
      </c>
      <c r="AO58" s="397">
        <f t="shared" si="59"/>
        <v>0</v>
      </c>
      <c r="AP58" s="397">
        <f t="shared" si="59"/>
        <v>0</v>
      </c>
      <c r="AQ58" s="397">
        <f t="shared" si="59"/>
        <v>0</v>
      </c>
      <c r="AR58" s="397">
        <f t="shared" si="59"/>
        <v>0</v>
      </c>
      <c r="AS58" s="397">
        <f t="shared" si="59"/>
        <v>0</v>
      </c>
      <c r="AT58" s="397">
        <f t="shared" si="59"/>
        <v>0</v>
      </c>
      <c r="AU58" s="397">
        <f t="shared" si="59"/>
        <v>0</v>
      </c>
      <c r="AV58" s="397">
        <f t="shared" si="59"/>
        <v>0</v>
      </c>
      <c r="AW58" s="397">
        <f t="shared" si="59"/>
        <v>0</v>
      </c>
      <c r="AX58" s="397">
        <f t="shared" si="59"/>
        <v>0</v>
      </c>
      <c r="AY58" s="397">
        <f t="shared" si="59"/>
        <v>0</v>
      </c>
      <c r="AZ58" s="397">
        <f t="shared" si="59"/>
        <v>0</v>
      </c>
      <c r="BA58" s="397">
        <f t="shared" si="59"/>
        <v>0</v>
      </c>
    </row>
    <row r="59" spans="2:53">
      <c r="B59" s="398">
        <f t="shared" si="56"/>
        <v>2027</v>
      </c>
      <c r="C59" s="397">
        <f t="shared" si="55"/>
        <v>0</v>
      </c>
      <c r="D59" s="397">
        <f t="shared" si="55"/>
        <v>0</v>
      </c>
      <c r="E59" s="397">
        <f t="shared" si="55"/>
        <v>0</v>
      </c>
      <c r="F59" s="397">
        <f t="shared" si="55"/>
        <v>0</v>
      </c>
      <c r="G59" s="397">
        <f t="shared" si="55"/>
        <v>0</v>
      </c>
      <c r="H59" s="397">
        <f t="shared" si="55"/>
        <v>0</v>
      </c>
      <c r="I59" s="397">
        <f t="shared" si="55"/>
        <v>0</v>
      </c>
      <c r="J59" s="397">
        <f t="shared" si="55"/>
        <v>0</v>
      </c>
      <c r="K59" s="397">
        <f t="shared" si="55"/>
        <v>72.009072199435721</v>
      </c>
      <c r="L59" s="397">
        <f t="shared" si="55"/>
        <v>72.009072199435721</v>
      </c>
      <c r="M59" s="397">
        <f t="shared" si="55"/>
        <v>72.009072199435721</v>
      </c>
      <c r="N59" s="397">
        <f t="shared" si="55"/>
        <v>72.009072199435721</v>
      </c>
      <c r="O59" s="397">
        <f t="shared" si="55"/>
        <v>72.009072199435721</v>
      </c>
      <c r="P59" s="397">
        <f t="shared" si="55"/>
        <v>72.009072199435721</v>
      </c>
      <c r="Q59" s="397">
        <f t="shared" si="55"/>
        <v>72.009072199435721</v>
      </c>
      <c r="R59" s="397">
        <f t="shared" si="55"/>
        <v>72.009072199435721</v>
      </c>
      <c r="S59" s="397">
        <f t="shared" si="57"/>
        <v>72.009072199435721</v>
      </c>
      <c r="T59" s="397">
        <f t="shared" si="57"/>
        <v>72.009072199435721</v>
      </c>
      <c r="U59" s="397">
        <f t="shared" si="57"/>
        <v>0</v>
      </c>
      <c r="V59" s="397">
        <f t="shared" si="57"/>
        <v>0</v>
      </c>
      <c r="W59" s="397">
        <f t="shared" si="57"/>
        <v>0</v>
      </c>
      <c r="X59" s="397">
        <f t="shared" si="57"/>
        <v>0</v>
      </c>
      <c r="Y59" s="397">
        <f t="shared" si="58"/>
        <v>0</v>
      </c>
      <c r="Z59" s="397">
        <f t="shared" si="58"/>
        <v>0</v>
      </c>
      <c r="AA59" s="397">
        <f t="shared" si="58"/>
        <v>0</v>
      </c>
      <c r="AB59" s="397">
        <f t="shared" si="58"/>
        <v>0</v>
      </c>
      <c r="AC59" s="397">
        <f t="shared" si="58"/>
        <v>0</v>
      </c>
      <c r="AD59" s="397">
        <f t="shared" si="58"/>
        <v>0</v>
      </c>
      <c r="AE59" s="397">
        <f t="shared" si="58"/>
        <v>0</v>
      </c>
      <c r="AF59" s="397">
        <f t="shared" si="58"/>
        <v>0</v>
      </c>
      <c r="AG59" s="397">
        <f t="shared" si="58"/>
        <v>0</v>
      </c>
      <c r="AH59" s="397">
        <f t="shared" si="58"/>
        <v>0</v>
      </c>
      <c r="AI59" s="397">
        <f t="shared" si="58"/>
        <v>0</v>
      </c>
      <c r="AJ59" s="397">
        <f t="shared" si="58"/>
        <v>0</v>
      </c>
      <c r="AK59" s="397">
        <f t="shared" si="58"/>
        <v>0</v>
      </c>
      <c r="AL59" s="397">
        <f t="shared" si="58"/>
        <v>0</v>
      </c>
      <c r="AM59" s="397">
        <f t="shared" si="58"/>
        <v>0</v>
      </c>
      <c r="AN59" s="397">
        <f t="shared" si="58"/>
        <v>0</v>
      </c>
      <c r="AO59" s="397">
        <f t="shared" si="59"/>
        <v>0</v>
      </c>
      <c r="AP59" s="397">
        <f t="shared" si="59"/>
        <v>0</v>
      </c>
      <c r="AQ59" s="397">
        <f t="shared" si="59"/>
        <v>0</v>
      </c>
      <c r="AR59" s="397">
        <f t="shared" si="59"/>
        <v>0</v>
      </c>
      <c r="AS59" s="397">
        <f t="shared" si="59"/>
        <v>0</v>
      </c>
      <c r="AT59" s="397">
        <f t="shared" si="59"/>
        <v>0</v>
      </c>
      <c r="AU59" s="397">
        <f t="shared" si="59"/>
        <v>0</v>
      </c>
      <c r="AV59" s="397">
        <f t="shared" si="59"/>
        <v>0</v>
      </c>
      <c r="AW59" s="397">
        <f t="shared" si="59"/>
        <v>0</v>
      </c>
      <c r="AX59" s="397">
        <f t="shared" si="59"/>
        <v>0</v>
      </c>
      <c r="AY59" s="397">
        <f t="shared" si="59"/>
        <v>0</v>
      </c>
      <c r="AZ59" s="397">
        <f t="shared" si="59"/>
        <v>0</v>
      </c>
      <c r="BA59" s="397">
        <f t="shared" si="59"/>
        <v>0</v>
      </c>
    </row>
    <row r="60" spans="2:53">
      <c r="B60" s="398">
        <f t="shared" si="56"/>
        <v>2028</v>
      </c>
      <c r="C60" s="397">
        <f t="shared" si="55"/>
        <v>0</v>
      </c>
      <c r="D60" s="397">
        <f t="shared" si="55"/>
        <v>0</v>
      </c>
      <c r="E60" s="397">
        <f t="shared" si="55"/>
        <v>0</v>
      </c>
      <c r="F60" s="397">
        <f t="shared" si="55"/>
        <v>0</v>
      </c>
      <c r="G60" s="397">
        <f t="shared" si="55"/>
        <v>0</v>
      </c>
      <c r="H60" s="397">
        <f t="shared" si="55"/>
        <v>0</v>
      </c>
      <c r="I60" s="397">
        <f t="shared" si="55"/>
        <v>0</v>
      </c>
      <c r="J60" s="397">
        <f t="shared" si="55"/>
        <v>0</v>
      </c>
      <c r="K60" s="397">
        <f t="shared" si="55"/>
        <v>0</v>
      </c>
      <c r="L60" s="397">
        <f t="shared" si="55"/>
        <v>70.476244396744676</v>
      </c>
      <c r="M60" s="397">
        <f t="shared" si="55"/>
        <v>70.476244396744676</v>
      </c>
      <c r="N60" s="397">
        <f t="shared" si="55"/>
        <v>70.476244396744676</v>
      </c>
      <c r="O60" s="397">
        <f t="shared" si="55"/>
        <v>70.476244396744676</v>
      </c>
      <c r="P60" s="397">
        <f t="shared" si="55"/>
        <v>70.476244396744676</v>
      </c>
      <c r="Q60" s="397">
        <f t="shared" si="55"/>
        <v>70.476244396744676</v>
      </c>
      <c r="R60" s="397">
        <f t="shared" si="55"/>
        <v>70.476244396744676</v>
      </c>
      <c r="S60" s="397">
        <f t="shared" si="57"/>
        <v>70.476244396744676</v>
      </c>
      <c r="T60" s="397">
        <f t="shared" si="57"/>
        <v>70.476244396744676</v>
      </c>
      <c r="U60" s="397">
        <f t="shared" si="57"/>
        <v>70.476244396744676</v>
      </c>
      <c r="V60" s="397">
        <f t="shared" si="57"/>
        <v>0</v>
      </c>
      <c r="W60" s="397">
        <f t="shared" si="57"/>
        <v>0</v>
      </c>
      <c r="X60" s="397">
        <f t="shared" si="57"/>
        <v>0</v>
      </c>
      <c r="Y60" s="397">
        <f t="shared" si="58"/>
        <v>0</v>
      </c>
      <c r="Z60" s="397">
        <f t="shared" si="58"/>
        <v>0</v>
      </c>
      <c r="AA60" s="397">
        <f t="shared" si="58"/>
        <v>0</v>
      </c>
      <c r="AB60" s="397">
        <f t="shared" si="58"/>
        <v>0</v>
      </c>
      <c r="AC60" s="397">
        <f t="shared" si="58"/>
        <v>0</v>
      </c>
      <c r="AD60" s="397">
        <f t="shared" si="58"/>
        <v>0</v>
      </c>
      <c r="AE60" s="397">
        <f t="shared" si="58"/>
        <v>0</v>
      </c>
      <c r="AF60" s="397">
        <f t="shared" si="58"/>
        <v>0</v>
      </c>
      <c r="AG60" s="397">
        <f t="shared" si="58"/>
        <v>0</v>
      </c>
      <c r="AH60" s="397">
        <f t="shared" si="58"/>
        <v>0</v>
      </c>
      <c r="AI60" s="397">
        <f t="shared" si="58"/>
        <v>0</v>
      </c>
      <c r="AJ60" s="397">
        <f t="shared" si="58"/>
        <v>0</v>
      </c>
      <c r="AK60" s="397">
        <f t="shared" si="58"/>
        <v>0</v>
      </c>
      <c r="AL60" s="397">
        <f t="shared" si="58"/>
        <v>0</v>
      </c>
      <c r="AM60" s="397">
        <f t="shared" si="58"/>
        <v>0</v>
      </c>
      <c r="AN60" s="397">
        <f t="shared" si="58"/>
        <v>0</v>
      </c>
      <c r="AO60" s="397">
        <f t="shared" si="59"/>
        <v>0</v>
      </c>
      <c r="AP60" s="397">
        <f t="shared" si="59"/>
        <v>0</v>
      </c>
      <c r="AQ60" s="397">
        <f t="shared" si="59"/>
        <v>0</v>
      </c>
      <c r="AR60" s="397">
        <f t="shared" si="59"/>
        <v>0</v>
      </c>
      <c r="AS60" s="397">
        <f t="shared" si="59"/>
        <v>0</v>
      </c>
      <c r="AT60" s="397">
        <f t="shared" si="59"/>
        <v>0</v>
      </c>
      <c r="AU60" s="397">
        <f t="shared" si="59"/>
        <v>0</v>
      </c>
      <c r="AV60" s="397">
        <f t="shared" si="59"/>
        <v>0</v>
      </c>
      <c r="AW60" s="397">
        <f t="shared" si="59"/>
        <v>0</v>
      </c>
      <c r="AX60" s="397">
        <f t="shared" si="59"/>
        <v>0</v>
      </c>
      <c r="AY60" s="397">
        <f t="shared" si="59"/>
        <v>0</v>
      </c>
      <c r="AZ60" s="397">
        <f t="shared" si="59"/>
        <v>0</v>
      </c>
      <c r="BA60" s="397">
        <f t="shared" si="59"/>
        <v>0</v>
      </c>
    </row>
    <row r="61" spans="2:53">
      <c r="B61" s="398">
        <f t="shared" si="56"/>
        <v>2029</v>
      </c>
      <c r="C61" s="397">
        <f t="shared" si="55"/>
        <v>0</v>
      </c>
      <c r="D61" s="397">
        <f t="shared" si="55"/>
        <v>0</v>
      </c>
      <c r="E61" s="397">
        <f t="shared" si="55"/>
        <v>0</v>
      </c>
      <c r="F61" s="397">
        <f t="shared" si="55"/>
        <v>0</v>
      </c>
      <c r="G61" s="397">
        <f t="shared" si="55"/>
        <v>0</v>
      </c>
      <c r="H61" s="397">
        <f t="shared" si="55"/>
        <v>0</v>
      </c>
      <c r="I61" s="397">
        <f t="shared" si="55"/>
        <v>0</v>
      </c>
      <c r="J61" s="397">
        <f t="shared" si="55"/>
        <v>0</v>
      </c>
      <c r="K61" s="397">
        <f t="shared" si="55"/>
        <v>0</v>
      </c>
      <c r="L61" s="397">
        <f t="shared" si="55"/>
        <v>0</v>
      </c>
      <c r="M61" s="397">
        <f t="shared" si="55"/>
        <v>69.999167077019308</v>
      </c>
      <c r="N61" s="397">
        <f t="shared" si="55"/>
        <v>69.999167077019308</v>
      </c>
      <c r="O61" s="397">
        <f t="shared" si="55"/>
        <v>69.999167077019308</v>
      </c>
      <c r="P61" s="397">
        <f t="shared" si="55"/>
        <v>69.999167077019308</v>
      </c>
      <c r="Q61" s="397">
        <f t="shared" si="55"/>
        <v>69.999167077019308</v>
      </c>
      <c r="R61" s="397">
        <f t="shared" si="55"/>
        <v>69.999167077019308</v>
      </c>
      <c r="S61" s="397">
        <f t="shared" si="57"/>
        <v>69.999167077019308</v>
      </c>
      <c r="T61" s="397">
        <f t="shared" si="57"/>
        <v>69.999167077019308</v>
      </c>
      <c r="U61" s="397">
        <f t="shared" si="57"/>
        <v>69.999167077019308</v>
      </c>
      <c r="V61" s="397">
        <f t="shared" si="57"/>
        <v>69.999167077019308</v>
      </c>
      <c r="W61" s="397">
        <f t="shared" si="57"/>
        <v>0</v>
      </c>
      <c r="X61" s="397">
        <f t="shared" si="57"/>
        <v>0</v>
      </c>
      <c r="Y61" s="397">
        <f t="shared" si="58"/>
        <v>0</v>
      </c>
      <c r="Z61" s="397">
        <f t="shared" si="58"/>
        <v>0</v>
      </c>
      <c r="AA61" s="397">
        <f t="shared" si="58"/>
        <v>0</v>
      </c>
      <c r="AB61" s="397">
        <f t="shared" si="58"/>
        <v>0</v>
      </c>
      <c r="AC61" s="397">
        <f t="shared" si="58"/>
        <v>0</v>
      </c>
      <c r="AD61" s="397">
        <f t="shared" si="58"/>
        <v>0</v>
      </c>
      <c r="AE61" s="397">
        <f t="shared" si="58"/>
        <v>0</v>
      </c>
      <c r="AF61" s="397">
        <f t="shared" si="58"/>
        <v>0</v>
      </c>
      <c r="AG61" s="397">
        <f t="shared" si="58"/>
        <v>0</v>
      </c>
      <c r="AH61" s="397">
        <f t="shared" si="58"/>
        <v>0</v>
      </c>
      <c r="AI61" s="397">
        <f t="shared" si="58"/>
        <v>0</v>
      </c>
      <c r="AJ61" s="397">
        <f t="shared" si="58"/>
        <v>0</v>
      </c>
      <c r="AK61" s="397">
        <f t="shared" si="58"/>
        <v>0</v>
      </c>
      <c r="AL61" s="397">
        <f t="shared" si="58"/>
        <v>0</v>
      </c>
      <c r="AM61" s="397">
        <f t="shared" si="58"/>
        <v>0</v>
      </c>
      <c r="AN61" s="397">
        <f t="shared" si="58"/>
        <v>0</v>
      </c>
      <c r="AO61" s="397">
        <f t="shared" si="59"/>
        <v>0</v>
      </c>
      <c r="AP61" s="397">
        <f t="shared" si="59"/>
        <v>0</v>
      </c>
      <c r="AQ61" s="397">
        <f t="shared" si="59"/>
        <v>0</v>
      </c>
      <c r="AR61" s="397">
        <f t="shared" si="59"/>
        <v>0</v>
      </c>
      <c r="AS61" s="397">
        <f t="shared" si="59"/>
        <v>0</v>
      </c>
      <c r="AT61" s="397">
        <f t="shared" si="59"/>
        <v>0</v>
      </c>
      <c r="AU61" s="397">
        <f t="shared" si="59"/>
        <v>0</v>
      </c>
      <c r="AV61" s="397">
        <f t="shared" si="59"/>
        <v>0</v>
      </c>
      <c r="AW61" s="397">
        <f t="shared" si="59"/>
        <v>0</v>
      </c>
      <c r="AX61" s="397">
        <f t="shared" si="59"/>
        <v>0</v>
      </c>
      <c r="AY61" s="397">
        <f t="shared" si="59"/>
        <v>0</v>
      </c>
      <c r="AZ61" s="397">
        <f t="shared" si="59"/>
        <v>0</v>
      </c>
      <c r="BA61" s="397">
        <f t="shared" si="59"/>
        <v>0</v>
      </c>
    </row>
    <row r="62" spans="2:53">
      <c r="B62" s="398">
        <f t="shared" si="56"/>
        <v>2030</v>
      </c>
      <c r="C62" s="397">
        <f t="shared" si="55"/>
        <v>0</v>
      </c>
      <c r="D62" s="397">
        <f t="shared" si="55"/>
        <v>0</v>
      </c>
      <c r="E62" s="397">
        <f t="shared" si="55"/>
        <v>0</v>
      </c>
      <c r="F62" s="397">
        <f t="shared" si="55"/>
        <v>0</v>
      </c>
      <c r="G62" s="397">
        <f t="shared" si="55"/>
        <v>0</v>
      </c>
      <c r="H62" s="397">
        <f t="shared" si="55"/>
        <v>0</v>
      </c>
      <c r="I62" s="397">
        <f t="shared" si="55"/>
        <v>0</v>
      </c>
      <c r="J62" s="397">
        <f t="shared" si="55"/>
        <v>0</v>
      </c>
      <c r="K62" s="397">
        <f t="shared" si="55"/>
        <v>0</v>
      </c>
      <c r="L62" s="397">
        <f t="shared" si="55"/>
        <v>0</v>
      </c>
      <c r="M62" s="397">
        <f t="shared" si="55"/>
        <v>0</v>
      </c>
      <c r="N62" s="397">
        <f t="shared" si="55"/>
        <v>70.145178681758921</v>
      </c>
      <c r="O62" s="397">
        <f t="shared" si="55"/>
        <v>70.145178681758921</v>
      </c>
      <c r="P62" s="397">
        <f t="shared" si="55"/>
        <v>70.145178681758921</v>
      </c>
      <c r="Q62" s="397">
        <f t="shared" si="55"/>
        <v>70.145178681758921</v>
      </c>
      <c r="R62" s="397">
        <f t="shared" si="55"/>
        <v>70.145178681758921</v>
      </c>
      <c r="S62" s="397">
        <f t="shared" si="57"/>
        <v>70.145178681758921</v>
      </c>
      <c r="T62" s="397">
        <f t="shared" si="57"/>
        <v>70.145178681758921</v>
      </c>
      <c r="U62" s="397">
        <f t="shared" si="57"/>
        <v>70.145178681758921</v>
      </c>
      <c r="V62" s="397">
        <f t="shared" si="57"/>
        <v>70.145178681758921</v>
      </c>
      <c r="W62" s="397">
        <f t="shared" si="57"/>
        <v>70.145178681758921</v>
      </c>
      <c r="X62" s="397">
        <f t="shared" si="57"/>
        <v>0</v>
      </c>
      <c r="Y62" s="397">
        <f t="shared" si="58"/>
        <v>0</v>
      </c>
      <c r="Z62" s="397">
        <f t="shared" si="58"/>
        <v>0</v>
      </c>
      <c r="AA62" s="397">
        <f t="shared" si="58"/>
        <v>0</v>
      </c>
      <c r="AB62" s="397">
        <f t="shared" si="58"/>
        <v>0</v>
      </c>
      <c r="AC62" s="397">
        <f t="shared" si="58"/>
        <v>0</v>
      </c>
      <c r="AD62" s="397">
        <f t="shared" si="58"/>
        <v>0</v>
      </c>
      <c r="AE62" s="397">
        <f t="shared" si="58"/>
        <v>0</v>
      </c>
      <c r="AF62" s="397">
        <f t="shared" si="58"/>
        <v>0</v>
      </c>
      <c r="AG62" s="397">
        <f t="shared" si="58"/>
        <v>0</v>
      </c>
      <c r="AH62" s="397">
        <f t="shared" si="58"/>
        <v>0</v>
      </c>
      <c r="AI62" s="397">
        <f t="shared" si="58"/>
        <v>0</v>
      </c>
      <c r="AJ62" s="397">
        <f t="shared" si="58"/>
        <v>0</v>
      </c>
      <c r="AK62" s="397">
        <f t="shared" si="58"/>
        <v>0</v>
      </c>
      <c r="AL62" s="397">
        <f t="shared" si="58"/>
        <v>0</v>
      </c>
      <c r="AM62" s="397">
        <f t="shared" si="58"/>
        <v>0</v>
      </c>
      <c r="AN62" s="397">
        <f t="shared" si="58"/>
        <v>0</v>
      </c>
      <c r="AO62" s="397">
        <f t="shared" si="59"/>
        <v>0</v>
      </c>
      <c r="AP62" s="397">
        <f t="shared" si="59"/>
        <v>0</v>
      </c>
      <c r="AQ62" s="397">
        <f t="shared" si="59"/>
        <v>0</v>
      </c>
      <c r="AR62" s="397">
        <f t="shared" si="59"/>
        <v>0</v>
      </c>
      <c r="AS62" s="397">
        <f t="shared" si="59"/>
        <v>0</v>
      </c>
      <c r="AT62" s="397">
        <f t="shared" si="59"/>
        <v>0</v>
      </c>
      <c r="AU62" s="397">
        <f t="shared" si="59"/>
        <v>0</v>
      </c>
      <c r="AV62" s="397">
        <f t="shared" si="59"/>
        <v>0</v>
      </c>
      <c r="AW62" s="397">
        <f t="shared" si="59"/>
        <v>0</v>
      </c>
      <c r="AX62" s="397">
        <f t="shared" si="59"/>
        <v>0</v>
      </c>
      <c r="AY62" s="397">
        <f t="shared" si="59"/>
        <v>0</v>
      </c>
      <c r="AZ62" s="397">
        <f t="shared" si="59"/>
        <v>0</v>
      </c>
      <c r="BA62" s="397">
        <f t="shared" si="59"/>
        <v>0</v>
      </c>
    </row>
    <row r="63" spans="2:53">
      <c r="B63" s="398">
        <f t="shared" si="56"/>
        <v>2031</v>
      </c>
      <c r="C63" s="397">
        <f t="shared" si="55"/>
        <v>0</v>
      </c>
      <c r="D63" s="397">
        <f t="shared" si="55"/>
        <v>0</v>
      </c>
      <c r="E63" s="397">
        <f t="shared" si="55"/>
        <v>0</v>
      </c>
      <c r="F63" s="397">
        <f t="shared" si="55"/>
        <v>0</v>
      </c>
      <c r="G63" s="397">
        <f t="shared" si="55"/>
        <v>0</v>
      </c>
      <c r="H63" s="397">
        <f t="shared" si="55"/>
        <v>0</v>
      </c>
      <c r="I63" s="397">
        <f t="shared" si="55"/>
        <v>0</v>
      </c>
      <c r="J63" s="397">
        <f t="shared" si="55"/>
        <v>0</v>
      </c>
      <c r="K63" s="397">
        <f t="shared" si="55"/>
        <v>0</v>
      </c>
      <c r="L63" s="397">
        <f t="shared" si="55"/>
        <v>0</v>
      </c>
      <c r="M63" s="397">
        <f t="shared" si="55"/>
        <v>0</v>
      </c>
      <c r="N63" s="397">
        <f t="shared" si="55"/>
        <v>0</v>
      </c>
      <c r="O63" s="397">
        <f t="shared" si="55"/>
        <v>70.708812066711985</v>
      </c>
      <c r="P63" s="397">
        <f t="shared" si="55"/>
        <v>70.708812066711985</v>
      </c>
      <c r="Q63" s="397">
        <f t="shared" si="55"/>
        <v>70.708812066711985</v>
      </c>
      <c r="R63" s="397">
        <f t="shared" si="55"/>
        <v>70.708812066711985</v>
      </c>
      <c r="S63" s="397">
        <f t="shared" si="57"/>
        <v>70.708812066711985</v>
      </c>
      <c r="T63" s="397">
        <f t="shared" si="57"/>
        <v>70.708812066711985</v>
      </c>
      <c r="U63" s="397">
        <f t="shared" si="57"/>
        <v>70.708812066711985</v>
      </c>
      <c r="V63" s="397">
        <f t="shared" si="57"/>
        <v>70.708812066711985</v>
      </c>
      <c r="W63" s="397">
        <f t="shared" si="57"/>
        <v>70.708812066711985</v>
      </c>
      <c r="X63" s="397">
        <f t="shared" si="57"/>
        <v>70.708812066711985</v>
      </c>
      <c r="Y63" s="397">
        <f t="shared" si="58"/>
        <v>0</v>
      </c>
      <c r="Z63" s="397">
        <f t="shared" si="58"/>
        <v>0</v>
      </c>
      <c r="AA63" s="397">
        <f t="shared" si="58"/>
        <v>0</v>
      </c>
      <c r="AB63" s="397">
        <f t="shared" si="58"/>
        <v>0</v>
      </c>
      <c r="AC63" s="397">
        <f t="shared" si="58"/>
        <v>0</v>
      </c>
      <c r="AD63" s="397">
        <f t="shared" si="58"/>
        <v>0</v>
      </c>
      <c r="AE63" s="397">
        <f t="shared" si="58"/>
        <v>0</v>
      </c>
      <c r="AF63" s="397">
        <f t="shared" si="58"/>
        <v>0</v>
      </c>
      <c r="AG63" s="397">
        <f t="shared" si="58"/>
        <v>0</v>
      </c>
      <c r="AH63" s="397">
        <f t="shared" si="58"/>
        <v>0</v>
      </c>
      <c r="AI63" s="397">
        <f t="shared" si="58"/>
        <v>0</v>
      </c>
      <c r="AJ63" s="397">
        <f t="shared" si="58"/>
        <v>0</v>
      </c>
      <c r="AK63" s="397">
        <f t="shared" si="58"/>
        <v>0</v>
      </c>
      <c r="AL63" s="397">
        <f t="shared" si="58"/>
        <v>0</v>
      </c>
      <c r="AM63" s="397">
        <f t="shared" si="58"/>
        <v>0</v>
      </c>
      <c r="AN63" s="397">
        <f t="shared" si="58"/>
        <v>0</v>
      </c>
      <c r="AO63" s="397">
        <f t="shared" si="59"/>
        <v>0</v>
      </c>
      <c r="AP63" s="397">
        <f t="shared" si="59"/>
        <v>0</v>
      </c>
      <c r="AQ63" s="397">
        <f t="shared" si="59"/>
        <v>0</v>
      </c>
      <c r="AR63" s="397">
        <f t="shared" si="59"/>
        <v>0</v>
      </c>
      <c r="AS63" s="397">
        <f t="shared" si="59"/>
        <v>0</v>
      </c>
      <c r="AT63" s="397">
        <f t="shared" si="59"/>
        <v>0</v>
      </c>
      <c r="AU63" s="397">
        <f t="shared" si="59"/>
        <v>0</v>
      </c>
      <c r="AV63" s="397">
        <f t="shared" si="59"/>
        <v>0</v>
      </c>
      <c r="AW63" s="397">
        <f t="shared" si="59"/>
        <v>0</v>
      </c>
      <c r="AX63" s="397">
        <f t="shared" si="59"/>
        <v>0</v>
      </c>
      <c r="AY63" s="397">
        <f t="shared" si="59"/>
        <v>0</v>
      </c>
      <c r="AZ63" s="397">
        <f t="shared" si="59"/>
        <v>0</v>
      </c>
      <c r="BA63" s="397">
        <f t="shared" si="59"/>
        <v>0</v>
      </c>
    </row>
    <row r="64" spans="2:53">
      <c r="B64" s="398">
        <f t="shared" si="56"/>
        <v>2032</v>
      </c>
      <c r="C64" s="397">
        <f t="shared" si="55"/>
        <v>0</v>
      </c>
      <c r="D64" s="397">
        <f t="shared" si="55"/>
        <v>0</v>
      </c>
      <c r="E64" s="397">
        <f t="shared" si="55"/>
        <v>0</v>
      </c>
      <c r="F64" s="397">
        <f t="shared" si="55"/>
        <v>0</v>
      </c>
      <c r="G64" s="397">
        <f t="shared" si="55"/>
        <v>0</v>
      </c>
      <c r="H64" s="397">
        <f t="shared" si="55"/>
        <v>0</v>
      </c>
      <c r="I64" s="397">
        <f t="shared" si="55"/>
        <v>0</v>
      </c>
      <c r="J64" s="397">
        <f t="shared" si="55"/>
        <v>0</v>
      </c>
      <c r="K64" s="397">
        <f t="shared" si="55"/>
        <v>0</v>
      </c>
      <c r="L64" s="397">
        <f t="shared" si="55"/>
        <v>0</v>
      </c>
      <c r="M64" s="397">
        <f t="shared" si="55"/>
        <v>0</v>
      </c>
      <c r="N64" s="397">
        <f t="shared" si="55"/>
        <v>0</v>
      </c>
      <c r="O64" s="397">
        <f t="shared" si="55"/>
        <v>0</v>
      </c>
      <c r="P64" s="397">
        <f t="shared" si="55"/>
        <v>71.461322982441885</v>
      </c>
      <c r="Q64" s="397">
        <f t="shared" si="55"/>
        <v>71.461322982441885</v>
      </c>
      <c r="R64" s="397">
        <f t="shared" si="55"/>
        <v>71.461322982441885</v>
      </c>
      <c r="S64" s="397">
        <f t="shared" si="57"/>
        <v>71.461322982441885</v>
      </c>
      <c r="T64" s="397">
        <f t="shared" si="57"/>
        <v>71.461322982441885</v>
      </c>
      <c r="U64" s="397">
        <f t="shared" si="57"/>
        <v>71.461322982441885</v>
      </c>
      <c r="V64" s="397">
        <f t="shared" si="57"/>
        <v>71.461322982441885</v>
      </c>
      <c r="W64" s="397">
        <f t="shared" si="57"/>
        <v>71.461322982441885</v>
      </c>
      <c r="X64" s="397">
        <f t="shared" si="57"/>
        <v>71.461322982441885</v>
      </c>
      <c r="Y64" s="397">
        <f t="shared" si="58"/>
        <v>71.461322982441885</v>
      </c>
      <c r="Z64" s="397">
        <f t="shared" si="58"/>
        <v>0</v>
      </c>
      <c r="AA64" s="397">
        <f t="shared" si="58"/>
        <v>0</v>
      </c>
      <c r="AB64" s="397">
        <f t="shared" si="58"/>
        <v>0</v>
      </c>
      <c r="AC64" s="397">
        <f t="shared" si="58"/>
        <v>0</v>
      </c>
      <c r="AD64" s="397">
        <f t="shared" si="58"/>
        <v>0</v>
      </c>
      <c r="AE64" s="397">
        <f t="shared" si="58"/>
        <v>0</v>
      </c>
      <c r="AF64" s="397">
        <f t="shared" si="58"/>
        <v>0</v>
      </c>
      <c r="AG64" s="397">
        <f t="shared" si="58"/>
        <v>0</v>
      </c>
      <c r="AH64" s="397">
        <f t="shared" si="58"/>
        <v>0</v>
      </c>
      <c r="AI64" s="397">
        <f t="shared" si="58"/>
        <v>0</v>
      </c>
      <c r="AJ64" s="397">
        <f t="shared" si="58"/>
        <v>0</v>
      </c>
      <c r="AK64" s="397">
        <f t="shared" si="58"/>
        <v>0</v>
      </c>
      <c r="AL64" s="397">
        <f t="shared" si="58"/>
        <v>0</v>
      </c>
      <c r="AM64" s="397">
        <f t="shared" si="58"/>
        <v>0</v>
      </c>
      <c r="AN64" s="397">
        <f t="shared" si="58"/>
        <v>0</v>
      </c>
      <c r="AO64" s="397">
        <f t="shared" si="59"/>
        <v>0</v>
      </c>
      <c r="AP64" s="397">
        <f t="shared" si="59"/>
        <v>0</v>
      </c>
      <c r="AQ64" s="397">
        <f t="shared" si="59"/>
        <v>0</v>
      </c>
      <c r="AR64" s="397">
        <f t="shared" si="59"/>
        <v>0</v>
      </c>
      <c r="AS64" s="397">
        <f t="shared" si="59"/>
        <v>0</v>
      </c>
      <c r="AT64" s="397">
        <f t="shared" si="59"/>
        <v>0</v>
      </c>
      <c r="AU64" s="397">
        <f t="shared" si="59"/>
        <v>0</v>
      </c>
      <c r="AV64" s="397">
        <f t="shared" si="59"/>
        <v>0</v>
      </c>
      <c r="AW64" s="397">
        <f t="shared" si="59"/>
        <v>0</v>
      </c>
      <c r="AX64" s="397">
        <f t="shared" si="59"/>
        <v>0</v>
      </c>
      <c r="AY64" s="397">
        <f t="shared" si="59"/>
        <v>0</v>
      </c>
      <c r="AZ64" s="397">
        <f t="shared" si="59"/>
        <v>0</v>
      </c>
      <c r="BA64" s="397">
        <f t="shared" si="59"/>
        <v>0</v>
      </c>
    </row>
    <row r="65" spans="2:53">
      <c r="B65" s="398">
        <f t="shared" si="56"/>
        <v>2033</v>
      </c>
      <c r="C65" s="397">
        <f t="shared" si="55"/>
        <v>0</v>
      </c>
      <c r="D65" s="397">
        <f t="shared" si="55"/>
        <v>0</v>
      </c>
      <c r="E65" s="397">
        <f t="shared" si="55"/>
        <v>0</v>
      </c>
      <c r="F65" s="397">
        <f t="shared" si="55"/>
        <v>0</v>
      </c>
      <c r="G65" s="397">
        <f t="shared" si="55"/>
        <v>0</v>
      </c>
      <c r="H65" s="397">
        <f t="shared" si="55"/>
        <v>0</v>
      </c>
      <c r="I65" s="397">
        <f t="shared" si="55"/>
        <v>0</v>
      </c>
      <c r="J65" s="397">
        <f t="shared" si="55"/>
        <v>0</v>
      </c>
      <c r="K65" s="397">
        <f t="shared" si="55"/>
        <v>0</v>
      </c>
      <c r="L65" s="397">
        <f t="shared" si="55"/>
        <v>0</v>
      </c>
      <c r="M65" s="397">
        <f t="shared" si="55"/>
        <v>0</v>
      </c>
      <c r="N65" s="397">
        <f t="shared" si="55"/>
        <v>0</v>
      </c>
      <c r="O65" s="397">
        <f t="shared" si="55"/>
        <v>0</v>
      </c>
      <c r="P65" s="397">
        <f t="shared" si="55"/>
        <v>0</v>
      </c>
      <c r="Q65" s="397">
        <f t="shared" si="55"/>
        <v>72.309806470754296</v>
      </c>
      <c r="R65" s="397">
        <f t="shared" si="55"/>
        <v>72.309806470754296</v>
      </c>
      <c r="S65" s="397">
        <f t="shared" si="57"/>
        <v>72.309806470754296</v>
      </c>
      <c r="T65" s="397">
        <f t="shared" si="57"/>
        <v>72.309806470754296</v>
      </c>
      <c r="U65" s="397">
        <f t="shared" si="57"/>
        <v>72.309806470754296</v>
      </c>
      <c r="V65" s="397">
        <f t="shared" si="57"/>
        <v>72.309806470754296</v>
      </c>
      <c r="W65" s="397">
        <f t="shared" si="57"/>
        <v>72.309806470754296</v>
      </c>
      <c r="X65" s="397">
        <f t="shared" si="57"/>
        <v>72.309806470754296</v>
      </c>
      <c r="Y65" s="397">
        <f t="shared" si="58"/>
        <v>72.309806470754296</v>
      </c>
      <c r="Z65" s="397">
        <f t="shared" si="58"/>
        <v>72.309806470754296</v>
      </c>
      <c r="AA65" s="397">
        <f t="shared" si="58"/>
        <v>0</v>
      </c>
      <c r="AB65" s="397">
        <f t="shared" si="58"/>
        <v>0</v>
      </c>
      <c r="AC65" s="397">
        <f t="shared" si="58"/>
        <v>0</v>
      </c>
      <c r="AD65" s="397">
        <f t="shared" si="58"/>
        <v>0</v>
      </c>
      <c r="AE65" s="397">
        <f t="shared" si="58"/>
        <v>0</v>
      </c>
      <c r="AF65" s="397">
        <f t="shared" si="58"/>
        <v>0</v>
      </c>
      <c r="AG65" s="397">
        <f t="shared" si="58"/>
        <v>0</v>
      </c>
      <c r="AH65" s="397">
        <f t="shared" si="58"/>
        <v>0</v>
      </c>
      <c r="AI65" s="397">
        <f t="shared" si="58"/>
        <v>0</v>
      </c>
      <c r="AJ65" s="397">
        <f t="shared" si="58"/>
        <v>0</v>
      </c>
      <c r="AK65" s="397">
        <f t="shared" si="58"/>
        <v>0</v>
      </c>
      <c r="AL65" s="397">
        <f t="shared" si="58"/>
        <v>0</v>
      </c>
      <c r="AM65" s="397">
        <f t="shared" si="58"/>
        <v>0</v>
      </c>
      <c r="AN65" s="397">
        <f t="shared" si="58"/>
        <v>0</v>
      </c>
      <c r="AO65" s="397">
        <f t="shared" si="59"/>
        <v>0</v>
      </c>
      <c r="AP65" s="397">
        <f t="shared" si="59"/>
        <v>0</v>
      </c>
      <c r="AQ65" s="397">
        <f t="shared" si="59"/>
        <v>0</v>
      </c>
      <c r="AR65" s="397">
        <f t="shared" si="59"/>
        <v>0</v>
      </c>
      <c r="AS65" s="397">
        <f t="shared" si="59"/>
        <v>0</v>
      </c>
      <c r="AT65" s="397">
        <f t="shared" si="59"/>
        <v>0</v>
      </c>
      <c r="AU65" s="397">
        <f t="shared" si="59"/>
        <v>0</v>
      </c>
      <c r="AV65" s="397">
        <f t="shared" si="59"/>
        <v>0</v>
      </c>
      <c r="AW65" s="397">
        <f t="shared" si="59"/>
        <v>0</v>
      </c>
      <c r="AX65" s="397">
        <f t="shared" si="59"/>
        <v>0</v>
      </c>
      <c r="AY65" s="397">
        <f t="shared" si="59"/>
        <v>0</v>
      </c>
      <c r="AZ65" s="397">
        <f t="shared" si="59"/>
        <v>0</v>
      </c>
      <c r="BA65" s="397">
        <f t="shared" si="59"/>
        <v>0</v>
      </c>
    </row>
    <row r="66" spans="2:53">
      <c r="B66" s="398">
        <f t="shared" si="56"/>
        <v>2034</v>
      </c>
      <c r="C66" s="397">
        <f t="shared" si="55"/>
        <v>0</v>
      </c>
      <c r="D66" s="397">
        <f t="shared" si="55"/>
        <v>0</v>
      </c>
      <c r="E66" s="397">
        <f t="shared" si="55"/>
        <v>0</v>
      </c>
      <c r="F66" s="397">
        <f t="shared" si="55"/>
        <v>0</v>
      </c>
      <c r="G66" s="397">
        <f t="shared" si="55"/>
        <v>0</v>
      </c>
      <c r="H66" s="397">
        <f t="shared" si="55"/>
        <v>0</v>
      </c>
      <c r="I66" s="397">
        <f t="shared" si="55"/>
        <v>0</v>
      </c>
      <c r="J66" s="397">
        <f t="shared" si="55"/>
        <v>0</v>
      </c>
      <c r="K66" s="397">
        <f t="shared" si="55"/>
        <v>0</v>
      </c>
      <c r="L66" s="397">
        <f t="shared" si="55"/>
        <v>0</v>
      </c>
      <c r="M66" s="397">
        <f t="shared" si="55"/>
        <v>0</v>
      </c>
      <c r="N66" s="397">
        <f t="shared" si="55"/>
        <v>0</v>
      </c>
      <c r="O66" s="397">
        <f t="shared" si="55"/>
        <v>0</v>
      </c>
      <c r="P66" s="397">
        <f t="shared" si="55"/>
        <v>0</v>
      </c>
      <c r="Q66" s="397">
        <f t="shared" si="55"/>
        <v>0</v>
      </c>
      <c r="R66" s="397">
        <f t="shared" si="55"/>
        <v>73.220010959621419</v>
      </c>
      <c r="S66" s="397">
        <f t="shared" si="57"/>
        <v>73.220010959621419</v>
      </c>
      <c r="T66" s="397">
        <f t="shared" si="57"/>
        <v>73.220010959621419</v>
      </c>
      <c r="U66" s="397">
        <f t="shared" si="57"/>
        <v>73.220010959621419</v>
      </c>
      <c r="V66" s="397">
        <f t="shared" si="57"/>
        <v>73.220010959621419</v>
      </c>
      <c r="W66" s="397">
        <f t="shared" si="57"/>
        <v>73.220010959621419</v>
      </c>
      <c r="X66" s="397">
        <f t="shared" si="57"/>
        <v>73.220010959621419</v>
      </c>
      <c r="Y66" s="397">
        <f t="shared" si="58"/>
        <v>73.220010959621419</v>
      </c>
      <c r="Z66" s="397">
        <f t="shared" si="58"/>
        <v>73.220010959621419</v>
      </c>
      <c r="AA66" s="397">
        <f t="shared" si="58"/>
        <v>73.220010959621419</v>
      </c>
      <c r="AB66" s="397">
        <f t="shared" si="58"/>
        <v>0</v>
      </c>
      <c r="AC66" s="397">
        <f t="shared" si="58"/>
        <v>0</v>
      </c>
      <c r="AD66" s="397">
        <f t="shared" si="58"/>
        <v>0</v>
      </c>
      <c r="AE66" s="397">
        <f t="shared" si="58"/>
        <v>0</v>
      </c>
      <c r="AF66" s="397">
        <f t="shared" si="58"/>
        <v>0</v>
      </c>
      <c r="AG66" s="397">
        <f t="shared" si="58"/>
        <v>0</v>
      </c>
      <c r="AH66" s="397">
        <f t="shared" si="58"/>
        <v>0</v>
      </c>
      <c r="AI66" s="397">
        <f t="shared" si="58"/>
        <v>0</v>
      </c>
      <c r="AJ66" s="397">
        <f t="shared" si="58"/>
        <v>0</v>
      </c>
      <c r="AK66" s="397">
        <f t="shared" si="58"/>
        <v>0</v>
      </c>
      <c r="AL66" s="397">
        <f t="shared" si="58"/>
        <v>0</v>
      </c>
      <c r="AM66" s="397">
        <f t="shared" si="58"/>
        <v>0</v>
      </c>
      <c r="AN66" s="397">
        <f t="shared" si="58"/>
        <v>0</v>
      </c>
      <c r="AO66" s="397">
        <f t="shared" si="59"/>
        <v>0</v>
      </c>
      <c r="AP66" s="397">
        <f t="shared" si="59"/>
        <v>0</v>
      </c>
      <c r="AQ66" s="397">
        <f t="shared" si="59"/>
        <v>0</v>
      </c>
      <c r="AR66" s="397">
        <f t="shared" si="59"/>
        <v>0</v>
      </c>
      <c r="AS66" s="397">
        <f t="shared" si="59"/>
        <v>0</v>
      </c>
      <c r="AT66" s="397">
        <f t="shared" si="59"/>
        <v>0</v>
      </c>
      <c r="AU66" s="397">
        <f t="shared" si="59"/>
        <v>0</v>
      </c>
      <c r="AV66" s="397">
        <f t="shared" si="59"/>
        <v>0</v>
      </c>
      <c r="AW66" s="397">
        <f t="shared" si="59"/>
        <v>0</v>
      </c>
      <c r="AX66" s="397">
        <f t="shared" si="59"/>
        <v>0</v>
      </c>
      <c r="AY66" s="397">
        <f t="shared" si="59"/>
        <v>0</v>
      </c>
      <c r="AZ66" s="397">
        <f t="shared" si="59"/>
        <v>0</v>
      </c>
      <c r="BA66" s="397">
        <f t="shared" si="59"/>
        <v>0</v>
      </c>
    </row>
    <row r="67" spans="2:53">
      <c r="B67" s="398">
        <f t="shared" si="56"/>
        <v>2035</v>
      </c>
      <c r="C67" s="397">
        <f t="shared" si="55"/>
        <v>0</v>
      </c>
      <c r="D67" s="397">
        <f t="shared" si="55"/>
        <v>0</v>
      </c>
      <c r="E67" s="397">
        <f t="shared" si="55"/>
        <v>0</v>
      </c>
      <c r="F67" s="397">
        <f t="shared" si="55"/>
        <v>0</v>
      </c>
      <c r="G67" s="397">
        <f t="shared" si="55"/>
        <v>0</v>
      </c>
      <c r="H67" s="397">
        <f t="shared" si="55"/>
        <v>0</v>
      </c>
      <c r="I67" s="397">
        <f t="shared" si="55"/>
        <v>0</v>
      </c>
      <c r="J67" s="397">
        <f t="shared" si="55"/>
        <v>0</v>
      </c>
      <c r="K67" s="397">
        <f t="shared" si="55"/>
        <v>0</v>
      </c>
      <c r="L67" s="397">
        <f t="shared" si="55"/>
        <v>0</v>
      </c>
      <c r="M67" s="397">
        <f t="shared" si="55"/>
        <v>0</v>
      </c>
      <c r="N67" s="397">
        <f t="shared" si="55"/>
        <v>0</v>
      </c>
      <c r="O67" s="397">
        <f t="shared" si="55"/>
        <v>0</v>
      </c>
      <c r="P67" s="397">
        <f t="shared" si="55"/>
        <v>0</v>
      </c>
      <c r="Q67" s="397">
        <f t="shared" si="55"/>
        <v>0</v>
      </c>
      <c r="R67" s="397">
        <f t="shared" si="55"/>
        <v>0</v>
      </c>
      <c r="S67" s="397">
        <f t="shared" si="57"/>
        <v>74.16209544948596</v>
      </c>
      <c r="T67" s="397">
        <f t="shared" si="57"/>
        <v>74.16209544948596</v>
      </c>
      <c r="U67" s="397">
        <f t="shared" si="57"/>
        <v>74.16209544948596</v>
      </c>
      <c r="V67" s="397">
        <f t="shared" si="57"/>
        <v>74.16209544948596</v>
      </c>
      <c r="W67" s="397">
        <f t="shared" si="57"/>
        <v>74.16209544948596</v>
      </c>
      <c r="X67" s="397">
        <f t="shared" si="57"/>
        <v>74.16209544948596</v>
      </c>
      <c r="Y67" s="397">
        <f t="shared" si="58"/>
        <v>74.16209544948596</v>
      </c>
      <c r="Z67" s="397">
        <f t="shared" si="58"/>
        <v>74.16209544948596</v>
      </c>
      <c r="AA67" s="397">
        <f t="shared" si="58"/>
        <v>74.16209544948596</v>
      </c>
      <c r="AB67" s="397">
        <f t="shared" si="58"/>
        <v>74.16209544948596</v>
      </c>
      <c r="AC67" s="397">
        <f t="shared" si="58"/>
        <v>0</v>
      </c>
      <c r="AD67" s="397">
        <f t="shared" si="58"/>
        <v>0</v>
      </c>
      <c r="AE67" s="397">
        <f t="shared" si="58"/>
        <v>0</v>
      </c>
      <c r="AF67" s="397">
        <f t="shared" si="58"/>
        <v>0</v>
      </c>
      <c r="AG67" s="397">
        <f t="shared" si="58"/>
        <v>0</v>
      </c>
      <c r="AH67" s="397">
        <f t="shared" si="58"/>
        <v>0</v>
      </c>
      <c r="AI67" s="397">
        <f t="shared" si="58"/>
        <v>0</v>
      </c>
      <c r="AJ67" s="397">
        <f t="shared" si="58"/>
        <v>0</v>
      </c>
      <c r="AK67" s="397">
        <f t="shared" si="58"/>
        <v>0</v>
      </c>
      <c r="AL67" s="397">
        <f t="shared" si="58"/>
        <v>0</v>
      </c>
      <c r="AM67" s="397">
        <f t="shared" si="58"/>
        <v>0</v>
      </c>
      <c r="AN67" s="397">
        <f t="shared" si="58"/>
        <v>0</v>
      </c>
      <c r="AO67" s="397">
        <f t="shared" si="59"/>
        <v>0</v>
      </c>
      <c r="AP67" s="397">
        <f t="shared" si="59"/>
        <v>0</v>
      </c>
      <c r="AQ67" s="397">
        <f t="shared" si="59"/>
        <v>0</v>
      </c>
      <c r="AR67" s="397">
        <f t="shared" si="59"/>
        <v>0</v>
      </c>
      <c r="AS67" s="397">
        <f t="shared" si="59"/>
        <v>0</v>
      </c>
      <c r="AT67" s="397">
        <f t="shared" si="59"/>
        <v>0</v>
      </c>
      <c r="AU67" s="397">
        <f t="shared" si="59"/>
        <v>0</v>
      </c>
      <c r="AV67" s="397">
        <f t="shared" si="59"/>
        <v>0</v>
      </c>
      <c r="AW67" s="397">
        <f t="shared" si="59"/>
        <v>0</v>
      </c>
      <c r="AX67" s="397">
        <f t="shared" si="59"/>
        <v>0</v>
      </c>
      <c r="AY67" s="397">
        <f t="shared" si="59"/>
        <v>0</v>
      </c>
      <c r="AZ67" s="397">
        <f t="shared" si="59"/>
        <v>0</v>
      </c>
      <c r="BA67" s="397">
        <f t="shared" si="59"/>
        <v>0</v>
      </c>
    </row>
    <row r="68" spans="2:53">
      <c r="B68" s="398">
        <f t="shared" si="56"/>
        <v>2036</v>
      </c>
      <c r="C68" s="397">
        <f t="shared" si="55"/>
        <v>0</v>
      </c>
      <c r="D68" s="397">
        <f t="shared" si="55"/>
        <v>0</v>
      </c>
      <c r="E68" s="397">
        <f t="shared" si="55"/>
        <v>0</v>
      </c>
      <c r="F68" s="397">
        <f t="shared" si="55"/>
        <v>0</v>
      </c>
      <c r="G68" s="397">
        <f t="shared" si="55"/>
        <v>0</v>
      </c>
      <c r="H68" s="397">
        <f t="shared" si="55"/>
        <v>0</v>
      </c>
      <c r="I68" s="397">
        <f t="shared" si="55"/>
        <v>0</v>
      </c>
      <c r="J68" s="397">
        <f t="shared" si="55"/>
        <v>0</v>
      </c>
      <c r="K68" s="397">
        <f t="shared" si="55"/>
        <v>0</v>
      </c>
      <c r="L68" s="397">
        <f t="shared" si="55"/>
        <v>0</v>
      </c>
      <c r="M68" s="397">
        <f t="shared" si="55"/>
        <v>0</v>
      </c>
      <c r="N68" s="397">
        <f t="shared" si="55"/>
        <v>0</v>
      </c>
      <c r="O68" s="397">
        <f t="shared" si="55"/>
        <v>0</v>
      </c>
      <c r="P68" s="397">
        <f t="shared" si="55"/>
        <v>0</v>
      </c>
      <c r="Q68" s="397">
        <f t="shared" si="55"/>
        <v>0</v>
      </c>
      <c r="R68" s="397">
        <f t="shared" si="55"/>
        <v>0</v>
      </c>
      <c r="S68" s="397">
        <f t="shared" si="57"/>
        <v>0</v>
      </c>
      <c r="T68" s="397">
        <f t="shared" si="57"/>
        <v>75.112199043430792</v>
      </c>
      <c r="U68" s="397">
        <f t="shared" si="57"/>
        <v>75.112199043430792</v>
      </c>
      <c r="V68" s="397">
        <f t="shared" si="57"/>
        <v>75.112199043430792</v>
      </c>
      <c r="W68" s="397">
        <f t="shared" si="57"/>
        <v>75.112199043430792</v>
      </c>
      <c r="X68" s="397">
        <f t="shared" si="57"/>
        <v>75.112199043430792</v>
      </c>
      <c r="Y68" s="397">
        <f t="shared" si="58"/>
        <v>75.112199043430792</v>
      </c>
      <c r="Z68" s="397">
        <f t="shared" si="58"/>
        <v>75.112199043430792</v>
      </c>
      <c r="AA68" s="397">
        <f t="shared" si="58"/>
        <v>75.112199043430792</v>
      </c>
      <c r="AB68" s="397">
        <f t="shared" si="58"/>
        <v>75.112199043430792</v>
      </c>
      <c r="AC68" s="397">
        <f t="shared" si="58"/>
        <v>75.112199043430792</v>
      </c>
      <c r="AD68" s="397">
        <f t="shared" si="58"/>
        <v>0</v>
      </c>
      <c r="AE68" s="397">
        <f t="shared" si="58"/>
        <v>0</v>
      </c>
      <c r="AF68" s="397">
        <f t="shared" si="58"/>
        <v>0</v>
      </c>
      <c r="AG68" s="397">
        <f t="shared" si="58"/>
        <v>0</v>
      </c>
      <c r="AH68" s="397">
        <f t="shared" si="58"/>
        <v>0</v>
      </c>
      <c r="AI68" s="397">
        <f t="shared" si="58"/>
        <v>0</v>
      </c>
      <c r="AJ68" s="397">
        <f t="shared" si="58"/>
        <v>0</v>
      </c>
      <c r="AK68" s="397">
        <f t="shared" si="58"/>
        <v>0</v>
      </c>
      <c r="AL68" s="397">
        <f t="shared" si="58"/>
        <v>0</v>
      </c>
      <c r="AM68" s="397">
        <f t="shared" si="58"/>
        <v>0</v>
      </c>
      <c r="AN68" s="397">
        <f t="shared" si="58"/>
        <v>0</v>
      </c>
      <c r="AO68" s="397">
        <f t="shared" si="59"/>
        <v>0</v>
      </c>
      <c r="AP68" s="397">
        <f t="shared" si="59"/>
        <v>0</v>
      </c>
      <c r="AQ68" s="397">
        <f t="shared" si="59"/>
        <v>0</v>
      </c>
      <c r="AR68" s="397">
        <f t="shared" si="59"/>
        <v>0</v>
      </c>
      <c r="AS68" s="397">
        <f t="shared" si="59"/>
        <v>0</v>
      </c>
      <c r="AT68" s="397">
        <f t="shared" si="59"/>
        <v>0</v>
      </c>
      <c r="AU68" s="397">
        <f t="shared" si="59"/>
        <v>0</v>
      </c>
      <c r="AV68" s="397">
        <f t="shared" si="59"/>
        <v>0</v>
      </c>
      <c r="AW68" s="397">
        <f t="shared" si="59"/>
        <v>0</v>
      </c>
      <c r="AX68" s="397">
        <f t="shared" si="59"/>
        <v>0</v>
      </c>
      <c r="AY68" s="397">
        <f t="shared" si="59"/>
        <v>0</v>
      </c>
      <c r="AZ68" s="397">
        <f t="shared" si="59"/>
        <v>0</v>
      </c>
      <c r="BA68" s="397">
        <f t="shared" si="59"/>
        <v>0</v>
      </c>
    </row>
    <row r="69" spans="2:53">
      <c r="B69" s="398">
        <f t="shared" si="56"/>
        <v>2037</v>
      </c>
      <c r="C69" s="397">
        <f t="shared" si="55"/>
        <v>0</v>
      </c>
      <c r="D69" s="397">
        <f t="shared" si="55"/>
        <v>0</v>
      </c>
      <c r="E69" s="397">
        <f t="shared" si="55"/>
        <v>0</v>
      </c>
      <c r="F69" s="397">
        <f t="shared" si="55"/>
        <v>0</v>
      </c>
      <c r="G69" s="397">
        <f t="shared" si="55"/>
        <v>0</v>
      </c>
      <c r="H69" s="397">
        <f t="shared" si="55"/>
        <v>0</v>
      </c>
      <c r="I69" s="397">
        <f t="shared" si="55"/>
        <v>0</v>
      </c>
      <c r="J69" s="397">
        <f t="shared" si="55"/>
        <v>0</v>
      </c>
      <c r="K69" s="397">
        <f t="shared" si="55"/>
        <v>0</v>
      </c>
      <c r="L69" s="397">
        <f t="shared" si="55"/>
        <v>0</v>
      </c>
      <c r="M69" s="397">
        <f t="shared" si="55"/>
        <v>0</v>
      </c>
      <c r="N69" s="397">
        <f t="shared" si="55"/>
        <v>0</v>
      </c>
      <c r="O69" s="397">
        <f t="shared" si="55"/>
        <v>0</v>
      </c>
      <c r="P69" s="397">
        <f t="shared" si="55"/>
        <v>0</v>
      </c>
      <c r="Q69" s="397">
        <f t="shared" si="55"/>
        <v>0</v>
      </c>
      <c r="R69" s="397">
        <f t="shared" si="55"/>
        <v>0</v>
      </c>
      <c r="S69" s="397">
        <f t="shared" si="57"/>
        <v>0</v>
      </c>
      <c r="T69" s="397">
        <f t="shared" si="57"/>
        <v>0</v>
      </c>
      <c r="U69" s="397">
        <f t="shared" si="57"/>
        <v>76.073324182804896</v>
      </c>
      <c r="V69" s="397">
        <f t="shared" si="57"/>
        <v>76.073324182804896</v>
      </c>
      <c r="W69" s="397">
        <f t="shared" si="57"/>
        <v>76.073324182804896</v>
      </c>
      <c r="X69" s="397">
        <f t="shared" si="57"/>
        <v>76.073324182804896</v>
      </c>
      <c r="Y69" s="397">
        <f t="shared" si="58"/>
        <v>76.073324182804896</v>
      </c>
      <c r="Z69" s="397">
        <f t="shared" si="58"/>
        <v>76.073324182804896</v>
      </c>
      <c r="AA69" s="397">
        <f t="shared" si="58"/>
        <v>76.073324182804896</v>
      </c>
      <c r="AB69" s="397">
        <f t="shared" si="58"/>
        <v>76.073324182804896</v>
      </c>
      <c r="AC69" s="397">
        <f t="shared" si="58"/>
        <v>76.073324182804896</v>
      </c>
      <c r="AD69" s="397">
        <f t="shared" si="58"/>
        <v>76.073324182804896</v>
      </c>
      <c r="AE69" s="397">
        <f t="shared" si="58"/>
        <v>0</v>
      </c>
      <c r="AF69" s="397">
        <f t="shared" si="58"/>
        <v>0</v>
      </c>
      <c r="AG69" s="397">
        <f t="shared" si="58"/>
        <v>0</v>
      </c>
      <c r="AH69" s="397">
        <f t="shared" si="58"/>
        <v>0</v>
      </c>
      <c r="AI69" s="397">
        <f t="shared" si="58"/>
        <v>0</v>
      </c>
      <c r="AJ69" s="397">
        <f t="shared" si="58"/>
        <v>0</v>
      </c>
      <c r="AK69" s="397">
        <f t="shared" si="58"/>
        <v>0</v>
      </c>
      <c r="AL69" s="397">
        <f t="shared" si="58"/>
        <v>0</v>
      </c>
      <c r="AM69" s="397">
        <f t="shared" si="58"/>
        <v>0</v>
      </c>
      <c r="AN69" s="397">
        <f t="shared" si="58"/>
        <v>0</v>
      </c>
      <c r="AO69" s="397">
        <f t="shared" si="59"/>
        <v>0</v>
      </c>
      <c r="AP69" s="397">
        <f t="shared" si="59"/>
        <v>0</v>
      </c>
      <c r="AQ69" s="397">
        <f t="shared" si="59"/>
        <v>0</v>
      </c>
      <c r="AR69" s="397">
        <f t="shared" si="59"/>
        <v>0</v>
      </c>
      <c r="AS69" s="397">
        <f t="shared" si="59"/>
        <v>0</v>
      </c>
      <c r="AT69" s="397">
        <f t="shared" si="59"/>
        <v>0</v>
      </c>
      <c r="AU69" s="397">
        <f t="shared" si="59"/>
        <v>0</v>
      </c>
      <c r="AV69" s="397">
        <f t="shared" si="59"/>
        <v>0</v>
      </c>
      <c r="AW69" s="397">
        <f t="shared" si="59"/>
        <v>0</v>
      </c>
      <c r="AX69" s="397">
        <f t="shared" si="59"/>
        <v>0</v>
      </c>
      <c r="AY69" s="397">
        <f t="shared" si="59"/>
        <v>0</v>
      </c>
      <c r="AZ69" s="397">
        <f t="shared" si="59"/>
        <v>0</v>
      </c>
      <c r="BA69" s="397">
        <f t="shared" si="59"/>
        <v>0</v>
      </c>
    </row>
    <row r="70" spans="2:53">
      <c r="B70" s="398">
        <f t="shared" si="56"/>
        <v>2038</v>
      </c>
      <c r="C70" s="397">
        <f t="shared" si="55"/>
        <v>0</v>
      </c>
      <c r="D70" s="397">
        <f t="shared" si="55"/>
        <v>0</v>
      </c>
      <c r="E70" s="397">
        <f t="shared" si="55"/>
        <v>0</v>
      </c>
      <c r="F70" s="397">
        <f t="shared" si="55"/>
        <v>0</v>
      </c>
      <c r="G70" s="397">
        <f t="shared" si="55"/>
        <v>0</v>
      </c>
      <c r="H70" s="397">
        <f t="shared" si="55"/>
        <v>0</v>
      </c>
      <c r="I70" s="397">
        <f t="shared" si="55"/>
        <v>0</v>
      </c>
      <c r="J70" s="397">
        <f t="shared" si="55"/>
        <v>0</v>
      </c>
      <c r="K70" s="397">
        <f t="shared" si="55"/>
        <v>0</v>
      </c>
      <c r="L70" s="397">
        <f t="shared" si="55"/>
        <v>0</v>
      </c>
      <c r="M70" s="397">
        <f t="shared" si="55"/>
        <v>0</v>
      </c>
      <c r="N70" s="397">
        <f t="shared" si="55"/>
        <v>0</v>
      </c>
      <c r="O70" s="397">
        <f t="shared" si="55"/>
        <v>0</v>
      </c>
      <c r="P70" s="397">
        <f t="shared" si="55"/>
        <v>0</v>
      </c>
      <c r="Q70" s="397">
        <f t="shared" si="55"/>
        <v>0</v>
      </c>
      <c r="R70" s="397">
        <f t="shared" si="55"/>
        <v>0</v>
      </c>
      <c r="S70" s="397">
        <f t="shared" si="57"/>
        <v>0</v>
      </c>
      <c r="T70" s="397">
        <f t="shared" si="57"/>
        <v>0</v>
      </c>
      <c r="U70" s="397">
        <f t="shared" si="57"/>
        <v>0</v>
      </c>
      <c r="V70" s="397">
        <f t="shared" si="57"/>
        <v>77.08110564102347</v>
      </c>
      <c r="W70" s="397">
        <f t="shared" si="57"/>
        <v>77.08110564102347</v>
      </c>
      <c r="X70" s="397">
        <f t="shared" si="57"/>
        <v>77.08110564102347</v>
      </c>
      <c r="Y70" s="397">
        <f t="shared" si="58"/>
        <v>77.08110564102347</v>
      </c>
      <c r="Z70" s="397">
        <f t="shared" si="58"/>
        <v>77.08110564102347</v>
      </c>
      <c r="AA70" s="397">
        <f t="shared" si="58"/>
        <v>77.08110564102347</v>
      </c>
      <c r="AB70" s="397">
        <f t="shared" si="58"/>
        <v>77.08110564102347</v>
      </c>
      <c r="AC70" s="397">
        <f t="shared" si="58"/>
        <v>77.08110564102347</v>
      </c>
      <c r="AD70" s="397">
        <f t="shared" si="58"/>
        <v>77.08110564102347</v>
      </c>
      <c r="AE70" s="397">
        <f t="shared" si="58"/>
        <v>77.08110564102347</v>
      </c>
      <c r="AF70" s="397">
        <f t="shared" si="58"/>
        <v>0</v>
      </c>
      <c r="AG70" s="397">
        <f t="shared" si="58"/>
        <v>0</v>
      </c>
      <c r="AH70" s="397">
        <f t="shared" si="58"/>
        <v>0</v>
      </c>
      <c r="AI70" s="397">
        <f t="shared" si="58"/>
        <v>0</v>
      </c>
      <c r="AJ70" s="397">
        <f t="shared" si="58"/>
        <v>0</v>
      </c>
      <c r="AK70" s="397">
        <f t="shared" si="58"/>
        <v>0</v>
      </c>
      <c r="AL70" s="397">
        <f t="shared" si="58"/>
        <v>0</v>
      </c>
      <c r="AM70" s="397">
        <f t="shared" si="58"/>
        <v>0</v>
      </c>
      <c r="AN70" s="397">
        <f t="shared" si="58"/>
        <v>0</v>
      </c>
      <c r="AO70" s="397">
        <f t="shared" si="59"/>
        <v>0</v>
      </c>
      <c r="AP70" s="397">
        <f t="shared" si="59"/>
        <v>0</v>
      </c>
      <c r="AQ70" s="397">
        <f t="shared" si="59"/>
        <v>0</v>
      </c>
      <c r="AR70" s="397">
        <f t="shared" si="59"/>
        <v>0</v>
      </c>
      <c r="AS70" s="397">
        <f t="shared" si="59"/>
        <v>0</v>
      </c>
      <c r="AT70" s="397">
        <f t="shared" si="59"/>
        <v>0</v>
      </c>
      <c r="AU70" s="397">
        <f t="shared" si="59"/>
        <v>0</v>
      </c>
      <c r="AV70" s="397">
        <f t="shared" si="59"/>
        <v>0</v>
      </c>
      <c r="AW70" s="397">
        <f t="shared" si="59"/>
        <v>0</v>
      </c>
      <c r="AX70" s="397">
        <f t="shared" si="59"/>
        <v>0</v>
      </c>
      <c r="AY70" s="397">
        <f t="shared" si="59"/>
        <v>0</v>
      </c>
      <c r="AZ70" s="397">
        <f t="shared" si="59"/>
        <v>0</v>
      </c>
      <c r="BA70" s="397">
        <f t="shared" si="59"/>
        <v>0</v>
      </c>
    </row>
    <row r="71" spans="2:53">
      <c r="B71" s="398">
        <f t="shared" si="56"/>
        <v>2039</v>
      </c>
      <c r="C71" s="397">
        <f t="shared" si="55"/>
        <v>0</v>
      </c>
      <c r="D71" s="397">
        <f t="shared" si="55"/>
        <v>0</v>
      </c>
      <c r="E71" s="397">
        <f t="shared" si="55"/>
        <v>0</v>
      </c>
      <c r="F71" s="397">
        <f t="shared" si="55"/>
        <v>0</v>
      </c>
      <c r="G71" s="397">
        <f t="shared" si="55"/>
        <v>0</v>
      </c>
      <c r="H71" s="397">
        <f t="shared" si="55"/>
        <v>0</v>
      </c>
      <c r="I71" s="397">
        <f t="shared" si="55"/>
        <v>0</v>
      </c>
      <c r="J71" s="397">
        <f t="shared" si="55"/>
        <v>0</v>
      </c>
      <c r="K71" s="397">
        <f t="shared" si="55"/>
        <v>0</v>
      </c>
      <c r="L71" s="397">
        <f t="shared" si="55"/>
        <v>0</v>
      </c>
      <c r="M71" s="397">
        <f t="shared" si="55"/>
        <v>0</v>
      </c>
      <c r="N71" s="397">
        <f t="shared" si="55"/>
        <v>0</v>
      </c>
      <c r="O71" s="397">
        <f t="shared" si="55"/>
        <v>0</v>
      </c>
      <c r="P71" s="397">
        <f t="shared" si="55"/>
        <v>0</v>
      </c>
      <c r="Q71" s="397">
        <f t="shared" si="55"/>
        <v>0</v>
      </c>
      <c r="R71" s="397">
        <f t="shared" si="55"/>
        <v>0</v>
      </c>
      <c r="S71" s="397">
        <f t="shared" si="57"/>
        <v>0</v>
      </c>
      <c r="T71" s="397">
        <f t="shared" si="57"/>
        <v>0</v>
      </c>
      <c r="U71" s="397">
        <f t="shared" si="57"/>
        <v>0</v>
      </c>
      <c r="V71" s="397">
        <f t="shared" si="57"/>
        <v>0</v>
      </c>
      <c r="W71" s="397">
        <f t="shared" si="57"/>
        <v>78.075490185766924</v>
      </c>
      <c r="X71" s="397">
        <f t="shared" si="57"/>
        <v>78.075490185766924</v>
      </c>
      <c r="Y71" s="397">
        <f t="shared" si="58"/>
        <v>78.075490185766924</v>
      </c>
      <c r="Z71" s="397">
        <f t="shared" si="58"/>
        <v>78.075490185766924</v>
      </c>
      <c r="AA71" s="397">
        <f t="shared" si="58"/>
        <v>78.075490185766924</v>
      </c>
      <c r="AB71" s="397">
        <f t="shared" si="58"/>
        <v>78.075490185766924</v>
      </c>
      <c r="AC71" s="397">
        <f t="shared" si="58"/>
        <v>78.075490185766924</v>
      </c>
      <c r="AD71" s="397">
        <f t="shared" si="58"/>
        <v>78.075490185766924</v>
      </c>
      <c r="AE71" s="397">
        <f t="shared" si="58"/>
        <v>78.075490185766924</v>
      </c>
      <c r="AF71" s="397">
        <f t="shared" si="58"/>
        <v>78.075490185766924</v>
      </c>
      <c r="AG71" s="397">
        <f t="shared" si="58"/>
        <v>0</v>
      </c>
      <c r="AH71" s="397">
        <f t="shared" si="58"/>
        <v>0</v>
      </c>
      <c r="AI71" s="397">
        <f t="shared" si="58"/>
        <v>0</v>
      </c>
      <c r="AJ71" s="397">
        <f t="shared" si="58"/>
        <v>0</v>
      </c>
      <c r="AK71" s="397">
        <f t="shared" si="58"/>
        <v>0</v>
      </c>
      <c r="AL71" s="397">
        <f t="shared" si="58"/>
        <v>0</v>
      </c>
      <c r="AM71" s="397">
        <f t="shared" si="58"/>
        <v>0</v>
      </c>
      <c r="AN71" s="397">
        <f t="shared" si="58"/>
        <v>0</v>
      </c>
      <c r="AO71" s="397">
        <f t="shared" si="59"/>
        <v>0</v>
      </c>
      <c r="AP71" s="397">
        <f t="shared" si="59"/>
        <v>0</v>
      </c>
      <c r="AQ71" s="397">
        <f t="shared" si="59"/>
        <v>0</v>
      </c>
      <c r="AR71" s="397">
        <f t="shared" si="59"/>
        <v>0</v>
      </c>
      <c r="AS71" s="397">
        <f t="shared" si="59"/>
        <v>0</v>
      </c>
      <c r="AT71" s="397">
        <f t="shared" si="59"/>
        <v>0</v>
      </c>
      <c r="AU71" s="397">
        <f t="shared" si="59"/>
        <v>0</v>
      </c>
      <c r="AV71" s="397">
        <f t="shared" si="59"/>
        <v>0</v>
      </c>
      <c r="AW71" s="397">
        <f t="shared" si="59"/>
        <v>0</v>
      </c>
      <c r="AX71" s="397">
        <f t="shared" si="59"/>
        <v>0</v>
      </c>
      <c r="AY71" s="397">
        <f t="shared" si="59"/>
        <v>0</v>
      </c>
      <c r="AZ71" s="397">
        <f t="shared" si="59"/>
        <v>0</v>
      </c>
      <c r="BA71" s="397">
        <f t="shared" si="59"/>
        <v>0</v>
      </c>
    </row>
    <row r="72" spans="2:53">
      <c r="B72" s="398">
        <f t="shared" si="56"/>
        <v>2040</v>
      </c>
      <c r="C72" s="397">
        <f t="shared" si="55"/>
        <v>0</v>
      </c>
      <c r="D72" s="397">
        <f t="shared" si="55"/>
        <v>0</v>
      </c>
      <c r="E72" s="397">
        <f t="shared" si="55"/>
        <v>0</v>
      </c>
      <c r="F72" s="397">
        <f t="shared" si="55"/>
        <v>0</v>
      </c>
      <c r="G72" s="397">
        <f t="shared" si="55"/>
        <v>0</v>
      </c>
      <c r="H72" s="397">
        <f t="shared" si="55"/>
        <v>0</v>
      </c>
      <c r="I72" s="397">
        <f t="shared" si="55"/>
        <v>0</v>
      </c>
      <c r="J72" s="397">
        <f t="shared" si="55"/>
        <v>0</v>
      </c>
      <c r="K72" s="397">
        <f t="shared" si="55"/>
        <v>0</v>
      </c>
      <c r="L72" s="397">
        <f t="shared" si="55"/>
        <v>0</v>
      </c>
      <c r="M72" s="397">
        <f t="shared" si="55"/>
        <v>0</v>
      </c>
      <c r="N72" s="397">
        <f t="shared" si="55"/>
        <v>0</v>
      </c>
      <c r="O72" s="397">
        <f t="shared" si="55"/>
        <v>0</v>
      </c>
      <c r="P72" s="397">
        <f t="shared" si="55"/>
        <v>0</v>
      </c>
      <c r="Q72" s="397">
        <f t="shared" si="55"/>
        <v>0</v>
      </c>
      <c r="R72" s="397">
        <f t="shared" si="55"/>
        <v>0</v>
      </c>
      <c r="S72" s="397">
        <f t="shared" si="57"/>
        <v>0</v>
      </c>
      <c r="T72" s="397">
        <f t="shared" si="57"/>
        <v>0</v>
      </c>
      <c r="U72" s="397">
        <f t="shared" si="57"/>
        <v>0</v>
      </c>
      <c r="V72" s="397">
        <f t="shared" si="57"/>
        <v>0</v>
      </c>
      <c r="W72" s="397">
        <f t="shared" si="57"/>
        <v>0</v>
      </c>
      <c r="X72" s="397">
        <f t="shared" si="57"/>
        <v>79.046097705606655</v>
      </c>
      <c r="Y72" s="397">
        <f t="shared" si="58"/>
        <v>79.046097705606655</v>
      </c>
      <c r="Z72" s="397">
        <f t="shared" si="58"/>
        <v>79.046097705606655</v>
      </c>
      <c r="AA72" s="397">
        <f t="shared" si="58"/>
        <v>79.046097705606655</v>
      </c>
      <c r="AB72" s="397">
        <f t="shared" si="58"/>
        <v>79.046097705606655</v>
      </c>
      <c r="AC72" s="397">
        <f t="shared" si="58"/>
        <v>79.046097705606655</v>
      </c>
      <c r="AD72" s="397">
        <f t="shared" si="58"/>
        <v>79.046097705606655</v>
      </c>
      <c r="AE72" s="397">
        <f t="shared" si="58"/>
        <v>79.046097705606655</v>
      </c>
      <c r="AF72" s="397">
        <f t="shared" si="58"/>
        <v>79.046097705606655</v>
      </c>
      <c r="AG72" s="397">
        <f t="shared" si="58"/>
        <v>79.046097705606655</v>
      </c>
      <c r="AH72" s="397">
        <f t="shared" si="58"/>
        <v>0</v>
      </c>
      <c r="AI72" s="397">
        <f t="shared" si="58"/>
        <v>0</v>
      </c>
      <c r="AJ72" s="397">
        <f t="shared" si="58"/>
        <v>0</v>
      </c>
      <c r="AK72" s="397">
        <f t="shared" si="58"/>
        <v>0</v>
      </c>
      <c r="AL72" s="397">
        <f t="shared" si="58"/>
        <v>0</v>
      </c>
      <c r="AM72" s="397">
        <f t="shared" si="58"/>
        <v>0</v>
      </c>
      <c r="AN72" s="397">
        <f t="shared" ref="AN72:BA87" si="60">IF($B72&gt;=AN$51,0,        IF(AN$51-$B72&lt;=$C$42,    INDEX($C$27:$BA$27, MATCH($B72, $C$26:$BA$26,0)),       0))</f>
        <v>0</v>
      </c>
      <c r="AO72" s="397">
        <f t="shared" si="60"/>
        <v>0</v>
      </c>
      <c r="AP72" s="397">
        <f t="shared" si="60"/>
        <v>0</v>
      </c>
      <c r="AQ72" s="397">
        <f t="shared" si="60"/>
        <v>0</v>
      </c>
      <c r="AR72" s="397">
        <f t="shared" si="60"/>
        <v>0</v>
      </c>
      <c r="AS72" s="397">
        <f t="shared" si="60"/>
        <v>0</v>
      </c>
      <c r="AT72" s="397">
        <f t="shared" si="60"/>
        <v>0</v>
      </c>
      <c r="AU72" s="397">
        <f t="shared" si="60"/>
        <v>0</v>
      </c>
      <c r="AV72" s="397">
        <f t="shared" si="60"/>
        <v>0</v>
      </c>
      <c r="AW72" s="397">
        <f t="shared" si="60"/>
        <v>0</v>
      </c>
      <c r="AX72" s="397">
        <f t="shared" si="60"/>
        <v>0</v>
      </c>
      <c r="AY72" s="397">
        <f t="shared" si="60"/>
        <v>0</v>
      </c>
      <c r="AZ72" s="397">
        <f t="shared" si="60"/>
        <v>0</v>
      </c>
      <c r="BA72" s="397">
        <f t="shared" si="60"/>
        <v>0</v>
      </c>
    </row>
    <row r="73" spans="2:53">
      <c r="B73" s="398">
        <f t="shared" si="56"/>
        <v>2041</v>
      </c>
      <c r="C73" s="397">
        <f t="shared" si="55"/>
        <v>0</v>
      </c>
      <c r="D73" s="397">
        <f t="shared" si="55"/>
        <v>0</v>
      </c>
      <c r="E73" s="397">
        <f t="shared" si="55"/>
        <v>0</v>
      </c>
      <c r="F73" s="397">
        <f t="shared" si="55"/>
        <v>0</v>
      </c>
      <c r="G73" s="397">
        <f t="shared" si="55"/>
        <v>0</v>
      </c>
      <c r="H73" s="397">
        <f t="shared" si="55"/>
        <v>0</v>
      </c>
      <c r="I73" s="397">
        <f t="shared" si="55"/>
        <v>0</v>
      </c>
      <c r="J73" s="397">
        <f t="shared" si="55"/>
        <v>0</v>
      </c>
      <c r="K73" s="397">
        <f t="shared" si="55"/>
        <v>0</v>
      </c>
      <c r="L73" s="397">
        <f t="shared" si="55"/>
        <v>0</v>
      </c>
      <c r="M73" s="397">
        <f t="shared" ref="M73:AB88" si="61">IF($B73&gt;=M$51,0,        IF(M$51-$B73&lt;=$C$42,    INDEX($C$27:$BA$27, MATCH($B73, $C$26:$BA$26,0)),       0))</f>
        <v>0</v>
      </c>
      <c r="N73" s="397">
        <f t="shared" si="61"/>
        <v>0</v>
      </c>
      <c r="O73" s="397">
        <f t="shared" si="61"/>
        <v>0</v>
      </c>
      <c r="P73" s="397">
        <f t="shared" si="61"/>
        <v>0</v>
      </c>
      <c r="Q73" s="397">
        <f t="shared" si="61"/>
        <v>0</v>
      </c>
      <c r="R73" s="397">
        <f t="shared" si="61"/>
        <v>0</v>
      </c>
      <c r="S73" s="397">
        <f t="shared" si="61"/>
        <v>0</v>
      </c>
      <c r="T73" s="397">
        <f t="shared" si="61"/>
        <v>0</v>
      </c>
      <c r="U73" s="397">
        <f t="shared" si="61"/>
        <v>0</v>
      </c>
      <c r="V73" s="397">
        <f t="shared" si="61"/>
        <v>0</v>
      </c>
      <c r="W73" s="397">
        <f t="shared" si="61"/>
        <v>0</v>
      </c>
      <c r="X73" s="397">
        <f t="shared" si="61"/>
        <v>0</v>
      </c>
      <c r="Y73" s="397">
        <f t="shared" si="61"/>
        <v>80.015316294588004</v>
      </c>
      <c r="Z73" s="397">
        <f t="shared" si="61"/>
        <v>80.015316294588004</v>
      </c>
      <c r="AA73" s="397">
        <f t="shared" si="61"/>
        <v>80.015316294588004</v>
      </c>
      <c r="AB73" s="397">
        <f t="shared" si="61"/>
        <v>80.015316294588004</v>
      </c>
      <c r="AC73" s="397">
        <f t="shared" ref="AC73:AR88" si="62">IF($B73&gt;=AC$51,0,        IF(AC$51-$B73&lt;=$C$42,    INDEX($C$27:$BA$27, MATCH($B73, $C$26:$BA$26,0)),       0))</f>
        <v>80.015316294588004</v>
      </c>
      <c r="AD73" s="397">
        <f t="shared" si="62"/>
        <v>80.015316294588004</v>
      </c>
      <c r="AE73" s="397">
        <f t="shared" si="62"/>
        <v>80.015316294588004</v>
      </c>
      <c r="AF73" s="397">
        <f t="shared" si="62"/>
        <v>80.015316294588004</v>
      </c>
      <c r="AG73" s="397">
        <f t="shared" si="62"/>
        <v>80.015316294588004</v>
      </c>
      <c r="AH73" s="397">
        <f t="shared" si="62"/>
        <v>80.015316294588004</v>
      </c>
      <c r="AI73" s="397">
        <f t="shared" si="62"/>
        <v>0</v>
      </c>
      <c r="AJ73" s="397">
        <f t="shared" si="62"/>
        <v>0</v>
      </c>
      <c r="AK73" s="397">
        <f t="shared" si="62"/>
        <v>0</v>
      </c>
      <c r="AL73" s="397">
        <f t="shared" si="62"/>
        <v>0</v>
      </c>
      <c r="AM73" s="397">
        <f t="shared" si="62"/>
        <v>0</v>
      </c>
      <c r="AN73" s="397">
        <f t="shared" si="62"/>
        <v>0</v>
      </c>
      <c r="AO73" s="397">
        <f t="shared" si="62"/>
        <v>0</v>
      </c>
      <c r="AP73" s="397">
        <f t="shared" si="62"/>
        <v>0</v>
      </c>
      <c r="AQ73" s="397">
        <f t="shared" si="62"/>
        <v>0</v>
      </c>
      <c r="AR73" s="397">
        <f t="shared" si="62"/>
        <v>0</v>
      </c>
      <c r="AS73" s="397">
        <f t="shared" si="60"/>
        <v>0</v>
      </c>
      <c r="AT73" s="397">
        <f t="shared" si="60"/>
        <v>0</v>
      </c>
      <c r="AU73" s="397">
        <f t="shared" si="60"/>
        <v>0</v>
      </c>
      <c r="AV73" s="397">
        <f t="shared" si="60"/>
        <v>0</v>
      </c>
      <c r="AW73" s="397">
        <f t="shared" si="60"/>
        <v>0</v>
      </c>
      <c r="AX73" s="397">
        <f t="shared" si="60"/>
        <v>0</v>
      </c>
      <c r="AY73" s="397">
        <f t="shared" si="60"/>
        <v>0</v>
      </c>
      <c r="AZ73" s="397">
        <f t="shared" si="60"/>
        <v>0</v>
      </c>
      <c r="BA73" s="397">
        <f t="shared" si="60"/>
        <v>0</v>
      </c>
    </row>
    <row r="74" spans="2:53">
      <c r="B74" s="398">
        <f t="shared" si="56"/>
        <v>2042</v>
      </c>
      <c r="C74" s="397">
        <f t="shared" ref="C74:R89" si="63">IF($B74&gt;=C$51,0,        IF(C$51-$B74&lt;=$C$42,    INDEX($C$27:$BA$27, MATCH($B74, $C$26:$BA$26,0)),       0))</f>
        <v>0</v>
      </c>
      <c r="D74" s="397">
        <f t="shared" si="63"/>
        <v>0</v>
      </c>
      <c r="E74" s="397">
        <f t="shared" si="63"/>
        <v>0</v>
      </c>
      <c r="F74" s="397">
        <f t="shared" si="63"/>
        <v>0</v>
      </c>
      <c r="G74" s="397">
        <f t="shared" si="63"/>
        <v>0</v>
      </c>
      <c r="H74" s="397">
        <f t="shared" si="63"/>
        <v>0</v>
      </c>
      <c r="I74" s="397">
        <f t="shared" si="63"/>
        <v>0</v>
      </c>
      <c r="J74" s="397">
        <f t="shared" si="63"/>
        <v>0</v>
      </c>
      <c r="K74" s="397">
        <f t="shared" si="63"/>
        <v>0</v>
      </c>
      <c r="L74" s="397">
        <f t="shared" si="63"/>
        <v>0</v>
      </c>
      <c r="M74" s="397">
        <f t="shared" si="63"/>
        <v>0</v>
      </c>
      <c r="N74" s="397">
        <f t="shared" si="63"/>
        <v>0</v>
      </c>
      <c r="O74" s="397">
        <f t="shared" si="63"/>
        <v>0</v>
      </c>
      <c r="P74" s="397">
        <f t="shared" si="63"/>
        <v>0</v>
      </c>
      <c r="Q74" s="397">
        <f t="shared" si="63"/>
        <v>0</v>
      </c>
      <c r="R74" s="397">
        <f t="shared" si="63"/>
        <v>0</v>
      </c>
      <c r="S74" s="397">
        <f t="shared" si="61"/>
        <v>0</v>
      </c>
      <c r="T74" s="397">
        <f t="shared" si="61"/>
        <v>0</v>
      </c>
      <c r="U74" s="397">
        <f t="shared" si="61"/>
        <v>0</v>
      </c>
      <c r="V74" s="397">
        <f t="shared" si="61"/>
        <v>0</v>
      </c>
      <c r="W74" s="397">
        <f t="shared" si="61"/>
        <v>0</v>
      </c>
      <c r="X74" s="397">
        <f t="shared" si="61"/>
        <v>0</v>
      </c>
      <c r="Y74" s="397">
        <f t="shared" si="61"/>
        <v>0</v>
      </c>
      <c r="Z74" s="397">
        <f t="shared" si="61"/>
        <v>80.970563986543326</v>
      </c>
      <c r="AA74" s="397">
        <f t="shared" si="61"/>
        <v>80.970563986543326</v>
      </c>
      <c r="AB74" s="397">
        <f t="shared" si="61"/>
        <v>80.970563986543326</v>
      </c>
      <c r="AC74" s="397">
        <f t="shared" si="62"/>
        <v>80.970563986543326</v>
      </c>
      <c r="AD74" s="397">
        <f t="shared" si="62"/>
        <v>80.970563986543326</v>
      </c>
      <c r="AE74" s="397">
        <f t="shared" si="62"/>
        <v>80.970563986543326</v>
      </c>
      <c r="AF74" s="397">
        <f t="shared" si="62"/>
        <v>80.970563986543326</v>
      </c>
      <c r="AG74" s="397">
        <f t="shared" si="62"/>
        <v>80.970563986543326</v>
      </c>
      <c r="AH74" s="397">
        <f t="shared" si="62"/>
        <v>80.970563986543326</v>
      </c>
      <c r="AI74" s="397">
        <f t="shared" si="62"/>
        <v>80.970563986543326</v>
      </c>
      <c r="AJ74" s="397">
        <f t="shared" si="62"/>
        <v>0</v>
      </c>
      <c r="AK74" s="397">
        <f t="shared" si="62"/>
        <v>0</v>
      </c>
      <c r="AL74" s="397">
        <f t="shared" si="62"/>
        <v>0</v>
      </c>
      <c r="AM74" s="397">
        <f t="shared" si="62"/>
        <v>0</v>
      </c>
      <c r="AN74" s="397">
        <f t="shared" si="62"/>
        <v>0</v>
      </c>
      <c r="AO74" s="397">
        <f t="shared" si="62"/>
        <v>0</v>
      </c>
      <c r="AP74" s="397">
        <f t="shared" si="62"/>
        <v>0</v>
      </c>
      <c r="AQ74" s="397">
        <f t="shared" si="62"/>
        <v>0</v>
      </c>
      <c r="AR74" s="397">
        <f t="shared" si="62"/>
        <v>0</v>
      </c>
      <c r="AS74" s="397">
        <f t="shared" si="60"/>
        <v>0</v>
      </c>
      <c r="AT74" s="397">
        <f t="shared" si="60"/>
        <v>0</v>
      </c>
      <c r="AU74" s="397">
        <f t="shared" si="60"/>
        <v>0</v>
      </c>
      <c r="AV74" s="397">
        <f t="shared" si="60"/>
        <v>0</v>
      </c>
      <c r="AW74" s="397">
        <f t="shared" si="60"/>
        <v>0</v>
      </c>
      <c r="AX74" s="397">
        <f t="shared" si="60"/>
        <v>0</v>
      </c>
      <c r="AY74" s="397">
        <f t="shared" si="60"/>
        <v>0</v>
      </c>
      <c r="AZ74" s="397">
        <f t="shared" si="60"/>
        <v>0</v>
      </c>
      <c r="BA74" s="397">
        <f t="shared" si="60"/>
        <v>0</v>
      </c>
    </row>
    <row r="75" spans="2:53">
      <c r="B75" s="398">
        <f t="shared" si="56"/>
        <v>2043</v>
      </c>
      <c r="C75" s="397">
        <f t="shared" si="63"/>
        <v>0</v>
      </c>
      <c r="D75" s="397">
        <f t="shared" si="63"/>
        <v>0</v>
      </c>
      <c r="E75" s="397">
        <f t="shared" si="63"/>
        <v>0</v>
      </c>
      <c r="F75" s="397">
        <f t="shared" si="63"/>
        <v>0</v>
      </c>
      <c r="G75" s="397">
        <f t="shared" si="63"/>
        <v>0</v>
      </c>
      <c r="H75" s="397">
        <f t="shared" si="63"/>
        <v>0</v>
      </c>
      <c r="I75" s="397">
        <f t="shared" si="63"/>
        <v>0</v>
      </c>
      <c r="J75" s="397">
        <f t="shared" si="63"/>
        <v>0</v>
      </c>
      <c r="K75" s="397">
        <f t="shared" si="63"/>
        <v>0</v>
      </c>
      <c r="L75" s="397">
        <f t="shared" si="63"/>
        <v>0</v>
      </c>
      <c r="M75" s="397">
        <f t="shared" si="63"/>
        <v>0</v>
      </c>
      <c r="N75" s="397">
        <f t="shared" si="63"/>
        <v>0</v>
      </c>
      <c r="O75" s="397">
        <f t="shared" si="63"/>
        <v>0</v>
      </c>
      <c r="P75" s="397">
        <f t="shared" si="63"/>
        <v>0</v>
      </c>
      <c r="Q75" s="397">
        <f t="shared" si="63"/>
        <v>0</v>
      </c>
      <c r="R75" s="397">
        <f t="shared" si="63"/>
        <v>0</v>
      </c>
      <c r="S75" s="397">
        <f t="shared" si="61"/>
        <v>0</v>
      </c>
      <c r="T75" s="397">
        <f t="shared" si="61"/>
        <v>0</v>
      </c>
      <c r="U75" s="397">
        <f t="shared" si="61"/>
        <v>0</v>
      </c>
      <c r="V75" s="397">
        <f t="shared" si="61"/>
        <v>0</v>
      </c>
      <c r="W75" s="397">
        <f t="shared" si="61"/>
        <v>0</v>
      </c>
      <c r="X75" s="397">
        <f t="shared" si="61"/>
        <v>0</v>
      </c>
      <c r="Y75" s="397">
        <f t="shared" si="61"/>
        <v>0</v>
      </c>
      <c r="Z75" s="397">
        <f t="shared" si="61"/>
        <v>0</v>
      </c>
      <c r="AA75" s="397">
        <f t="shared" si="61"/>
        <v>81.90352170280471</v>
      </c>
      <c r="AB75" s="397">
        <f t="shared" si="61"/>
        <v>81.90352170280471</v>
      </c>
      <c r="AC75" s="397">
        <f t="shared" si="62"/>
        <v>81.90352170280471</v>
      </c>
      <c r="AD75" s="397">
        <f t="shared" si="62"/>
        <v>81.90352170280471</v>
      </c>
      <c r="AE75" s="397">
        <f t="shared" si="62"/>
        <v>81.90352170280471</v>
      </c>
      <c r="AF75" s="397">
        <f t="shared" si="62"/>
        <v>81.90352170280471</v>
      </c>
      <c r="AG75" s="397">
        <f t="shared" si="62"/>
        <v>81.90352170280471</v>
      </c>
      <c r="AH75" s="397">
        <f t="shared" si="62"/>
        <v>81.90352170280471</v>
      </c>
      <c r="AI75" s="397">
        <f t="shared" si="62"/>
        <v>81.90352170280471</v>
      </c>
      <c r="AJ75" s="397">
        <f t="shared" si="62"/>
        <v>81.90352170280471</v>
      </c>
      <c r="AK75" s="397">
        <f t="shared" si="62"/>
        <v>0</v>
      </c>
      <c r="AL75" s="397">
        <f t="shared" si="62"/>
        <v>0</v>
      </c>
      <c r="AM75" s="397">
        <f t="shared" si="62"/>
        <v>0</v>
      </c>
      <c r="AN75" s="397">
        <f t="shared" si="62"/>
        <v>0</v>
      </c>
      <c r="AO75" s="397">
        <f t="shared" si="62"/>
        <v>0</v>
      </c>
      <c r="AP75" s="397">
        <f t="shared" si="62"/>
        <v>0</v>
      </c>
      <c r="AQ75" s="397">
        <f t="shared" si="62"/>
        <v>0</v>
      </c>
      <c r="AR75" s="397">
        <f t="shared" si="62"/>
        <v>0</v>
      </c>
      <c r="AS75" s="397">
        <f t="shared" si="60"/>
        <v>0</v>
      </c>
      <c r="AT75" s="397">
        <f t="shared" si="60"/>
        <v>0</v>
      </c>
      <c r="AU75" s="397">
        <f t="shared" si="60"/>
        <v>0</v>
      </c>
      <c r="AV75" s="397">
        <f t="shared" si="60"/>
        <v>0</v>
      </c>
      <c r="AW75" s="397">
        <f t="shared" si="60"/>
        <v>0</v>
      </c>
      <c r="AX75" s="397">
        <f t="shared" si="60"/>
        <v>0</v>
      </c>
      <c r="AY75" s="397">
        <f t="shared" si="60"/>
        <v>0</v>
      </c>
      <c r="AZ75" s="397">
        <f t="shared" si="60"/>
        <v>0</v>
      </c>
      <c r="BA75" s="397">
        <f t="shared" si="60"/>
        <v>0</v>
      </c>
    </row>
    <row r="76" spans="2:53">
      <c r="B76" s="398">
        <f t="shared" si="56"/>
        <v>2044</v>
      </c>
      <c r="C76" s="397">
        <f t="shared" si="63"/>
        <v>0</v>
      </c>
      <c r="D76" s="397">
        <f t="shared" si="63"/>
        <v>0</v>
      </c>
      <c r="E76" s="397">
        <f t="shared" si="63"/>
        <v>0</v>
      </c>
      <c r="F76" s="397">
        <f t="shared" si="63"/>
        <v>0</v>
      </c>
      <c r="G76" s="397">
        <f t="shared" si="63"/>
        <v>0</v>
      </c>
      <c r="H76" s="397">
        <f t="shared" si="63"/>
        <v>0</v>
      </c>
      <c r="I76" s="397">
        <f t="shared" si="63"/>
        <v>0</v>
      </c>
      <c r="J76" s="397">
        <f t="shared" si="63"/>
        <v>0</v>
      </c>
      <c r="K76" s="397">
        <f t="shared" si="63"/>
        <v>0</v>
      </c>
      <c r="L76" s="397">
        <f t="shared" si="63"/>
        <v>0</v>
      </c>
      <c r="M76" s="397">
        <f t="shared" si="63"/>
        <v>0</v>
      </c>
      <c r="N76" s="397">
        <f t="shared" si="63"/>
        <v>0</v>
      </c>
      <c r="O76" s="397">
        <f t="shared" si="63"/>
        <v>0</v>
      </c>
      <c r="P76" s="397">
        <f t="shared" si="63"/>
        <v>0</v>
      </c>
      <c r="Q76" s="397">
        <f t="shared" si="63"/>
        <v>0</v>
      </c>
      <c r="R76" s="397">
        <f t="shared" si="63"/>
        <v>0</v>
      </c>
      <c r="S76" s="397">
        <f t="shared" si="61"/>
        <v>0</v>
      </c>
      <c r="T76" s="397">
        <f t="shared" si="61"/>
        <v>0</v>
      </c>
      <c r="U76" s="397">
        <f t="shared" si="61"/>
        <v>0</v>
      </c>
      <c r="V76" s="397">
        <f t="shared" si="61"/>
        <v>0</v>
      </c>
      <c r="W76" s="397">
        <f t="shared" si="61"/>
        <v>0</v>
      </c>
      <c r="X76" s="397">
        <f t="shared" si="61"/>
        <v>0</v>
      </c>
      <c r="Y76" s="397">
        <f t="shared" si="61"/>
        <v>0</v>
      </c>
      <c r="Z76" s="397">
        <f t="shared" si="61"/>
        <v>0</v>
      </c>
      <c r="AA76" s="397">
        <f t="shared" si="61"/>
        <v>0</v>
      </c>
      <c r="AB76" s="397">
        <f t="shared" si="61"/>
        <v>82.809178035285825</v>
      </c>
      <c r="AC76" s="397">
        <f t="shared" si="62"/>
        <v>82.809178035285825</v>
      </c>
      <c r="AD76" s="397">
        <f t="shared" si="62"/>
        <v>82.809178035285825</v>
      </c>
      <c r="AE76" s="397">
        <f t="shared" si="62"/>
        <v>82.809178035285825</v>
      </c>
      <c r="AF76" s="397">
        <f t="shared" si="62"/>
        <v>82.809178035285825</v>
      </c>
      <c r="AG76" s="397">
        <f t="shared" si="62"/>
        <v>82.809178035285825</v>
      </c>
      <c r="AH76" s="397">
        <f t="shared" si="62"/>
        <v>82.809178035285825</v>
      </c>
      <c r="AI76" s="397">
        <f t="shared" si="62"/>
        <v>82.809178035285825</v>
      </c>
      <c r="AJ76" s="397">
        <f t="shared" si="62"/>
        <v>82.809178035285825</v>
      </c>
      <c r="AK76" s="397">
        <f t="shared" si="62"/>
        <v>82.809178035285825</v>
      </c>
      <c r="AL76" s="397">
        <f t="shared" si="62"/>
        <v>0</v>
      </c>
      <c r="AM76" s="397">
        <f t="shared" si="62"/>
        <v>0</v>
      </c>
      <c r="AN76" s="397">
        <f t="shared" si="62"/>
        <v>0</v>
      </c>
      <c r="AO76" s="397">
        <f t="shared" si="62"/>
        <v>0</v>
      </c>
      <c r="AP76" s="397">
        <f t="shared" si="62"/>
        <v>0</v>
      </c>
      <c r="AQ76" s="397">
        <f t="shared" si="62"/>
        <v>0</v>
      </c>
      <c r="AR76" s="397">
        <f t="shared" si="62"/>
        <v>0</v>
      </c>
      <c r="AS76" s="397">
        <f t="shared" si="60"/>
        <v>0</v>
      </c>
      <c r="AT76" s="397">
        <f t="shared" si="60"/>
        <v>0</v>
      </c>
      <c r="AU76" s="397">
        <f t="shared" si="60"/>
        <v>0</v>
      </c>
      <c r="AV76" s="397">
        <f t="shared" si="60"/>
        <v>0</v>
      </c>
      <c r="AW76" s="397">
        <f t="shared" si="60"/>
        <v>0</v>
      </c>
      <c r="AX76" s="397">
        <f t="shared" si="60"/>
        <v>0</v>
      </c>
      <c r="AY76" s="397">
        <f t="shared" si="60"/>
        <v>0</v>
      </c>
      <c r="AZ76" s="397">
        <f t="shared" si="60"/>
        <v>0</v>
      </c>
      <c r="BA76" s="397">
        <f t="shared" si="60"/>
        <v>0</v>
      </c>
    </row>
    <row r="77" spans="2:53">
      <c r="B77" s="398">
        <f t="shared" si="56"/>
        <v>2045</v>
      </c>
      <c r="C77" s="397">
        <f t="shared" si="63"/>
        <v>0</v>
      </c>
      <c r="D77" s="397">
        <f t="shared" si="63"/>
        <v>0</v>
      </c>
      <c r="E77" s="397">
        <f t="shared" si="63"/>
        <v>0</v>
      </c>
      <c r="F77" s="397">
        <f t="shared" si="63"/>
        <v>0</v>
      </c>
      <c r="G77" s="397">
        <f t="shared" si="63"/>
        <v>0</v>
      </c>
      <c r="H77" s="397">
        <f t="shared" si="63"/>
        <v>0</v>
      </c>
      <c r="I77" s="397">
        <f t="shared" si="63"/>
        <v>0</v>
      </c>
      <c r="J77" s="397">
        <f t="shared" si="63"/>
        <v>0</v>
      </c>
      <c r="K77" s="397">
        <f t="shared" si="63"/>
        <v>0</v>
      </c>
      <c r="L77" s="397">
        <f t="shared" si="63"/>
        <v>0</v>
      </c>
      <c r="M77" s="397">
        <f t="shared" si="63"/>
        <v>0</v>
      </c>
      <c r="N77" s="397">
        <f t="shared" si="63"/>
        <v>0</v>
      </c>
      <c r="O77" s="397">
        <f t="shared" si="63"/>
        <v>0</v>
      </c>
      <c r="P77" s="397">
        <f t="shared" si="63"/>
        <v>0</v>
      </c>
      <c r="Q77" s="397">
        <f t="shared" si="63"/>
        <v>0</v>
      </c>
      <c r="R77" s="397">
        <f t="shared" si="63"/>
        <v>0</v>
      </c>
      <c r="S77" s="397">
        <f t="shared" si="61"/>
        <v>0</v>
      </c>
      <c r="T77" s="397">
        <f t="shared" si="61"/>
        <v>0</v>
      </c>
      <c r="U77" s="397">
        <f t="shared" si="61"/>
        <v>0</v>
      </c>
      <c r="V77" s="397">
        <f t="shared" si="61"/>
        <v>0</v>
      </c>
      <c r="W77" s="397">
        <f t="shared" si="61"/>
        <v>0</v>
      </c>
      <c r="X77" s="397">
        <f t="shared" si="61"/>
        <v>0</v>
      </c>
      <c r="Y77" s="397">
        <f t="shared" si="61"/>
        <v>0</v>
      </c>
      <c r="Z77" s="397">
        <f t="shared" si="61"/>
        <v>0</v>
      </c>
      <c r="AA77" s="397">
        <f t="shared" si="61"/>
        <v>0</v>
      </c>
      <c r="AB77" s="397">
        <f t="shared" si="61"/>
        <v>0</v>
      </c>
      <c r="AC77" s="397">
        <f t="shared" si="62"/>
        <v>83.69436223760998</v>
      </c>
      <c r="AD77" s="397">
        <f t="shared" si="62"/>
        <v>83.69436223760998</v>
      </c>
      <c r="AE77" s="397">
        <f t="shared" si="62"/>
        <v>83.69436223760998</v>
      </c>
      <c r="AF77" s="397">
        <f t="shared" si="62"/>
        <v>83.69436223760998</v>
      </c>
      <c r="AG77" s="397">
        <f t="shared" si="62"/>
        <v>83.69436223760998</v>
      </c>
      <c r="AH77" s="397">
        <f t="shared" si="62"/>
        <v>83.69436223760998</v>
      </c>
      <c r="AI77" s="397">
        <f t="shared" si="62"/>
        <v>83.69436223760998</v>
      </c>
      <c r="AJ77" s="397">
        <f t="shared" si="62"/>
        <v>83.69436223760998</v>
      </c>
      <c r="AK77" s="397">
        <f t="shared" si="62"/>
        <v>83.69436223760998</v>
      </c>
      <c r="AL77" s="397">
        <f t="shared" si="62"/>
        <v>83.69436223760998</v>
      </c>
      <c r="AM77" s="397">
        <f t="shared" si="62"/>
        <v>0</v>
      </c>
      <c r="AN77" s="397">
        <f t="shared" si="62"/>
        <v>0</v>
      </c>
      <c r="AO77" s="397">
        <f t="shared" si="62"/>
        <v>0</v>
      </c>
      <c r="AP77" s="397">
        <f t="shared" si="62"/>
        <v>0</v>
      </c>
      <c r="AQ77" s="397">
        <f t="shared" si="62"/>
        <v>0</v>
      </c>
      <c r="AR77" s="397">
        <f t="shared" si="62"/>
        <v>0</v>
      </c>
      <c r="AS77" s="397">
        <f t="shared" si="60"/>
        <v>0</v>
      </c>
      <c r="AT77" s="397">
        <f t="shared" si="60"/>
        <v>0</v>
      </c>
      <c r="AU77" s="397">
        <f t="shared" si="60"/>
        <v>0</v>
      </c>
      <c r="AV77" s="397">
        <f t="shared" si="60"/>
        <v>0</v>
      </c>
      <c r="AW77" s="397">
        <f t="shared" si="60"/>
        <v>0</v>
      </c>
      <c r="AX77" s="397">
        <f t="shared" si="60"/>
        <v>0</v>
      </c>
      <c r="AY77" s="397">
        <f t="shared" si="60"/>
        <v>0</v>
      </c>
      <c r="AZ77" s="397">
        <f t="shared" si="60"/>
        <v>0</v>
      </c>
      <c r="BA77" s="397">
        <f t="shared" si="60"/>
        <v>0</v>
      </c>
    </row>
    <row r="78" spans="2:53">
      <c r="B78" s="398">
        <f t="shared" si="56"/>
        <v>2046</v>
      </c>
      <c r="C78" s="397">
        <f t="shared" si="63"/>
        <v>0</v>
      </c>
      <c r="D78" s="397">
        <f t="shared" si="63"/>
        <v>0</v>
      </c>
      <c r="E78" s="397">
        <f t="shared" si="63"/>
        <v>0</v>
      </c>
      <c r="F78" s="397">
        <f t="shared" si="63"/>
        <v>0</v>
      </c>
      <c r="G78" s="397">
        <f t="shared" si="63"/>
        <v>0</v>
      </c>
      <c r="H78" s="397">
        <f t="shared" si="63"/>
        <v>0</v>
      </c>
      <c r="I78" s="397">
        <f t="shared" si="63"/>
        <v>0</v>
      </c>
      <c r="J78" s="397">
        <f t="shared" si="63"/>
        <v>0</v>
      </c>
      <c r="K78" s="397">
        <f t="shared" si="63"/>
        <v>0</v>
      </c>
      <c r="L78" s="397">
        <f t="shared" si="63"/>
        <v>0</v>
      </c>
      <c r="M78" s="397">
        <f t="shared" si="63"/>
        <v>0</v>
      </c>
      <c r="N78" s="397">
        <f t="shared" si="63"/>
        <v>0</v>
      </c>
      <c r="O78" s="397">
        <f t="shared" si="63"/>
        <v>0</v>
      </c>
      <c r="P78" s="397">
        <f t="shared" si="63"/>
        <v>0</v>
      </c>
      <c r="Q78" s="397">
        <f t="shared" si="63"/>
        <v>0</v>
      </c>
      <c r="R78" s="397">
        <f t="shared" si="63"/>
        <v>0</v>
      </c>
      <c r="S78" s="397">
        <f t="shared" si="61"/>
        <v>0</v>
      </c>
      <c r="T78" s="397">
        <f t="shared" si="61"/>
        <v>0</v>
      </c>
      <c r="U78" s="397">
        <f t="shared" si="61"/>
        <v>0</v>
      </c>
      <c r="V78" s="397">
        <f t="shared" si="61"/>
        <v>0</v>
      </c>
      <c r="W78" s="397">
        <f t="shared" si="61"/>
        <v>0</v>
      </c>
      <c r="X78" s="397">
        <f t="shared" si="61"/>
        <v>0</v>
      </c>
      <c r="Y78" s="397">
        <f t="shared" si="61"/>
        <v>0</v>
      </c>
      <c r="Z78" s="397">
        <f t="shared" si="61"/>
        <v>0</v>
      </c>
      <c r="AA78" s="397">
        <f t="shared" si="61"/>
        <v>0</v>
      </c>
      <c r="AB78" s="397">
        <f t="shared" si="61"/>
        <v>0</v>
      </c>
      <c r="AC78" s="397">
        <f t="shared" si="62"/>
        <v>0</v>
      </c>
      <c r="AD78" s="397">
        <f t="shared" si="62"/>
        <v>84.548564667339377</v>
      </c>
      <c r="AE78" s="397">
        <f t="shared" si="62"/>
        <v>84.548564667339377</v>
      </c>
      <c r="AF78" s="397">
        <f t="shared" si="62"/>
        <v>84.548564667339377</v>
      </c>
      <c r="AG78" s="397">
        <f t="shared" si="62"/>
        <v>84.548564667339377</v>
      </c>
      <c r="AH78" s="397">
        <f t="shared" si="62"/>
        <v>84.548564667339377</v>
      </c>
      <c r="AI78" s="397">
        <f t="shared" si="62"/>
        <v>84.548564667339377</v>
      </c>
      <c r="AJ78" s="397">
        <f t="shared" si="62"/>
        <v>84.548564667339377</v>
      </c>
      <c r="AK78" s="397">
        <f t="shared" si="62"/>
        <v>84.548564667339377</v>
      </c>
      <c r="AL78" s="397">
        <f t="shared" si="62"/>
        <v>84.548564667339377</v>
      </c>
      <c r="AM78" s="397">
        <f t="shared" si="62"/>
        <v>84.548564667339377</v>
      </c>
      <c r="AN78" s="397">
        <f t="shared" si="62"/>
        <v>0</v>
      </c>
      <c r="AO78" s="397">
        <f t="shared" si="62"/>
        <v>0</v>
      </c>
      <c r="AP78" s="397">
        <f t="shared" si="62"/>
        <v>0</v>
      </c>
      <c r="AQ78" s="397">
        <f t="shared" si="62"/>
        <v>0</v>
      </c>
      <c r="AR78" s="397">
        <f t="shared" si="62"/>
        <v>0</v>
      </c>
      <c r="AS78" s="397">
        <f t="shared" si="60"/>
        <v>0</v>
      </c>
      <c r="AT78" s="397">
        <f t="shared" si="60"/>
        <v>0</v>
      </c>
      <c r="AU78" s="397">
        <f t="shared" si="60"/>
        <v>0</v>
      </c>
      <c r="AV78" s="397">
        <f t="shared" si="60"/>
        <v>0</v>
      </c>
      <c r="AW78" s="397">
        <f t="shared" si="60"/>
        <v>0</v>
      </c>
      <c r="AX78" s="397">
        <f t="shared" si="60"/>
        <v>0</v>
      </c>
      <c r="AY78" s="397">
        <f t="shared" si="60"/>
        <v>0</v>
      </c>
      <c r="AZ78" s="397">
        <f t="shared" si="60"/>
        <v>0</v>
      </c>
      <c r="BA78" s="397">
        <f t="shared" si="60"/>
        <v>0</v>
      </c>
    </row>
    <row r="79" spans="2:53">
      <c r="B79" s="398">
        <f t="shared" si="56"/>
        <v>2047</v>
      </c>
      <c r="C79" s="397">
        <f t="shared" si="63"/>
        <v>0</v>
      </c>
      <c r="D79" s="397">
        <f t="shared" si="63"/>
        <v>0</v>
      </c>
      <c r="E79" s="397">
        <f t="shared" si="63"/>
        <v>0</v>
      </c>
      <c r="F79" s="397">
        <f t="shared" si="63"/>
        <v>0</v>
      </c>
      <c r="G79" s="397">
        <f t="shared" si="63"/>
        <v>0</v>
      </c>
      <c r="H79" s="397">
        <f t="shared" si="63"/>
        <v>0</v>
      </c>
      <c r="I79" s="397">
        <f t="shared" si="63"/>
        <v>0</v>
      </c>
      <c r="J79" s="397">
        <f t="shared" si="63"/>
        <v>0</v>
      </c>
      <c r="K79" s="397">
        <f t="shared" si="63"/>
        <v>0</v>
      </c>
      <c r="L79" s="397">
        <f t="shared" si="63"/>
        <v>0</v>
      </c>
      <c r="M79" s="397">
        <f t="shared" si="63"/>
        <v>0</v>
      </c>
      <c r="N79" s="397">
        <f t="shared" si="63"/>
        <v>0</v>
      </c>
      <c r="O79" s="397">
        <f t="shared" si="63"/>
        <v>0</v>
      </c>
      <c r="P79" s="397">
        <f t="shared" si="63"/>
        <v>0</v>
      </c>
      <c r="Q79" s="397">
        <f t="shared" si="63"/>
        <v>0</v>
      </c>
      <c r="R79" s="397">
        <f t="shared" si="63"/>
        <v>0</v>
      </c>
      <c r="S79" s="397">
        <f t="shared" si="61"/>
        <v>0</v>
      </c>
      <c r="T79" s="397">
        <f t="shared" si="61"/>
        <v>0</v>
      </c>
      <c r="U79" s="397">
        <f t="shared" si="61"/>
        <v>0</v>
      </c>
      <c r="V79" s="397">
        <f t="shared" si="61"/>
        <v>0</v>
      </c>
      <c r="W79" s="397">
        <f t="shared" si="61"/>
        <v>0</v>
      </c>
      <c r="X79" s="397">
        <f t="shared" si="61"/>
        <v>0</v>
      </c>
      <c r="Y79" s="397">
        <f t="shared" si="61"/>
        <v>0</v>
      </c>
      <c r="Z79" s="397">
        <f t="shared" si="61"/>
        <v>0</v>
      </c>
      <c r="AA79" s="397">
        <f t="shared" si="61"/>
        <v>0</v>
      </c>
      <c r="AB79" s="397">
        <f t="shared" si="61"/>
        <v>0</v>
      </c>
      <c r="AC79" s="397">
        <f t="shared" si="62"/>
        <v>0</v>
      </c>
      <c r="AD79" s="397">
        <f t="shared" si="62"/>
        <v>0</v>
      </c>
      <c r="AE79" s="397">
        <f t="shared" si="62"/>
        <v>85.363010767345983</v>
      </c>
      <c r="AF79" s="397">
        <f t="shared" si="62"/>
        <v>85.363010767345983</v>
      </c>
      <c r="AG79" s="397">
        <f t="shared" si="62"/>
        <v>85.363010767345983</v>
      </c>
      <c r="AH79" s="397">
        <f t="shared" si="62"/>
        <v>85.363010767345983</v>
      </c>
      <c r="AI79" s="397">
        <f t="shared" si="62"/>
        <v>85.363010767345983</v>
      </c>
      <c r="AJ79" s="397">
        <f t="shared" si="62"/>
        <v>85.363010767345983</v>
      </c>
      <c r="AK79" s="397">
        <f t="shared" si="62"/>
        <v>85.363010767345983</v>
      </c>
      <c r="AL79" s="397">
        <f t="shared" si="62"/>
        <v>85.363010767345983</v>
      </c>
      <c r="AM79" s="397">
        <f t="shared" si="62"/>
        <v>85.363010767345983</v>
      </c>
      <c r="AN79" s="397">
        <f t="shared" si="62"/>
        <v>85.363010767345983</v>
      </c>
      <c r="AO79" s="397">
        <f t="shared" si="62"/>
        <v>0</v>
      </c>
      <c r="AP79" s="397">
        <f t="shared" si="62"/>
        <v>0</v>
      </c>
      <c r="AQ79" s="397">
        <f t="shared" si="62"/>
        <v>0</v>
      </c>
      <c r="AR79" s="397">
        <f t="shared" si="62"/>
        <v>0</v>
      </c>
      <c r="AS79" s="397">
        <f t="shared" si="60"/>
        <v>0</v>
      </c>
      <c r="AT79" s="397">
        <f t="shared" si="60"/>
        <v>0</v>
      </c>
      <c r="AU79" s="397">
        <f t="shared" si="60"/>
        <v>0</v>
      </c>
      <c r="AV79" s="397">
        <f t="shared" si="60"/>
        <v>0</v>
      </c>
      <c r="AW79" s="397">
        <f t="shared" si="60"/>
        <v>0</v>
      </c>
      <c r="AX79" s="397">
        <f t="shared" si="60"/>
        <v>0</v>
      </c>
      <c r="AY79" s="397">
        <f t="shared" si="60"/>
        <v>0</v>
      </c>
      <c r="AZ79" s="397">
        <f t="shared" si="60"/>
        <v>0</v>
      </c>
      <c r="BA79" s="397">
        <f t="shared" si="60"/>
        <v>0</v>
      </c>
    </row>
    <row r="80" spans="2:53">
      <c r="B80" s="398">
        <f t="shared" si="56"/>
        <v>2048</v>
      </c>
      <c r="C80" s="397">
        <f t="shared" si="63"/>
        <v>0</v>
      </c>
      <c r="D80" s="397">
        <f t="shared" si="63"/>
        <v>0</v>
      </c>
      <c r="E80" s="397">
        <f t="shared" si="63"/>
        <v>0</v>
      </c>
      <c r="F80" s="397">
        <f t="shared" si="63"/>
        <v>0</v>
      </c>
      <c r="G80" s="397">
        <f t="shared" si="63"/>
        <v>0</v>
      </c>
      <c r="H80" s="397">
        <f t="shared" si="63"/>
        <v>0</v>
      </c>
      <c r="I80" s="397">
        <f t="shared" si="63"/>
        <v>0</v>
      </c>
      <c r="J80" s="397">
        <f t="shared" si="63"/>
        <v>0</v>
      </c>
      <c r="K80" s="397">
        <f t="shared" si="63"/>
        <v>0</v>
      </c>
      <c r="L80" s="397">
        <f t="shared" si="63"/>
        <v>0</v>
      </c>
      <c r="M80" s="397">
        <f t="shared" si="63"/>
        <v>0</v>
      </c>
      <c r="N80" s="397">
        <f t="shared" si="63"/>
        <v>0</v>
      </c>
      <c r="O80" s="397">
        <f t="shared" si="63"/>
        <v>0</v>
      </c>
      <c r="P80" s="397">
        <f t="shared" si="63"/>
        <v>0</v>
      </c>
      <c r="Q80" s="397">
        <f t="shared" si="63"/>
        <v>0</v>
      </c>
      <c r="R80" s="397">
        <f t="shared" si="63"/>
        <v>0</v>
      </c>
      <c r="S80" s="397">
        <f t="shared" si="61"/>
        <v>0</v>
      </c>
      <c r="T80" s="397">
        <f t="shared" si="61"/>
        <v>0</v>
      </c>
      <c r="U80" s="397">
        <f t="shared" si="61"/>
        <v>0</v>
      </c>
      <c r="V80" s="397">
        <f t="shared" si="61"/>
        <v>0</v>
      </c>
      <c r="W80" s="397">
        <f t="shared" si="61"/>
        <v>0</v>
      </c>
      <c r="X80" s="397">
        <f t="shared" si="61"/>
        <v>0</v>
      </c>
      <c r="Y80" s="397">
        <f t="shared" si="61"/>
        <v>0</v>
      </c>
      <c r="Z80" s="397">
        <f t="shared" si="61"/>
        <v>0</v>
      </c>
      <c r="AA80" s="397">
        <f t="shared" si="61"/>
        <v>0</v>
      </c>
      <c r="AB80" s="397">
        <f t="shared" si="61"/>
        <v>0</v>
      </c>
      <c r="AC80" s="397">
        <f t="shared" si="62"/>
        <v>0</v>
      </c>
      <c r="AD80" s="397">
        <f t="shared" si="62"/>
        <v>0</v>
      </c>
      <c r="AE80" s="397">
        <f t="shared" si="62"/>
        <v>0</v>
      </c>
      <c r="AF80" s="397">
        <f t="shared" si="62"/>
        <v>86.132248813252275</v>
      </c>
      <c r="AG80" s="397">
        <f t="shared" si="62"/>
        <v>86.132248813252275</v>
      </c>
      <c r="AH80" s="397">
        <f t="shared" si="62"/>
        <v>86.132248813252275</v>
      </c>
      <c r="AI80" s="397">
        <f t="shared" si="62"/>
        <v>86.132248813252275</v>
      </c>
      <c r="AJ80" s="397">
        <f t="shared" si="62"/>
        <v>86.132248813252275</v>
      </c>
      <c r="AK80" s="397">
        <f t="shared" si="62"/>
        <v>86.132248813252275</v>
      </c>
      <c r="AL80" s="397">
        <f t="shared" si="62"/>
        <v>86.132248813252275</v>
      </c>
      <c r="AM80" s="397">
        <f t="shared" si="62"/>
        <v>86.132248813252275</v>
      </c>
      <c r="AN80" s="397">
        <f t="shared" si="62"/>
        <v>86.132248813252275</v>
      </c>
      <c r="AO80" s="397">
        <f t="shared" si="62"/>
        <v>86.132248813252275</v>
      </c>
      <c r="AP80" s="397">
        <f t="shared" si="62"/>
        <v>0</v>
      </c>
      <c r="AQ80" s="397">
        <f t="shared" si="62"/>
        <v>0</v>
      </c>
      <c r="AR80" s="397">
        <f t="shared" si="62"/>
        <v>0</v>
      </c>
      <c r="AS80" s="397">
        <f t="shared" si="60"/>
        <v>0</v>
      </c>
      <c r="AT80" s="397">
        <f t="shared" si="60"/>
        <v>0</v>
      </c>
      <c r="AU80" s="397">
        <f t="shared" si="60"/>
        <v>0</v>
      </c>
      <c r="AV80" s="397">
        <f t="shared" si="60"/>
        <v>0</v>
      </c>
      <c r="AW80" s="397">
        <f t="shared" si="60"/>
        <v>0</v>
      </c>
      <c r="AX80" s="397">
        <f t="shared" si="60"/>
        <v>0</v>
      </c>
      <c r="AY80" s="397">
        <f t="shared" si="60"/>
        <v>0</v>
      </c>
      <c r="AZ80" s="397">
        <f t="shared" si="60"/>
        <v>0</v>
      </c>
      <c r="BA80" s="397">
        <f t="shared" si="60"/>
        <v>0</v>
      </c>
    </row>
    <row r="81" spans="2:53">
      <c r="B81" s="398">
        <f t="shared" si="56"/>
        <v>2049</v>
      </c>
      <c r="C81" s="397">
        <f t="shared" si="63"/>
        <v>0</v>
      </c>
      <c r="D81" s="397">
        <f t="shared" si="63"/>
        <v>0</v>
      </c>
      <c r="E81" s="397">
        <f t="shared" si="63"/>
        <v>0</v>
      </c>
      <c r="F81" s="397">
        <f t="shared" si="63"/>
        <v>0</v>
      </c>
      <c r="G81" s="397">
        <f t="shared" si="63"/>
        <v>0</v>
      </c>
      <c r="H81" s="397">
        <f t="shared" si="63"/>
        <v>0</v>
      </c>
      <c r="I81" s="397">
        <f t="shared" si="63"/>
        <v>0</v>
      </c>
      <c r="J81" s="397">
        <f t="shared" si="63"/>
        <v>0</v>
      </c>
      <c r="K81" s="397">
        <f t="shared" si="63"/>
        <v>0</v>
      </c>
      <c r="L81" s="397">
        <f t="shared" si="63"/>
        <v>0</v>
      </c>
      <c r="M81" s="397">
        <f t="shared" si="63"/>
        <v>0</v>
      </c>
      <c r="N81" s="397">
        <f t="shared" si="63"/>
        <v>0</v>
      </c>
      <c r="O81" s="397">
        <f t="shared" si="63"/>
        <v>0</v>
      </c>
      <c r="P81" s="397">
        <f t="shared" si="63"/>
        <v>0</v>
      </c>
      <c r="Q81" s="397">
        <f t="shared" si="63"/>
        <v>0</v>
      </c>
      <c r="R81" s="397">
        <f t="shared" si="63"/>
        <v>0</v>
      </c>
      <c r="S81" s="397">
        <f t="shared" si="61"/>
        <v>0</v>
      </c>
      <c r="T81" s="397">
        <f t="shared" si="61"/>
        <v>0</v>
      </c>
      <c r="U81" s="397">
        <f t="shared" si="61"/>
        <v>0</v>
      </c>
      <c r="V81" s="397">
        <f t="shared" si="61"/>
        <v>0</v>
      </c>
      <c r="W81" s="397">
        <f t="shared" si="61"/>
        <v>0</v>
      </c>
      <c r="X81" s="397">
        <f t="shared" si="61"/>
        <v>0</v>
      </c>
      <c r="Y81" s="397">
        <f t="shared" si="61"/>
        <v>0</v>
      </c>
      <c r="Z81" s="397">
        <f t="shared" si="61"/>
        <v>0</v>
      </c>
      <c r="AA81" s="397">
        <f t="shared" si="61"/>
        <v>0</v>
      </c>
      <c r="AB81" s="397">
        <f t="shared" si="61"/>
        <v>0</v>
      </c>
      <c r="AC81" s="397">
        <f t="shared" si="62"/>
        <v>0</v>
      </c>
      <c r="AD81" s="397">
        <f t="shared" si="62"/>
        <v>0</v>
      </c>
      <c r="AE81" s="397">
        <f t="shared" si="62"/>
        <v>0</v>
      </c>
      <c r="AF81" s="397">
        <f t="shared" si="62"/>
        <v>0</v>
      </c>
      <c r="AG81" s="397">
        <f t="shared" si="62"/>
        <v>86.859135087197714</v>
      </c>
      <c r="AH81" s="397">
        <f t="shared" si="62"/>
        <v>86.859135087197714</v>
      </c>
      <c r="AI81" s="397">
        <f t="shared" si="62"/>
        <v>86.859135087197714</v>
      </c>
      <c r="AJ81" s="397">
        <f t="shared" si="62"/>
        <v>86.859135087197714</v>
      </c>
      <c r="AK81" s="397">
        <f t="shared" si="62"/>
        <v>86.859135087197714</v>
      </c>
      <c r="AL81" s="397">
        <f t="shared" si="62"/>
        <v>86.859135087197714</v>
      </c>
      <c r="AM81" s="397">
        <f t="shared" si="62"/>
        <v>86.859135087197714</v>
      </c>
      <c r="AN81" s="397">
        <f t="shared" si="62"/>
        <v>86.859135087197714</v>
      </c>
      <c r="AO81" s="397">
        <f t="shared" si="62"/>
        <v>86.859135087197714</v>
      </c>
      <c r="AP81" s="397">
        <f t="shared" si="62"/>
        <v>86.859135087197714</v>
      </c>
      <c r="AQ81" s="397">
        <f t="shared" si="62"/>
        <v>0</v>
      </c>
      <c r="AR81" s="397">
        <f t="shared" si="62"/>
        <v>0</v>
      </c>
      <c r="AS81" s="397">
        <f t="shared" si="60"/>
        <v>0</v>
      </c>
      <c r="AT81" s="397">
        <f t="shared" si="60"/>
        <v>0</v>
      </c>
      <c r="AU81" s="397">
        <f t="shared" si="60"/>
        <v>0</v>
      </c>
      <c r="AV81" s="397">
        <f t="shared" si="60"/>
        <v>0</v>
      </c>
      <c r="AW81" s="397">
        <f t="shared" si="60"/>
        <v>0</v>
      </c>
      <c r="AX81" s="397">
        <f t="shared" si="60"/>
        <v>0</v>
      </c>
      <c r="AY81" s="397">
        <f t="shared" si="60"/>
        <v>0</v>
      </c>
      <c r="AZ81" s="397">
        <f t="shared" si="60"/>
        <v>0</v>
      </c>
      <c r="BA81" s="397">
        <f t="shared" si="60"/>
        <v>0</v>
      </c>
    </row>
    <row r="82" spans="2:53">
      <c r="B82" s="398">
        <f t="shared" si="56"/>
        <v>2050</v>
      </c>
      <c r="C82" s="397">
        <f t="shared" si="63"/>
        <v>0</v>
      </c>
      <c r="D82" s="397">
        <f t="shared" si="63"/>
        <v>0</v>
      </c>
      <c r="E82" s="397">
        <f t="shared" si="63"/>
        <v>0</v>
      </c>
      <c r="F82" s="397">
        <f t="shared" si="63"/>
        <v>0</v>
      </c>
      <c r="G82" s="397">
        <f t="shared" si="63"/>
        <v>0</v>
      </c>
      <c r="H82" s="397">
        <f t="shared" si="63"/>
        <v>0</v>
      </c>
      <c r="I82" s="397">
        <f t="shared" si="63"/>
        <v>0</v>
      </c>
      <c r="J82" s="397">
        <f t="shared" si="63"/>
        <v>0</v>
      </c>
      <c r="K82" s="397">
        <f t="shared" si="63"/>
        <v>0</v>
      </c>
      <c r="L82" s="397">
        <f t="shared" si="63"/>
        <v>0</v>
      </c>
      <c r="M82" s="397">
        <f t="shared" si="63"/>
        <v>0</v>
      </c>
      <c r="N82" s="397">
        <f t="shared" si="63"/>
        <v>0</v>
      </c>
      <c r="O82" s="397">
        <f t="shared" si="63"/>
        <v>0</v>
      </c>
      <c r="P82" s="397">
        <f t="shared" si="63"/>
        <v>0</v>
      </c>
      <c r="Q82" s="397">
        <f t="shared" si="63"/>
        <v>0</v>
      </c>
      <c r="R82" s="397">
        <f t="shared" si="63"/>
        <v>0</v>
      </c>
      <c r="S82" s="397">
        <f t="shared" si="61"/>
        <v>0</v>
      </c>
      <c r="T82" s="397">
        <f t="shared" si="61"/>
        <v>0</v>
      </c>
      <c r="U82" s="397">
        <f t="shared" si="61"/>
        <v>0</v>
      </c>
      <c r="V82" s="397">
        <f t="shared" si="61"/>
        <v>0</v>
      </c>
      <c r="W82" s="397">
        <f t="shared" si="61"/>
        <v>0</v>
      </c>
      <c r="X82" s="397">
        <f t="shared" si="61"/>
        <v>0</v>
      </c>
      <c r="Y82" s="397">
        <f t="shared" si="61"/>
        <v>0</v>
      </c>
      <c r="Z82" s="397">
        <f t="shared" si="61"/>
        <v>0</v>
      </c>
      <c r="AA82" s="397">
        <f t="shared" si="61"/>
        <v>0</v>
      </c>
      <c r="AB82" s="397">
        <f t="shared" si="61"/>
        <v>0</v>
      </c>
      <c r="AC82" s="397">
        <f t="shared" si="62"/>
        <v>0</v>
      </c>
      <c r="AD82" s="397">
        <f t="shared" si="62"/>
        <v>0</v>
      </c>
      <c r="AE82" s="397">
        <f t="shared" si="62"/>
        <v>0</v>
      </c>
      <c r="AF82" s="397">
        <f t="shared" si="62"/>
        <v>0</v>
      </c>
      <c r="AG82" s="397">
        <f t="shared" si="62"/>
        <v>0</v>
      </c>
      <c r="AH82" s="397">
        <f t="shared" si="62"/>
        <v>87.561754452942822</v>
      </c>
      <c r="AI82" s="397">
        <f t="shared" si="62"/>
        <v>87.561754452942822</v>
      </c>
      <c r="AJ82" s="397">
        <f t="shared" si="62"/>
        <v>87.561754452942822</v>
      </c>
      <c r="AK82" s="397">
        <f t="shared" si="62"/>
        <v>87.561754452942822</v>
      </c>
      <c r="AL82" s="397">
        <f t="shared" si="62"/>
        <v>87.561754452942822</v>
      </c>
      <c r="AM82" s="397">
        <f t="shared" si="62"/>
        <v>87.561754452942822</v>
      </c>
      <c r="AN82" s="397">
        <f t="shared" si="62"/>
        <v>87.561754452942822</v>
      </c>
      <c r="AO82" s="397">
        <f t="shared" si="62"/>
        <v>87.561754452942822</v>
      </c>
      <c r="AP82" s="397">
        <f t="shared" si="62"/>
        <v>87.561754452942822</v>
      </c>
      <c r="AQ82" s="397">
        <f t="shared" si="62"/>
        <v>87.561754452942822</v>
      </c>
      <c r="AR82" s="397">
        <f t="shared" si="62"/>
        <v>0</v>
      </c>
      <c r="AS82" s="397">
        <f t="shared" si="60"/>
        <v>0</v>
      </c>
      <c r="AT82" s="397">
        <f t="shared" si="60"/>
        <v>0</v>
      </c>
      <c r="AU82" s="397">
        <f t="shared" si="60"/>
        <v>0</v>
      </c>
      <c r="AV82" s="397">
        <f t="shared" si="60"/>
        <v>0</v>
      </c>
      <c r="AW82" s="397">
        <f t="shared" si="60"/>
        <v>0</v>
      </c>
      <c r="AX82" s="397">
        <f t="shared" si="60"/>
        <v>0</v>
      </c>
      <c r="AY82" s="397">
        <f t="shared" si="60"/>
        <v>0</v>
      </c>
      <c r="AZ82" s="397">
        <f t="shared" si="60"/>
        <v>0</v>
      </c>
      <c r="BA82" s="397">
        <f t="shared" si="60"/>
        <v>0</v>
      </c>
    </row>
    <row r="83" spans="2:53">
      <c r="B83" s="398">
        <f t="shared" si="56"/>
        <v>2051</v>
      </c>
      <c r="C83" s="397">
        <f t="shared" si="63"/>
        <v>0</v>
      </c>
      <c r="D83" s="397">
        <f t="shared" si="63"/>
        <v>0</v>
      </c>
      <c r="E83" s="397">
        <f t="shared" si="63"/>
        <v>0</v>
      </c>
      <c r="F83" s="397">
        <f t="shared" si="63"/>
        <v>0</v>
      </c>
      <c r="G83" s="397">
        <f t="shared" si="63"/>
        <v>0</v>
      </c>
      <c r="H83" s="397">
        <f t="shared" si="63"/>
        <v>0</v>
      </c>
      <c r="I83" s="397">
        <f t="shared" si="63"/>
        <v>0</v>
      </c>
      <c r="J83" s="397">
        <f t="shared" si="63"/>
        <v>0</v>
      </c>
      <c r="K83" s="397">
        <f t="shared" si="63"/>
        <v>0</v>
      </c>
      <c r="L83" s="397">
        <f t="shared" si="63"/>
        <v>0</v>
      </c>
      <c r="M83" s="397">
        <f t="shared" si="63"/>
        <v>0</v>
      </c>
      <c r="N83" s="397">
        <f t="shared" si="63"/>
        <v>0</v>
      </c>
      <c r="O83" s="397">
        <f t="shared" si="63"/>
        <v>0</v>
      </c>
      <c r="P83" s="397">
        <f t="shared" si="63"/>
        <v>0</v>
      </c>
      <c r="Q83" s="397">
        <f t="shared" si="63"/>
        <v>0</v>
      </c>
      <c r="R83" s="397">
        <f t="shared" si="63"/>
        <v>0</v>
      </c>
      <c r="S83" s="397">
        <f t="shared" si="61"/>
        <v>0</v>
      </c>
      <c r="T83" s="397">
        <f t="shared" si="61"/>
        <v>0</v>
      </c>
      <c r="U83" s="397">
        <f t="shared" si="61"/>
        <v>0</v>
      </c>
      <c r="V83" s="397">
        <f t="shared" si="61"/>
        <v>0</v>
      </c>
      <c r="W83" s="397">
        <f t="shared" si="61"/>
        <v>0</v>
      </c>
      <c r="X83" s="397">
        <f t="shared" si="61"/>
        <v>0</v>
      </c>
      <c r="Y83" s="397">
        <f t="shared" si="61"/>
        <v>0</v>
      </c>
      <c r="Z83" s="397">
        <f t="shared" si="61"/>
        <v>0</v>
      </c>
      <c r="AA83" s="397">
        <f t="shared" si="61"/>
        <v>0</v>
      </c>
      <c r="AB83" s="397">
        <f t="shared" si="61"/>
        <v>0</v>
      </c>
      <c r="AC83" s="397">
        <f t="shared" si="62"/>
        <v>0</v>
      </c>
      <c r="AD83" s="397">
        <f t="shared" si="62"/>
        <v>0</v>
      </c>
      <c r="AE83" s="397">
        <f t="shared" si="62"/>
        <v>0</v>
      </c>
      <c r="AF83" s="397">
        <f t="shared" si="62"/>
        <v>0</v>
      </c>
      <c r="AG83" s="397">
        <f t="shared" si="62"/>
        <v>0</v>
      </c>
      <c r="AH83" s="397">
        <f t="shared" si="62"/>
        <v>0</v>
      </c>
      <c r="AI83" s="397">
        <f t="shared" si="62"/>
        <v>88.242220444782447</v>
      </c>
      <c r="AJ83" s="397">
        <f t="shared" si="62"/>
        <v>88.242220444782447</v>
      </c>
      <c r="AK83" s="397">
        <f t="shared" si="62"/>
        <v>88.242220444782447</v>
      </c>
      <c r="AL83" s="397">
        <f t="shared" si="62"/>
        <v>88.242220444782447</v>
      </c>
      <c r="AM83" s="397">
        <f t="shared" si="62"/>
        <v>88.242220444782447</v>
      </c>
      <c r="AN83" s="397">
        <f t="shared" si="62"/>
        <v>88.242220444782447</v>
      </c>
      <c r="AO83" s="397">
        <f t="shared" si="62"/>
        <v>88.242220444782447</v>
      </c>
      <c r="AP83" s="397">
        <f t="shared" si="62"/>
        <v>88.242220444782447</v>
      </c>
      <c r="AQ83" s="397">
        <f t="shared" si="62"/>
        <v>88.242220444782447</v>
      </c>
      <c r="AR83" s="397">
        <f t="shared" si="62"/>
        <v>88.242220444782447</v>
      </c>
      <c r="AS83" s="397">
        <f t="shared" si="60"/>
        <v>0</v>
      </c>
      <c r="AT83" s="397">
        <f t="shared" si="60"/>
        <v>0</v>
      </c>
      <c r="AU83" s="397">
        <f t="shared" si="60"/>
        <v>0</v>
      </c>
      <c r="AV83" s="397">
        <f t="shared" si="60"/>
        <v>0</v>
      </c>
      <c r="AW83" s="397">
        <f t="shared" si="60"/>
        <v>0</v>
      </c>
      <c r="AX83" s="397">
        <f t="shared" si="60"/>
        <v>0</v>
      </c>
      <c r="AY83" s="397">
        <f t="shared" si="60"/>
        <v>0</v>
      </c>
      <c r="AZ83" s="397">
        <f t="shared" si="60"/>
        <v>0</v>
      </c>
      <c r="BA83" s="397">
        <f t="shared" si="60"/>
        <v>0</v>
      </c>
    </row>
    <row r="84" spans="2:53">
      <c r="B84" s="398">
        <f t="shared" si="56"/>
        <v>2052</v>
      </c>
      <c r="C84" s="397">
        <f t="shared" si="63"/>
        <v>0</v>
      </c>
      <c r="D84" s="397">
        <f t="shared" si="63"/>
        <v>0</v>
      </c>
      <c r="E84" s="397">
        <f t="shared" si="63"/>
        <v>0</v>
      </c>
      <c r="F84" s="397">
        <f t="shared" si="63"/>
        <v>0</v>
      </c>
      <c r="G84" s="397">
        <f t="shared" si="63"/>
        <v>0</v>
      </c>
      <c r="H84" s="397">
        <f t="shared" si="63"/>
        <v>0</v>
      </c>
      <c r="I84" s="397">
        <f t="shared" si="63"/>
        <v>0</v>
      </c>
      <c r="J84" s="397">
        <f t="shared" si="63"/>
        <v>0</v>
      </c>
      <c r="K84" s="397">
        <f t="shared" si="63"/>
        <v>0</v>
      </c>
      <c r="L84" s="397">
        <f t="shared" si="63"/>
        <v>0</v>
      </c>
      <c r="M84" s="397">
        <f t="shared" si="63"/>
        <v>0</v>
      </c>
      <c r="N84" s="397">
        <f t="shared" si="63"/>
        <v>0</v>
      </c>
      <c r="O84" s="397">
        <f t="shared" si="63"/>
        <v>0</v>
      </c>
      <c r="P84" s="397">
        <f t="shared" si="63"/>
        <v>0</v>
      </c>
      <c r="Q84" s="397">
        <f t="shared" si="63"/>
        <v>0</v>
      </c>
      <c r="R84" s="397">
        <f t="shared" si="63"/>
        <v>0</v>
      </c>
      <c r="S84" s="397">
        <f t="shared" si="61"/>
        <v>0</v>
      </c>
      <c r="T84" s="397">
        <f t="shared" si="61"/>
        <v>0</v>
      </c>
      <c r="U84" s="397">
        <f t="shared" si="61"/>
        <v>0</v>
      </c>
      <c r="V84" s="397">
        <f t="shared" si="61"/>
        <v>0</v>
      </c>
      <c r="W84" s="397">
        <f t="shared" si="61"/>
        <v>0</v>
      </c>
      <c r="X84" s="397">
        <f t="shared" si="61"/>
        <v>0</v>
      </c>
      <c r="Y84" s="397">
        <f t="shared" si="61"/>
        <v>0</v>
      </c>
      <c r="Z84" s="397">
        <f t="shared" si="61"/>
        <v>0</v>
      </c>
      <c r="AA84" s="397">
        <f t="shared" si="61"/>
        <v>0</v>
      </c>
      <c r="AB84" s="397">
        <f t="shared" si="61"/>
        <v>0</v>
      </c>
      <c r="AC84" s="397">
        <f t="shared" si="62"/>
        <v>0</v>
      </c>
      <c r="AD84" s="397">
        <f t="shared" si="62"/>
        <v>0</v>
      </c>
      <c r="AE84" s="397">
        <f t="shared" si="62"/>
        <v>0</v>
      </c>
      <c r="AF84" s="397">
        <f t="shared" si="62"/>
        <v>0</v>
      </c>
      <c r="AG84" s="397">
        <f t="shared" si="62"/>
        <v>0</v>
      </c>
      <c r="AH84" s="397">
        <f t="shared" si="62"/>
        <v>0</v>
      </c>
      <c r="AI84" s="397">
        <f t="shared" si="62"/>
        <v>0</v>
      </c>
      <c r="AJ84" s="397">
        <f t="shared" si="62"/>
        <v>88.911071839520375</v>
      </c>
      <c r="AK84" s="397">
        <f t="shared" si="62"/>
        <v>88.911071839520375</v>
      </c>
      <c r="AL84" s="397">
        <f t="shared" si="62"/>
        <v>88.911071839520375</v>
      </c>
      <c r="AM84" s="397">
        <f t="shared" si="62"/>
        <v>88.911071839520375</v>
      </c>
      <c r="AN84" s="397">
        <f t="shared" si="62"/>
        <v>88.911071839520375</v>
      </c>
      <c r="AO84" s="397">
        <f t="shared" si="62"/>
        <v>88.911071839520375</v>
      </c>
      <c r="AP84" s="397">
        <f t="shared" si="62"/>
        <v>88.911071839520375</v>
      </c>
      <c r="AQ84" s="397">
        <f t="shared" si="62"/>
        <v>88.911071839520375</v>
      </c>
      <c r="AR84" s="397">
        <f t="shared" si="62"/>
        <v>88.911071839520375</v>
      </c>
      <c r="AS84" s="397">
        <f t="shared" si="60"/>
        <v>88.911071839520375</v>
      </c>
      <c r="AT84" s="397">
        <f t="shared" si="60"/>
        <v>0</v>
      </c>
      <c r="AU84" s="397">
        <f t="shared" si="60"/>
        <v>0</v>
      </c>
      <c r="AV84" s="397">
        <f t="shared" si="60"/>
        <v>0</v>
      </c>
      <c r="AW84" s="397">
        <f t="shared" si="60"/>
        <v>0</v>
      </c>
      <c r="AX84" s="397">
        <f t="shared" si="60"/>
        <v>0</v>
      </c>
      <c r="AY84" s="397">
        <f t="shared" si="60"/>
        <v>0</v>
      </c>
      <c r="AZ84" s="397">
        <f t="shared" si="60"/>
        <v>0</v>
      </c>
      <c r="BA84" s="397">
        <f t="shared" si="60"/>
        <v>0</v>
      </c>
    </row>
    <row r="85" spans="2:53">
      <c r="B85" s="398">
        <f t="shared" si="56"/>
        <v>2053</v>
      </c>
      <c r="C85" s="397">
        <f t="shared" si="63"/>
        <v>0</v>
      </c>
      <c r="D85" s="397">
        <f t="shared" si="63"/>
        <v>0</v>
      </c>
      <c r="E85" s="397">
        <f t="shared" si="63"/>
        <v>0</v>
      </c>
      <c r="F85" s="397">
        <f t="shared" si="63"/>
        <v>0</v>
      </c>
      <c r="G85" s="397">
        <f t="shared" si="63"/>
        <v>0</v>
      </c>
      <c r="H85" s="397">
        <f t="shared" si="63"/>
        <v>0</v>
      </c>
      <c r="I85" s="397">
        <f t="shared" si="63"/>
        <v>0</v>
      </c>
      <c r="J85" s="397">
        <f t="shared" si="63"/>
        <v>0</v>
      </c>
      <c r="K85" s="397">
        <f t="shared" si="63"/>
        <v>0</v>
      </c>
      <c r="L85" s="397">
        <f t="shared" si="63"/>
        <v>0</v>
      </c>
      <c r="M85" s="397">
        <f t="shared" si="63"/>
        <v>0</v>
      </c>
      <c r="N85" s="397">
        <f t="shared" si="63"/>
        <v>0</v>
      </c>
      <c r="O85" s="397">
        <f t="shared" si="63"/>
        <v>0</v>
      </c>
      <c r="P85" s="397">
        <f t="shared" si="63"/>
        <v>0</v>
      </c>
      <c r="Q85" s="397">
        <f t="shared" si="63"/>
        <v>0</v>
      </c>
      <c r="R85" s="397">
        <f t="shared" si="63"/>
        <v>0</v>
      </c>
      <c r="S85" s="397">
        <f t="shared" si="61"/>
        <v>0</v>
      </c>
      <c r="T85" s="397">
        <f t="shared" si="61"/>
        <v>0</v>
      </c>
      <c r="U85" s="397">
        <f t="shared" si="61"/>
        <v>0</v>
      </c>
      <c r="V85" s="397">
        <f t="shared" si="61"/>
        <v>0</v>
      </c>
      <c r="W85" s="397">
        <f t="shared" si="61"/>
        <v>0</v>
      </c>
      <c r="X85" s="397">
        <f t="shared" si="61"/>
        <v>0</v>
      </c>
      <c r="Y85" s="397">
        <f t="shared" si="61"/>
        <v>0</v>
      </c>
      <c r="Z85" s="397">
        <f t="shared" si="61"/>
        <v>0</v>
      </c>
      <c r="AA85" s="397">
        <f t="shared" si="61"/>
        <v>0</v>
      </c>
      <c r="AB85" s="397">
        <f t="shared" si="61"/>
        <v>0</v>
      </c>
      <c r="AC85" s="397">
        <f t="shared" si="62"/>
        <v>0</v>
      </c>
      <c r="AD85" s="397">
        <f t="shared" si="62"/>
        <v>0</v>
      </c>
      <c r="AE85" s="397">
        <f t="shared" si="62"/>
        <v>0</v>
      </c>
      <c r="AF85" s="397">
        <f t="shared" si="62"/>
        <v>0</v>
      </c>
      <c r="AG85" s="397">
        <f t="shared" si="62"/>
        <v>0</v>
      </c>
      <c r="AH85" s="397">
        <f t="shared" si="62"/>
        <v>0</v>
      </c>
      <c r="AI85" s="397">
        <f t="shared" si="62"/>
        <v>0</v>
      </c>
      <c r="AJ85" s="397">
        <f t="shared" si="62"/>
        <v>0</v>
      </c>
      <c r="AK85" s="397">
        <f t="shared" si="62"/>
        <v>89.558326670964249</v>
      </c>
      <c r="AL85" s="397">
        <f t="shared" si="62"/>
        <v>89.558326670964249</v>
      </c>
      <c r="AM85" s="397">
        <f t="shared" si="62"/>
        <v>89.558326670964249</v>
      </c>
      <c r="AN85" s="397">
        <f t="shared" si="62"/>
        <v>89.558326670964249</v>
      </c>
      <c r="AO85" s="397">
        <f t="shared" si="62"/>
        <v>89.558326670964249</v>
      </c>
      <c r="AP85" s="397">
        <f t="shared" si="62"/>
        <v>89.558326670964249</v>
      </c>
      <c r="AQ85" s="397">
        <f t="shared" si="62"/>
        <v>89.558326670964249</v>
      </c>
      <c r="AR85" s="397">
        <f t="shared" si="62"/>
        <v>89.558326670964249</v>
      </c>
      <c r="AS85" s="397">
        <f t="shared" si="60"/>
        <v>89.558326670964249</v>
      </c>
      <c r="AT85" s="397">
        <f t="shared" si="60"/>
        <v>89.558326670964249</v>
      </c>
      <c r="AU85" s="397">
        <f t="shared" si="60"/>
        <v>0</v>
      </c>
      <c r="AV85" s="397">
        <f t="shared" si="60"/>
        <v>0</v>
      </c>
      <c r="AW85" s="397">
        <f t="shared" si="60"/>
        <v>0</v>
      </c>
      <c r="AX85" s="397">
        <f t="shared" si="60"/>
        <v>0</v>
      </c>
      <c r="AY85" s="397">
        <f t="shared" si="60"/>
        <v>0</v>
      </c>
      <c r="AZ85" s="397">
        <f t="shared" si="60"/>
        <v>0</v>
      </c>
      <c r="BA85" s="397">
        <f t="shared" si="60"/>
        <v>0</v>
      </c>
    </row>
    <row r="86" spans="2:53">
      <c r="B86" s="398">
        <f t="shared" si="56"/>
        <v>2054</v>
      </c>
      <c r="C86" s="397">
        <f t="shared" si="63"/>
        <v>0</v>
      </c>
      <c r="D86" s="397">
        <f t="shared" si="63"/>
        <v>0</v>
      </c>
      <c r="E86" s="397">
        <f t="shared" si="63"/>
        <v>0</v>
      </c>
      <c r="F86" s="397">
        <f t="shared" si="63"/>
        <v>0</v>
      </c>
      <c r="G86" s="397">
        <f t="shared" si="63"/>
        <v>0</v>
      </c>
      <c r="H86" s="397">
        <f t="shared" si="63"/>
        <v>0</v>
      </c>
      <c r="I86" s="397">
        <f t="shared" si="63"/>
        <v>0</v>
      </c>
      <c r="J86" s="397">
        <f t="shared" si="63"/>
        <v>0</v>
      </c>
      <c r="K86" s="397">
        <f t="shared" si="63"/>
        <v>0</v>
      </c>
      <c r="L86" s="397">
        <f t="shared" si="63"/>
        <v>0</v>
      </c>
      <c r="M86" s="397">
        <f t="shared" si="63"/>
        <v>0</v>
      </c>
      <c r="N86" s="397">
        <f t="shared" si="63"/>
        <v>0</v>
      </c>
      <c r="O86" s="397">
        <f t="shared" si="63"/>
        <v>0</v>
      </c>
      <c r="P86" s="397">
        <f t="shared" si="63"/>
        <v>0</v>
      </c>
      <c r="Q86" s="397">
        <f t="shared" si="63"/>
        <v>0</v>
      </c>
      <c r="R86" s="397">
        <f t="shared" si="63"/>
        <v>0</v>
      </c>
      <c r="S86" s="397">
        <f t="shared" si="61"/>
        <v>0</v>
      </c>
      <c r="T86" s="397">
        <f t="shared" si="61"/>
        <v>0</v>
      </c>
      <c r="U86" s="397">
        <f t="shared" si="61"/>
        <v>0</v>
      </c>
      <c r="V86" s="397">
        <f t="shared" si="61"/>
        <v>0</v>
      </c>
      <c r="W86" s="397">
        <f t="shared" si="61"/>
        <v>0</v>
      </c>
      <c r="X86" s="397">
        <f t="shared" si="61"/>
        <v>0</v>
      </c>
      <c r="Y86" s="397">
        <f t="shared" si="61"/>
        <v>0</v>
      </c>
      <c r="Z86" s="397">
        <f t="shared" si="61"/>
        <v>0</v>
      </c>
      <c r="AA86" s="397">
        <f t="shared" si="61"/>
        <v>0</v>
      </c>
      <c r="AB86" s="397">
        <f t="shared" si="61"/>
        <v>0</v>
      </c>
      <c r="AC86" s="397">
        <f t="shared" si="62"/>
        <v>0</v>
      </c>
      <c r="AD86" s="397">
        <f t="shared" si="62"/>
        <v>0</v>
      </c>
      <c r="AE86" s="397">
        <f t="shared" si="62"/>
        <v>0</v>
      </c>
      <c r="AF86" s="397">
        <f t="shared" si="62"/>
        <v>0</v>
      </c>
      <c r="AG86" s="397">
        <f t="shared" si="62"/>
        <v>0</v>
      </c>
      <c r="AH86" s="397">
        <f t="shared" si="62"/>
        <v>0</v>
      </c>
      <c r="AI86" s="397">
        <f t="shared" si="62"/>
        <v>0</v>
      </c>
      <c r="AJ86" s="397">
        <f t="shared" si="62"/>
        <v>0</v>
      </c>
      <c r="AK86" s="397">
        <f t="shared" si="62"/>
        <v>0</v>
      </c>
      <c r="AL86" s="397">
        <f t="shared" si="62"/>
        <v>90.166864268528315</v>
      </c>
      <c r="AM86" s="397">
        <f t="shared" si="62"/>
        <v>90.166864268528315</v>
      </c>
      <c r="AN86" s="397">
        <f t="shared" si="62"/>
        <v>90.166864268528315</v>
      </c>
      <c r="AO86" s="397">
        <f t="shared" si="62"/>
        <v>90.166864268528315</v>
      </c>
      <c r="AP86" s="397">
        <f t="shared" si="62"/>
        <v>90.166864268528315</v>
      </c>
      <c r="AQ86" s="397">
        <f t="shared" si="62"/>
        <v>90.166864268528315</v>
      </c>
      <c r="AR86" s="397">
        <f t="shared" si="62"/>
        <v>90.166864268528315</v>
      </c>
      <c r="AS86" s="397">
        <f t="shared" si="60"/>
        <v>90.166864268528315</v>
      </c>
      <c r="AT86" s="397">
        <f t="shared" si="60"/>
        <v>90.166864268528315</v>
      </c>
      <c r="AU86" s="397">
        <f t="shared" si="60"/>
        <v>90.166864268528315</v>
      </c>
      <c r="AV86" s="397">
        <f t="shared" si="60"/>
        <v>0</v>
      </c>
      <c r="AW86" s="397">
        <f t="shared" si="60"/>
        <v>0</v>
      </c>
      <c r="AX86" s="397">
        <f t="shared" si="60"/>
        <v>0</v>
      </c>
      <c r="AY86" s="397">
        <f t="shared" si="60"/>
        <v>0</v>
      </c>
      <c r="AZ86" s="397">
        <f t="shared" si="60"/>
        <v>0</v>
      </c>
      <c r="BA86" s="397">
        <f t="shared" si="60"/>
        <v>0</v>
      </c>
    </row>
    <row r="87" spans="2:53">
      <c r="B87" s="398">
        <f t="shared" si="56"/>
        <v>2055</v>
      </c>
      <c r="C87" s="397">
        <f t="shared" si="63"/>
        <v>0</v>
      </c>
      <c r="D87" s="397">
        <f t="shared" si="63"/>
        <v>0</v>
      </c>
      <c r="E87" s="397">
        <f t="shared" si="63"/>
        <v>0</v>
      </c>
      <c r="F87" s="397">
        <f t="shared" si="63"/>
        <v>0</v>
      </c>
      <c r="G87" s="397">
        <f t="shared" si="63"/>
        <v>0</v>
      </c>
      <c r="H87" s="397">
        <f t="shared" si="63"/>
        <v>0</v>
      </c>
      <c r="I87" s="397">
        <f t="shared" si="63"/>
        <v>0</v>
      </c>
      <c r="J87" s="397">
        <f t="shared" si="63"/>
        <v>0</v>
      </c>
      <c r="K87" s="397">
        <f t="shared" si="63"/>
        <v>0</v>
      </c>
      <c r="L87" s="397">
        <f t="shared" si="63"/>
        <v>0</v>
      </c>
      <c r="M87" s="397">
        <f t="shared" si="63"/>
        <v>0</v>
      </c>
      <c r="N87" s="397">
        <f t="shared" si="63"/>
        <v>0</v>
      </c>
      <c r="O87" s="397">
        <f t="shared" si="63"/>
        <v>0</v>
      </c>
      <c r="P87" s="397">
        <f t="shared" si="63"/>
        <v>0</v>
      </c>
      <c r="Q87" s="397">
        <f t="shared" si="63"/>
        <v>0</v>
      </c>
      <c r="R87" s="397">
        <f t="shared" si="63"/>
        <v>0</v>
      </c>
      <c r="S87" s="397">
        <f t="shared" si="61"/>
        <v>0</v>
      </c>
      <c r="T87" s="397">
        <f t="shared" si="61"/>
        <v>0</v>
      </c>
      <c r="U87" s="397">
        <f t="shared" si="61"/>
        <v>0</v>
      </c>
      <c r="V87" s="397">
        <f t="shared" si="61"/>
        <v>0</v>
      </c>
      <c r="W87" s="397">
        <f t="shared" si="61"/>
        <v>0</v>
      </c>
      <c r="X87" s="397">
        <f t="shared" si="61"/>
        <v>0</v>
      </c>
      <c r="Y87" s="397">
        <f t="shared" si="61"/>
        <v>0</v>
      </c>
      <c r="Z87" s="397">
        <f t="shared" si="61"/>
        <v>0</v>
      </c>
      <c r="AA87" s="397">
        <f t="shared" si="61"/>
        <v>0</v>
      </c>
      <c r="AB87" s="397">
        <f t="shared" si="61"/>
        <v>0</v>
      </c>
      <c r="AC87" s="397">
        <f t="shared" si="62"/>
        <v>0</v>
      </c>
      <c r="AD87" s="397">
        <f t="shared" si="62"/>
        <v>0</v>
      </c>
      <c r="AE87" s="397">
        <f t="shared" si="62"/>
        <v>0</v>
      </c>
      <c r="AF87" s="397">
        <f t="shared" si="62"/>
        <v>0</v>
      </c>
      <c r="AG87" s="397">
        <f t="shared" si="62"/>
        <v>0</v>
      </c>
      <c r="AH87" s="397">
        <f t="shared" si="62"/>
        <v>0</v>
      </c>
      <c r="AI87" s="397">
        <f t="shared" si="62"/>
        <v>0</v>
      </c>
      <c r="AJ87" s="397">
        <f t="shared" si="62"/>
        <v>0</v>
      </c>
      <c r="AK87" s="397">
        <f t="shared" si="62"/>
        <v>0</v>
      </c>
      <c r="AL87" s="397">
        <f t="shared" si="62"/>
        <v>0</v>
      </c>
      <c r="AM87" s="397">
        <f t="shared" si="62"/>
        <v>90.728071462685008</v>
      </c>
      <c r="AN87" s="397">
        <f t="shared" si="62"/>
        <v>90.728071462685008</v>
      </c>
      <c r="AO87" s="397">
        <f t="shared" si="62"/>
        <v>90.728071462685008</v>
      </c>
      <c r="AP87" s="397">
        <f t="shared" si="62"/>
        <v>90.728071462685008</v>
      </c>
      <c r="AQ87" s="397">
        <f t="shared" si="62"/>
        <v>90.728071462685008</v>
      </c>
      <c r="AR87" s="397">
        <f t="shared" si="62"/>
        <v>90.728071462685008</v>
      </c>
      <c r="AS87" s="397">
        <f t="shared" si="60"/>
        <v>90.728071462685008</v>
      </c>
      <c r="AT87" s="397">
        <f t="shared" si="60"/>
        <v>90.728071462685008</v>
      </c>
      <c r="AU87" s="397">
        <f t="shared" si="60"/>
        <v>90.728071462685008</v>
      </c>
      <c r="AV87" s="397">
        <f t="shared" si="60"/>
        <v>90.728071462685008</v>
      </c>
      <c r="AW87" s="397">
        <f t="shared" si="60"/>
        <v>0</v>
      </c>
      <c r="AX87" s="397">
        <f t="shared" si="60"/>
        <v>0</v>
      </c>
      <c r="AY87" s="397">
        <f t="shared" si="60"/>
        <v>0</v>
      </c>
      <c r="AZ87" s="397">
        <f t="shared" si="60"/>
        <v>0</v>
      </c>
      <c r="BA87" s="397">
        <f t="shared" si="60"/>
        <v>0</v>
      </c>
    </row>
    <row r="88" spans="2:53">
      <c r="B88" s="398">
        <f t="shared" si="56"/>
        <v>2056</v>
      </c>
      <c r="C88" s="397">
        <f t="shared" si="63"/>
        <v>0</v>
      </c>
      <c r="D88" s="397">
        <f t="shared" si="63"/>
        <v>0</v>
      </c>
      <c r="E88" s="397">
        <f t="shared" si="63"/>
        <v>0</v>
      </c>
      <c r="F88" s="397">
        <f t="shared" si="63"/>
        <v>0</v>
      </c>
      <c r="G88" s="397">
        <f t="shared" si="63"/>
        <v>0</v>
      </c>
      <c r="H88" s="397">
        <f t="shared" si="63"/>
        <v>0</v>
      </c>
      <c r="I88" s="397">
        <f t="shared" si="63"/>
        <v>0</v>
      </c>
      <c r="J88" s="397">
        <f t="shared" si="63"/>
        <v>0</v>
      </c>
      <c r="K88" s="397">
        <f t="shared" si="63"/>
        <v>0</v>
      </c>
      <c r="L88" s="397">
        <f t="shared" si="63"/>
        <v>0</v>
      </c>
      <c r="M88" s="397">
        <f t="shared" si="63"/>
        <v>0</v>
      </c>
      <c r="N88" s="397">
        <f t="shared" si="63"/>
        <v>0</v>
      </c>
      <c r="O88" s="397">
        <f t="shared" si="63"/>
        <v>0</v>
      </c>
      <c r="P88" s="397">
        <f t="shared" si="63"/>
        <v>0</v>
      </c>
      <c r="Q88" s="397">
        <f t="shared" si="63"/>
        <v>0</v>
      </c>
      <c r="R88" s="397">
        <f t="shared" si="63"/>
        <v>0</v>
      </c>
      <c r="S88" s="397">
        <f t="shared" si="61"/>
        <v>0</v>
      </c>
      <c r="T88" s="397">
        <f t="shared" si="61"/>
        <v>0</v>
      </c>
      <c r="U88" s="397">
        <f t="shared" si="61"/>
        <v>0</v>
      </c>
      <c r="V88" s="397">
        <f t="shared" si="61"/>
        <v>0</v>
      </c>
      <c r="W88" s="397">
        <f t="shared" si="61"/>
        <v>0</v>
      </c>
      <c r="X88" s="397">
        <f t="shared" si="61"/>
        <v>0</v>
      </c>
      <c r="Y88" s="397">
        <f t="shared" si="61"/>
        <v>0</v>
      </c>
      <c r="Z88" s="397">
        <f t="shared" si="61"/>
        <v>0</v>
      </c>
      <c r="AA88" s="397">
        <f t="shared" si="61"/>
        <v>0</v>
      </c>
      <c r="AB88" s="397">
        <f t="shared" si="61"/>
        <v>0</v>
      </c>
      <c r="AC88" s="397">
        <f t="shared" si="62"/>
        <v>0</v>
      </c>
      <c r="AD88" s="397">
        <f t="shared" si="62"/>
        <v>0</v>
      </c>
      <c r="AE88" s="397">
        <f t="shared" si="62"/>
        <v>0</v>
      </c>
      <c r="AF88" s="397">
        <f t="shared" si="62"/>
        <v>0</v>
      </c>
      <c r="AG88" s="397">
        <f t="shared" si="62"/>
        <v>0</v>
      </c>
      <c r="AH88" s="397">
        <f t="shared" si="62"/>
        <v>0</v>
      </c>
      <c r="AI88" s="397">
        <f t="shared" si="62"/>
        <v>0</v>
      </c>
      <c r="AJ88" s="397">
        <f t="shared" si="62"/>
        <v>0</v>
      </c>
      <c r="AK88" s="397">
        <f t="shared" si="62"/>
        <v>0</v>
      </c>
      <c r="AL88" s="397">
        <f t="shared" si="62"/>
        <v>0</v>
      </c>
      <c r="AM88" s="397">
        <f t="shared" si="62"/>
        <v>0</v>
      </c>
      <c r="AN88" s="397">
        <f t="shared" si="62"/>
        <v>91.235351864247264</v>
      </c>
      <c r="AO88" s="397">
        <f t="shared" si="62"/>
        <v>91.235351864247264</v>
      </c>
      <c r="AP88" s="397">
        <f t="shared" si="62"/>
        <v>91.235351864247264</v>
      </c>
      <c r="AQ88" s="397">
        <f t="shared" si="62"/>
        <v>91.235351864247264</v>
      </c>
      <c r="AR88" s="397">
        <f t="shared" ref="AR88:BA102" si="64">IF($B88&gt;=AR$51,0,        IF(AR$51-$B88&lt;=$C$42,    INDEX($C$27:$BA$27, MATCH($B88, $C$26:$BA$26,0)),       0))</f>
        <v>91.235351864247264</v>
      </c>
      <c r="AS88" s="397">
        <f t="shared" si="64"/>
        <v>91.235351864247264</v>
      </c>
      <c r="AT88" s="397">
        <f t="shared" si="64"/>
        <v>91.235351864247264</v>
      </c>
      <c r="AU88" s="397">
        <f t="shared" si="64"/>
        <v>91.235351864247264</v>
      </c>
      <c r="AV88" s="397">
        <f t="shared" si="64"/>
        <v>91.235351864247264</v>
      </c>
      <c r="AW88" s="397">
        <f t="shared" si="64"/>
        <v>91.235351864247264</v>
      </c>
      <c r="AX88" s="397">
        <f t="shared" si="64"/>
        <v>0</v>
      </c>
      <c r="AY88" s="397">
        <f t="shared" si="64"/>
        <v>0</v>
      </c>
      <c r="AZ88" s="397">
        <f t="shared" si="64"/>
        <v>0</v>
      </c>
      <c r="BA88" s="397">
        <f t="shared" si="64"/>
        <v>0</v>
      </c>
    </row>
    <row r="89" spans="2:53">
      <c r="B89" s="398">
        <f t="shared" si="56"/>
        <v>2057</v>
      </c>
      <c r="C89" s="397">
        <f t="shared" si="63"/>
        <v>0</v>
      </c>
      <c r="D89" s="397">
        <f t="shared" si="63"/>
        <v>0</v>
      </c>
      <c r="E89" s="397">
        <f t="shared" si="63"/>
        <v>0</v>
      </c>
      <c r="F89" s="397">
        <f t="shared" si="63"/>
        <v>0</v>
      </c>
      <c r="G89" s="397">
        <f t="shared" si="63"/>
        <v>0</v>
      </c>
      <c r="H89" s="397">
        <f t="shared" si="63"/>
        <v>0</v>
      </c>
      <c r="I89" s="397">
        <f t="shared" si="63"/>
        <v>0</v>
      </c>
      <c r="J89" s="397">
        <f t="shared" si="63"/>
        <v>0</v>
      </c>
      <c r="K89" s="397">
        <f t="shared" si="63"/>
        <v>0</v>
      </c>
      <c r="L89" s="397">
        <f t="shared" si="63"/>
        <v>0</v>
      </c>
      <c r="M89" s="397">
        <f t="shared" si="63"/>
        <v>0</v>
      </c>
      <c r="N89" s="397">
        <f t="shared" si="63"/>
        <v>0</v>
      </c>
      <c r="O89" s="397">
        <f t="shared" si="63"/>
        <v>0</v>
      </c>
      <c r="P89" s="397">
        <f t="shared" si="63"/>
        <v>0</v>
      </c>
      <c r="Q89" s="397">
        <f t="shared" si="63"/>
        <v>0</v>
      </c>
      <c r="R89" s="397">
        <f t="shared" ref="R89:AG102" si="65">IF($B89&gt;=R$51,0,        IF(R$51-$B89&lt;=$C$42,    INDEX($C$27:$BA$27, MATCH($B89, $C$26:$BA$26,0)),       0))</f>
        <v>0</v>
      </c>
      <c r="S89" s="397">
        <f t="shared" si="65"/>
        <v>0</v>
      </c>
      <c r="T89" s="397">
        <f t="shared" si="65"/>
        <v>0</v>
      </c>
      <c r="U89" s="397">
        <f t="shared" si="65"/>
        <v>0</v>
      </c>
      <c r="V89" s="397">
        <f t="shared" si="65"/>
        <v>0</v>
      </c>
      <c r="W89" s="397">
        <f t="shared" si="65"/>
        <v>0</v>
      </c>
      <c r="X89" s="397">
        <f t="shared" si="65"/>
        <v>0</v>
      </c>
      <c r="Y89" s="397">
        <f t="shared" si="65"/>
        <v>0</v>
      </c>
      <c r="Z89" s="397">
        <f t="shared" si="65"/>
        <v>0</v>
      </c>
      <c r="AA89" s="397">
        <f t="shared" si="65"/>
        <v>0</v>
      </c>
      <c r="AB89" s="397">
        <f t="shared" si="65"/>
        <v>0</v>
      </c>
      <c r="AC89" s="397">
        <f t="shared" si="65"/>
        <v>0</v>
      </c>
      <c r="AD89" s="397">
        <f t="shared" si="65"/>
        <v>0</v>
      </c>
      <c r="AE89" s="397">
        <f t="shared" si="65"/>
        <v>0</v>
      </c>
      <c r="AF89" s="397">
        <f t="shared" si="65"/>
        <v>0</v>
      </c>
      <c r="AG89" s="397">
        <f t="shared" si="65"/>
        <v>0</v>
      </c>
      <c r="AH89" s="397">
        <f t="shared" ref="AH89:AW102" si="66">IF($B89&gt;=AH$51,0,        IF(AH$51-$B89&lt;=$C$42,    INDEX($C$27:$BA$27, MATCH($B89, $C$26:$BA$26,0)),       0))</f>
        <v>0</v>
      </c>
      <c r="AI89" s="397">
        <f t="shared" si="66"/>
        <v>0</v>
      </c>
      <c r="AJ89" s="397">
        <f t="shared" si="66"/>
        <v>0</v>
      </c>
      <c r="AK89" s="397">
        <f t="shared" si="66"/>
        <v>0</v>
      </c>
      <c r="AL89" s="397">
        <f t="shared" si="66"/>
        <v>0</v>
      </c>
      <c r="AM89" s="397">
        <f t="shared" si="66"/>
        <v>0</v>
      </c>
      <c r="AN89" s="397">
        <f t="shared" si="66"/>
        <v>0</v>
      </c>
      <c r="AO89" s="397">
        <f t="shared" si="66"/>
        <v>91.685036650424365</v>
      </c>
      <c r="AP89" s="397">
        <f t="shared" si="66"/>
        <v>91.685036650424365</v>
      </c>
      <c r="AQ89" s="397">
        <f t="shared" si="66"/>
        <v>91.685036650424365</v>
      </c>
      <c r="AR89" s="397">
        <f t="shared" si="66"/>
        <v>91.685036650424365</v>
      </c>
      <c r="AS89" s="397">
        <f t="shared" si="66"/>
        <v>91.685036650424365</v>
      </c>
      <c r="AT89" s="397">
        <f t="shared" si="66"/>
        <v>91.685036650424365</v>
      </c>
      <c r="AU89" s="397">
        <f t="shared" si="66"/>
        <v>91.685036650424365</v>
      </c>
      <c r="AV89" s="397">
        <f t="shared" si="66"/>
        <v>91.685036650424365</v>
      </c>
      <c r="AW89" s="397">
        <f t="shared" si="66"/>
        <v>91.685036650424365</v>
      </c>
      <c r="AX89" s="397">
        <f t="shared" si="64"/>
        <v>91.685036650424365</v>
      </c>
      <c r="AY89" s="397">
        <f t="shared" si="64"/>
        <v>0</v>
      </c>
      <c r="AZ89" s="397">
        <f t="shared" si="64"/>
        <v>0</v>
      </c>
      <c r="BA89" s="397">
        <f t="shared" si="64"/>
        <v>0</v>
      </c>
    </row>
    <row r="90" spans="2:53">
      <c r="B90" s="398">
        <f t="shared" si="56"/>
        <v>2058</v>
      </c>
      <c r="C90" s="397">
        <f t="shared" ref="C90:R102" si="67">IF($B90&gt;=C$51,0,        IF(C$51-$B90&lt;=$C$42,    INDEX($C$27:$BA$27, MATCH($B90, $C$26:$BA$26,0)),       0))</f>
        <v>0</v>
      </c>
      <c r="D90" s="397">
        <f t="shared" si="67"/>
        <v>0</v>
      </c>
      <c r="E90" s="397">
        <f t="shared" si="67"/>
        <v>0</v>
      </c>
      <c r="F90" s="397">
        <f t="shared" si="67"/>
        <v>0</v>
      </c>
      <c r="G90" s="397">
        <f t="shared" si="67"/>
        <v>0</v>
      </c>
      <c r="H90" s="397">
        <f t="shared" si="67"/>
        <v>0</v>
      </c>
      <c r="I90" s="397">
        <f t="shared" si="67"/>
        <v>0</v>
      </c>
      <c r="J90" s="397">
        <f t="shared" si="67"/>
        <v>0</v>
      </c>
      <c r="K90" s="397">
        <f t="shared" si="67"/>
        <v>0</v>
      </c>
      <c r="L90" s="397">
        <f t="shared" si="67"/>
        <v>0</v>
      </c>
      <c r="M90" s="397">
        <f t="shared" si="67"/>
        <v>0</v>
      </c>
      <c r="N90" s="397">
        <f t="shared" si="67"/>
        <v>0</v>
      </c>
      <c r="O90" s="397">
        <f t="shared" si="67"/>
        <v>0</v>
      </c>
      <c r="P90" s="397">
        <f t="shared" si="67"/>
        <v>0</v>
      </c>
      <c r="Q90" s="397">
        <f t="shared" si="67"/>
        <v>0</v>
      </c>
      <c r="R90" s="397">
        <f t="shared" si="67"/>
        <v>0</v>
      </c>
      <c r="S90" s="397">
        <f t="shared" si="65"/>
        <v>0</v>
      </c>
      <c r="T90" s="397">
        <f t="shared" si="65"/>
        <v>0</v>
      </c>
      <c r="U90" s="397">
        <f t="shared" si="65"/>
        <v>0</v>
      </c>
      <c r="V90" s="397">
        <f t="shared" si="65"/>
        <v>0</v>
      </c>
      <c r="W90" s="397">
        <f t="shared" si="65"/>
        <v>0</v>
      </c>
      <c r="X90" s="397">
        <f t="shared" si="65"/>
        <v>0</v>
      </c>
      <c r="Y90" s="397">
        <f t="shared" si="65"/>
        <v>0</v>
      </c>
      <c r="Z90" s="397">
        <f t="shared" si="65"/>
        <v>0</v>
      </c>
      <c r="AA90" s="397">
        <f t="shared" si="65"/>
        <v>0</v>
      </c>
      <c r="AB90" s="397">
        <f t="shared" si="65"/>
        <v>0</v>
      </c>
      <c r="AC90" s="397">
        <f t="shared" si="65"/>
        <v>0</v>
      </c>
      <c r="AD90" s="397">
        <f t="shared" si="65"/>
        <v>0</v>
      </c>
      <c r="AE90" s="397">
        <f t="shared" si="65"/>
        <v>0</v>
      </c>
      <c r="AF90" s="397">
        <f t="shared" si="65"/>
        <v>0</v>
      </c>
      <c r="AG90" s="397">
        <f t="shared" si="65"/>
        <v>0</v>
      </c>
      <c r="AH90" s="397">
        <f t="shared" si="66"/>
        <v>0</v>
      </c>
      <c r="AI90" s="397">
        <f t="shared" si="66"/>
        <v>0</v>
      </c>
      <c r="AJ90" s="397">
        <f t="shared" si="66"/>
        <v>0</v>
      </c>
      <c r="AK90" s="397">
        <f t="shared" si="66"/>
        <v>0</v>
      </c>
      <c r="AL90" s="397">
        <f t="shared" si="66"/>
        <v>0</v>
      </c>
      <c r="AM90" s="397">
        <f t="shared" si="66"/>
        <v>0</v>
      </c>
      <c r="AN90" s="397">
        <f t="shared" si="66"/>
        <v>0</v>
      </c>
      <c r="AO90" s="397">
        <f t="shared" si="66"/>
        <v>0</v>
      </c>
      <c r="AP90" s="397">
        <f t="shared" si="66"/>
        <v>92.074368228031844</v>
      </c>
      <c r="AQ90" s="397">
        <f t="shared" si="66"/>
        <v>92.074368228031844</v>
      </c>
      <c r="AR90" s="397">
        <f t="shared" si="66"/>
        <v>92.074368228031844</v>
      </c>
      <c r="AS90" s="397">
        <f t="shared" si="66"/>
        <v>92.074368228031844</v>
      </c>
      <c r="AT90" s="397">
        <f t="shared" si="66"/>
        <v>92.074368228031844</v>
      </c>
      <c r="AU90" s="397">
        <f t="shared" si="66"/>
        <v>92.074368228031844</v>
      </c>
      <c r="AV90" s="397">
        <f t="shared" si="66"/>
        <v>92.074368228031844</v>
      </c>
      <c r="AW90" s="397">
        <f t="shared" si="66"/>
        <v>92.074368228031844</v>
      </c>
      <c r="AX90" s="397">
        <f t="shared" si="64"/>
        <v>92.074368228031844</v>
      </c>
      <c r="AY90" s="397">
        <f t="shared" si="64"/>
        <v>92.074368228031844</v>
      </c>
      <c r="AZ90" s="397">
        <f t="shared" si="64"/>
        <v>0</v>
      </c>
      <c r="BA90" s="397">
        <f t="shared" si="64"/>
        <v>0</v>
      </c>
    </row>
    <row r="91" spans="2:53">
      <c r="B91" s="398">
        <f t="shared" si="56"/>
        <v>2059</v>
      </c>
      <c r="C91" s="397">
        <f t="shared" si="67"/>
        <v>0</v>
      </c>
      <c r="D91" s="397">
        <f t="shared" si="67"/>
        <v>0</v>
      </c>
      <c r="E91" s="397">
        <f t="shared" si="67"/>
        <v>0</v>
      </c>
      <c r="F91" s="397">
        <f t="shared" si="67"/>
        <v>0</v>
      </c>
      <c r="G91" s="397">
        <f t="shared" si="67"/>
        <v>0</v>
      </c>
      <c r="H91" s="397">
        <f t="shared" si="67"/>
        <v>0</v>
      </c>
      <c r="I91" s="397">
        <f t="shared" si="67"/>
        <v>0</v>
      </c>
      <c r="J91" s="397">
        <f t="shared" si="67"/>
        <v>0</v>
      </c>
      <c r="K91" s="397">
        <f t="shared" si="67"/>
        <v>0</v>
      </c>
      <c r="L91" s="397">
        <f t="shared" si="67"/>
        <v>0</v>
      </c>
      <c r="M91" s="397">
        <f t="shared" si="67"/>
        <v>0</v>
      </c>
      <c r="N91" s="397">
        <f t="shared" si="67"/>
        <v>0</v>
      </c>
      <c r="O91" s="397">
        <f t="shared" si="67"/>
        <v>0</v>
      </c>
      <c r="P91" s="397">
        <f t="shared" si="67"/>
        <v>0</v>
      </c>
      <c r="Q91" s="397">
        <f t="shared" si="67"/>
        <v>0</v>
      </c>
      <c r="R91" s="397">
        <f t="shared" si="67"/>
        <v>0</v>
      </c>
      <c r="S91" s="397">
        <f t="shared" si="65"/>
        <v>0</v>
      </c>
      <c r="T91" s="397">
        <f t="shared" si="65"/>
        <v>0</v>
      </c>
      <c r="U91" s="397">
        <f t="shared" si="65"/>
        <v>0</v>
      </c>
      <c r="V91" s="397">
        <f t="shared" si="65"/>
        <v>0</v>
      </c>
      <c r="W91" s="397">
        <f t="shared" si="65"/>
        <v>0</v>
      </c>
      <c r="X91" s="397">
        <f t="shared" si="65"/>
        <v>0</v>
      </c>
      <c r="Y91" s="397">
        <f t="shared" si="65"/>
        <v>0</v>
      </c>
      <c r="Z91" s="397">
        <f t="shared" si="65"/>
        <v>0</v>
      </c>
      <c r="AA91" s="397">
        <f t="shared" si="65"/>
        <v>0</v>
      </c>
      <c r="AB91" s="397">
        <f t="shared" si="65"/>
        <v>0</v>
      </c>
      <c r="AC91" s="397">
        <f t="shared" si="65"/>
        <v>0</v>
      </c>
      <c r="AD91" s="397">
        <f t="shared" si="65"/>
        <v>0</v>
      </c>
      <c r="AE91" s="397">
        <f t="shared" si="65"/>
        <v>0</v>
      </c>
      <c r="AF91" s="397">
        <f t="shared" si="65"/>
        <v>0</v>
      </c>
      <c r="AG91" s="397">
        <f t="shared" si="65"/>
        <v>0</v>
      </c>
      <c r="AH91" s="397">
        <f t="shared" si="66"/>
        <v>0</v>
      </c>
      <c r="AI91" s="397">
        <f t="shared" si="66"/>
        <v>0</v>
      </c>
      <c r="AJ91" s="397">
        <f t="shared" si="66"/>
        <v>0</v>
      </c>
      <c r="AK91" s="397">
        <f t="shared" si="66"/>
        <v>0</v>
      </c>
      <c r="AL91" s="397">
        <f t="shared" si="66"/>
        <v>0</v>
      </c>
      <c r="AM91" s="397">
        <f t="shared" si="66"/>
        <v>0</v>
      </c>
      <c r="AN91" s="397">
        <f t="shared" si="66"/>
        <v>0</v>
      </c>
      <c r="AO91" s="397">
        <f t="shared" si="66"/>
        <v>0</v>
      </c>
      <c r="AP91" s="397">
        <f t="shared" si="66"/>
        <v>0</v>
      </c>
      <c r="AQ91" s="397">
        <f t="shared" si="66"/>
        <v>92.433226741377297</v>
      </c>
      <c r="AR91" s="397">
        <f t="shared" si="66"/>
        <v>92.433226741377297</v>
      </c>
      <c r="AS91" s="397">
        <f t="shared" si="66"/>
        <v>92.433226741377297</v>
      </c>
      <c r="AT91" s="397">
        <f t="shared" si="66"/>
        <v>92.433226741377297</v>
      </c>
      <c r="AU91" s="397">
        <f t="shared" si="66"/>
        <v>92.433226741377297</v>
      </c>
      <c r="AV91" s="397">
        <f t="shared" si="66"/>
        <v>92.433226741377297</v>
      </c>
      <c r="AW91" s="397">
        <f t="shared" si="66"/>
        <v>92.433226741377297</v>
      </c>
      <c r="AX91" s="397">
        <f t="shared" si="64"/>
        <v>92.433226741377297</v>
      </c>
      <c r="AY91" s="397">
        <f t="shared" si="64"/>
        <v>92.433226741377297</v>
      </c>
      <c r="AZ91" s="397">
        <f t="shared" si="64"/>
        <v>92.433226741377297</v>
      </c>
      <c r="BA91" s="397">
        <f t="shared" si="64"/>
        <v>0</v>
      </c>
    </row>
    <row r="92" spans="2:53">
      <c r="B92" s="398">
        <f t="shared" si="56"/>
        <v>2060</v>
      </c>
      <c r="C92" s="397">
        <f t="shared" si="67"/>
        <v>0</v>
      </c>
      <c r="D92" s="397">
        <f t="shared" si="67"/>
        <v>0</v>
      </c>
      <c r="E92" s="397">
        <f t="shared" si="67"/>
        <v>0</v>
      </c>
      <c r="F92" s="397">
        <f t="shared" si="67"/>
        <v>0</v>
      </c>
      <c r="G92" s="397">
        <f t="shared" si="67"/>
        <v>0</v>
      </c>
      <c r="H92" s="397">
        <f t="shared" si="67"/>
        <v>0</v>
      </c>
      <c r="I92" s="397">
        <f t="shared" si="67"/>
        <v>0</v>
      </c>
      <c r="J92" s="397">
        <f t="shared" si="67"/>
        <v>0</v>
      </c>
      <c r="K92" s="397">
        <f t="shared" si="67"/>
        <v>0</v>
      </c>
      <c r="L92" s="397">
        <f t="shared" si="67"/>
        <v>0</v>
      </c>
      <c r="M92" s="397">
        <f t="shared" si="67"/>
        <v>0</v>
      </c>
      <c r="N92" s="397">
        <f t="shared" si="67"/>
        <v>0</v>
      </c>
      <c r="O92" s="397">
        <f t="shared" si="67"/>
        <v>0</v>
      </c>
      <c r="P92" s="397">
        <f t="shared" si="67"/>
        <v>0</v>
      </c>
      <c r="Q92" s="397">
        <f t="shared" si="67"/>
        <v>0</v>
      </c>
      <c r="R92" s="397">
        <f t="shared" si="67"/>
        <v>0</v>
      </c>
      <c r="S92" s="397">
        <f t="shared" si="65"/>
        <v>0</v>
      </c>
      <c r="T92" s="397">
        <f t="shared" si="65"/>
        <v>0</v>
      </c>
      <c r="U92" s="397">
        <f t="shared" si="65"/>
        <v>0</v>
      </c>
      <c r="V92" s="397">
        <f t="shared" si="65"/>
        <v>0</v>
      </c>
      <c r="W92" s="397">
        <f t="shared" si="65"/>
        <v>0</v>
      </c>
      <c r="X92" s="397">
        <f t="shared" si="65"/>
        <v>0</v>
      </c>
      <c r="Y92" s="397">
        <f t="shared" si="65"/>
        <v>0</v>
      </c>
      <c r="Z92" s="397">
        <f t="shared" si="65"/>
        <v>0</v>
      </c>
      <c r="AA92" s="397">
        <f t="shared" si="65"/>
        <v>0</v>
      </c>
      <c r="AB92" s="397">
        <f t="shared" si="65"/>
        <v>0</v>
      </c>
      <c r="AC92" s="397">
        <f t="shared" si="65"/>
        <v>0</v>
      </c>
      <c r="AD92" s="397">
        <f t="shared" si="65"/>
        <v>0</v>
      </c>
      <c r="AE92" s="397">
        <f t="shared" si="65"/>
        <v>0</v>
      </c>
      <c r="AF92" s="397">
        <f t="shared" si="65"/>
        <v>0</v>
      </c>
      <c r="AG92" s="397">
        <f t="shared" si="65"/>
        <v>0</v>
      </c>
      <c r="AH92" s="397">
        <f t="shared" si="66"/>
        <v>0</v>
      </c>
      <c r="AI92" s="397">
        <f t="shared" si="66"/>
        <v>0</v>
      </c>
      <c r="AJ92" s="397">
        <f t="shared" si="66"/>
        <v>0</v>
      </c>
      <c r="AK92" s="397">
        <f t="shared" si="66"/>
        <v>0</v>
      </c>
      <c r="AL92" s="397">
        <f t="shared" si="66"/>
        <v>0</v>
      </c>
      <c r="AM92" s="397">
        <f t="shared" si="66"/>
        <v>0</v>
      </c>
      <c r="AN92" s="397">
        <f t="shared" si="66"/>
        <v>0</v>
      </c>
      <c r="AO92" s="397">
        <f t="shared" si="66"/>
        <v>0</v>
      </c>
      <c r="AP92" s="397">
        <f t="shared" si="66"/>
        <v>0</v>
      </c>
      <c r="AQ92" s="397">
        <f t="shared" si="66"/>
        <v>0</v>
      </c>
      <c r="AR92" s="397">
        <f t="shared" si="66"/>
        <v>92.787581185106077</v>
      </c>
      <c r="AS92" s="397">
        <f t="shared" si="66"/>
        <v>92.787581185106077</v>
      </c>
      <c r="AT92" s="397">
        <f t="shared" si="66"/>
        <v>92.787581185106077</v>
      </c>
      <c r="AU92" s="397">
        <f t="shared" si="66"/>
        <v>92.787581185106077</v>
      </c>
      <c r="AV92" s="397">
        <f t="shared" si="66"/>
        <v>92.787581185106077</v>
      </c>
      <c r="AW92" s="397">
        <f t="shared" si="66"/>
        <v>92.787581185106077</v>
      </c>
      <c r="AX92" s="397">
        <f t="shared" si="64"/>
        <v>92.787581185106077</v>
      </c>
      <c r="AY92" s="397">
        <f t="shared" si="64"/>
        <v>92.787581185106077</v>
      </c>
      <c r="AZ92" s="397">
        <f t="shared" si="64"/>
        <v>92.787581185106077</v>
      </c>
      <c r="BA92" s="397">
        <f t="shared" si="64"/>
        <v>92.787581185106077</v>
      </c>
    </row>
    <row r="93" spans="2:53">
      <c r="B93" s="398">
        <f t="shared" si="56"/>
        <v>2061</v>
      </c>
      <c r="C93" s="397">
        <f t="shared" si="67"/>
        <v>0</v>
      </c>
      <c r="D93" s="397">
        <f t="shared" si="67"/>
        <v>0</v>
      </c>
      <c r="E93" s="397">
        <f t="shared" si="67"/>
        <v>0</v>
      </c>
      <c r="F93" s="397">
        <f t="shared" si="67"/>
        <v>0</v>
      </c>
      <c r="G93" s="397">
        <f t="shared" si="67"/>
        <v>0</v>
      </c>
      <c r="H93" s="397">
        <f t="shared" si="67"/>
        <v>0</v>
      </c>
      <c r="I93" s="397">
        <f t="shared" si="67"/>
        <v>0</v>
      </c>
      <c r="J93" s="397">
        <f t="shared" si="67"/>
        <v>0</v>
      </c>
      <c r="K93" s="397">
        <f t="shared" si="67"/>
        <v>0</v>
      </c>
      <c r="L93" s="397">
        <f t="shared" si="67"/>
        <v>0</v>
      </c>
      <c r="M93" s="397">
        <f t="shared" si="67"/>
        <v>0</v>
      </c>
      <c r="N93" s="397">
        <f t="shared" si="67"/>
        <v>0</v>
      </c>
      <c r="O93" s="397">
        <f t="shared" si="67"/>
        <v>0</v>
      </c>
      <c r="P93" s="397">
        <f t="shared" si="67"/>
        <v>0</v>
      </c>
      <c r="Q93" s="397">
        <f t="shared" si="67"/>
        <v>0</v>
      </c>
      <c r="R93" s="397">
        <f t="shared" si="67"/>
        <v>0</v>
      </c>
      <c r="S93" s="397">
        <f t="shared" si="65"/>
        <v>0</v>
      </c>
      <c r="T93" s="397">
        <f t="shared" si="65"/>
        <v>0</v>
      </c>
      <c r="U93" s="397">
        <f t="shared" si="65"/>
        <v>0</v>
      </c>
      <c r="V93" s="397">
        <f t="shared" si="65"/>
        <v>0</v>
      </c>
      <c r="W93" s="397">
        <f t="shared" si="65"/>
        <v>0</v>
      </c>
      <c r="X93" s="397">
        <f t="shared" si="65"/>
        <v>0</v>
      </c>
      <c r="Y93" s="397">
        <f t="shared" si="65"/>
        <v>0</v>
      </c>
      <c r="Z93" s="397">
        <f t="shared" si="65"/>
        <v>0</v>
      </c>
      <c r="AA93" s="397">
        <f t="shared" si="65"/>
        <v>0</v>
      </c>
      <c r="AB93" s="397">
        <f t="shared" si="65"/>
        <v>0</v>
      </c>
      <c r="AC93" s="397">
        <f t="shared" si="65"/>
        <v>0</v>
      </c>
      <c r="AD93" s="397">
        <f t="shared" si="65"/>
        <v>0</v>
      </c>
      <c r="AE93" s="397">
        <f t="shared" si="65"/>
        <v>0</v>
      </c>
      <c r="AF93" s="397">
        <f t="shared" si="65"/>
        <v>0</v>
      </c>
      <c r="AG93" s="397">
        <f t="shared" si="65"/>
        <v>0</v>
      </c>
      <c r="AH93" s="397">
        <f t="shared" si="66"/>
        <v>0</v>
      </c>
      <c r="AI93" s="397">
        <f t="shared" si="66"/>
        <v>0</v>
      </c>
      <c r="AJ93" s="397">
        <f t="shared" si="66"/>
        <v>0</v>
      </c>
      <c r="AK93" s="397">
        <f t="shared" si="66"/>
        <v>0</v>
      </c>
      <c r="AL93" s="397">
        <f t="shared" si="66"/>
        <v>0</v>
      </c>
      <c r="AM93" s="397">
        <f t="shared" si="66"/>
        <v>0</v>
      </c>
      <c r="AN93" s="397">
        <f t="shared" si="66"/>
        <v>0</v>
      </c>
      <c r="AO93" s="397">
        <f t="shared" si="66"/>
        <v>0</v>
      </c>
      <c r="AP93" s="397">
        <f t="shared" si="66"/>
        <v>0</v>
      </c>
      <c r="AQ93" s="397">
        <f t="shared" si="66"/>
        <v>0</v>
      </c>
      <c r="AR93" s="397">
        <f t="shared" si="66"/>
        <v>0</v>
      </c>
      <c r="AS93" s="397">
        <f t="shared" si="66"/>
        <v>93.155088879371263</v>
      </c>
      <c r="AT93" s="397">
        <f t="shared" si="66"/>
        <v>93.155088879371263</v>
      </c>
      <c r="AU93" s="397">
        <f t="shared" si="66"/>
        <v>93.155088879371263</v>
      </c>
      <c r="AV93" s="397">
        <f t="shared" si="66"/>
        <v>93.155088879371263</v>
      </c>
      <c r="AW93" s="397">
        <f t="shared" si="66"/>
        <v>93.155088879371263</v>
      </c>
      <c r="AX93" s="397">
        <f t="shared" si="64"/>
        <v>93.155088879371263</v>
      </c>
      <c r="AY93" s="397">
        <f t="shared" si="64"/>
        <v>93.155088879371263</v>
      </c>
      <c r="AZ93" s="397">
        <f t="shared" si="64"/>
        <v>93.155088879371263</v>
      </c>
      <c r="BA93" s="397">
        <f t="shared" si="64"/>
        <v>93.155088879371263</v>
      </c>
    </row>
    <row r="94" spans="2:53">
      <c r="B94" s="398">
        <f t="shared" si="56"/>
        <v>2062</v>
      </c>
      <c r="C94" s="397">
        <f t="shared" si="67"/>
        <v>0</v>
      </c>
      <c r="D94" s="397">
        <f t="shared" si="67"/>
        <v>0</v>
      </c>
      <c r="E94" s="397">
        <f t="shared" si="67"/>
        <v>0</v>
      </c>
      <c r="F94" s="397">
        <f t="shared" si="67"/>
        <v>0</v>
      </c>
      <c r="G94" s="397">
        <f t="shared" si="67"/>
        <v>0</v>
      </c>
      <c r="H94" s="397">
        <f t="shared" si="67"/>
        <v>0</v>
      </c>
      <c r="I94" s="397">
        <f t="shared" si="67"/>
        <v>0</v>
      </c>
      <c r="J94" s="397">
        <f t="shared" si="67"/>
        <v>0</v>
      </c>
      <c r="K94" s="397">
        <f t="shared" si="67"/>
        <v>0</v>
      </c>
      <c r="L94" s="397">
        <f t="shared" si="67"/>
        <v>0</v>
      </c>
      <c r="M94" s="397">
        <f t="shared" si="67"/>
        <v>0</v>
      </c>
      <c r="N94" s="397">
        <f t="shared" si="67"/>
        <v>0</v>
      </c>
      <c r="O94" s="397">
        <f t="shared" si="67"/>
        <v>0</v>
      </c>
      <c r="P94" s="397">
        <f t="shared" si="67"/>
        <v>0</v>
      </c>
      <c r="Q94" s="397">
        <f t="shared" si="67"/>
        <v>0</v>
      </c>
      <c r="R94" s="397">
        <f t="shared" si="67"/>
        <v>0</v>
      </c>
      <c r="S94" s="397">
        <f t="shared" si="65"/>
        <v>0</v>
      </c>
      <c r="T94" s="397">
        <f t="shared" si="65"/>
        <v>0</v>
      </c>
      <c r="U94" s="397">
        <f t="shared" si="65"/>
        <v>0</v>
      </c>
      <c r="V94" s="397">
        <f t="shared" si="65"/>
        <v>0</v>
      </c>
      <c r="W94" s="397">
        <f t="shared" si="65"/>
        <v>0</v>
      </c>
      <c r="X94" s="397">
        <f t="shared" si="65"/>
        <v>0</v>
      </c>
      <c r="Y94" s="397">
        <f t="shared" si="65"/>
        <v>0</v>
      </c>
      <c r="Z94" s="397">
        <f t="shared" si="65"/>
        <v>0</v>
      </c>
      <c r="AA94" s="397">
        <f t="shared" si="65"/>
        <v>0</v>
      </c>
      <c r="AB94" s="397">
        <f t="shared" si="65"/>
        <v>0</v>
      </c>
      <c r="AC94" s="397">
        <f t="shared" si="65"/>
        <v>0</v>
      </c>
      <c r="AD94" s="397">
        <f t="shared" si="65"/>
        <v>0</v>
      </c>
      <c r="AE94" s="397">
        <f t="shared" si="65"/>
        <v>0</v>
      </c>
      <c r="AF94" s="397">
        <f t="shared" si="65"/>
        <v>0</v>
      </c>
      <c r="AG94" s="397">
        <f t="shared" si="65"/>
        <v>0</v>
      </c>
      <c r="AH94" s="397">
        <f t="shared" si="66"/>
        <v>0</v>
      </c>
      <c r="AI94" s="397">
        <f t="shared" si="66"/>
        <v>0</v>
      </c>
      <c r="AJ94" s="397">
        <f t="shared" si="66"/>
        <v>0</v>
      </c>
      <c r="AK94" s="397">
        <f t="shared" si="66"/>
        <v>0</v>
      </c>
      <c r="AL94" s="397">
        <f t="shared" si="66"/>
        <v>0</v>
      </c>
      <c r="AM94" s="397">
        <f t="shared" si="66"/>
        <v>0</v>
      </c>
      <c r="AN94" s="397">
        <f t="shared" si="66"/>
        <v>0</v>
      </c>
      <c r="AO94" s="397">
        <f t="shared" si="66"/>
        <v>0</v>
      </c>
      <c r="AP94" s="397">
        <f t="shared" si="66"/>
        <v>0</v>
      </c>
      <c r="AQ94" s="397">
        <f t="shared" si="66"/>
        <v>0</v>
      </c>
      <c r="AR94" s="397">
        <f t="shared" si="66"/>
        <v>0</v>
      </c>
      <c r="AS94" s="397">
        <f t="shared" si="66"/>
        <v>0</v>
      </c>
      <c r="AT94" s="397">
        <f t="shared" si="66"/>
        <v>93.425345649631979</v>
      </c>
      <c r="AU94" s="397">
        <f t="shared" si="66"/>
        <v>93.425345649631979</v>
      </c>
      <c r="AV94" s="397">
        <f t="shared" si="66"/>
        <v>93.425345649631979</v>
      </c>
      <c r="AW94" s="397">
        <f t="shared" si="66"/>
        <v>93.425345649631979</v>
      </c>
      <c r="AX94" s="397">
        <f t="shared" si="64"/>
        <v>93.425345649631979</v>
      </c>
      <c r="AY94" s="397">
        <f t="shared" si="64"/>
        <v>93.425345649631979</v>
      </c>
      <c r="AZ94" s="397">
        <f t="shared" si="64"/>
        <v>93.425345649631979</v>
      </c>
      <c r="BA94" s="397">
        <f t="shared" si="64"/>
        <v>93.425345649631979</v>
      </c>
    </row>
    <row r="95" spans="2:53">
      <c r="B95" s="398">
        <f t="shared" si="56"/>
        <v>2063</v>
      </c>
      <c r="C95" s="397">
        <f t="shared" si="67"/>
        <v>0</v>
      </c>
      <c r="D95" s="397">
        <f t="shared" si="67"/>
        <v>0</v>
      </c>
      <c r="E95" s="397">
        <f t="shared" si="67"/>
        <v>0</v>
      </c>
      <c r="F95" s="397">
        <f t="shared" si="67"/>
        <v>0</v>
      </c>
      <c r="G95" s="397">
        <f t="shared" si="67"/>
        <v>0</v>
      </c>
      <c r="H95" s="397">
        <f t="shared" si="67"/>
        <v>0</v>
      </c>
      <c r="I95" s="397">
        <f t="shared" si="67"/>
        <v>0</v>
      </c>
      <c r="J95" s="397">
        <f t="shared" si="67"/>
        <v>0</v>
      </c>
      <c r="K95" s="397">
        <f t="shared" si="67"/>
        <v>0</v>
      </c>
      <c r="L95" s="397">
        <f t="shared" si="67"/>
        <v>0</v>
      </c>
      <c r="M95" s="397">
        <f t="shared" si="67"/>
        <v>0</v>
      </c>
      <c r="N95" s="397">
        <f t="shared" si="67"/>
        <v>0</v>
      </c>
      <c r="O95" s="397">
        <f t="shared" si="67"/>
        <v>0</v>
      </c>
      <c r="P95" s="397">
        <f t="shared" si="67"/>
        <v>0</v>
      </c>
      <c r="Q95" s="397">
        <f t="shared" si="67"/>
        <v>0</v>
      </c>
      <c r="R95" s="397">
        <f t="shared" si="67"/>
        <v>0</v>
      </c>
      <c r="S95" s="397">
        <f t="shared" si="65"/>
        <v>0</v>
      </c>
      <c r="T95" s="397">
        <f t="shared" si="65"/>
        <v>0</v>
      </c>
      <c r="U95" s="397">
        <f t="shared" si="65"/>
        <v>0</v>
      </c>
      <c r="V95" s="397">
        <f t="shared" si="65"/>
        <v>0</v>
      </c>
      <c r="W95" s="397">
        <f t="shared" si="65"/>
        <v>0</v>
      </c>
      <c r="X95" s="397">
        <f t="shared" si="65"/>
        <v>0</v>
      </c>
      <c r="Y95" s="397">
        <f t="shared" si="65"/>
        <v>0</v>
      </c>
      <c r="Z95" s="397">
        <f t="shared" si="65"/>
        <v>0</v>
      </c>
      <c r="AA95" s="397">
        <f t="shared" si="65"/>
        <v>0</v>
      </c>
      <c r="AB95" s="397">
        <f t="shared" si="65"/>
        <v>0</v>
      </c>
      <c r="AC95" s="397">
        <f t="shared" si="65"/>
        <v>0</v>
      </c>
      <c r="AD95" s="397">
        <f t="shared" si="65"/>
        <v>0</v>
      </c>
      <c r="AE95" s="397">
        <f t="shared" si="65"/>
        <v>0</v>
      </c>
      <c r="AF95" s="397">
        <f t="shared" si="65"/>
        <v>0</v>
      </c>
      <c r="AG95" s="397">
        <f t="shared" si="65"/>
        <v>0</v>
      </c>
      <c r="AH95" s="397">
        <f t="shared" si="66"/>
        <v>0</v>
      </c>
      <c r="AI95" s="397">
        <f t="shared" si="66"/>
        <v>0</v>
      </c>
      <c r="AJ95" s="397">
        <f t="shared" si="66"/>
        <v>0</v>
      </c>
      <c r="AK95" s="397">
        <f t="shared" si="66"/>
        <v>0</v>
      </c>
      <c r="AL95" s="397">
        <f t="shared" si="66"/>
        <v>0</v>
      </c>
      <c r="AM95" s="397">
        <f t="shared" si="66"/>
        <v>0</v>
      </c>
      <c r="AN95" s="397">
        <f t="shared" si="66"/>
        <v>0</v>
      </c>
      <c r="AO95" s="397">
        <f t="shared" si="66"/>
        <v>0</v>
      </c>
      <c r="AP95" s="397">
        <f t="shared" si="66"/>
        <v>0</v>
      </c>
      <c r="AQ95" s="397">
        <f t="shared" si="66"/>
        <v>0</v>
      </c>
      <c r="AR95" s="397">
        <f t="shared" si="66"/>
        <v>0</v>
      </c>
      <c r="AS95" s="397">
        <f t="shared" si="66"/>
        <v>0</v>
      </c>
      <c r="AT95" s="397">
        <f t="shared" si="66"/>
        <v>0</v>
      </c>
      <c r="AU95" s="397">
        <f t="shared" si="66"/>
        <v>93.633679846753978</v>
      </c>
      <c r="AV95" s="397">
        <f t="shared" si="66"/>
        <v>93.633679846753978</v>
      </c>
      <c r="AW95" s="397">
        <f t="shared" si="66"/>
        <v>93.633679846753978</v>
      </c>
      <c r="AX95" s="397">
        <f t="shared" si="64"/>
        <v>93.633679846753978</v>
      </c>
      <c r="AY95" s="397">
        <f t="shared" si="64"/>
        <v>93.633679846753978</v>
      </c>
      <c r="AZ95" s="397">
        <f t="shared" si="64"/>
        <v>93.633679846753978</v>
      </c>
      <c r="BA95" s="397">
        <f t="shared" si="64"/>
        <v>93.633679846753978</v>
      </c>
    </row>
    <row r="96" spans="2:53">
      <c r="B96" s="398">
        <f t="shared" si="56"/>
        <v>2064</v>
      </c>
      <c r="C96" s="397">
        <f t="shared" si="67"/>
        <v>0</v>
      </c>
      <c r="D96" s="397">
        <f t="shared" si="67"/>
        <v>0</v>
      </c>
      <c r="E96" s="397">
        <f t="shared" si="67"/>
        <v>0</v>
      </c>
      <c r="F96" s="397">
        <f t="shared" si="67"/>
        <v>0</v>
      </c>
      <c r="G96" s="397">
        <f t="shared" si="67"/>
        <v>0</v>
      </c>
      <c r="H96" s="397">
        <f t="shared" si="67"/>
        <v>0</v>
      </c>
      <c r="I96" s="397">
        <f t="shared" si="67"/>
        <v>0</v>
      </c>
      <c r="J96" s="397">
        <f t="shared" si="67"/>
        <v>0</v>
      </c>
      <c r="K96" s="397">
        <f t="shared" si="67"/>
        <v>0</v>
      </c>
      <c r="L96" s="397">
        <f t="shared" si="67"/>
        <v>0</v>
      </c>
      <c r="M96" s="397">
        <f t="shared" si="67"/>
        <v>0</v>
      </c>
      <c r="N96" s="397">
        <f t="shared" si="67"/>
        <v>0</v>
      </c>
      <c r="O96" s="397">
        <f t="shared" si="67"/>
        <v>0</v>
      </c>
      <c r="P96" s="397">
        <f t="shared" si="67"/>
        <v>0</v>
      </c>
      <c r="Q96" s="397">
        <f t="shared" si="67"/>
        <v>0</v>
      </c>
      <c r="R96" s="397">
        <f t="shared" si="67"/>
        <v>0</v>
      </c>
      <c r="S96" s="397">
        <f t="shared" si="65"/>
        <v>0</v>
      </c>
      <c r="T96" s="397">
        <f t="shared" si="65"/>
        <v>0</v>
      </c>
      <c r="U96" s="397">
        <f t="shared" si="65"/>
        <v>0</v>
      </c>
      <c r="V96" s="397">
        <f t="shared" si="65"/>
        <v>0</v>
      </c>
      <c r="W96" s="397">
        <f t="shared" si="65"/>
        <v>0</v>
      </c>
      <c r="X96" s="397">
        <f t="shared" si="65"/>
        <v>0</v>
      </c>
      <c r="Y96" s="397">
        <f t="shared" si="65"/>
        <v>0</v>
      </c>
      <c r="Z96" s="397">
        <f t="shared" si="65"/>
        <v>0</v>
      </c>
      <c r="AA96" s="397">
        <f t="shared" si="65"/>
        <v>0</v>
      </c>
      <c r="AB96" s="397">
        <f t="shared" si="65"/>
        <v>0</v>
      </c>
      <c r="AC96" s="397">
        <f t="shared" si="65"/>
        <v>0</v>
      </c>
      <c r="AD96" s="397">
        <f t="shared" si="65"/>
        <v>0</v>
      </c>
      <c r="AE96" s="397">
        <f t="shared" si="65"/>
        <v>0</v>
      </c>
      <c r="AF96" s="397">
        <f t="shared" si="65"/>
        <v>0</v>
      </c>
      <c r="AG96" s="397">
        <f t="shared" si="65"/>
        <v>0</v>
      </c>
      <c r="AH96" s="397">
        <f t="shared" si="66"/>
        <v>0</v>
      </c>
      <c r="AI96" s="397">
        <f t="shared" si="66"/>
        <v>0</v>
      </c>
      <c r="AJ96" s="397">
        <f t="shared" si="66"/>
        <v>0</v>
      </c>
      <c r="AK96" s="397">
        <f t="shared" si="66"/>
        <v>0</v>
      </c>
      <c r="AL96" s="397">
        <f t="shared" si="66"/>
        <v>0</v>
      </c>
      <c r="AM96" s="397">
        <f t="shared" si="66"/>
        <v>0</v>
      </c>
      <c r="AN96" s="397">
        <f t="shared" si="66"/>
        <v>0</v>
      </c>
      <c r="AO96" s="397">
        <f t="shared" si="66"/>
        <v>0</v>
      </c>
      <c r="AP96" s="397">
        <f t="shared" si="66"/>
        <v>0</v>
      </c>
      <c r="AQ96" s="397">
        <f t="shared" si="66"/>
        <v>0</v>
      </c>
      <c r="AR96" s="397">
        <f t="shared" si="66"/>
        <v>0</v>
      </c>
      <c r="AS96" s="397">
        <f t="shared" si="66"/>
        <v>0</v>
      </c>
      <c r="AT96" s="397">
        <f t="shared" si="66"/>
        <v>0</v>
      </c>
      <c r="AU96" s="397">
        <f t="shared" si="66"/>
        <v>0</v>
      </c>
      <c r="AV96" s="397">
        <f t="shared" si="66"/>
        <v>93.802633993975505</v>
      </c>
      <c r="AW96" s="397">
        <f t="shared" si="66"/>
        <v>93.802633993975505</v>
      </c>
      <c r="AX96" s="397">
        <f t="shared" si="64"/>
        <v>93.802633993975505</v>
      </c>
      <c r="AY96" s="397">
        <f t="shared" si="64"/>
        <v>93.802633993975505</v>
      </c>
      <c r="AZ96" s="397">
        <f t="shared" si="64"/>
        <v>93.802633993975505</v>
      </c>
      <c r="BA96" s="397">
        <f t="shared" si="64"/>
        <v>93.802633993975505</v>
      </c>
    </row>
    <row r="97" spans="1:53">
      <c r="B97" s="398">
        <f t="shared" si="56"/>
        <v>2065</v>
      </c>
      <c r="C97" s="397">
        <f t="shared" si="67"/>
        <v>0</v>
      </c>
      <c r="D97" s="397">
        <f t="shared" si="67"/>
        <v>0</v>
      </c>
      <c r="E97" s="397">
        <f t="shared" si="67"/>
        <v>0</v>
      </c>
      <c r="F97" s="397">
        <f t="shared" si="67"/>
        <v>0</v>
      </c>
      <c r="G97" s="397">
        <f t="shared" si="67"/>
        <v>0</v>
      </c>
      <c r="H97" s="397">
        <f t="shared" si="67"/>
        <v>0</v>
      </c>
      <c r="I97" s="397">
        <f t="shared" si="67"/>
        <v>0</v>
      </c>
      <c r="J97" s="397">
        <f t="shared" si="67"/>
        <v>0</v>
      </c>
      <c r="K97" s="397">
        <f t="shared" si="67"/>
        <v>0</v>
      </c>
      <c r="L97" s="397">
        <f t="shared" si="67"/>
        <v>0</v>
      </c>
      <c r="M97" s="397">
        <f t="shared" si="67"/>
        <v>0</v>
      </c>
      <c r="N97" s="397">
        <f t="shared" si="67"/>
        <v>0</v>
      </c>
      <c r="O97" s="397">
        <f t="shared" si="67"/>
        <v>0</v>
      </c>
      <c r="P97" s="397">
        <f t="shared" si="67"/>
        <v>0</v>
      </c>
      <c r="Q97" s="397">
        <f t="shared" si="67"/>
        <v>0</v>
      </c>
      <c r="R97" s="397">
        <f t="shared" si="67"/>
        <v>0</v>
      </c>
      <c r="S97" s="397">
        <f t="shared" si="65"/>
        <v>0</v>
      </c>
      <c r="T97" s="397">
        <f t="shared" si="65"/>
        <v>0</v>
      </c>
      <c r="U97" s="397">
        <f t="shared" si="65"/>
        <v>0</v>
      </c>
      <c r="V97" s="397">
        <f t="shared" si="65"/>
        <v>0</v>
      </c>
      <c r="W97" s="397">
        <f t="shared" si="65"/>
        <v>0</v>
      </c>
      <c r="X97" s="397">
        <f t="shared" si="65"/>
        <v>0</v>
      </c>
      <c r="Y97" s="397">
        <f t="shared" si="65"/>
        <v>0</v>
      </c>
      <c r="Z97" s="397">
        <f t="shared" si="65"/>
        <v>0</v>
      </c>
      <c r="AA97" s="397">
        <f t="shared" si="65"/>
        <v>0</v>
      </c>
      <c r="AB97" s="397">
        <f t="shared" si="65"/>
        <v>0</v>
      </c>
      <c r="AC97" s="397">
        <f t="shared" si="65"/>
        <v>0</v>
      </c>
      <c r="AD97" s="397">
        <f t="shared" si="65"/>
        <v>0</v>
      </c>
      <c r="AE97" s="397">
        <f t="shared" si="65"/>
        <v>0</v>
      </c>
      <c r="AF97" s="397">
        <f t="shared" si="65"/>
        <v>0</v>
      </c>
      <c r="AG97" s="397">
        <f t="shared" si="65"/>
        <v>0</v>
      </c>
      <c r="AH97" s="397">
        <f t="shared" si="66"/>
        <v>0</v>
      </c>
      <c r="AI97" s="397">
        <f t="shared" si="66"/>
        <v>0</v>
      </c>
      <c r="AJ97" s="397">
        <f t="shared" si="66"/>
        <v>0</v>
      </c>
      <c r="AK97" s="397">
        <f t="shared" si="66"/>
        <v>0</v>
      </c>
      <c r="AL97" s="397">
        <f t="shared" si="66"/>
        <v>0</v>
      </c>
      <c r="AM97" s="397">
        <f t="shared" si="66"/>
        <v>0</v>
      </c>
      <c r="AN97" s="397">
        <f t="shared" si="66"/>
        <v>0</v>
      </c>
      <c r="AO97" s="397">
        <f t="shared" si="66"/>
        <v>0</v>
      </c>
      <c r="AP97" s="397">
        <f t="shared" si="66"/>
        <v>0</v>
      </c>
      <c r="AQ97" s="397">
        <f t="shared" si="66"/>
        <v>0</v>
      </c>
      <c r="AR97" s="397">
        <f t="shared" si="66"/>
        <v>0</v>
      </c>
      <c r="AS97" s="397">
        <f t="shared" si="66"/>
        <v>0</v>
      </c>
      <c r="AT97" s="397">
        <f t="shared" si="66"/>
        <v>0</v>
      </c>
      <c r="AU97" s="397">
        <f t="shared" si="66"/>
        <v>0</v>
      </c>
      <c r="AV97" s="397">
        <f t="shared" si="66"/>
        <v>0</v>
      </c>
      <c r="AW97" s="397">
        <f t="shared" si="66"/>
        <v>93.873976396742194</v>
      </c>
      <c r="AX97" s="397">
        <f t="shared" si="64"/>
        <v>93.873976396742194</v>
      </c>
      <c r="AY97" s="397">
        <f t="shared" si="64"/>
        <v>93.873976396742194</v>
      </c>
      <c r="AZ97" s="397">
        <f t="shared" si="64"/>
        <v>93.873976396742194</v>
      </c>
      <c r="BA97" s="397">
        <f t="shared" si="64"/>
        <v>93.873976396742194</v>
      </c>
    </row>
    <row r="98" spans="1:53">
      <c r="B98" s="398">
        <f t="shared" si="56"/>
        <v>2066</v>
      </c>
      <c r="C98" s="397">
        <f t="shared" si="67"/>
        <v>0</v>
      </c>
      <c r="D98" s="397">
        <f t="shared" si="67"/>
        <v>0</v>
      </c>
      <c r="E98" s="397">
        <f t="shared" si="67"/>
        <v>0</v>
      </c>
      <c r="F98" s="397">
        <f t="shared" si="67"/>
        <v>0</v>
      </c>
      <c r="G98" s="397">
        <f t="shared" si="67"/>
        <v>0</v>
      </c>
      <c r="H98" s="397">
        <f t="shared" si="67"/>
        <v>0</v>
      </c>
      <c r="I98" s="397">
        <f t="shared" si="67"/>
        <v>0</v>
      </c>
      <c r="J98" s="397">
        <f t="shared" si="67"/>
        <v>0</v>
      </c>
      <c r="K98" s="397">
        <f t="shared" si="67"/>
        <v>0</v>
      </c>
      <c r="L98" s="397">
        <f t="shared" si="67"/>
        <v>0</v>
      </c>
      <c r="M98" s="397">
        <f t="shared" si="67"/>
        <v>0</v>
      </c>
      <c r="N98" s="397">
        <f t="shared" si="67"/>
        <v>0</v>
      </c>
      <c r="O98" s="397">
        <f t="shared" si="67"/>
        <v>0</v>
      </c>
      <c r="P98" s="397">
        <f t="shared" si="67"/>
        <v>0</v>
      </c>
      <c r="Q98" s="397">
        <f t="shared" si="67"/>
        <v>0</v>
      </c>
      <c r="R98" s="397">
        <f t="shared" si="67"/>
        <v>0</v>
      </c>
      <c r="S98" s="397">
        <f t="shared" si="65"/>
        <v>0</v>
      </c>
      <c r="T98" s="397">
        <f t="shared" si="65"/>
        <v>0</v>
      </c>
      <c r="U98" s="397">
        <f t="shared" si="65"/>
        <v>0</v>
      </c>
      <c r="V98" s="397">
        <f t="shared" si="65"/>
        <v>0</v>
      </c>
      <c r="W98" s="397">
        <f t="shared" si="65"/>
        <v>0</v>
      </c>
      <c r="X98" s="397">
        <f t="shared" si="65"/>
        <v>0</v>
      </c>
      <c r="Y98" s="397">
        <f t="shared" si="65"/>
        <v>0</v>
      </c>
      <c r="Z98" s="397">
        <f t="shared" si="65"/>
        <v>0</v>
      </c>
      <c r="AA98" s="397">
        <f t="shared" si="65"/>
        <v>0</v>
      </c>
      <c r="AB98" s="397">
        <f t="shared" si="65"/>
        <v>0</v>
      </c>
      <c r="AC98" s="397">
        <f t="shared" si="65"/>
        <v>0</v>
      </c>
      <c r="AD98" s="397">
        <f t="shared" si="65"/>
        <v>0</v>
      </c>
      <c r="AE98" s="397">
        <f t="shared" si="65"/>
        <v>0</v>
      </c>
      <c r="AF98" s="397">
        <f t="shared" si="65"/>
        <v>0</v>
      </c>
      <c r="AG98" s="397">
        <f t="shared" si="65"/>
        <v>0</v>
      </c>
      <c r="AH98" s="397">
        <f t="shared" si="66"/>
        <v>0</v>
      </c>
      <c r="AI98" s="397">
        <f t="shared" si="66"/>
        <v>0</v>
      </c>
      <c r="AJ98" s="397">
        <f t="shared" si="66"/>
        <v>0</v>
      </c>
      <c r="AK98" s="397">
        <f t="shared" si="66"/>
        <v>0</v>
      </c>
      <c r="AL98" s="397">
        <f t="shared" si="66"/>
        <v>0</v>
      </c>
      <c r="AM98" s="397">
        <f t="shared" si="66"/>
        <v>0</v>
      </c>
      <c r="AN98" s="397">
        <f t="shared" si="66"/>
        <v>0</v>
      </c>
      <c r="AO98" s="397">
        <f t="shared" si="66"/>
        <v>0</v>
      </c>
      <c r="AP98" s="397">
        <f t="shared" si="66"/>
        <v>0</v>
      </c>
      <c r="AQ98" s="397">
        <f t="shared" si="66"/>
        <v>0</v>
      </c>
      <c r="AR98" s="397">
        <f t="shared" si="66"/>
        <v>0</v>
      </c>
      <c r="AS98" s="397">
        <f t="shared" si="66"/>
        <v>0</v>
      </c>
      <c r="AT98" s="397">
        <f t="shared" si="66"/>
        <v>0</v>
      </c>
      <c r="AU98" s="397">
        <f t="shared" si="66"/>
        <v>0</v>
      </c>
      <c r="AV98" s="397">
        <f t="shared" si="66"/>
        <v>0</v>
      </c>
      <c r="AW98" s="397">
        <f t="shared" si="66"/>
        <v>0</v>
      </c>
      <c r="AX98" s="397">
        <f t="shared" si="64"/>
        <v>93.893243028084541</v>
      </c>
      <c r="AY98" s="397">
        <f t="shared" si="64"/>
        <v>93.893243028084541</v>
      </c>
      <c r="AZ98" s="397">
        <f t="shared" si="64"/>
        <v>93.893243028084541</v>
      </c>
      <c r="BA98" s="397">
        <f t="shared" si="64"/>
        <v>93.893243028084541</v>
      </c>
    </row>
    <row r="99" spans="1:53">
      <c r="B99" s="398">
        <f t="shared" si="56"/>
        <v>2067</v>
      </c>
      <c r="C99" s="397">
        <f t="shared" si="67"/>
        <v>0</v>
      </c>
      <c r="D99" s="397">
        <f t="shared" si="67"/>
        <v>0</v>
      </c>
      <c r="E99" s="397">
        <f t="shared" si="67"/>
        <v>0</v>
      </c>
      <c r="F99" s="397">
        <f t="shared" si="67"/>
        <v>0</v>
      </c>
      <c r="G99" s="397">
        <f t="shared" si="67"/>
        <v>0</v>
      </c>
      <c r="H99" s="397">
        <f t="shared" si="67"/>
        <v>0</v>
      </c>
      <c r="I99" s="397">
        <f t="shared" si="67"/>
        <v>0</v>
      </c>
      <c r="J99" s="397">
        <f t="shared" si="67"/>
        <v>0</v>
      </c>
      <c r="K99" s="397">
        <f t="shared" si="67"/>
        <v>0</v>
      </c>
      <c r="L99" s="397">
        <f t="shared" si="67"/>
        <v>0</v>
      </c>
      <c r="M99" s="397">
        <f t="shared" si="67"/>
        <v>0</v>
      </c>
      <c r="N99" s="397">
        <f t="shared" si="67"/>
        <v>0</v>
      </c>
      <c r="O99" s="397">
        <f t="shared" si="67"/>
        <v>0</v>
      </c>
      <c r="P99" s="397">
        <f t="shared" si="67"/>
        <v>0</v>
      </c>
      <c r="Q99" s="397">
        <f t="shared" si="67"/>
        <v>0</v>
      </c>
      <c r="R99" s="397">
        <f t="shared" si="67"/>
        <v>0</v>
      </c>
      <c r="S99" s="397">
        <f t="shared" si="65"/>
        <v>0</v>
      </c>
      <c r="T99" s="397">
        <f t="shared" si="65"/>
        <v>0</v>
      </c>
      <c r="U99" s="397">
        <f t="shared" si="65"/>
        <v>0</v>
      </c>
      <c r="V99" s="397">
        <f t="shared" si="65"/>
        <v>0</v>
      </c>
      <c r="W99" s="397">
        <f t="shared" si="65"/>
        <v>0</v>
      </c>
      <c r="X99" s="397">
        <f t="shared" si="65"/>
        <v>0</v>
      </c>
      <c r="Y99" s="397">
        <f t="shared" si="65"/>
        <v>0</v>
      </c>
      <c r="Z99" s="397">
        <f t="shared" si="65"/>
        <v>0</v>
      </c>
      <c r="AA99" s="397">
        <f t="shared" si="65"/>
        <v>0</v>
      </c>
      <c r="AB99" s="397">
        <f t="shared" si="65"/>
        <v>0</v>
      </c>
      <c r="AC99" s="397">
        <f t="shared" si="65"/>
        <v>0</v>
      </c>
      <c r="AD99" s="397">
        <f t="shared" si="65"/>
        <v>0</v>
      </c>
      <c r="AE99" s="397">
        <f t="shared" si="65"/>
        <v>0</v>
      </c>
      <c r="AF99" s="397">
        <f t="shared" si="65"/>
        <v>0</v>
      </c>
      <c r="AG99" s="397">
        <f t="shared" si="65"/>
        <v>0</v>
      </c>
      <c r="AH99" s="397">
        <f t="shared" si="66"/>
        <v>0</v>
      </c>
      <c r="AI99" s="397">
        <f t="shared" si="66"/>
        <v>0</v>
      </c>
      <c r="AJ99" s="397">
        <f t="shared" si="66"/>
        <v>0</v>
      </c>
      <c r="AK99" s="397">
        <f t="shared" si="66"/>
        <v>0</v>
      </c>
      <c r="AL99" s="397">
        <f t="shared" si="66"/>
        <v>0</v>
      </c>
      <c r="AM99" s="397">
        <f t="shared" si="66"/>
        <v>0</v>
      </c>
      <c r="AN99" s="397">
        <f t="shared" si="66"/>
        <v>0</v>
      </c>
      <c r="AO99" s="397">
        <f t="shared" si="66"/>
        <v>0</v>
      </c>
      <c r="AP99" s="397">
        <f t="shared" si="66"/>
        <v>0</v>
      </c>
      <c r="AQ99" s="397">
        <f t="shared" si="66"/>
        <v>0</v>
      </c>
      <c r="AR99" s="397">
        <f t="shared" si="66"/>
        <v>0</v>
      </c>
      <c r="AS99" s="397">
        <f t="shared" si="66"/>
        <v>0</v>
      </c>
      <c r="AT99" s="397">
        <f t="shared" si="66"/>
        <v>0</v>
      </c>
      <c r="AU99" s="397">
        <f t="shared" si="66"/>
        <v>0</v>
      </c>
      <c r="AV99" s="397">
        <f t="shared" si="66"/>
        <v>0</v>
      </c>
      <c r="AW99" s="397">
        <f t="shared" si="66"/>
        <v>0</v>
      </c>
      <c r="AX99" s="397">
        <f t="shared" si="64"/>
        <v>0</v>
      </c>
      <c r="AY99" s="397">
        <f t="shared" si="64"/>
        <v>93.886459936467745</v>
      </c>
      <c r="AZ99" s="397">
        <f t="shared" si="64"/>
        <v>93.886459936467745</v>
      </c>
      <c r="BA99" s="397">
        <f t="shared" si="64"/>
        <v>93.886459936467745</v>
      </c>
    </row>
    <row r="100" spans="1:53">
      <c r="B100" s="398">
        <f t="shared" si="56"/>
        <v>2068</v>
      </c>
      <c r="C100" s="397">
        <f t="shared" si="67"/>
        <v>0</v>
      </c>
      <c r="D100" s="397">
        <f t="shared" si="67"/>
        <v>0</v>
      </c>
      <c r="E100" s="397">
        <f t="shared" si="67"/>
        <v>0</v>
      </c>
      <c r="F100" s="397">
        <f t="shared" si="67"/>
        <v>0</v>
      </c>
      <c r="G100" s="397">
        <f t="shared" si="67"/>
        <v>0</v>
      </c>
      <c r="H100" s="397">
        <f t="shared" si="67"/>
        <v>0</v>
      </c>
      <c r="I100" s="397">
        <f t="shared" si="67"/>
        <v>0</v>
      </c>
      <c r="J100" s="397">
        <f t="shared" si="67"/>
        <v>0</v>
      </c>
      <c r="K100" s="397">
        <f t="shared" si="67"/>
        <v>0</v>
      </c>
      <c r="L100" s="397">
        <f t="shared" si="67"/>
        <v>0</v>
      </c>
      <c r="M100" s="397">
        <f t="shared" si="67"/>
        <v>0</v>
      </c>
      <c r="N100" s="397">
        <f t="shared" si="67"/>
        <v>0</v>
      </c>
      <c r="O100" s="397">
        <f t="shared" si="67"/>
        <v>0</v>
      </c>
      <c r="P100" s="397">
        <f t="shared" si="67"/>
        <v>0</v>
      </c>
      <c r="Q100" s="397">
        <f t="shared" si="67"/>
        <v>0</v>
      </c>
      <c r="R100" s="397">
        <f t="shared" si="67"/>
        <v>0</v>
      </c>
      <c r="S100" s="397">
        <f t="shared" si="65"/>
        <v>0</v>
      </c>
      <c r="T100" s="397">
        <f t="shared" si="65"/>
        <v>0</v>
      </c>
      <c r="U100" s="397">
        <f t="shared" si="65"/>
        <v>0</v>
      </c>
      <c r="V100" s="397">
        <f t="shared" si="65"/>
        <v>0</v>
      </c>
      <c r="W100" s="397">
        <f t="shared" si="65"/>
        <v>0</v>
      </c>
      <c r="X100" s="397">
        <f t="shared" si="65"/>
        <v>0</v>
      </c>
      <c r="Y100" s="397">
        <f t="shared" si="65"/>
        <v>0</v>
      </c>
      <c r="Z100" s="397">
        <f t="shared" si="65"/>
        <v>0</v>
      </c>
      <c r="AA100" s="397">
        <f t="shared" si="65"/>
        <v>0</v>
      </c>
      <c r="AB100" s="397">
        <f t="shared" si="65"/>
        <v>0</v>
      </c>
      <c r="AC100" s="397">
        <f t="shared" si="65"/>
        <v>0</v>
      </c>
      <c r="AD100" s="397">
        <f t="shared" si="65"/>
        <v>0</v>
      </c>
      <c r="AE100" s="397">
        <f t="shared" si="65"/>
        <v>0</v>
      </c>
      <c r="AF100" s="397">
        <f t="shared" si="65"/>
        <v>0</v>
      </c>
      <c r="AG100" s="397">
        <f t="shared" si="65"/>
        <v>0</v>
      </c>
      <c r="AH100" s="397">
        <f t="shared" si="66"/>
        <v>0</v>
      </c>
      <c r="AI100" s="397">
        <f t="shared" si="66"/>
        <v>0</v>
      </c>
      <c r="AJ100" s="397">
        <f t="shared" si="66"/>
        <v>0</v>
      </c>
      <c r="AK100" s="397">
        <f t="shared" si="66"/>
        <v>0</v>
      </c>
      <c r="AL100" s="397">
        <f t="shared" si="66"/>
        <v>0</v>
      </c>
      <c r="AM100" s="397">
        <f t="shared" si="66"/>
        <v>0</v>
      </c>
      <c r="AN100" s="397">
        <f t="shared" si="66"/>
        <v>0</v>
      </c>
      <c r="AO100" s="397">
        <f t="shared" si="66"/>
        <v>0</v>
      </c>
      <c r="AP100" s="397">
        <f t="shared" si="66"/>
        <v>0</v>
      </c>
      <c r="AQ100" s="397">
        <f t="shared" si="66"/>
        <v>0</v>
      </c>
      <c r="AR100" s="397">
        <f t="shared" si="66"/>
        <v>0</v>
      </c>
      <c r="AS100" s="397">
        <f t="shared" si="66"/>
        <v>0</v>
      </c>
      <c r="AT100" s="397">
        <f t="shared" si="66"/>
        <v>0</v>
      </c>
      <c r="AU100" s="397">
        <f t="shared" si="66"/>
        <v>0</v>
      </c>
      <c r="AV100" s="397">
        <f t="shared" si="66"/>
        <v>0</v>
      </c>
      <c r="AW100" s="397">
        <f t="shared" si="66"/>
        <v>0</v>
      </c>
      <c r="AX100" s="397">
        <f t="shared" si="64"/>
        <v>0</v>
      </c>
      <c r="AY100" s="397">
        <f t="shared" si="64"/>
        <v>0</v>
      </c>
      <c r="AZ100" s="397">
        <f t="shared" si="64"/>
        <v>93.868174034531549</v>
      </c>
      <c r="BA100" s="397">
        <f t="shared" si="64"/>
        <v>93.868174034531549</v>
      </c>
    </row>
    <row r="101" spans="1:53">
      <c r="B101" s="398">
        <f t="shared" si="56"/>
        <v>2069</v>
      </c>
      <c r="C101" s="397">
        <f t="shared" si="67"/>
        <v>0</v>
      </c>
      <c r="D101" s="397">
        <f t="shared" si="67"/>
        <v>0</v>
      </c>
      <c r="E101" s="397">
        <f t="shared" si="67"/>
        <v>0</v>
      </c>
      <c r="F101" s="397">
        <f t="shared" si="67"/>
        <v>0</v>
      </c>
      <c r="G101" s="397">
        <f t="shared" si="67"/>
        <v>0</v>
      </c>
      <c r="H101" s="397">
        <f t="shared" si="67"/>
        <v>0</v>
      </c>
      <c r="I101" s="397">
        <f t="shared" si="67"/>
        <v>0</v>
      </c>
      <c r="J101" s="397">
        <f t="shared" si="67"/>
        <v>0</v>
      </c>
      <c r="K101" s="397">
        <f t="shared" si="67"/>
        <v>0</v>
      </c>
      <c r="L101" s="397">
        <f t="shared" si="67"/>
        <v>0</v>
      </c>
      <c r="M101" s="397">
        <f t="shared" si="67"/>
        <v>0</v>
      </c>
      <c r="N101" s="397">
        <f t="shared" si="67"/>
        <v>0</v>
      </c>
      <c r="O101" s="397">
        <f t="shared" si="67"/>
        <v>0</v>
      </c>
      <c r="P101" s="397">
        <f t="shared" si="67"/>
        <v>0</v>
      </c>
      <c r="Q101" s="397">
        <f t="shared" si="67"/>
        <v>0</v>
      </c>
      <c r="R101" s="397">
        <f t="shared" si="67"/>
        <v>0</v>
      </c>
      <c r="S101" s="397">
        <f t="shared" si="65"/>
        <v>0</v>
      </c>
      <c r="T101" s="397">
        <f t="shared" si="65"/>
        <v>0</v>
      </c>
      <c r="U101" s="397">
        <f t="shared" si="65"/>
        <v>0</v>
      </c>
      <c r="V101" s="397">
        <f t="shared" si="65"/>
        <v>0</v>
      </c>
      <c r="W101" s="397">
        <f t="shared" si="65"/>
        <v>0</v>
      </c>
      <c r="X101" s="397">
        <f t="shared" si="65"/>
        <v>0</v>
      </c>
      <c r="Y101" s="397">
        <f t="shared" si="65"/>
        <v>0</v>
      </c>
      <c r="Z101" s="397">
        <f t="shared" si="65"/>
        <v>0</v>
      </c>
      <c r="AA101" s="397">
        <f t="shared" si="65"/>
        <v>0</v>
      </c>
      <c r="AB101" s="397">
        <f t="shared" si="65"/>
        <v>0</v>
      </c>
      <c r="AC101" s="397">
        <f t="shared" si="65"/>
        <v>0</v>
      </c>
      <c r="AD101" s="397">
        <f t="shared" si="65"/>
        <v>0</v>
      </c>
      <c r="AE101" s="397">
        <f t="shared" si="65"/>
        <v>0</v>
      </c>
      <c r="AF101" s="397">
        <f t="shared" si="65"/>
        <v>0</v>
      </c>
      <c r="AG101" s="397">
        <f t="shared" si="65"/>
        <v>0</v>
      </c>
      <c r="AH101" s="397">
        <f t="shared" si="66"/>
        <v>0</v>
      </c>
      <c r="AI101" s="397">
        <f t="shared" si="66"/>
        <v>0</v>
      </c>
      <c r="AJ101" s="397">
        <f t="shared" si="66"/>
        <v>0</v>
      </c>
      <c r="AK101" s="397">
        <f t="shared" si="66"/>
        <v>0</v>
      </c>
      <c r="AL101" s="397">
        <f t="shared" si="66"/>
        <v>0</v>
      </c>
      <c r="AM101" s="397">
        <f t="shared" si="66"/>
        <v>0</v>
      </c>
      <c r="AN101" s="397">
        <f t="shared" si="66"/>
        <v>0</v>
      </c>
      <c r="AO101" s="397">
        <f t="shared" si="66"/>
        <v>0</v>
      </c>
      <c r="AP101" s="397">
        <f t="shared" si="66"/>
        <v>0</v>
      </c>
      <c r="AQ101" s="397">
        <f t="shared" si="66"/>
        <v>0</v>
      </c>
      <c r="AR101" s="397">
        <f t="shared" si="66"/>
        <v>0</v>
      </c>
      <c r="AS101" s="397">
        <f t="shared" si="66"/>
        <v>0</v>
      </c>
      <c r="AT101" s="397">
        <f t="shared" si="66"/>
        <v>0</v>
      </c>
      <c r="AU101" s="397">
        <f t="shared" si="66"/>
        <v>0</v>
      </c>
      <c r="AV101" s="397">
        <f t="shared" si="66"/>
        <v>0</v>
      </c>
      <c r="AW101" s="397">
        <f t="shared" si="66"/>
        <v>0</v>
      </c>
      <c r="AX101" s="397">
        <f t="shared" si="64"/>
        <v>0</v>
      </c>
      <c r="AY101" s="397">
        <f t="shared" si="64"/>
        <v>0</v>
      </c>
      <c r="AZ101" s="397">
        <f t="shared" si="64"/>
        <v>0</v>
      </c>
      <c r="BA101" s="397">
        <f t="shared" si="64"/>
        <v>93.846237979759806</v>
      </c>
    </row>
    <row r="102" spans="1:53">
      <c r="B102" s="398">
        <f t="shared" si="56"/>
        <v>2070</v>
      </c>
      <c r="C102" s="397">
        <f t="shared" si="67"/>
        <v>0</v>
      </c>
      <c r="D102" s="397">
        <f t="shared" si="67"/>
        <v>0</v>
      </c>
      <c r="E102" s="397">
        <f t="shared" si="67"/>
        <v>0</v>
      </c>
      <c r="F102" s="397">
        <f t="shared" si="67"/>
        <v>0</v>
      </c>
      <c r="G102" s="397">
        <f t="shared" si="67"/>
        <v>0</v>
      </c>
      <c r="H102" s="397">
        <f t="shared" si="67"/>
        <v>0</v>
      </c>
      <c r="I102" s="397">
        <f t="shared" si="67"/>
        <v>0</v>
      </c>
      <c r="J102" s="397">
        <f t="shared" si="67"/>
        <v>0</v>
      </c>
      <c r="K102" s="397">
        <f t="shared" si="67"/>
        <v>0</v>
      </c>
      <c r="L102" s="397">
        <f t="shared" si="67"/>
        <v>0</v>
      </c>
      <c r="M102" s="397">
        <f t="shared" si="67"/>
        <v>0</v>
      </c>
      <c r="N102" s="397">
        <f t="shared" si="67"/>
        <v>0</v>
      </c>
      <c r="O102" s="397">
        <f t="shared" si="67"/>
        <v>0</v>
      </c>
      <c r="P102" s="397">
        <f t="shared" si="67"/>
        <v>0</v>
      </c>
      <c r="Q102" s="397">
        <f t="shared" si="67"/>
        <v>0</v>
      </c>
      <c r="R102" s="397">
        <f t="shared" si="67"/>
        <v>0</v>
      </c>
      <c r="S102" s="397">
        <f t="shared" si="65"/>
        <v>0</v>
      </c>
      <c r="T102" s="397">
        <f t="shared" si="65"/>
        <v>0</v>
      </c>
      <c r="U102" s="397">
        <f t="shared" si="65"/>
        <v>0</v>
      </c>
      <c r="V102" s="397">
        <f t="shared" si="65"/>
        <v>0</v>
      </c>
      <c r="W102" s="397">
        <f t="shared" si="65"/>
        <v>0</v>
      </c>
      <c r="X102" s="397">
        <f t="shared" si="65"/>
        <v>0</v>
      </c>
      <c r="Y102" s="397">
        <f t="shared" si="65"/>
        <v>0</v>
      </c>
      <c r="Z102" s="397">
        <f t="shared" si="65"/>
        <v>0</v>
      </c>
      <c r="AA102" s="397">
        <f t="shared" si="65"/>
        <v>0</v>
      </c>
      <c r="AB102" s="397">
        <f t="shared" si="65"/>
        <v>0</v>
      </c>
      <c r="AC102" s="397">
        <f t="shared" si="65"/>
        <v>0</v>
      </c>
      <c r="AD102" s="397">
        <f t="shared" si="65"/>
        <v>0</v>
      </c>
      <c r="AE102" s="397">
        <f t="shared" si="65"/>
        <v>0</v>
      </c>
      <c r="AF102" s="397">
        <f t="shared" si="65"/>
        <v>0</v>
      </c>
      <c r="AG102" s="397">
        <f t="shared" si="65"/>
        <v>0</v>
      </c>
      <c r="AH102" s="397">
        <f t="shared" si="66"/>
        <v>0</v>
      </c>
      <c r="AI102" s="397">
        <f t="shared" si="66"/>
        <v>0</v>
      </c>
      <c r="AJ102" s="397">
        <f t="shared" si="66"/>
        <v>0</v>
      </c>
      <c r="AK102" s="397">
        <f t="shared" si="66"/>
        <v>0</v>
      </c>
      <c r="AL102" s="397">
        <f t="shared" si="66"/>
        <v>0</v>
      </c>
      <c r="AM102" s="397">
        <f t="shared" si="66"/>
        <v>0</v>
      </c>
      <c r="AN102" s="397">
        <f t="shared" si="66"/>
        <v>0</v>
      </c>
      <c r="AO102" s="397">
        <f t="shared" si="66"/>
        <v>0</v>
      </c>
      <c r="AP102" s="397">
        <f t="shared" si="66"/>
        <v>0</v>
      </c>
      <c r="AQ102" s="397">
        <f t="shared" si="66"/>
        <v>0</v>
      </c>
      <c r="AR102" s="397">
        <f t="shared" si="66"/>
        <v>0</v>
      </c>
      <c r="AS102" s="397">
        <f t="shared" si="66"/>
        <v>0</v>
      </c>
      <c r="AT102" s="397">
        <f t="shared" si="66"/>
        <v>0</v>
      </c>
      <c r="AU102" s="397">
        <f t="shared" si="66"/>
        <v>0</v>
      </c>
      <c r="AV102" s="397">
        <f t="shared" si="66"/>
        <v>0</v>
      </c>
      <c r="AW102" s="397">
        <f t="shared" si="66"/>
        <v>0</v>
      </c>
      <c r="AX102" s="397">
        <f t="shared" si="64"/>
        <v>0</v>
      </c>
      <c r="AY102" s="397">
        <f t="shared" si="64"/>
        <v>0</v>
      </c>
      <c r="AZ102" s="397">
        <f t="shared" si="64"/>
        <v>0</v>
      </c>
      <c r="BA102" s="397">
        <f t="shared" si="64"/>
        <v>0</v>
      </c>
    </row>
    <row r="103" spans="1:53">
      <c r="D103" s="395"/>
      <c r="E103" s="395"/>
      <c r="F103" s="395"/>
      <c r="G103" s="395"/>
      <c r="H103" s="395"/>
      <c r="I103" s="395"/>
      <c r="J103" s="395"/>
      <c r="K103" s="395"/>
      <c r="L103" s="395"/>
      <c r="M103" s="395"/>
      <c r="N103" s="395"/>
      <c r="O103" s="395"/>
      <c r="P103" s="395"/>
      <c r="Q103" s="395"/>
      <c r="R103" s="395"/>
      <c r="S103" s="395"/>
      <c r="T103" s="395"/>
      <c r="U103" s="395"/>
      <c r="V103" s="395"/>
      <c r="W103" s="395"/>
      <c r="X103" s="395"/>
      <c r="Y103" s="395"/>
      <c r="Z103" s="395"/>
      <c r="AA103" s="395"/>
      <c r="AB103" s="395"/>
      <c r="AC103" s="395"/>
      <c r="AD103" s="395"/>
      <c r="AE103" s="395"/>
      <c r="AF103" s="395"/>
    </row>
    <row r="104" spans="1:53" s="9" customFormat="1">
      <c r="B104" s="412" t="s">
        <v>2908</v>
      </c>
      <c r="C104" s="413">
        <f>SUM(C52:C102)</f>
        <v>0</v>
      </c>
      <c r="D104" s="413">
        <f t="shared" ref="D104:AO104" si="68">SUM(D52:D102)</f>
        <v>4.8590541916167656</v>
      </c>
      <c r="E104" s="413">
        <f t="shared" si="68"/>
        <v>9.884193068702583</v>
      </c>
      <c r="F104" s="413">
        <f t="shared" si="68"/>
        <v>15.051479973522245</v>
      </c>
      <c r="G104" s="413">
        <f t="shared" si="68"/>
        <v>20.344795164279436</v>
      </c>
      <c r="H104" s="413">
        <f t="shared" si="68"/>
        <v>111.94828507521837</v>
      </c>
      <c r="I104" s="413">
        <f t="shared" si="68"/>
        <v>193.30074448047799</v>
      </c>
      <c r="J104" s="413">
        <f t="shared" si="68"/>
        <v>268.64554054547432</v>
      </c>
      <c r="K104" s="413">
        <f t="shared" si="68"/>
        <v>340.65461274491003</v>
      </c>
      <c r="L104" s="413">
        <f t="shared" si="68"/>
        <v>411.1308571416547</v>
      </c>
      <c r="M104" s="413">
        <f t="shared" si="68"/>
        <v>481.13002421867401</v>
      </c>
      <c r="N104" s="413">
        <f t="shared" si="68"/>
        <v>546.41614870881631</v>
      </c>
      <c r="O104" s="413">
        <f t="shared" si="68"/>
        <v>612.09982189844231</v>
      </c>
      <c r="P104" s="413">
        <f t="shared" si="68"/>
        <v>678.39385797606462</v>
      </c>
      <c r="Q104" s="413">
        <f t="shared" si="68"/>
        <v>745.41034925606164</v>
      </c>
      <c r="R104" s="413">
        <f t="shared" si="68"/>
        <v>727.02687030474419</v>
      </c>
      <c r="S104" s="413">
        <f t="shared" si="68"/>
        <v>719.83650634897049</v>
      </c>
      <c r="T104" s="413">
        <f t="shared" si="68"/>
        <v>719.60390932740495</v>
      </c>
      <c r="U104" s="413">
        <f t="shared" si="68"/>
        <v>723.66816131077405</v>
      </c>
      <c r="V104" s="413">
        <f t="shared" si="68"/>
        <v>730.27302255505288</v>
      </c>
      <c r="W104" s="413">
        <f t="shared" si="68"/>
        <v>738.34934566380048</v>
      </c>
      <c r="X104" s="413">
        <f t="shared" si="68"/>
        <v>747.25026468764827</v>
      </c>
      <c r="Y104" s="413">
        <f t="shared" si="68"/>
        <v>756.55676891552434</v>
      </c>
      <c r="Z104" s="413">
        <f t="shared" si="68"/>
        <v>766.06600991962569</v>
      </c>
      <c r="AA104" s="413">
        <f t="shared" si="68"/>
        <v>775.65972515167618</v>
      </c>
      <c r="AB104" s="413">
        <f t="shared" si="68"/>
        <v>785.24889222734055</v>
      </c>
      <c r="AC104" s="413">
        <f t="shared" si="68"/>
        <v>794.7811590154646</v>
      </c>
      <c r="AD104" s="413">
        <f t="shared" si="68"/>
        <v>804.21752463937321</v>
      </c>
      <c r="AE104" s="413">
        <f t="shared" si="68"/>
        <v>813.50721122391428</v>
      </c>
      <c r="AF104" s="413">
        <f t="shared" si="68"/>
        <v>822.55835439614305</v>
      </c>
      <c r="AG104" s="413">
        <f t="shared" si="68"/>
        <v>831.34199929757381</v>
      </c>
      <c r="AH104" s="413">
        <f t="shared" si="68"/>
        <v>839.85765604491007</v>
      </c>
      <c r="AI104" s="413">
        <f t="shared" si="68"/>
        <v>848.08456019510447</v>
      </c>
      <c r="AJ104" s="413">
        <f t="shared" si="68"/>
        <v>856.02506804808149</v>
      </c>
      <c r="AK104" s="413">
        <f t="shared" si="68"/>
        <v>863.679873016241</v>
      </c>
      <c r="AL104" s="413">
        <f t="shared" si="68"/>
        <v>871.03755924948348</v>
      </c>
      <c r="AM104" s="413">
        <f t="shared" si="68"/>
        <v>878.07126847455845</v>
      </c>
      <c r="AN104" s="413">
        <f t="shared" si="68"/>
        <v>884.75805567146642</v>
      </c>
      <c r="AO104" s="413">
        <f t="shared" si="68"/>
        <v>891.0800815545449</v>
      </c>
      <c r="AP104" s="413">
        <f t="shared" ref="AP104:AZ104" si="69">SUM(AP52:AP102)</f>
        <v>897.02220096932444</v>
      </c>
      <c r="AQ104" s="413">
        <f t="shared" si="69"/>
        <v>902.59629262350404</v>
      </c>
      <c r="AR104" s="413">
        <f t="shared" si="69"/>
        <v>907.82211935566738</v>
      </c>
      <c r="AS104" s="413">
        <f t="shared" si="69"/>
        <v>912.73498779025613</v>
      </c>
      <c r="AT104" s="413">
        <f t="shared" si="69"/>
        <v>917.24926160036773</v>
      </c>
      <c r="AU104" s="413">
        <f t="shared" si="69"/>
        <v>921.32461477615743</v>
      </c>
      <c r="AV104" s="413">
        <f t="shared" si="69"/>
        <v>924.96038450160461</v>
      </c>
      <c r="AW104" s="413">
        <f t="shared" si="69"/>
        <v>928.10628943566189</v>
      </c>
      <c r="AX104" s="413">
        <f t="shared" si="69"/>
        <v>930.76418059949901</v>
      </c>
      <c r="AY104" s="413">
        <f t="shared" si="69"/>
        <v>932.96560388554246</v>
      </c>
      <c r="AZ104" s="413">
        <f t="shared" si="69"/>
        <v>934.75940969204203</v>
      </c>
      <c r="BA104" s="413">
        <f t="shared" ref="BA104" si="70">SUM(BA52:BA102)</f>
        <v>936.17242093042466</v>
      </c>
    </row>
    <row r="105" spans="1:53">
      <c r="D105" s="395"/>
      <c r="E105" s="395"/>
      <c r="F105" s="395"/>
      <c r="G105" s="395"/>
      <c r="H105" s="395"/>
      <c r="I105" s="395"/>
      <c r="J105" s="395"/>
      <c r="K105" s="395"/>
      <c r="L105" s="395"/>
      <c r="M105" s="395"/>
      <c r="N105" s="395"/>
      <c r="O105" s="395"/>
      <c r="P105" s="395"/>
      <c r="Q105" s="395"/>
      <c r="R105" s="395"/>
      <c r="S105" s="395"/>
      <c r="T105" s="395"/>
      <c r="U105" s="395"/>
      <c r="V105" s="395"/>
      <c r="W105" s="395"/>
      <c r="X105" s="395"/>
      <c r="Y105" s="395"/>
      <c r="Z105" s="395"/>
      <c r="AA105" s="395"/>
      <c r="AB105" s="395"/>
      <c r="AC105" s="395"/>
      <c r="AD105" s="395"/>
      <c r="AE105" s="395"/>
      <c r="AF105" s="395"/>
      <c r="AG105" s="395"/>
      <c r="AH105" s="395"/>
      <c r="AI105" s="395"/>
      <c r="AJ105" s="395"/>
      <c r="AK105" s="395"/>
      <c r="AL105" s="395"/>
      <c r="AM105" s="395"/>
      <c r="AN105" s="395"/>
      <c r="AO105" s="395"/>
    </row>
    <row r="106" spans="1:53">
      <c r="D106" s="395"/>
      <c r="E106" s="395"/>
      <c r="F106" s="395"/>
      <c r="G106" s="395"/>
      <c r="H106" s="395"/>
      <c r="I106" s="395"/>
      <c r="J106" s="395"/>
      <c r="K106" s="395"/>
      <c r="L106" s="395"/>
      <c r="M106" s="395"/>
      <c r="N106" s="395"/>
      <c r="O106" s="395"/>
      <c r="P106" s="395"/>
      <c r="Q106" s="395"/>
      <c r="R106" s="395"/>
      <c r="S106" s="395"/>
      <c r="T106" s="395"/>
      <c r="U106" s="395"/>
      <c r="V106" s="395"/>
      <c r="W106" s="395"/>
      <c r="X106" s="395"/>
      <c r="Y106" s="395"/>
      <c r="Z106" s="395"/>
      <c r="AA106" s="395"/>
      <c r="AB106" s="395"/>
      <c r="AC106" s="395"/>
      <c r="AD106" s="395"/>
      <c r="AE106" s="395"/>
      <c r="AF106" s="395"/>
      <c r="AG106" s="395"/>
      <c r="AH106" s="395"/>
      <c r="AI106" s="395"/>
      <c r="AJ106" s="395"/>
      <c r="AK106" s="395"/>
      <c r="AL106" s="395"/>
      <c r="AM106" s="395"/>
      <c r="AN106" s="395"/>
      <c r="AO106" s="395"/>
    </row>
    <row r="107" spans="1:53">
      <c r="D107" s="395"/>
      <c r="E107" s="395"/>
      <c r="F107" s="395"/>
      <c r="G107" s="395"/>
      <c r="H107" s="395"/>
      <c r="I107" s="395"/>
      <c r="J107" s="395"/>
      <c r="K107" s="395"/>
      <c r="L107" s="395"/>
      <c r="M107" s="395"/>
      <c r="N107" s="395"/>
      <c r="O107" s="395"/>
      <c r="P107" s="395"/>
      <c r="Q107" s="395"/>
      <c r="R107" s="395"/>
      <c r="S107" s="395"/>
      <c r="T107" s="395"/>
      <c r="U107" s="395"/>
      <c r="V107" s="395"/>
      <c r="W107" s="395"/>
      <c r="X107" s="395"/>
      <c r="Y107" s="395"/>
      <c r="Z107" s="395"/>
      <c r="AA107" s="395"/>
      <c r="AB107" s="395"/>
      <c r="AC107" s="395"/>
      <c r="AD107" s="395"/>
      <c r="AE107" s="395"/>
      <c r="AF107" s="395"/>
      <c r="AG107" s="395"/>
      <c r="AH107" s="395"/>
      <c r="AI107" s="395"/>
      <c r="AJ107" s="395"/>
      <c r="AK107" s="395"/>
      <c r="AL107" s="395"/>
      <c r="AM107" s="395"/>
      <c r="AN107" s="395"/>
      <c r="AO107" s="395"/>
    </row>
    <row r="108" spans="1:53" s="588" customFormat="1">
      <c r="A108" s="593" t="s">
        <v>3401</v>
      </c>
    </row>
    <row r="109" spans="1:53">
      <c r="A109" s="9"/>
      <c r="B109" s="9"/>
    </row>
    <row r="110" spans="1:53">
      <c r="A110" s="9" t="s">
        <v>10</v>
      </c>
      <c r="B110" s="9" t="s">
        <v>2934</v>
      </c>
    </row>
    <row r="111" spans="1:53">
      <c r="A111" s="9"/>
      <c r="B111" s="9"/>
    </row>
    <row r="112" spans="1:53">
      <c r="A112" s="9"/>
      <c r="B112" s="9"/>
    </row>
    <row r="113" spans="1:53">
      <c r="A113" s="9"/>
      <c r="B113" s="12" t="s">
        <v>2531</v>
      </c>
      <c r="C113" s="24">
        <f>Epidemiology!C120</f>
        <v>0.47499999999999998</v>
      </c>
    </row>
    <row r="114" spans="1:53">
      <c r="A114" s="9"/>
      <c r="B114" s="9"/>
    </row>
    <row r="115" spans="1:53">
      <c r="A115" s="9"/>
      <c r="B115" s="4"/>
      <c r="C115" s="34">
        <f>'Prevalence projection'!C65</f>
        <v>2020</v>
      </c>
      <c r="D115" s="34">
        <f>'Prevalence projection'!D65</f>
        <v>2021</v>
      </c>
      <c r="E115" s="34">
        <f>'Prevalence projection'!E65</f>
        <v>2022</v>
      </c>
      <c r="F115" s="34">
        <f>'Prevalence projection'!F65</f>
        <v>2023</v>
      </c>
      <c r="G115" s="34">
        <f>'Prevalence projection'!G65</f>
        <v>2024</v>
      </c>
      <c r="H115" s="34">
        <f>'Prevalence projection'!H65</f>
        <v>2025</v>
      </c>
      <c r="I115" s="34">
        <f>'Prevalence projection'!I65</f>
        <v>2026</v>
      </c>
      <c r="J115" s="34">
        <f>'Prevalence projection'!J65</f>
        <v>2027</v>
      </c>
      <c r="K115" s="34">
        <f>'Prevalence projection'!K65</f>
        <v>2028</v>
      </c>
      <c r="L115" s="34">
        <f>'Prevalence projection'!L65</f>
        <v>2029</v>
      </c>
      <c r="M115" s="34">
        <f>'Prevalence projection'!M65</f>
        <v>2030</v>
      </c>
      <c r="N115" s="34">
        <f>'Prevalence projection'!N65</f>
        <v>2031</v>
      </c>
      <c r="O115" s="34">
        <f>'Prevalence projection'!O65</f>
        <v>2032</v>
      </c>
      <c r="P115" s="34">
        <f>'Prevalence projection'!P65</f>
        <v>2033</v>
      </c>
      <c r="Q115" s="34">
        <f>'Prevalence projection'!Q65</f>
        <v>2034</v>
      </c>
      <c r="R115" s="34">
        <f>'Prevalence projection'!R65</f>
        <v>2035</v>
      </c>
      <c r="S115" s="34">
        <f>'Prevalence projection'!S65</f>
        <v>2036</v>
      </c>
      <c r="T115" s="34">
        <f>'Prevalence projection'!T65</f>
        <v>2037</v>
      </c>
      <c r="U115" s="34">
        <f>'Prevalence projection'!U65</f>
        <v>2038</v>
      </c>
      <c r="V115" s="34">
        <f>'Prevalence projection'!V65</f>
        <v>2039</v>
      </c>
      <c r="W115" s="34">
        <f>'Prevalence projection'!W65</f>
        <v>2040</v>
      </c>
      <c r="X115" s="34">
        <f>'Prevalence projection'!X65</f>
        <v>2041</v>
      </c>
      <c r="Y115" s="34">
        <f>'Prevalence projection'!Y65</f>
        <v>2042</v>
      </c>
      <c r="Z115" s="34">
        <f>'Prevalence projection'!Z65</f>
        <v>2043</v>
      </c>
      <c r="AA115" s="34">
        <f>'Prevalence projection'!AA65</f>
        <v>2044</v>
      </c>
      <c r="AB115" s="34">
        <f>'Prevalence projection'!AB65</f>
        <v>2045</v>
      </c>
      <c r="AC115" s="34">
        <f>'Prevalence projection'!AC65</f>
        <v>2046</v>
      </c>
      <c r="AD115" s="34">
        <f>'Prevalence projection'!AD65</f>
        <v>2047</v>
      </c>
      <c r="AE115" s="34">
        <f>'Prevalence projection'!AE65</f>
        <v>2048</v>
      </c>
      <c r="AF115" s="34">
        <f>'Prevalence projection'!AF65</f>
        <v>2049</v>
      </c>
      <c r="AG115" s="34">
        <f>'Prevalence projection'!AG65</f>
        <v>2050</v>
      </c>
      <c r="AH115" s="34">
        <f>'Prevalence projection'!AH65</f>
        <v>2051</v>
      </c>
      <c r="AI115" s="34">
        <f>'Prevalence projection'!AI65</f>
        <v>2052</v>
      </c>
      <c r="AJ115" s="34">
        <f>'Prevalence projection'!AJ65</f>
        <v>2053</v>
      </c>
      <c r="AK115" s="34">
        <f>'Prevalence projection'!AK65</f>
        <v>2054</v>
      </c>
      <c r="AL115" s="34">
        <f>'Prevalence projection'!AL65</f>
        <v>2055</v>
      </c>
      <c r="AM115" s="34">
        <f>'Prevalence projection'!AM65</f>
        <v>2056</v>
      </c>
      <c r="AN115" s="34">
        <f>'Prevalence projection'!AN65</f>
        <v>2057</v>
      </c>
      <c r="AO115" s="34">
        <f>'Prevalence projection'!AO65</f>
        <v>2058</v>
      </c>
      <c r="AP115" s="34">
        <f>'Prevalence projection'!AP65</f>
        <v>2059</v>
      </c>
      <c r="AQ115" s="34">
        <f>'Prevalence projection'!AQ65</f>
        <v>2060</v>
      </c>
      <c r="AR115" s="34">
        <f>'Prevalence projection'!AR65</f>
        <v>2061</v>
      </c>
      <c r="AS115" s="34">
        <f>'Prevalence projection'!AS65</f>
        <v>2062</v>
      </c>
      <c r="AT115" s="34">
        <f>'Prevalence projection'!AT65</f>
        <v>2063</v>
      </c>
      <c r="AU115" s="34">
        <f>'Prevalence projection'!AU65</f>
        <v>2064</v>
      </c>
      <c r="AV115" s="34">
        <f>'Prevalence projection'!AV65</f>
        <v>2065</v>
      </c>
      <c r="AW115" s="34">
        <f>'Prevalence projection'!AW65</f>
        <v>2066</v>
      </c>
      <c r="AX115" s="34">
        <f>'Prevalence projection'!AX65</f>
        <v>2067</v>
      </c>
      <c r="AY115" s="34">
        <f>'Prevalence projection'!AY65</f>
        <v>2068</v>
      </c>
      <c r="AZ115" s="34">
        <f>'Prevalence projection'!AZ65</f>
        <v>2069</v>
      </c>
      <c r="BA115" s="34">
        <f>'Prevalence projection'!BA65</f>
        <v>2070</v>
      </c>
    </row>
    <row r="116" spans="1:53">
      <c r="A116" s="9"/>
      <c r="B116" s="12" t="s">
        <v>2980</v>
      </c>
      <c r="C116" s="39">
        <f>'Prevalence projection INT'!C70</f>
        <v>34.65</v>
      </c>
      <c r="D116" s="39">
        <f>'Prevalence projection INT'!D70</f>
        <v>35.981926006754605</v>
      </c>
      <c r="E116" s="39">
        <f>'Prevalence projection INT'!E70</f>
        <v>37.132194096863678</v>
      </c>
      <c r="F116" s="39">
        <f>'Prevalence projection INT'!F70</f>
        <v>38.153417487819254</v>
      </c>
      <c r="G116" s="39">
        <f>'Prevalence projection INT'!G70</f>
        <v>57.978088789740738</v>
      </c>
      <c r="H116" s="39">
        <f>'Prevalence projection INT'!H70</f>
        <v>53.122609466420727</v>
      </c>
      <c r="I116" s="39">
        <f>'Prevalence projection INT'!I70</f>
        <v>50.060722290181246</v>
      </c>
      <c r="J116" s="39">
        <f>'Prevalence projection INT'!J70</f>
        <v>48.22444015874467</v>
      </c>
      <c r="K116" s="39">
        <f>'Prevalence projection INT'!K70</f>
        <v>47.299207754387567</v>
      </c>
      <c r="L116" s="39">
        <f>'Prevalence projection INT'!L70</f>
        <v>46.948141002851088</v>
      </c>
      <c r="M116" s="39">
        <f>'Prevalence projection INT'!M70</f>
        <v>46.963738972880734</v>
      </c>
      <c r="N116" s="39">
        <f>'Prevalence projection INT'!N70</f>
        <v>47.240587946547421</v>
      </c>
      <c r="O116" s="39">
        <f>'Prevalence projection INT'!O70</f>
        <v>47.657206530955484</v>
      </c>
      <c r="P116" s="39">
        <f>'Prevalence projection INT'!P70</f>
        <v>48.158218264005924</v>
      </c>
      <c r="Q116" s="39">
        <f>'Prevalence projection INT'!Q70</f>
        <v>48.718301308151908</v>
      </c>
      <c r="R116" s="39">
        <f>'Prevalence projection INT'!R70</f>
        <v>49.314279781651109</v>
      </c>
      <c r="S116" s="39">
        <f>'Prevalence projection INT'!S70</f>
        <v>49.92612335466869</v>
      </c>
      <c r="T116" s="39">
        <f>'Prevalence projection INT'!T70</f>
        <v>50.551546308116841</v>
      </c>
      <c r="U116" s="39">
        <f>'Prevalence projection INT'!U70</f>
        <v>51.210151702769224</v>
      </c>
      <c r="V116" s="39">
        <f>'Prevalence projection INT'!V70</f>
        <v>51.866013047312094</v>
      </c>
      <c r="W116" s="39">
        <f>'Prevalence projection INT'!W70</f>
        <v>52.510738640680771</v>
      </c>
      <c r="X116" s="39">
        <f>'Prevalence projection INT'!X70</f>
        <v>53.154601328192385</v>
      </c>
      <c r="Y116" s="39">
        <f>'Prevalence projection INT'!Y70</f>
        <v>53.792100562258952</v>
      </c>
      <c r="Z116" s="39">
        <f>'Prevalence projection INT'!Z70</f>
        <v>54.417486179466771</v>
      </c>
      <c r="AA116" s="39">
        <f>'Prevalence projection INT'!AA70</f>
        <v>55.026660134621395</v>
      </c>
      <c r="AB116" s="39">
        <f>'Prevalence projection INT'!AB70</f>
        <v>55.622247481124234</v>
      </c>
      <c r="AC116" s="39">
        <f>'Prevalence projection INT'!AC70</f>
        <v>56.198271337946395</v>
      </c>
      <c r="AD116" s="39">
        <f>'Prevalence projection INT'!AD70</f>
        <v>56.749504150914944</v>
      </c>
      <c r="AE116" s="39">
        <f>'Prevalence projection INT'!AE70</f>
        <v>57.272335565766419</v>
      </c>
      <c r="AF116" s="39">
        <f>'Prevalence projection INT'!AF70</f>
        <v>57.768057073654752</v>
      </c>
      <c r="AG116" s="39">
        <f>'Prevalence projection INT'!AG70</f>
        <v>58.247113795125912</v>
      </c>
      <c r="AH116" s="39">
        <f>'Prevalence projection INT'!AH70</f>
        <v>58.710782880444036</v>
      </c>
      <c r="AI116" s="39">
        <f>'Prevalence projection INT'!AI70</f>
        <v>59.165175860966961</v>
      </c>
      <c r="AJ116" s="39">
        <f>'Prevalence projection INT'!AJ70</f>
        <v>59.604046803491933</v>
      </c>
      <c r="AK116" s="39">
        <f>'Prevalence projection INT'!AK70</f>
        <v>60.017693694697527</v>
      </c>
      <c r="AL116" s="39">
        <f>'Prevalence projection INT'!AL70</f>
        <v>60.400845668497197</v>
      </c>
      <c r="AM116" s="39">
        <f>'Prevalence projection INT'!AM70</f>
        <v>60.750232007089267</v>
      </c>
      <c r="AN116" s="39">
        <f>'Prevalence projection INT'!AN70</f>
        <v>61.063400612163242</v>
      </c>
      <c r="AO116" s="39">
        <f>'Prevalence projection INT'!AO70</f>
        <v>61.338093993905495</v>
      </c>
      <c r="AP116" s="39">
        <f>'Prevalence projection INT'!AP70</f>
        <v>61.591101641874147</v>
      </c>
      <c r="AQ116" s="39">
        <f>'Prevalence projection INT'!AQ70</f>
        <v>61.83806953762064</v>
      </c>
      <c r="AR116" s="39">
        <f>'Prevalence projection INT'!AR70</f>
        <v>62.090271448320145</v>
      </c>
      <c r="AS116" s="39">
        <f>'Prevalence projection INT'!AS70</f>
        <v>62.281798785180541</v>
      </c>
      <c r="AT116" s="39">
        <f>'Prevalence projection INT'!AT70</f>
        <v>62.43241894269611</v>
      </c>
      <c r="AU116" s="39">
        <f>'Prevalence projection INT'!AU70</f>
        <v>62.555578389471577</v>
      </c>
      <c r="AV116" s="39">
        <f>'Prevalence projection INT'!AV70</f>
        <v>62.621541015450752</v>
      </c>
      <c r="AW116" s="39">
        <f>'Prevalence projection INT'!AW70</f>
        <v>62.652869701880967</v>
      </c>
      <c r="AX116" s="39">
        <f>'Prevalence projection INT'!AX70</f>
        <v>62.663830138966034</v>
      </c>
      <c r="AY116" s="39">
        <f>'Prevalence projection INT'!AY70</f>
        <v>62.663342196922969</v>
      </c>
      <c r="AZ116" s="39">
        <f>'Prevalence projection INT'!AZ70</f>
        <v>62.656895391213148</v>
      </c>
      <c r="BA116" s="39">
        <f>'Prevalence projection INT'!BA70</f>
        <v>62.647792140206477</v>
      </c>
    </row>
    <row r="117" spans="1:53">
      <c r="A117" s="9"/>
      <c r="B117" s="12" t="s">
        <v>2904</v>
      </c>
      <c r="C117" s="39">
        <f>C116*(1-$C$16)</f>
        <v>18.19125</v>
      </c>
      <c r="D117" s="39">
        <f t="shared" ref="D117:AE117" si="71">D116*(1-$C$16)</f>
        <v>18.890511153546168</v>
      </c>
      <c r="E117" s="39">
        <f t="shared" si="71"/>
        <v>19.494401900853433</v>
      </c>
      <c r="F117" s="39">
        <f t="shared" si="71"/>
        <v>20.03054418110511</v>
      </c>
      <c r="G117" s="39">
        <f t="shared" si="71"/>
        <v>30.438496614613889</v>
      </c>
      <c r="H117" s="39">
        <f t="shared" si="71"/>
        <v>27.889369969870884</v>
      </c>
      <c r="I117" s="39">
        <f t="shared" si="71"/>
        <v>26.281879202345156</v>
      </c>
      <c r="J117" s="39">
        <f t="shared" si="71"/>
        <v>25.317831083340952</v>
      </c>
      <c r="K117" s="39">
        <f t="shared" si="71"/>
        <v>24.832084071053472</v>
      </c>
      <c r="L117" s="39">
        <f t="shared" si="71"/>
        <v>24.647774026496823</v>
      </c>
      <c r="M117" s="39">
        <f t="shared" si="71"/>
        <v>24.655962960762388</v>
      </c>
      <c r="N117" s="39">
        <f t="shared" si="71"/>
        <v>24.801308671937399</v>
      </c>
      <c r="O117" s="39">
        <f t="shared" si="71"/>
        <v>25.020033428751631</v>
      </c>
      <c r="P117" s="39">
        <f t="shared" si="71"/>
        <v>25.283064588603111</v>
      </c>
      <c r="Q117" s="39">
        <f t="shared" si="71"/>
        <v>25.577108186779753</v>
      </c>
      <c r="R117" s="39">
        <f t="shared" si="71"/>
        <v>25.889996885366834</v>
      </c>
      <c r="S117" s="39">
        <f t="shared" si="71"/>
        <v>26.211214761201063</v>
      </c>
      <c r="T117" s="39">
        <f t="shared" si="71"/>
        <v>26.539561811761342</v>
      </c>
      <c r="U117" s="39">
        <f t="shared" si="71"/>
        <v>26.885329643953845</v>
      </c>
      <c r="V117" s="39">
        <f t="shared" si="71"/>
        <v>27.22965684983885</v>
      </c>
      <c r="W117" s="39">
        <f t="shared" si="71"/>
        <v>27.568137786357404</v>
      </c>
      <c r="X117" s="39">
        <f t="shared" si="71"/>
        <v>27.906165697301002</v>
      </c>
      <c r="Y117" s="39">
        <f t="shared" si="71"/>
        <v>28.240852795185951</v>
      </c>
      <c r="Z117" s="39">
        <f t="shared" si="71"/>
        <v>28.569180244220057</v>
      </c>
      <c r="AA117" s="39">
        <f t="shared" si="71"/>
        <v>28.888996570676234</v>
      </c>
      <c r="AB117" s="39">
        <f t="shared" si="71"/>
        <v>29.201679927590224</v>
      </c>
      <c r="AC117" s="39">
        <f t="shared" si="71"/>
        <v>29.504092452421858</v>
      </c>
      <c r="AD117" s="39">
        <f t="shared" si="71"/>
        <v>29.793489679230348</v>
      </c>
      <c r="AE117" s="39">
        <f t="shared" si="71"/>
        <v>30.067976172027372</v>
      </c>
      <c r="AF117" s="39">
        <f t="shared" ref="AF117:AO117" si="72">AF116*(1-$C$16)</f>
        <v>30.328229963668747</v>
      </c>
      <c r="AG117" s="39">
        <f t="shared" si="72"/>
        <v>30.579734742441104</v>
      </c>
      <c r="AH117" s="39">
        <f t="shared" si="72"/>
        <v>30.823161012233122</v>
      </c>
      <c r="AI117" s="39">
        <f t="shared" si="72"/>
        <v>31.061717327007656</v>
      </c>
      <c r="AJ117" s="39">
        <f t="shared" si="72"/>
        <v>31.292124571833266</v>
      </c>
      <c r="AK117" s="39">
        <f t="shared" si="72"/>
        <v>31.509289189716203</v>
      </c>
      <c r="AL117" s="39">
        <f t="shared" si="72"/>
        <v>31.710443975961031</v>
      </c>
      <c r="AM117" s="39">
        <f t="shared" si="72"/>
        <v>31.893871803721865</v>
      </c>
      <c r="AN117" s="39">
        <f t="shared" si="72"/>
        <v>32.058285321385704</v>
      </c>
      <c r="AO117" s="39">
        <f t="shared" si="72"/>
        <v>32.202499346800387</v>
      </c>
      <c r="AP117" s="39">
        <f t="shared" ref="AP117:BA117" si="73">AP116*(1-$C$16)</f>
        <v>32.335328361983926</v>
      </c>
      <c r="AQ117" s="39">
        <f t="shared" si="73"/>
        <v>32.464986507250835</v>
      </c>
      <c r="AR117" s="39">
        <f t="shared" si="73"/>
        <v>32.597392510368074</v>
      </c>
      <c r="AS117" s="39">
        <f t="shared" si="73"/>
        <v>32.697944362219786</v>
      </c>
      <c r="AT117" s="39">
        <f t="shared" si="73"/>
        <v>32.777019944915459</v>
      </c>
      <c r="AU117" s="39">
        <f t="shared" si="73"/>
        <v>32.841678654472581</v>
      </c>
      <c r="AV117" s="39">
        <f t="shared" si="73"/>
        <v>32.876309033111646</v>
      </c>
      <c r="AW117" s="39">
        <f t="shared" si="73"/>
        <v>32.892756593487512</v>
      </c>
      <c r="AX117" s="39">
        <f t="shared" si="73"/>
        <v>32.898510822957171</v>
      </c>
      <c r="AY117" s="39">
        <f t="shared" si="73"/>
        <v>32.898254653384562</v>
      </c>
      <c r="AZ117" s="39">
        <f t="shared" si="73"/>
        <v>32.894870080386902</v>
      </c>
      <c r="BA117" s="39">
        <f t="shared" si="73"/>
        <v>32.890090873608401</v>
      </c>
    </row>
    <row r="118" spans="1:53">
      <c r="A118" s="9"/>
      <c r="B118" s="63"/>
      <c r="C118" s="64"/>
      <c r="D118" s="706"/>
      <c r="E118" s="706"/>
      <c r="F118" s="706"/>
      <c r="G118" s="706"/>
      <c r="H118" s="706"/>
      <c r="I118" s="706"/>
      <c r="J118" s="706"/>
      <c r="K118" s="706"/>
      <c r="L118" s="706"/>
      <c r="M118" s="706"/>
      <c r="N118" s="706"/>
      <c r="O118" s="706"/>
      <c r="P118" s="706"/>
      <c r="Q118" s="706"/>
      <c r="R118" s="64"/>
      <c r="S118" s="64"/>
      <c r="T118" s="64"/>
      <c r="U118" s="64"/>
      <c r="V118" s="64"/>
      <c r="W118" s="64"/>
      <c r="X118" s="64"/>
      <c r="Y118" s="64"/>
      <c r="Z118" s="64"/>
      <c r="AA118" s="64"/>
      <c r="AB118" s="64"/>
      <c r="AC118" s="64"/>
      <c r="AD118" s="64"/>
      <c r="AE118" s="64"/>
      <c r="AF118" s="64"/>
      <c r="AG118" s="64"/>
      <c r="AH118" s="64"/>
      <c r="AI118" s="64"/>
      <c r="AJ118" s="64"/>
      <c r="AK118" s="64"/>
      <c r="AL118" s="64"/>
      <c r="AM118" s="64"/>
      <c r="AN118" s="64"/>
      <c r="AO118" s="64"/>
      <c r="AP118" s="64"/>
      <c r="AQ118" s="64"/>
      <c r="AR118" s="64"/>
      <c r="AS118" s="64"/>
      <c r="AT118" s="64"/>
      <c r="AU118" s="64"/>
      <c r="AV118" s="64"/>
      <c r="AW118" s="64"/>
      <c r="AX118" s="64"/>
      <c r="AY118" s="64"/>
      <c r="AZ118" s="64"/>
      <c r="BA118" s="64"/>
    </row>
    <row r="119" spans="1:53">
      <c r="A119" s="9"/>
      <c r="C119" s="705" t="s">
        <v>20</v>
      </c>
      <c r="D119" s="64"/>
      <c r="E119" s="537" t="s">
        <v>3200</v>
      </c>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AC119" s="64"/>
      <c r="AD119" s="64"/>
      <c r="AE119" s="64"/>
      <c r="AF119" s="64"/>
      <c r="AG119" s="64"/>
      <c r="AH119" s="64"/>
      <c r="AI119" s="64"/>
      <c r="AJ119" s="64"/>
      <c r="AK119" s="64"/>
      <c r="AL119" s="64"/>
      <c r="AM119" s="64"/>
      <c r="AN119" s="64"/>
      <c r="AO119" s="64"/>
      <c r="AP119" s="64"/>
      <c r="AQ119" s="64"/>
      <c r="AR119" s="64"/>
      <c r="AS119" s="64"/>
      <c r="AT119" s="64"/>
      <c r="AU119" s="64"/>
      <c r="AV119" s="64"/>
      <c r="AW119" s="64"/>
      <c r="AX119" s="64"/>
      <c r="AY119" s="64"/>
      <c r="AZ119" s="64"/>
      <c r="BA119" s="64"/>
    </row>
    <row r="120" spans="1:53" ht="29">
      <c r="A120" s="9"/>
      <c r="B120" s="347" t="s">
        <v>3212</v>
      </c>
      <c r="C120" s="391">
        <f>'Control Assumptions'!E219*'Control Assumptions'!C163</f>
        <v>3.6165803108808285E-2</v>
      </c>
      <c r="D120" s="538"/>
      <c r="E120" s="391">
        <f>'Control Assumptions'!C225*SUM('Control Assumptions'!C172)</f>
        <v>0.76500000000000001</v>
      </c>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AC120" s="64"/>
      <c r="AD120" s="64"/>
      <c r="AE120" s="64"/>
      <c r="AF120" s="64"/>
      <c r="AG120" s="64"/>
      <c r="AH120" s="64"/>
      <c r="AI120" s="64"/>
      <c r="AJ120" s="64"/>
      <c r="AK120" s="64"/>
      <c r="AL120" s="64"/>
      <c r="AM120" s="64"/>
      <c r="AN120" s="64"/>
      <c r="AO120" s="64"/>
      <c r="AP120" s="64"/>
      <c r="AQ120" s="64"/>
      <c r="AR120" s="64"/>
      <c r="AS120" s="64"/>
      <c r="AT120" s="64"/>
      <c r="AU120" s="64"/>
      <c r="AV120" s="64"/>
      <c r="AW120" s="64"/>
      <c r="AX120" s="64"/>
      <c r="AY120" s="64"/>
      <c r="AZ120" s="64"/>
      <c r="BA120" s="64"/>
    </row>
    <row r="121" spans="1:53">
      <c r="A121" s="9"/>
      <c r="B121" s="63"/>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c r="AA121" s="64"/>
      <c r="AB121" s="64"/>
      <c r="AC121" s="64"/>
      <c r="AD121" s="64"/>
      <c r="AE121" s="64"/>
      <c r="AF121" s="64"/>
      <c r="AG121" s="64"/>
      <c r="AH121" s="64"/>
      <c r="AI121" s="64"/>
      <c r="AJ121" s="64"/>
      <c r="AK121" s="64"/>
      <c r="AL121" s="64"/>
      <c r="AM121" s="64"/>
      <c r="AN121" s="64"/>
      <c r="AO121" s="64"/>
      <c r="AP121" s="64"/>
      <c r="AQ121" s="64"/>
      <c r="AR121" s="64"/>
      <c r="AS121" s="64"/>
      <c r="AT121" s="64"/>
      <c r="AU121" s="64"/>
      <c r="AV121" s="64"/>
      <c r="AW121" s="64"/>
      <c r="AX121" s="64"/>
      <c r="AY121" s="64"/>
      <c r="AZ121" s="64"/>
      <c r="BA121" s="64"/>
    </row>
    <row r="122" spans="1:53">
      <c r="A122" s="9"/>
      <c r="B122" s="4"/>
    </row>
    <row r="123" spans="1:53">
      <c r="B123" s="34"/>
      <c r="C123" s="386">
        <f>'Prevalence projection'!C$21</f>
        <v>2020</v>
      </c>
      <c r="D123" s="386">
        <f t="shared" ref="D123:AE123" si="74">C123+1</f>
        <v>2021</v>
      </c>
      <c r="E123" s="386">
        <f t="shared" si="74"/>
        <v>2022</v>
      </c>
      <c r="F123" s="386">
        <f t="shared" si="74"/>
        <v>2023</v>
      </c>
      <c r="G123" s="386">
        <f t="shared" si="74"/>
        <v>2024</v>
      </c>
      <c r="H123" s="386">
        <f t="shared" si="74"/>
        <v>2025</v>
      </c>
      <c r="I123" s="386">
        <f t="shared" si="74"/>
        <v>2026</v>
      </c>
      <c r="J123" s="386">
        <f t="shared" si="74"/>
        <v>2027</v>
      </c>
      <c r="K123" s="386">
        <f t="shared" si="74"/>
        <v>2028</v>
      </c>
      <c r="L123" s="386">
        <f t="shared" si="74"/>
        <v>2029</v>
      </c>
      <c r="M123" s="386">
        <f t="shared" si="74"/>
        <v>2030</v>
      </c>
      <c r="N123" s="386">
        <f t="shared" si="74"/>
        <v>2031</v>
      </c>
      <c r="O123" s="386">
        <f t="shared" si="74"/>
        <v>2032</v>
      </c>
      <c r="P123" s="386">
        <f t="shared" si="74"/>
        <v>2033</v>
      </c>
      <c r="Q123" s="386">
        <f t="shared" si="74"/>
        <v>2034</v>
      </c>
      <c r="R123" s="386">
        <f t="shared" si="74"/>
        <v>2035</v>
      </c>
      <c r="S123" s="386">
        <f t="shared" si="74"/>
        <v>2036</v>
      </c>
      <c r="T123" s="386">
        <f t="shared" si="74"/>
        <v>2037</v>
      </c>
      <c r="U123" s="386">
        <f t="shared" si="74"/>
        <v>2038</v>
      </c>
      <c r="V123" s="386">
        <f t="shared" si="74"/>
        <v>2039</v>
      </c>
      <c r="W123" s="386">
        <f t="shared" si="74"/>
        <v>2040</v>
      </c>
      <c r="X123" s="386">
        <f t="shared" si="74"/>
        <v>2041</v>
      </c>
      <c r="Y123" s="386">
        <f t="shared" si="74"/>
        <v>2042</v>
      </c>
      <c r="Z123" s="386">
        <f t="shared" si="74"/>
        <v>2043</v>
      </c>
      <c r="AA123" s="386">
        <f t="shared" si="74"/>
        <v>2044</v>
      </c>
      <c r="AB123" s="386">
        <f t="shared" si="74"/>
        <v>2045</v>
      </c>
      <c r="AC123" s="386">
        <f t="shared" si="74"/>
        <v>2046</v>
      </c>
      <c r="AD123" s="386">
        <f t="shared" si="74"/>
        <v>2047</v>
      </c>
      <c r="AE123" s="386">
        <f t="shared" si="74"/>
        <v>2048</v>
      </c>
      <c r="AF123" s="386">
        <f t="shared" ref="AF123" si="75">AE123+1</f>
        <v>2049</v>
      </c>
      <c r="AG123" s="386">
        <f t="shared" ref="AG123" si="76">AF123+1</f>
        <v>2050</v>
      </c>
      <c r="AH123" s="386">
        <f t="shared" ref="AH123" si="77">AG123+1</f>
        <v>2051</v>
      </c>
      <c r="AI123" s="386">
        <f t="shared" ref="AI123" si="78">AH123+1</f>
        <v>2052</v>
      </c>
      <c r="AJ123" s="386">
        <f t="shared" ref="AJ123" si="79">AI123+1</f>
        <v>2053</v>
      </c>
      <c r="AK123" s="386">
        <f t="shared" ref="AK123" si="80">AJ123+1</f>
        <v>2054</v>
      </c>
      <c r="AL123" s="386">
        <f t="shared" ref="AL123" si="81">AK123+1</f>
        <v>2055</v>
      </c>
      <c r="AM123" s="386">
        <f t="shared" ref="AM123" si="82">AL123+1</f>
        <v>2056</v>
      </c>
      <c r="AN123" s="386">
        <f t="shared" ref="AN123" si="83">AM123+1</f>
        <v>2057</v>
      </c>
      <c r="AO123" s="386">
        <f t="shared" ref="AO123" si="84">AN123+1</f>
        <v>2058</v>
      </c>
      <c r="AP123" s="386">
        <f t="shared" ref="AP123" si="85">AO123+1</f>
        <v>2059</v>
      </c>
      <c r="AQ123" s="386">
        <f t="shared" ref="AQ123" si="86">AP123+1</f>
        <v>2060</v>
      </c>
      <c r="AR123" s="386">
        <f t="shared" ref="AR123" si="87">AQ123+1</f>
        <v>2061</v>
      </c>
      <c r="AS123" s="386">
        <f t="shared" ref="AS123" si="88">AR123+1</f>
        <v>2062</v>
      </c>
      <c r="AT123" s="386">
        <f t="shared" ref="AT123" si="89">AS123+1</f>
        <v>2063</v>
      </c>
      <c r="AU123" s="386">
        <f t="shared" ref="AU123" si="90">AT123+1</f>
        <v>2064</v>
      </c>
      <c r="AV123" s="386">
        <f t="shared" ref="AV123" si="91">AU123+1</f>
        <v>2065</v>
      </c>
      <c r="AW123" s="386">
        <f t="shared" ref="AW123" si="92">AV123+1</f>
        <v>2066</v>
      </c>
      <c r="AX123" s="386">
        <f t="shared" ref="AX123" si="93">AW123+1</f>
        <v>2067</v>
      </c>
      <c r="AY123" s="386">
        <f t="shared" ref="AY123" si="94">AX123+1</f>
        <v>2068</v>
      </c>
      <c r="AZ123" s="386">
        <f t="shared" ref="AZ123" si="95">AY123+1</f>
        <v>2069</v>
      </c>
      <c r="BA123" s="386">
        <f t="shared" ref="BA123" si="96">AZ123+1</f>
        <v>2070</v>
      </c>
    </row>
    <row r="124" spans="1:53" ht="29">
      <c r="B124" s="6" t="s">
        <v>2935</v>
      </c>
      <c r="C124" s="394">
        <f>C117*IF(C$123&lt;$C$6, $C$120, $E$120)</f>
        <v>0.65790116580310876</v>
      </c>
      <c r="D124" s="394">
        <f t="shared" ref="D124:AE124" si="97">D117*IF(D$123&lt;$C$6, $C$120, $E$120)</f>
        <v>0.68319050700389761</v>
      </c>
      <c r="E124" s="394">
        <f t="shared" si="97"/>
        <v>0.70503070087024322</v>
      </c>
      <c r="F124" s="394">
        <f t="shared" si="97"/>
        <v>0.72442071701613286</v>
      </c>
      <c r="G124" s="394">
        <f t="shared" si="97"/>
        <v>23.285449910179626</v>
      </c>
      <c r="H124" s="394">
        <f t="shared" si="97"/>
        <v>21.335368026951226</v>
      </c>
      <c r="I124" s="394">
        <f t="shared" si="97"/>
        <v>20.105637589794046</v>
      </c>
      <c r="J124" s="394">
        <f t="shared" si="97"/>
        <v>19.36814077875583</v>
      </c>
      <c r="K124" s="394">
        <f t="shared" si="97"/>
        <v>18.996544314355909</v>
      </c>
      <c r="L124" s="394">
        <f t="shared" si="97"/>
        <v>18.855547130270068</v>
      </c>
      <c r="M124" s="394">
        <f t="shared" si="97"/>
        <v>18.861811664983225</v>
      </c>
      <c r="N124" s="394">
        <f t="shared" si="97"/>
        <v>18.97300113403211</v>
      </c>
      <c r="O124" s="394">
        <f t="shared" si="97"/>
        <v>19.140325572995</v>
      </c>
      <c r="P124" s="394">
        <f t="shared" si="97"/>
        <v>19.341544410281379</v>
      </c>
      <c r="Q124" s="394">
        <f t="shared" si="97"/>
        <v>19.56648776288651</v>
      </c>
      <c r="R124" s="394">
        <f t="shared" si="97"/>
        <v>19.805847617305627</v>
      </c>
      <c r="S124" s="394">
        <f t="shared" si="97"/>
        <v>20.051579292318813</v>
      </c>
      <c r="T124" s="394">
        <f t="shared" si="97"/>
        <v>20.302764785997425</v>
      </c>
      <c r="U124" s="394">
        <f t="shared" si="97"/>
        <v>20.567277177624693</v>
      </c>
      <c r="V124" s="394">
        <f t="shared" si="97"/>
        <v>20.830687490126721</v>
      </c>
      <c r="W124" s="394">
        <f t="shared" si="97"/>
        <v>21.089625406563414</v>
      </c>
      <c r="X124" s="394">
        <f t="shared" si="97"/>
        <v>21.348216758435267</v>
      </c>
      <c r="Y124" s="394">
        <f t="shared" si="97"/>
        <v>21.604252388317253</v>
      </c>
      <c r="Z124" s="394">
        <f t="shared" si="97"/>
        <v>21.855422886828343</v>
      </c>
      <c r="AA124" s="394">
        <f t="shared" si="97"/>
        <v>22.100082376567318</v>
      </c>
      <c r="AB124" s="394">
        <f t="shared" si="97"/>
        <v>22.339285144606521</v>
      </c>
      <c r="AC124" s="394">
        <f t="shared" si="97"/>
        <v>22.570630726102721</v>
      </c>
      <c r="AD124" s="394">
        <f t="shared" si="97"/>
        <v>22.792019604611216</v>
      </c>
      <c r="AE124" s="394">
        <f t="shared" si="97"/>
        <v>23.002001771600941</v>
      </c>
      <c r="AF124" s="394">
        <f t="shared" ref="AF124:AO124" si="98">AF117*IF(AF$123&lt;$C$6, $C$120, $E$120)</f>
        <v>23.201095922206591</v>
      </c>
      <c r="AG124" s="394">
        <f t="shared" si="98"/>
        <v>23.393497077967446</v>
      </c>
      <c r="AH124" s="394">
        <f t="shared" si="98"/>
        <v>23.579718174358337</v>
      </c>
      <c r="AI124" s="394">
        <f t="shared" si="98"/>
        <v>23.762213755160857</v>
      </c>
      <c r="AJ124" s="394">
        <f t="shared" si="98"/>
        <v>23.938475297452449</v>
      </c>
      <c r="AK124" s="394">
        <f t="shared" si="98"/>
        <v>24.104606230132894</v>
      </c>
      <c r="AL124" s="394">
        <f t="shared" si="98"/>
        <v>24.25848964161019</v>
      </c>
      <c r="AM124" s="394">
        <f t="shared" si="98"/>
        <v>24.398811929847227</v>
      </c>
      <c r="AN124" s="394">
        <f t="shared" si="98"/>
        <v>24.524588270860065</v>
      </c>
      <c r="AO124" s="394">
        <f t="shared" si="98"/>
        <v>24.634912000302297</v>
      </c>
      <c r="AP124" s="394">
        <f t="shared" ref="AP124:BA124" si="99">AP117*IF(AP$123&lt;$C$6, $C$120, $E$120)</f>
        <v>24.736526196917705</v>
      </c>
      <c r="AQ124" s="394">
        <f t="shared" si="99"/>
        <v>24.835714678046887</v>
      </c>
      <c r="AR124" s="394">
        <f t="shared" si="99"/>
        <v>24.937005270431577</v>
      </c>
      <c r="AS124" s="394">
        <f t="shared" si="99"/>
        <v>25.013927437098136</v>
      </c>
      <c r="AT124" s="394">
        <f t="shared" si="99"/>
        <v>25.074420257860325</v>
      </c>
      <c r="AU124" s="394">
        <f t="shared" si="99"/>
        <v>25.123884170671523</v>
      </c>
      <c r="AV124" s="394">
        <f t="shared" si="99"/>
        <v>25.150376410330409</v>
      </c>
      <c r="AW124" s="394">
        <f t="shared" si="99"/>
        <v>25.162958794017946</v>
      </c>
      <c r="AX124" s="394">
        <f t="shared" si="99"/>
        <v>25.167360779562237</v>
      </c>
      <c r="AY124" s="394">
        <f t="shared" si="99"/>
        <v>25.167164809839189</v>
      </c>
      <c r="AZ124" s="394">
        <f t="shared" si="99"/>
        <v>25.16457561149598</v>
      </c>
      <c r="BA124" s="394">
        <f t="shared" si="99"/>
        <v>25.160919518310426</v>
      </c>
    </row>
    <row r="125" spans="1:53">
      <c r="B125" s="349" t="s">
        <v>2933</v>
      </c>
      <c r="C125" s="540">
        <f>C124/C117</f>
        <v>3.6165803108808285E-2</v>
      </c>
      <c r="D125" s="540">
        <f t="shared" ref="D125" si="100">D124/D117</f>
        <v>3.6165803108808285E-2</v>
      </c>
      <c r="E125" s="540">
        <f t="shared" ref="E125" si="101">E124/E117</f>
        <v>3.6165803108808285E-2</v>
      </c>
      <c r="F125" s="540">
        <f t="shared" ref="F125" si="102">F124/F117</f>
        <v>3.6165803108808285E-2</v>
      </c>
      <c r="G125" s="540">
        <f t="shared" ref="G125" si="103">G124/G117</f>
        <v>0.76500000000000001</v>
      </c>
      <c r="H125" s="540">
        <f t="shared" ref="H125" si="104">H124/H117</f>
        <v>0.76500000000000001</v>
      </c>
      <c r="I125" s="540">
        <f t="shared" ref="I125" si="105">I124/I117</f>
        <v>0.76500000000000012</v>
      </c>
      <c r="J125" s="540">
        <f t="shared" ref="J125" si="106">J124/J117</f>
        <v>0.76500000000000012</v>
      </c>
      <c r="K125" s="540">
        <f t="shared" ref="K125" si="107">K124/K117</f>
        <v>0.76500000000000012</v>
      </c>
      <c r="L125" s="540">
        <f t="shared" ref="L125" si="108">L124/L117</f>
        <v>0.7649999999999999</v>
      </c>
      <c r="M125" s="540">
        <f t="shared" ref="M125" si="109">M124/M117</f>
        <v>0.7649999999999999</v>
      </c>
      <c r="N125" s="540">
        <f t="shared" ref="N125" si="110">N124/N117</f>
        <v>0.76500000000000001</v>
      </c>
      <c r="O125" s="540">
        <f t="shared" ref="O125" si="111">O124/O117</f>
        <v>0.76500000000000012</v>
      </c>
      <c r="P125" s="540">
        <f t="shared" ref="P125" si="112">P124/P117</f>
        <v>0.76500000000000001</v>
      </c>
      <c r="Q125" s="540">
        <f t="shared" ref="Q125" si="113">Q124/Q117</f>
        <v>0.7649999999999999</v>
      </c>
      <c r="R125" s="540">
        <f t="shared" ref="R125" si="114">R124/R117</f>
        <v>0.76500000000000001</v>
      </c>
      <c r="S125" s="540">
        <f t="shared" ref="S125" si="115">S124/S117</f>
        <v>0.76500000000000001</v>
      </c>
      <c r="T125" s="540">
        <f t="shared" ref="T125" si="116">T124/T117</f>
        <v>0.7649999999999999</v>
      </c>
      <c r="U125" s="540">
        <f t="shared" ref="U125" si="117">U124/U117</f>
        <v>0.76500000000000001</v>
      </c>
      <c r="V125" s="540">
        <f t="shared" ref="V125" si="118">V124/V117</f>
        <v>0.76500000000000001</v>
      </c>
      <c r="W125" s="540">
        <f t="shared" ref="W125" si="119">W124/W117</f>
        <v>0.76500000000000001</v>
      </c>
      <c r="X125" s="540">
        <f t="shared" ref="X125" si="120">X124/X117</f>
        <v>0.76500000000000001</v>
      </c>
      <c r="Y125" s="540">
        <f t="shared" ref="Y125" si="121">Y124/Y117</f>
        <v>0.76500000000000001</v>
      </c>
      <c r="Z125" s="540">
        <f t="shared" ref="Z125" si="122">Z124/Z117</f>
        <v>0.76500000000000001</v>
      </c>
      <c r="AA125" s="540">
        <f t="shared" ref="AA125" si="123">AA124/AA117</f>
        <v>0.76500000000000001</v>
      </c>
      <c r="AB125" s="540">
        <f t="shared" ref="AB125" si="124">AB124/AB117</f>
        <v>0.76500000000000001</v>
      </c>
      <c r="AC125" s="540">
        <f t="shared" ref="AC125" si="125">AC124/AC117</f>
        <v>0.76500000000000001</v>
      </c>
      <c r="AD125" s="540">
        <f t="shared" ref="AD125" si="126">AD124/AD117</f>
        <v>0.76500000000000001</v>
      </c>
      <c r="AE125" s="540">
        <f t="shared" ref="AE125:AO125" si="127">AE124/AE117</f>
        <v>0.76500000000000001</v>
      </c>
      <c r="AF125" s="540">
        <f t="shared" si="127"/>
        <v>0.76500000000000001</v>
      </c>
      <c r="AG125" s="540">
        <f t="shared" si="127"/>
        <v>0.76500000000000001</v>
      </c>
      <c r="AH125" s="540">
        <f t="shared" si="127"/>
        <v>0.76500000000000001</v>
      </c>
      <c r="AI125" s="540">
        <f t="shared" si="127"/>
        <v>0.76500000000000001</v>
      </c>
      <c r="AJ125" s="540">
        <f t="shared" si="127"/>
        <v>0.76500000000000001</v>
      </c>
      <c r="AK125" s="540">
        <f t="shared" si="127"/>
        <v>0.76500000000000001</v>
      </c>
      <c r="AL125" s="540">
        <f t="shared" si="127"/>
        <v>0.76500000000000001</v>
      </c>
      <c r="AM125" s="540">
        <f t="shared" si="127"/>
        <v>0.76500000000000001</v>
      </c>
      <c r="AN125" s="540">
        <f t="shared" si="127"/>
        <v>0.76500000000000001</v>
      </c>
      <c r="AO125" s="540">
        <f t="shared" si="127"/>
        <v>0.76500000000000001</v>
      </c>
      <c r="AP125" s="540">
        <f t="shared" ref="AP125:BA125" si="128">AP124/AP117</f>
        <v>0.76500000000000001</v>
      </c>
      <c r="AQ125" s="540">
        <f t="shared" si="128"/>
        <v>0.76500000000000001</v>
      </c>
      <c r="AR125" s="540">
        <f t="shared" si="128"/>
        <v>0.76500000000000001</v>
      </c>
      <c r="AS125" s="540">
        <f t="shared" si="128"/>
        <v>0.76500000000000001</v>
      </c>
      <c r="AT125" s="540">
        <f t="shared" si="128"/>
        <v>0.76500000000000001</v>
      </c>
      <c r="AU125" s="540">
        <f t="shared" si="128"/>
        <v>0.76500000000000001</v>
      </c>
      <c r="AV125" s="540">
        <f t="shared" si="128"/>
        <v>0.76500000000000001</v>
      </c>
      <c r="AW125" s="540">
        <f t="shared" si="128"/>
        <v>0.76500000000000001</v>
      </c>
      <c r="AX125" s="540">
        <f t="shared" si="128"/>
        <v>0.76500000000000001</v>
      </c>
      <c r="AY125" s="540">
        <f t="shared" si="128"/>
        <v>0.76500000000000001</v>
      </c>
      <c r="AZ125" s="540">
        <f t="shared" si="128"/>
        <v>0.76500000000000001</v>
      </c>
      <c r="BA125" s="540">
        <f t="shared" si="128"/>
        <v>0.76500000000000001</v>
      </c>
    </row>
    <row r="126" spans="1:53">
      <c r="B126" s="349"/>
      <c r="C126" s="393"/>
      <c r="D126" s="393"/>
      <c r="E126" s="393"/>
      <c r="F126" s="393"/>
      <c r="G126" s="393"/>
      <c r="H126" s="393"/>
      <c r="I126" s="393"/>
      <c r="J126" s="393"/>
      <c r="K126" s="393"/>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c r="AG126" s="393"/>
      <c r="AH126" s="393"/>
      <c r="AI126" s="393"/>
      <c r="AJ126" s="393"/>
      <c r="AK126" s="393"/>
      <c r="AL126" s="393"/>
      <c r="AM126" s="393"/>
      <c r="AN126" s="393"/>
      <c r="AO126" s="393"/>
    </row>
    <row r="127" spans="1:53">
      <c r="B127" s="349"/>
      <c r="C127" s="393"/>
      <c r="D127" s="393"/>
      <c r="E127" s="393"/>
      <c r="F127" s="393"/>
      <c r="G127" s="393"/>
      <c r="H127" s="393"/>
      <c r="I127" s="393"/>
      <c r="J127" s="393"/>
      <c r="K127" s="393"/>
      <c r="L127" s="393"/>
      <c r="M127" s="393"/>
      <c r="N127" s="393"/>
      <c r="O127" s="393"/>
      <c r="P127" s="393"/>
      <c r="Q127" s="393"/>
      <c r="R127" s="393"/>
      <c r="S127" s="393"/>
      <c r="T127" s="393"/>
      <c r="U127" s="393"/>
      <c r="V127" s="393"/>
      <c r="W127" s="393"/>
      <c r="X127" s="393"/>
      <c r="Y127" s="393"/>
      <c r="Z127" s="393"/>
      <c r="AA127" s="393"/>
      <c r="AB127" s="393"/>
      <c r="AC127" s="393"/>
      <c r="AD127" s="393"/>
      <c r="AE127" s="393"/>
      <c r="AF127" s="393"/>
      <c r="AG127" s="393"/>
      <c r="AH127" s="393"/>
      <c r="AI127" s="393"/>
      <c r="AJ127" s="393"/>
      <c r="AK127" s="393"/>
      <c r="AL127" s="393"/>
      <c r="AM127" s="393"/>
      <c r="AN127" s="393"/>
      <c r="AO127" s="393"/>
    </row>
    <row r="128" spans="1:53">
      <c r="A128" s="9"/>
      <c r="B128" s="9" t="s">
        <v>2981</v>
      </c>
      <c r="C128" s="393"/>
      <c r="D128" s="393"/>
      <c r="E128" s="393"/>
      <c r="F128" s="393"/>
      <c r="G128" s="393"/>
      <c r="H128" s="393"/>
      <c r="I128" s="393"/>
      <c r="J128" s="393"/>
      <c r="K128" s="393"/>
      <c r="L128" s="393"/>
      <c r="M128" s="393"/>
      <c r="N128" s="393"/>
      <c r="O128" s="393"/>
      <c r="P128" s="393"/>
      <c r="Q128" s="393"/>
      <c r="R128" s="393"/>
      <c r="S128" s="393"/>
      <c r="T128" s="393"/>
      <c r="U128" s="393"/>
      <c r="V128" s="393"/>
      <c r="W128" s="393"/>
      <c r="X128" s="393"/>
      <c r="Y128" s="393"/>
      <c r="Z128" s="393"/>
      <c r="AA128" s="393"/>
      <c r="AB128" s="393"/>
      <c r="AC128" s="393"/>
      <c r="AD128" s="393"/>
      <c r="AE128" s="393"/>
      <c r="AF128" s="393"/>
      <c r="AG128" s="393"/>
      <c r="AH128" s="393"/>
      <c r="AI128" s="393"/>
      <c r="AJ128" s="393"/>
      <c r="AK128" s="393"/>
      <c r="AL128" s="393"/>
      <c r="AM128" s="393"/>
      <c r="AN128" s="393"/>
      <c r="AO128" s="393"/>
    </row>
    <row r="129" spans="1:41">
      <c r="A129" s="9"/>
      <c r="B129" s="9"/>
    </row>
    <row r="130" spans="1:41" s="95" customFormat="1">
      <c r="B130" s="345" t="s">
        <v>2898</v>
      </c>
      <c r="C130" s="345" t="s">
        <v>2898</v>
      </c>
      <c r="D130" s="345" t="s">
        <v>2937</v>
      </c>
      <c r="E130" s="96"/>
      <c r="F130" s="356"/>
      <c r="G130" s="342"/>
      <c r="H130" s="96"/>
      <c r="I130" s="342"/>
      <c r="J130" s="342"/>
      <c r="K130" s="96"/>
    </row>
    <row r="131" spans="1:41" s="95" customFormat="1">
      <c r="B131" s="347" t="s">
        <v>2899</v>
      </c>
      <c r="C131" s="304">
        <v>79.2</v>
      </c>
      <c r="D131" s="391">
        <f>1-D132</f>
        <v>0.43200000000000005</v>
      </c>
      <c r="E131" s="96"/>
      <c r="F131" s="356"/>
      <c r="G131" s="342"/>
      <c r="H131" s="96"/>
      <c r="I131" s="342"/>
      <c r="J131" s="342"/>
      <c r="K131" s="96"/>
    </row>
    <row r="132" spans="1:41" s="95" customFormat="1">
      <c r="B132" s="347" t="s">
        <v>2900</v>
      </c>
      <c r="C132" s="304">
        <v>82.9</v>
      </c>
      <c r="D132" s="390">
        <v>0.56799999999999995</v>
      </c>
      <c r="E132" s="96"/>
      <c r="F132" s="356"/>
      <c r="G132" s="342"/>
      <c r="H132" s="96"/>
      <c r="I132" s="342"/>
      <c r="J132" s="342"/>
      <c r="K132" s="96"/>
    </row>
    <row r="133" spans="1:41" s="95" customFormat="1">
      <c r="B133" s="347" t="s">
        <v>2530</v>
      </c>
      <c r="C133" s="309">
        <f>SUMPRODUCT(C131:C132,D131:D132)</f>
        <v>81.301600000000008</v>
      </c>
      <c r="D133" s="96"/>
      <c r="E133" s="96"/>
      <c r="F133" s="356"/>
      <c r="G133" s="342"/>
      <c r="H133" s="96"/>
      <c r="I133" s="342"/>
      <c r="J133" s="342"/>
      <c r="K133" s="96"/>
    </row>
    <row r="134" spans="1:41" s="95" customFormat="1">
      <c r="B134" s="359"/>
      <c r="C134" s="349" t="s">
        <v>2901</v>
      </c>
      <c r="D134" s="349" t="s">
        <v>2504</v>
      </c>
      <c r="E134" s="96"/>
      <c r="F134" s="356"/>
      <c r="G134" s="342"/>
      <c r="H134" s="96"/>
      <c r="I134" s="342"/>
      <c r="J134" s="342"/>
      <c r="K134" s="96"/>
    </row>
    <row r="135" spans="1:41" s="95" customFormat="1">
      <c r="B135" s="345" t="s">
        <v>2</v>
      </c>
      <c r="C135" s="345" t="s">
        <v>40</v>
      </c>
      <c r="D135" s="349"/>
      <c r="E135" s="96"/>
      <c r="F135" s="356"/>
      <c r="G135" s="342"/>
      <c r="H135" s="96"/>
      <c r="I135" s="342"/>
      <c r="J135" s="342"/>
      <c r="K135" s="96"/>
    </row>
    <row r="136" spans="1:41" s="95" customFormat="1">
      <c r="B136" s="347" t="s">
        <v>2902</v>
      </c>
      <c r="C136" s="304">
        <v>70.599999999999994</v>
      </c>
      <c r="D136" s="349" t="s">
        <v>2504</v>
      </c>
      <c r="E136" s="96"/>
      <c r="F136" s="356"/>
      <c r="G136" s="342"/>
      <c r="H136" s="96"/>
      <c r="I136" s="342"/>
      <c r="J136" s="342"/>
      <c r="K136" s="96"/>
    </row>
    <row r="137" spans="1:41" s="95" customFormat="1" ht="29">
      <c r="B137" s="347" t="s">
        <v>2903</v>
      </c>
      <c r="C137" s="309">
        <f>C133-C136-1</f>
        <v>9.7016000000000133</v>
      </c>
      <c r="D137" s="349"/>
      <c r="E137" s="96"/>
      <c r="F137" s="356"/>
      <c r="G137" s="342"/>
      <c r="H137" s="96"/>
      <c r="I137" s="342"/>
      <c r="J137" s="342"/>
      <c r="K137" s="96"/>
    </row>
    <row r="139" spans="1:41" ht="29">
      <c r="B139" s="347" t="s">
        <v>2905</v>
      </c>
      <c r="C139" s="309">
        <f>ROUNDUP('Wound maintenance vols INT'!C137, 0.1)</f>
        <v>10</v>
      </c>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row>
    <row r="140" spans="1:41">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row>
    <row r="141" spans="1:41">
      <c r="B141" s="359"/>
      <c r="C141" s="39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row>
    <row r="143" spans="1:41">
      <c r="B143" s="52"/>
      <c r="C143" s="113"/>
      <c r="D143" s="393"/>
      <c r="E143" s="393"/>
      <c r="F143" s="393"/>
      <c r="G143" s="393"/>
      <c r="H143" s="393"/>
      <c r="I143" s="393"/>
      <c r="J143" s="393"/>
      <c r="K143" s="393"/>
      <c r="L143" s="393"/>
      <c r="M143" s="393"/>
      <c r="N143" s="393"/>
      <c r="O143" s="393"/>
      <c r="P143" s="393"/>
      <c r="Q143" s="393"/>
      <c r="R143" s="393"/>
      <c r="S143" s="393"/>
      <c r="T143" s="393"/>
      <c r="U143" s="393"/>
      <c r="V143" s="393"/>
      <c r="W143" s="393"/>
      <c r="X143" s="393"/>
      <c r="Y143" s="393"/>
      <c r="Z143" s="393"/>
      <c r="AA143" s="393"/>
      <c r="AB143" s="393"/>
      <c r="AC143" s="393"/>
      <c r="AD143" s="393"/>
      <c r="AE143" s="393"/>
      <c r="AF143" s="393"/>
      <c r="AG143" s="393"/>
      <c r="AH143" s="393"/>
      <c r="AI143" s="393"/>
      <c r="AJ143" s="393"/>
      <c r="AK143" s="393"/>
      <c r="AL143" s="393"/>
      <c r="AM143" s="393"/>
      <c r="AN143" s="393"/>
      <c r="AO143" s="393"/>
    </row>
    <row r="144" spans="1:41">
      <c r="A144" t="s">
        <v>10</v>
      </c>
      <c r="B144" s="114" t="s">
        <v>2983</v>
      </c>
      <c r="C144" s="393"/>
      <c r="D144" s="393"/>
      <c r="E144" s="393"/>
      <c r="F144" s="393"/>
      <c r="G144" s="393"/>
      <c r="H144" s="393"/>
      <c r="I144" s="393"/>
      <c r="J144" s="393"/>
      <c r="K144" s="393"/>
      <c r="L144" s="393"/>
      <c r="M144" s="393"/>
      <c r="N144" s="393"/>
      <c r="O144" s="393"/>
      <c r="P144" s="393"/>
      <c r="Q144" s="393"/>
      <c r="R144" s="393"/>
      <c r="S144" s="393"/>
      <c r="T144" s="393"/>
      <c r="U144" s="393"/>
      <c r="V144" s="393"/>
      <c r="W144" s="393"/>
      <c r="X144" s="393"/>
      <c r="Y144" s="393"/>
      <c r="Z144" s="393"/>
      <c r="AA144" s="393"/>
      <c r="AB144" s="393"/>
      <c r="AC144" s="393"/>
      <c r="AD144" s="393"/>
      <c r="AE144" s="393"/>
      <c r="AF144" s="393"/>
      <c r="AG144" s="393"/>
      <c r="AH144" s="393"/>
      <c r="AI144" s="393"/>
      <c r="AJ144" s="393"/>
      <c r="AK144" s="393"/>
      <c r="AL144" s="393"/>
      <c r="AM144" s="393"/>
      <c r="AN144" s="393"/>
      <c r="AO144" s="393"/>
    </row>
    <row r="145" spans="2:53">
      <c r="B145" s="349" t="s">
        <v>2938</v>
      </c>
      <c r="C145" s="393"/>
      <c r="D145" s="393"/>
      <c r="E145" s="393"/>
      <c r="F145" s="393"/>
      <c r="G145" s="393"/>
      <c r="H145" s="393"/>
      <c r="I145" s="393"/>
      <c r="J145" s="393"/>
      <c r="K145" s="393"/>
      <c r="L145" s="393"/>
      <c r="M145" s="393"/>
      <c r="N145" s="393"/>
      <c r="O145" s="393"/>
      <c r="P145" s="393"/>
      <c r="Q145" s="393"/>
      <c r="R145" s="393"/>
      <c r="S145" s="393"/>
      <c r="T145" s="393"/>
      <c r="U145" s="393"/>
      <c r="V145" s="393"/>
      <c r="W145" s="393"/>
      <c r="X145" s="393"/>
      <c r="Y145" s="393"/>
      <c r="Z145" s="393"/>
      <c r="AA145" s="393"/>
      <c r="AB145" s="393"/>
      <c r="AC145" s="393"/>
      <c r="AD145" s="393"/>
      <c r="AE145" s="393"/>
      <c r="AF145" s="393"/>
      <c r="AG145" s="393"/>
      <c r="AH145" s="393"/>
      <c r="AI145" s="393"/>
      <c r="AJ145" s="393"/>
      <c r="AK145" s="393"/>
      <c r="AL145" s="393"/>
      <c r="AM145" s="393"/>
      <c r="AN145" s="393"/>
      <c r="AO145" s="393"/>
    </row>
    <row r="146" spans="2:53">
      <c r="B146" s="114"/>
      <c r="C146" s="393"/>
      <c r="D146" s="393"/>
      <c r="E146" s="393"/>
      <c r="F146" s="393"/>
      <c r="G146" s="393"/>
      <c r="H146" s="393"/>
      <c r="I146" s="393"/>
      <c r="J146" s="393"/>
      <c r="K146" s="393"/>
      <c r="L146" s="393"/>
      <c r="M146" s="393"/>
      <c r="N146" s="393"/>
      <c r="O146" s="393"/>
      <c r="P146" s="393"/>
      <c r="Q146" s="393"/>
      <c r="R146" s="393"/>
      <c r="S146" s="393"/>
      <c r="T146" s="393"/>
      <c r="U146" s="393"/>
      <c r="V146" s="393"/>
      <c r="W146" s="393"/>
      <c r="X146" s="393"/>
      <c r="Y146" s="393"/>
      <c r="Z146" s="393"/>
      <c r="AA146" s="393"/>
      <c r="AB146" s="393"/>
      <c r="AC146" s="393"/>
      <c r="AD146" s="393"/>
      <c r="AE146" s="393"/>
      <c r="AF146" s="393"/>
      <c r="AG146" s="393"/>
      <c r="AH146" s="393"/>
      <c r="AI146" s="393"/>
      <c r="AJ146" s="393"/>
      <c r="AK146" s="393"/>
      <c r="AL146" s="393"/>
      <c r="AM146" s="393"/>
      <c r="AN146" s="393"/>
      <c r="AO146" s="393"/>
    </row>
    <row r="147" spans="2:53">
      <c r="B147" s="113"/>
      <c r="C147" s="393" t="s">
        <v>2906</v>
      </c>
      <c r="D147" s="393"/>
      <c r="E147" s="393"/>
      <c r="F147" s="393"/>
      <c r="G147" s="393"/>
      <c r="H147" s="393"/>
      <c r="I147" s="393"/>
      <c r="J147" s="393"/>
      <c r="K147" s="393"/>
      <c r="L147" s="393"/>
      <c r="M147" s="393"/>
      <c r="N147" s="393"/>
      <c r="O147" s="393"/>
      <c r="P147" s="393"/>
      <c r="Q147" s="393"/>
      <c r="R147" s="393"/>
      <c r="S147" s="393"/>
      <c r="T147" s="393"/>
      <c r="U147" s="393"/>
      <c r="V147" s="393"/>
      <c r="W147" s="393"/>
      <c r="X147" s="393"/>
      <c r="Y147" s="393"/>
      <c r="Z147" s="393"/>
      <c r="AA147" s="393"/>
      <c r="AB147" s="393"/>
      <c r="AC147" s="393"/>
      <c r="AD147" s="393"/>
      <c r="AE147" s="393"/>
      <c r="AF147" s="393"/>
      <c r="AG147" s="393"/>
      <c r="AH147" s="393"/>
      <c r="AI147" s="393"/>
      <c r="AJ147" s="393"/>
      <c r="AK147" s="393"/>
      <c r="AL147" s="393"/>
      <c r="AM147" s="393"/>
      <c r="AN147" s="393"/>
      <c r="AO147" s="393"/>
    </row>
    <row r="148" spans="2:53">
      <c r="B148" s="399" t="s">
        <v>2907</v>
      </c>
      <c r="C148" s="386">
        <f>'Prevalence projection'!C$21</f>
        <v>2020</v>
      </c>
      <c r="D148" s="386">
        <f t="shared" ref="D148:AE148" si="129">C148+1</f>
        <v>2021</v>
      </c>
      <c r="E148" s="386">
        <f t="shared" si="129"/>
        <v>2022</v>
      </c>
      <c r="F148" s="386">
        <f t="shared" si="129"/>
        <v>2023</v>
      </c>
      <c r="G148" s="386">
        <f t="shared" si="129"/>
        <v>2024</v>
      </c>
      <c r="H148" s="386">
        <f t="shared" si="129"/>
        <v>2025</v>
      </c>
      <c r="I148" s="386">
        <f t="shared" si="129"/>
        <v>2026</v>
      </c>
      <c r="J148" s="386">
        <f t="shared" si="129"/>
        <v>2027</v>
      </c>
      <c r="K148" s="386">
        <f t="shared" si="129"/>
        <v>2028</v>
      </c>
      <c r="L148" s="386">
        <f t="shared" si="129"/>
        <v>2029</v>
      </c>
      <c r="M148" s="386">
        <f t="shared" si="129"/>
        <v>2030</v>
      </c>
      <c r="N148" s="386">
        <f t="shared" si="129"/>
        <v>2031</v>
      </c>
      <c r="O148" s="386">
        <f t="shared" si="129"/>
        <v>2032</v>
      </c>
      <c r="P148" s="386">
        <f t="shared" si="129"/>
        <v>2033</v>
      </c>
      <c r="Q148" s="386">
        <f t="shared" si="129"/>
        <v>2034</v>
      </c>
      <c r="R148" s="386">
        <f t="shared" si="129"/>
        <v>2035</v>
      </c>
      <c r="S148" s="386">
        <f t="shared" si="129"/>
        <v>2036</v>
      </c>
      <c r="T148" s="386">
        <f t="shared" si="129"/>
        <v>2037</v>
      </c>
      <c r="U148" s="386">
        <f t="shared" si="129"/>
        <v>2038</v>
      </c>
      <c r="V148" s="386">
        <f t="shared" si="129"/>
        <v>2039</v>
      </c>
      <c r="W148" s="386">
        <f t="shared" si="129"/>
        <v>2040</v>
      </c>
      <c r="X148" s="386">
        <f t="shared" si="129"/>
        <v>2041</v>
      </c>
      <c r="Y148" s="386">
        <f t="shared" si="129"/>
        <v>2042</v>
      </c>
      <c r="Z148" s="386">
        <f t="shared" si="129"/>
        <v>2043</v>
      </c>
      <c r="AA148" s="386">
        <f t="shared" si="129"/>
        <v>2044</v>
      </c>
      <c r="AB148" s="386">
        <f t="shared" si="129"/>
        <v>2045</v>
      </c>
      <c r="AC148" s="386">
        <f t="shared" si="129"/>
        <v>2046</v>
      </c>
      <c r="AD148" s="386">
        <f t="shared" si="129"/>
        <v>2047</v>
      </c>
      <c r="AE148" s="386">
        <f t="shared" si="129"/>
        <v>2048</v>
      </c>
      <c r="AF148" s="386">
        <f t="shared" ref="AF148" si="130">AE148+1</f>
        <v>2049</v>
      </c>
      <c r="AG148" s="386">
        <f t="shared" ref="AG148" si="131">AF148+1</f>
        <v>2050</v>
      </c>
      <c r="AH148" s="386">
        <f t="shared" ref="AH148" si="132">AG148+1</f>
        <v>2051</v>
      </c>
      <c r="AI148" s="386">
        <f t="shared" ref="AI148" si="133">AH148+1</f>
        <v>2052</v>
      </c>
      <c r="AJ148" s="386">
        <f t="shared" ref="AJ148" si="134">AI148+1</f>
        <v>2053</v>
      </c>
      <c r="AK148" s="386">
        <f t="shared" ref="AK148" si="135">AJ148+1</f>
        <v>2054</v>
      </c>
      <c r="AL148" s="386">
        <f t="shared" ref="AL148" si="136">AK148+1</f>
        <v>2055</v>
      </c>
      <c r="AM148" s="386">
        <f t="shared" ref="AM148" si="137">AL148+1</f>
        <v>2056</v>
      </c>
      <c r="AN148" s="386">
        <f t="shared" ref="AN148" si="138">AM148+1</f>
        <v>2057</v>
      </c>
      <c r="AO148" s="386">
        <f t="shared" ref="AO148" si="139">AN148+1</f>
        <v>2058</v>
      </c>
      <c r="AP148" s="386">
        <f t="shared" ref="AP148" si="140">AO148+1</f>
        <v>2059</v>
      </c>
      <c r="AQ148" s="386">
        <f t="shared" ref="AQ148" si="141">AP148+1</f>
        <v>2060</v>
      </c>
      <c r="AR148" s="386">
        <f t="shared" ref="AR148" si="142">AQ148+1</f>
        <v>2061</v>
      </c>
      <c r="AS148" s="386">
        <f t="shared" ref="AS148" si="143">AR148+1</f>
        <v>2062</v>
      </c>
      <c r="AT148" s="386">
        <f t="shared" ref="AT148" si="144">AS148+1</f>
        <v>2063</v>
      </c>
      <c r="AU148" s="386">
        <f t="shared" ref="AU148" si="145">AT148+1</f>
        <v>2064</v>
      </c>
      <c r="AV148" s="386">
        <f t="shared" ref="AV148" si="146">AU148+1</f>
        <v>2065</v>
      </c>
      <c r="AW148" s="386">
        <f t="shared" ref="AW148" si="147">AV148+1</f>
        <v>2066</v>
      </c>
      <c r="AX148" s="386">
        <f t="shared" ref="AX148" si="148">AW148+1</f>
        <v>2067</v>
      </c>
      <c r="AY148" s="386">
        <f t="shared" ref="AY148" si="149">AX148+1</f>
        <v>2068</v>
      </c>
      <c r="AZ148" s="386">
        <f t="shared" ref="AZ148" si="150">AY148+1</f>
        <v>2069</v>
      </c>
      <c r="BA148" s="386">
        <f t="shared" ref="BA148" si="151">AZ148+1</f>
        <v>2070</v>
      </c>
    </row>
    <row r="149" spans="2:53">
      <c r="B149" s="398">
        <f>C148</f>
        <v>2020</v>
      </c>
      <c r="C149" s="397">
        <f>IF($B149&gt;=C$148,0,        IF(C$148-$B149&lt;=$C$139,    INDEX($C$124:$BA$124, MATCH($B149, $C$123:$BA$123,0)),       0))</f>
        <v>0</v>
      </c>
      <c r="D149" s="397">
        <f t="shared" ref="D149:BA154" si="152">IF($B149&gt;=D$148,0,        IF(D$148-$B149&lt;=$C$139,    INDEX($C$124:$BA$124, MATCH($B149, $C$123:$BA$123,0)),       0))</f>
        <v>0.65790116580310876</v>
      </c>
      <c r="E149" s="397">
        <f t="shared" si="152"/>
        <v>0.65790116580310876</v>
      </c>
      <c r="F149" s="397">
        <f t="shared" si="152"/>
        <v>0.65790116580310876</v>
      </c>
      <c r="G149" s="397">
        <f t="shared" si="152"/>
        <v>0.65790116580310876</v>
      </c>
      <c r="H149" s="397">
        <f t="shared" si="152"/>
        <v>0.65790116580310876</v>
      </c>
      <c r="I149" s="397">
        <f t="shared" si="152"/>
        <v>0.65790116580310876</v>
      </c>
      <c r="J149" s="397">
        <f t="shared" si="152"/>
        <v>0.65790116580310876</v>
      </c>
      <c r="K149" s="397">
        <f t="shared" si="152"/>
        <v>0.65790116580310876</v>
      </c>
      <c r="L149" s="397">
        <f t="shared" si="152"/>
        <v>0.65790116580310876</v>
      </c>
      <c r="M149" s="397">
        <f t="shared" si="152"/>
        <v>0.65790116580310876</v>
      </c>
      <c r="N149" s="397">
        <f t="shared" si="152"/>
        <v>0</v>
      </c>
      <c r="O149" s="397">
        <f t="shared" si="152"/>
        <v>0</v>
      </c>
      <c r="P149" s="397">
        <f t="shared" si="152"/>
        <v>0</v>
      </c>
      <c r="Q149" s="397">
        <f t="shared" si="152"/>
        <v>0</v>
      </c>
      <c r="R149" s="397">
        <f t="shared" si="152"/>
        <v>0</v>
      </c>
      <c r="S149" s="397">
        <f t="shared" si="152"/>
        <v>0</v>
      </c>
      <c r="T149" s="397">
        <f t="shared" si="152"/>
        <v>0</v>
      </c>
      <c r="U149" s="397">
        <f t="shared" si="152"/>
        <v>0</v>
      </c>
      <c r="V149" s="397">
        <f t="shared" si="152"/>
        <v>0</v>
      </c>
      <c r="W149" s="397">
        <f t="shared" si="152"/>
        <v>0</v>
      </c>
      <c r="X149" s="397">
        <f t="shared" si="152"/>
        <v>0</v>
      </c>
      <c r="Y149" s="397">
        <f t="shared" si="152"/>
        <v>0</v>
      </c>
      <c r="Z149" s="397">
        <f t="shared" si="152"/>
        <v>0</v>
      </c>
      <c r="AA149" s="397">
        <f t="shared" si="152"/>
        <v>0</v>
      </c>
      <c r="AB149" s="397">
        <f t="shared" si="152"/>
        <v>0</v>
      </c>
      <c r="AC149" s="397">
        <f t="shared" si="152"/>
        <v>0</v>
      </c>
      <c r="AD149" s="397">
        <f t="shared" si="152"/>
        <v>0</v>
      </c>
      <c r="AE149" s="397">
        <f t="shared" si="152"/>
        <v>0</v>
      </c>
      <c r="AF149" s="397">
        <f t="shared" si="152"/>
        <v>0</v>
      </c>
      <c r="AG149" s="397">
        <f t="shared" si="152"/>
        <v>0</v>
      </c>
      <c r="AH149" s="397">
        <f t="shared" si="152"/>
        <v>0</v>
      </c>
      <c r="AI149" s="397">
        <f t="shared" si="152"/>
        <v>0</v>
      </c>
      <c r="AJ149" s="397">
        <f t="shared" si="152"/>
        <v>0</v>
      </c>
      <c r="AK149" s="397">
        <f t="shared" si="152"/>
        <v>0</v>
      </c>
      <c r="AL149" s="397">
        <f t="shared" si="152"/>
        <v>0</v>
      </c>
      <c r="AM149" s="397">
        <f t="shared" si="152"/>
        <v>0</v>
      </c>
      <c r="AN149" s="397">
        <f t="shared" si="152"/>
        <v>0</v>
      </c>
      <c r="AO149" s="397">
        <f t="shared" si="152"/>
        <v>0</v>
      </c>
      <c r="AP149" s="397">
        <f t="shared" si="152"/>
        <v>0</v>
      </c>
      <c r="AQ149" s="397">
        <f t="shared" si="152"/>
        <v>0</v>
      </c>
      <c r="AR149" s="397">
        <f t="shared" si="152"/>
        <v>0</v>
      </c>
      <c r="AS149" s="397">
        <f t="shared" si="152"/>
        <v>0</v>
      </c>
      <c r="AT149" s="397">
        <f t="shared" si="152"/>
        <v>0</v>
      </c>
      <c r="AU149" s="397">
        <f t="shared" si="152"/>
        <v>0</v>
      </c>
      <c r="AV149" s="397">
        <f t="shared" si="152"/>
        <v>0</v>
      </c>
      <c r="AW149" s="397">
        <f t="shared" si="152"/>
        <v>0</v>
      </c>
      <c r="AX149" s="397">
        <f t="shared" si="152"/>
        <v>0</v>
      </c>
      <c r="AY149" s="397">
        <f t="shared" si="152"/>
        <v>0</v>
      </c>
      <c r="AZ149" s="397">
        <f t="shared" si="152"/>
        <v>0</v>
      </c>
      <c r="BA149" s="397">
        <f t="shared" si="152"/>
        <v>0</v>
      </c>
    </row>
    <row r="150" spans="2:53">
      <c r="B150" s="398">
        <f>B149+1</f>
        <v>2021</v>
      </c>
      <c r="C150" s="397">
        <f t="shared" ref="C150:R170" si="153">IF($B150&gt;=C$148,0,        IF(C$148-$B150&lt;=$C$139,    INDEX($C$124:$BA$124, MATCH($B150, $C$123:$BA$123,0)),       0))</f>
        <v>0</v>
      </c>
      <c r="D150" s="397">
        <f t="shared" si="152"/>
        <v>0</v>
      </c>
      <c r="E150" s="397">
        <f t="shared" si="152"/>
        <v>0.68319050700389761</v>
      </c>
      <c r="F150" s="397">
        <f t="shared" si="152"/>
        <v>0.68319050700389761</v>
      </c>
      <c r="G150" s="397">
        <f t="shared" si="152"/>
        <v>0.68319050700389761</v>
      </c>
      <c r="H150" s="397">
        <f t="shared" si="152"/>
        <v>0.68319050700389761</v>
      </c>
      <c r="I150" s="397">
        <f t="shared" si="152"/>
        <v>0.68319050700389761</v>
      </c>
      <c r="J150" s="397">
        <f t="shared" si="152"/>
        <v>0.68319050700389761</v>
      </c>
      <c r="K150" s="397">
        <f t="shared" si="152"/>
        <v>0.68319050700389761</v>
      </c>
      <c r="L150" s="397">
        <f t="shared" si="152"/>
        <v>0.68319050700389761</v>
      </c>
      <c r="M150" s="397">
        <f t="shared" si="152"/>
        <v>0.68319050700389761</v>
      </c>
      <c r="N150" s="397">
        <f t="shared" si="152"/>
        <v>0.68319050700389761</v>
      </c>
      <c r="O150" s="397">
        <f t="shared" si="152"/>
        <v>0</v>
      </c>
      <c r="P150" s="397">
        <f t="shared" si="152"/>
        <v>0</v>
      </c>
      <c r="Q150" s="397">
        <f t="shared" si="152"/>
        <v>0</v>
      </c>
      <c r="R150" s="397">
        <f t="shared" si="152"/>
        <v>0</v>
      </c>
      <c r="S150" s="397">
        <f t="shared" si="152"/>
        <v>0</v>
      </c>
      <c r="T150" s="397">
        <f t="shared" si="152"/>
        <v>0</v>
      </c>
      <c r="U150" s="397">
        <f t="shared" si="152"/>
        <v>0</v>
      </c>
      <c r="V150" s="397">
        <f t="shared" si="152"/>
        <v>0</v>
      </c>
      <c r="W150" s="397">
        <f t="shared" si="152"/>
        <v>0</v>
      </c>
      <c r="X150" s="397">
        <f t="shared" si="152"/>
        <v>0</v>
      </c>
      <c r="Y150" s="397">
        <f t="shared" si="152"/>
        <v>0</v>
      </c>
      <c r="Z150" s="397">
        <f t="shared" si="152"/>
        <v>0</v>
      </c>
      <c r="AA150" s="397">
        <f t="shared" si="152"/>
        <v>0</v>
      </c>
      <c r="AB150" s="397">
        <f t="shared" si="152"/>
        <v>0</v>
      </c>
      <c r="AC150" s="397">
        <f t="shared" si="152"/>
        <v>0</v>
      </c>
      <c r="AD150" s="397">
        <f t="shared" si="152"/>
        <v>0</v>
      </c>
      <c r="AE150" s="397">
        <f t="shared" si="152"/>
        <v>0</v>
      </c>
      <c r="AF150" s="397">
        <f t="shared" si="152"/>
        <v>0</v>
      </c>
      <c r="AG150" s="397">
        <f t="shared" si="152"/>
        <v>0</v>
      </c>
      <c r="AH150" s="397">
        <f t="shared" si="152"/>
        <v>0</v>
      </c>
      <c r="AI150" s="397">
        <f t="shared" si="152"/>
        <v>0</v>
      </c>
      <c r="AJ150" s="397">
        <f t="shared" si="152"/>
        <v>0</v>
      </c>
      <c r="AK150" s="397">
        <f t="shared" si="152"/>
        <v>0</v>
      </c>
      <c r="AL150" s="397">
        <f t="shared" si="152"/>
        <v>0</v>
      </c>
      <c r="AM150" s="397">
        <f t="shared" si="152"/>
        <v>0</v>
      </c>
      <c r="AN150" s="397">
        <f t="shared" si="152"/>
        <v>0</v>
      </c>
      <c r="AO150" s="397">
        <f t="shared" si="152"/>
        <v>0</v>
      </c>
      <c r="AP150" s="397">
        <f t="shared" si="152"/>
        <v>0</v>
      </c>
      <c r="AQ150" s="397">
        <f t="shared" si="152"/>
        <v>0</v>
      </c>
      <c r="AR150" s="397">
        <f t="shared" si="152"/>
        <v>0</v>
      </c>
      <c r="AS150" s="397">
        <f t="shared" si="152"/>
        <v>0</v>
      </c>
      <c r="AT150" s="397">
        <f t="shared" si="152"/>
        <v>0</v>
      </c>
      <c r="AU150" s="397">
        <f t="shared" si="152"/>
        <v>0</v>
      </c>
      <c r="AV150" s="397">
        <f t="shared" si="152"/>
        <v>0</v>
      </c>
      <c r="AW150" s="397">
        <f t="shared" si="152"/>
        <v>0</v>
      </c>
      <c r="AX150" s="397">
        <f t="shared" si="152"/>
        <v>0</v>
      </c>
      <c r="AY150" s="397">
        <f t="shared" si="152"/>
        <v>0</v>
      </c>
      <c r="AZ150" s="397">
        <f t="shared" si="152"/>
        <v>0</v>
      </c>
      <c r="BA150" s="397">
        <f t="shared" si="152"/>
        <v>0</v>
      </c>
    </row>
    <row r="151" spans="2:53">
      <c r="B151" s="398">
        <f t="shared" ref="B151:B199" si="154">B150+1</f>
        <v>2022</v>
      </c>
      <c r="C151" s="397">
        <f t="shared" si="153"/>
        <v>0</v>
      </c>
      <c r="D151" s="397">
        <f t="shared" si="152"/>
        <v>0</v>
      </c>
      <c r="E151" s="397">
        <f t="shared" si="152"/>
        <v>0</v>
      </c>
      <c r="F151" s="397">
        <f t="shared" si="152"/>
        <v>0.70503070087024322</v>
      </c>
      <c r="G151" s="397">
        <f t="shared" si="152"/>
        <v>0.70503070087024322</v>
      </c>
      <c r="H151" s="397">
        <f t="shared" si="152"/>
        <v>0.70503070087024322</v>
      </c>
      <c r="I151" s="397">
        <f t="shared" si="152"/>
        <v>0.70503070087024322</v>
      </c>
      <c r="J151" s="397">
        <f t="shared" si="152"/>
        <v>0.70503070087024322</v>
      </c>
      <c r="K151" s="397">
        <f t="shared" si="152"/>
        <v>0.70503070087024322</v>
      </c>
      <c r="L151" s="397">
        <f t="shared" si="152"/>
        <v>0.70503070087024322</v>
      </c>
      <c r="M151" s="397">
        <f t="shared" si="152"/>
        <v>0.70503070087024322</v>
      </c>
      <c r="N151" s="397">
        <f t="shared" si="152"/>
        <v>0.70503070087024322</v>
      </c>
      <c r="O151" s="397">
        <f t="shared" si="152"/>
        <v>0.70503070087024322</v>
      </c>
      <c r="P151" s="397">
        <f t="shared" si="152"/>
        <v>0</v>
      </c>
      <c r="Q151" s="397">
        <f t="shared" si="152"/>
        <v>0</v>
      </c>
      <c r="R151" s="397">
        <f t="shared" si="152"/>
        <v>0</v>
      </c>
      <c r="S151" s="397">
        <f t="shared" si="152"/>
        <v>0</v>
      </c>
      <c r="T151" s="397">
        <f t="shared" si="152"/>
        <v>0</v>
      </c>
      <c r="U151" s="397">
        <f t="shared" si="152"/>
        <v>0</v>
      </c>
      <c r="V151" s="397">
        <f t="shared" si="152"/>
        <v>0</v>
      </c>
      <c r="W151" s="397">
        <f t="shared" si="152"/>
        <v>0</v>
      </c>
      <c r="X151" s="397">
        <f t="shared" si="152"/>
        <v>0</v>
      </c>
      <c r="Y151" s="397">
        <f t="shared" si="152"/>
        <v>0</v>
      </c>
      <c r="Z151" s="397">
        <f t="shared" si="152"/>
        <v>0</v>
      </c>
      <c r="AA151" s="397">
        <f t="shared" si="152"/>
        <v>0</v>
      </c>
      <c r="AB151" s="397">
        <f t="shared" si="152"/>
        <v>0</v>
      </c>
      <c r="AC151" s="397">
        <f t="shared" si="152"/>
        <v>0</v>
      </c>
      <c r="AD151" s="397">
        <f t="shared" si="152"/>
        <v>0</v>
      </c>
      <c r="AE151" s="397">
        <f t="shared" si="152"/>
        <v>0</v>
      </c>
      <c r="AF151" s="397">
        <f t="shared" si="152"/>
        <v>0</v>
      </c>
      <c r="AG151" s="397">
        <f t="shared" si="152"/>
        <v>0</v>
      </c>
      <c r="AH151" s="397">
        <f t="shared" si="152"/>
        <v>0</v>
      </c>
      <c r="AI151" s="397">
        <f t="shared" si="152"/>
        <v>0</v>
      </c>
      <c r="AJ151" s="397">
        <f t="shared" si="152"/>
        <v>0</v>
      </c>
      <c r="AK151" s="397">
        <f t="shared" si="152"/>
        <v>0</v>
      </c>
      <c r="AL151" s="397">
        <f t="shared" si="152"/>
        <v>0</v>
      </c>
      <c r="AM151" s="397">
        <f t="shared" si="152"/>
        <v>0</v>
      </c>
      <c r="AN151" s="397">
        <f t="shared" si="152"/>
        <v>0</v>
      </c>
      <c r="AO151" s="397">
        <f t="shared" si="152"/>
        <v>0</v>
      </c>
      <c r="AP151" s="397">
        <f t="shared" si="152"/>
        <v>0</v>
      </c>
      <c r="AQ151" s="397">
        <f t="shared" si="152"/>
        <v>0</v>
      </c>
      <c r="AR151" s="397">
        <f t="shared" si="152"/>
        <v>0</v>
      </c>
      <c r="AS151" s="397">
        <f t="shared" si="152"/>
        <v>0</v>
      </c>
      <c r="AT151" s="397">
        <f t="shared" si="152"/>
        <v>0</v>
      </c>
      <c r="AU151" s="397">
        <f t="shared" si="152"/>
        <v>0</v>
      </c>
      <c r="AV151" s="397">
        <f t="shared" si="152"/>
        <v>0</v>
      </c>
      <c r="AW151" s="397">
        <f t="shared" si="152"/>
        <v>0</v>
      </c>
      <c r="AX151" s="397">
        <f t="shared" si="152"/>
        <v>0</v>
      </c>
      <c r="AY151" s="397">
        <f t="shared" si="152"/>
        <v>0</v>
      </c>
      <c r="AZ151" s="397">
        <f t="shared" si="152"/>
        <v>0</v>
      </c>
      <c r="BA151" s="397">
        <f t="shared" si="152"/>
        <v>0</v>
      </c>
    </row>
    <row r="152" spans="2:53">
      <c r="B152" s="398">
        <f t="shared" si="154"/>
        <v>2023</v>
      </c>
      <c r="C152" s="397">
        <f t="shared" si="153"/>
        <v>0</v>
      </c>
      <c r="D152" s="397">
        <f t="shared" si="152"/>
        <v>0</v>
      </c>
      <c r="E152" s="397">
        <f t="shared" si="152"/>
        <v>0</v>
      </c>
      <c r="F152" s="397">
        <f t="shared" si="152"/>
        <v>0</v>
      </c>
      <c r="G152" s="397">
        <f t="shared" si="152"/>
        <v>0.72442071701613286</v>
      </c>
      <c r="H152" s="397">
        <f t="shared" si="152"/>
        <v>0.72442071701613286</v>
      </c>
      <c r="I152" s="397">
        <f t="shared" si="152"/>
        <v>0.72442071701613286</v>
      </c>
      <c r="J152" s="397">
        <f t="shared" si="152"/>
        <v>0.72442071701613286</v>
      </c>
      <c r="K152" s="397">
        <f t="shared" si="152"/>
        <v>0.72442071701613286</v>
      </c>
      <c r="L152" s="397">
        <f t="shared" si="152"/>
        <v>0.72442071701613286</v>
      </c>
      <c r="M152" s="397">
        <f t="shared" si="152"/>
        <v>0.72442071701613286</v>
      </c>
      <c r="N152" s="397">
        <f t="shared" si="152"/>
        <v>0.72442071701613286</v>
      </c>
      <c r="O152" s="397">
        <f t="shared" si="152"/>
        <v>0.72442071701613286</v>
      </c>
      <c r="P152" s="397">
        <f t="shared" si="152"/>
        <v>0.72442071701613286</v>
      </c>
      <c r="Q152" s="397">
        <f t="shared" si="152"/>
        <v>0</v>
      </c>
      <c r="R152" s="397">
        <f t="shared" si="152"/>
        <v>0</v>
      </c>
      <c r="S152" s="397">
        <f t="shared" si="152"/>
        <v>0</v>
      </c>
      <c r="T152" s="397">
        <f t="shared" si="152"/>
        <v>0</v>
      </c>
      <c r="U152" s="397">
        <f t="shared" si="152"/>
        <v>0</v>
      </c>
      <c r="V152" s="397">
        <f t="shared" si="152"/>
        <v>0</v>
      </c>
      <c r="W152" s="397">
        <f t="shared" si="152"/>
        <v>0</v>
      </c>
      <c r="X152" s="397">
        <f t="shared" si="152"/>
        <v>0</v>
      </c>
      <c r="Y152" s="397">
        <f t="shared" si="152"/>
        <v>0</v>
      </c>
      <c r="Z152" s="397">
        <f t="shared" si="152"/>
        <v>0</v>
      </c>
      <c r="AA152" s="397">
        <f t="shared" si="152"/>
        <v>0</v>
      </c>
      <c r="AB152" s="397">
        <f t="shared" si="152"/>
        <v>0</v>
      </c>
      <c r="AC152" s="397">
        <f t="shared" si="152"/>
        <v>0</v>
      </c>
      <c r="AD152" s="397">
        <f t="shared" si="152"/>
        <v>0</v>
      </c>
      <c r="AE152" s="397">
        <f t="shared" si="152"/>
        <v>0</v>
      </c>
      <c r="AF152" s="397">
        <f t="shared" si="152"/>
        <v>0</v>
      </c>
      <c r="AG152" s="397">
        <f t="shared" si="152"/>
        <v>0</v>
      </c>
      <c r="AH152" s="397">
        <f t="shared" si="152"/>
        <v>0</v>
      </c>
      <c r="AI152" s="397">
        <f t="shared" si="152"/>
        <v>0</v>
      </c>
      <c r="AJ152" s="397">
        <f t="shared" si="152"/>
        <v>0</v>
      </c>
      <c r="AK152" s="397">
        <f t="shared" si="152"/>
        <v>0</v>
      </c>
      <c r="AL152" s="397">
        <f t="shared" si="152"/>
        <v>0</v>
      </c>
      <c r="AM152" s="397">
        <f t="shared" si="152"/>
        <v>0</v>
      </c>
      <c r="AN152" s="397">
        <f t="shared" si="152"/>
        <v>0</v>
      </c>
      <c r="AO152" s="397">
        <f t="shared" si="152"/>
        <v>0</v>
      </c>
      <c r="AP152" s="397">
        <f t="shared" si="152"/>
        <v>0</v>
      </c>
      <c r="AQ152" s="397">
        <f t="shared" si="152"/>
        <v>0</v>
      </c>
      <c r="AR152" s="397">
        <f t="shared" si="152"/>
        <v>0</v>
      </c>
      <c r="AS152" s="397">
        <f t="shared" si="152"/>
        <v>0</v>
      </c>
      <c r="AT152" s="397">
        <f t="shared" si="152"/>
        <v>0</v>
      </c>
      <c r="AU152" s="397">
        <f t="shared" si="152"/>
        <v>0</v>
      </c>
      <c r="AV152" s="397">
        <f t="shared" si="152"/>
        <v>0</v>
      </c>
      <c r="AW152" s="397">
        <f t="shared" si="152"/>
        <v>0</v>
      </c>
      <c r="AX152" s="397">
        <f t="shared" si="152"/>
        <v>0</v>
      </c>
      <c r="AY152" s="397">
        <f t="shared" si="152"/>
        <v>0</v>
      </c>
      <c r="AZ152" s="397">
        <f t="shared" si="152"/>
        <v>0</v>
      </c>
      <c r="BA152" s="397">
        <f t="shared" si="152"/>
        <v>0</v>
      </c>
    </row>
    <row r="153" spans="2:53">
      <c r="B153" s="398">
        <f t="shared" si="154"/>
        <v>2024</v>
      </c>
      <c r="C153" s="397">
        <f t="shared" si="153"/>
        <v>0</v>
      </c>
      <c r="D153" s="397">
        <f t="shared" si="152"/>
        <v>0</v>
      </c>
      <c r="E153" s="397">
        <f t="shared" si="152"/>
        <v>0</v>
      </c>
      <c r="F153" s="397">
        <f t="shared" si="152"/>
        <v>0</v>
      </c>
      <c r="G153" s="397">
        <f t="shared" si="152"/>
        <v>0</v>
      </c>
      <c r="H153" s="397">
        <f t="shared" si="152"/>
        <v>23.285449910179626</v>
      </c>
      <c r="I153" s="397">
        <f t="shared" si="152"/>
        <v>23.285449910179626</v>
      </c>
      <c r="J153" s="397">
        <f t="shared" si="152"/>
        <v>23.285449910179626</v>
      </c>
      <c r="K153" s="397">
        <f t="shared" si="152"/>
        <v>23.285449910179626</v>
      </c>
      <c r="L153" s="397">
        <f t="shared" si="152"/>
        <v>23.285449910179626</v>
      </c>
      <c r="M153" s="397">
        <f t="shared" si="152"/>
        <v>23.285449910179626</v>
      </c>
      <c r="N153" s="397">
        <f t="shared" si="152"/>
        <v>23.285449910179626</v>
      </c>
      <c r="O153" s="397">
        <f t="shared" si="152"/>
        <v>23.285449910179626</v>
      </c>
      <c r="P153" s="397">
        <f t="shared" si="152"/>
        <v>23.285449910179626</v>
      </c>
      <c r="Q153" s="397">
        <f t="shared" si="152"/>
        <v>23.285449910179626</v>
      </c>
      <c r="R153" s="397">
        <f t="shared" si="152"/>
        <v>0</v>
      </c>
      <c r="S153" s="397">
        <f t="shared" si="152"/>
        <v>0</v>
      </c>
      <c r="T153" s="397">
        <f t="shared" si="152"/>
        <v>0</v>
      </c>
      <c r="U153" s="397">
        <f t="shared" si="152"/>
        <v>0</v>
      </c>
      <c r="V153" s="397">
        <f t="shared" si="152"/>
        <v>0</v>
      </c>
      <c r="W153" s="397">
        <f t="shared" si="152"/>
        <v>0</v>
      </c>
      <c r="X153" s="397">
        <f t="shared" si="152"/>
        <v>0</v>
      </c>
      <c r="Y153" s="397">
        <f t="shared" si="152"/>
        <v>0</v>
      </c>
      <c r="Z153" s="397">
        <f t="shared" si="152"/>
        <v>0</v>
      </c>
      <c r="AA153" s="397">
        <f t="shared" si="152"/>
        <v>0</v>
      </c>
      <c r="AB153" s="397">
        <f t="shared" si="152"/>
        <v>0</v>
      </c>
      <c r="AC153" s="397">
        <f t="shared" si="152"/>
        <v>0</v>
      </c>
      <c r="AD153" s="397">
        <f t="shared" si="152"/>
        <v>0</v>
      </c>
      <c r="AE153" s="397">
        <f t="shared" si="152"/>
        <v>0</v>
      </c>
      <c r="AF153" s="397">
        <f t="shared" si="152"/>
        <v>0</v>
      </c>
      <c r="AG153" s="397">
        <f t="shared" si="152"/>
        <v>0</v>
      </c>
      <c r="AH153" s="397">
        <f t="shared" si="152"/>
        <v>0</v>
      </c>
      <c r="AI153" s="397">
        <f t="shared" si="152"/>
        <v>0</v>
      </c>
      <c r="AJ153" s="397">
        <f t="shared" si="152"/>
        <v>0</v>
      </c>
      <c r="AK153" s="397">
        <f t="shared" si="152"/>
        <v>0</v>
      </c>
      <c r="AL153" s="397">
        <f t="shared" si="152"/>
        <v>0</v>
      </c>
      <c r="AM153" s="397">
        <f t="shared" si="152"/>
        <v>0</v>
      </c>
      <c r="AN153" s="397">
        <f t="shared" si="152"/>
        <v>0</v>
      </c>
      <c r="AO153" s="397">
        <f t="shared" si="152"/>
        <v>0</v>
      </c>
      <c r="AP153" s="397">
        <f t="shared" si="152"/>
        <v>0</v>
      </c>
      <c r="AQ153" s="397">
        <f t="shared" si="152"/>
        <v>0</v>
      </c>
      <c r="AR153" s="397">
        <f t="shared" si="152"/>
        <v>0</v>
      </c>
      <c r="AS153" s="397">
        <f t="shared" si="152"/>
        <v>0</v>
      </c>
      <c r="AT153" s="397">
        <f t="shared" si="152"/>
        <v>0</v>
      </c>
      <c r="AU153" s="397">
        <f t="shared" si="152"/>
        <v>0</v>
      </c>
      <c r="AV153" s="397">
        <f t="shared" si="152"/>
        <v>0</v>
      </c>
      <c r="AW153" s="397">
        <f t="shared" si="152"/>
        <v>0</v>
      </c>
      <c r="AX153" s="397">
        <f t="shared" si="152"/>
        <v>0</v>
      </c>
      <c r="AY153" s="397">
        <f t="shared" si="152"/>
        <v>0</v>
      </c>
      <c r="AZ153" s="397">
        <f t="shared" si="152"/>
        <v>0</v>
      </c>
      <c r="BA153" s="397">
        <f t="shared" si="152"/>
        <v>0</v>
      </c>
    </row>
    <row r="154" spans="2:53">
      <c r="B154" s="398">
        <f t="shared" si="154"/>
        <v>2025</v>
      </c>
      <c r="C154" s="397">
        <f t="shared" si="153"/>
        <v>0</v>
      </c>
      <c r="D154" s="397">
        <f t="shared" si="152"/>
        <v>0</v>
      </c>
      <c r="E154" s="397">
        <f t="shared" si="152"/>
        <v>0</v>
      </c>
      <c r="F154" s="397">
        <f t="shared" si="152"/>
        <v>0</v>
      </c>
      <c r="G154" s="397">
        <f t="shared" si="152"/>
        <v>0</v>
      </c>
      <c r="H154" s="397">
        <f t="shared" si="152"/>
        <v>0</v>
      </c>
      <c r="I154" s="397">
        <f t="shared" ref="I154:X169" si="155">IF($B154&gt;=I$148,0,        IF(I$148-$B154&lt;=$C$139,    INDEX($C$124:$BA$124, MATCH($B154, $C$123:$BA$123,0)),       0))</f>
        <v>21.335368026951226</v>
      </c>
      <c r="J154" s="397">
        <f t="shared" si="155"/>
        <v>21.335368026951226</v>
      </c>
      <c r="K154" s="397">
        <f t="shared" si="155"/>
        <v>21.335368026951226</v>
      </c>
      <c r="L154" s="397">
        <f t="shared" si="155"/>
        <v>21.335368026951226</v>
      </c>
      <c r="M154" s="397">
        <f t="shared" si="155"/>
        <v>21.335368026951226</v>
      </c>
      <c r="N154" s="397">
        <f t="shared" si="155"/>
        <v>21.335368026951226</v>
      </c>
      <c r="O154" s="397">
        <f t="shared" si="155"/>
        <v>21.335368026951226</v>
      </c>
      <c r="P154" s="397">
        <f t="shared" si="155"/>
        <v>21.335368026951226</v>
      </c>
      <c r="Q154" s="397">
        <f t="shared" si="155"/>
        <v>21.335368026951226</v>
      </c>
      <c r="R154" s="397">
        <f t="shared" si="155"/>
        <v>21.335368026951226</v>
      </c>
      <c r="S154" s="397">
        <f t="shared" si="155"/>
        <v>0</v>
      </c>
      <c r="T154" s="397">
        <f t="shared" si="155"/>
        <v>0</v>
      </c>
      <c r="U154" s="397">
        <f t="shared" si="155"/>
        <v>0</v>
      </c>
      <c r="V154" s="397">
        <f t="shared" si="155"/>
        <v>0</v>
      </c>
      <c r="W154" s="397">
        <f t="shared" si="155"/>
        <v>0</v>
      </c>
      <c r="X154" s="397">
        <f t="shared" si="155"/>
        <v>0</v>
      </c>
      <c r="Y154" s="397">
        <f t="shared" ref="Y154:AN169" si="156">IF($B154&gt;=Y$148,0,        IF(Y$148-$B154&lt;=$C$139,    INDEX($C$124:$BA$124, MATCH($B154, $C$123:$BA$123,0)),       0))</f>
        <v>0</v>
      </c>
      <c r="Z154" s="397">
        <f t="shared" si="156"/>
        <v>0</v>
      </c>
      <c r="AA154" s="397">
        <f t="shared" si="156"/>
        <v>0</v>
      </c>
      <c r="AB154" s="397">
        <f t="shared" si="156"/>
        <v>0</v>
      </c>
      <c r="AC154" s="397">
        <f t="shared" si="156"/>
        <v>0</v>
      </c>
      <c r="AD154" s="397">
        <f t="shared" si="156"/>
        <v>0</v>
      </c>
      <c r="AE154" s="397">
        <f t="shared" si="156"/>
        <v>0</v>
      </c>
      <c r="AF154" s="397">
        <f t="shared" si="156"/>
        <v>0</v>
      </c>
      <c r="AG154" s="397">
        <f t="shared" si="156"/>
        <v>0</v>
      </c>
      <c r="AH154" s="397">
        <f t="shared" si="156"/>
        <v>0</v>
      </c>
      <c r="AI154" s="397">
        <f t="shared" si="156"/>
        <v>0</v>
      </c>
      <c r="AJ154" s="397">
        <f t="shared" si="156"/>
        <v>0</v>
      </c>
      <c r="AK154" s="397">
        <f t="shared" si="156"/>
        <v>0</v>
      </c>
      <c r="AL154" s="397">
        <f t="shared" si="156"/>
        <v>0</v>
      </c>
      <c r="AM154" s="397">
        <f t="shared" si="156"/>
        <v>0</v>
      </c>
      <c r="AN154" s="397">
        <f t="shared" si="156"/>
        <v>0</v>
      </c>
      <c r="AO154" s="397">
        <f t="shared" ref="AO154:BA168" si="157">IF($B154&gt;=AO$148,0,        IF(AO$148-$B154&lt;=$C$139,    INDEX($C$124:$BA$124, MATCH($B154, $C$123:$BA$123,0)),       0))</f>
        <v>0</v>
      </c>
      <c r="AP154" s="397">
        <f t="shared" si="157"/>
        <v>0</v>
      </c>
      <c r="AQ154" s="397">
        <f t="shared" si="157"/>
        <v>0</v>
      </c>
      <c r="AR154" s="397">
        <f t="shared" si="157"/>
        <v>0</v>
      </c>
      <c r="AS154" s="397">
        <f t="shared" si="157"/>
        <v>0</v>
      </c>
      <c r="AT154" s="397">
        <f t="shared" si="157"/>
        <v>0</v>
      </c>
      <c r="AU154" s="397">
        <f t="shared" si="157"/>
        <v>0</v>
      </c>
      <c r="AV154" s="397">
        <f t="shared" si="157"/>
        <v>0</v>
      </c>
      <c r="AW154" s="397">
        <f t="shared" si="157"/>
        <v>0</v>
      </c>
      <c r="AX154" s="397">
        <f t="shared" si="157"/>
        <v>0</v>
      </c>
      <c r="AY154" s="397">
        <f t="shared" si="157"/>
        <v>0</v>
      </c>
      <c r="AZ154" s="397">
        <f t="shared" si="157"/>
        <v>0</v>
      </c>
      <c r="BA154" s="397">
        <f t="shared" si="157"/>
        <v>0</v>
      </c>
    </row>
    <row r="155" spans="2:53">
      <c r="B155" s="398">
        <f t="shared" si="154"/>
        <v>2026</v>
      </c>
      <c r="C155" s="397">
        <f t="shared" si="153"/>
        <v>0</v>
      </c>
      <c r="D155" s="397">
        <f t="shared" si="153"/>
        <v>0</v>
      </c>
      <c r="E155" s="397">
        <f t="shared" si="153"/>
        <v>0</v>
      </c>
      <c r="F155" s="397">
        <f t="shared" si="153"/>
        <v>0</v>
      </c>
      <c r="G155" s="397">
        <f t="shared" si="153"/>
        <v>0</v>
      </c>
      <c r="H155" s="397">
        <f t="shared" si="153"/>
        <v>0</v>
      </c>
      <c r="I155" s="397">
        <f t="shared" si="153"/>
        <v>0</v>
      </c>
      <c r="J155" s="397">
        <f t="shared" si="153"/>
        <v>20.105637589794046</v>
      </c>
      <c r="K155" s="397">
        <f t="shared" si="153"/>
        <v>20.105637589794046</v>
      </c>
      <c r="L155" s="397">
        <f t="shared" si="153"/>
        <v>20.105637589794046</v>
      </c>
      <c r="M155" s="397">
        <f t="shared" si="153"/>
        <v>20.105637589794046</v>
      </c>
      <c r="N155" s="397">
        <f t="shared" si="153"/>
        <v>20.105637589794046</v>
      </c>
      <c r="O155" s="397">
        <f t="shared" si="153"/>
        <v>20.105637589794046</v>
      </c>
      <c r="P155" s="397">
        <f t="shared" si="153"/>
        <v>20.105637589794046</v>
      </c>
      <c r="Q155" s="397">
        <f t="shared" si="153"/>
        <v>20.105637589794046</v>
      </c>
      <c r="R155" s="397">
        <f t="shared" si="153"/>
        <v>20.105637589794046</v>
      </c>
      <c r="S155" s="397">
        <f t="shared" si="155"/>
        <v>20.105637589794046</v>
      </c>
      <c r="T155" s="397">
        <f t="shared" si="155"/>
        <v>0</v>
      </c>
      <c r="U155" s="397">
        <f t="shared" si="155"/>
        <v>0</v>
      </c>
      <c r="V155" s="397">
        <f t="shared" si="155"/>
        <v>0</v>
      </c>
      <c r="W155" s="397">
        <f t="shared" si="155"/>
        <v>0</v>
      </c>
      <c r="X155" s="397">
        <f t="shared" si="155"/>
        <v>0</v>
      </c>
      <c r="Y155" s="397">
        <f t="shared" si="156"/>
        <v>0</v>
      </c>
      <c r="Z155" s="397">
        <f t="shared" si="156"/>
        <v>0</v>
      </c>
      <c r="AA155" s="397">
        <f t="shared" si="156"/>
        <v>0</v>
      </c>
      <c r="AB155" s="397">
        <f t="shared" si="156"/>
        <v>0</v>
      </c>
      <c r="AC155" s="397">
        <f t="shared" si="156"/>
        <v>0</v>
      </c>
      <c r="AD155" s="397">
        <f t="shared" si="156"/>
        <v>0</v>
      </c>
      <c r="AE155" s="397">
        <f t="shared" si="156"/>
        <v>0</v>
      </c>
      <c r="AF155" s="397">
        <f t="shared" si="156"/>
        <v>0</v>
      </c>
      <c r="AG155" s="397">
        <f t="shared" si="156"/>
        <v>0</v>
      </c>
      <c r="AH155" s="397">
        <f t="shared" si="156"/>
        <v>0</v>
      </c>
      <c r="AI155" s="397">
        <f t="shared" si="156"/>
        <v>0</v>
      </c>
      <c r="AJ155" s="397">
        <f t="shared" si="156"/>
        <v>0</v>
      </c>
      <c r="AK155" s="397">
        <f t="shared" si="156"/>
        <v>0</v>
      </c>
      <c r="AL155" s="397">
        <f t="shared" si="156"/>
        <v>0</v>
      </c>
      <c r="AM155" s="397">
        <f t="shared" si="156"/>
        <v>0</v>
      </c>
      <c r="AN155" s="397">
        <f t="shared" si="156"/>
        <v>0</v>
      </c>
      <c r="AO155" s="397">
        <f t="shared" si="157"/>
        <v>0</v>
      </c>
      <c r="AP155" s="397">
        <f t="shared" si="157"/>
        <v>0</v>
      </c>
      <c r="AQ155" s="397">
        <f t="shared" si="157"/>
        <v>0</v>
      </c>
      <c r="AR155" s="397">
        <f t="shared" si="157"/>
        <v>0</v>
      </c>
      <c r="AS155" s="397">
        <f t="shared" si="157"/>
        <v>0</v>
      </c>
      <c r="AT155" s="397">
        <f t="shared" si="157"/>
        <v>0</v>
      </c>
      <c r="AU155" s="397">
        <f t="shared" si="157"/>
        <v>0</v>
      </c>
      <c r="AV155" s="397">
        <f t="shared" si="157"/>
        <v>0</v>
      </c>
      <c r="AW155" s="397">
        <f t="shared" si="157"/>
        <v>0</v>
      </c>
      <c r="AX155" s="397">
        <f t="shared" si="157"/>
        <v>0</v>
      </c>
      <c r="AY155" s="397">
        <f t="shared" si="157"/>
        <v>0</v>
      </c>
      <c r="AZ155" s="397">
        <f t="shared" si="157"/>
        <v>0</v>
      </c>
      <c r="BA155" s="397">
        <f t="shared" si="157"/>
        <v>0</v>
      </c>
    </row>
    <row r="156" spans="2:53">
      <c r="B156" s="398">
        <f t="shared" si="154"/>
        <v>2027</v>
      </c>
      <c r="C156" s="397">
        <f t="shared" si="153"/>
        <v>0</v>
      </c>
      <c r="D156" s="397">
        <f t="shared" si="153"/>
        <v>0</v>
      </c>
      <c r="E156" s="397">
        <f t="shared" si="153"/>
        <v>0</v>
      </c>
      <c r="F156" s="397">
        <f t="shared" si="153"/>
        <v>0</v>
      </c>
      <c r="G156" s="397">
        <f t="shared" si="153"/>
        <v>0</v>
      </c>
      <c r="H156" s="397">
        <f t="shared" si="153"/>
        <v>0</v>
      </c>
      <c r="I156" s="397">
        <f t="shared" si="153"/>
        <v>0</v>
      </c>
      <c r="J156" s="397">
        <f t="shared" si="153"/>
        <v>0</v>
      </c>
      <c r="K156" s="397">
        <f t="shared" si="153"/>
        <v>19.36814077875583</v>
      </c>
      <c r="L156" s="397">
        <f t="shared" si="153"/>
        <v>19.36814077875583</v>
      </c>
      <c r="M156" s="397">
        <f t="shared" si="153"/>
        <v>19.36814077875583</v>
      </c>
      <c r="N156" s="397">
        <f t="shared" si="153"/>
        <v>19.36814077875583</v>
      </c>
      <c r="O156" s="397">
        <f t="shared" si="153"/>
        <v>19.36814077875583</v>
      </c>
      <c r="P156" s="397">
        <f t="shared" si="153"/>
        <v>19.36814077875583</v>
      </c>
      <c r="Q156" s="397">
        <f t="shared" si="153"/>
        <v>19.36814077875583</v>
      </c>
      <c r="R156" s="397">
        <f t="shared" si="153"/>
        <v>19.36814077875583</v>
      </c>
      <c r="S156" s="397">
        <f t="shared" si="155"/>
        <v>19.36814077875583</v>
      </c>
      <c r="T156" s="397">
        <f t="shared" si="155"/>
        <v>19.36814077875583</v>
      </c>
      <c r="U156" s="397">
        <f t="shared" si="155"/>
        <v>0</v>
      </c>
      <c r="V156" s="397">
        <f t="shared" si="155"/>
        <v>0</v>
      </c>
      <c r="W156" s="397">
        <f t="shared" si="155"/>
        <v>0</v>
      </c>
      <c r="X156" s="397">
        <f t="shared" si="155"/>
        <v>0</v>
      </c>
      <c r="Y156" s="397">
        <f t="shared" si="156"/>
        <v>0</v>
      </c>
      <c r="Z156" s="397">
        <f t="shared" si="156"/>
        <v>0</v>
      </c>
      <c r="AA156" s="397">
        <f t="shared" si="156"/>
        <v>0</v>
      </c>
      <c r="AB156" s="397">
        <f t="shared" si="156"/>
        <v>0</v>
      </c>
      <c r="AC156" s="397">
        <f t="shared" si="156"/>
        <v>0</v>
      </c>
      <c r="AD156" s="397">
        <f t="shared" si="156"/>
        <v>0</v>
      </c>
      <c r="AE156" s="397">
        <f t="shared" si="156"/>
        <v>0</v>
      </c>
      <c r="AF156" s="397">
        <f t="shared" si="156"/>
        <v>0</v>
      </c>
      <c r="AG156" s="397">
        <f t="shared" si="156"/>
        <v>0</v>
      </c>
      <c r="AH156" s="397">
        <f t="shared" si="156"/>
        <v>0</v>
      </c>
      <c r="AI156" s="397">
        <f t="shared" si="156"/>
        <v>0</v>
      </c>
      <c r="AJ156" s="397">
        <f t="shared" si="156"/>
        <v>0</v>
      </c>
      <c r="AK156" s="397">
        <f t="shared" si="156"/>
        <v>0</v>
      </c>
      <c r="AL156" s="397">
        <f t="shared" si="156"/>
        <v>0</v>
      </c>
      <c r="AM156" s="397">
        <f t="shared" si="156"/>
        <v>0</v>
      </c>
      <c r="AN156" s="397">
        <f t="shared" si="156"/>
        <v>0</v>
      </c>
      <c r="AO156" s="397">
        <f t="shared" si="157"/>
        <v>0</v>
      </c>
      <c r="AP156" s="397">
        <f t="shared" si="157"/>
        <v>0</v>
      </c>
      <c r="AQ156" s="397">
        <f t="shared" si="157"/>
        <v>0</v>
      </c>
      <c r="AR156" s="397">
        <f t="shared" si="157"/>
        <v>0</v>
      </c>
      <c r="AS156" s="397">
        <f t="shared" si="157"/>
        <v>0</v>
      </c>
      <c r="AT156" s="397">
        <f t="shared" si="157"/>
        <v>0</v>
      </c>
      <c r="AU156" s="397">
        <f t="shared" si="157"/>
        <v>0</v>
      </c>
      <c r="AV156" s="397">
        <f t="shared" si="157"/>
        <v>0</v>
      </c>
      <c r="AW156" s="397">
        <f t="shared" si="157"/>
        <v>0</v>
      </c>
      <c r="AX156" s="397">
        <f t="shared" si="157"/>
        <v>0</v>
      </c>
      <c r="AY156" s="397">
        <f t="shared" si="157"/>
        <v>0</v>
      </c>
      <c r="AZ156" s="397">
        <f t="shared" si="157"/>
        <v>0</v>
      </c>
      <c r="BA156" s="397">
        <f t="shared" si="157"/>
        <v>0</v>
      </c>
    </row>
    <row r="157" spans="2:53">
      <c r="B157" s="398">
        <f t="shared" si="154"/>
        <v>2028</v>
      </c>
      <c r="C157" s="397">
        <f t="shared" si="153"/>
        <v>0</v>
      </c>
      <c r="D157" s="397">
        <f t="shared" si="153"/>
        <v>0</v>
      </c>
      <c r="E157" s="397">
        <f t="shared" si="153"/>
        <v>0</v>
      </c>
      <c r="F157" s="397">
        <f t="shared" si="153"/>
        <v>0</v>
      </c>
      <c r="G157" s="397">
        <f t="shared" si="153"/>
        <v>0</v>
      </c>
      <c r="H157" s="397">
        <f t="shared" si="153"/>
        <v>0</v>
      </c>
      <c r="I157" s="397">
        <f t="shared" si="153"/>
        <v>0</v>
      </c>
      <c r="J157" s="397">
        <f t="shared" si="153"/>
        <v>0</v>
      </c>
      <c r="K157" s="397">
        <f t="shared" si="153"/>
        <v>0</v>
      </c>
      <c r="L157" s="397">
        <f t="shared" si="153"/>
        <v>18.996544314355909</v>
      </c>
      <c r="M157" s="397">
        <f t="shared" si="153"/>
        <v>18.996544314355909</v>
      </c>
      <c r="N157" s="397">
        <f t="shared" si="153"/>
        <v>18.996544314355909</v>
      </c>
      <c r="O157" s="397">
        <f t="shared" si="153"/>
        <v>18.996544314355909</v>
      </c>
      <c r="P157" s="397">
        <f t="shared" si="153"/>
        <v>18.996544314355909</v>
      </c>
      <c r="Q157" s="397">
        <f t="shared" si="153"/>
        <v>18.996544314355909</v>
      </c>
      <c r="R157" s="397">
        <f t="shared" si="153"/>
        <v>18.996544314355909</v>
      </c>
      <c r="S157" s="397">
        <f t="shared" si="155"/>
        <v>18.996544314355909</v>
      </c>
      <c r="T157" s="397">
        <f t="shared" si="155"/>
        <v>18.996544314355909</v>
      </c>
      <c r="U157" s="397">
        <f t="shared" si="155"/>
        <v>18.996544314355909</v>
      </c>
      <c r="V157" s="397">
        <f t="shared" si="155"/>
        <v>0</v>
      </c>
      <c r="W157" s="397">
        <f t="shared" si="155"/>
        <v>0</v>
      </c>
      <c r="X157" s="397">
        <f t="shared" si="155"/>
        <v>0</v>
      </c>
      <c r="Y157" s="397">
        <f t="shared" si="156"/>
        <v>0</v>
      </c>
      <c r="Z157" s="397">
        <f t="shared" si="156"/>
        <v>0</v>
      </c>
      <c r="AA157" s="397">
        <f t="shared" si="156"/>
        <v>0</v>
      </c>
      <c r="AB157" s="397">
        <f t="shared" si="156"/>
        <v>0</v>
      </c>
      <c r="AC157" s="397">
        <f t="shared" si="156"/>
        <v>0</v>
      </c>
      <c r="AD157" s="397">
        <f t="shared" si="156"/>
        <v>0</v>
      </c>
      <c r="AE157" s="397">
        <f t="shared" si="156"/>
        <v>0</v>
      </c>
      <c r="AF157" s="397">
        <f t="shared" si="156"/>
        <v>0</v>
      </c>
      <c r="AG157" s="397">
        <f t="shared" si="156"/>
        <v>0</v>
      </c>
      <c r="AH157" s="397">
        <f t="shared" si="156"/>
        <v>0</v>
      </c>
      <c r="AI157" s="397">
        <f t="shared" si="156"/>
        <v>0</v>
      </c>
      <c r="AJ157" s="397">
        <f t="shared" si="156"/>
        <v>0</v>
      </c>
      <c r="AK157" s="397">
        <f t="shared" si="156"/>
        <v>0</v>
      </c>
      <c r="AL157" s="397">
        <f t="shared" si="156"/>
        <v>0</v>
      </c>
      <c r="AM157" s="397">
        <f t="shared" si="156"/>
        <v>0</v>
      </c>
      <c r="AN157" s="397">
        <f t="shared" si="156"/>
        <v>0</v>
      </c>
      <c r="AO157" s="397">
        <f t="shared" si="157"/>
        <v>0</v>
      </c>
      <c r="AP157" s="397">
        <f t="shared" si="157"/>
        <v>0</v>
      </c>
      <c r="AQ157" s="397">
        <f t="shared" si="157"/>
        <v>0</v>
      </c>
      <c r="AR157" s="397">
        <f t="shared" si="157"/>
        <v>0</v>
      </c>
      <c r="AS157" s="397">
        <f t="shared" si="157"/>
        <v>0</v>
      </c>
      <c r="AT157" s="397">
        <f t="shared" si="157"/>
        <v>0</v>
      </c>
      <c r="AU157" s="397">
        <f t="shared" si="157"/>
        <v>0</v>
      </c>
      <c r="AV157" s="397">
        <f t="shared" si="157"/>
        <v>0</v>
      </c>
      <c r="AW157" s="397">
        <f t="shared" si="157"/>
        <v>0</v>
      </c>
      <c r="AX157" s="397">
        <f t="shared" si="157"/>
        <v>0</v>
      </c>
      <c r="AY157" s="397">
        <f t="shared" si="157"/>
        <v>0</v>
      </c>
      <c r="AZ157" s="397">
        <f t="shared" si="157"/>
        <v>0</v>
      </c>
      <c r="BA157" s="397">
        <f t="shared" si="157"/>
        <v>0</v>
      </c>
    </row>
    <row r="158" spans="2:53">
      <c r="B158" s="398">
        <f t="shared" si="154"/>
        <v>2029</v>
      </c>
      <c r="C158" s="397">
        <f t="shared" si="153"/>
        <v>0</v>
      </c>
      <c r="D158" s="397">
        <f t="shared" si="153"/>
        <v>0</v>
      </c>
      <c r="E158" s="397">
        <f t="shared" si="153"/>
        <v>0</v>
      </c>
      <c r="F158" s="397">
        <f t="shared" si="153"/>
        <v>0</v>
      </c>
      <c r="G158" s="397">
        <f t="shared" si="153"/>
        <v>0</v>
      </c>
      <c r="H158" s="397">
        <f t="shared" si="153"/>
        <v>0</v>
      </c>
      <c r="I158" s="397">
        <f t="shared" si="153"/>
        <v>0</v>
      </c>
      <c r="J158" s="397">
        <f t="shared" si="153"/>
        <v>0</v>
      </c>
      <c r="K158" s="397">
        <f t="shared" si="153"/>
        <v>0</v>
      </c>
      <c r="L158" s="397">
        <f t="shared" si="153"/>
        <v>0</v>
      </c>
      <c r="M158" s="397">
        <f t="shared" si="153"/>
        <v>18.855547130270068</v>
      </c>
      <c r="N158" s="397">
        <f t="shared" si="153"/>
        <v>18.855547130270068</v>
      </c>
      <c r="O158" s="397">
        <f t="shared" si="153"/>
        <v>18.855547130270068</v>
      </c>
      <c r="P158" s="397">
        <f t="shared" si="153"/>
        <v>18.855547130270068</v>
      </c>
      <c r="Q158" s="397">
        <f t="shared" si="153"/>
        <v>18.855547130270068</v>
      </c>
      <c r="R158" s="397">
        <f t="shared" si="153"/>
        <v>18.855547130270068</v>
      </c>
      <c r="S158" s="397">
        <f t="shared" si="155"/>
        <v>18.855547130270068</v>
      </c>
      <c r="T158" s="397">
        <f t="shared" si="155"/>
        <v>18.855547130270068</v>
      </c>
      <c r="U158" s="397">
        <f t="shared" si="155"/>
        <v>18.855547130270068</v>
      </c>
      <c r="V158" s="397">
        <f t="shared" si="155"/>
        <v>18.855547130270068</v>
      </c>
      <c r="W158" s="397">
        <f t="shared" si="155"/>
        <v>0</v>
      </c>
      <c r="X158" s="397">
        <f t="shared" si="155"/>
        <v>0</v>
      </c>
      <c r="Y158" s="397">
        <f t="shared" si="156"/>
        <v>0</v>
      </c>
      <c r="Z158" s="397">
        <f t="shared" si="156"/>
        <v>0</v>
      </c>
      <c r="AA158" s="397">
        <f t="shared" si="156"/>
        <v>0</v>
      </c>
      <c r="AB158" s="397">
        <f t="shared" si="156"/>
        <v>0</v>
      </c>
      <c r="AC158" s="397">
        <f t="shared" si="156"/>
        <v>0</v>
      </c>
      <c r="AD158" s="397">
        <f t="shared" si="156"/>
        <v>0</v>
      </c>
      <c r="AE158" s="397">
        <f t="shared" si="156"/>
        <v>0</v>
      </c>
      <c r="AF158" s="397">
        <f t="shared" si="156"/>
        <v>0</v>
      </c>
      <c r="AG158" s="397">
        <f t="shared" si="156"/>
        <v>0</v>
      </c>
      <c r="AH158" s="397">
        <f t="shared" si="156"/>
        <v>0</v>
      </c>
      <c r="AI158" s="397">
        <f t="shared" si="156"/>
        <v>0</v>
      </c>
      <c r="AJ158" s="397">
        <f t="shared" si="156"/>
        <v>0</v>
      </c>
      <c r="AK158" s="397">
        <f t="shared" si="156"/>
        <v>0</v>
      </c>
      <c r="AL158" s="397">
        <f t="shared" si="156"/>
        <v>0</v>
      </c>
      <c r="AM158" s="397">
        <f t="shared" si="156"/>
        <v>0</v>
      </c>
      <c r="AN158" s="397">
        <f t="shared" si="156"/>
        <v>0</v>
      </c>
      <c r="AO158" s="397">
        <f t="shared" si="157"/>
        <v>0</v>
      </c>
      <c r="AP158" s="397">
        <f t="shared" si="157"/>
        <v>0</v>
      </c>
      <c r="AQ158" s="397">
        <f t="shared" si="157"/>
        <v>0</v>
      </c>
      <c r="AR158" s="397">
        <f t="shared" si="157"/>
        <v>0</v>
      </c>
      <c r="AS158" s="397">
        <f t="shared" si="157"/>
        <v>0</v>
      </c>
      <c r="AT158" s="397">
        <f t="shared" si="157"/>
        <v>0</v>
      </c>
      <c r="AU158" s="397">
        <f t="shared" si="157"/>
        <v>0</v>
      </c>
      <c r="AV158" s="397">
        <f t="shared" si="157"/>
        <v>0</v>
      </c>
      <c r="AW158" s="397">
        <f t="shared" si="157"/>
        <v>0</v>
      </c>
      <c r="AX158" s="397">
        <f t="shared" si="157"/>
        <v>0</v>
      </c>
      <c r="AY158" s="397">
        <f t="shared" si="157"/>
        <v>0</v>
      </c>
      <c r="AZ158" s="397">
        <f t="shared" si="157"/>
        <v>0</v>
      </c>
      <c r="BA158" s="397">
        <f t="shared" si="157"/>
        <v>0</v>
      </c>
    </row>
    <row r="159" spans="2:53">
      <c r="B159" s="398">
        <f t="shared" si="154"/>
        <v>2030</v>
      </c>
      <c r="C159" s="397">
        <f t="shared" si="153"/>
        <v>0</v>
      </c>
      <c r="D159" s="397">
        <f t="shared" si="153"/>
        <v>0</v>
      </c>
      <c r="E159" s="397">
        <f t="shared" si="153"/>
        <v>0</v>
      </c>
      <c r="F159" s="397">
        <f t="shared" si="153"/>
        <v>0</v>
      </c>
      <c r="G159" s="397">
        <f t="shared" si="153"/>
        <v>0</v>
      </c>
      <c r="H159" s="397">
        <f t="shared" si="153"/>
        <v>0</v>
      </c>
      <c r="I159" s="397">
        <f t="shared" si="153"/>
        <v>0</v>
      </c>
      <c r="J159" s="397">
        <f t="shared" si="153"/>
        <v>0</v>
      </c>
      <c r="K159" s="397">
        <f t="shared" si="153"/>
        <v>0</v>
      </c>
      <c r="L159" s="397">
        <f t="shared" si="153"/>
        <v>0</v>
      </c>
      <c r="M159" s="397">
        <f t="shared" si="153"/>
        <v>0</v>
      </c>
      <c r="N159" s="397">
        <f t="shared" si="153"/>
        <v>18.861811664983225</v>
      </c>
      <c r="O159" s="397">
        <f t="shared" si="153"/>
        <v>18.861811664983225</v>
      </c>
      <c r="P159" s="397">
        <f t="shared" si="153"/>
        <v>18.861811664983225</v>
      </c>
      <c r="Q159" s="397">
        <f t="shared" si="153"/>
        <v>18.861811664983225</v>
      </c>
      <c r="R159" s="397">
        <f t="shared" si="153"/>
        <v>18.861811664983225</v>
      </c>
      <c r="S159" s="397">
        <f t="shared" si="155"/>
        <v>18.861811664983225</v>
      </c>
      <c r="T159" s="397">
        <f t="shared" si="155"/>
        <v>18.861811664983225</v>
      </c>
      <c r="U159" s="397">
        <f t="shared" si="155"/>
        <v>18.861811664983225</v>
      </c>
      <c r="V159" s="397">
        <f t="shared" si="155"/>
        <v>18.861811664983225</v>
      </c>
      <c r="W159" s="397">
        <f t="shared" si="155"/>
        <v>18.861811664983225</v>
      </c>
      <c r="X159" s="397">
        <f t="shared" si="155"/>
        <v>0</v>
      </c>
      <c r="Y159" s="397">
        <f t="shared" si="156"/>
        <v>0</v>
      </c>
      <c r="Z159" s="397">
        <f t="shared" si="156"/>
        <v>0</v>
      </c>
      <c r="AA159" s="397">
        <f t="shared" si="156"/>
        <v>0</v>
      </c>
      <c r="AB159" s="397">
        <f t="shared" si="156"/>
        <v>0</v>
      </c>
      <c r="AC159" s="397">
        <f t="shared" si="156"/>
        <v>0</v>
      </c>
      <c r="AD159" s="397">
        <f t="shared" si="156"/>
        <v>0</v>
      </c>
      <c r="AE159" s="397">
        <f t="shared" si="156"/>
        <v>0</v>
      </c>
      <c r="AF159" s="397">
        <f t="shared" si="156"/>
        <v>0</v>
      </c>
      <c r="AG159" s="397">
        <f t="shared" si="156"/>
        <v>0</v>
      </c>
      <c r="AH159" s="397">
        <f t="shared" si="156"/>
        <v>0</v>
      </c>
      <c r="AI159" s="397">
        <f t="shared" si="156"/>
        <v>0</v>
      </c>
      <c r="AJ159" s="397">
        <f t="shared" si="156"/>
        <v>0</v>
      </c>
      <c r="AK159" s="397">
        <f t="shared" si="156"/>
        <v>0</v>
      </c>
      <c r="AL159" s="397">
        <f t="shared" si="156"/>
        <v>0</v>
      </c>
      <c r="AM159" s="397">
        <f t="shared" si="156"/>
        <v>0</v>
      </c>
      <c r="AN159" s="397">
        <f t="shared" si="156"/>
        <v>0</v>
      </c>
      <c r="AO159" s="397">
        <f t="shared" si="157"/>
        <v>0</v>
      </c>
      <c r="AP159" s="397">
        <f t="shared" si="157"/>
        <v>0</v>
      </c>
      <c r="AQ159" s="397">
        <f t="shared" si="157"/>
        <v>0</v>
      </c>
      <c r="AR159" s="397">
        <f t="shared" si="157"/>
        <v>0</v>
      </c>
      <c r="AS159" s="397">
        <f t="shared" si="157"/>
        <v>0</v>
      </c>
      <c r="AT159" s="397">
        <f t="shared" si="157"/>
        <v>0</v>
      </c>
      <c r="AU159" s="397">
        <f t="shared" si="157"/>
        <v>0</v>
      </c>
      <c r="AV159" s="397">
        <f t="shared" si="157"/>
        <v>0</v>
      </c>
      <c r="AW159" s="397">
        <f t="shared" si="157"/>
        <v>0</v>
      </c>
      <c r="AX159" s="397">
        <f t="shared" si="157"/>
        <v>0</v>
      </c>
      <c r="AY159" s="397">
        <f t="shared" si="157"/>
        <v>0</v>
      </c>
      <c r="AZ159" s="397">
        <f t="shared" si="157"/>
        <v>0</v>
      </c>
      <c r="BA159" s="397">
        <f t="shared" si="157"/>
        <v>0</v>
      </c>
    </row>
    <row r="160" spans="2:53">
      <c r="B160" s="398">
        <f t="shared" si="154"/>
        <v>2031</v>
      </c>
      <c r="C160" s="397">
        <f t="shared" si="153"/>
        <v>0</v>
      </c>
      <c r="D160" s="397">
        <f t="shared" si="153"/>
        <v>0</v>
      </c>
      <c r="E160" s="397">
        <f t="shared" si="153"/>
        <v>0</v>
      </c>
      <c r="F160" s="397">
        <f t="shared" si="153"/>
        <v>0</v>
      </c>
      <c r="G160" s="397">
        <f t="shared" si="153"/>
        <v>0</v>
      </c>
      <c r="H160" s="397">
        <f t="shared" si="153"/>
        <v>0</v>
      </c>
      <c r="I160" s="397">
        <f t="shared" si="153"/>
        <v>0</v>
      </c>
      <c r="J160" s="397">
        <f t="shared" si="153"/>
        <v>0</v>
      </c>
      <c r="K160" s="397">
        <f t="shared" si="153"/>
        <v>0</v>
      </c>
      <c r="L160" s="397">
        <f t="shared" si="153"/>
        <v>0</v>
      </c>
      <c r="M160" s="397">
        <f t="shared" si="153"/>
        <v>0</v>
      </c>
      <c r="N160" s="397">
        <f t="shared" si="153"/>
        <v>0</v>
      </c>
      <c r="O160" s="397">
        <f t="shared" si="153"/>
        <v>18.97300113403211</v>
      </c>
      <c r="P160" s="397">
        <f t="shared" si="153"/>
        <v>18.97300113403211</v>
      </c>
      <c r="Q160" s="397">
        <f t="shared" si="153"/>
        <v>18.97300113403211</v>
      </c>
      <c r="R160" s="397">
        <f t="shared" si="153"/>
        <v>18.97300113403211</v>
      </c>
      <c r="S160" s="397">
        <f t="shared" si="155"/>
        <v>18.97300113403211</v>
      </c>
      <c r="T160" s="397">
        <f t="shared" si="155"/>
        <v>18.97300113403211</v>
      </c>
      <c r="U160" s="397">
        <f t="shared" si="155"/>
        <v>18.97300113403211</v>
      </c>
      <c r="V160" s="397">
        <f t="shared" si="155"/>
        <v>18.97300113403211</v>
      </c>
      <c r="W160" s="397">
        <f t="shared" si="155"/>
        <v>18.97300113403211</v>
      </c>
      <c r="X160" s="397">
        <f t="shared" si="155"/>
        <v>18.97300113403211</v>
      </c>
      <c r="Y160" s="397">
        <f t="shared" si="156"/>
        <v>0</v>
      </c>
      <c r="Z160" s="397">
        <f t="shared" si="156"/>
        <v>0</v>
      </c>
      <c r="AA160" s="397">
        <f t="shared" si="156"/>
        <v>0</v>
      </c>
      <c r="AB160" s="397">
        <f t="shared" si="156"/>
        <v>0</v>
      </c>
      <c r="AC160" s="397">
        <f t="shared" si="156"/>
        <v>0</v>
      </c>
      <c r="AD160" s="397">
        <f t="shared" si="156"/>
        <v>0</v>
      </c>
      <c r="AE160" s="397">
        <f t="shared" si="156"/>
        <v>0</v>
      </c>
      <c r="AF160" s="397">
        <f t="shared" si="156"/>
        <v>0</v>
      </c>
      <c r="AG160" s="397">
        <f t="shared" si="156"/>
        <v>0</v>
      </c>
      <c r="AH160" s="397">
        <f t="shared" si="156"/>
        <v>0</v>
      </c>
      <c r="AI160" s="397">
        <f t="shared" si="156"/>
        <v>0</v>
      </c>
      <c r="AJ160" s="397">
        <f t="shared" si="156"/>
        <v>0</v>
      </c>
      <c r="AK160" s="397">
        <f t="shared" si="156"/>
        <v>0</v>
      </c>
      <c r="AL160" s="397">
        <f t="shared" si="156"/>
        <v>0</v>
      </c>
      <c r="AM160" s="397">
        <f t="shared" si="156"/>
        <v>0</v>
      </c>
      <c r="AN160" s="397">
        <f t="shared" si="156"/>
        <v>0</v>
      </c>
      <c r="AO160" s="397">
        <f t="shared" si="157"/>
        <v>0</v>
      </c>
      <c r="AP160" s="397">
        <f t="shared" si="157"/>
        <v>0</v>
      </c>
      <c r="AQ160" s="397">
        <f t="shared" si="157"/>
        <v>0</v>
      </c>
      <c r="AR160" s="397">
        <f t="shared" si="157"/>
        <v>0</v>
      </c>
      <c r="AS160" s="397">
        <f t="shared" si="157"/>
        <v>0</v>
      </c>
      <c r="AT160" s="397">
        <f t="shared" si="157"/>
        <v>0</v>
      </c>
      <c r="AU160" s="397">
        <f t="shared" si="157"/>
        <v>0</v>
      </c>
      <c r="AV160" s="397">
        <f t="shared" si="157"/>
        <v>0</v>
      </c>
      <c r="AW160" s="397">
        <f t="shared" si="157"/>
        <v>0</v>
      </c>
      <c r="AX160" s="397">
        <f t="shared" si="157"/>
        <v>0</v>
      </c>
      <c r="AY160" s="397">
        <f t="shared" si="157"/>
        <v>0</v>
      </c>
      <c r="AZ160" s="397">
        <f t="shared" si="157"/>
        <v>0</v>
      </c>
      <c r="BA160" s="397">
        <f t="shared" si="157"/>
        <v>0</v>
      </c>
    </row>
    <row r="161" spans="2:53">
      <c r="B161" s="398">
        <f t="shared" si="154"/>
        <v>2032</v>
      </c>
      <c r="C161" s="397">
        <f t="shared" si="153"/>
        <v>0</v>
      </c>
      <c r="D161" s="397">
        <f t="shared" si="153"/>
        <v>0</v>
      </c>
      <c r="E161" s="397">
        <f t="shared" si="153"/>
        <v>0</v>
      </c>
      <c r="F161" s="397">
        <f t="shared" si="153"/>
        <v>0</v>
      </c>
      <c r="G161" s="397">
        <f t="shared" si="153"/>
        <v>0</v>
      </c>
      <c r="H161" s="397">
        <f t="shared" si="153"/>
        <v>0</v>
      </c>
      <c r="I161" s="397">
        <f t="shared" si="153"/>
        <v>0</v>
      </c>
      <c r="J161" s="397">
        <f t="shared" si="153"/>
        <v>0</v>
      </c>
      <c r="K161" s="397">
        <f t="shared" si="153"/>
        <v>0</v>
      </c>
      <c r="L161" s="397">
        <f t="shared" si="153"/>
        <v>0</v>
      </c>
      <c r="M161" s="397">
        <f t="shared" si="153"/>
        <v>0</v>
      </c>
      <c r="N161" s="397">
        <f t="shared" si="153"/>
        <v>0</v>
      </c>
      <c r="O161" s="397">
        <f t="shared" si="153"/>
        <v>0</v>
      </c>
      <c r="P161" s="397">
        <f t="shared" si="153"/>
        <v>19.140325572995</v>
      </c>
      <c r="Q161" s="397">
        <f t="shared" si="153"/>
        <v>19.140325572995</v>
      </c>
      <c r="R161" s="397">
        <f t="shared" si="153"/>
        <v>19.140325572995</v>
      </c>
      <c r="S161" s="397">
        <f t="shared" si="155"/>
        <v>19.140325572995</v>
      </c>
      <c r="T161" s="397">
        <f t="shared" si="155"/>
        <v>19.140325572995</v>
      </c>
      <c r="U161" s="397">
        <f t="shared" si="155"/>
        <v>19.140325572995</v>
      </c>
      <c r="V161" s="397">
        <f t="shared" si="155"/>
        <v>19.140325572995</v>
      </c>
      <c r="W161" s="397">
        <f t="shared" si="155"/>
        <v>19.140325572995</v>
      </c>
      <c r="X161" s="397">
        <f t="shared" si="155"/>
        <v>19.140325572995</v>
      </c>
      <c r="Y161" s="397">
        <f t="shared" si="156"/>
        <v>19.140325572995</v>
      </c>
      <c r="Z161" s="397">
        <f t="shared" si="156"/>
        <v>0</v>
      </c>
      <c r="AA161" s="397">
        <f t="shared" si="156"/>
        <v>0</v>
      </c>
      <c r="AB161" s="397">
        <f t="shared" si="156"/>
        <v>0</v>
      </c>
      <c r="AC161" s="397">
        <f t="shared" si="156"/>
        <v>0</v>
      </c>
      <c r="AD161" s="397">
        <f t="shared" si="156"/>
        <v>0</v>
      </c>
      <c r="AE161" s="397">
        <f t="shared" si="156"/>
        <v>0</v>
      </c>
      <c r="AF161" s="397">
        <f t="shared" si="156"/>
        <v>0</v>
      </c>
      <c r="AG161" s="397">
        <f t="shared" si="156"/>
        <v>0</v>
      </c>
      <c r="AH161" s="397">
        <f t="shared" si="156"/>
        <v>0</v>
      </c>
      <c r="AI161" s="397">
        <f t="shared" si="156"/>
        <v>0</v>
      </c>
      <c r="AJ161" s="397">
        <f t="shared" si="156"/>
        <v>0</v>
      </c>
      <c r="AK161" s="397">
        <f t="shared" si="156"/>
        <v>0</v>
      </c>
      <c r="AL161" s="397">
        <f t="shared" si="156"/>
        <v>0</v>
      </c>
      <c r="AM161" s="397">
        <f t="shared" si="156"/>
        <v>0</v>
      </c>
      <c r="AN161" s="397">
        <f t="shared" si="156"/>
        <v>0</v>
      </c>
      <c r="AO161" s="397">
        <f t="shared" si="157"/>
        <v>0</v>
      </c>
      <c r="AP161" s="397">
        <f t="shared" si="157"/>
        <v>0</v>
      </c>
      <c r="AQ161" s="397">
        <f t="shared" si="157"/>
        <v>0</v>
      </c>
      <c r="AR161" s="397">
        <f t="shared" si="157"/>
        <v>0</v>
      </c>
      <c r="AS161" s="397">
        <f t="shared" si="157"/>
        <v>0</v>
      </c>
      <c r="AT161" s="397">
        <f t="shared" si="157"/>
        <v>0</v>
      </c>
      <c r="AU161" s="397">
        <f t="shared" si="157"/>
        <v>0</v>
      </c>
      <c r="AV161" s="397">
        <f t="shared" si="157"/>
        <v>0</v>
      </c>
      <c r="AW161" s="397">
        <f t="shared" si="157"/>
        <v>0</v>
      </c>
      <c r="AX161" s="397">
        <f t="shared" si="157"/>
        <v>0</v>
      </c>
      <c r="AY161" s="397">
        <f t="shared" si="157"/>
        <v>0</v>
      </c>
      <c r="AZ161" s="397">
        <f t="shared" si="157"/>
        <v>0</v>
      </c>
      <c r="BA161" s="397">
        <f t="shared" si="157"/>
        <v>0</v>
      </c>
    </row>
    <row r="162" spans="2:53">
      <c r="B162" s="398">
        <f t="shared" si="154"/>
        <v>2033</v>
      </c>
      <c r="C162" s="397">
        <f t="shared" si="153"/>
        <v>0</v>
      </c>
      <c r="D162" s="397">
        <f t="shared" si="153"/>
        <v>0</v>
      </c>
      <c r="E162" s="397">
        <f t="shared" si="153"/>
        <v>0</v>
      </c>
      <c r="F162" s="397">
        <f t="shared" si="153"/>
        <v>0</v>
      </c>
      <c r="G162" s="397">
        <f t="shared" si="153"/>
        <v>0</v>
      </c>
      <c r="H162" s="397">
        <f t="shared" si="153"/>
        <v>0</v>
      </c>
      <c r="I162" s="397">
        <f t="shared" si="153"/>
        <v>0</v>
      </c>
      <c r="J162" s="397">
        <f t="shared" si="153"/>
        <v>0</v>
      </c>
      <c r="K162" s="397">
        <f t="shared" si="153"/>
        <v>0</v>
      </c>
      <c r="L162" s="397">
        <f t="shared" si="153"/>
        <v>0</v>
      </c>
      <c r="M162" s="397">
        <f t="shared" si="153"/>
        <v>0</v>
      </c>
      <c r="N162" s="397">
        <f t="shared" si="153"/>
        <v>0</v>
      </c>
      <c r="O162" s="397">
        <f t="shared" si="153"/>
        <v>0</v>
      </c>
      <c r="P162" s="397">
        <f t="shared" si="153"/>
        <v>0</v>
      </c>
      <c r="Q162" s="397">
        <f t="shared" si="153"/>
        <v>19.341544410281379</v>
      </c>
      <c r="R162" s="397">
        <f t="shared" si="153"/>
        <v>19.341544410281379</v>
      </c>
      <c r="S162" s="397">
        <f t="shared" si="155"/>
        <v>19.341544410281379</v>
      </c>
      <c r="T162" s="397">
        <f t="shared" si="155"/>
        <v>19.341544410281379</v>
      </c>
      <c r="U162" s="397">
        <f t="shared" si="155"/>
        <v>19.341544410281379</v>
      </c>
      <c r="V162" s="397">
        <f t="shared" si="155"/>
        <v>19.341544410281379</v>
      </c>
      <c r="W162" s="397">
        <f t="shared" si="155"/>
        <v>19.341544410281379</v>
      </c>
      <c r="X162" s="397">
        <f t="shared" si="155"/>
        <v>19.341544410281379</v>
      </c>
      <c r="Y162" s="397">
        <f t="shared" si="156"/>
        <v>19.341544410281379</v>
      </c>
      <c r="Z162" s="397">
        <f t="shared" si="156"/>
        <v>19.341544410281379</v>
      </c>
      <c r="AA162" s="397">
        <f t="shared" si="156"/>
        <v>0</v>
      </c>
      <c r="AB162" s="397">
        <f t="shared" si="156"/>
        <v>0</v>
      </c>
      <c r="AC162" s="397">
        <f t="shared" si="156"/>
        <v>0</v>
      </c>
      <c r="AD162" s="397">
        <f t="shared" si="156"/>
        <v>0</v>
      </c>
      <c r="AE162" s="397">
        <f t="shared" si="156"/>
        <v>0</v>
      </c>
      <c r="AF162" s="397">
        <f t="shared" si="156"/>
        <v>0</v>
      </c>
      <c r="AG162" s="397">
        <f t="shared" si="156"/>
        <v>0</v>
      </c>
      <c r="AH162" s="397">
        <f t="shared" si="156"/>
        <v>0</v>
      </c>
      <c r="AI162" s="397">
        <f t="shared" si="156"/>
        <v>0</v>
      </c>
      <c r="AJ162" s="397">
        <f t="shared" si="156"/>
        <v>0</v>
      </c>
      <c r="AK162" s="397">
        <f t="shared" si="156"/>
        <v>0</v>
      </c>
      <c r="AL162" s="397">
        <f t="shared" si="156"/>
        <v>0</v>
      </c>
      <c r="AM162" s="397">
        <f t="shared" si="156"/>
        <v>0</v>
      </c>
      <c r="AN162" s="397">
        <f t="shared" si="156"/>
        <v>0</v>
      </c>
      <c r="AO162" s="397">
        <f t="shared" si="157"/>
        <v>0</v>
      </c>
      <c r="AP162" s="397">
        <f t="shared" si="157"/>
        <v>0</v>
      </c>
      <c r="AQ162" s="397">
        <f t="shared" si="157"/>
        <v>0</v>
      </c>
      <c r="AR162" s="397">
        <f t="shared" si="157"/>
        <v>0</v>
      </c>
      <c r="AS162" s="397">
        <f t="shared" si="157"/>
        <v>0</v>
      </c>
      <c r="AT162" s="397">
        <f t="shared" si="157"/>
        <v>0</v>
      </c>
      <c r="AU162" s="397">
        <f t="shared" si="157"/>
        <v>0</v>
      </c>
      <c r="AV162" s="397">
        <f t="shared" si="157"/>
        <v>0</v>
      </c>
      <c r="AW162" s="397">
        <f t="shared" si="157"/>
        <v>0</v>
      </c>
      <c r="AX162" s="397">
        <f t="shared" si="157"/>
        <v>0</v>
      </c>
      <c r="AY162" s="397">
        <f t="shared" si="157"/>
        <v>0</v>
      </c>
      <c r="AZ162" s="397">
        <f t="shared" si="157"/>
        <v>0</v>
      </c>
      <c r="BA162" s="397">
        <f t="shared" si="157"/>
        <v>0</v>
      </c>
    </row>
    <row r="163" spans="2:53">
      <c r="B163" s="398">
        <f t="shared" si="154"/>
        <v>2034</v>
      </c>
      <c r="C163" s="397">
        <f t="shared" si="153"/>
        <v>0</v>
      </c>
      <c r="D163" s="397">
        <f t="shared" si="153"/>
        <v>0</v>
      </c>
      <c r="E163" s="397">
        <f t="shared" si="153"/>
        <v>0</v>
      </c>
      <c r="F163" s="397">
        <f t="shared" si="153"/>
        <v>0</v>
      </c>
      <c r="G163" s="397">
        <f t="shared" si="153"/>
        <v>0</v>
      </c>
      <c r="H163" s="397">
        <f t="shared" si="153"/>
        <v>0</v>
      </c>
      <c r="I163" s="397">
        <f t="shared" si="153"/>
        <v>0</v>
      </c>
      <c r="J163" s="397">
        <f t="shared" si="153"/>
        <v>0</v>
      </c>
      <c r="K163" s="397">
        <f t="shared" si="153"/>
        <v>0</v>
      </c>
      <c r="L163" s="397">
        <f t="shared" si="153"/>
        <v>0</v>
      </c>
      <c r="M163" s="397">
        <f t="shared" si="153"/>
        <v>0</v>
      </c>
      <c r="N163" s="397">
        <f t="shared" si="153"/>
        <v>0</v>
      </c>
      <c r="O163" s="397">
        <f t="shared" si="153"/>
        <v>0</v>
      </c>
      <c r="P163" s="397">
        <f t="shared" si="153"/>
        <v>0</v>
      </c>
      <c r="Q163" s="397">
        <f t="shared" si="153"/>
        <v>0</v>
      </c>
      <c r="R163" s="397">
        <f t="shared" si="153"/>
        <v>19.56648776288651</v>
      </c>
      <c r="S163" s="397">
        <f t="shared" si="155"/>
        <v>19.56648776288651</v>
      </c>
      <c r="T163" s="397">
        <f t="shared" si="155"/>
        <v>19.56648776288651</v>
      </c>
      <c r="U163" s="397">
        <f t="shared" si="155"/>
        <v>19.56648776288651</v>
      </c>
      <c r="V163" s="397">
        <f t="shared" si="155"/>
        <v>19.56648776288651</v>
      </c>
      <c r="W163" s="397">
        <f t="shared" si="155"/>
        <v>19.56648776288651</v>
      </c>
      <c r="X163" s="397">
        <f t="shared" si="155"/>
        <v>19.56648776288651</v>
      </c>
      <c r="Y163" s="397">
        <f t="shared" si="156"/>
        <v>19.56648776288651</v>
      </c>
      <c r="Z163" s="397">
        <f t="shared" si="156"/>
        <v>19.56648776288651</v>
      </c>
      <c r="AA163" s="397">
        <f t="shared" si="156"/>
        <v>19.56648776288651</v>
      </c>
      <c r="AB163" s="397">
        <f t="shared" si="156"/>
        <v>0</v>
      </c>
      <c r="AC163" s="397">
        <f t="shared" si="156"/>
        <v>0</v>
      </c>
      <c r="AD163" s="397">
        <f t="shared" si="156"/>
        <v>0</v>
      </c>
      <c r="AE163" s="397">
        <f t="shared" si="156"/>
        <v>0</v>
      </c>
      <c r="AF163" s="397">
        <f t="shared" si="156"/>
        <v>0</v>
      </c>
      <c r="AG163" s="397">
        <f t="shared" si="156"/>
        <v>0</v>
      </c>
      <c r="AH163" s="397">
        <f t="shared" si="156"/>
        <v>0</v>
      </c>
      <c r="AI163" s="397">
        <f t="shared" si="156"/>
        <v>0</v>
      </c>
      <c r="AJ163" s="397">
        <f t="shared" si="156"/>
        <v>0</v>
      </c>
      <c r="AK163" s="397">
        <f t="shared" si="156"/>
        <v>0</v>
      </c>
      <c r="AL163" s="397">
        <f t="shared" si="156"/>
        <v>0</v>
      </c>
      <c r="AM163" s="397">
        <f t="shared" si="156"/>
        <v>0</v>
      </c>
      <c r="AN163" s="397">
        <f t="shared" si="156"/>
        <v>0</v>
      </c>
      <c r="AO163" s="397">
        <f t="shared" si="157"/>
        <v>0</v>
      </c>
      <c r="AP163" s="397">
        <f t="shared" si="157"/>
        <v>0</v>
      </c>
      <c r="AQ163" s="397">
        <f t="shared" si="157"/>
        <v>0</v>
      </c>
      <c r="AR163" s="397">
        <f t="shared" si="157"/>
        <v>0</v>
      </c>
      <c r="AS163" s="397">
        <f t="shared" si="157"/>
        <v>0</v>
      </c>
      <c r="AT163" s="397">
        <f t="shared" si="157"/>
        <v>0</v>
      </c>
      <c r="AU163" s="397">
        <f t="shared" si="157"/>
        <v>0</v>
      </c>
      <c r="AV163" s="397">
        <f t="shared" si="157"/>
        <v>0</v>
      </c>
      <c r="AW163" s="397">
        <f t="shared" si="157"/>
        <v>0</v>
      </c>
      <c r="AX163" s="397">
        <f t="shared" si="157"/>
        <v>0</v>
      </c>
      <c r="AY163" s="397">
        <f t="shared" si="157"/>
        <v>0</v>
      </c>
      <c r="AZ163" s="397">
        <f t="shared" si="157"/>
        <v>0</v>
      </c>
      <c r="BA163" s="397">
        <f t="shared" si="157"/>
        <v>0</v>
      </c>
    </row>
    <row r="164" spans="2:53">
      <c r="B164" s="398">
        <f t="shared" si="154"/>
        <v>2035</v>
      </c>
      <c r="C164" s="397">
        <f t="shared" si="153"/>
        <v>0</v>
      </c>
      <c r="D164" s="397">
        <f t="shared" si="153"/>
        <v>0</v>
      </c>
      <c r="E164" s="397">
        <f t="shared" si="153"/>
        <v>0</v>
      </c>
      <c r="F164" s="397">
        <f t="shared" si="153"/>
        <v>0</v>
      </c>
      <c r="G164" s="397">
        <f t="shared" si="153"/>
        <v>0</v>
      </c>
      <c r="H164" s="397">
        <f t="shared" si="153"/>
        <v>0</v>
      </c>
      <c r="I164" s="397">
        <f t="shared" si="153"/>
        <v>0</v>
      </c>
      <c r="J164" s="397">
        <f t="shared" si="153"/>
        <v>0</v>
      </c>
      <c r="K164" s="397">
        <f t="shared" si="153"/>
        <v>0</v>
      </c>
      <c r="L164" s="397">
        <f t="shared" si="153"/>
        <v>0</v>
      </c>
      <c r="M164" s="397">
        <f t="shared" si="153"/>
        <v>0</v>
      </c>
      <c r="N164" s="397">
        <f t="shared" si="153"/>
        <v>0</v>
      </c>
      <c r="O164" s="397">
        <f t="shared" si="153"/>
        <v>0</v>
      </c>
      <c r="P164" s="397">
        <f t="shared" si="153"/>
        <v>0</v>
      </c>
      <c r="Q164" s="397">
        <f t="shared" si="153"/>
        <v>0</v>
      </c>
      <c r="R164" s="397">
        <f t="shared" si="153"/>
        <v>0</v>
      </c>
      <c r="S164" s="397">
        <f t="shared" si="155"/>
        <v>19.805847617305627</v>
      </c>
      <c r="T164" s="397">
        <f t="shared" si="155"/>
        <v>19.805847617305627</v>
      </c>
      <c r="U164" s="397">
        <f t="shared" si="155"/>
        <v>19.805847617305627</v>
      </c>
      <c r="V164" s="397">
        <f t="shared" si="155"/>
        <v>19.805847617305627</v>
      </c>
      <c r="W164" s="397">
        <f t="shared" si="155"/>
        <v>19.805847617305627</v>
      </c>
      <c r="X164" s="397">
        <f t="shared" si="155"/>
        <v>19.805847617305627</v>
      </c>
      <c r="Y164" s="397">
        <f t="shared" si="156"/>
        <v>19.805847617305627</v>
      </c>
      <c r="Z164" s="397">
        <f t="shared" si="156"/>
        <v>19.805847617305627</v>
      </c>
      <c r="AA164" s="397">
        <f t="shared" si="156"/>
        <v>19.805847617305627</v>
      </c>
      <c r="AB164" s="397">
        <f t="shared" si="156"/>
        <v>19.805847617305627</v>
      </c>
      <c r="AC164" s="397">
        <f t="shared" si="156"/>
        <v>0</v>
      </c>
      <c r="AD164" s="397">
        <f t="shared" si="156"/>
        <v>0</v>
      </c>
      <c r="AE164" s="397">
        <f t="shared" si="156"/>
        <v>0</v>
      </c>
      <c r="AF164" s="397">
        <f t="shared" si="156"/>
        <v>0</v>
      </c>
      <c r="AG164" s="397">
        <f t="shared" si="156"/>
        <v>0</v>
      </c>
      <c r="AH164" s="397">
        <f t="shared" si="156"/>
        <v>0</v>
      </c>
      <c r="AI164" s="397">
        <f t="shared" si="156"/>
        <v>0</v>
      </c>
      <c r="AJ164" s="397">
        <f t="shared" si="156"/>
        <v>0</v>
      </c>
      <c r="AK164" s="397">
        <f t="shared" si="156"/>
        <v>0</v>
      </c>
      <c r="AL164" s="397">
        <f t="shared" si="156"/>
        <v>0</v>
      </c>
      <c r="AM164" s="397">
        <f t="shared" si="156"/>
        <v>0</v>
      </c>
      <c r="AN164" s="397">
        <f t="shared" si="156"/>
        <v>0</v>
      </c>
      <c r="AO164" s="397">
        <f t="shared" si="157"/>
        <v>0</v>
      </c>
      <c r="AP164" s="397">
        <f t="shared" si="157"/>
        <v>0</v>
      </c>
      <c r="AQ164" s="397">
        <f t="shared" si="157"/>
        <v>0</v>
      </c>
      <c r="AR164" s="397">
        <f t="shared" si="157"/>
        <v>0</v>
      </c>
      <c r="AS164" s="397">
        <f t="shared" si="157"/>
        <v>0</v>
      </c>
      <c r="AT164" s="397">
        <f t="shared" si="157"/>
        <v>0</v>
      </c>
      <c r="AU164" s="397">
        <f t="shared" si="157"/>
        <v>0</v>
      </c>
      <c r="AV164" s="397">
        <f t="shared" si="157"/>
        <v>0</v>
      </c>
      <c r="AW164" s="397">
        <f t="shared" si="157"/>
        <v>0</v>
      </c>
      <c r="AX164" s="397">
        <f t="shared" si="157"/>
        <v>0</v>
      </c>
      <c r="AY164" s="397">
        <f t="shared" si="157"/>
        <v>0</v>
      </c>
      <c r="AZ164" s="397">
        <f t="shared" si="157"/>
        <v>0</v>
      </c>
      <c r="BA164" s="397">
        <f t="shared" si="157"/>
        <v>0</v>
      </c>
    </row>
    <row r="165" spans="2:53">
      <c r="B165" s="398">
        <f t="shared" si="154"/>
        <v>2036</v>
      </c>
      <c r="C165" s="397">
        <f t="shared" si="153"/>
        <v>0</v>
      </c>
      <c r="D165" s="397">
        <f t="shared" si="153"/>
        <v>0</v>
      </c>
      <c r="E165" s="397">
        <f t="shared" si="153"/>
        <v>0</v>
      </c>
      <c r="F165" s="397">
        <f t="shared" si="153"/>
        <v>0</v>
      </c>
      <c r="G165" s="397">
        <f t="shared" si="153"/>
        <v>0</v>
      </c>
      <c r="H165" s="397">
        <f t="shared" si="153"/>
        <v>0</v>
      </c>
      <c r="I165" s="397">
        <f t="shared" si="153"/>
        <v>0</v>
      </c>
      <c r="J165" s="397">
        <f t="shared" si="153"/>
        <v>0</v>
      </c>
      <c r="K165" s="397">
        <f t="shared" si="153"/>
        <v>0</v>
      </c>
      <c r="L165" s="397">
        <f t="shared" si="153"/>
        <v>0</v>
      </c>
      <c r="M165" s="397">
        <f t="shared" si="153"/>
        <v>0</v>
      </c>
      <c r="N165" s="397">
        <f t="shared" si="153"/>
        <v>0</v>
      </c>
      <c r="O165" s="397">
        <f t="shared" si="153"/>
        <v>0</v>
      </c>
      <c r="P165" s="397">
        <f t="shared" si="153"/>
        <v>0</v>
      </c>
      <c r="Q165" s="397">
        <f t="shared" si="153"/>
        <v>0</v>
      </c>
      <c r="R165" s="397">
        <f t="shared" si="153"/>
        <v>0</v>
      </c>
      <c r="S165" s="397">
        <f t="shared" si="155"/>
        <v>0</v>
      </c>
      <c r="T165" s="397">
        <f t="shared" si="155"/>
        <v>20.051579292318813</v>
      </c>
      <c r="U165" s="397">
        <f t="shared" si="155"/>
        <v>20.051579292318813</v>
      </c>
      <c r="V165" s="397">
        <f t="shared" si="155"/>
        <v>20.051579292318813</v>
      </c>
      <c r="W165" s="397">
        <f t="shared" si="155"/>
        <v>20.051579292318813</v>
      </c>
      <c r="X165" s="397">
        <f t="shared" si="155"/>
        <v>20.051579292318813</v>
      </c>
      <c r="Y165" s="397">
        <f t="shared" si="156"/>
        <v>20.051579292318813</v>
      </c>
      <c r="Z165" s="397">
        <f t="shared" si="156"/>
        <v>20.051579292318813</v>
      </c>
      <c r="AA165" s="397">
        <f t="shared" si="156"/>
        <v>20.051579292318813</v>
      </c>
      <c r="AB165" s="397">
        <f t="shared" si="156"/>
        <v>20.051579292318813</v>
      </c>
      <c r="AC165" s="397">
        <f t="shared" si="156"/>
        <v>20.051579292318813</v>
      </c>
      <c r="AD165" s="397">
        <f t="shared" si="156"/>
        <v>0</v>
      </c>
      <c r="AE165" s="397">
        <f t="shared" si="156"/>
        <v>0</v>
      </c>
      <c r="AF165" s="397">
        <f t="shared" si="156"/>
        <v>0</v>
      </c>
      <c r="AG165" s="397">
        <f t="shared" si="156"/>
        <v>0</v>
      </c>
      <c r="AH165" s="397">
        <f t="shared" si="156"/>
        <v>0</v>
      </c>
      <c r="AI165" s="397">
        <f t="shared" si="156"/>
        <v>0</v>
      </c>
      <c r="AJ165" s="397">
        <f t="shared" si="156"/>
        <v>0</v>
      </c>
      <c r="AK165" s="397">
        <f t="shared" si="156"/>
        <v>0</v>
      </c>
      <c r="AL165" s="397">
        <f t="shared" si="156"/>
        <v>0</v>
      </c>
      <c r="AM165" s="397">
        <f t="shared" si="156"/>
        <v>0</v>
      </c>
      <c r="AN165" s="397">
        <f t="shared" si="156"/>
        <v>0</v>
      </c>
      <c r="AO165" s="397">
        <f t="shared" si="157"/>
        <v>0</v>
      </c>
      <c r="AP165" s="397">
        <f t="shared" si="157"/>
        <v>0</v>
      </c>
      <c r="AQ165" s="397">
        <f t="shared" si="157"/>
        <v>0</v>
      </c>
      <c r="AR165" s="397">
        <f t="shared" si="157"/>
        <v>0</v>
      </c>
      <c r="AS165" s="397">
        <f t="shared" si="157"/>
        <v>0</v>
      </c>
      <c r="AT165" s="397">
        <f t="shared" si="157"/>
        <v>0</v>
      </c>
      <c r="AU165" s="397">
        <f t="shared" si="157"/>
        <v>0</v>
      </c>
      <c r="AV165" s="397">
        <f t="shared" si="157"/>
        <v>0</v>
      </c>
      <c r="AW165" s="397">
        <f t="shared" si="157"/>
        <v>0</v>
      </c>
      <c r="AX165" s="397">
        <f t="shared" si="157"/>
        <v>0</v>
      </c>
      <c r="AY165" s="397">
        <f t="shared" si="157"/>
        <v>0</v>
      </c>
      <c r="AZ165" s="397">
        <f t="shared" si="157"/>
        <v>0</v>
      </c>
      <c r="BA165" s="397">
        <f t="shared" si="157"/>
        <v>0</v>
      </c>
    </row>
    <row r="166" spans="2:53">
      <c r="B166" s="398">
        <f t="shared" si="154"/>
        <v>2037</v>
      </c>
      <c r="C166" s="397">
        <f t="shared" si="153"/>
        <v>0</v>
      </c>
      <c r="D166" s="397">
        <f t="shared" si="153"/>
        <v>0</v>
      </c>
      <c r="E166" s="397">
        <f t="shared" si="153"/>
        <v>0</v>
      </c>
      <c r="F166" s="397">
        <f t="shared" si="153"/>
        <v>0</v>
      </c>
      <c r="G166" s="397">
        <f t="shared" si="153"/>
        <v>0</v>
      </c>
      <c r="H166" s="397">
        <f t="shared" si="153"/>
        <v>0</v>
      </c>
      <c r="I166" s="397">
        <f t="shared" si="153"/>
        <v>0</v>
      </c>
      <c r="J166" s="397">
        <f t="shared" si="153"/>
        <v>0</v>
      </c>
      <c r="K166" s="397">
        <f t="shared" si="153"/>
        <v>0</v>
      </c>
      <c r="L166" s="397">
        <f t="shared" si="153"/>
        <v>0</v>
      </c>
      <c r="M166" s="397">
        <f t="shared" si="153"/>
        <v>0</v>
      </c>
      <c r="N166" s="397">
        <f t="shared" si="153"/>
        <v>0</v>
      </c>
      <c r="O166" s="397">
        <f t="shared" si="153"/>
        <v>0</v>
      </c>
      <c r="P166" s="397">
        <f t="shared" si="153"/>
        <v>0</v>
      </c>
      <c r="Q166" s="397">
        <f t="shared" si="153"/>
        <v>0</v>
      </c>
      <c r="R166" s="397">
        <f t="shared" si="153"/>
        <v>0</v>
      </c>
      <c r="S166" s="397">
        <f t="shared" si="155"/>
        <v>0</v>
      </c>
      <c r="T166" s="397">
        <f t="shared" si="155"/>
        <v>0</v>
      </c>
      <c r="U166" s="397">
        <f t="shared" si="155"/>
        <v>20.302764785997425</v>
      </c>
      <c r="V166" s="397">
        <f t="shared" si="155"/>
        <v>20.302764785997425</v>
      </c>
      <c r="W166" s="397">
        <f t="shared" si="155"/>
        <v>20.302764785997425</v>
      </c>
      <c r="X166" s="397">
        <f t="shared" si="155"/>
        <v>20.302764785997425</v>
      </c>
      <c r="Y166" s="397">
        <f t="shared" si="156"/>
        <v>20.302764785997425</v>
      </c>
      <c r="Z166" s="397">
        <f t="shared" si="156"/>
        <v>20.302764785997425</v>
      </c>
      <c r="AA166" s="397">
        <f t="shared" si="156"/>
        <v>20.302764785997425</v>
      </c>
      <c r="AB166" s="397">
        <f t="shared" si="156"/>
        <v>20.302764785997425</v>
      </c>
      <c r="AC166" s="397">
        <f t="shared" si="156"/>
        <v>20.302764785997425</v>
      </c>
      <c r="AD166" s="397">
        <f t="shared" si="156"/>
        <v>20.302764785997425</v>
      </c>
      <c r="AE166" s="397">
        <f t="shared" si="156"/>
        <v>0</v>
      </c>
      <c r="AF166" s="397">
        <f t="shared" si="156"/>
        <v>0</v>
      </c>
      <c r="AG166" s="397">
        <f t="shared" si="156"/>
        <v>0</v>
      </c>
      <c r="AH166" s="397">
        <f t="shared" si="156"/>
        <v>0</v>
      </c>
      <c r="AI166" s="397">
        <f t="shared" si="156"/>
        <v>0</v>
      </c>
      <c r="AJ166" s="397">
        <f t="shared" si="156"/>
        <v>0</v>
      </c>
      <c r="AK166" s="397">
        <f t="shared" si="156"/>
        <v>0</v>
      </c>
      <c r="AL166" s="397">
        <f t="shared" si="156"/>
        <v>0</v>
      </c>
      <c r="AM166" s="397">
        <f t="shared" si="156"/>
        <v>0</v>
      </c>
      <c r="AN166" s="397">
        <f t="shared" si="156"/>
        <v>0</v>
      </c>
      <c r="AO166" s="397">
        <f t="shared" si="157"/>
        <v>0</v>
      </c>
      <c r="AP166" s="397">
        <f t="shared" si="157"/>
        <v>0</v>
      </c>
      <c r="AQ166" s="397">
        <f t="shared" si="157"/>
        <v>0</v>
      </c>
      <c r="AR166" s="397">
        <f t="shared" si="157"/>
        <v>0</v>
      </c>
      <c r="AS166" s="397">
        <f t="shared" si="157"/>
        <v>0</v>
      </c>
      <c r="AT166" s="397">
        <f t="shared" si="157"/>
        <v>0</v>
      </c>
      <c r="AU166" s="397">
        <f t="shared" si="157"/>
        <v>0</v>
      </c>
      <c r="AV166" s="397">
        <f t="shared" si="157"/>
        <v>0</v>
      </c>
      <c r="AW166" s="397">
        <f t="shared" si="157"/>
        <v>0</v>
      </c>
      <c r="AX166" s="397">
        <f t="shared" si="157"/>
        <v>0</v>
      </c>
      <c r="AY166" s="397">
        <f t="shared" si="157"/>
        <v>0</v>
      </c>
      <c r="AZ166" s="397">
        <f t="shared" si="157"/>
        <v>0</v>
      </c>
      <c r="BA166" s="397">
        <f t="shared" si="157"/>
        <v>0</v>
      </c>
    </row>
    <row r="167" spans="2:53">
      <c r="B167" s="398">
        <f t="shared" si="154"/>
        <v>2038</v>
      </c>
      <c r="C167" s="397">
        <f t="shared" si="153"/>
        <v>0</v>
      </c>
      <c r="D167" s="397">
        <f t="shared" si="153"/>
        <v>0</v>
      </c>
      <c r="E167" s="397">
        <f t="shared" si="153"/>
        <v>0</v>
      </c>
      <c r="F167" s="397">
        <f t="shared" si="153"/>
        <v>0</v>
      </c>
      <c r="G167" s="397">
        <f t="shared" si="153"/>
        <v>0</v>
      </c>
      <c r="H167" s="397">
        <f t="shared" si="153"/>
        <v>0</v>
      </c>
      <c r="I167" s="397">
        <f t="shared" si="153"/>
        <v>0</v>
      </c>
      <c r="J167" s="397">
        <f t="shared" si="153"/>
        <v>0</v>
      </c>
      <c r="K167" s="397">
        <f t="shared" si="153"/>
        <v>0</v>
      </c>
      <c r="L167" s="397">
        <f t="shared" si="153"/>
        <v>0</v>
      </c>
      <c r="M167" s="397">
        <f t="shared" si="153"/>
        <v>0</v>
      </c>
      <c r="N167" s="397">
        <f t="shared" si="153"/>
        <v>0</v>
      </c>
      <c r="O167" s="397">
        <f t="shared" si="153"/>
        <v>0</v>
      </c>
      <c r="P167" s="397">
        <f t="shared" si="153"/>
        <v>0</v>
      </c>
      <c r="Q167" s="397">
        <f t="shared" si="153"/>
        <v>0</v>
      </c>
      <c r="R167" s="397">
        <f t="shared" si="153"/>
        <v>0</v>
      </c>
      <c r="S167" s="397">
        <f t="shared" si="155"/>
        <v>0</v>
      </c>
      <c r="T167" s="397">
        <f t="shared" si="155"/>
        <v>0</v>
      </c>
      <c r="U167" s="397">
        <f t="shared" si="155"/>
        <v>0</v>
      </c>
      <c r="V167" s="397">
        <f t="shared" si="155"/>
        <v>20.567277177624693</v>
      </c>
      <c r="W167" s="397">
        <f t="shared" si="155"/>
        <v>20.567277177624693</v>
      </c>
      <c r="X167" s="397">
        <f t="shared" si="155"/>
        <v>20.567277177624693</v>
      </c>
      <c r="Y167" s="397">
        <f t="shared" si="156"/>
        <v>20.567277177624693</v>
      </c>
      <c r="Z167" s="397">
        <f t="shared" si="156"/>
        <v>20.567277177624693</v>
      </c>
      <c r="AA167" s="397">
        <f t="shared" si="156"/>
        <v>20.567277177624693</v>
      </c>
      <c r="AB167" s="397">
        <f t="shared" si="156"/>
        <v>20.567277177624693</v>
      </c>
      <c r="AC167" s="397">
        <f t="shared" si="156"/>
        <v>20.567277177624693</v>
      </c>
      <c r="AD167" s="397">
        <f t="shared" si="156"/>
        <v>20.567277177624693</v>
      </c>
      <c r="AE167" s="397">
        <f t="shared" si="156"/>
        <v>20.567277177624693</v>
      </c>
      <c r="AF167" s="397">
        <f t="shared" si="156"/>
        <v>0</v>
      </c>
      <c r="AG167" s="397">
        <f t="shared" si="156"/>
        <v>0</v>
      </c>
      <c r="AH167" s="397">
        <f t="shared" si="156"/>
        <v>0</v>
      </c>
      <c r="AI167" s="397">
        <f t="shared" si="156"/>
        <v>0</v>
      </c>
      <c r="AJ167" s="397">
        <f t="shared" si="156"/>
        <v>0</v>
      </c>
      <c r="AK167" s="397">
        <f t="shared" si="156"/>
        <v>0</v>
      </c>
      <c r="AL167" s="397">
        <f t="shared" si="156"/>
        <v>0</v>
      </c>
      <c r="AM167" s="397">
        <f t="shared" si="156"/>
        <v>0</v>
      </c>
      <c r="AN167" s="397">
        <f t="shared" si="156"/>
        <v>0</v>
      </c>
      <c r="AO167" s="397">
        <f t="shared" si="157"/>
        <v>0</v>
      </c>
      <c r="AP167" s="397">
        <f t="shared" si="157"/>
        <v>0</v>
      </c>
      <c r="AQ167" s="397">
        <f t="shared" si="157"/>
        <v>0</v>
      </c>
      <c r="AR167" s="397">
        <f t="shared" si="157"/>
        <v>0</v>
      </c>
      <c r="AS167" s="397">
        <f t="shared" si="157"/>
        <v>0</v>
      </c>
      <c r="AT167" s="397">
        <f t="shared" si="157"/>
        <v>0</v>
      </c>
      <c r="AU167" s="397">
        <f t="shared" si="157"/>
        <v>0</v>
      </c>
      <c r="AV167" s="397">
        <f t="shared" si="157"/>
        <v>0</v>
      </c>
      <c r="AW167" s="397">
        <f t="shared" si="157"/>
        <v>0</v>
      </c>
      <c r="AX167" s="397">
        <f t="shared" si="157"/>
        <v>0</v>
      </c>
      <c r="AY167" s="397">
        <f t="shared" si="157"/>
        <v>0</v>
      </c>
      <c r="AZ167" s="397">
        <f t="shared" si="157"/>
        <v>0</v>
      </c>
      <c r="BA167" s="397">
        <f t="shared" si="157"/>
        <v>0</v>
      </c>
    </row>
    <row r="168" spans="2:53">
      <c r="B168" s="398">
        <f t="shared" si="154"/>
        <v>2039</v>
      </c>
      <c r="C168" s="397">
        <f t="shared" si="153"/>
        <v>0</v>
      </c>
      <c r="D168" s="397">
        <f t="shared" si="153"/>
        <v>0</v>
      </c>
      <c r="E168" s="397">
        <f t="shared" si="153"/>
        <v>0</v>
      </c>
      <c r="F168" s="397">
        <f t="shared" si="153"/>
        <v>0</v>
      </c>
      <c r="G168" s="397">
        <f t="shared" si="153"/>
        <v>0</v>
      </c>
      <c r="H168" s="397">
        <f t="shared" si="153"/>
        <v>0</v>
      </c>
      <c r="I168" s="397">
        <f t="shared" si="153"/>
        <v>0</v>
      </c>
      <c r="J168" s="397">
        <f t="shared" si="153"/>
        <v>0</v>
      </c>
      <c r="K168" s="397">
        <f t="shared" si="153"/>
        <v>0</v>
      </c>
      <c r="L168" s="397">
        <f t="shared" si="153"/>
        <v>0</v>
      </c>
      <c r="M168" s="397">
        <f t="shared" si="153"/>
        <v>0</v>
      </c>
      <c r="N168" s="397">
        <f t="shared" si="153"/>
        <v>0</v>
      </c>
      <c r="O168" s="397">
        <f t="shared" si="153"/>
        <v>0</v>
      </c>
      <c r="P168" s="397">
        <f t="shared" si="153"/>
        <v>0</v>
      </c>
      <c r="Q168" s="397">
        <f t="shared" si="153"/>
        <v>0</v>
      </c>
      <c r="R168" s="397">
        <f t="shared" si="153"/>
        <v>0</v>
      </c>
      <c r="S168" s="397">
        <f t="shared" si="155"/>
        <v>0</v>
      </c>
      <c r="T168" s="397">
        <f t="shared" si="155"/>
        <v>0</v>
      </c>
      <c r="U168" s="397">
        <f t="shared" si="155"/>
        <v>0</v>
      </c>
      <c r="V168" s="397">
        <f t="shared" si="155"/>
        <v>0</v>
      </c>
      <c r="W168" s="397">
        <f t="shared" si="155"/>
        <v>20.830687490126721</v>
      </c>
      <c r="X168" s="397">
        <f t="shared" si="155"/>
        <v>20.830687490126721</v>
      </c>
      <c r="Y168" s="397">
        <f t="shared" si="156"/>
        <v>20.830687490126721</v>
      </c>
      <c r="Z168" s="397">
        <f t="shared" si="156"/>
        <v>20.830687490126721</v>
      </c>
      <c r="AA168" s="397">
        <f t="shared" si="156"/>
        <v>20.830687490126721</v>
      </c>
      <c r="AB168" s="397">
        <f t="shared" si="156"/>
        <v>20.830687490126721</v>
      </c>
      <c r="AC168" s="397">
        <f t="shared" si="156"/>
        <v>20.830687490126721</v>
      </c>
      <c r="AD168" s="397">
        <f t="shared" si="156"/>
        <v>20.830687490126721</v>
      </c>
      <c r="AE168" s="397">
        <f t="shared" si="156"/>
        <v>20.830687490126721</v>
      </c>
      <c r="AF168" s="397">
        <f t="shared" si="156"/>
        <v>20.830687490126721</v>
      </c>
      <c r="AG168" s="397">
        <f t="shared" si="156"/>
        <v>0</v>
      </c>
      <c r="AH168" s="397">
        <f t="shared" si="156"/>
        <v>0</v>
      </c>
      <c r="AI168" s="397">
        <f t="shared" si="156"/>
        <v>0</v>
      </c>
      <c r="AJ168" s="397">
        <f t="shared" si="156"/>
        <v>0</v>
      </c>
      <c r="AK168" s="397">
        <f t="shared" si="156"/>
        <v>0</v>
      </c>
      <c r="AL168" s="397">
        <f t="shared" si="156"/>
        <v>0</v>
      </c>
      <c r="AM168" s="397">
        <f t="shared" si="156"/>
        <v>0</v>
      </c>
      <c r="AN168" s="397">
        <f t="shared" si="156"/>
        <v>0</v>
      </c>
      <c r="AO168" s="397">
        <f t="shared" si="157"/>
        <v>0</v>
      </c>
      <c r="AP168" s="397">
        <f t="shared" si="157"/>
        <v>0</v>
      </c>
      <c r="AQ168" s="397">
        <f t="shared" si="157"/>
        <v>0</v>
      </c>
      <c r="AR168" s="397">
        <f t="shared" si="157"/>
        <v>0</v>
      </c>
      <c r="AS168" s="397">
        <f t="shared" si="157"/>
        <v>0</v>
      </c>
      <c r="AT168" s="397">
        <f t="shared" si="157"/>
        <v>0</v>
      </c>
      <c r="AU168" s="397">
        <f t="shared" si="157"/>
        <v>0</v>
      </c>
      <c r="AV168" s="397">
        <f t="shared" si="157"/>
        <v>0</v>
      </c>
      <c r="AW168" s="397">
        <f t="shared" si="157"/>
        <v>0</v>
      </c>
      <c r="AX168" s="397">
        <f t="shared" si="157"/>
        <v>0</v>
      </c>
      <c r="AY168" s="397">
        <f t="shared" si="157"/>
        <v>0</v>
      </c>
      <c r="AZ168" s="397">
        <f t="shared" si="157"/>
        <v>0</v>
      </c>
      <c r="BA168" s="397">
        <f t="shared" si="157"/>
        <v>0</v>
      </c>
    </row>
    <row r="169" spans="2:53">
      <c r="B169" s="398">
        <f t="shared" si="154"/>
        <v>2040</v>
      </c>
      <c r="C169" s="397">
        <f t="shared" si="153"/>
        <v>0</v>
      </c>
      <c r="D169" s="397">
        <f t="shared" si="153"/>
        <v>0</v>
      </c>
      <c r="E169" s="397">
        <f t="shared" si="153"/>
        <v>0</v>
      </c>
      <c r="F169" s="397">
        <f t="shared" si="153"/>
        <v>0</v>
      </c>
      <c r="G169" s="397">
        <f t="shared" si="153"/>
        <v>0</v>
      </c>
      <c r="H169" s="397">
        <f t="shared" si="153"/>
        <v>0</v>
      </c>
      <c r="I169" s="397">
        <f t="shared" si="153"/>
        <v>0</v>
      </c>
      <c r="J169" s="397">
        <f t="shared" si="153"/>
        <v>0</v>
      </c>
      <c r="K169" s="397">
        <f t="shared" si="153"/>
        <v>0</v>
      </c>
      <c r="L169" s="397">
        <f t="shared" si="153"/>
        <v>0</v>
      </c>
      <c r="M169" s="397">
        <f t="shared" si="153"/>
        <v>0</v>
      </c>
      <c r="N169" s="397">
        <f t="shared" si="153"/>
        <v>0</v>
      </c>
      <c r="O169" s="397">
        <f t="shared" si="153"/>
        <v>0</v>
      </c>
      <c r="P169" s="397">
        <f t="shared" si="153"/>
        <v>0</v>
      </c>
      <c r="Q169" s="397">
        <f t="shared" si="153"/>
        <v>0</v>
      </c>
      <c r="R169" s="397">
        <f t="shared" si="153"/>
        <v>0</v>
      </c>
      <c r="S169" s="397">
        <f t="shared" si="155"/>
        <v>0</v>
      </c>
      <c r="T169" s="397">
        <f t="shared" si="155"/>
        <v>0</v>
      </c>
      <c r="U169" s="397">
        <f t="shared" si="155"/>
        <v>0</v>
      </c>
      <c r="V169" s="397">
        <f t="shared" si="155"/>
        <v>0</v>
      </c>
      <c r="W169" s="397">
        <f t="shared" si="155"/>
        <v>0</v>
      </c>
      <c r="X169" s="397">
        <f t="shared" si="155"/>
        <v>21.089625406563414</v>
      </c>
      <c r="Y169" s="397">
        <f t="shared" si="156"/>
        <v>21.089625406563414</v>
      </c>
      <c r="Z169" s="397">
        <f t="shared" si="156"/>
        <v>21.089625406563414</v>
      </c>
      <c r="AA169" s="397">
        <f t="shared" si="156"/>
        <v>21.089625406563414</v>
      </c>
      <c r="AB169" s="397">
        <f t="shared" si="156"/>
        <v>21.089625406563414</v>
      </c>
      <c r="AC169" s="397">
        <f t="shared" si="156"/>
        <v>21.089625406563414</v>
      </c>
      <c r="AD169" s="397">
        <f t="shared" si="156"/>
        <v>21.089625406563414</v>
      </c>
      <c r="AE169" s="397">
        <f t="shared" si="156"/>
        <v>21.089625406563414</v>
      </c>
      <c r="AF169" s="397">
        <f t="shared" si="156"/>
        <v>21.089625406563414</v>
      </c>
      <c r="AG169" s="397">
        <f t="shared" si="156"/>
        <v>21.089625406563414</v>
      </c>
      <c r="AH169" s="397">
        <f t="shared" si="156"/>
        <v>0</v>
      </c>
      <c r="AI169" s="397">
        <f t="shared" si="156"/>
        <v>0</v>
      </c>
      <c r="AJ169" s="397">
        <f t="shared" si="156"/>
        <v>0</v>
      </c>
      <c r="AK169" s="397">
        <f t="shared" si="156"/>
        <v>0</v>
      </c>
      <c r="AL169" s="397">
        <f t="shared" si="156"/>
        <v>0</v>
      </c>
      <c r="AM169" s="397">
        <f t="shared" si="156"/>
        <v>0</v>
      </c>
      <c r="AN169" s="397">
        <f t="shared" ref="AN169:BA184" si="158">IF($B169&gt;=AN$148,0,        IF(AN$148-$B169&lt;=$C$139,    INDEX($C$124:$BA$124, MATCH($B169, $C$123:$BA$123,0)),       0))</f>
        <v>0</v>
      </c>
      <c r="AO169" s="397">
        <f t="shared" si="158"/>
        <v>0</v>
      </c>
      <c r="AP169" s="397">
        <f t="shared" si="158"/>
        <v>0</v>
      </c>
      <c r="AQ169" s="397">
        <f t="shared" si="158"/>
        <v>0</v>
      </c>
      <c r="AR169" s="397">
        <f t="shared" si="158"/>
        <v>0</v>
      </c>
      <c r="AS169" s="397">
        <f t="shared" si="158"/>
        <v>0</v>
      </c>
      <c r="AT169" s="397">
        <f t="shared" si="158"/>
        <v>0</v>
      </c>
      <c r="AU169" s="397">
        <f t="shared" si="158"/>
        <v>0</v>
      </c>
      <c r="AV169" s="397">
        <f t="shared" si="158"/>
        <v>0</v>
      </c>
      <c r="AW169" s="397">
        <f t="shared" si="158"/>
        <v>0</v>
      </c>
      <c r="AX169" s="397">
        <f t="shared" si="158"/>
        <v>0</v>
      </c>
      <c r="AY169" s="397">
        <f t="shared" si="158"/>
        <v>0</v>
      </c>
      <c r="AZ169" s="397">
        <f t="shared" si="158"/>
        <v>0</v>
      </c>
      <c r="BA169" s="397">
        <f t="shared" si="158"/>
        <v>0</v>
      </c>
    </row>
    <row r="170" spans="2:53">
      <c r="B170" s="398">
        <f t="shared" si="154"/>
        <v>2041</v>
      </c>
      <c r="C170" s="397">
        <f t="shared" si="153"/>
        <v>0</v>
      </c>
      <c r="D170" s="397">
        <f t="shared" si="153"/>
        <v>0</v>
      </c>
      <c r="E170" s="397">
        <f t="shared" si="153"/>
        <v>0</v>
      </c>
      <c r="F170" s="397">
        <f t="shared" si="153"/>
        <v>0</v>
      </c>
      <c r="G170" s="397">
        <f t="shared" si="153"/>
        <v>0</v>
      </c>
      <c r="H170" s="397">
        <f t="shared" si="153"/>
        <v>0</v>
      </c>
      <c r="I170" s="397">
        <f t="shared" si="153"/>
        <v>0</v>
      </c>
      <c r="J170" s="397">
        <f t="shared" si="153"/>
        <v>0</v>
      </c>
      <c r="K170" s="397">
        <f t="shared" si="153"/>
        <v>0</v>
      </c>
      <c r="L170" s="397">
        <f t="shared" si="153"/>
        <v>0</v>
      </c>
      <c r="M170" s="397">
        <f t="shared" ref="M170:AB185" si="159">IF($B170&gt;=M$148,0,        IF(M$148-$B170&lt;=$C$139,    INDEX($C$124:$BA$124, MATCH($B170, $C$123:$BA$123,0)),       0))</f>
        <v>0</v>
      </c>
      <c r="N170" s="397">
        <f t="shared" si="159"/>
        <v>0</v>
      </c>
      <c r="O170" s="397">
        <f t="shared" si="159"/>
        <v>0</v>
      </c>
      <c r="P170" s="397">
        <f t="shared" si="159"/>
        <v>0</v>
      </c>
      <c r="Q170" s="397">
        <f t="shared" si="159"/>
        <v>0</v>
      </c>
      <c r="R170" s="397">
        <f t="shared" si="159"/>
        <v>0</v>
      </c>
      <c r="S170" s="397">
        <f t="shared" si="159"/>
        <v>0</v>
      </c>
      <c r="T170" s="397">
        <f t="shared" si="159"/>
        <v>0</v>
      </c>
      <c r="U170" s="397">
        <f t="shared" si="159"/>
        <v>0</v>
      </c>
      <c r="V170" s="397">
        <f t="shared" si="159"/>
        <v>0</v>
      </c>
      <c r="W170" s="397">
        <f t="shared" si="159"/>
        <v>0</v>
      </c>
      <c r="X170" s="397">
        <f t="shared" si="159"/>
        <v>0</v>
      </c>
      <c r="Y170" s="397">
        <f t="shared" si="159"/>
        <v>21.348216758435267</v>
      </c>
      <c r="Z170" s="397">
        <f t="shared" si="159"/>
        <v>21.348216758435267</v>
      </c>
      <c r="AA170" s="397">
        <f t="shared" si="159"/>
        <v>21.348216758435267</v>
      </c>
      <c r="AB170" s="397">
        <f t="shared" si="159"/>
        <v>21.348216758435267</v>
      </c>
      <c r="AC170" s="397">
        <f t="shared" ref="AC170:AR185" si="160">IF($B170&gt;=AC$148,0,        IF(AC$148-$B170&lt;=$C$139,    INDEX($C$124:$BA$124, MATCH($B170, $C$123:$BA$123,0)),       0))</f>
        <v>21.348216758435267</v>
      </c>
      <c r="AD170" s="397">
        <f t="shared" si="160"/>
        <v>21.348216758435267</v>
      </c>
      <c r="AE170" s="397">
        <f t="shared" si="160"/>
        <v>21.348216758435267</v>
      </c>
      <c r="AF170" s="397">
        <f t="shared" si="160"/>
        <v>21.348216758435267</v>
      </c>
      <c r="AG170" s="397">
        <f t="shared" si="160"/>
        <v>21.348216758435267</v>
      </c>
      <c r="AH170" s="397">
        <f t="shared" si="160"/>
        <v>21.348216758435267</v>
      </c>
      <c r="AI170" s="397">
        <f t="shared" si="160"/>
        <v>0</v>
      </c>
      <c r="AJ170" s="397">
        <f t="shared" si="160"/>
        <v>0</v>
      </c>
      <c r="AK170" s="397">
        <f t="shared" si="160"/>
        <v>0</v>
      </c>
      <c r="AL170" s="397">
        <f t="shared" si="160"/>
        <v>0</v>
      </c>
      <c r="AM170" s="397">
        <f t="shared" si="160"/>
        <v>0</v>
      </c>
      <c r="AN170" s="397">
        <f t="shared" si="160"/>
        <v>0</v>
      </c>
      <c r="AO170" s="397">
        <f t="shared" si="160"/>
        <v>0</v>
      </c>
      <c r="AP170" s="397">
        <f t="shared" si="160"/>
        <v>0</v>
      </c>
      <c r="AQ170" s="397">
        <f t="shared" si="160"/>
        <v>0</v>
      </c>
      <c r="AR170" s="397">
        <f t="shared" si="160"/>
        <v>0</v>
      </c>
      <c r="AS170" s="397">
        <f t="shared" si="158"/>
        <v>0</v>
      </c>
      <c r="AT170" s="397">
        <f t="shared" si="158"/>
        <v>0</v>
      </c>
      <c r="AU170" s="397">
        <f t="shared" si="158"/>
        <v>0</v>
      </c>
      <c r="AV170" s="397">
        <f t="shared" si="158"/>
        <v>0</v>
      </c>
      <c r="AW170" s="397">
        <f t="shared" si="158"/>
        <v>0</v>
      </c>
      <c r="AX170" s="397">
        <f t="shared" si="158"/>
        <v>0</v>
      </c>
      <c r="AY170" s="397">
        <f t="shared" si="158"/>
        <v>0</v>
      </c>
      <c r="AZ170" s="397">
        <f t="shared" si="158"/>
        <v>0</v>
      </c>
      <c r="BA170" s="397">
        <f t="shared" si="158"/>
        <v>0</v>
      </c>
    </row>
    <row r="171" spans="2:53">
      <c r="B171" s="398">
        <f t="shared" si="154"/>
        <v>2042</v>
      </c>
      <c r="C171" s="397">
        <f t="shared" ref="C171:R186" si="161">IF($B171&gt;=C$148,0,        IF(C$148-$B171&lt;=$C$139,    INDEX($C$124:$BA$124, MATCH($B171, $C$123:$BA$123,0)),       0))</f>
        <v>0</v>
      </c>
      <c r="D171" s="397">
        <f t="shared" si="161"/>
        <v>0</v>
      </c>
      <c r="E171" s="397">
        <f t="shared" si="161"/>
        <v>0</v>
      </c>
      <c r="F171" s="397">
        <f t="shared" si="161"/>
        <v>0</v>
      </c>
      <c r="G171" s="397">
        <f t="shared" si="161"/>
        <v>0</v>
      </c>
      <c r="H171" s="397">
        <f t="shared" si="161"/>
        <v>0</v>
      </c>
      <c r="I171" s="397">
        <f t="shared" si="161"/>
        <v>0</v>
      </c>
      <c r="J171" s="397">
        <f t="shared" si="161"/>
        <v>0</v>
      </c>
      <c r="K171" s="397">
        <f t="shared" si="161"/>
        <v>0</v>
      </c>
      <c r="L171" s="397">
        <f t="shared" si="161"/>
        <v>0</v>
      </c>
      <c r="M171" s="397">
        <f t="shared" si="161"/>
        <v>0</v>
      </c>
      <c r="N171" s="397">
        <f t="shared" si="161"/>
        <v>0</v>
      </c>
      <c r="O171" s="397">
        <f t="shared" si="161"/>
        <v>0</v>
      </c>
      <c r="P171" s="397">
        <f t="shared" si="161"/>
        <v>0</v>
      </c>
      <c r="Q171" s="397">
        <f t="shared" si="161"/>
        <v>0</v>
      </c>
      <c r="R171" s="397">
        <f t="shared" si="161"/>
        <v>0</v>
      </c>
      <c r="S171" s="397">
        <f t="shared" si="159"/>
        <v>0</v>
      </c>
      <c r="T171" s="397">
        <f t="shared" si="159"/>
        <v>0</v>
      </c>
      <c r="U171" s="397">
        <f t="shared" si="159"/>
        <v>0</v>
      </c>
      <c r="V171" s="397">
        <f t="shared" si="159"/>
        <v>0</v>
      </c>
      <c r="W171" s="397">
        <f t="shared" si="159"/>
        <v>0</v>
      </c>
      <c r="X171" s="397">
        <f t="shared" si="159"/>
        <v>0</v>
      </c>
      <c r="Y171" s="397">
        <f t="shared" si="159"/>
        <v>0</v>
      </c>
      <c r="Z171" s="397">
        <f t="shared" si="159"/>
        <v>21.604252388317253</v>
      </c>
      <c r="AA171" s="397">
        <f t="shared" si="159"/>
        <v>21.604252388317253</v>
      </c>
      <c r="AB171" s="397">
        <f t="shared" si="159"/>
        <v>21.604252388317253</v>
      </c>
      <c r="AC171" s="397">
        <f t="shared" si="160"/>
        <v>21.604252388317253</v>
      </c>
      <c r="AD171" s="397">
        <f t="shared" si="160"/>
        <v>21.604252388317253</v>
      </c>
      <c r="AE171" s="397">
        <f t="shared" si="160"/>
        <v>21.604252388317253</v>
      </c>
      <c r="AF171" s="397">
        <f t="shared" si="160"/>
        <v>21.604252388317253</v>
      </c>
      <c r="AG171" s="397">
        <f t="shared" si="160"/>
        <v>21.604252388317253</v>
      </c>
      <c r="AH171" s="397">
        <f t="shared" si="160"/>
        <v>21.604252388317253</v>
      </c>
      <c r="AI171" s="397">
        <f t="shared" si="160"/>
        <v>21.604252388317253</v>
      </c>
      <c r="AJ171" s="397">
        <f t="shared" si="160"/>
        <v>0</v>
      </c>
      <c r="AK171" s="397">
        <f t="shared" si="160"/>
        <v>0</v>
      </c>
      <c r="AL171" s="397">
        <f t="shared" si="160"/>
        <v>0</v>
      </c>
      <c r="AM171" s="397">
        <f t="shared" si="160"/>
        <v>0</v>
      </c>
      <c r="AN171" s="397">
        <f t="shared" si="160"/>
        <v>0</v>
      </c>
      <c r="AO171" s="397">
        <f t="shared" si="160"/>
        <v>0</v>
      </c>
      <c r="AP171" s="397">
        <f t="shared" si="160"/>
        <v>0</v>
      </c>
      <c r="AQ171" s="397">
        <f t="shared" si="160"/>
        <v>0</v>
      </c>
      <c r="AR171" s="397">
        <f t="shared" si="160"/>
        <v>0</v>
      </c>
      <c r="AS171" s="397">
        <f t="shared" si="158"/>
        <v>0</v>
      </c>
      <c r="AT171" s="397">
        <f t="shared" si="158"/>
        <v>0</v>
      </c>
      <c r="AU171" s="397">
        <f t="shared" si="158"/>
        <v>0</v>
      </c>
      <c r="AV171" s="397">
        <f t="shared" si="158"/>
        <v>0</v>
      </c>
      <c r="AW171" s="397">
        <f t="shared" si="158"/>
        <v>0</v>
      </c>
      <c r="AX171" s="397">
        <f t="shared" si="158"/>
        <v>0</v>
      </c>
      <c r="AY171" s="397">
        <f t="shared" si="158"/>
        <v>0</v>
      </c>
      <c r="AZ171" s="397">
        <f t="shared" si="158"/>
        <v>0</v>
      </c>
      <c r="BA171" s="397">
        <f t="shared" si="158"/>
        <v>0</v>
      </c>
    </row>
    <row r="172" spans="2:53">
      <c r="B172" s="398">
        <f t="shared" si="154"/>
        <v>2043</v>
      </c>
      <c r="C172" s="397">
        <f t="shared" si="161"/>
        <v>0</v>
      </c>
      <c r="D172" s="397">
        <f t="shared" si="161"/>
        <v>0</v>
      </c>
      <c r="E172" s="397">
        <f t="shared" si="161"/>
        <v>0</v>
      </c>
      <c r="F172" s="397">
        <f t="shared" si="161"/>
        <v>0</v>
      </c>
      <c r="G172" s="397">
        <f t="shared" si="161"/>
        <v>0</v>
      </c>
      <c r="H172" s="397">
        <f t="shared" si="161"/>
        <v>0</v>
      </c>
      <c r="I172" s="397">
        <f t="shared" si="161"/>
        <v>0</v>
      </c>
      <c r="J172" s="397">
        <f t="shared" si="161"/>
        <v>0</v>
      </c>
      <c r="K172" s="397">
        <f t="shared" si="161"/>
        <v>0</v>
      </c>
      <c r="L172" s="397">
        <f t="shared" si="161"/>
        <v>0</v>
      </c>
      <c r="M172" s="397">
        <f t="shared" si="161"/>
        <v>0</v>
      </c>
      <c r="N172" s="397">
        <f t="shared" si="161"/>
        <v>0</v>
      </c>
      <c r="O172" s="397">
        <f t="shared" si="161"/>
        <v>0</v>
      </c>
      <c r="P172" s="397">
        <f t="shared" si="161"/>
        <v>0</v>
      </c>
      <c r="Q172" s="397">
        <f t="shared" si="161"/>
        <v>0</v>
      </c>
      <c r="R172" s="397">
        <f t="shared" si="161"/>
        <v>0</v>
      </c>
      <c r="S172" s="397">
        <f t="shared" si="159"/>
        <v>0</v>
      </c>
      <c r="T172" s="397">
        <f t="shared" si="159"/>
        <v>0</v>
      </c>
      <c r="U172" s="397">
        <f t="shared" si="159"/>
        <v>0</v>
      </c>
      <c r="V172" s="397">
        <f t="shared" si="159"/>
        <v>0</v>
      </c>
      <c r="W172" s="397">
        <f t="shared" si="159"/>
        <v>0</v>
      </c>
      <c r="X172" s="397">
        <f t="shared" si="159"/>
        <v>0</v>
      </c>
      <c r="Y172" s="397">
        <f t="shared" si="159"/>
        <v>0</v>
      </c>
      <c r="Z172" s="397">
        <f t="shared" si="159"/>
        <v>0</v>
      </c>
      <c r="AA172" s="397">
        <f t="shared" si="159"/>
        <v>21.855422886828343</v>
      </c>
      <c r="AB172" s="397">
        <f t="shared" si="159"/>
        <v>21.855422886828343</v>
      </c>
      <c r="AC172" s="397">
        <f t="shared" si="160"/>
        <v>21.855422886828343</v>
      </c>
      <c r="AD172" s="397">
        <f t="shared" si="160"/>
        <v>21.855422886828343</v>
      </c>
      <c r="AE172" s="397">
        <f t="shared" si="160"/>
        <v>21.855422886828343</v>
      </c>
      <c r="AF172" s="397">
        <f t="shared" si="160"/>
        <v>21.855422886828343</v>
      </c>
      <c r="AG172" s="397">
        <f t="shared" si="160"/>
        <v>21.855422886828343</v>
      </c>
      <c r="AH172" s="397">
        <f t="shared" si="160"/>
        <v>21.855422886828343</v>
      </c>
      <c r="AI172" s="397">
        <f t="shared" si="160"/>
        <v>21.855422886828343</v>
      </c>
      <c r="AJ172" s="397">
        <f t="shared" si="160"/>
        <v>21.855422886828343</v>
      </c>
      <c r="AK172" s="397">
        <f t="shared" si="160"/>
        <v>0</v>
      </c>
      <c r="AL172" s="397">
        <f t="shared" si="160"/>
        <v>0</v>
      </c>
      <c r="AM172" s="397">
        <f t="shared" si="160"/>
        <v>0</v>
      </c>
      <c r="AN172" s="397">
        <f t="shared" si="160"/>
        <v>0</v>
      </c>
      <c r="AO172" s="397">
        <f t="shared" si="160"/>
        <v>0</v>
      </c>
      <c r="AP172" s="397">
        <f t="shared" si="160"/>
        <v>0</v>
      </c>
      <c r="AQ172" s="397">
        <f t="shared" si="160"/>
        <v>0</v>
      </c>
      <c r="AR172" s="397">
        <f t="shared" si="160"/>
        <v>0</v>
      </c>
      <c r="AS172" s="397">
        <f t="shared" si="158"/>
        <v>0</v>
      </c>
      <c r="AT172" s="397">
        <f t="shared" si="158"/>
        <v>0</v>
      </c>
      <c r="AU172" s="397">
        <f t="shared" si="158"/>
        <v>0</v>
      </c>
      <c r="AV172" s="397">
        <f t="shared" si="158"/>
        <v>0</v>
      </c>
      <c r="AW172" s="397">
        <f t="shared" si="158"/>
        <v>0</v>
      </c>
      <c r="AX172" s="397">
        <f t="shared" si="158"/>
        <v>0</v>
      </c>
      <c r="AY172" s="397">
        <f t="shared" si="158"/>
        <v>0</v>
      </c>
      <c r="AZ172" s="397">
        <f t="shared" si="158"/>
        <v>0</v>
      </c>
      <c r="BA172" s="397">
        <f t="shared" si="158"/>
        <v>0</v>
      </c>
    </row>
    <row r="173" spans="2:53">
      <c r="B173" s="398">
        <f t="shared" si="154"/>
        <v>2044</v>
      </c>
      <c r="C173" s="397">
        <f t="shared" si="161"/>
        <v>0</v>
      </c>
      <c r="D173" s="397">
        <f t="shared" si="161"/>
        <v>0</v>
      </c>
      <c r="E173" s="397">
        <f t="shared" si="161"/>
        <v>0</v>
      </c>
      <c r="F173" s="397">
        <f t="shared" si="161"/>
        <v>0</v>
      </c>
      <c r="G173" s="397">
        <f t="shared" si="161"/>
        <v>0</v>
      </c>
      <c r="H173" s="397">
        <f t="shared" si="161"/>
        <v>0</v>
      </c>
      <c r="I173" s="397">
        <f t="shared" si="161"/>
        <v>0</v>
      </c>
      <c r="J173" s="397">
        <f t="shared" si="161"/>
        <v>0</v>
      </c>
      <c r="K173" s="397">
        <f t="shared" si="161"/>
        <v>0</v>
      </c>
      <c r="L173" s="397">
        <f t="shared" si="161"/>
        <v>0</v>
      </c>
      <c r="M173" s="397">
        <f t="shared" si="161"/>
        <v>0</v>
      </c>
      <c r="N173" s="397">
        <f t="shared" si="161"/>
        <v>0</v>
      </c>
      <c r="O173" s="397">
        <f t="shared" si="161"/>
        <v>0</v>
      </c>
      <c r="P173" s="397">
        <f t="shared" si="161"/>
        <v>0</v>
      </c>
      <c r="Q173" s="397">
        <f t="shared" si="161"/>
        <v>0</v>
      </c>
      <c r="R173" s="397">
        <f t="shared" si="161"/>
        <v>0</v>
      </c>
      <c r="S173" s="397">
        <f t="shared" si="159"/>
        <v>0</v>
      </c>
      <c r="T173" s="397">
        <f t="shared" si="159"/>
        <v>0</v>
      </c>
      <c r="U173" s="397">
        <f t="shared" si="159"/>
        <v>0</v>
      </c>
      <c r="V173" s="397">
        <f t="shared" si="159"/>
        <v>0</v>
      </c>
      <c r="W173" s="397">
        <f t="shared" si="159"/>
        <v>0</v>
      </c>
      <c r="X173" s="397">
        <f t="shared" si="159"/>
        <v>0</v>
      </c>
      <c r="Y173" s="397">
        <f t="shared" si="159"/>
        <v>0</v>
      </c>
      <c r="Z173" s="397">
        <f t="shared" si="159"/>
        <v>0</v>
      </c>
      <c r="AA173" s="397">
        <f t="shared" si="159"/>
        <v>0</v>
      </c>
      <c r="AB173" s="397">
        <f t="shared" si="159"/>
        <v>22.100082376567318</v>
      </c>
      <c r="AC173" s="397">
        <f t="shared" si="160"/>
        <v>22.100082376567318</v>
      </c>
      <c r="AD173" s="397">
        <f t="shared" si="160"/>
        <v>22.100082376567318</v>
      </c>
      <c r="AE173" s="397">
        <f t="shared" si="160"/>
        <v>22.100082376567318</v>
      </c>
      <c r="AF173" s="397">
        <f t="shared" si="160"/>
        <v>22.100082376567318</v>
      </c>
      <c r="AG173" s="397">
        <f t="shared" si="160"/>
        <v>22.100082376567318</v>
      </c>
      <c r="AH173" s="397">
        <f t="shared" si="160"/>
        <v>22.100082376567318</v>
      </c>
      <c r="AI173" s="397">
        <f t="shared" si="160"/>
        <v>22.100082376567318</v>
      </c>
      <c r="AJ173" s="397">
        <f t="shared" si="160"/>
        <v>22.100082376567318</v>
      </c>
      <c r="AK173" s="397">
        <f t="shared" si="160"/>
        <v>22.100082376567318</v>
      </c>
      <c r="AL173" s="397">
        <f t="shared" si="160"/>
        <v>0</v>
      </c>
      <c r="AM173" s="397">
        <f t="shared" si="160"/>
        <v>0</v>
      </c>
      <c r="AN173" s="397">
        <f t="shared" si="160"/>
        <v>0</v>
      </c>
      <c r="AO173" s="397">
        <f t="shared" si="160"/>
        <v>0</v>
      </c>
      <c r="AP173" s="397">
        <f t="shared" si="160"/>
        <v>0</v>
      </c>
      <c r="AQ173" s="397">
        <f t="shared" si="160"/>
        <v>0</v>
      </c>
      <c r="AR173" s="397">
        <f t="shared" si="160"/>
        <v>0</v>
      </c>
      <c r="AS173" s="397">
        <f t="shared" si="158"/>
        <v>0</v>
      </c>
      <c r="AT173" s="397">
        <f t="shared" si="158"/>
        <v>0</v>
      </c>
      <c r="AU173" s="397">
        <f t="shared" si="158"/>
        <v>0</v>
      </c>
      <c r="AV173" s="397">
        <f t="shared" si="158"/>
        <v>0</v>
      </c>
      <c r="AW173" s="397">
        <f t="shared" si="158"/>
        <v>0</v>
      </c>
      <c r="AX173" s="397">
        <f t="shared" si="158"/>
        <v>0</v>
      </c>
      <c r="AY173" s="397">
        <f t="shared" si="158"/>
        <v>0</v>
      </c>
      <c r="AZ173" s="397">
        <f t="shared" si="158"/>
        <v>0</v>
      </c>
      <c r="BA173" s="397">
        <f t="shared" si="158"/>
        <v>0</v>
      </c>
    </row>
    <row r="174" spans="2:53">
      <c r="B174" s="398">
        <f t="shared" si="154"/>
        <v>2045</v>
      </c>
      <c r="C174" s="397">
        <f t="shared" si="161"/>
        <v>0</v>
      </c>
      <c r="D174" s="397">
        <f t="shared" si="161"/>
        <v>0</v>
      </c>
      <c r="E174" s="397">
        <f t="shared" si="161"/>
        <v>0</v>
      </c>
      <c r="F174" s="397">
        <f t="shared" si="161"/>
        <v>0</v>
      </c>
      <c r="G174" s="397">
        <f t="shared" si="161"/>
        <v>0</v>
      </c>
      <c r="H174" s="397">
        <f t="shared" si="161"/>
        <v>0</v>
      </c>
      <c r="I174" s="397">
        <f t="shared" si="161"/>
        <v>0</v>
      </c>
      <c r="J174" s="397">
        <f t="shared" si="161"/>
        <v>0</v>
      </c>
      <c r="K174" s="397">
        <f t="shared" si="161"/>
        <v>0</v>
      </c>
      <c r="L174" s="397">
        <f t="shared" si="161"/>
        <v>0</v>
      </c>
      <c r="M174" s="397">
        <f t="shared" si="161"/>
        <v>0</v>
      </c>
      <c r="N174" s="397">
        <f t="shared" si="161"/>
        <v>0</v>
      </c>
      <c r="O174" s="397">
        <f t="shared" si="161"/>
        <v>0</v>
      </c>
      <c r="P174" s="397">
        <f t="shared" si="161"/>
        <v>0</v>
      </c>
      <c r="Q174" s="397">
        <f t="shared" si="161"/>
        <v>0</v>
      </c>
      <c r="R174" s="397">
        <f t="shared" si="161"/>
        <v>0</v>
      </c>
      <c r="S174" s="397">
        <f t="shared" si="159"/>
        <v>0</v>
      </c>
      <c r="T174" s="397">
        <f t="shared" si="159"/>
        <v>0</v>
      </c>
      <c r="U174" s="397">
        <f t="shared" si="159"/>
        <v>0</v>
      </c>
      <c r="V174" s="397">
        <f t="shared" si="159"/>
        <v>0</v>
      </c>
      <c r="W174" s="397">
        <f t="shared" si="159"/>
        <v>0</v>
      </c>
      <c r="X174" s="397">
        <f t="shared" si="159"/>
        <v>0</v>
      </c>
      <c r="Y174" s="397">
        <f t="shared" si="159"/>
        <v>0</v>
      </c>
      <c r="Z174" s="397">
        <f t="shared" si="159"/>
        <v>0</v>
      </c>
      <c r="AA174" s="397">
        <f t="shared" si="159"/>
        <v>0</v>
      </c>
      <c r="AB174" s="397">
        <f t="shared" si="159"/>
        <v>0</v>
      </c>
      <c r="AC174" s="397">
        <f t="shared" si="160"/>
        <v>22.339285144606521</v>
      </c>
      <c r="AD174" s="397">
        <f t="shared" si="160"/>
        <v>22.339285144606521</v>
      </c>
      <c r="AE174" s="397">
        <f t="shared" si="160"/>
        <v>22.339285144606521</v>
      </c>
      <c r="AF174" s="397">
        <f t="shared" si="160"/>
        <v>22.339285144606521</v>
      </c>
      <c r="AG174" s="397">
        <f t="shared" si="160"/>
        <v>22.339285144606521</v>
      </c>
      <c r="AH174" s="397">
        <f t="shared" si="160"/>
        <v>22.339285144606521</v>
      </c>
      <c r="AI174" s="397">
        <f t="shared" si="160"/>
        <v>22.339285144606521</v>
      </c>
      <c r="AJ174" s="397">
        <f t="shared" si="160"/>
        <v>22.339285144606521</v>
      </c>
      <c r="AK174" s="397">
        <f t="shared" si="160"/>
        <v>22.339285144606521</v>
      </c>
      <c r="AL174" s="397">
        <f t="shared" si="160"/>
        <v>22.339285144606521</v>
      </c>
      <c r="AM174" s="397">
        <f t="shared" si="160"/>
        <v>0</v>
      </c>
      <c r="AN174" s="397">
        <f t="shared" si="160"/>
        <v>0</v>
      </c>
      <c r="AO174" s="397">
        <f t="shared" si="160"/>
        <v>0</v>
      </c>
      <c r="AP174" s="397">
        <f t="shared" si="160"/>
        <v>0</v>
      </c>
      <c r="AQ174" s="397">
        <f t="shared" si="160"/>
        <v>0</v>
      </c>
      <c r="AR174" s="397">
        <f t="shared" si="160"/>
        <v>0</v>
      </c>
      <c r="AS174" s="397">
        <f t="shared" si="158"/>
        <v>0</v>
      </c>
      <c r="AT174" s="397">
        <f t="shared" si="158"/>
        <v>0</v>
      </c>
      <c r="AU174" s="397">
        <f t="shared" si="158"/>
        <v>0</v>
      </c>
      <c r="AV174" s="397">
        <f t="shared" si="158"/>
        <v>0</v>
      </c>
      <c r="AW174" s="397">
        <f t="shared" si="158"/>
        <v>0</v>
      </c>
      <c r="AX174" s="397">
        <f t="shared" si="158"/>
        <v>0</v>
      </c>
      <c r="AY174" s="397">
        <f t="shared" si="158"/>
        <v>0</v>
      </c>
      <c r="AZ174" s="397">
        <f t="shared" si="158"/>
        <v>0</v>
      </c>
      <c r="BA174" s="397">
        <f t="shared" si="158"/>
        <v>0</v>
      </c>
    </row>
    <row r="175" spans="2:53">
      <c r="B175" s="398">
        <f t="shared" si="154"/>
        <v>2046</v>
      </c>
      <c r="C175" s="397">
        <f t="shared" si="161"/>
        <v>0</v>
      </c>
      <c r="D175" s="397">
        <f t="shared" si="161"/>
        <v>0</v>
      </c>
      <c r="E175" s="397">
        <f t="shared" si="161"/>
        <v>0</v>
      </c>
      <c r="F175" s="397">
        <f t="shared" si="161"/>
        <v>0</v>
      </c>
      <c r="G175" s="397">
        <f t="shared" si="161"/>
        <v>0</v>
      </c>
      <c r="H175" s="397">
        <f t="shared" si="161"/>
        <v>0</v>
      </c>
      <c r="I175" s="397">
        <f t="shared" si="161"/>
        <v>0</v>
      </c>
      <c r="J175" s="397">
        <f t="shared" si="161"/>
        <v>0</v>
      </c>
      <c r="K175" s="397">
        <f t="shared" si="161"/>
        <v>0</v>
      </c>
      <c r="L175" s="397">
        <f t="shared" si="161"/>
        <v>0</v>
      </c>
      <c r="M175" s="397">
        <f t="shared" si="161"/>
        <v>0</v>
      </c>
      <c r="N175" s="397">
        <f t="shared" si="161"/>
        <v>0</v>
      </c>
      <c r="O175" s="397">
        <f t="shared" si="161"/>
        <v>0</v>
      </c>
      <c r="P175" s="397">
        <f t="shared" si="161"/>
        <v>0</v>
      </c>
      <c r="Q175" s="397">
        <f t="shared" si="161"/>
        <v>0</v>
      </c>
      <c r="R175" s="397">
        <f t="shared" si="161"/>
        <v>0</v>
      </c>
      <c r="S175" s="397">
        <f t="shared" si="159"/>
        <v>0</v>
      </c>
      <c r="T175" s="397">
        <f t="shared" si="159"/>
        <v>0</v>
      </c>
      <c r="U175" s="397">
        <f t="shared" si="159"/>
        <v>0</v>
      </c>
      <c r="V175" s="397">
        <f t="shared" si="159"/>
        <v>0</v>
      </c>
      <c r="W175" s="397">
        <f t="shared" si="159"/>
        <v>0</v>
      </c>
      <c r="X175" s="397">
        <f t="shared" si="159"/>
        <v>0</v>
      </c>
      <c r="Y175" s="397">
        <f t="shared" si="159"/>
        <v>0</v>
      </c>
      <c r="Z175" s="397">
        <f t="shared" si="159"/>
        <v>0</v>
      </c>
      <c r="AA175" s="397">
        <f t="shared" si="159"/>
        <v>0</v>
      </c>
      <c r="AB175" s="397">
        <f t="shared" si="159"/>
        <v>0</v>
      </c>
      <c r="AC175" s="397">
        <f t="shared" si="160"/>
        <v>0</v>
      </c>
      <c r="AD175" s="397">
        <f t="shared" si="160"/>
        <v>22.570630726102721</v>
      </c>
      <c r="AE175" s="397">
        <f t="shared" si="160"/>
        <v>22.570630726102721</v>
      </c>
      <c r="AF175" s="397">
        <f t="shared" si="160"/>
        <v>22.570630726102721</v>
      </c>
      <c r="AG175" s="397">
        <f t="shared" si="160"/>
        <v>22.570630726102721</v>
      </c>
      <c r="AH175" s="397">
        <f t="shared" si="160"/>
        <v>22.570630726102721</v>
      </c>
      <c r="AI175" s="397">
        <f t="shared" si="160"/>
        <v>22.570630726102721</v>
      </c>
      <c r="AJ175" s="397">
        <f t="shared" si="160"/>
        <v>22.570630726102721</v>
      </c>
      <c r="AK175" s="397">
        <f t="shared" si="160"/>
        <v>22.570630726102721</v>
      </c>
      <c r="AL175" s="397">
        <f t="shared" si="160"/>
        <v>22.570630726102721</v>
      </c>
      <c r="AM175" s="397">
        <f t="shared" si="160"/>
        <v>22.570630726102721</v>
      </c>
      <c r="AN175" s="397">
        <f t="shared" si="160"/>
        <v>0</v>
      </c>
      <c r="AO175" s="397">
        <f t="shared" si="160"/>
        <v>0</v>
      </c>
      <c r="AP175" s="397">
        <f t="shared" si="160"/>
        <v>0</v>
      </c>
      <c r="AQ175" s="397">
        <f t="shared" si="160"/>
        <v>0</v>
      </c>
      <c r="AR175" s="397">
        <f t="shared" si="160"/>
        <v>0</v>
      </c>
      <c r="AS175" s="397">
        <f t="shared" si="158"/>
        <v>0</v>
      </c>
      <c r="AT175" s="397">
        <f t="shared" si="158"/>
        <v>0</v>
      </c>
      <c r="AU175" s="397">
        <f t="shared" si="158"/>
        <v>0</v>
      </c>
      <c r="AV175" s="397">
        <f t="shared" si="158"/>
        <v>0</v>
      </c>
      <c r="AW175" s="397">
        <f t="shared" si="158"/>
        <v>0</v>
      </c>
      <c r="AX175" s="397">
        <f t="shared" si="158"/>
        <v>0</v>
      </c>
      <c r="AY175" s="397">
        <f t="shared" si="158"/>
        <v>0</v>
      </c>
      <c r="AZ175" s="397">
        <f t="shared" si="158"/>
        <v>0</v>
      </c>
      <c r="BA175" s="397">
        <f t="shared" si="158"/>
        <v>0</v>
      </c>
    </row>
    <row r="176" spans="2:53">
      <c r="B176" s="398">
        <f t="shared" si="154"/>
        <v>2047</v>
      </c>
      <c r="C176" s="397">
        <f t="shared" si="161"/>
        <v>0</v>
      </c>
      <c r="D176" s="397">
        <f t="shared" si="161"/>
        <v>0</v>
      </c>
      <c r="E176" s="397">
        <f t="shared" si="161"/>
        <v>0</v>
      </c>
      <c r="F176" s="397">
        <f t="shared" si="161"/>
        <v>0</v>
      </c>
      <c r="G176" s="397">
        <f t="shared" si="161"/>
        <v>0</v>
      </c>
      <c r="H176" s="397">
        <f t="shared" si="161"/>
        <v>0</v>
      </c>
      <c r="I176" s="397">
        <f t="shared" si="161"/>
        <v>0</v>
      </c>
      <c r="J176" s="397">
        <f t="shared" si="161"/>
        <v>0</v>
      </c>
      <c r="K176" s="397">
        <f t="shared" si="161"/>
        <v>0</v>
      </c>
      <c r="L176" s="397">
        <f t="shared" si="161"/>
        <v>0</v>
      </c>
      <c r="M176" s="397">
        <f t="shared" si="161"/>
        <v>0</v>
      </c>
      <c r="N176" s="397">
        <f t="shared" si="161"/>
        <v>0</v>
      </c>
      <c r="O176" s="397">
        <f t="shared" si="161"/>
        <v>0</v>
      </c>
      <c r="P176" s="397">
        <f t="shared" si="161"/>
        <v>0</v>
      </c>
      <c r="Q176" s="397">
        <f t="shared" si="161"/>
        <v>0</v>
      </c>
      <c r="R176" s="397">
        <f t="shared" si="161"/>
        <v>0</v>
      </c>
      <c r="S176" s="397">
        <f t="shared" si="159"/>
        <v>0</v>
      </c>
      <c r="T176" s="397">
        <f t="shared" si="159"/>
        <v>0</v>
      </c>
      <c r="U176" s="397">
        <f t="shared" si="159"/>
        <v>0</v>
      </c>
      <c r="V176" s="397">
        <f t="shared" si="159"/>
        <v>0</v>
      </c>
      <c r="W176" s="397">
        <f t="shared" si="159"/>
        <v>0</v>
      </c>
      <c r="X176" s="397">
        <f t="shared" si="159"/>
        <v>0</v>
      </c>
      <c r="Y176" s="397">
        <f t="shared" si="159"/>
        <v>0</v>
      </c>
      <c r="Z176" s="397">
        <f t="shared" si="159"/>
        <v>0</v>
      </c>
      <c r="AA176" s="397">
        <f t="shared" si="159"/>
        <v>0</v>
      </c>
      <c r="AB176" s="397">
        <f t="shared" si="159"/>
        <v>0</v>
      </c>
      <c r="AC176" s="397">
        <f t="shared" si="160"/>
        <v>0</v>
      </c>
      <c r="AD176" s="397">
        <f t="shared" si="160"/>
        <v>0</v>
      </c>
      <c r="AE176" s="397">
        <f t="shared" si="160"/>
        <v>22.792019604611216</v>
      </c>
      <c r="AF176" s="397">
        <f t="shared" si="160"/>
        <v>22.792019604611216</v>
      </c>
      <c r="AG176" s="397">
        <f t="shared" si="160"/>
        <v>22.792019604611216</v>
      </c>
      <c r="AH176" s="397">
        <f t="shared" si="160"/>
        <v>22.792019604611216</v>
      </c>
      <c r="AI176" s="397">
        <f t="shared" si="160"/>
        <v>22.792019604611216</v>
      </c>
      <c r="AJ176" s="397">
        <f t="shared" si="160"/>
        <v>22.792019604611216</v>
      </c>
      <c r="AK176" s="397">
        <f t="shared" si="160"/>
        <v>22.792019604611216</v>
      </c>
      <c r="AL176" s="397">
        <f t="shared" si="160"/>
        <v>22.792019604611216</v>
      </c>
      <c r="AM176" s="397">
        <f t="shared" si="160"/>
        <v>22.792019604611216</v>
      </c>
      <c r="AN176" s="397">
        <f t="shared" si="160"/>
        <v>22.792019604611216</v>
      </c>
      <c r="AO176" s="397">
        <f t="shared" si="160"/>
        <v>0</v>
      </c>
      <c r="AP176" s="397">
        <f t="shared" si="160"/>
        <v>0</v>
      </c>
      <c r="AQ176" s="397">
        <f t="shared" si="160"/>
        <v>0</v>
      </c>
      <c r="AR176" s="397">
        <f t="shared" si="160"/>
        <v>0</v>
      </c>
      <c r="AS176" s="397">
        <f t="shared" si="158"/>
        <v>0</v>
      </c>
      <c r="AT176" s="397">
        <f t="shared" si="158"/>
        <v>0</v>
      </c>
      <c r="AU176" s="397">
        <f t="shared" si="158"/>
        <v>0</v>
      </c>
      <c r="AV176" s="397">
        <f t="shared" si="158"/>
        <v>0</v>
      </c>
      <c r="AW176" s="397">
        <f t="shared" si="158"/>
        <v>0</v>
      </c>
      <c r="AX176" s="397">
        <f t="shared" si="158"/>
        <v>0</v>
      </c>
      <c r="AY176" s="397">
        <f t="shared" si="158"/>
        <v>0</v>
      </c>
      <c r="AZ176" s="397">
        <f t="shared" si="158"/>
        <v>0</v>
      </c>
      <c r="BA176" s="397">
        <f t="shared" si="158"/>
        <v>0</v>
      </c>
    </row>
    <row r="177" spans="2:53">
      <c r="B177" s="398">
        <f t="shared" si="154"/>
        <v>2048</v>
      </c>
      <c r="C177" s="397">
        <f t="shared" si="161"/>
        <v>0</v>
      </c>
      <c r="D177" s="397">
        <f t="shared" si="161"/>
        <v>0</v>
      </c>
      <c r="E177" s="397">
        <f t="shared" si="161"/>
        <v>0</v>
      </c>
      <c r="F177" s="397">
        <f t="shared" si="161"/>
        <v>0</v>
      </c>
      <c r="G177" s="397">
        <f t="shared" si="161"/>
        <v>0</v>
      </c>
      <c r="H177" s="397">
        <f t="shared" si="161"/>
        <v>0</v>
      </c>
      <c r="I177" s="397">
        <f t="shared" si="161"/>
        <v>0</v>
      </c>
      <c r="J177" s="397">
        <f t="shared" si="161"/>
        <v>0</v>
      </c>
      <c r="K177" s="397">
        <f t="shared" si="161"/>
        <v>0</v>
      </c>
      <c r="L177" s="397">
        <f t="shared" si="161"/>
        <v>0</v>
      </c>
      <c r="M177" s="397">
        <f t="shared" si="161"/>
        <v>0</v>
      </c>
      <c r="N177" s="397">
        <f t="shared" si="161"/>
        <v>0</v>
      </c>
      <c r="O177" s="397">
        <f t="shared" si="161"/>
        <v>0</v>
      </c>
      <c r="P177" s="397">
        <f t="shared" si="161"/>
        <v>0</v>
      </c>
      <c r="Q177" s="397">
        <f t="shared" si="161"/>
        <v>0</v>
      </c>
      <c r="R177" s="397">
        <f t="shared" si="161"/>
        <v>0</v>
      </c>
      <c r="S177" s="397">
        <f t="shared" si="159"/>
        <v>0</v>
      </c>
      <c r="T177" s="397">
        <f t="shared" si="159"/>
        <v>0</v>
      </c>
      <c r="U177" s="397">
        <f t="shared" si="159"/>
        <v>0</v>
      </c>
      <c r="V177" s="397">
        <f t="shared" si="159"/>
        <v>0</v>
      </c>
      <c r="W177" s="397">
        <f t="shared" si="159"/>
        <v>0</v>
      </c>
      <c r="X177" s="397">
        <f t="shared" si="159"/>
        <v>0</v>
      </c>
      <c r="Y177" s="397">
        <f t="shared" si="159"/>
        <v>0</v>
      </c>
      <c r="Z177" s="397">
        <f t="shared" si="159"/>
        <v>0</v>
      </c>
      <c r="AA177" s="397">
        <f t="shared" si="159"/>
        <v>0</v>
      </c>
      <c r="AB177" s="397">
        <f t="shared" si="159"/>
        <v>0</v>
      </c>
      <c r="AC177" s="397">
        <f t="shared" si="160"/>
        <v>0</v>
      </c>
      <c r="AD177" s="397">
        <f t="shared" si="160"/>
        <v>0</v>
      </c>
      <c r="AE177" s="397">
        <f t="shared" si="160"/>
        <v>0</v>
      </c>
      <c r="AF177" s="397">
        <f t="shared" si="160"/>
        <v>23.002001771600941</v>
      </c>
      <c r="AG177" s="397">
        <f t="shared" si="160"/>
        <v>23.002001771600941</v>
      </c>
      <c r="AH177" s="397">
        <f t="shared" si="160"/>
        <v>23.002001771600941</v>
      </c>
      <c r="AI177" s="397">
        <f t="shared" si="160"/>
        <v>23.002001771600941</v>
      </c>
      <c r="AJ177" s="397">
        <f t="shared" si="160"/>
        <v>23.002001771600941</v>
      </c>
      <c r="AK177" s="397">
        <f t="shared" si="160"/>
        <v>23.002001771600941</v>
      </c>
      <c r="AL177" s="397">
        <f t="shared" si="160"/>
        <v>23.002001771600941</v>
      </c>
      <c r="AM177" s="397">
        <f t="shared" si="160"/>
        <v>23.002001771600941</v>
      </c>
      <c r="AN177" s="397">
        <f t="shared" si="160"/>
        <v>23.002001771600941</v>
      </c>
      <c r="AO177" s="397">
        <f t="shared" si="160"/>
        <v>23.002001771600941</v>
      </c>
      <c r="AP177" s="397">
        <f t="shared" si="160"/>
        <v>0</v>
      </c>
      <c r="AQ177" s="397">
        <f t="shared" si="160"/>
        <v>0</v>
      </c>
      <c r="AR177" s="397">
        <f t="shared" si="160"/>
        <v>0</v>
      </c>
      <c r="AS177" s="397">
        <f t="shared" si="158"/>
        <v>0</v>
      </c>
      <c r="AT177" s="397">
        <f t="shared" si="158"/>
        <v>0</v>
      </c>
      <c r="AU177" s="397">
        <f t="shared" si="158"/>
        <v>0</v>
      </c>
      <c r="AV177" s="397">
        <f t="shared" si="158"/>
        <v>0</v>
      </c>
      <c r="AW177" s="397">
        <f t="shared" si="158"/>
        <v>0</v>
      </c>
      <c r="AX177" s="397">
        <f t="shared" si="158"/>
        <v>0</v>
      </c>
      <c r="AY177" s="397">
        <f t="shared" si="158"/>
        <v>0</v>
      </c>
      <c r="AZ177" s="397">
        <f t="shared" si="158"/>
        <v>0</v>
      </c>
      <c r="BA177" s="397">
        <f t="shared" si="158"/>
        <v>0</v>
      </c>
    </row>
    <row r="178" spans="2:53">
      <c r="B178" s="398">
        <f t="shared" si="154"/>
        <v>2049</v>
      </c>
      <c r="C178" s="397">
        <f t="shared" si="161"/>
        <v>0</v>
      </c>
      <c r="D178" s="397">
        <f t="shared" si="161"/>
        <v>0</v>
      </c>
      <c r="E178" s="397">
        <f t="shared" si="161"/>
        <v>0</v>
      </c>
      <c r="F178" s="397">
        <f t="shared" si="161"/>
        <v>0</v>
      </c>
      <c r="G178" s="397">
        <f t="shared" si="161"/>
        <v>0</v>
      </c>
      <c r="H178" s="397">
        <f t="shared" si="161"/>
        <v>0</v>
      </c>
      <c r="I178" s="397">
        <f t="shared" si="161"/>
        <v>0</v>
      </c>
      <c r="J178" s="397">
        <f t="shared" si="161"/>
        <v>0</v>
      </c>
      <c r="K178" s="397">
        <f t="shared" si="161"/>
        <v>0</v>
      </c>
      <c r="L178" s="397">
        <f t="shared" si="161"/>
        <v>0</v>
      </c>
      <c r="M178" s="397">
        <f t="shared" si="161"/>
        <v>0</v>
      </c>
      <c r="N178" s="397">
        <f t="shared" si="161"/>
        <v>0</v>
      </c>
      <c r="O178" s="397">
        <f t="shared" si="161"/>
        <v>0</v>
      </c>
      <c r="P178" s="397">
        <f t="shared" si="161"/>
        <v>0</v>
      </c>
      <c r="Q178" s="397">
        <f t="shared" si="161"/>
        <v>0</v>
      </c>
      <c r="R178" s="397">
        <f t="shared" si="161"/>
        <v>0</v>
      </c>
      <c r="S178" s="397">
        <f t="shared" si="159"/>
        <v>0</v>
      </c>
      <c r="T178" s="397">
        <f t="shared" si="159"/>
        <v>0</v>
      </c>
      <c r="U178" s="397">
        <f t="shared" si="159"/>
        <v>0</v>
      </c>
      <c r="V178" s="397">
        <f t="shared" si="159"/>
        <v>0</v>
      </c>
      <c r="W178" s="397">
        <f t="shared" si="159"/>
        <v>0</v>
      </c>
      <c r="X178" s="397">
        <f t="shared" si="159"/>
        <v>0</v>
      </c>
      <c r="Y178" s="397">
        <f t="shared" si="159"/>
        <v>0</v>
      </c>
      <c r="Z178" s="397">
        <f t="shared" si="159"/>
        <v>0</v>
      </c>
      <c r="AA178" s="397">
        <f t="shared" si="159"/>
        <v>0</v>
      </c>
      <c r="AB178" s="397">
        <f t="shared" si="159"/>
        <v>0</v>
      </c>
      <c r="AC178" s="397">
        <f t="shared" si="160"/>
        <v>0</v>
      </c>
      <c r="AD178" s="397">
        <f t="shared" si="160"/>
        <v>0</v>
      </c>
      <c r="AE178" s="397">
        <f t="shared" si="160"/>
        <v>0</v>
      </c>
      <c r="AF178" s="397">
        <f t="shared" si="160"/>
        <v>0</v>
      </c>
      <c r="AG178" s="397">
        <f t="shared" si="160"/>
        <v>23.201095922206591</v>
      </c>
      <c r="AH178" s="397">
        <f t="shared" si="160"/>
        <v>23.201095922206591</v>
      </c>
      <c r="AI178" s="397">
        <f t="shared" si="160"/>
        <v>23.201095922206591</v>
      </c>
      <c r="AJ178" s="397">
        <f t="shared" si="160"/>
        <v>23.201095922206591</v>
      </c>
      <c r="AK178" s="397">
        <f t="shared" si="160"/>
        <v>23.201095922206591</v>
      </c>
      <c r="AL178" s="397">
        <f t="shared" si="160"/>
        <v>23.201095922206591</v>
      </c>
      <c r="AM178" s="397">
        <f t="shared" si="160"/>
        <v>23.201095922206591</v>
      </c>
      <c r="AN178" s="397">
        <f t="shared" si="160"/>
        <v>23.201095922206591</v>
      </c>
      <c r="AO178" s="397">
        <f t="shared" si="160"/>
        <v>23.201095922206591</v>
      </c>
      <c r="AP178" s="397">
        <f t="shared" si="160"/>
        <v>23.201095922206591</v>
      </c>
      <c r="AQ178" s="397">
        <f t="shared" si="160"/>
        <v>0</v>
      </c>
      <c r="AR178" s="397">
        <f t="shared" si="160"/>
        <v>0</v>
      </c>
      <c r="AS178" s="397">
        <f t="shared" si="158"/>
        <v>0</v>
      </c>
      <c r="AT178" s="397">
        <f t="shared" si="158"/>
        <v>0</v>
      </c>
      <c r="AU178" s="397">
        <f t="shared" si="158"/>
        <v>0</v>
      </c>
      <c r="AV178" s="397">
        <f t="shared" si="158"/>
        <v>0</v>
      </c>
      <c r="AW178" s="397">
        <f t="shared" si="158"/>
        <v>0</v>
      </c>
      <c r="AX178" s="397">
        <f t="shared" si="158"/>
        <v>0</v>
      </c>
      <c r="AY178" s="397">
        <f t="shared" si="158"/>
        <v>0</v>
      </c>
      <c r="AZ178" s="397">
        <f t="shared" si="158"/>
        <v>0</v>
      </c>
      <c r="BA178" s="397">
        <f t="shared" si="158"/>
        <v>0</v>
      </c>
    </row>
    <row r="179" spans="2:53">
      <c r="B179" s="398">
        <f t="shared" si="154"/>
        <v>2050</v>
      </c>
      <c r="C179" s="397">
        <f t="shared" si="161"/>
        <v>0</v>
      </c>
      <c r="D179" s="397">
        <f t="shared" si="161"/>
        <v>0</v>
      </c>
      <c r="E179" s="397">
        <f t="shared" si="161"/>
        <v>0</v>
      </c>
      <c r="F179" s="397">
        <f t="shared" si="161"/>
        <v>0</v>
      </c>
      <c r="G179" s="397">
        <f t="shared" si="161"/>
        <v>0</v>
      </c>
      <c r="H179" s="397">
        <f t="shared" si="161"/>
        <v>0</v>
      </c>
      <c r="I179" s="397">
        <f t="shared" si="161"/>
        <v>0</v>
      </c>
      <c r="J179" s="397">
        <f t="shared" si="161"/>
        <v>0</v>
      </c>
      <c r="K179" s="397">
        <f t="shared" si="161"/>
        <v>0</v>
      </c>
      <c r="L179" s="397">
        <f t="shared" si="161"/>
        <v>0</v>
      </c>
      <c r="M179" s="397">
        <f t="shared" si="161"/>
        <v>0</v>
      </c>
      <c r="N179" s="397">
        <f t="shared" si="161"/>
        <v>0</v>
      </c>
      <c r="O179" s="397">
        <f t="shared" si="161"/>
        <v>0</v>
      </c>
      <c r="P179" s="397">
        <f t="shared" si="161"/>
        <v>0</v>
      </c>
      <c r="Q179" s="397">
        <f t="shared" si="161"/>
        <v>0</v>
      </c>
      <c r="R179" s="397">
        <f t="shared" si="161"/>
        <v>0</v>
      </c>
      <c r="S179" s="397">
        <f t="shared" si="159"/>
        <v>0</v>
      </c>
      <c r="T179" s="397">
        <f t="shared" si="159"/>
        <v>0</v>
      </c>
      <c r="U179" s="397">
        <f t="shared" si="159"/>
        <v>0</v>
      </c>
      <c r="V179" s="397">
        <f t="shared" si="159"/>
        <v>0</v>
      </c>
      <c r="W179" s="397">
        <f t="shared" si="159"/>
        <v>0</v>
      </c>
      <c r="X179" s="397">
        <f t="shared" si="159"/>
        <v>0</v>
      </c>
      <c r="Y179" s="397">
        <f t="shared" si="159"/>
        <v>0</v>
      </c>
      <c r="Z179" s="397">
        <f t="shared" si="159"/>
        <v>0</v>
      </c>
      <c r="AA179" s="397">
        <f t="shared" si="159"/>
        <v>0</v>
      </c>
      <c r="AB179" s="397">
        <f t="shared" si="159"/>
        <v>0</v>
      </c>
      <c r="AC179" s="397">
        <f t="shared" si="160"/>
        <v>0</v>
      </c>
      <c r="AD179" s="397">
        <f t="shared" si="160"/>
        <v>0</v>
      </c>
      <c r="AE179" s="397">
        <f t="shared" si="160"/>
        <v>0</v>
      </c>
      <c r="AF179" s="397">
        <f t="shared" si="160"/>
        <v>0</v>
      </c>
      <c r="AG179" s="397">
        <f t="shared" si="160"/>
        <v>0</v>
      </c>
      <c r="AH179" s="397">
        <f t="shared" si="160"/>
        <v>23.393497077967446</v>
      </c>
      <c r="AI179" s="397">
        <f t="shared" si="160"/>
        <v>23.393497077967446</v>
      </c>
      <c r="AJ179" s="397">
        <f t="shared" si="160"/>
        <v>23.393497077967446</v>
      </c>
      <c r="AK179" s="397">
        <f t="shared" si="160"/>
        <v>23.393497077967446</v>
      </c>
      <c r="AL179" s="397">
        <f t="shared" si="160"/>
        <v>23.393497077967446</v>
      </c>
      <c r="AM179" s="397">
        <f t="shared" si="160"/>
        <v>23.393497077967446</v>
      </c>
      <c r="AN179" s="397">
        <f t="shared" si="160"/>
        <v>23.393497077967446</v>
      </c>
      <c r="AO179" s="397">
        <f t="shared" si="160"/>
        <v>23.393497077967446</v>
      </c>
      <c r="AP179" s="397">
        <f t="shared" si="160"/>
        <v>23.393497077967446</v>
      </c>
      <c r="AQ179" s="397">
        <f t="shared" si="160"/>
        <v>23.393497077967446</v>
      </c>
      <c r="AR179" s="397">
        <f t="shared" si="160"/>
        <v>0</v>
      </c>
      <c r="AS179" s="397">
        <f t="shared" si="158"/>
        <v>0</v>
      </c>
      <c r="AT179" s="397">
        <f t="shared" si="158"/>
        <v>0</v>
      </c>
      <c r="AU179" s="397">
        <f t="shared" si="158"/>
        <v>0</v>
      </c>
      <c r="AV179" s="397">
        <f t="shared" si="158"/>
        <v>0</v>
      </c>
      <c r="AW179" s="397">
        <f t="shared" si="158"/>
        <v>0</v>
      </c>
      <c r="AX179" s="397">
        <f t="shared" si="158"/>
        <v>0</v>
      </c>
      <c r="AY179" s="397">
        <f t="shared" si="158"/>
        <v>0</v>
      </c>
      <c r="AZ179" s="397">
        <f t="shared" si="158"/>
        <v>0</v>
      </c>
      <c r="BA179" s="397">
        <f t="shared" si="158"/>
        <v>0</v>
      </c>
    </row>
    <row r="180" spans="2:53">
      <c r="B180" s="398">
        <f t="shared" si="154"/>
        <v>2051</v>
      </c>
      <c r="C180" s="397">
        <f t="shared" si="161"/>
        <v>0</v>
      </c>
      <c r="D180" s="397">
        <f t="shared" si="161"/>
        <v>0</v>
      </c>
      <c r="E180" s="397">
        <f t="shared" si="161"/>
        <v>0</v>
      </c>
      <c r="F180" s="397">
        <f t="shared" si="161"/>
        <v>0</v>
      </c>
      <c r="G180" s="397">
        <f t="shared" si="161"/>
        <v>0</v>
      </c>
      <c r="H180" s="397">
        <f t="shared" si="161"/>
        <v>0</v>
      </c>
      <c r="I180" s="397">
        <f t="shared" si="161"/>
        <v>0</v>
      </c>
      <c r="J180" s="397">
        <f t="shared" si="161"/>
        <v>0</v>
      </c>
      <c r="K180" s="397">
        <f t="shared" si="161"/>
        <v>0</v>
      </c>
      <c r="L180" s="397">
        <f t="shared" si="161"/>
        <v>0</v>
      </c>
      <c r="M180" s="397">
        <f t="shared" si="161"/>
        <v>0</v>
      </c>
      <c r="N180" s="397">
        <f t="shared" si="161"/>
        <v>0</v>
      </c>
      <c r="O180" s="397">
        <f t="shared" si="161"/>
        <v>0</v>
      </c>
      <c r="P180" s="397">
        <f t="shared" si="161"/>
        <v>0</v>
      </c>
      <c r="Q180" s="397">
        <f t="shared" si="161"/>
        <v>0</v>
      </c>
      <c r="R180" s="397">
        <f t="shared" si="161"/>
        <v>0</v>
      </c>
      <c r="S180" s="397">
        <f t="shared" si="159"/>
        <v>0</v>
      </c>
      <c r="T180" s="397">
        <f t="shared" si="159"/>
        <v>0</v>
      </c>
      <c r="U180" s="397">
        <f t="shared" si="159"/>
        <v>0</v>
      </c>
      <c r="V180" s="397">
        <f t="shared" si="159"/>
        <v>0</v>
      </c>
      <c r="W180" s="397">
        <f t="shared" si="159"/>
        <v>0</v>
      </c>
      <c r="X180" s="397">
        <f t="shared" si="159"/>
        <v>0</v>
      </c>
      <c r="Y180" s="397">
        <f t="shared" si="159"/>
        <v>0</v>
      </c>
      <c r="Z180" s="397">
        <f t="shared" si="159"/>
        <v>0</v>
      </c>
      <c r="AA180" s="397">
        <f t="shared" si="159"/>
        <v>0</v>
      </c>
      <c r="AB180" s="397">
        <f t="shared" si="159"/>
        <v>0</v>
      </c>
      <c r="AC180" s="397">
        <f t="shared" si="160"/>
        <v>0</v>
      </c>
      <c r="AD180" s="397">
        <f t="shared" si="160"/>
        <v>0</v>
      </c>
      <c r="AE180" s="397">
        <f t="shared" si="160"/>
        <v>0</v>
      </c>
      <c r="AF180" s="397">
        <f t="shared" si="160"/>
        <v>0</v>
      </c>
      <c r="AG180" s="397">
        <f t="shared" si="160"/>
        <v>0</v>
      </c>
      <c r="AH180" s="397">
        <f t="shared" si="160"/>
        <v>0</v>
      </c>
      <c r="AI180" s="397">
        <f t="shared" si="160"/>
        <v>23.579718174358337</v>
      </c>
      <c r="AJ180" s="397">
        <f t="shared" si="160"/>
        <v>23.579718174358337</v>
      </c>
      <c r="AK180" s="397">
        <f t="shared" si="160"/>
        <v>23.579718174358337</v>
      </c>
      <c r="AL180" s="397">
        <f t="shared" si="160"/>
        <v>23.579718174358337</v>
      </c>
      <c r="AM180" s="397">
        <f t="shared" si="160"/>
        <v>23.579718174358337</v>
      </c>
      <c r="AN180" s="397">
        <f t="shared" si="160"/>
        <v>23.579718174358337</v>
      </c>
      <c r="AO180" s="397">
        <f t="shared" si="160"/>
        <v>23.579718174358337</v>
      </c>
      <c r="AP180" s="397">
        <f t="shared" si="160"/>
        <v>23.579718174358337</v>
      </c>
      <c r="AQ180" s="397">
        <f t="shared" si="160"/>
        <v>23.579718174358337</v>
      </c>
      <c r="AR180" s="397">
        <f t="shared" si="160"/>
        <v>23.579718174358337</v>
      </c>
      <c r="AS180" s="397">
        <f t="shared" si="158"/>
        <v>0</v>
      </c>
      <c r="AT180" s="397">
        <f t="shared" si="158"/>
        <v>0</v>
      </c>
      <c r="AU180" s="397">
        <f t="shared" si="158"/>
        <v>0</v>
      </c>
      <c r="AV180" s="397">
        <f t="shared" si="158"/>
        <v>0</v>
      </c>
      <c r="AW180" s="397">
        <f t="shared" si="158"/>
        <v>0</v>
      </c>
      <c r="AX180" s="397">
        <f t="shared" si="158"/>
        <v>0</v>
      </c>
      <c r="AY180" s="397">
        <f t="shared" si="158"/>
        <v>0</v>
      </c>
      <c r="AZ180" s="397">
        <f t="shared" si="158"/>
        <v>0</v>
      </c>
      <c r="BA180" s="397">
        <f t="shared" si="158"/>
        <v>0</v>
      </c>
    </row>
    <row r="181" spans="2:53">
      <c r="B181" s="398">
        <f t="shared" si="154"/>
        <v>2052</v>
      </c>
      <c r="C181" s="397">
        <f t="shared" si="161"/>
        <v>0</v>
      </c>
      <c r="D181" s="397">
        <f t="shared" si="161"/>
        <v>0</v>
      </c>
      <c r="E181" s="397">
        <f t="shared" si="161"/>
        <v>0</v>
      </c>
      <c r="F181" s="397">
        <f t="shared" si="161"/>
        <v>0</v>
      </c>
      <c r="G181" s="397">
        <f t="shared" si="161"/>
        <v>0</v>
      </c>
      <c r="H181" s="397">
        <f t="shared" si="161"/>
        <v>0</v>
      </c>
      <c r="I181" s="397">
        <f t="shared" si="161"/>
        <v>0</v>
      </c>
      <c r="J181" s="397">
        <f t="shared" si="161"/>
        <v>0</v>
      </c>
      <c r="K181" s="397">
        <f t="shared" si="161"/>
        <v>0</v>
      </c>
      <c r="L181" s="397">
        <f t="shared" si="161"/>
        <v>0</v>
      </c>
      <c r="M181" s="397">
        <f t="shared" si="161"/>
        <v>0</v>
      </c>
      <c r="N181" s="397">
        <f t="shared" si="161"/>
        <v>0</v>
      </c>
      <c r="O181" s="397">
        <f t="shared" si="161"/>
        <v>0</v>
      </c>
      <c r="P181" s="397">
        <f t="shared" si="161"/>
        <v>0</v>
      </c>
      <c r="Q181" s="397">
        <f t="shared" si="161"/>
        <v>0</v>
      </c>
      <c r="R181" s="397">
        <f t="shared" si="161"/>
        <v>0</v>
      </c>
      <c r="S181" s="397">
        <f t="shared" si="159"/>
        <v>0</v>
      </c>
      <c r="T181" s="397">
        <f t="shared" si="159"/>
        <v>0</v>
      </c>
      <c r="U181" s="397">
        <f t="shared" si="159"/>
        <v>0</v>
      </c>
      <c r="V181" s="397">
        <f t="shared" si="159"/>
        <v>0</v>
      </c>
      <c r="W181" s="397">
        <f t="shared" si="159"/>
        <v>0</v>
      </c>
      <c r="X181" s="397">
        <f t="shared" si="159"/>
        <v>0</v>
      </c>
      <c r="Y181" s="397">
        <f t="shared" si="159"/>
        <v>0</v>
      </c>
      <c r="Z181" s="397">
        <f t="shared" si="159"/>
        <v>0</v>
      </c>
      <c r="AA181" s="397">
        <f t="shared" si="159"/>
        <v>0</v>
      </c>
      <c r="AB181" s="397">
        <f t="shared" si="159"/>
        <v>0</v>
      </c>
      <c r="AC181" s="397">
        <f t="shared" si="160"/>
        <v>0</v>
      </c>
      <c r="AD181" s="397">
        <f t="shared" si="160"/>
        <v>0</v>
      </c>
      <c r="AE181" s="397">
        <f t="shared" si="160"/>
        <v>0</v>
      </c>
      <c r="AF181" s="397">
        <f t="shared" si="160"/>
        <v>0</v>
      </c>
      <c r="AG181" s="397">
        <f t="shared" si="160"/>
        <v>0</v>
      </c>
      <c r="AH181" s="397">
        <f t="shared" si="160"/>
        <v>0</v>
      </c>
      <c r="AI181" s="397">
        <f t="shared" si="160"/>
        <v>0</v>
      </c>
      <c r="AJ181" s="397">
        <f t="shared" si="160"/>
        <v>23.762213755160857</v>
      </c>
      <c r="AK181" s="397">
        <f t="shared" si="160"/>
        <v>23.762213755160857</v>
      </c>
      <c r="AL181" s="397">
        <f t="shared" si="160"/>
        <v>23.762213755160857</v>
      </c>
      <c r="AM181" s="397">
        <f t="shared" si="160"/>
        <v>23.762213755160857</v>
      </c>
      <c r="AN181" s="397">
        <f t="shared" si="160"/>
        <v>23.762213755160857</v>
      </c>
      <c r="AO181" s="397">
        <f t="shared" si="160"/>
        <v>23.762213755160857</v>
      </c>
      <c r="AP181" s="397">
        <f t="shared" si="160"/>
        <v>23.762213755160857</v>
      </c>
      <c r="AQ181" s="397">
        <f t="shared" si="160"/>
        <v>23.762213755160857</v>
      </c>
      <c r="AR181" s="397">
        <f t="shared" si="160"/>
        <v>23.762213755160857</v>
      </c>
      <c r="AS181" s="397">
        <f t="shared" si="158"/>
        <v>23.762213755160857</v>
      </c>
      <c r="AT181" s="397">
        <f t="shared" si="158"/>
        <v>0</v>
      </c>
      <c r="AU181" s="397">
        <f t="shared" si="158"/>
        <v>0</v>
      </c>
      <c r="AV181" s="397">
        <f t="shared" si="158"/>
        <v>0</v>
      </c>
      <c r="AW181" s="397">
        <f t="shared" si="158"/>
        <v>0</v>
      </c>
      <c r="AX181" s="397">
        <f t="shared" si="158"/>
        <v>0</v>
      </c>
      <c r="AY181" s="397">
        <f t="shared" si="158"/>
        <v>0</v>
      </c>
      <c r="AZ181" s="397">
        <f t="shared" si="158"/>
        <v>0</v>
      </c>
      <c r="BA181" s="397">
        <f t="shared" si="158"/>
        <v>0</v>
      </c>
    </row>
    <row r="182" spans="2:53">
      <c r="B182" s="398">
        <f t="shared" si="154"/>
        <v>2053</v>
      </c>
      <c r="C182" s="397">
        <f t="shared" si="161"/>
        <v>0</v>
      </c>
      <c r="D182" s="397">
        <f t="shared" si="161"/>
        <v>0</v>
      </c>
      <c r="E182" s="397">
        <f t="shared" si="161"/>
        <v>0</v>
      </c>
      <c r="F182" s="397">
        <f t="shared" si="161"/>
        <v>0</v>
      </c>
      <c r="G182" s="397">
        <f t="shared" si="161"/>
        <v>0</v>
      </c>
      <c r="H182" s="397">
        <f t="shared" si="161"/>
        <v>0</v>
      </c>
      <c r="I182" s="397">
        <f t="shared" si="161"/>
        <v>0</v>
      </c>
      <c r="J182" s="397">
        <f t="shared" si="161"/>
        <v>0</v>
      </c>
      <c r="K182" s="397">
        <f t="shared" si="161"/>
        <v>0</v>
      </c>
      <c r="L182" s="397">
        <f t="shared" si="161"/>
        <v>0</v>
      </c>
      <c r="M182" s="397">
        <f t="shared" si="161"/>
        <v>0</v>
      </c>
      <c r="N182" s="397">
        <f t="shared" si="161"/>
        <v>0</v>
      </c>
      <c r="O182" s="397">
        <f t="shared" si="161"/>
        <v>0</v>
      </c>
      <c r="P182" s="397">
        <f t="shared" si="161"/>
        <v>0</v>
      </c>
      <c r="Q182" s="397">
        <f t="shared" si="161"/>
        <v>0</v>
      </c>
      <c r="R182" s="397">
        <f t="shared" si="161"/>
        <v>0</v>
      </c>
      <c r="S182" s="397">
        <f t="shared" si="159"/>
        <v>0</v>
      </c>
      <c r="T182" s="397">
        <f t="shared" si="159"/>
        <v>0</v>
      </c>
      <c r="U182" s="397">
        <f t="shared" si="159"/>
        <v>0</v>
      </c>
      <c r="V182" s="397">
        <f t="shared" si="159"/>
        <v>0</v>
      </c>
      <c r="W182" s="397">
        <f t="shared" si="159"/>
        <v>0</v>
      </c>
      <c r="X182" s="397">
        <f t="shared" si="159"/>
        <v>0</v>
      </c>
      <c r="Y182" s="397">
        <f t="shared" si="159"/>
        <v>0</v>
      </c>
      <c r="Z182" s="397">
        <f t="shared" si="159"/>
        <v>0</v>
      </c>
      <c r="AA182" s="397">
        <f t="shared" si="159"/>
        <v>0</v>
      </c>
      <c r="AB182" s="397">
        <f t="shared" si="159"/>
        <v>0</v>
      </c>
      <c r="AC182" s="397">
        <f t="shared" si="160"/>
        <v>0</v>
      </c>
      <c r="AD182" s="397">
        <f t="shared" si="160"/>
        <v>0</v>
      </c>
      <c r="AE182" s="397">
        <f t="shared" si="160"/>
        <v>0</v>
      </c>
      <c r="AF182" s="397">
        <f t="shared" si="160"/>
        <v>0</v>
      </c>
      <c r="AG182" s="397">
        <f t="shared" si="160"/>
        <v>0</v>
      </c>
      <c r="AH182" s="397">
        <f t="shared" si="160"/>
        <v>0</v>
      </c>
      <c r="AI182" s="397">
        <f t="shared" si="160"/>
        <v>0</v>
      </c>
      <c r="AJ182" s="397">
        <f t="shared" si="160"/>
        <v>0</v>
      </c>
      <c r="AK182" s="397">
        <f t="shared" si="160"/>
        <v>23.938475297452449</v>
      </c>
      <c r="AL182" s="397">
        <f t="shared" si="160"/>
        <v>23.938475297452449</v>
      </c>
      <c r="AM182" s="397">
        <f t="shared" si="160"/>
        <v>23.938475297452449</v>
      </c>
      <c r="AN182" s="397">
        <f t="shared" si="160"/>
        <v>23.938475297452449</v>
      </c>
      <c r="AO182" s="397">
        <f t="shared" si="160"/>
        <v>23.938475297452449</v>
      </c>
      <c r="AP182" s="397">
        <f t="shared" si="160"/>
        <v>23.938475297452449</v>
      </c>
      <c r="AQ182" s="397">
        <f t="shared" si="160"/>
        <v>23.938475297452449</v>
      </c>
      <c r="AR182" s="397">
        <f t="shared" si="160"/>
        <v>23.938475297452449</v>
      </c>
      <c r="AS182" s="397">
        <f t="shared" si="158"/>
        <v>23.938475297452449</v>
      </c>
      <c r="AT182" s="397">
        <f t="shared" si="158"/>
        <v>23.938475297452449</v>
      </c>
      <c r="AU182" s="397">
        <f t="shared" si="158"/>
        <v>0</v>
      </c>
      <c r="AV182" s="397">
        <f t="shared" si="158"/>
        <v>0</v>
      </c>
      <c r="AW182" s="397">
        <f t="shared" si="158"/>
        <v>0</v>
      </c>
      <c r="AX182" s="397">
        <f t="shared" si="158"/>
        <v>0</v>
      </c>
      <c r="AY182" s="397">
        <f t="shared" si="158"/>
        <v>0</v>
      </c>
      <c r="AZ182" s="397">
        <f t="shared" si="158"/>
        <v>0</v>
      </c>
      <c r="BA182" s="397">
        <f t="shared" si="158"/>
        <v>0</v>
      </c>
    </row>
    <row r="183" spans="2:53">
      <c r="B183" s="398">
        <f t="shared" si="154"/>
        <v>2054</v>
      </c>
      <c r="C183" s="397">
        <f t="shared" si="161"/>
        <v>0</v>
      </c>
      <c r="D183" s="397">
        <f t="shared" si="161"/>
        <v>0</v>
      </c>
      <c r="E183" s="397">
        <f t="shared" si="161"/>
        <v>0</v>
      </c>
      <c r="F183" s="397">
        <f t="shared" si="161"/>
        <v>0</v>
      </c>
      <c r="G183" s="397">
        <f t="shared" si="161"/>
        <v>0</v>
      </c>
      <c r="H183" s="397">
        <f t="shared" si="161"/>
        <v>0</v>
      </c>
      <c r="I183" s="397">
        <f t="shared" si="161"/>
        <v>0</v>
      </c>
      <c r="J183" s="397">
        <f t="shared" si="161"/>
        <v>0</v>
      </c>
      <c r="K183" s="397">
        <f t="shared" si="161"/>
        <v>0</v>
      </c>
      <c r="L183" s="397">
        <f t="shared" si="161"/>
        <v>0</v>
      </c>
      <c r="M183" s="397">
        <f t="shared" si="161"/>
        <v>0</v>
      </c>
      <c r="N183" s="397">
        <f t="shared" si="161"/>
        <v>0</v>
      </c>
      <c r="O183" s="397">
        <f t="shared" si="161"/>
        <v>0</v>
      </c>
      <c r="P183" s="397">
        <f t="shared" si="161"/>
        <v>0</v>
      </c>
      <c r="Q183" s="397">
        <f t="shared" si="161"/>
        <v>0</v>
      </c>
      <c r="R183" s="397">
        <f t="shared" si="161"/>
        <v>0</v>
      </c>
      <c r="S183" s="397">
        <f t="shared" si="159"/>
        <v>0</v>
      </c>
      <c r="T183" s="397">
        <f t="shared" si="159"/>
        <v>0</v>
      </c>
      <c r="U183" s="397">
        <f t="shared" si="159"/>
        <v>0</v>
      </c>
      <c r="V183" s="397">
        <f t="shared" si="159"/>
        <v>0</v>
      </c>
      <c r="W183" s="397">
        <f t="shared" si="159"/>
        <v>0</v>
      </c>
      <c r="X183" s="397">
        <f t="shared" si="159"/>
        <v>0</v>
      </c>
      <c r="Y183" s="397">
        <f t="shared" si="159"/>
        <v>0</v>
      </c>
      <c r="Z183" s="397">
        <f t="shared" si="159"/>
        <v>0</v>
      </c>
      <c r="AA183" s="397">
        <f t="shared" si="159"/>
        <v>0</v>
      </c>
      <c r="AB183" s="397">
        <f t="shared" si="159"/>
        <v>0</v>
      </c>
      <c r="AC183" s="397">
        <f t="shared" si="160"/>
        <v>0</v>
      </c>
      <c r="AD183" s="397">
        <f t="shared" si="160"/>
        <v>0</v>
      </c>
      <c r="AE183" s="397">
        <f t="shared" si="160"/>
        <v>0</v>
      </c>
      <c r="AF183" s="397">
        <f t="shared" si="160"/>
        <v>0</v>
      </c>
      <c r="AG183" s="397">
        <f t="shared" si="160"/>
        <v>0</v>
      </c>
      <c r="AH183" s="397">
        <f t="shared" si="160"/>
        <v>0</v>
      </c>
      <c r="AI183" s="397">
        <f t="shared" si="160"/>
        <v>0</v>
      </c>
      <c r="AJ183" s="397">
        <f t="shared" si="160"/>
        <v>0</v>
      </c>
      <c r="AK183" s="397">
        <f t="shared" si="160"/>
        <v>0</v>
      </c>
      <c r="AL183" s="397">
        <f t="shared" si="160"/>
        <v>24.104606230132894</v>
      </c>
      <c r="AM183" s="397">
        <f t="shared" si="160"/>
        <v>24.104606230132894</v>
      </c>
      <c r="AN183" s="397">
        <f t="shared" si="160"/>
        <v>24.104606230132894</v>
      </c>
      <c r="AO183" s="397">
        <f t="shared" si="160"/>
        <v>24.104606230132894</v>
      </c>
      <c r="AP183" s="397">
        <f t="shared" si="160"/>
        <v>24.104606230132894</v>
      </c>
      <c r="AQ183" s="397">
        <f t="shared" si="160"/>
        <v>24.104606230132894</v>
      </c>
      <c r="AR183" s="397">
        <f t="shared" si="160"/>
        <v>24.104606230132894</v>
      </c>
      <c r="AS183" s="397">
        <f t="shared" si="158"/>
        <v>24.104606230132894</v>
      </c>
      <c r="AT183" s="397">
        <f t="shared" si="158"/>
        <v>24.104606230132894</v>
      </c>
      <c r="AU183" s="397">
        <f t="shared" si="158"/>
        <v>24.104606230132894</v>
      </c>
      <c r="AV183" s="397">
        <f t="shared" si="158"/>
        <v>0</v>
      </c>
      <c r="AW183" s="397">
        <f t="shared" si="158"/>
        <v>0</v>
      </c>
      <c r="AX183" s="397">
        <f t="shared" si="158"/>
        <v>0</v>
      </c>
      <c r="AY183" s="397">
        <f t="shared" si="158"/>
        <v>0</v>
      </c>
      <c r="AZ183" s="397">
        <f t="shared" si="158"/>
        <v>0</v>
      </c>
      <c r="BA183" s="397">
        <f t="shared" si="158"/>
        <v>0</v>
      </c>
    </row>
    <row r="184" spans="2:53">
      <c r="B184" s="398">
        <f t="shared" si="154"/>
        <v>2055</v>
      </c>
      <c r="C184" s="397">
        <f t="shared" si="161"/>
        <v>0</v>
      </c>
      <c r="D184" s="397">
        <f t="shared" si="161"/>
        <v>0</v>
      </c>
      <c r="E184" s="397">
        <f t="shared" si="161"/>
        <v>0</v>
      </c>
      <c r="F184" s="397">
        <f t="shared" si="161"/>
        <v>0</v>
      </c>
      <c r="G184" s="397">
        <f t="shared" si="161"/>
        <v>0</v>
      </c>
      <c r="H184" s="397">
        <f t="shared" si="161"/>
        <v>0</v>
      </c>
      <c r="I184" s="397">
        <f t="shared" si="161"/>
        <v>0</v>
      </c>
      <c r="J184" s="397">
        <f t="shared" si="161"/>
        <v>0</v>
      </c>
      <c r="K184" s="397">
        <f t="shared" si="161"/>
        <v>0</v>
      </c>
      <c r="L184" s="397">
        <f t="shared" si="161"/>
        <v>0</v>
      </c>
      <c r="M184" s="397">
        <f t="shared" si="161"/>
        <v>0</v>
      </c>
      <c r="N184" s="397">
        <f t="shared" si="161"/>
        <v>0</v>
      </c>
      <c r="O184" s="397">
        <f t="shared" si="161"/>
        <v>0</v>
      </c>
      <c r="P184" s="397">
        <f t="shared" si="161"/>
        <v>0</v>
      </c>
      <c r="Q184" s="397">
        <f t="shared" si="161"/>
        <v>0</v>
      </c>
      <c r="R184" s="397">
        <f t="shared" si="161"/>
        <v>0</v>
      </c>
      <c r="S184" s="397">
        <f t="shared" si="159"/>
        <v>0</v>
      </c>
      <c r="T184" s="397">
        <f t="shared" si="159"/>
        <v>0</v>
      </c>
      <c r="U184" s="397">
        <f t="shared" si="159"/>
        <v>0</v>
      </c>
      <c r="V184" s="397">
        <f t="shared" si="159"/>
        <v>0</v>
      </c>
      <c r="W184" s="397">
        <f t="shared" si="159"/>
        <v>0</v>
      </c>
      <c r="X184" s="397">
        <f t="shared" si="159"/>
        <v>0</v>
      </c>
      <c r="Y184" s="397">
        <f t="shared" si="159"/>
        <v>0</v>
      </c>
      <c r="Z184" s="397">
        <f t="shared" si="159"/>
        <v>0</v>
      </c>
      <c r="AA184" s="397">
        <f t="shared" si="159"/>
        <v>0</v>
      </c>
      <c r="AB184" s="397">
        <f t="shared" si="159"/>
        <v>0</v>
      </c>
      <c r="AC184" s="397">
        <f t="shared" si="160"/>
        <v>0</v>
      </c>
      <c r="AD184" s="397">
        <f t="shared" si="160"/>
        <v>0</v>
      </c>
      <c r="AE184" s="397">
        <f t="shared" si="160"/>
        <v>0</v>
      </c>
      <c r="AF184" s="397">
        <f t="shared" si="160"/>
        <v>0</v>
      </c>
      <c r="AG184" s="397">
        <f t="shared" si="160"/>
        <v>0</v>
      </c>
      <c r="AH184" s="397">
        <f t="shared" si="160"/>
        <v>0</v>
      </c>
      <c r="AI184" s="397">
        <f t="shared" si="160"/>
        <v>0</v>
      </c>
      <c r="AJ184" s="397">
        <f t="shared" si="160"/>
        <v>0</v>
      </c>
      <c r="AK184" s="397">
        <f t="shared" si="160"/>
        <v>0</v>
      </c>
      <c r="AL184" s="397">
        <f t="shared" si="160"/>
        <v>0</v>
      </c>
      <c r="AM184" s="397">
        <f t="shared" si="160"/>
        <v>24.25848964161019</v>
      </c>
      <c r="AN184" s="397">
        <f t="shared" si="160"/>
        <v>24.25848964161019</v>
      </c>
      <c r="AO184" s="397">
        <f t="shared" si="160"/>
        <v>24.25848964161019</v>
      </c>
      <c r="AP184" s="397">
        <f t="shared" si="160"/>
        <v>24.25848964161019</v>
      </c>
      <c r="AQ184" s="397">
        <f t="shared" si="160"/>
        <v>24.25848964161019</v>
      </c>
      <c r="AR184" s="397">
        <f t="shared" si="160"/>
        <v>24.25848964161019</v>
      </c>
      <c r="AS184" s="397">
        <f t="shared" si="158"/>
        <v>24.25848964161019</v>
      </c>
      <c r="AT184" s="397">
        <f t="shared" si="158"/>
        <v>24.25848964161019</v>
      </c>
      <c r="AU184" s="397">
        <f t="shared" si="158"/>
        <v>24.25848964161019</v>
      </c>
      <c r="AV184" s="397">
        <f t="shared" si="158"/>
        <v>24.25848964161019</v>
      </c>
      <c r="AW184" s="397">
        <f t="shared" si="158"/>
        <v>0</v>
      </c>
      <c r="AX184" s="397">
        <f t="shared" si="158"/>
        <v>0</v>
      </c>
      <c r="AY184" s="397">
        <f t="shared" si="158"/>
        <v>0</v>
      </c>
      <c r="AZ184" s="397">
        <f t="shared" si="158"/>
        <v>0</v>
      </c>
      <c r="BA184" s="397">
        <f t="shared" si="158"/>
        <v>0</v>
      </c>
    </row>
    <row r="185" spans="2:53">
      <c r="B185" s="398">
        <f t="shared" si="154"/>
        <v>2056</v>
      </c>
      <c r="C185" s="397">
        <f t="shared" si="161"/>
        <v>0</v>
      </c>
      <c r="D185" s="397">
        <f t="shared" si="161"/>
        <v>0</v>
      </c>
      <c r="E185" s="397">
        <f t="shared" si="161"/>
        <v>0</v>
      </c>
      <c r="F185" s="397">
        <f t="shared" si="161"/>
        <v>0</v>
      </c>
      <c r="G185" s="397">
        <f t="shared" si="161"/>
        <v>0</v>
      </c>
      <c r="H185" s="397">
        <f t="shared" si="161"/>
        <v>0</v>
      </c>
      <c r="I185" s="397">
        <f t="shared" si="161"/>
        <v>0</v>
      </c>
      <c r="J185" s="397">
        <f t="shared" si="161"/>
        <v>0</v>
      </c>
      <c r="K185" s="397">
        <f t="shared" si="161"/>
        <v>0</v>
      </c>
      <c r="L185" s="397">
        <f t="shared" si="161"/>
        <v>0</v>
      </c>
      <c r="M185" s="397">
        <f t="shared" si="161"/>
        <v>0</v>
      </c>
      <c r="N185" s="397">
        <f t="shared" si="161"/>
        <v>0</v>
      </c>
      <c r="O185" s="397">
        <f t="shared" si="161"/>
        <v>0</v>
      </c>
      <c r="P185" s="397">
        <f t="shared" si="161"/>
        <v>0</v>
      </c>
      <c r="Q185" s="397">
        <f t="shared" si="161"/>
        <v>0</v>
      </c>
      <c r="R185" s="397">
        <f t="shared" si="161"/>
        <v>0</v>
      </c>
      <c r="S185" s="397">
        <f t="shared" si="159"/>
        <v>0</v>
      </c>
      <c r="T185" s="397">
        <f t="shared" si="159"/>
        <v>0</v>
      </c>
      <c r="U185" s="397">
        <f t="shared" si="159"/>
        <v>0</v>
      </c>
      <c r="V185" s="397">
        <f t="shared" si="159"/>
        <v>0</v>
      </c>
      <c r="W185" s="397">
        <f t="shared" si="159"/>
        <v>0</v>
      </c>
      <c r="X185" s="397">
        <f t="shared" si="159"/>
        <v>0</v>
      </c>
      <c r="Y185" s="397">
        <f t="shared" si="159"/>
        <v>0</v>
      </c>
      <c r="Z185" s="397">
        <f t="shared" si="159"/>
        <v>0</v>
      </c>
      <c r="AA185" s="397">
        <f t="shared" si="159"/>
        <v>0</v>
      </c>
      <c r="AB185" s="397">
        <f t="shared" si="159"/>
        <v>0</v>
      </c>
      <c r="AC185" s="397">
        <f t="shared" si="160"/>
        <v>0</v>
      </c>
      <c r="AD185" s="397">
        <f t="shared" si="160"/>
        <v>0</v>
      </c>
      <c r="AE185" s="397">
        <f t="shared" si="160"/>
        <v>0</v>
      </c>
      <c r="AF185" s="397">
        <f t="shared" si="160"/>
        <v>0</v>
      </c>
      <c r="AG185" s="397">
        <f t="shared" si="160"/>
        <v>0</v>
      </c>
      <c r="AH185" s="397">
        <f t="shared" si="160"/>
        <v>0</v>
      </c>
      <c r="AI185" s="397">
        <f t="shared" si="160"/>
        <v>0</v>
      </c>
      <c r="AJ185" s="397">
        <f t="shared" si="160"/>
        <v>0</v>
      </c>
      <c r="AK185" s="397">
        <f t="shared" si="160"/>
        <v>0</v>
      </c>
      <c r="AL185" s="397">
        <f t="shared" si="160"/>
        <v>0</v>
      </c>
      <c r="AM185" s="397">
        <f t="shared" si="160"/>
        <v>0</v>
      </c>
      <c r="AN185" s="397">
        <f t="shared" si="160"/>
        <v>24.398811929847227</v>
      </c>
      <c r="AO185" s="397">
        <f t="shared" si="160"/>
        <v>24.398811929847227</v>
      </c>
      <c r="AP185" s="397">
        <f t="shared" si="160"/>
        <v>24.398811929847227</v>
      </c>
      <c r="AQ185" s="397">
        <f t="shared" si="160"/>
        <v>24.398811929847227</v>
      </c>
      <c r="AR185" s="397">
        <f t="shared" ref="AR185:BA199" si="162">IF($B185&gt;=AR$148,0,        IF(AR$148-$B185&lt;=$C$139,    INDEX($C$124:$BA$124, MATCH($B185, $C$123:$BA$123,0)),       0))</f>
        <v>24.398811929847227</v>
      </c>
      <c r="AS185" s="397">
        <f t="shared" si="162"/>
        <v>24.398811929847227</v>
      </c>
      <c r="AT185" s="397">
        <f t="shared" si="162"/>
        <v>24.398811929847227</v>
      </c>
      <c r="AU185" s="397">
        <f t="shared" si="162"/>
        <v>24.398811929847227</v>
      </c>
      <c r="AV185" s="397">
        <f t="shared" si="162"/>
        <v>24.398811929847227</v>
      </c>
      <c r="AW185" s="397">
        <f t="shared" si="162"/>
        <v>24.398811929847227</v>
      </c>
      <c r="AX185" s="397">
        <f t="shared" si="162"/>
        <v>0</v>
      </c>
      <c r="AY185" s="397">
        <f t="shared" si="162"/>
        <v>0</v>
      </c>
      <c r="AZ185" s="397">
        <f t="shared" si="162"/>
        <v>0</v>
      </c>
      <c r="BA185" s="397">
        <f t="shared" si="162"/>
        <v>0</v>
      </c>
    </row>
    <row r="186" spans="2:53">
      <c r="B186" s="398">
        <f t="shared" si="154"/>
        <v>2057</v>
      </c>
      <c r="C186" s="397">
        <f t="shared" si="161"/>
        <v>0</v>
      </c>
      <c r="D186" s="397">
        <f t="shared" si="161"/>
        <v>0</v>
      </c>
      <c r="E186" s="397">
        <f t="shared" si="161"/>
        <v>0</v>
      </c>
      <c r="F186" s="397">
        <f t="shared" si="161"/>
        <v>0</v>
      </c>
      <c r="G186" s="397">
        <f t="shared" si="161"/>
        <v>0</v>
      </c>
      <c r="H186" s="397">
        <f t="shared" si="161"/>
        <v>0</v>
      </c>
      <c r="I186" s="397">
        <f t="shared" si="161"/>
        <v>0</v>
      </c>
      <c r="J186" s="397">
        <f t="shared" si="161"/>
        <v>0</v>
      </c>
      <c r="K186" s="397">
        <f t="shared" si="161"/>
        <v>0</v>
      </c>
      <c r="L186" s="397">
        <f t="shared" si="161"/>
        <v>0</v>
      </c>
      <c r="M186" s="397">
        <f t="shared" si="161"/>
        <v>0</v>
      </c>
      <c r="N186" s="397">
        <f t="shared" si="161"/>
        <v>0</v>
      </c>
      <c r="O186" s="397">
        <f t="shared" si="161"/>
        <v>0</v>
      </c>
      <c r="P186" s="397">
        <f t="shared" si="161"/>
        <v>0</v>
      </c>
      <c r="Q186" s="397">
        <f t="shared" si="161"/>
        <v>0</v>
      </c>
      <c r="R186" s="397">
        <f t="shared" ref="R186:AG199" si="163">IF($B186&gt;=R$148,0,        IF(R$148-$B186&lt;=$C$139,    INDEX($C$124:$BA$124, MATCH($B186, $C$123:$BA$123,0)),       0))</f>
        <v>0</v>
      </c>
      <c r="S186" s="397">
        <f t="shared" si="163"/>
        <v>0</v>
      </c>
      <c r="T186" s="397">
        <f t="shared" si="163"/>
        <v>0</v>
      </c>
      <c r="U186" s="397">
        <f t="shared" si="163"/>
        <v>0</v>
      </c>
      <c r="V186" s="397">
        <f t="shared" si="163"/>
        <v>0</v>
      </c>
      <c r="W186" s="397">
        <f t="shared" si="163"/>
        <v>0</v>
      </c>
      <c r="X186" s="397">
        <f t="shared" si="163"/>
        <v>0</v>
      </c>
      <c r="Y186" s="397">
        <f t="shared" si="163"/>
        <v>0</v>
      </c>
      <c r="Z186" s="397">
        <f t="shared" si="163"/>
        <v>0</v>
      </c>
      <c r="AA186" s="397">
        <f t="shared" si="163"/>
        <v>0</v>
      </c>
      <c r="AB186" s="397">
        <f t="shared" si="163"/>
        <v>0</v>
      </c>
      <c r="AC186" s="397">
        <f t="shared" si="163"/>
        <v>0</v>
      </c>
      <c r="AD186" s="397">
        <f t="shared" si="163"/>
        <v>0</v>
      </c>
      <c r="AE186" s="397">
        <f t="shared" si="163"/>
        <v>0</v>
      </c>
      <c r="AF186" s="397">
        <f t="shared" si="163"/>
        <v>0</v>
      </c>
      <c r="AG186" s="397">
        <f t="shared" si="163"/>
        <v>0</v>
      </c>
      <c r="AH186" s="397">
        <f t="shared" ref="AH186:AW199" si="164">IF($B186&gt;=AH$148,0,        IF(AH$148-$B186&lt;=$C$139,    INDEX($C$124:$BA$124, MATCH($B186, $C$123:$BA$123,0)),       0))</f>
        <v>0</v>
      </c>
      <c r="AI186" s="397">
        <f t="shared" si="164"/>
        <v>0</v>
      </c>
      <c r="AJ186" s="397">
        <f t="shared" si="164"/>
        <v>0</v>
      </c>
      <c r="AK186" s="397">
        <f t="shared" si="164"/>
        <v>0</v>
      </c>
      <c r="AL186" s="397">
        <f t="shared" si="164"/>
        <v>0</v>
      </c>
      <c r="AM186" s="397">
        <f t="shared" si="164"/>
        <v>0</v>
      </c>
      <c r="AN186" s="397">
        <f t="shared" si="164"/>
        <v>0</v>
      </c>
      <c r="AO186" s="397">
        <f t="shared" si="164"/>
        <v>24.524588270860065</v>
      </c>
      <c r="AP186" s="397">
        <f t="shared" si="164"/>
        <v>24.524588270860065</v>
      </c>
      <c r="AQ186" s="397">
        <f t="shared" si="164"/>
        <v>24.524588270860065</v>
      </c>
      <c r="AR186" s="397">
        <f t="shared" si="164"/>
        <v>24.524588270860065</v>
      </c>
      <c r="AS186" s="397">
        <f t="shared" si="164"/>
        <v>24.524588270860065</v>
      </c>
      <c r="AT186" s="397">
        <f t="shared" si="164"/>
        <v>24.524588270860065</v>
      </c>
      <c r="AU186" s="397">
        <f t="shared" si="164"/>
        <v>24.524588270860065</v>
      </c>
      <c r="AV186" s="397">
        <f t="shared" si="164"/>
        <v>24.524588270860065</v>
      </c>
      <c r="AW186" s="397">
        <f t="shared" si="164"/>
        <v>24.524588270860065</v>
      </c>
      <c r="AX186" s="397">
        <f t="shared" si="162"/>
        <v>24.524588270860065</v>
      </c>
      <c r="AY186" s="397">
        <f t="shared" si="162"/>
        <v>0</v>
      </c>
      <c r="AZ186" s="397">
        <f t="shared" si="162"/>
        <v>0</v>
      </c>
      <c r="BA186" s="397">
        <f t="shared" si="162"/>
        <v>0</v>
      </c>
    </row>
    <row r="187" spans="2:53">
      <c r="B187" s="398">
        <f t="shared" si="154"/>
        <v>2058</v>
      </c>
      <c r="C187" s="397">
        <f t="shared" ref="C187:R199" si="165">IF($B187&gt;=C$148,0,        IF(C$148-$B187&lt;=$C$139,    INDEX($C$124:$BA$124, MATCH($B187, $C$123:$BA$123,0)),       0))</f>
        <v>0</v>
      </c>
      <c r="D187" s="397">
        <f t="shared" si="165"/>
        <v>0</v>
      </c>
      <c r="E187" s="397">
        <f t="shared" si="165"/>
        <v>0</v>
      </c>
      <c r="F187" s="397">
        <f t="shared" si="165"/>
        <v>0</v>
      </c>
      <c r="G187" s="397">
        <f t="shared" si="165"/>
        <v>0</v>
      </c>
      <c r="H187" s="397">
        <f t="shared" si="165"/>
        <v>0</v>
      </c>
      <c r="I187" s="397">
        <f t="shared" si="165"/>
        <v>0</v>
      </c>
      <c r="J187" s="397">
        <f t="shared" si="165"/>
        <v>0</v>
      </c>
      <c r="K187" s="397">
        <f t="shared" si="165"/>
        <v>0</v>
      </c>
      <c r="L187" s="397">
        <f t="shared" si="165"/>
        <v>0</v>
      </c>
      <c r="M187" s="397">
        <f t="shared" si="165"/>
        <v>0</v>
      </c>
      <c r="N187" s="397">
        <f t="shared" si="165"/>
        <v>0</v>
      </c>
      <c r="O187" s="397">
        <f t="shared" si="165"/>
        <v>0</v>
      </c>
      <c r="P187" s="397">
        <f t="shared" si="165"/>
        <v>0</v>
      </c>
      <c r="Q187" s="397">
        <f t="shared" si="165"/>
        <v>0</v>
      </c>
      <c r="R187" s="397">
        <f t="shared" si="165"/>
        <v>0</v>
      </c>
      <c r="S187" s="397">
        <f t="shared" si="163"/>
        <v>0</v>
      </c>
      <c r="T187" s="397">
        <f t="shared" si="163"/>
        <v>0</v>
      </c>
      <c r="U187" s="397">
        <f t="shared" si="163"/>
        <v>0</v>
      </c>
      <c r="V187" s="397">
        <f t="shared" si="163"/>
        <v>0</v>
      </c>
      <c r="W187" s="397">
        <f t="shared" si="163"/>
        <v>0</v>
      </c>
      <c r="X187" s="397">
        <f t="shared" si="163"/>
        <v>0</v>
      </c>
      <c r="Y187" s="397">
        <f t="shared" si="163"/>
        <v>0</v>
      </c>
      <c r="Z187" s="397">
        <f t="shared" si="163"/>
        <v>0</v>
      </c>
      <c r="AA187" s="397">
        <f t="shared" si="163"/>
        <v>0</v>
      </c>
      <c r="AB187" s="397">
        <f t="shared" si="163"/>
        <v>0</v>
      </c>
      <c r="AC187" s="397">
        <f t="shared" si="163"/>
        <v>0</v>
      </c>
      <c r="AD187" s="397">
        <f t="shared" si="163"/>
        <v>0</v>
      </c>
      <c r="AE187" s="397">
        <f t="shared" si="163"/>
        <v>0</v>
      </c>
      <c r="AF187" s="397">
        <f t="shared" si="163"/>
        <v>0</v>
      </c>
      <c r="AG187" s="397">
        <f t="shared" si="163"/>
        <v>0</v>
      </c>
      <c r="AH187" s="397">
        <f t="shared" si="164"/>
        <v>0</v>
      </c>
      <c r="AI187" s="397">
        <f t="shared" si="164"/>
        <v>0</v>
      </c>
      <c r="AJ187" s="397">
        <f t="shared" si="164"/>
        <v>0</v>
      </c>
      <c r="AK187" s="397">
        <f t="shared" si="164"/>
        <v>0</v>
      </c>
      <c r="AL187" s="397">
        <f t="shared" si="164"/>
        <v>0</v>
      </c>
      <c r="AM187" s="397">
        <f t="shared" si="164"/>
        <v>0</v>
      </c>
      <c r="AN187" s="397">
        <f t="shared" si="164"/>
        <v>0</v>
      </c>
      <c r="AO187" s="397">
        <f t="shared" si="164"/>
        <v>0</v>
      </c>
      <c r="AP187" s="397">
        <f t="shared" si="164"/>
        <v>24.634912000302297</v>
      </c>
      <c r="AQ187" s="397">
        <f t="shared" si="164"/>
        <v>24.634912000302297</v>
      </c>
      <c r="AR187" s="397">
        <f t="shared" si="164"/>
        <v>24.634912000302297</v>
      </c>
      <c r="AS187" s="397">
        <f t="shared" si="164"/>
        <v>24.634912000302297</v>
      </c>
      <c r="AT187" s="397">
        <f t="shared" si="164"/>
        <v>24.634912000302297</v>
      </c>
      <c r="AU187" s="397">
        <f t="shared" si="164"/>
        <v>24.634912000302297</v>
      </c>
      <c r="AV187" s="397">
        <f t="shared" si="164"/>
        <v>24.634912000302297</v>
      </c>
      <c r="AW187" s="397">
        <f t="shared" si="164"/>
        <v>24.634912000302297</v>
      </c>
      <c r="AX187" s="397">
        <f t="shared" si="162"/>
        <v>24.634912000302297</v>
      </c>
      <c r="AY187" s="397">
        <f t="shared" si="162"/>
        <v>24.634912000302297</v>
      </c>
      <c r="AZ187" s="397">
        <f t="shared" si="162"/>
        <v>0</v>
      </c>
      <c r="BA187" s="397">
        <f t="shared" si="162"/>
        <v>0</v>
      </c>
    </row>
    <row r="188" spans="2:53">
      <c r="B188" s="398">
        <f t="shared" si="154"/>
        <v>2059</v>
      </c>
      <c r="C188" s="397">
        <f t="shared" si="165"/>
        <v>0</v>
      </c>
      <c r="D188" s="397">
        <f t="shared" si="165"/>
        <v>0</v>
      </c>
      <c r="E188" s="397">
        <f t="shared" si="165"/>
        <v>0</v>
      </c>
      <c r="F188" s="397">
        <f t="shared" si="165"/>
        <v>0</v>
      </c>
      <c r="G188" s="397">
        <f t="shared" si="165"/>
        <v>0</v>
      </c>
      <c r="H188" s="397">
        <f t="shared" si="165"/>
        <v>0</v>
      </c>
      <c r="I188" s="397">
        <f t="shared" si="165"/>
        <v>0</v>
      </c>
      <c r="J188" s="397">
        <f t="shared" si="165"/>
        <v>0</v>
      </c>
      <c r="K188" s="397">
        <f t="shared" si="165"/>
        <v>0</v>
      </c>
      <c r="L188" s="397">
        <f t="shared" si="165"/>
        <v>0</v>
      </c>
      <c r="M188" s="397">
        <f t="shared" si="165"/>
        <v>0</v>
      </c>
      <c r="N188" s="397">
        <f t="shared" si="165"/>
        <v>0</v>
      </c>
      <c r="O188" s="397">
        <f t="shared" si="165"/>
        <v>0</v>
      </c>
      <c r="P188" s="397">
        <f t="shared" si="165"/>
        <v>0</v>
      </c>
      <c r="Q188" s="397">
        <f t="shared" si="165"/>
        <v>0</v>
      </c>
      <c r="R188" s="397">
        <f t="shared" si="165"/>
        <v>0</v>
      </c>
      <c r="S188" s="397">
        <f t="shared" si="163"/>
        <v>0</v>
      </c>
      <c r="T188" s="397">
        <f t="shared" si="163"/>
        <v>0</v>
      </c>
      <c r="U188" s="397">
        <f t="shared" si="163"/>
        <v>0</v>
      </c>
      <c r="V188" s="397">
        <f t="shared" si="163"/>
        <v>0</v>
      </c>
      <c r="W188" s="397">
        <f t="shared" si="163"/>
        <v>0</v>
      </c>
      <c r="X188" s="397">
        <f t="shared" si="163"/>
        <v>0</v>
      </c>
      <c r="Y188" s="397">
        <f t="shared" si="163"/>
        <v>0</v>
      </c>
      <c r="Z188" s="397">
        <f t="shared" si="163"/>
        <v>0</v>
      </c>
      <c r="AA188" s="397">
        <f t="shared" si="163"/>
        <v>0</v>
      </c>
      <c r="AB188" s="397">
        <f t="shared" si="163"/>
        <v>0</v>
      </c>
      <c r="AC188" s="397">
        <f t="shared" si="163"/>
        <v>0</v>
      </c>
      <c r="AD188" s="397">
        <f t="shared" si="163"/>
        <v>0</v>
      </c>
      <c r="AE188" s="397">
        <f t="shared" si="163"/>
        <v>0</v>
      </c>
      <c r="AF188" s="397">
        <f t="shared" si="163"/>
        <v>0</v>
      </c>
      <c r="AG188" s="397">
        <f t="shared" si="163"/>
        <v>0</v>
      </c>
      <c r="AH188" s="397">
        <f t="shared" si="164"/>
        <v>0</v>
      </c>
      <c r="AI188" s="397">
        <f t="shared" si="164"/>
        <v>0</v>
      </c>
      <c r="AJ188" s="397">
        <f t="shared" si="164"/>
        <v>0</v>
      </c>
      <c r="AK188" s="397">
        <f t="shared" si="164"/>
        <v>0</v>
      </c>
      <c r="AL188" s="397">
        <f t="shared" si="164"/>
        <v>0</v>
      </c>
      <c r="AM188" s="397">
        <f t="shared" si="164"/>
        <v>0</v>
      </c>
      <c r="AN188" s="397">
        <f t="shared" si="164"/>
        <v>0</v>
      </c>
      <c r="AO188" s="397">
        <f t="shared" si="164"/>
        <v>0</v>
      </c>
      <c r="AP188" s="397">
        <f t="shared" si="164"/>
        <v>0</v>
      </c>
      <c r="AQ188" s="397">
        <f t="shared" si="164"/>
        <v>24.736526196917705</v>
      </c>
      <c r="AR188" s="397">
        <f t="shared" si="164"/>
        <v>24.736526196917705</v>
      </c>
      <c r="AS188" s="397">
        <f t="shared" si="164"/>
        <v>24.736526196917705</v>
      </c>
      <c r="AT188" s="397">
        <f t="shared" si="164"/>
        <v>24.736526196917705</v>
      </c>
      <c r="AU188" s="397">
        <f t="shared" si="164"/>
        <v>24.736526196917705</v>
      </c>
      <c r="AV188" s="397">
        <f t="shared" si="164"/>
        <v>24.736526196917705</v>
      </c>
      <c r="AW188" s="397">
        <f t="shared" si="164"/>
        <v>24.736526196917705</v>
      </c>
      <c r="AX188" s="397">
        <f t="shared" si="162"/>
        <v>24.736526196917705</v>
      </c>
      <c r="AY188" s="397">
        <f t="shared" si="162"/>
        <v>24.736526196917705</v>
      </c>
      <c r="AZ188" s="397">
        <f t="shared" si="162"/>
        <v>24.736526196917705</v>
      </c>
      <c r="BA188" s="397">
        <f t="shared" si="162"/>
        <v>0</v>
      </c>
    </row>
    <row r="189" spans="2:53">
      <c r="B189" s="398">
        <f t="shared" si="154"/>
        <v>2060</v>
      </c>
      <c r="C189" s="397">
        <f t="shared" si="165"/>
        <v>0</v>
      </c>
      <c r="D189" s="397">
        <f t="shared" si="165"/>
        <v>0</v>
      </c>
      <c r="E189" s="397">
        <f t="shared" si="165"/>
        <v>0</v>
      </c>
      <c r="F189" s="397">
        <f t="shared" si="165"/>
        <v>0</v>
      </c>
      <c r="G189" s="397">
        <f t="shared" si="165"/>
        <v>0</v>
      </c>
      <c r="H189" s="397">
        <f t="shared" si="165"/>
        <v>0</v>
      </c>
      <c r="I189" s="397">
        <f t="shared" si="165"/>
        <v>0</v>
      </c>
      <c r="J189" s="397">
        <f t="shared" si="165"/>
        <v>0</v>
      </c>
      <c r="K189" s="397">
        <f t="shared" si="165"/>
        <v>0</v>
      </c>
      <c r="L189" s="397">
        <f t="shared" si="165"/>
        <v>0</v>
      </c>
      <c r="M189" s="397">
        <f t="shared" si="165"/>
        <v>0</v>
      </c>
      <c r="N189" s="397">
        <f t="shared" si="165"/>
        <v>0</v>
      </c>
      <c r="O189" s="397">
        <f t="shared" si="165"/>
        <v>0</v>
      </c>
      <c r="P189" s="397">
        <f t="shared" si="165"/>
        <v>0</v>
      </c>
      <c r="Q189" s="397">
        <f t="shared" si="165"/>
        <v>0</v>
      </c>
      <c r="R189" s="397">
        <f t="shared" si="165"/>
        <v>0</v>
      </c>
      <c r="S189" s="397">
        <f t="shared" si="163"/>
        <v>0</v>
      </c>
      <c r="T189" s="397">
        <f t="shared" si="163"/>
        <v>0</v>
      </c>
      <c r="U189" s="397">
        <f t="shared" si="163"/>
        <v>0</v>
      </c>
      <c r="V189" s="397">
        <f t="shared" si="163"/>
        <v>0</v>
      </c>
      <c r="W189" s="397">
        <f t="shared" si="163"/>
        <v>0</v>
      </c>
      <c r="X189" s="397">
        <f t="shared" si="163"/>
        <v>0</v>
      </c>
      <c r="Y189" s="397">
        <f t="shared" si="163"/>
        <v>0</v>
      </c>
      <c r="Z189" s="397">
        <f t="shared" si="163"/>
        <v>0</v>
      </c>
      <c r="AA189" s="397">
        <f t="shared" si="163"/>
        <v>0</v>
      </c>
      <c r="AB189" s="397">
        <f t="shared" si="163"/>
        <v>0</v>
      </c>
      <c r="AC189" s="397">
        <f t="shared" si="163"/>
        <v>0</v>
      </c>
      <c r="AD189" s="397">
        <f t="shared" si="163"/>
        <v>0</v>
      </c>
      <c r="AE189" s="397">
        <f t="shared" si="163"/>
        <v>0</v>
      </c>
      <c r="AF189" s="397">
        <f t="shared" si="163"/>
        <v>0</v>
      </c>
      <c r="AG189" s="397">
        <f t="shared" si="163"/>
        <v>0</v>
      </c>
      <c r="AH189" s="397">
        <f t="shared" si="164"/>
        <v>0</v>
      </c>
      <c r="AI189" s="397">
        <f t="shared" si="164"/>
        <v>0</v>
      </c>
      <c r="AJ189" s="397">
        <f t="shared" si="164"/>
        <v>0</v>
      </c>
      <c r="AK189" s="397">
        <f t="shared" si="164"/>
        <v>0</v>
      </c>
      <c r="AL189" s="397">
        <f t="shared" si="164"/>
        <v>0</v>
      </c>
      <c r="AM189" s="397">
        <f t="shared" si="164"/>
        <v>0</v>
      </c>
      <c r="AN189" s="397">
        <f t="shared" si="164"/>
        <v>0</v>
      </c>
      <c r="AO189" s="397">
        <f t="shared" si="164"/>
        <v>0</v>
      </c>
      <c r="AP189" s="397">
        <f t="shared" si="164"/>
        <v>0</v>
      </c>
      <c r="AQ189" s="397">
        <f t="shared" si="164"/>
        <v>0</v>
      </c>
      <c r="AR189" s="397">
        <f t="shared" si="164"/>
        <v>24.835714678046887</v>
      </c>
      <c r="AS189" s="397">
        <f t="shared" si="164"/>
        <v>24.835714678046887</v>
      </c>
      <c r="AT189" s="397">
        <f t="shared" si="164"/>
        <v>24.835714678046887</v>
      </c>
      <c r="AU189" s="397">
        <f t="shared" si="164"/>
        <v>24.835714678046887</v>
      </c>
      <c r="AV189" s="397">
        <f t="shared" si="164"/>
        <v>24.835714678046887</v>
      </c>
      <c r="AW189" s="397">
        <f t="shared" si="164"/>
        <v>24.835714678046887</v>
      </c>
      <c r="AX189" s="397">
        <f t="shared" si="162"/>
        <v>24.835714678046887</v>
      </c>
      <c r="AY189" s="397">
        <f t="shared" si="162"/>
        <v>24.835714678046887</v>
      </c>
      <c r="AZ189" s="397">
        <f t="shared" si="162"/>
        <v>24.835714678046887</v>
      </c>
      <c r="BA189" s="397">
        <f t="shared" si="162"/>
        <v>24.835714678046887</v>
      </c>
    </row>
    <row r="190" spans="2:53">
      <c r="B190" s="398">
        <f t="shared" si="154"/>
        <v>2061</v>
      </c>
      <c r="C190" s="397">
        <f t="shared" si="165"/>
        <v>0</v>
      </c>
      <c r="D190" s="397">
        <f t="shared" si="165"/>
        <v>0</v>
      </c>
      <c r="E190" s="397">
        <f t="shared" si="165"/>
        <v>0</v>
      </c>
      <c r="F190" s="397">
        <f t="shared" si="165"/>
        <v>0</v>
      </c>
      <c r="G190" s="397">
        <f t="shared" si="165"/>
        <v>0</v>
      </c>
      <c r="H190" s="397">
        <f t="shared" si="165"/>
        <v>0</v>
      </c>
      <c r="I190" s="397">
        <f t="shared" si="165"/>
        <v>0</v>
      </c>
      <c r="J190" s="397">
        <f t="shared" si="165"/>
        <v>0</v>
      </c>
      <c r="K190" s="397">
        <f t="shared" si="165"/>
        <v>0</v>
      </c>
      <c r="L190" s="397">
        <f t="shared" si="165"/>
        <v>0</v>
      </c>
      <c r="M190" s="397">
        <f t="shared" si="165"/>
        <v>0</v>
      </c>
      <c r="N190" s="397">
        <f t="shared" si="165"/>
        <v>0</v>
      </c>
      <c r="O190" s="397">
        <f t="shared" si="165"/>
        <v>0</v>
      </c>
      <c r="P190" s="397">
        <f t="shared" si="165"/>
        <v>0</v>
      </c>
      <c r="Q190" s="397">
        <f t="shared" si="165"/>
        <v>0</v>
      </c>
      <c r="R190" s="397">
        <f t="shared" si="165"/>
        <v>0</v>
      </c>
      <c r="S190" s="397">
        <f t="shared" si="163"/>
        <v>0</v>
      </c>
      <c r="T190" s="397">
        <f t="shared" si="163"/>
        <v>0</v>
      </c>
      <c r="U190" s="397">
        <f t="shared" si="163"/>
        <v>0</v>
      </c>
      <c r="V190" s="397">
        <f t="shared" si="163"/>
        <v>0</v>
      </c>
      <c r="W190" s="397">
        <f t="shared" si="163"/>
        <v>0</v>
      </c>
      <c r="X190" s="397">
        <f t="shared" si="163"/>
        <v>0</v>
      </c>
      <c r="Y190" s="397">
        <f t="shared" si="163"/>
        <v>0</v>
      </c>
      <c r="Z190" s="397">
        <f t="shared" si="163"/>
        <v>0</v>
      </c>
      <c r="AA190" s="397">
        <f t="shared" si="163"/>
        <v>0</v>
      </c>
      <c r="AB190" s="397">
        <f t="shared" si="163"/>
        <v>0</v>
      </c>
      <c r="AC190" s="397">
        <f t="shared" si="163"/>
        <v>0</v>
      </c>
      <c r="AD190" s="397">
        <f t="shared" si="163"/>
        <v>0</v>
      </c>
      <c r="AE190" s="397">
        <f t="shared" si="163"/>
        <v>0</v>
      </c>
      <c r="AF190" s="397">
        <f t="shared" si="163"/>
        <v>0</v>
      </c>
      <c r="AG190" s="397">
        <f t="shared" si="163"/>
        <v>0</v>
      </c>
      <c r="AH190" s="397">
        <f t="shared" si="164"/>
        <v>0</v>
      </c>
      <c r="AI190" s="397">
        <f t="shared" si="164"/>
        <v>0</v>
      </c>
      <c r="AJ190" s="397">
        <f t="shared" si="164"/>
        <v>0</v>
      </c>
      <c r="AK190" s="397">
        <f t="shared" si="164"/>
        <v>0</v>
      </c>
      <c r="AL190" s="397">
        <f t="shared" si="164"/>
        <v>0</v>
      </c>
      <c r="AM190" s="397">
        <f t="shared" si="164"/>
        <v>0</v>
      </c>
      <c r="AN190" s="397">
        <f t="shared" si="164"/>
        <v>0</v>
      </c>
      <c r="AO190" s="397">
        <f t="shared" si="164"/>
        <v>0</v>
      </c>
      <c r="AP190" s="397">
        <f t="shared" si="164"/>
        <v>0</v>
      </c>
      <c r="AQ190" s="397">
        <f t="shared" si="164"/>
        <v>0</v>
      </c>
      <c r="AR190" s="397">
        <f t="shared" si="164"/>
        <v>0</v>
      </c>
      <c r="AS190" s="397">
        <f t="shared" si="164"/>
        <v>24.937005270431577</v>
      </c>
      <c r="AT190" s="397">
        <f t="shared" si="164"/>
        <v>24.937005270431577</v>
      </c>
      <c r="AU190" s="397">
        <f t="shared" si="164"/>
        <v>24.937005270431577</v>
      </c>
      <c r="AV190" s="397">
        <f t="shared" si="164"/>
        <v>24.937005270431577</v>
      </c>
      <c r="AW190" s="397">
        <f t="shared" si="164"/>
        <v>24.937005270431577</v>
      </c>
      <c r="AX190" s="397">
        <f t="shared" si="162"/>
        <v>24.937005270431577</v>
      </c>
      <c r="AY190" s="397">
        <f t="shared" si="162"/>
        <v>24.937005270431577</v>
      </c>
      <c r="AZ190" s="397">
        <f t="shared" si="162"/>
        <v>24.937005270431577</v>
      </c>
      <c r="BA190" s="397">
        <f t="shared" si="162"/>
        <v>24.937005270431577</v>
      </c>
    </row>
    <row r="191" spans="2:53">
      <c r="B191" s="398">
        <f t="shared" si="154"/>
        <v>2062</v>
      </c>
      <c r="C191" s="397">
        <f t="shared" si="165"/>
        <v>0</v>
      </c>
      <c r="D191" s="397">
        <f t="shared" si="165"/>
        <v>0</v>
      </c>
      <c r="E191" s="397">
        <f t="shared" si="165"/>
        <v>0</v>
      </c>
      <c r="F191" s="397">
        <f t="shared" si="165"/>
        <v>0</v>
      </c>
      <c r="G191" s="397">
        <f t="shared" si="165"/>
        <v>0</v>
      </c>
      <c r="H191" s="397">
        <f t="shared" si="165"/>
        <v>0</v>
      </c>
      <c r="I191" s="397">
        <f t="shared" si="165"/>
        <v>0</v>
      </c>
      <c r="J191" s="397">
        <f t="shared" si="165"/>
        <v>0</v>
      </c>
      <c r="K191" s="397">
        <f t="shared" si="165"/>
        <v>0</v>
      </c>
      <c r="L191" s="397">
        <f t="shared" si="165"/>
        <v>0</v>
      </c>
      <c r="M191" s="397">
        <f t="shared" si="165"/>
        <v>0</v>
      </c>
      <c r="N191" s="397">
        <f t="shared" si="165"/>
        <v>0</v>
      </c>
      <c r="O191" s="397">
        <f t="shared" si="165"/>
        <v>0</v>
      </c>
      <c r="P191" s="397">
        <f t="shared" si="165"/>
        <v>0</v>
      </c>
      <c r="Q191" s="397">
        <f t="shared" si="165"/>
        <v>0</v>
      </c>
      <c r="R191" s="397">
        <f t="shared" si="165"/>
        <v>0</v>
      </c>
      <c r="S191" s="397">
        <f t="shared" si="163"/>
        <v>0</v>
      </c>
      <c r="T191" s="397">
        <f t="shared" si="163"/>
        <v>0</v>
      </c>
      <c r="U191" s="397">
        <f t="shared" si="163"/>
        <v>0</v>
      </c>
      <c r="V191" s="397">
        <f t="shared" si="163"/>
        <v>0</v>
      </c>
      <c r="W191" s="397">
        <f t="shared" si="163"/>
        <v>0</v>
      </c>
      <c r="X191" s="397">
        <f t="shared" si="163"/>
        <v>0</v>
      </c>
      <c r="Y191" s="397">
        <f t="shared" si="163"/>
        <v>0</v>
      </c>
      <c r="Z191" s="397">
        <f t="shared" si="163"/>
        <v>0</v>
      </c>
      <c r="AA191" s="397">
        <f t="shared" si="163"/>
        <v>0</v>
      </c>
      <c r="AB191" s="397">
        <f t="shared" si="163"/>
        <v>0</v>
      </c>
      <c r="AC191" s="397">
        <f t="shared" si="163"/>
        <v>0</v>
      </c>
      <c r="AD191" s="397">
        <f t="shared" si="163"/>
        <v>0</v>
      </c>
      <c r="AE191" s="397">
        <f t="shared" si="163"/>
        <v>0</v>
      </c>
      <c r="AF191" s="397">
        <f t="shared" si="163"/>
        <v>0</v>
      </c>
      <c r="AG191" s="397">
        <f t="shared" si="163"/>
        <v>0</v>
      </c>
      <c r="AH191" s="397">
        <f t="shared" si="164"/>
        <v>0</v>
      </c>
      <c r="AI191" s="397">
        <f t="shared" si="164"/>
        <v>0</v>
      </c>
      <c r="AJ191" s="397">
        <f t="shared" si="164"/>
        <v>0</v>
      </c>
      <c r="AK191" s="397">
        <f t="shared" si="164"/>
        <v>0</v>
      </c>
      <c r="AL191" s="397">
        <f t="shared" si="164"/>
        <v>0</v>
      </c>
      <c r="AM191" s="397">
        <f t="shared" si="164"/>
        <v>0</v>
      </c>
      <c r="AN191" s="397">
        <f t="shared" si="164"/>
        <v>0</v>
      </c>
      <c r="AO191" s="397">
        <f t="shared" si="164"/>
        <v>0</v>
      </c>
      <c r="AP191" s="397">
        <f t="shared" si="164"/>
        <v>0</v>
      </c>
      <c r="AQ191" s="397">
        <f t="shared" si="164"/>
        <v>0</v>
      </c>
      <c r="AR191" s="397">
        <f t="shared" si="164"/>
        <v>0</v>
      </c>
      <c r="AS191" s="397">
        <f t="shared" si="164"/>
        <v>0</v>
      </c>
      <c r="AT191" s="397">
        <f t="shared" si="164"/>
        <v>25.013927437098136</v>
      </c>
      <c r="AU191" s="397">
        <f t="shared" si="164"/>
        <v>25.013927437098136</v>
      </c>
      <c r="AV191" s="397">
        <f t="shared" si="164"/>
        <v>25.013927437098136</v>
      </c>
      <c r="AW191" s="397">
        <f t="shared" si="164"/>
        <v>25.013927437098136</v>
      </c>
      <c r="AX191" s="397">
        <f t="shared" si="162"/>
        <v>25.013927437098136</v>
      </c>
      <c r="AY191" s="397">
        <f t="shared" si="162"/>
        <v>25.013927437098136</v>
      </c>
      <c r="AZ191" s="397">
        <f t="shared" si="162"/>
        <v>25.013927437098136</v>
      </c>
      <c r="BA191" s="397">
        <f t="shared" si="162"/>
        <v>25.013927437098136</v>
      </c>
    </row>
    <row r="192" spans="2:53">
      <c r="B192" s="398">
        <f t="shared" si="154"/>
        <v>2063</v>
      </c>
      <c r="C192" s="397">
        <f t="shared" si="165"/>
        <v>0</v>
      </c>
      <c r="D192" s="397">
        <f t="shared" si="165"/>
        <v>0</v>
      </c>
      <c r="E192" s="397">
        <f t="shared" si="165"/>
        <v>0</v>
      </c>
      <c r="F192" s="397">
        <f t="shared" si="165"/>
        <v>0</v>
      </c>
      <c r="G192" s="397">
        <f t="shared" si="165"/>
        <v>0</v>
      </c>
      <c r="H192" s="397">
        <f t="shared" si="165"/>
        <v>0</v>
      </c>
      <c r="I192" s="397">
        <f t="shared" si="165"/>
        <v>0</v>
      </c>
      <c r="J192" s="397">
        <f t="shared" si="165"/>
        <v>0</v>
      </c>
      <c r="K192" s="397">
        <f t="shared" si="165"/>
        <v>0</v>
      </c>
      <c r="L192" s="397">
        <f t="shared" si="165"/>
        <v>0</v>
      </c>
      <c r="M192" s="397">
        <f t="shared" si="165"/>
        <v>0</v>
      </c>
      <c r="N192" s="397">
        <f t="shared" si="165"/>
        <v>0</v>
      </c>
      <c r="O192" s="397">
        <f t="shared" si="165"/>
        <v>0</v>
      </c>
      <c r="P192" s="397">
        <f t="shared" si="165"/>
        <v>0</v>
      </c>
      <c r="Q192" s="397">
        <f t="shared" si="165"/>
        <v>0</v>
      </c>
      <c r="R192" s="397">
        <f t="shared" si="165"/>
        <v>0</v>
      </c>
      <c r="S192" s="397">
        <f t="shared" si="163"/>
        <v>0</v>
      </c>
      <c r="T192" s="397">
        <f t="shared" si="163"/>
        <v>0</v>
      </c>
      <c r="U192" s="397">
        <f t="shared" si="163"/>
        <v>0</v>
      </c>
      <c r="V192" s="397">
        <f t="shared" si="163"/>
        <v>0</v>
      </c>
      <c r="W192" s="397">
        <f t="shared" si="163"/>
        <v>0</v>
      </c>
      <c r="X192" s="397">
        <f t="shared" si="163"/>
        <v>0</v>
      </c>
      <c r="Y192" s="397">
        <f t="shared" si="163"/>
        <v>0</v>
      </c>
      <c r="Z192" s="397">
        <f t="shared" si="163"/>
        <v>0</v>
      </c>
      <c r="AA192" s="397">
        <f t="shared" si="163"/>
        <v>0</v>
      </c>
      <c r="AB192" s="397">
        <f t="shared" si="163"/>
        <v>0</v>
      </c>
      <c r="AC192" s="397">
        <f t="shared" si="163"/>
        <v>0</v>
      </c>
      <c r="AD192" s="397">
        <f t="shared" si="163"/>
        <v>0</v>
      </c>
      <c r="AE192" s="397">
        <f t="shared" si="163"/>
        <v>0</v>
      </c>
      <c r="AF192" s="397">
        <f t="shared" si="163"/>
        <v>0</v>
      </c>
      <c r="AG192" s="397">
        <f t="shared" si="163"/>
        <v>0</v>
      </c>
      <c r="AH192" s="397">
        <f t="shared" si="164"/>
        <v>0</v>
      </c>
      <c r="AI192" s="397">
        <f t="shared" si="164"/>
        <v>0</v>
      </c>
      <c r="AJ192" s="397">
        <f t="shared" si="164"/>
        <v>0</v>
      </c>
      <c r="AK192" s="397">
        <f t="shared" si="164"/>
        <v>0</v>
      </c>
      <c r="AL192" s="397">
        <f t="shared" si="164"/>
        <v>0</v>
      </c>
      <c r="AM192" s="397">
        <f t="shared" si="164"/>
        <v>0</v>
      </c>
      <c r="AN192" s="397">
        <f t="shared" si="164"/>
        <v>0</v>
      </c>
      <c r="AO192" s="397">
        <f t="shared" si="164"/>
        <v>0</v>
      </c>
      <c r="AP192" s="397">
        <f t="shared" si="164"/>
        <v>0</v>
      </c>
      <c r="AQ192" s="397">
        <f t="shared" si="164"/>
        <v>0</v>
      </c>
      <c r="AR192" s="397">
        <f t="shared" si="164"/>
        <v>0</v>
      </c>
      <c r="AS192" s="397">
        <f t="shared" si="164"/>
        <v>0</v>
      </c>
      <c r="AT192" s="397">
        <f t="shared" si="164"/>
        <v>0</v>
      </c>
      <c r="AU192" s="397">
        <f t="shared" si="164"/>
        <v>25.074420257860325</v>
      </c>
      <c r="AV192" s="397">
        <f t="shared" si="164"/>
        <v>25.074420257860325</v>
      </c>
      <c r="AW192" s="397">
        <f t="shared" si="164"/>
        <v>25.074420257860325</v>
      </c>
      <c r="AX192" s="397">
        <f t="shared" si="162"/>
        <v>25.074420257860325</v>
      </c>
      <c r="AY192" s="397">
        <f t="shared" si="162"/>
        <v>25.074420257860325</v>
      </c>
      <c r="AZ192" s="397">
        <f t="shared" si="162"/>
        <v>25.074420257860325</v>
      </c>
      <c r="BA192" s="397">
        <f t="shared" si="162"/>
        <v>25.074420257860325</v>
      </c>
    </row>
    <row r="193" spans="2:53">
      <c r="B193" s="398">
        <f t="shared" si="154"/>
        <v>2064</v>
      </c>
      <c r="C193" s="397">
        <f t="shared" si="165"/>
        <v>0</v>
      </c>
      <c r="D193" s="397">
        <f t="shared" si="165"/>
        <v>0</v>
      </c>
      <c r="E193" s="397">
        <f t="shared" si="165"/>
        <v>0</v>
      </c>
      <c r="F193" s="397">
        <f t="shared" si="165"/>
        <v>0</v>
      </c>
      <c r="G193" s="397">
        <f t="shared" si="165"/>
        <v>0</v>
      </c>
      <c r="H193" s="397">
        <f t="shared" si="165"/>
        <v>0</v>
      </c>
      <c r="I193" s="397">
        <f t="shared" si="165"/>
        <v>0</v>
      </c>
      <c r="J193" s="397">
        <f t="shared" si="165"/>
        <v>0</v>
      </c>
      <c r="K193" s="397">
        <f t="shared" si="165"/>
        <v>0</v>
      </c>
      <c r="L193" s="397">
        <f t="shared" si="165"/>
        <v>0</v>
      </c>
      <c r="M193" s="397">
        <f t="shared" si="165"/>
        <v>0</v>
      </c>
      <c r="N193" s="397">
        <f t="shared" si="165"/>
        <v>0</v>
      </c>
      <c r="O193" s="397">
        <f t="shared" si="165"/>
        <v>0</v>
      </c>
      <c r="P193" s="397">
        <f t="shared" si="165"/>
        <v>0</v>
      </c>
      <c r="Q193" s="397">
        <f t="shared" si="165"/>
        <v>0</v>
      </c>
      <c r="R193" s="397">
        <f t="shared" si="165"/>
        <v>0</v>
      </c>
      <c r="S193" s="397">
        <f t="shared" si="163"/>
        <v>0</v>
      </c>
      <c r="T193" s="397">
        <f t="shared" si="163"/>
        <v>0</v>
      </c>
      <c r="U193" s="397">
        <f t="shared" si="163"/>
        <v>0</v>
      </c>
      <c r="V193" s="397">
        <f t="shared" si="163"/>
        <v>0</v>
      </c>
      <c r="W193" s="397">
        <f t="shared" si="163"/>
        <v>0</v>
      </c>
      <c r="X193" s="397">
        <f t="shared" si="163"/>
        <v>0</v>
      </c>
      <c r="Y193" s="397">
        <f t="shared" si="163"/>
        <v>0</v>
      </c>
      <c r="Z193" s="397">
        <f t="shared" si="163"/>
        <v>0</v>
      </c>
      <c r="AA193" s="397">
        <f t="shared" si="163"/>
        <v>0</v>
      </c>
      <c r="AB193" s="397">
        <f t="shared" si="163"/>
        <v>0</v>
      </c>
      <c r="AC193" s="397">
        <f t="shared" si="163"/>
        <v>0</v>
      </c>
      <c r="AD193" s="397">
        <f t="shared" si="163"/>
        <v>0</v>
      </c>
      <c r="AE193" s="397">
        <f t="shared" si="163"/>
        <v>0</v>
      </c>
      <c r="AF193" s="397">
        <f t="shared" si="163"/>
        <v>0</v>
      </c>
      <c r="AG193" s="397">
        <f t="shared" si="163"/>
        <v>0</v>
      </c>
      <c r="AH193" s="397">
        <f t="shared" si="164"/>
        <v>0</v>
      </c>
      <c r="AI193" s="397">
        <f t="shared" si="164"/>
        <v>0</v>
      </c>
      <c r="AJ193" s="397">
        <f t="shared" si="164"/>
        <v>0</v>
      </c>
      <c r="AK193" s="397">
        <f t="shared" si="164"/>
        <v>0</v>
      </c>
      <c r="AL193" s="397">
        <f t="shared" si="164"/>
        <v>0</v>
      </c>
      <c r="AM193" s="397">
        <f t="shared" si="164"/>
        <v>0</v>
      </c>
      <c r="AN193" s="397">
        <f t="shared" si="164"/>
        <v>0</v>
      </c>
      <c r="AO193" s="397">
        <f t="shared" si="164"/>
        <v>0</v>
      </c>
      <c r="AP193" s="397">
        <f t="shared" si="164"/>
        <v>0</v>
      </c>
      <c r="AQ193" s="397">
        <f t="shared" si="164"/>
        <v>0</v>
      </c>
      <c r="AR193" s="397">
        <f t="shared" si="164"/>
        <v>0</v>
      </c>
      <c r="AS193" s="397">
        <f t="shared" si="164"/>
        <v>0</v>
      </c>
      <c r="AT193" s="397">
        <f t="shared" si="164"/>
        <v>0</v>
      </c>
      <c r="AU193" s="397">
        <f t="shared" si="164"/>
        <v>0</v>
      </c>
      <c r="AV193" s="397">
        <f t="shared" si="164"/>
        <v>25.123884170671523</v>
      </c>
      <c r="AW193" s="397">
        <f t="shared" si="164"/>
        <v>25.123884170671523</v>
      </c>
      <c r="AX193" s="397">
        <f t="shared" si="162"/>
        <v>25.123884170671523</v>
      </c>
      <c r="AY193" s="397">
        <f t="shared" si="162"/>
        <v>25.123884170671523</v>
      </c>
      <c r="AZ193" s="397">
        <f t="shared" si="162"/>
        <v>25.123884170671523</v>
      </c>
      <c r="BA193" s="397">
        <f t="shared" si="162"/>
        <v>25.123884170671523</v>
      </c>
    </row>
    <row r="194" spans="2:53">
      <c r="B194" s="398">
        <f t="shared" si="154"/>
        <v>2065</v>
      </c>
      <c r="C194" s="397">
        <f t="shared" si="165"/>
        <v>0</v>
      </c>
      <c r="D194" s="397">
        <f t="shared" si="165"/>
        <v>0</v>
      </c>
      <c r="E194" s="397">
        <f t="shared" si="165"/>
        <v>0</v>
      </c>
      <c r="F194" s="397">
        <f t="shared" si="165"/>
        <v>0</v>
      </c>
      <c r="G194" s="397">
        <f t="shared" si="165"/>
        <v>0</v>
      </c>
      <c r="H194" s="397">
        <f t="shared" si="165"/>
        <v>0</v>
      </c>
      <c r="I194" s="397">
        <f t="shared" si="165"/>
        <v>0</v>
      </c>
      <c r="J194" s="397">
        <f t="shared" si="165"/>
        <v>0</v>
      </c>
      <c r="K194" s="397">
        <f t="shared" si="165"/>
        <v>0</v>
      </c>
      <c r="L194" s="397">
        <f t="shared" si="165"/>
        <v>0</v>
      </c>
      <c r="M194" s="397">
        <f t="shared" si="165"/>
        <v>0</v>
      </c>
      <c r="N194" s="397">
        <f t="shared" si="165"/>
        <v>0</v>
      </c>
      <c r="O194" s="397">
        <f t="shared" si="165"/>
        <v>0</v>
      </c>
      <c r="P194" s="397">
        <f t="shared" si="165"/>
        <v>0</v>
      </c>
      <c r="Q194" s="397">
        <f t="shared" si="165"/>
        <v>0</v>
      </c>
      <c r="R194" s="397">
        <f t="shared" si="165"/>
        <v>0</v>
      </c>
      <c r="S194" s="397">
        <f t="shared" si="163"/>
        <v>0</v>
      </c>
      <c r="T194" s="397">
        <f t="shared" si="163"/>
        <v>0</v>
      </c>
      <c r="U194" s="397">
        <f t="shared" si="163"/>
        <v>0</v>
      </c>
      <c r="V194" s="397">
        <f t="shared" si="163"/>
        <v>0</v>
      </c>
      <c r="W194" s="397">
        <f t="shared" si="163"/>
        <v>0</v>
      </c>
      <c r="X194" s="397">
        <f t="shared" si="163"/>
        <v>0</v>
      </c>
      <c r="Y194" s="397">
        <f t="shared" si="163"/>
        <v>0</v>
      </c>
      <c r="Z194" s="397">
        <f t="shared" si="163"/>
        <v>0</v>
      </c>
      <c r="AA194" s="397">
        <f t="shared" si="163"/>
        <v>0</v>
      </c>
      <c r="AB194" s="397">
        <f t="shared" si="163"/>
        <v>0</v>
      </c>
      <c r="AC194" s="397">
        <f t="shared" si="163"/>
        <v>0</v>
      </c>
      <c r="AD194" s="397">
        <f t="shared" si="163"/>
        <v>0</v>
      </c>
      <c r="AE194" s="397">
        <f t="shared" si="163"/>
        <v>0</v>
      </c>
      <c r="AF194" s="397">
        <f t="shared" si="163"/>
        <v>0</v>
      </c>
      <c r="AG194" s="397">
        <f t="shared" si="163"/>
        <v>0</v>
      </c>
      <c r="AH194" s="397">
        <f t="shared" si="164"/>
        <v>0</v>
      </c>
      <c r="AI194" s="397">
        <f t="shared" si="164"/>
        <v>0</v>
      </c>
      <c r="AJ194" s="397">
        <f t="shared" si="164"/>
        <v>0</v>
      </c>
      <c r="AK194" s="397">
        <f t="shared" si="164"/>
        <v>0</v>
      </c>
      <c r="AL194" s="397">
        <f t="shared" si="164"/>
        <v>0</v>
      </c>
      <c r="AM194" s="397">
        <f t="shared" si="164"/>
        <v>0</v>
      </c>
      <c r="AN194" s="397">
        <f t="shared" si="164"/>
        <v>0</v>
      </c>
      <c r="AO194" s="397">
        <f t="shared" si="164"/>
        <v>0</v>
      </c>
      <c r="AP194" s="397">
        <f t="shared" si="164"/>
        <v>0</v>
      </c>
      <c r="AQ194" s="397">
        <f t="shared" si="164"/>
        <v>0</v>
      </c>
      <c r="AR194" s="397">
        <f t="shared" si="164"/>
        <v>0</v>
      </c>
      <c r="AS194" s="397">
        <f t="shared" si="164"/>
        <v>0</v>
      </c>
      <c r="AT194" s="397">
        <f t="shared" si="164"/>
        <v>0</v>
      </c>
      <c r="AU194" s="397">
        <f t="shared" si="164"/>
        <v>0</v>
      </c>
      <c r="AV194" s="397">
        <f t="shared" si="164"/>
        <v>0</v>
      </c>
      <c r="AW194" s="397">
        <f t="shared" si="164"/>
        <v>25.150376410330409</v>
      </c>
      <c r="AX194" s="397">
        <f t="shared" si="162"/>
        <v>25.150376410330409</v>
      </c>
      <c r="AY194" s="397">
        <f t="shared" si="162"/>
        <v>25.150376410330409</v>
      </c>
      <c r="AZ194" s="397">
        <f t="shared" si="162"/>
        <v>25.150376410330409</v>
      </c>
      <c r="BA194" s="397">
        <f t="shared" si="162"/>
        <v>25.150376410330409</v>
      </c>
    </row>
    <row r="195" spans="2:53">
      <c r="B195" s="398">
        <f t="shared" si="154"/>
        <v>2066</v>
      </c>
      <c r="C195" s="397">
        <f t="shared" si="165"/>
        <v>0</v>
      </c>
      <c r="D195" s="397">
        <f t="shared" si="165"/>
        <v>0</v>
      </c>
      <c r="E195" s="397">
        <f t="shared" si="165"/>
        <v>0</v>
      </c>
      <c r="F195" s="397">
        <f t="shared" si="165"/>
        <v>0</v>
      </c>
      <c r="G195" s="397">
        <f t="shared" si="165"/>
        <v>0</v>
      </c>
      <c r="H195" s="397">
        <f t="shared" si="165"/>
        <v>0</v>
      </c>
      <c r="I195" s="397">
        <f t="shared" si="165"/>
        <v>0</v>
      </c>
      <c r="J195" s="397">
        <f t="shared" si="165"/>
        <v>0</v>
      </c>
      <c r="K195" s="397">
        <f t="shared" si="165"/>
        <v>0</v>
      </c>
      <c r="L195" s="397">
        <f t="shared" si="165"/>
        <v>0</v>
      </c>
      <c r="M195" s="397">
        <f t="shared" si="165"/>
        <v>0</v>
      </c>
      <c r="N195" s="397">
        <f t="shared" si="165"/>
        <v>0</v>
      </c>
      <c r="O195" s="397">
        <f t="shared" si="165"/>
        <v>0</v>
      </c>
      <c r="P195" s="397">
        <f t="shared" si="165"/>
        <v>0</v>
      </c>
      <c r="Q195" s="397">
        <f t="shared" si="165"/>
        <v>0</v>
      </c>
      <c r="R195" s="397">
        <f t="shared" si="165"/>
        <v>0</v>
      </c>
      <c r="S195" s="397">
        <f t="shared" si="163"/>
        <v>0</v>
      </c>
      <c r="T195" s="397">
        <f t="shared" si="163"/>
        <v>0</v>
      </c>
      <c r="U195" s="397">
        <f t="shared" si="163"/>
        <v>0</v>
      </c>
      <c r="V195" s="397">
        <f t="shared" si="163"/>
        <v>0</v>
      </c>
      <c r="W195" s="397">
        <f t="shared" si="163"/>
        <v>0</v>
      </c>
      <c r="X195" s="397">
        <f t="shared" si="163"/>
        <v>0</v>
      </c>
      <c r="Y195" s="397">
        <f t="shared" si="163"/>
        <v>0</v>
      </c>
      <c r="Z195" s="397">
        <f t="shared" si="163"/>
        <v>0</v>
      </c>
      <c r="AA195" s="397">
        <f t="shared" si="163"/>
        <v>0</v>
      </c>
      <c r="AB195" s="397">
        <f t="shared" si="163"/>
        <v>0</v>
      </c>
      <c r="AC195" s="397">
        <f t="shared" si="163"/>
        <v>0</v>
      </c>
      <c r="AD195" s="397">
        <f t="shared" si="163"/>
        <v>0</v>
      </c>
      <c r="AE195" s="397">
        <f t="shared" si="163"/>
        <v>0</v>
      </c>
      <c r="AF195" s="397">
        <f t="shared" si="163"/>
        <v>0</v>
      </c>
      <c r="AG195" s="397">
        <f t="shared" si="163"/>
        <v>0</v>
      </c>
      <c r="AH195" s="397">
        <f t="shared" si="164"/>
        <v>0</v>
      </c>
      <c r="AI195" s="397">
        <f t="shared" si="164"/>
        <v>0</v>
      </c>
      <c r="AJ195" s="397">
        <f t="shared" si="164"/>
        <v>0</v>
      </c>
      <c r="AK195" s="397">
        <f t="shared" si="164"/>
        <v>0</v>
      </c>
      <c r="AL195" s="397">
        <f t="shared" si="164"/>
        <v>0</v>
      </c>
      <c r="AM195" s="397">
        <f t="shared" si="164"/>
        <v>0</v>
      </c>
      <c r="AN195" s="397">
        <f t="shared" si="164"/>
        <v>0</v>
      </c>
      <c r="AO195" s="397">
        <f t="shared" si="164"/>
        <v>0</v>
      </c>
      <c r="AP195" s="397">
        <f t="shared" si="164"/>
        <v>0</v>
      </c>
      <c r="AQ195" s="397">
        <f t="shared" si="164"/>
        <v>0</v>
      </c>
      <c r="AR195" s="397">
        <f t="shared" si="164"/>
        <v>0</v>
      </c>
      <c r="AS195" s="397">
        <f t="shared" si="164"/>
        <v>0</v>
      </c>
      <c r="AT195" s="397">
        <f t="shared" si="164"/>
        <v>0</v>
      </c>
      <c r="AU195" s="397">
        <f t="shared" si="164"/>
        <v>0</v>
      </c>
      <c r="AV195" s="397">
        <f t="shared" si="164"/>
        <v>0</v>
      </c>
      <c r="AW195" s="397">
        <f t="shared" si="164"/>
        <v>0</v>
      </c>
      <c r="AX195" s="397">
        <f t="shared" si="162"/>
        <v>25.162958794017946</v>
      </c>
      <c r="AY195" s="397">
        <f t="shared" si="162"/>
        <v>25.162958794017946</v>
      </c>
      <c r="AZ195" s="397">
        <f t="shared" si="162"/>
        <v>25.162958794017946</v>
      </c>
      <c r="BA195" s="397">
        <f t="shared" si="162"/>
        <v>25.162958794017946</v>
      </c>
    </row>
    <row r="196" spans="2:53">
      <c r="B196" s="398">
        <f t="shared" si="154"/>
        <v>2067</v>
      </c>
      <c r="C196" s="397">
        <f t="shared" si="165"/>
        <v>0</v>
      </c>
      <c r="D196" s="397">
        <f t="shared" si="165"/>
        <v>0</v>
      </c>
      <c r="E196" s="397">
        <f t="shared" si="165"/>
        <v>0</v>
      </c>
      <c r="F196" s="397">
        <f t="shared" si="165"/>
        <v>0</v>
      </c>
      <c r="G196" s="397">
        <f t="shared" si="165"/>
        <v>0</v>
      </c>
      <c r="H196" s="397">
        <f t="shared" si="165"/>
        <v>0</v>
      </c>
      <c r="I196" s="397">
        <f t="shared" si="165"/>
        <v>0</v>
      </c>
      <c r="J196" s="397">
        <f t="shared" si="165"/>
        <v>0</v>
      </c>
      <c r="K196" s="397">
        <f t="shared" si="165"/>
        <v>0</v>
      </c>
      <c r="L196" s="397">
        <f t="shared" si="165"/>
        <v>0</v>
      </c>
      <c r="M196" s="397">
        <f t="shared" si="165"/>
        <v>0</v>
      </c>
      <c r="N196" s="397">
        <f t="shared" si="165"/>
        <v>0</v>
      </c>
      <c r="O196" s="397">
        <f t="shared" si="165"/>
        <v>0</v>
      </c>
      <c r="P196" s="397">
        <f t="shared" si="165"/>
        <v>0</v>
      </c>
      <c r="Q196" s="397">
        <f t="shared" si="165"/>
        <v>0</v>
      </c>
      <c r="R196" s="397">
        <f t="shared" si="165"/>
        <v>0</v>
      </c>
      <c r="S196" s="397">
        <f t="shared" si="163"/>
        <v>0</v>
      </c>
      <c r="T196" s="397">
        <f t="shared" si="163"/>
        <v>0</v>
      </c>
      <c r="U196" s="397">
        <f t="shared" si="163"/>
        <v>0</v>
      </c>
      <c r="V196" s="397">
        <f t="shared" si="163"/>
        <v>0</v>
      </c>
      <c r="W196" s="397">
        <f t="shared" si="163"/>
        <v>0</v>
      </c>
      <c r="X196" s="397">
        <f t="shared" si="163"/>
        <v>0</v>
      </c>
      <c r="Y196" s="397">
        <f t="shared" si="163"/>
        <v>0</v>
      </c>
      <c r="Z196" s="397">
        <f t="shared" si="163"/>
        <v>0</v>
      </c>
      <c r="AA196" s="397">
        <f t="shared" si="163"/>
        <v>0</v>
      </c>
      <c r="AB196" s="397">
        <f t="shared" si="163"/>
        <v>0</v>
      </c>
      <c r="AC196" s="397">
        <f t="shared" si="163"/>
        <v>0</v>
      </c>
      <c r="AD196" s="397">
        <f t="shared" si="163"/>
        <v>0</v>
      </c>
      <c r="AE196" s="397">
        <f t="shared" si="163"/>
        <v>0</v>
      </c>
      <c r="AF196" s="397">
        <f t="shared" si="163"/>
        <v>0</v>
      </c>
      <c r="AG196" s="397">
        <f t="shared" si="163"/>
        <v>0</v>
      </c>
      <c r="AH196" s="397">
        <f t="shared" si="164"/>
        <v>0</v>
      </c>
      <c r="AI196" s="397">
        <f t="shared" si="164"/>
        <v>0</v>
      </c>
      <c r="AJ196" s="397">
        <f t="shared" si="164"/>
        <v>0</v>
      </c>
      <c r="AK196" s="397">
        <f t="shared" si="164"/>
        <v>0</v>
      </c>
      <c r="AL196" s="397">
        <f t="shared" si="164"/>
        <v>0</v>
      </c>
      <c r="AM196" s="397">
        <f t="shared" si="164"/>
        <v>0</v>
      </c>
      <c r="AN196" s="397">
        <f t="shared" si="164"/>
        <v>0</v>
      </c>
      <c r="AO196" s="397">
        <f t="shared" si="164"/>
        <v>0</v>
      </c>
      <c r="AP196" s="397">
        <f t="shared" si="164"/>
        <v>0</v>
      </c>
      <c r="AQ196" s="397">
        <f t="shared" si="164"/>
        <v>0</v>
      </c>
      <c r="AR196" s="397">
        <f t="shared" si="164"/>
        <v>0</v>
      </c>
      <c r="AS196" s="397">
        <f t="shared" si="164"/>
        <v>0</v>
      </c>
      <c r="AT196" s="397">
        <f t="shared" si="164"/>
        <v>0</v>
      </c>
      <c r="AU196" s="397">
        <f t="shared" si="164"/>
        <v>0</v>
      </c>
      <c r="AV196" s="397">
        <f t="shared" si="164"/>
        <v>0</v>
      </c>
      <c r="AW196" s="397">
        <f t="shared" si="164"/>
        <v>0</v>
      </c>
      <c r="AX196" s="397">
        <f t="shared" si="162"/>
        <v>0</v>
      </c>
      <c r="AY196" s="397">
        <f t="shared" si="162"/>
        <v>25.167360779562237</v>
      </c>
      <c r="AZ196" s="397">
        <f t="shared" si="162"/>
        <v>25.167360779562237</v>
      </c>
      <c r="BA196" s="397">
        <f t="shared" si="162"/>
        <v>25.167360779562237</v>
      </c>
    </row>
    <row r="197" spans="2:53">
      <c r="B197" s="398">
        <f t="shared" si="154"/>
        <v>2068</v>
      </c>
      <c r="C197" s="397">
        <f t="shared" si="165"/>
        <v>0</v>
      </c>
      <c r="D197" s="397">
        <f t="shared" si="165"/>
        <v>0</v>
      </c>
      <c r="E197" s="397">
        <f t="shared" si="165"/>
        <v>0</v>
      </c>
      <c r="F197" s="397">
        <f t="shared" si="165"/>
        <v>0</v>
      </c>
      <c r="G197" s="397">
        <f t="shared" si="165"/>
        <v>0</v>
      </c>
      <c r="H197" s="397">
        <f t="shared" si="165"/>
        <v>0</v>
      </c>
      <c r="I197" s="397">
        <f t="shared" si="165"/>
        <v>0</v>
      </c>
      <c r="J197" s="397">
        <f t="shared" si="165"/>
        <v>0</v>
      </c>
      <c r="K197" s="397">
        <f t="shared" si="165"/>
        <v>0</v>
      </c>
      <c r="L197" s="397">
        <f t="shared" si="165"/>
        <v>0</v>
      </c>
      <c r="M197" s="397">
        <f t="shared" si="165"/>
        <v>0</v>
      </c>
      <c r="N197" s="397">
        <f t="shared" si="165"/>
        <v>0</v>
      </c>
      <c r="O197" s="397">
        <f t="shared" si="165"/>
        <v>0</v>
      </c>
      <c r="P197" s="397">
        <f t="shared" si="165"/>
        <v>0</v>
      </c>
      <c r="Q197" s="397">
        <f t="shared" si="165"/>
        <v>0</v>
      </c>
      <c r="R197" s="397">
        <f t="shared" si="165"/>
        <v>0</v>
      </c>
      <c r="S197" s="397">
        <f t="shared" si="163"/>
        <v>0</v>
      </c>
      <c r="T197" s="397">
        <f t="shared" si="163"/>
        <v>0</v>
      </c>
      <c r="U197" s="397">
        <f t="shared" si="163"/>
        <v>0</v>
      </c>
      <c r="V197" s="397">
        <f t="shared" si="163"/>
        <v>0</v>
      </c>
      <c r="W197" s="397">
        <f t="shared" si="163"/>
        <v>0</v>
      </c>
      <c r="X197" s="397">
        <f t="shared" si="163"/>
        <v>0</v>
      </c>
      <c r="Y197" s="397">
        <f t="shared" si="163"/>
        <v>0</v>
      </c>
      <c r="Z197" s="397">
        <f t="shared" si="163"/>
        <v>0</v>
      </c>
      <c r="AA197" s="397">
        <f t="shared" si="163"/>
        <v>0</v>
      </c>
      <c r="AB197" s="397">
        <f t="shared" si="163"/>
        <v>0</v>
      </c>
      <c r="AC197" s="397">
        <f t="shared" si="163"/>
        <v>0</v>
      </c>
      <c r="AD197" s="397">
        <f t="shared" si="163"/>
        <v>0</v>
      </c>
      <c r="AE197" s="397">
        <f t="shared" si="163"/>
        <v>0</v>
      </c>
      <c r="AF197" s="397">
        <f t="shared" si="163"/>
        <v>0</v>
      </c>
      <c r="AG197" s="397">
        <f t="shared" si="163"/>
        <v>0</v>
      </c>
      <c r="AH197" s="397">
        <f t="shared" si="164"/>
        <v>0</v>
      </c>
      <c r="AI197" s="397">
        <f t="shared" si="164"/>
        <v>0</v>
      </c>
      <c r="AJ197" s="397">
        <f t="shared" si="164"/>
        <v>0</v>
      </c>
      <c r="AK197" s="397">
        <f t="shared" si="164"/>
        <v>0</v>
      </c>
      <c r="AL197" s="397">
        <f t="shared" si="164"/>
        <v>0</v>
      </c>
      <c r="AM197" s="397">
        <f t="shared" si="164"/>
        <v>0</v>
      </c>
      <c r="AN197" s="397">
        <f t="shared" si="164"/>
        <v>0</v>
      </c>
      <c r="AO197" s="397">
        <f t="shared" si="164"/>
        <v>0</v>
      </c>
      <c r="AP197" s="397">
        <f t="shared" si="164"/>
        <v>0</v>
      </c>
      <c r="AQ197" s="397">
        <f t="shared" si="164"/>
        <v>0</v>
      </c>
      <c r="AR197" s="397">
        <f t="shared" si="164"/>
        <v>0</v>
      </c>
      <c r="AS197" s="397">
        <f t="shared" si="164"/>
        <v>0</v>
      </c>
      <c r="AT197" s="397">
        <f t="shared" si="164"/>
        <v>0</v>
      </c>
      <c r="AU197" s="397">
        <f t="shared" si="164"/>
        <v>0</v>
      </c>
      <c r="AV197" s="397">
        <f t="shared" si="164"/>
        <v>0</v>
      </c>
      <c r="AW197" s="397">
        <f t="shared" si="164"/>
        <v>0</v>
      </c>
      <c r="AX197" s="397">
        <f t="shared" si="162"/>
        <v>0</v>
      </c>
      <c r="AY197" s="397">
        <f t="shared" si="162"/>
        <v>0</v>
      </c>
      <c r="AZ197" s="397">
        <f t="shared" si="162"/>
        <v>25.167164809839189</v>
      </c>
      <c r="BA197" s="397">
        <f t="shared" si="162"/>
        <v>25.167164809839189</v>
      </c>
    </row>
    <row r="198" spans="2:53">
      <c r="B198" s="398">
        <f t="shared" si="154"/>
        <v>2069</v>
      </c>
      <c r="C198" s="397">
        <f t="shared" si="165"/>
        <v>0</v>
      </c>
      <c r="D198" s="397">
        <f t="shared" si="165"/>
        <v>0</v>
      </c>
      <c r="E198" s="397">
        <f t="shared" si="165"/>
        <v>0</v>
      </c>
      <c r="F198" s="397">
        <f t="shared" si="165"/>
        <v>0</v>
      </c>
      <c r="G198" s="397">
        <f t="shared" si="165"/>
        <v>0</v>
      </c>
      <c r="H198" s="397">
        <f t="shared" si="165"/>
        <v>0</v>
      </c>
      <c r="I198" s="397">
        <f t="shared" si="165"/>
        <v>0</v>
      </c>
      <c r="J198" s="397">
        <f t="shared" si="165"/>
        <v>0</v>
      </c>
      <c r="K198" s="397">
        <f t="shared" si="165"/>
        <v>0</v>
      </c>
      <c r="L198" s="397">
        <f t="shared" si="165"/>
        <v>0</v>
      </c>
      <c r="M198" s="397">
        <f t="shared" si="165"/>
        <v>0</v>
      </c>
      <c r="N198" s="397">
        <f t="shared" si="165"/>
        <v>0</v>
      </c>
      <c r="O198" s="397">
        <f t="shared" si="165"/>
        <v>0</v>
      </c>
      <c r="P198" s="397">
        <f t="shared" si="165"/>
        <v>0</v>
      </c>
      <c r="Q198" s="397">
        <f t="shared" si="165"/>
        <v>0</v>
      </c>
      <c r="R198" s="397">
        <f t="shared" si="165"/>
        <v>0</v>
      </c>
      <c r="S198" s="397">
        <f t="shared" si="163"/>
        <v>0</v>
      </c>
      <c r="T198" s="397">
        <f t="shared" si="163"/>
        <v>0</v>
      </c>
      <c r="U198" s="397">
        <f t="shared" si="163"/>
        <v>0</v>
      </c>
      <c r="V198" s="397">
        <f t="shared" si="163"/>
        <v>0</v>
      </c>
      <c r="W198" s="397">
        <f t="shared" si="163"/>
        <v>0</v>
      </c>
      <c r="X198" s="397">
        <f t="shared" si="163"/>
        <v>0</v>
      </c>
      <c r="Y198" s="397">
        <f t="shared" si="163"/>
        <v>0</v>
      </c>
      <c r="Z198" s="397">
        <f t="shared" si="163"/>
        <v>0</v>
      </c>
      <c r="AA198" s="397">
        <f t="shared" si="163"/>
        <v>0</v>
      </c>
      <c r="AB198" s="397">
        <f t="shared" si="163"/>
        <v>0</v>
      </c>
      <c r="AC198" s="397">
        <f t="shared" si="163"/>
        <v>0</v>
      </c>
      <c r="AD198" s="397">
        <f t="shared" si="163"/>
        <v>0</v>
      </c>
      <c r="AE198" s="397">
        <f t="shared" si="163"/>
        <v>0</v>
      </c>
      <c r="AF198" s="397">
        <f t="shared" si="163"/>
        <v>0</v>
      </c>
      <c r="AG198" s="397">
        <f t="shared" si="163"/>
        <v>0</v>
      </c>
      <c r="AH198" s="397">
        <f t="shared" si="164"/>
        <v>0</v>
      </c>
      <c r="AI198" s="397">
        <f t="shared" si="164"/>
        <v>0</v>
      </c>
      <c r="AJ198" s="397">
        <f t="shared" si="164"/>
        <v>0</v>
      </c>
      <c r="AK198" s="397">
        <f t="shared" si="164"/>
        <v>0</v>
      </c>
      <c r="AL198" s="397">
        <f t="shared" si="164"/>
        <v>0</v>
      </c>
      <c r="AM198" s="397">
        <f t="shared" si="164"/>
        <v>0</v>
      </c>
      <c r="AN198" s="397">
        <f t="shared" si="164"/>
        <v>0</v>
      </c>
      <c r="AO198" s="397">
        <f t="shared" si="164"/>
        <v>0</v>
      </c>
      <c r="AP198" s="397">
        <f t="shared" si="164"/>
        <v>0</v>
      </c>
      <c r="AQ198" s="397">
        <f t="shared" si="164"/>
        <v>0</v>
      </c>
      <c r="AR198" s="397">
        <f t="shared" si="164"/>
        <v>0</v>
      </c>
      <c r="AS198" s="397">
        <f t="shared" si="164"/>
        <v>0</v>
      </c>
      <c r="AT198" s="397">
        <f t="shared" si="164"/>
        <v>0</v>
      </c>
      <c r="AU198" s="397">
        <f t="shared" si="164"/>
        <v>0</v>
      </c>
      <c r="AV198" s="397">
        <f t="shared" si="164"/>
        <v>0</v>
      </c>
      <c r="AW198" s="397">
        <f t="shared" si="164"/>
        <v>0</v>
      </c>
      <c r="AX198" s="397">
        <f t="shared" si="162"/>
        <v>0</v>
      </c>
      <c r="AY198" s="397">
        <f t="shared" si="162"/>
        <v>0</v>
      </c>
      <c r="AZ198" s="397">
        <f t="shared" si="162"/>
        <v>0</v>
      </c>
      <c r="BA198" s="397">
        <f t="shared" si="162"/>
        <v>25.16457561149598</v>
      </c>
    </row>
    <row r="199" spans="2:53">
      <c r="B199" s="398">
        <f t="shared" si="154"/>
        <v>2070</v>
      </c>
      <c r="C199" s="397">
        <f t="shared" si="165"/>
        <v>0</v>
      </c>
      <c r="D199" s="397">
        <f t="shared" si="165"/>
        <v>0</v>
      </c>
      <c r="E199" s="397">
        <f t="shared" si="165"/>
        <v>0</v>
      </c>
      <c r="F199" s="397">
        <f t="shared" si="165"/>
        <v>0</v>
      </c>
      <c r="G199" s="397">
        <f t="shared" si="165"/>
        <v>0</v>
      </c>
      <c r="H199" s="397">
        <f t="shared" si="165"/>
        <v>0</v>
      </c>
      <c r="I199" s="397">
        <f t="shared" si="165"/>
        <v>0</v>
      </c>
      <c r="J199" s="397">
        <f t="shared" si="165"/>
        <v>0</v>
      </c>
      <c r="K199" s="397">
        <f t="shared" si="165"/>
        <v>0</v>
      </c>
      <c r="L199" s="397">
        <f t="shared" si="165"/>
        <v>0</v>
      </c>
      <c r="M199" s="397">
        <f t="shared" si="165"/>
        <v>0</v>
      </c>
      <c r="N199" s="397">
        <f t="shared" si="165"/>
        <v>0</v>
      </c>
      <c r="O199" s="397">
        <f t="shared" si="165"/>
        <v>0</v>
      </c>
      <c r="P199" s="397">
        <f t="shared" si="165"/>
        <v>0</v>
      </c>
      <c r="Q199" s="397">
        <f t="shared" si="165"/>
        <v>0</v>
      </c>
      <c r="R199" s="397">
        <f t="shared" si="165"/>
        <v>0</v>
      </c>
      <c r="S199" s="397">
        <f t="shared" si="163"/>
        <v>0</v>
      </c>
      <c r="T199" s="397">
        <f t="shared" si="163"/>
        <v>0</v>
      </c>
      <c r="U199" s="397">
        <f t="shared" si="163"/>
        <v>0</v>
      </c>
      <c r="V199" s="397">
        <f t="shared" si="163"/>
        <v>0</v>
      </c>
      <c r="W199" s="397">
        <f t="shared" si="163"/>
        <v>0</v>
      </c>
      <c r="X199" s="397">
        <f t="shared" si="163"/>
        <v>0</v>
      </c>
      <c r="Y199" s="397">
        <f t="shared" si="163"/>
        <v>0</v>
      </c>
      <c r="Z199" s="397">
        <f t="shared" si="163"/>
        <v>0</v>
      </c>
      <c r="AA199" s="397">
        <f t="shared" si="163"/>
        <v>0</v>
      </c>
      <c r="AB199" s="397">
        <f t="shared" si="163"/>
        <v>0</v>
      </c>
      <c r="AC199" s="397">
        <f t="shared" si="163"/>
        <v>0</v>
      </c>
      <c r="AD199" s="397">
        <f t="shared" si="163"/>
        <v>0</v>
      </c>
      <c r="AE199" s="397">
        <f t="shared" si="163"/>
        <v>0</v>
      </c>
      <c r="AF199" s="397">
        <f t="shared" si="163"/>
        <v>0</v>
      </c>
      <c r="AG199" s="397">
        <f t="shared" si="163"/>
        <v>0</v>
      </c>
      <c r="AH199" s="397">
        <f t="shared" si="164"/>
        <v>0</v>
      </c>
      <c r="AI199" s="397">
        <f t="shared" si="164"/>
        <v>0</v>
      </c>
      <c r="AJ199" s="397">
        <f t="shared" si="164"/>
        <v>0</v>
      </c>
      <c r="AK199" s="397">
        <f t="shared" si="164"/>
        <v>0</v>
      </c>
      <c r="AL199" s="397">
        <f t="shared" si="164"/>
        <v>0</v>
      </c>
      <c r="AM199" s="397">
        <f t="shared" si="164"/>
        <v>0</v>
      </c>
      <c r="AN199" s="397">
        <f t="shared" si="164"/>
        <v>0</v>
      </c>
      <c r="AO199" s="397">
        <f t="shared" si="164"/>
        <v>0</v>
      </c>
      <c r="AP199" s="397">
        <f t="shared" si="164"/>
        <v>0</v>
      </c>
      <c r="AQ199" s="397">
        <f t="shared" si="164"/>
        <v>0</v>
      </c>
      <c r="AR199" s="397">
        <f t="shared" si="164"/>
        <v>0</v>
      </c>
      <c r="AS199" s="397">
        <f t="shared" si="164"/>
        <v>0</v>
      </c>
      <c r="AT199" s="397">
        <f t="shared" si="164"/>
        <v>0</v>
      </c>
      <c r="AU199" s="397">
        <f t="shared" si="164"/>
        <v>0</v>
      </c>
      <c r="AV199" s="397">
        <f t="shared" si="164"/>
        <v>0</v>
      </c>
      <c r="AW199" s="397">
        <f t="shared" si="164"/>
        <v>0</v>
      </c>
      <c r="AX199" s="397">
        <f t="shared" si="162"/>
        <v>0</v>
      </c>
      <c r="AY199" s="397">
        <f t="shared" si="162"/>
        <v>0</v>
      </c>
      <c r="AZ199" s="397">
        <f t="shared" si="162"/>
        <v>0</v>
      </c>
      <c r="BA199" s="397">
        <f t="shared" si="162"/>
        <v>0</v>
      </c>
    </row>
    <row r="200" spans="2:53">
      <c r="D200" s="395"/>
      <c r="E200" s="395"/>
      <c r="F200" s="395"/>
      <c r="G200" s="395"/>
      <c r="H200" s="395"/>
      <c r="I200" s="395"/>
      <c r="J200" s="395"/>
      <c r="K200" s="395"/>
      <c r="L200" s="395"/>
      <c r="M200" s="395"/>
      <c r="N200" s="395"/>
      <c r="O200" s="395"/>
      <c r="P200" s="395"/>
      <c r="Q200" s="395"/>
      <c r="R200" s="395"/>
      <c r="S200" s="395"/>
      <c r="T200" s="395"/>
      <c r="U200" s="395"/>
      <c r="V200" s="395"/>
      <c r="W200" s="395"/>
      <c r="X200" s="395"/>
      <c r="Y200" s="395"/>
      <c r="Z200" s="395"/>
      <c r="AA200" s="395"/>
      <c r="AB200" s="395"/>
      <c r="AC200" s="395"/>
      <c r="AD200" s="395"/>
      <c r="AE200" s="395"/>
      <c r="AF200" s="395"/>
      <c r="AG200" s="395"/>
      <c r="AH200" s="395"/>
      <c r="AI200" s="395"/>
      <c r="AJ200" s="395"/>
      <c r="AK200" s="395"/>
      <c r="AL200" s="395"/>
      <c r="AM200" s="395"/>
      <c r="AN200" s="395"/>
      <c r="AO200" s="395"/>
    </row>
    <row r="201" spans="2:53" s="9" customFormat="1">
      <c r="B201" s="412" t="s">
        <v>2982</v>
      </c>
      <c r="C201" s="413">
        <f>SUM(C149:C199)</f>
        <v>0</v>
      </c>
      <c r="D201" s="413">
        <f t="shared" ref="D201:BA201" si="166">SUM(D149:D199)</f>
        <v>0.65790116580310876</v>
      </c>
      <c r="E201" s="413">
        <f t="shared" si="166"/>
        <v>1.3410916728070064</v>
      </c>
      <c r="F201" s="413">
        <f t="shared" si="166"/>
        <v>2.0461223736772496</v>
      </c>
      <c r="G201" s="413">
        <f t="shared" si="166"/>
        <v>2.7705430906933826</v>
      </c>
      <c r="H201" s="413">
        <f t="shared" si="166"/>
        <v>26.055993000873009</v>
      </c>
      <c r="I201" s="413">
        <f t="shared" si="166"/>
        <v>47.391361027824232</v>
      </c>
      <c r="J201" s="413">
        <f t="shared" si="166"/>
        <v>67.496998617618274</v>
      </c>
      <c r="K201" s="413">
        <f t="shared" si="166"/>
        <v>86.865139396374104</v>
      </c>
      <c r="L201" s="413">
        <f t="shared" si="166"/>
        <v>105.86168371073001</v>
      </c>
      <c r="M201" s="413">
        <f t="shared" si="166"/>
        <v>124.71723084100007</v>
      </c>
      <c r="N201" s="413">
        <f t="shared" si="166"/>
        <v>142.92114134018018</v>
      </c>
      <c r="O201" s="413">
        <f t="shared" si="166"/>
        <v>161.21095196720842</v>
      </c>
      <c r="P201" s="413">
        <f t="shared" si="166"/>
        <v>179.64624683933317</v>
      </c>
      <c r="Q201" s="413">
        <f t="shared" si="166"/>
        <v>198.26337053259843</v>
      </c>
      <c r="R201" s="413">
        <f t="shared" si="166"/>
        <v>194.5444083853053</v>
      </c>
      <c r="S201" s="413">
        <f t="shared" si="166"/>
        <v>193.01488797565972</v>
      </c>
      <c r="T201" s="413">
        <f t="shared" si="166"/>
        <v>192.96082967818447</v>
      </c>
      <c r="U201" s="413">
        <f t="shared" si="166"/>
        <v>193.89545368542608</v>
      </c>
      <c r="V201" s="413">
        <f t="shared" si="166"/>
        <v>195.46618654869488</v>
      </c>
      <c r="W201" s="413">
        <f t="shared" si="166"/>
        <v>197.4413269085515</v>
      </c>
      <c r="X201" s="413">
        <f t="shared" si="166"/>
        <v>199.66914065013174</v>
      </c>
      <c r="Y201" s="413">
        <f t="shared" si="166"/>
        <v>202.04435627453486</v>
      </c>
      <c r="Z201" s="413">
        <f t="shared" si="166"/>
        <v>204.50828308985709</v>
      </c>
      <c r="AA201" s="413">
        <f t="shared" si="166"/>
        <v>207.02216156640407</v>
      </c>
      <c r="AB201" s="413">
        <f t="shared" si="166"/>
        <v>209.55575618008487</v>
      </c>
      <c r="AC201" s="413">
        <f t="shared" si="166"/>
        <v>212.08919370738576</v>
      </c>
      <c r="AD201" s="413">
        <f t="shared" si="166"/>
        <v>214.60824514116968</v>
      </c>
      <c r="AE201" s="413">
        <f t="shared" si="166"/>
        <v>217.09749995978345</v>
      </c>
      <c r="AF201" s="413">
        <f t="shared" si="166"/>
        <v>219.53222455375973</v>
      </c>
      <c r="AG201" s="413">
        <f t="shared" si="166"/>
        <v>221.90263298583955</v>
      </c>
      <c r="AH201" s="413">
        <f t="shared" si="166"/>
        <v>224.20650465724358</v>
      </c>
      <c r="AI201" s="413">
        <f t="shared" si="166"/>
        <v>226.43800607316669</v>
      </c>
      <c r="AJ201" s="413">
        <f t="shared" si="166"/>
        <v>228.59596744001027</v>
      </c>
      <c r="AK201" s="413">
        <f t="shared" si="166"/>
        <v>230.6790198506344</v>
      </c>
      <c r="AL201" s="413">
        <f t="shared" si="166"/>
        <v>232.68354370419996</v>
      </c>
      <c r="AM201" s="413">
        <f t="shared" si="166"/>
        <v>234.60274820120367</v>
      </c>
      <c r="AN201" s="413">
        <f t="shared" si="166"/>
        <v>236.43092940494813</v>
      </c>
      <c r="AO201" s="413">
        <f t="shared" si="166"/>
        <v>238.16349807119701</v>
      </c>
      <c r="AP201" s="413">
        <f t="shared" si="166"/>
        <v>239.79640829989839</v>
      </c>
      <c r="AQ201" s="413">
        <f t="shared" si="166"/>
        <v>241.33183857460949</v>
      </c>
      <c r="AR201" s="413">
        <f t="shared" si="166"/>
        <v>242.77405617468895</v>
      </c>
      <c r="AS201" s="413">
        <f t="shared" si="166"/>
        <v>244.13134327076213</v>
      </c>
      <c r="AT201" s="413">
        <f t="shared" si="166"/>
        <v>245.38305695269943</v>
      </c>
      <c r="AU201" s="413">
        <f t="shared" si="166"/>
        <v>246.51900191310727</v>
      </c>
      <c r="AV201" s="413">
        <f t="shared" si="166"/>
        <v>247.53827985364595</v>
      </c>
      <c r="AW201" s="413">
        <f t="shared" si="166"/>
        <v>248.43016662236616</v>
      </c>
      <c r="AX201" s="413">
        <f t="shared" si="166"/>
        <v>249.19431348653688</v>
      </c>
      <c r="AY201" s="413">
        <f t="shared" si="166"/>
        <v>249.83708599523905</v>
      </c>
      <c r="AZ201" s="413">
        <f t="shared" si="166"/>
        <v>250.36933880477594</v>
      </c>
      <c r="BA201" s="413">
        <f t="shared" si="166"/>
        <v>250.79738821935425</v>
      </c>
    </row>
    <row r="202" spans="2:53">
      <c r="D202" s="395"/>
      <c r="E202" s="395"/>
      <c r="F202" s="395"/>
      <c r="G202" s="395"/>
      <c r="H202" s="395"/>
      <c r="I202" s="395"/>
      <c r="J202" s="395"/>
      <c r="K202" s="395"/>
      <c r="L202" s="395"/>
      <c r="M202" s="395"/>
      <c r="N202" s="395"/>
      <c r="O202" s="395"/>
      <c r="P202" s="395"/>
      <c r="Q202" s="395"/>
      <c r="R202" s="395"/>
      <c r="S202" s="395"/>
      <c r="T202" s="395"/>
      <c r="U202" s="395"/>
      <c r="V202" s="395"/>
      <c r="W202" s="395"/>
      <c r="X202" s="395"/>
      <c r="Y202" s="395"/>
      <c r="Z202" s="395"/>
      <c r="AA202" s="395"/>
      <c r="AB202" s="395"/>
      <c r="AC202" s="395"/>
      <c r="AD202" s="395"/>
      <c r="AE202" s="395"/>
      <c r="AF202" s="395"/>
    </row>
    <row r="203" spans="2:53">
      <c r="D203" s="395"/>
      <c r="E203" s="395"/>
      <c r="F203" s="395"/>
      <c r="G203" s="395"/>
      <c r="H203" s="395"/>
      <c r="I203" s="395"/>
      <c r="J203" s="395"/>
      <c r="K203" s="395"/>
      <c r="L203" s="395"/>
      <c r="M203" s="395"/>
      <c r="N203" s="395"/>
      <c r="O203" s="395"/>
      <c r="P203" s="395"/>
      <c r="Q203" s="395"/>
      <c r="R203" s="395"/>
      <c r="S203" s="395"/>
      <c r="T203" s="395"/>
      <c r="U203" s="395"/>
      <c r="V203" s="395"/>
      <c r="W203" s="395"/>
      <c r="X203" s="395"/>
      <c r="Y203" s="395"/>
      <c r="Z203" s="395"/>
      <c r="AA203" s="395"/>
      <c r="AB203" s="395"/>
      <c r="AC203" s="395"/>
      <c r="AD203" s="395"/>
      <c r="AE203" s="395"/>
      <c r="AF203" s="395"/>
    </row>
  </sheetData>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5" tint="0.59999389629810485"/>
  </sheetPr>
  <dimension ref="A1:BA107"/>
  <sheetViews>
    <sheetView showGridLines="0" workbookViewId="0"/>
  </sheetViews>
  <sheetFormatPr defaultRowHeight="14.5"/>
  <cols>
    <col min="1" max="1" width="5.08984375" customWidth="1"/>
    <col min="2" max="2" width="34.6328125" customWidth="1"/>
    <col min="3" max="3" width="13.36328125" customWidth="1"/>
    <col min="4" max="4" width="16" customWidth="1"/>
    <col min="31" max="31" width="10.90625" customWidth="1"/>
  </cols>
  <sheetData>
    <row r="1" spans="1:3" s="782" customFormat="1" ht="18.5">
      <c r="A1" s="780" t="s">
        <v>3519</v>
      </c>
    </row>
    <row r="2" spans="1:3" s="782" customFormat="1">
      <c r="A2" s="782" t="s">
        <v>3520</v>
      </c>
    </row>
    <row r="3" spans="1:3" s="782" customFormat="1"/>
    <row r="4" spans="1:3" s="783" customFormat="1"/>
    <row r="6" spans="1:3">
      <c r="B6" s="445" t="s">
        <v>3198</v>
      </c>
      <c r="C6" s="521">
        <f>'Control Assumptions'!C13</f>
        <v>2024</v>
      </c>
    </row>
    <row r="8" spans="1:3">
      <c r="A8" s="9"/>
      <c r="B8" s="9" t="s">
        <v>121</v>
      </c>
    </row>
    <row r="9" spans="1:3">
      <c r="A9" s="9"/>
      <c r="B9" s="29"/>
    </row>
    <row r="10" spans="1:3">
      <c r="A10" s="9"/>
      <c r="B10" s="29"/>
    </row>
    <row r="11" spans="1:3" s="588" customFormat="1">
      <c r="A11" s="593" t="s">
        <v>2941</v>
      </c>
    </row>
    <row r="12" spans="1:3">
      <c r="A12" s="9"/>
    </row>
    <row r="13" spans="1:3">
      <c r="A13" s="9"/>
    </row>
    <row r="14" spans="1:3">
      <c r="A14" s="9" t="s">
        <v>10</v>
      </c>
      <c r="B14" s="9" t="s">
        <v>2957</v>
      </c>
    </row>
    <row r="16" spans="1:3" ht="53" customHeight="1">
      <c r="C16" s="62" t="s">
        <v>3678</v>
      </c>
    </row>
    <row r="17" spans="1:53" ht="23" customHeight="1">
      <c r="B17" s="12" t="s">
        <v>5</v>
      </c>
      <c r="C17" s="42">
        <f>Epidemiology!C87</f>
        <v>1.89E-3</v>
      </c>
    </row>
    <row r="18" spans="1:53" ht="23" customHeight="1">
      <c r="B18" s="12" t="s">
        <v>205</v>
      </c>
      <c r="C18" s="12">
        <f>'Control Assumptions'!C47</f>
        <v>150000</v>
      </c>
    </row>
    <row r="19" spans="1:53" ht="23" customHeight="1">
      <c r="B19" s="12" t="s">
        <v>2517</v>
      </c>
      <c r="C19" s="12">
        <f>C18*C17</f>
        <v>283.5</v>
      </c>
    </row>
    <row r="22" spans="1:53">
      <c r="A22" s="9" t="s">
        <v>10</v>
      </c>
      <c r="B22" s="9" t="s">
        <v>2945</v>
      </c>
    </row>
    <row r="24" spans="1:53">
      <c r="C24" s="59">
        <f>'Wound growth'!C81</f>
        <v>2020</v>
      </c>
      <c r="D24" s="59">
        <f>'Wound growth'!D81</f>
        <v>2021</v>
      </c>
      <c r="E24" s="59">
        <f>'Wound growth'!E81</f>
        <v>2022</v>
      </c>
      <c r="F24" s="59">
        <f>'Wound growth'!F81</f>
        <v>2023</v>
      </c>
      <c r="G24" s="59">
        <f>'Wound growth'!G81</f>
        <v>2024</v>
      </c>
      <c r="H24" s="59">
        <f>'Wound growth'!H81</f>
        <v>2025</v>
      </c>
      <c r="I24" s="59">
        <f>'Wound growth'!I81</f>
        <v>2026</v>
      </c>
      <c r="J24" s="59">
        <f>'Wound growth'!J81</f>
        <v>2027</v>
      </c>
      <c r="K24" s="59">
        <f>'Wound growth'!K81</f>
        <v>2028</v>
      </c>
      <c r="L24" s="59">
        <f>'Wound growth'!L81</f>
        <v>2029</v>
      </c>
      <c r="M24" s="59">
        <f>'Wound growth'!M81</f>
        <v>2030</v>
      </c>
      <c r="N24" s="59">
        <f>'Wound growth'!N81</f>
        <v>2031</v>
      </c>
      <c r="O24" s="59">
        <f>'Wound growth'!O81</f>
        <v>2032</v>
      </c>
      <c r="P24" s="59">
        <f>'Wound growth'!P81</f>
        <v>2033</v>
      </c>
      <c r="Q24" s="59">
        <f>'Wound growth'!Q81</f>
        <v>2034</v>
      </c>
      <c r="R24" s="59">
        <f>'Wound growth'!R81</f>
        <v>2035</v>
      </c>
      <c r="S24" s="59">
        <f>'Wound growth'!S81</f>
        <v>2036</v>
      </c>
      <c r="T24" s="59">
        <f>'Wound growth'!T81</f>
        <v>2037</v>
      </c>
      <c r="U24" s="59">
        <f>'Wound growth'!U81</f>
        <v>2038</v>
      </c>
      <c r="V24" s="59">
        <f>'Wound growth'!V81</f>
        <v>2039</v>
      </c>
      <c r="W24" s="59">
        <f>'Wound growth'!W81</f>
        <v>2040</v>
      </c>
      <c r="X24" s="59">
        <f>'Wound growth'!X81</f>
        <v>2041</v>
      </c>
      <c r="Y24" s="59">
        <f>'Wound growth'!Y81</f>
        <v>2042</v>
      </c>
      <c r="Z24" s="59">
        <f>'Wound growth'!Z81</f>
        <v>2043</v>
      </c>
      <c r="AA24" s="59">
        <f>'Wound growth'!AA81</f>
        <v>2044</v>
      </c>
      <c r="AB24" s="59">
        <f>'Wound growth'!AB81</f>
        <v>2045</v>
      </c>
      <c r="AC24" s="59">
        <f>'Wound growth'!AC81</f>
        <v>2046</v>
      </c>
      <c r="AD24" s="59">
        <f>'Wound growth'!AD81</f>
        <v>2047</v>
      </c>
      <c r="AE24" s="59">
        <f>'Wound growth'!AE81</f>
        <v>2048</v>
      </c>
      <c r="AF24" s="59">
        <f>'Wound growth'!AF81</f>
        <v>2049</v>
      </c>
      <c r="AG24" s="59">
        <f>'Wound growth'!AG81</f>
        <v>2050</v>
      </c>
      <c r="AH24" s="59">
        <f>'Wound growth'!AH81</f>
        <v>2051</v>
      </c>
      <c r="AI24" s="59">
        <f>'Wound growth'!AI81</f>
        <v>2052</v>
      </c>
      <c r="AJ24" s="59">
        <f>'Wound growth'!AJ81</f>
        <v>2053</v>
      </c>
      <c r="AK24" s="59">
        <f>'Wound growth'!AK81</f>
        <v>2054</v>
      </c>
      <c r="AL24" s="59">
        <f>'Wound growth'!AL81</f>
        <v>2055</v>
      </c>
      <c r="AM24" s="59">
        <f>'Wound growth'!AM81</f>
        <v>2056</v>
      </c>
      <c r="AN24" s="59">
        <f>'Wound growth'!AN81</f>
        <v>2057</v>
      </c>
      <c r="AO24" s="59">
        <f>'Wound growth'!AO81</f>
        <v>2058</v>
      </c>
      <c r="AP24" s="59">
        <f>'Wound growth'!AP81</f>
        <v>2059</v>
      </c>
      <c r="AQ24" s="59">
        <f>'Wound growth'!AQ81</f>
        <v>2060</v>
      </c>
      <c r="AR24" s="59">
        <f>'Wound growth'!AR81</f>
        <v>2061</v>
      </c>
      <c r="AS24" s="59">
        <f>'Wound growth'!AS81</f>
        <v>2062</v>
      </c>
      <c r="AT24" s="59">
        <f>'Wound growth'!AT81</f>
        <v>2063</v>
      </c>
      <c r="AU24" s="59">
        <f>'Wound growth'!AU81</f>
        <v>2064</v>
      </c>
      <c r="AV24" s="59">
        <f>'Wound growth'!AV81</f>
        <v>2065</v>
      </c>
      <c r="AW24" s="59">
        <f>'Wound growth'!AW81</f>
        <v>2066</v>
      </c>
      <c r="AX24" s="59">
        <f>'Wound growth'!AX81</f>
        <v>2067</v>
      </c>
      <c r="AY24" s="59">
        <f>'Wound growth'!AY81</f>
        <v>2068</v>
      </c>
      <c r="AZ24" s="59">
        <f>'Wound growth'!AZ81</f>
        <v>2069</v>
      </c>
      <c r="BA24" s="59">
        <f>'Wound growth'!BA81</f>
        <v>2070</v>
      </c>
    </row>
    <row r="25" spans="1:53" s="20" customFormat="1">
      <c r="B25" s="42" t="s">
        <v>86</v>
      </c>
      <c r="C25" s="526">
        <f>'Wound growth INT'!C83</f>
        <v>0</v>
      </c>
      <c r="D25" s="526">
        <f>'Wound growth INT'!D83</f>
        <v>3.4180455479503546E-2</v>
      </c>
      <c r="E25" s="526">
        <f>'Wound growth INT'!E83</f>
        <v>2.8287382938216199E-2</v>
      </c>
      <c r="F25" s="526">
        <f>'Wound growth INT'!F83</f>
        <v>2.438964359032969E-2</v>
      </c>
      <c r="G25" s="526">
        <f>'Wound growth INT'!G83</f>
        <v>2.2104032291079267E-2</v>
      </c>
      <c r="H25" s="526">
        <f>'Wound growth INT'!H83</f>
        <v>-0.11190654980116821</v>
      </c>
      <c r="I25" s="526">
        <f>'Wound growth INT'!I83</f>
        <v>-7.3847347507171701E-2</v>
      </c>
      <c r="J25" s="526">
        <f>'Wound growth INT'!J83</f>
        <v>-4.4272783785665237E-2</v>
      </c>
      <c r="K25" s="526">
        <f>'Wound growth INT'!K83</f>
        <v>-2.1286592867711729E-2</v>
      </c>
      <c r="L25" s="526">
        <f>'Wound growth INT'!L83</f>
        <v>-6.7693351683111302E-3</v>
      </c>
      <c r="M25" s="526">
        <f>'Wound growth INT'!M83</f>
        <v>2.0859048876816777E-3</v>
      </c>
      <c r="N25" s="526">
        <f>'Wound growth INT'!N83</f>
        <v>8.0352405617243328E-3</v>
      </c>
      <c r="O25" s="526">
        <f>'Wound growth INT'!O83</f>
        <v>1.0642392280893143E-2</v>
      </c>
      <c r="P25" s="526">
        <f>'Wound growth INT'!P83</f>
        <v>1.1873324658723261E-2</v>
      </c>
      <c r="Q25" s="526">
        <f>'Wound growth INT'!Q83</f>
        <v>1.2587566379883119E-2</v>
      </c>
      <c r="R25" s="526">
        <f>'Wound growth INT'!R83</f>
        <v>1.2866489331503583E-2</v>
      </c>
      <c r="S25" s="526">
        <f>'Wound growth INT'!S83</f>
        <v>1.2811175145286624E-2</v>
      </c>
      <c r="T25" s="526">
        <f>'Wound growth INT'!T83</f>
        <v>1.279585941583683E-2</v>
      </c>
      <c r="U25" s="526">
        <f>'Wound growth INT'!U83</f>
        <v>1.3247501263345063E-2</v>
      </c>
      <c r="V25" s="526">
        <f>'Wound growth INT'!V83</f>
        <v>1.2900496645370296E-2</v>
      </c>
      <c r="W25" s="526">
        <f>'Wound growth INT'!W83</f>
        <v>1.243165451193895E-2</v>
      </c>
      <c r="X25" s="526">
        <f>'Wound growth INT'!X83</f>
        <v>1.2261434999499166E-2</v>
      </c>
      <c r="Y25" s="526">
        <f>'Wound growth INT'!Y83</f>
        <v>1.1938310515932304E-2</v>
      </c>
      <c r="Z25" s="526">
        <f>'Wound growth INT'!Z83</f>
        <v>1.1522183745890979E-2</v>
      </c>
      <c r="AA25" s="526">
        <f>'Wound growth INT'!AA83</f>
        <v>1.1057599400516427E-2</v>
      </c>
      <c r="AB25" s="526">
        <f>'Wound growth INT'!AB83</f>
        <v>1.0689445582311663E-2</v>
      </c>
      <c r="AC25" s="526">
        <f>'Wound growth INT'!AC83</f>
        <v>1.0206212305009288E-2</v>
      </c>
      <c r="AD25" s="526">
        <f>'Wound growth INT'!AD83</f>
        <v>9.632879082112078E-3</v>
      </c>
      <c r="AE25" s="526">
        <f>'Wound growth INT'!AE83</f>
        <v>9.0113743527955315E-3</v>
      </c>
      <c r="AF25" s="526">
        <f>'Wound growth INT'!AF83</f>
        <v>8.4391883871677287E-3</v>
      </c>
      <c r="AG25" s="526">
        <f>'Wound growth INT'!AG83</f>
        <v>8.0891821572910416E-3</v>
      </c>
      <c r="AH25" s="526">
        <f>'Wound growth INT'!AH83</f>
        <v>7.7712695010621058E-3</v>
      </c>
      <c r="AI25" s="526">
        <f>'Wound growth INT'!AI83</f>
        <v>7.5797208112691195E-3</v>
      </c>
      <c r="AJ25" s="526">
        <f>'Wound growth INT'!AJ83</f>
        <v>7.279800119968538E-3</v>
      </c>
      <c r="AK25" s="526">
        <f>'Wound growth INT'!AK83</f>
        <v>6.79487458268202E-3</v>
      </c>
      <c r="AL25" s="526">
        <f>'Wound growth INT'!AL83</f>
        <v>6.2240957219645843E-3</v>
      </c>
      <c r="AM25" s="526">
        <f>'Wound growth INT'!AM83</f>
        <v>5.5912177277004371E-3</v>
      </c>
      <c r="AN25" s="526">
        <f>'Wound growth INT'!AN83</f>
        <v>4.9288436662822122E-3</v>
      </c>
      <c r="AO25" s="526">
        <f>'Wound growth INT'!AO83</f>
        <v>4.2464025955719631E-3</v>
      </c>
      <c r="AP25" s="526">
        <f>'Wound growth INT'!AP83</f>
        <v>3.8974854810482906E-3</v>
      </c>
      <c r="AQ25" s="526">
        <f>'Wound growth INT'!AQ83</f>
        <v>3.833626242652155E-3</v>
      </c>
      <c r="AR25" s="526">
        <f>'Wound growth INT'!AR83</f>
        <v>3.9607422628253897E-3</v>
      </c>
      <c r="AS25" s="526">
        <f>'Wound growth INT'!AS83</f>
        <v>2.9011487564643001E-3</v>
      </c>
      <c r="AT25" s="526">
        <f>'Wound growth INT'!AT83</f>
        <v>2.2299537205172637E-3</v>
      </c>
      <c r="AU25" s="526">
        <f>'Wound growth INT'!AU83</f>
        <v>1.8044163969423987E-3</v>
      </c>
      <c r="AV25" s="526">
        <f>'Wound growth INT'!AV83</f>
        <v>7.6055862963553267E-4</v>
      </c>
      <c r="AW25" s="526">
        <f>'Wound growth INT'!AW83</f>
        <v>2.0523932278027068E-4</v>
      </c>
      <c r="AX25" s="526">
        <f>'Wound growth INT'!AX83</f>
        <v>-7.2242595931859555E-5</v>
      </c>
      <c r="AY25" s="526">
        <f>'Wound growth INT'!AY83</f>
        <v>-1.9476612440771923E-4</v>
      </c>
      <c r="AZ25" s="526">
        <f>'Wound growth INT'!AZ83</f>
        <v>-2.3369001258810584E-4</v>
      </c>
      <c r="BA25" s="526">
        <f>'Wound growth INT'!BA83</f>
        <v>-2.2998857326017585E-4</v>
      </c>
    </row>
    <row r="26" spans="1:53">
      <c r="B26" s="12" t="s">
        <v>122</v>
      </c>
      <c r="C26" s="39">
        <f>C19</f>
        <v>283.5</v>
      </c>
      <c r="D26" s="39">
        <f t="shared" ref="D26:AE26" si="0">C26*(1+D25)</f>
        <v>293.19015912843923</v>
      </c>
      <c r="E26" s="39">
        <f t="shared" si="0"/>
        <v>301.48374143342193</v>
      </c>
      <c r="F26" s="39">
        <f t="shared" si="0"/>
        <v>308.83682243526221</v>
      </c>
      <c r="G26" s="39">
        <f t="shared" si="0"/>
        <v>315.66336153104555</v>
      </c>
      <c r="H26" s="39">
        <f t="shared" si="0"/>
        <v>280.33856384346745</v>
      </c>
      <c r="I26" s="39">
        <f t="shared" si="0"/>
        <v>259.63630449965746</v>
      </c>
      <c r="J26" s="39">
        <f t="shared" si="0"/>
        <v>248.14148252763499</v>
      </c>
      <c r="K26" s="39">
        <f t="shared" si="0"/>
        <v>242.85939581547882</v>
      </c>
      <c r="L26" s="39">
        <f t="shared" si="0"/>
        <v>241.2153991664303</v>
      </c>
      <c r="M26" s="39">
        <f t="shared" si="0"/>
        <v>241.71855154653568</v>
      </c>
      <c r="N26" s="39">
        <f t="shared" si="0"/>
        <v>243.66081825644366</v>
      </c>
      <c r="O26" s="39">
        <f t="shared" si="0"/>
        <v>246.25395226781214</v>
      </c>
      <c r="P26" s="39">
        <f t="shared" si="0"/>
        <v>249.17780539158161</v>
      </c>
      <c r="Q26" s="39">
        <f t="shared" si="0"/>
        <v>252.31434755734173</v>
      </c>
      <c r="R26" s="39">
        <f t="shared" si="0"/>
        <v>255.56074741837355</v>
      </c>
      <c r="S26" s="39">
        <f t="shared" si="0"/>
        <v>258.83478091381068</v>
      </c>
      <c r="T26" s="39">
        <f t="shared" si="0"/>
        <v>262.14679438231275</v>
      </c>
      <c r="U26" s="39">
        <f t="shared" si="0"/>
        <v>265.61958437207431</v>
      </c>
      <c r="V26" s="39">
        <f t="shared" si="0"/>
        <v>269.04620892921093</v>
      </c>
      <c r="W26" s="39">
        <f t="shared" si="0"/>
        <v>272.39089844636584</v>
      </c>
      <c r="X26" s="39">
        <f t="shared" si="0"/>
        <v>275.73080174212112</v>
      </c>
      <c r="Y26" s="39">
        <f t="shared" si="0"/>
        <v>279.02256167212551</v>
      </c>
      <c r="Z26" s="39">
        <f t="shared" si="0"/>
        <v>282.23751089696094</v>
      </c>
      <c r="AA26" s="39">
        <f t="shared" si="0"/>
        <v>285.3583802282584</v>
      </c>
      <c r="AB26" s="39">
        <f t="shared" si="0"/>
        <v>288.40870310516499</v>
      </c>
      <c r="AC26" s="39">
        <f t="shared" si="0"/>
        <v>291.3522635596687</v>
      </c>
      <c r="AD26" s="39">
        <f t="shared" si="0"/>
        <v>294.15882468483863</v>
      </c>
      <c r="AE26" s="39">
        <f t="shared" si="0"/>
        <v>296.80959997325209</v>
      </c>
      <c r="AF26" s="39">
        <f t="shared" ref="AF26" si="1">AE26*(1+AF25)</f>
        <v>299.31443210254628</v>
      </c>
      <c r="AG26" s="39">
        <f t="shared" ref="AG26" si="2">AF26*(1+AG25)</f>
        <v>301.73564106612992</v>
      </c>
      <c r="AH26" s="39">
        <f t="shared" ref="AH26" si="3">AG26*(1+AH25)</f>
        <v>304.08051005093057</v>
      </c>
      <c r="AI26" s="39">
        <f t="shared" ref="AI26" si="4">AH26*(1+AI25)</f>
        <v>306.38535542126493</v>
      </c>
      <c r="AJ26" s="39">
        <f t="shared" ref="AJ26" si="5">AI26*(1+AJ25)</f>
        <v>308.61577956841728</v>
      </c>
      <c r="AK26" s="39">
        <f t="shared" ref="AK26" si="6">AJ26*(1+AK25)</f>
        <v>310.71278508482129</v>
      </c>
      <c r="AL26" s="39">
        <f t="shared" ref="AL26" si="7">AK26*(1+AL25)</f>
        <v>312.64669120122744</v>
      </c>
      <c r="AM26" s="39">
        <f t="shared" ref="AM26" si="8">AL26*(1+AM25)</f>
        <v>314.39476692357863</v>
      </c>
      <c r="AN26" s="39">
        <f t="shared" ref="AN26" si="9">AM26*(1+AN25)</f>
        <v>315.94436957924216</v>
      </c>
      <c r="AO26" s="39">
        <f t="shared" ref="AO26" si="10">AN26*(1+AO25)</f>
        <v>317.28599657027979</v>
      </c>
      <c r="AP26" s="39">
        <f t="shared" ref="AP26" si="11">AO26*(1+AP25)</f>
        <v>318.52261413525241</v>
      </c>
      <c r="AQ26" s="39">
        <f t="shared" ref="AQ26" si="12">AP26*(1+AQ25)</f>
        <v>319.7437107876795</v>
      </c>
      <c r="AR26" s="39">
        <f t="shared" ref="AR26" si="13">AQ26*(1+AR25)</f>
        <v>321.01013321626891</v>
      </c>
      <c r="AS26" s="39">
        <f t="shared" ref="AS26" si="14">AR26*(1+AS25)</f>
        <v>321.9414313650617</v>
      </c>
      <c r="AT26" s="39">
        <f t="shared" ref="AT26" si="15">AS26*(1+AT25)</f>
        <v>322.65934585772288</v>
      </c>
      <c r="AU26" s="39">
        <f t="shared" ref="AU26" si="16">AT26*(1+AU25)</f>
        <v>323.24155767201529</v>
      </c>
      <c r="AV26" s="39">
        <f t="shared" ref="AV26" si="17">AU26*(1+AV25)</f>
        <v>323.48740182815959</v>
      </c>
      <c r="AW26" s="39">
        <f t="shared" ref="AW26" si="18">AV26*(1+AW25)</f>
        <v>323.55379416343874</v>
      </c>
      <c r="AX26" s="39">
        <f t="shared" ref="AX26" si="19">AW26*(1+AX25)</f>
        <v>323.53041979742477</v>
      </c>
      <c r="AY26" s="39">
        <f t="shared" ref="AY26" si="20">AX26*(1+AY25)</f>
        <v>323.4674070314328</v>
      </c>
      <c r="AZ26" s="39">
        <f t="shared" ref="AZ26" si="21">AY26*(1+AZ25)</f>
        <v>323.39181592901178</v>
      </c>
      <c r="BA26" s="39">
        <f t="shared" ref="BA26" si="22">AZ26*(1+BA25)</f>
        <v>323.31743950666225</v>
      </c>
    </row>
    <row r="27" spans="1:53">
      <c r="B27" s="63"/>
      <c r="C27" s="701" t="b">
        <f>C26=C19</f>
        <v>1</v>
      </c>
      <c r="D27" s="64"/>
      <c r="E27" s="64"/>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64"/>
      <c r="AS27" s="64"/>
      <c r="AT27" s="64"/>
      <c r="AU27" s="64"/>
      <c r="AV27" s="64"/>
      <c r="AW27" s="64"/>
      <c r="AX27" s="64"/>
      <c r="AY27" s="64"/>
      <c r="AZ27" s="64"/>
      <c r="BA27" s="64"/>
    </row>
    <row r="28" spans="1:53">
      <c r="R28" s="60">
        <f>R26/'Prevalence projection'!R23</f>
        <v>0.66741510129592707</v>
      </c>
      <c r="U28" s="60">
        <f>U26/'Prevalence projection'!U23</f>
        <v>0.66520132321762449</v>
      </c>
      <c r="AE28" s="60">
        <f>AE26/'Prevalence projection'!AE23</f>
        <v>0.66190178075185824</v>
      </c>
      <c r="AF28" s="60">
        <f>AF26/'Prevalence projection'!AF23</f>
        <v>0.66152145888184211</v>
      </c>
      <c r="AG28" s="60">
        <f>AG26/'Prevalence projection'!AG23</f>
        <v>0.66110509893847913</v>
      </c>
      <c r="AH28" s="60">
        <f>AH26/'Prevalence projection'!AH23</f>
        <v>0.66065664329194451</v>
      </c>
      <c r="AI28" s="60">
        <f>AI26/'Prevalence projection'!AI23</f>
        <v>0.66020813066368123</v>
      </c>
      <c r="AJ28" s="60">
        <f>AJ26/'Prevalence projection'!AJ23</f>
        <v>0.65983261561974937</v>
      </c>
      <c r="AK28" s="60">
        <f>AK26/'Prevalence projection'!AK23</f>
        <v>0.65951054639011153</v>
      </c>
      <c r="AL28" s="60">
        <f>AL26/'Prevalence projection'!AL23</f>
        <v>0.65924745782245597</v>
      </c>
      <c r="AM28" s="60">
        <f>AM26/'Prevalence projection'!AM23</f>
        <v>0.65894571807134983</v>
      </c>
      <c r="AN28" s="60">
        <f>AN26/'Prevalence projection'!AN23</f>
        <v>0.65856696996002184</v>
      </c>
      <c r="AO28" s="60">
        <f>AO26/'Prevalence projection'!AO23</f>
        <v>0.65810810081628279</v>
      </c>
      <c r="AP28" s="60">
        <f>AP26/'Prevalence projection'!AP23</f>
        <v>0.65762902707505255</v>
      </c>
      <c r="AQ28" s="60">
        <f>AQ26/'Prevalence projection'!AQ23</f>
        <v>0.65714704459315565</v>
      </c>
      <c r="AR28" s="60">
        <f>AR26/'Prevalence projection'!AR23</f>
        <v>0.65665768941180236</v>
      </c>
      <c r="AS28" s="60">
        <f>AS26/'Prevalence projection'!AS23</f>
        <v>0.65624596258945644</v>
      </c>
      <c r="AT28" s="60">
        <f>AT26/'Prevalence projection'!AT23</f>
        <v>0.65597110738549314</v>
      </c>
      <c r="AU28" s="60">
        <f>AU26/'Prevalence projection'!AU23</f>
        <v>0.65584911638078214</v>
      </c>
      <c r="AV28" s="60">
        <f>AV26/'Prevalence projection'!AV23</f>
        <v>0.65536713302525429</v>
      </c>
      <c r="AW28" s="60">
        <f>AW26/'Prevalence projection'!AW23</f>
        <v>0.65476463839993182</v>
      </c>
      <c r="AX28" s="60">
        <f>AX26/'Prevalence projection'!AX23</f>
        <v>0.65416332337317928</v>
      </c>
      <c r="AY28" s="60">
        <f>AY26/'Prevalence projection'!AY23</f>
        <v>0.65361930400323642</v>
      </c>
      <c r="AZ28" s="60">
        <f>AZ26/'Prevalence projection'!AZ23</f>
        <v>0.65315317137714257</v>
      </c>
      <c r="BA28" s="60">
        <f>BA26/'Prevalence projection'!BA23</f>
        <v>0.65276714651467127</v>
      </c>
    </row>
    <row r="30" spans="1:53">
      <c r="A30" s="9"/>
      <c r="B30" s="66" t="s">
        <v>2944</v>
      </c>
      <c r="C30" s="38"/>
      <c r="D30" s="38"/>
      <c r="E30" s="75"/>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row>
    <row r="31" spans="1:53" ht="29">
      <c r="B31" s="65"/>
      <c r="C31" s="65"/>
      <c r="D31" s="38"/>
      <c r="E31" s="75"/>
      <c r="F31" s="527" t="s">
        <v>3200</v>
      </c>
      <c r="G31" s="52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row>
    <row r="32" spans="1:53" ht="21.65" customHeight="1">
      <c r="B32" s="65"/>
      <c r="C32" s="59" t="s">
        <v>152</v>
      </c>
      <c r="D32" s="98" t="s">
        <v>153</v>
      </c>
      <c r="E32" s="75"/>
      <c r="F32" s="527" t="s">
        <v>152</v>
      </c>
      <c r="G32" s="528" t="s">
        <v>153</v>
      </c>
      <c r="H32" s="38"/>
      <c r="I32" s="73"/>
      <c r="J32" s="74"/>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row>
    <row r="33" spans="1:53">
      <c r="B33" s="12" t="s">
        <v>2518</v>
      </c>
      <c r="C33" s="24">
        <f>Epidemiology!C104</f>
        <v>0.47</v>
      </c>
      <c r="D33" s="24">
        <f>1-C33</f>
        <v>0.53</v>
      </c>
      <c r="E33" s="75"/>
      <c r="F33" s="24">
        <f>'To-be clinical improvements'!C10</f>
        <v>0.6028558913472728</v>
      </c>
      <c r="G33" s="24">
        <f>1-F33</f>
        <v>0.3971441086527272</v>
      </c>
      <c r="H33" s="71" t="b">
        <f>SUM(F33:G33)=1</f>
        <v>1</v>
      </c>
      <c r="I33" s="71"/>
      <c r="J33" s="70"/>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row>
    <row r="34" spans="1:53">
      <c r="E34" s="75"/>
      <c r="G34" s="38"/>
      <c r="H34" s="71"/>
      <c r="I34" s="71"/>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row>
    <row r="35" spans="1:53" s="4" customFormat="1">
      <c r="B35" s="67"/>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row>
    <row r="36" spans="1:53" s="4" customFormat="1">
      <c r="C36" s="34">
        <f>'Prevalence projection INT'!C$24</f>
        <v>2020</v>
      </c>
      <c r="D36" s="34">
        <f>'Prevalence projection INT'!D$24</f>
        <v>2021</v>
      </c>
      <c r="E36" s="34">
        <f>'Prevalence projection INT'!E$24</f>
        <v>2022</v>
      </c>
      <c r="F36" s="34">
        <f>'Prevalence projection INT'!F$24</f>
        <v>2023</v>
      </c>
      <c r="G36" s="34">
        <f>'Prevalence projection INT'!G$24</f>
        <v>2024</v>
      </c>
      <c r="H36" s="34">
        <f>'Prevalence projection INT'!H$24</f>
        <v>2025</v>
      </c>
      <c r="I36" s="34">
        <f>'Prevalence projection INT'!I$24</f>
        <v>2026</v>
      </c>
      <c r="J36" s="34">
        <f>'Prevalence projection INT'!J$24</f>
        <v>2027</v>
      </c>
      <c r="K36" s="34">
        <f>'Prevalence projection INT'!K$24</f>
        <v>2028</v>
      </c>
      <c r="L36" s="34">
        <f>'Prevalence projection INT'!L$24</f>
        <v>2029</v>
      </c>
      <c r="M36" s="34">
        <f>'Prevalence projection INT'!M$24</f>
        <v>2030</v>
      </c>
      <c r="N36" s="34">
        <f>'Prevalence projection INT'!N$24</f>
        <v>2031</v>
      </c>
      <c r="O36" s="34">
        <f>'Prevalence projection INT'!O$24</f>
        <v>2032</v>
      </c>
      <c r="P36" s="34">
        <f>'Prevalence projection INT'!P$24</f>
        <v>2033</v>
      </c>
      <c r="Q36" s="34">
        <f>'Prevalence projection INT'!Q$24</f>
        <v>2034</v>
      </c>
      <c r="R36" s="34">
        <f>'Prevalence projection INT'!R$24</f>
        <v>2035</v>
      </c>
      <c r="S36" s="34">
        <f>'Prevalence projection INT'!S$24</f>
        <v>2036</v>
      </c>
      <c r="T36" s="34">
        <f>'Prevalence projection INT'!T$24</f>
        <v>2037</v>
      </c>
      <c r="U36" s="34">
        <f>'Prevalence projection INT'!U$24</f>
        <v>2038</v>
      </c>
      <c r="V36" s="34">
        <f>'Prevalence projection INT'!V$24</f>
        <v>2039</v>
      </c>
      <c r="W36" s="34">
        <f>'Prevalence projection INT'!W$24</f>
        <v>2040</v>
      </c>
      <c r="X36" s="34">
        <f>'Prevalence projection INT'!X$24</f>
        <v>2041</v>
      </c>
      <c r="Y36" s="34">
        <f>'Prevalence projection INT'!Y$24</f>
        <v>2042</v>
      </c>
      <c r="Z36" s="34">
        <f>'Prevalence projection INT'!Z$24</f>
        <v>2043</v>
      </c>
      <c r="AA36" s="34">
        <f>'Prevalence projection INT'!AA$24</f>
        <v>2044</v>
      </c>
      <c r="AB36" s="34">
        <f>'Prevalence projection INT'!AB$24</f>
        <v>2045</v>
      </c>
      <c r="AC36" s="34">
        <f>'Prevalence projection INT'!AC$24</f>
        <v>2046</v>
      </c>
      <c r="AD36" s="34">
        <f>'Prevalence projection INT'!AD$24</f>
        <v>2047</v>
      </c>
      <c r="AE36" s="34">
        <f>'Prevalence projection INT'!AE$24</f>
        <v>2048</v>
      </c>
      <c r="AF36" s="34">
        <f>'Prevalence projection INT'!AF$24</f>
        <v>2049</v>
      </c>
      <c r="AG36" s="34">
        <f>'Prevalence projection INT'!AG$24</f>
        <v>2050</v>
      </c>
      <c r="AH36" s="34">
        <f>'Prevalence projection INT'!AH$24</f>
        <v>2051</v>
      </c>
      <c r="AI36" s="34">
        <f>'Prevalence projection INT'!AI$24</f>
        <v>2052</v>
      </c>
      <c r="AJ36" s="34">
        <f>'Prevalence projection INT'!AJ$24</f>
        <v>2053</v>
      </c>
      <c r="AK36" s="34">
        <f>'Prevalence projection INT'!AK$24</f>
        <v>2054</v>
      </c>
      <c r="AL36" s="34">
        <f>'Prevalence projection INT'!AL$24</f>
        <v>2055</v>
      </c>
      <c r="AM36" s="34">
        <f>'Prevalence projection INT'!AM$24</f>
        <v>2056</v>
      </c>
      <c r="AN36" s="34">
        <f>'Prevalence projection INT'!AN$24</f>
        <v>2057</v>
      </c>
      <c r="AO36" s="34">
        <f>'Prevalence projection INT'!AO$24</f>
        <v>2058</v>
      </c>
      <c r="AP36" s="34">
        <f>'Prevalence projection INT'!AP$24</f>
        <v>2059</v>
      </c>
      <c r="AQ36" s="34">
        <f>'Prevalence projection INT'!AQ$24</f>
        <v>2060</v>
      </c>
      <c r="AR36" s="34">
        <f>'Prevalence projection INT'!AR$24</f>
        <v>2061</v>
      </c>
      <c r="AS36" s="34">
        <f>'Prevalence projection INT'!AS$24</f>
        <v>2062</v>
      </c>
      <c r="AT36" s="34">
        <f>'Prevalence projection INT'!AT$24</f>
        <v>2063</v>
      </c>
      <c r="AU36" s="34">
        <f>'Prevalence projection INT'!AU$24</f>
        <v>2064</v>
      </c>
      <c r="AV36" s="34">
        <f>'Prevalence projection INT'!AV$24</f>
        <v>2065</v>
      </c>
      <c r="AW36" s="34">
        <f>'Prevalence projection INT'!AW$24</f>
        <v>2066</v>
      </c>
      <c r="AX36" s="34">
        <f>'Prevalence projection INT'!AX$24</f>
        <v>2067</v>
      </c>
      <c r="AY36" s="34">
        <f>'Prevalence projection INT'!AY$24</f>
        <v>2068</v>
      </c>
      <c r="AZ36" s="34">
        <f>'Prevalence projection INT'!AZ$24</f>
        <v>2069</v>
      </c>
      <c r="BA36" s="34">
        <f>'Prevalence projection INT'!BA$24</f>
        <v>2070</v>
      </c>
    </row>
    <row r="37" spans="1:53" s="4" customFormat="1" ht="18.649999999999999" customHeight="1">
      <c r="B37" s="12" t="s">
        <v>2519</v>
      </c>
      <c r="C37" s="39">
        <f>C26</f>
        <v>283.5</v>
      </c>
      <c r="D37" s="39">
        <f t="shared" ref="D37:AE37" si="23">D26</f>
        <v>293.19015912843923</v>
      </c>
      <c r="E37" s="39">
        <f t="shared" si="23"/>
        <v>301.48374143342193</v>
      </c>
      <c r="F37" s="39">
        <f t="shared" si="23"/>
        <v>308.83682243526221</v>
      </c>
      <c r="G37" s="39">
        <f t="shared" si="23"/>
        <v>315.66336153104555</v>
      </c>
      <c r="H37" s="39">
        <f t="shared" si="23"/>
        <v>280.33856384346745</v>
      </c>
      <c r="I37" s="39">
        <f t="shared" si="23"/>
        <v>259.63630449965746</v>
      </c>
      <c r="J37" s="39">
        <f t="shared" si="23"/>
        <v>248.14148252763499</v>
      </c>
      <c r="K37" s="39">
        <f t="shared" si="23"/>
        <v>242.85939581547882</v>
      </c>
      <c r="L37" s="39">
        <f t="shared" si="23"/>
        <v>241.2153991664303</v>
      </c>
      <c r="M37" s="39">
        <f t="shared" si="23"/>
        <v>241.71855154653568</v>
      </c>
      <c r="N37" s="39">
        <f t="shared" si="23"/>
        <v>243.66081825644366</v>
      </c>
      <c r="O37" s="39">
        <f t="shared" si="23"/>
        <v>246.25395226781214</v>
      </c>
      <c r="P37" s="39">
        <f t="shared" si="23"/>
        <v>249.17780539158161</v>
      </c>
      <c r="Q37" s="39">
        <f t="shared" si="23"/>
        <v>252.31434755734173</v>
      </c>
      <c r="R37" s="39">
        <f t="shared" si="23"/>
        <v>255.56074741837355</v>
      </c>
      <c r="S37" s="39">
        <f t="shared" si="23"/>
        <v>258.83478091381068</v>
      </c>
      <c r="T37" s="39">
        <f t="shared" si="23"/>
        <v>262.14679438231275</v>
      </c>
      <c r="U37" s="39">
        <f t="shared" si="23"/>
        <v>265.61958437207431</v>
      </c>
      <c r="V37" s="39">
        <f t="shared" si="23"/>
        <v>269.04620892921093</v>
      </c>
      <c r="W37" s="39">
        <f t="shared" si="23"/>
        <v>272.39089844636584</v>
      </c>
      <c r="X37" s="39">
        <f t="shared" si="23"/>
        <v>275.73080174212112</v>
      </c>
      <c r="Y37" s="39">
        <f t="shared" si="23"/>
        <v>279.02256167212551</v>
      </c>
      <c r="Z37" s="39">
        <f t="shared" si="23"/>
        <v>282.23751089696094</v>
      </c>
      <c r="AA37" s="39">
        <f t="shared" si="23"/>
        <v>285.3583802282584</v>
      </c>
      <c r="AB37" s="39">
        <f t="shared" si="23"/>
        <v>288.40870310516499</v>
      </c>
      <c r="AC37" s="39">
        <f t="shared" si="23"/>
        <v>291.3522635596687</v>
      </c>
      <c r="AD37" s="39">
        <f t="shared" si="23"/>
        <v>294.15882468483863</v>
      </c>
      <c r="AE37" s="39">
        <f t="shared" si="23"/>
        <v>296.80959997325209</v>
      </c>
      <c r="AF37" s="39">
        <f t="shared" ref="AF37:AO37" si="24">AF26</f>
        <v>299.31443210254628</v>
      </c>
      <c r="AG37" s="39">
        <f t="shared" si="24"/>
        <v>301.73564106612992</v>
      </c>
      <c r="AH37" s="39">
        <f t="shared" si="24"/>
        <v>304.08051005093057</v>
      </c>
      <c r="AI37" s="39">
        <f t="shared" si="24"/>
        <v>306.38535542126493</v>
      </c>
      <c r="AJ37" s="39">
        <f t="shared" si="24"/>
        <v>308.61577956841728</v>
      </c>
      <c r="AK37" s="39">
        <f t="shared" si="24"/>
        <v>310.71278508482129</v>
      </c>
      <c r="AL37" s="39">
        <f t="shared" si="24"/>
        <v>312.64669120122744</v>
      </c>
      <c r="AM37" s="39">
        <f t="shared" si="24"/>
        <v>314.39476692357863</v>
      </c>
      <c r="AN37" s="39">
        <f t="shared" si="24"/>
        <v>315.94436957924216</v>
      </c>
      <c r="AO37" s="39">
        <f t="shared" si="24"/>
        <v>317.28599657027979</v>
      </c>
      <c r="AP37" s="39">
        <f t="shared" ref="AP37:BA37" si="25">AP26</f>
        <v>318.52261413525241</v>
      </c>
      <c r="AQ37" s="39">
        <f t="shared" si="25"/>
        <v>319.7437107876795</v>
      </c>
      <c r="AR37" s="39">
        <f t="shared" si="25"/>
        <v>321.01013321626891</v>
      </c>
      <c r="AS37" s="39">
        <f t="shared" si="25"/>
        <v>321.9414313650617</v>
      </c>
      <c r="AT37" s="39">
        <f t="shared" si="25"/>
        <v>322.65934585772288</v>
      </c>
      <c r="AU37" s="39">
        <f t="shared" si="25"/>
        <v>323.24155767201529</v>
      </c>
      <c r="AV37" s="39">
        <f t="shared" si="25"/>
        <v>323.48740182815959</v>
      </c>
      <c r="AW37" s="39">
        <f t="shared" si="25"/>
        <v>323.55379416343874</v>
      </c>
      <c r="AX37" s="39">
        <f t="shared" si="25"/>
        <v>323.53041979742477</v>
      </c>
      <c r="AY37" s="39">
        <f t="shared" si="25"/>
        <v>323.4674070314328</v>
      </c>
      <c r="AZ37" s="39">
        <f t="shared" si="25"/>
        <v>323.39181592901178</v>
      </c>
      <c r="BA37" s="39">
        <f t="shared" si="25"/>
        <v>323.31743950666225</v>
      </c>
    </row>
    <row r="38" spans="1:53" s="4" customFormat="1" ht="15.65" customHeight="1">
      <c r="B38" s="12" t="s">
        <v>97</v>
      </c>
      <c r="C38" s="39">
        <f>C37*IF(C$36&lt;$C$6, $C$33,$F$33)</f>
        <v>133.245</v>
      </c>
      <c r="D38" s="39">
        <f t="shared" ref="D38:AE38" si="26">D37*IF(D$36&lt;$C$6, $C$33,$F$33)</f>
        <v>137.79937479036644</v>
      </c>
      <c r="E38" s="39">
        <f t="shared" si="26"/>
        <v>141.69735847370831</v>
      </c>
      <c r="F38" s="39">
        <f t="shared" si="26"/>
        <v>145.15330654457324</v>
      </c>
      <c r="G38" s="39">
        <f t="shared" si="26"/>
        <v>190.2995171814749</v>
      </c>
      <c r="H38" s="39">
        <f t="shared" si="26"/>
        <v>169.00375478486791</v>
      </c>
      <c r="I38" s="39">
        <f t="shared" si="26"/>
        <v>156.52327577525293</v>
      </c>
      <c r="J38" s="39">
        <f t="shared" si="26"/>
        <v>149.59355462943111</v>
      </c>
      <c r="K38" s="39">
        <f t="shared" si="26"/>
        <v>146.4092175364006</v>
      </c>
      <c r="L38" s="39">
        <f t="shared" si="26"/>
        <v>145.41812447116655</v>
      </c>
      <c r="M38" s="39">
        <f t="shared" si="26"/>
        <v>145.72145284775848</v>
      </c>
      <c r="N38" s="39">
        <f t="shared" si="26"/>
        <v>146.89235977639419</v>
      </c>
      <c r="O38" s="39">
        <f t="shared" si="26"/>
        <v>148.45564589220066</v>
      </c>
      <c r="P38" s="39">
        <f t="shared" si="26"/>
        <v>150.2183079732992</v>
      </c>
      <c r="Q38" s="39">
        <f t="shared" si="26"/>
        <v>152.10919089638682</v>
      </c>
      <c r="R38" s="39">
        <f t="shared" si="26"/>
        <v>154.06630217827885</v>
      </c>
      <c r="S38" s="39">
        <f t="shared" si="26"/>
        <v>156.04007255947141</v>
      </c>
      <c r="T38" s="39">
        <f t="shared" si="26"/>
        <v>158.0367393911794</v>
      </c>
      <c r="U38" s="39">
        <f t="shared" si="26"/>
        <v>160.13033129591901</v>
      </c>
      <c r="V38" s="39">
        <f t="shared" si="26"/>
        <v>162.19609209762405</v>
      </c>
      <c r="W38" s="39">
        <f t="shared" si="26"/>
        <v>164.21245787776834</v>
      </c>
      <c r="X38" s="39">
        <f t="shared" si="26"/>
        <v>166.22593825614459</v>
      </c>
      <c r="Y38" s="39">
        <f t="shared" si="26"/>
        <v>168.21039512284861</v>
      </c>
      <c r="Z38" s="39">
        <f t="shared" si="26"/>
        <v>170.148546203423</v>
      </c>
      <c r="AA38" s="39">
        <f t="shared" si="26"/>
        <v>172.0299806659207</v>
      </c>
      <c r="AB38" s="39">
        <f t="shared" si="26"/>
        <v>173.86888578277521</v>
      </c>
      <c r="AC38" s="39">
        <f t="shared" si="26"/>
        <v>175.64342854430961</v>
      </c>
      <c r="AD38" s="39">
        <f t="shared" si="26"/>
        <v>177.33538045304454</v>
      </c>
      <c r="AE38" s="39">
        <f t="shared" si="26"/>
        <v>178.93341595230237</v>
      </c>
      <c r="AF38" s="39">
        <f t="shared" ref="AF38:AO38" si="27">AF37*IF(AF$36&lt;$C$6, $C$33,$F$33)</f>
        <v>180.4434687582833</v>
      </c>
      <c r="AG38" s="39">
        <f t="shared" si="27"/>
        <v>181.90310884616252</v>
      </c>
      <c r="AH38" s="39">
        <f t="shared" si="27"/>
        <v>183.31672692808709</v>
      </c>
      <c r="AI38" s="39">
        <f t="shared" si="27"/>
        <v>184.70621653823764</v>
      </c>
      <c r="AJ38" s="39">
        <f t="shared" si="27"/>
        <v>186.05084087555167</v>
      </c>
      <c r="AK38" s="39">
        <f t="shared" si="27"/>
        <v>187.31503300530355</v>
      </c>
      <c r="AL38" s="39">
        <f t="shared" si="27"/>
        <v>188.48089970089151</v>
      </c>
      <c r="AM38" s="39">
        <f t="shared" si="27"/>
        <v>189.53473744863209</v>
      </c>
      <c r="AN38" s="39">
        <f t="shared" si="27"/>
        <v>190.46892453884621</v>
      </c>
      <c r="AO38" s="39">
        <f t="shared" si="27"/>
        <v>191.27773227438377</v>
      </c>
      <c r="AP38" s="39">
        <f t="shared" ref="AP38:BA38" si="28">AP37*IF(AP$36&lt;$C$6, $C$33,$F$33)</f>
        <v>192.02323445877101</v>
      </c>
      <c r="AQ38" s="39">
        <f t="shared" si="28"/>
        <v>192.75937976959113</v>
      </c>
      <c r="AR38" s="39">
        <f t="shared" si="28"/>
        <v>193.52284999160057</v>
      </c>
      <c r="AS38" s="39">
        <f t="shared" si="28"/>
        <v>194.08428856720113</v>
      </c>
      <c r="AT38" s="39">
        <f t="shared" si="28"/>
        <v>194.51708754858549</v>
      </c>
      <c r="AU38" s="39">
        <f t="shared" si="28"/>
        <v>194.86807737084365</v>
      </c>
      <c r="AV38" s="39">
        <f t="shared" si="28"/>
        <v>195.01628596872857</v>
      </c>
      <c r="AW38" s="39">
        <f t="shared" si="28"/>
        <v>195.05631097919189</v>
      </c>
      <c r="AX38" s="39">
        <f t="shared" si="28"/>
        <v>195.04221960493388</v>
      </c>
      <c r="AY38" s="39">
        <f t="shared" si="28"/>
        <v>195.00423198772552</v>
      </c>
      <c r="AZ38" s="39">
        <f t="shared" si="28"/>
        <v>194.95866144629758</v>
      </c>
      <c r="BA38" s="39">
        <f t="shared" si="28"/>
        <v>194.91382318190682</v>
      </c>
    </row>
    <row r="39" spans="1:53" s="4" customFormat="1" ht="21" customHeight="1">
      <c r="B39" s="12" t="s">
        <v>98</v>
      </c>
      <c r="C39" s="39">
        <f>C37-C38</f>
        <v>150.255</v>
      </c>
      <c r="D39" s="39">
        <f t="shared" ref="D39:AE39" si="29">D37-D38</f>
        <v>155.39078433807279</v>
      </c>
      <c r="E39" s="39">
        <f t="shared" si="29"/>
        <v>159.78638295971362</v>
      </c>
      <c r="F39" s="39">
        <f t="shared" si="29"/>
        <v>163.68351589068897</v>
      </c>
      <c r="G39" s="39">
        <f t="shared" si="29"/>
        <v>125.36384434957066</v>
      </c>
      <c r="H39" s="39">
        <f t="shared" si="29"/>
        <v>111.33480905859955</v>
      </c>
      <c r="I39" s="39">
        <f t="shared" si="29"/>
        <v>103.11302872440453</v>
      </c>
      <c r="J39" s="39">
        <f t="shared" si="29"/>
        <v>98.547927898203881</v>
      </c>
      <c r="K39" s="39">
        <f t="shared" si="29"/>
        <v>96.450178279078216</v>
      </c>
      <c r="L39" s="39">
        <f t="shared" si="29"/>
        <v>95.797274695263752</v>
      </c>
      <c r="M39" s="39">
        <f t="shared" si="29"/>
        <v>95.997098698777194</v>
      </c>
      <c r="N39" s="39">
        <f t="shared" si="29"/>
        <v>96.768458480049475</v>
      </c>
      <c r="O39" s="39">
        <f t="shared" si="29"/>
        <v>97.798306375611475</v>
      </c>
      <c r="P39" s="39">
        <f t="shared" si="29"/>
        <v>98.95949741828241</v>
      </c>
      <c r="Q39" s="39">
        <f t="shared" si="29"/>
        <v>100.20515666095491</v>
      </c>
      <c r="R39" s="39">
        <f t="shared" si="29"/>
        <v>101.49444524009471</v>
      </c>
      <c r="S39" s="39">
        <f t="shared" si="29"/>
        <v>102.79470835433926</v>
      </c>
      <c r="T39" s="39">
        <f t="shared" si="29"/>
        <v>104.11005499113335</v>
      </c>
      <c r="U39" s="39">
        <f t="shared" si="29"/>
        <v>105.48925307615531</v>
      </c>
      <c r="V39" s="39">
        <f t="shared" si="29"/>
        <v>106.85011683158689</v>
      </c>
      <c r="W39" s="39">
        <f t="shared" si="29"/>
        <v>108.17844056859749</v>
      </c>
      <c r="X39" s="39">
        <f t="shared" si="29"/>
        <v>109.50486348597653</v>
      </c>
      <c r="Y39" s="39">
        <f t="shared" si="29"/>
        <v>110.8121665492769</v>
      </c>
      <c r="Z39" s="39">
        <f t="shared" si="29"/>
        <v>112.08896469353795</v>
      </c>
      <c r="AA39" s="39">
        <f t="shared" si="29"/>
        <v>113.32839956233769</v>
      </c>
      <c r="AB39" s="39">
        <f t="shared" si="29"/>
        <v>114.53981732238978</v>
      </c>
      <c r="AC39" s="39">
        <f t="shared" si="29"/>
        <v>115.70883501535909</v>
      </c>
      <c r="AD39" s="39">
        <f t="shared" si="29"/>
        <v>116.8234442317941</v>
      </c>
      <c r="AE39" s="39">
        <f t="shared" si="29"/>
        <v>117.87618402094972</v>
      </c>
      <c r="AF39" s="39">
        <f t="shared" ref="AF39:AO39" si="30">AF37-AF38</f>
        <v>118.87096334426298</v>
      </c>
      <c r="AG39" s="39">
        <f t="shared" si="30"/>
        <v>119.83253221996739</v>
      </c>
      <c r="AH39" s="39">
        <f t="shared" si="30"/>
        <v>120.76378312284348</v>
      </c>
      <c r="AI39" s="39">
        <f t="shared" si="30"/>
        <v>121.67913888302729</v>
      </c>
      <c r="AJ39" s="39">
        <f t="shared" si="30"/>
        <v>122.56493869286561</v>
      </c>
      <c r="AK39" s="39">
        <f t="shared" si="30"/>
        <v>123.39775207951774</v>
      </c>
      <c r="AL39" s="39">
        <f t="shared" si="30"/>
        <v>124.16579150033593</v>
      </c>
      <c r="AM39" s="39">
        <f t="shared" si="30"/>
        <v>124.86002947494654</v>
      </c>
      <c r="AN39" s="39">
        <f t="shared" si="30"/>
        <v>125.47544504039595</v>
      </c>
      <c r="AO39" s="39">
        <f t="shared" si="30"/>
        <v>126.00826429589603</v>
      </c>
      <c r="AP39" s="39">
        <f t="shared" ref="AP39:BA39" si="31">AP37-AP38</f>
        <v>126.4993796764814</v>
      </c>
      <c r="AQ39" s="39">
        <f t="shared" si="31"/>
        <v>126.98433101808837</v>
      </c>
      <c r="AR39" s="39">
        <f t="shared" si="31"/>
        <v>127.48728322466835</v>
      </c>
      <c r="AS39" s="39">
        <f t="shared" si="31"/>
        <v>127.85714279786058</v>
      </c>
      <c r="AT39" s="39">
        <f t="shared" si="31"/>
        <v>128.14225830913739</v>
      </c>
      <c r="AU39" s="39">
        <f t="shared" si="31"/>
        <v>128.37348030117164</v>
      </c>
      <c r="AV39" s="39">
        <f t="shared" si="31"/>
        <v>128.47111585943102</v>
      </c>
      <c r="AW39" s="39">
        <f t="shared" si="31"/>
        <v>128.49748318424685</v>
      </c>
      <c r="AX39" s="39">
        <f t="shared" si="31"/>
        <v>128.48820019249089</v>
      </c>
      <c r="AY39" s="39">
        <f t="shared" si="31"/>
        <v>128.46317504370728</v>
      </c>
      <c r="AZ39" s="39">
        <f t="shared" si="31"/>
        <v>128.4331544827142</v>
      </c>
      <c r="BA39" s="39">
        <f t="shared" si="31"/>
        <v>128.40361632475543</v>
      </c>
    </row>
    <row r="40" spans="1:53">
      <c r="C40" s="75">
        <f>C38/C37</f>
        <v>0.47000000000000003</v>
      </c>
      <c r="D40" s="75">
        <f t="shared" ref="D40:AE40" si="32">D38/D37</f>
        <v>0.47000000000000003</v>
      </c>
      <c r="E40" s="75">
        <f t="shared" si="32"/>
        <v>0.47000000000000003</v>
      </c>
      <c r="F40" s="75">
        <f t="shared" si="32"/>
        <v>0.47000000000000003</v>
      </c>
      <c r="G40" s="75">
        <f t="shared" si="32"/>
        <v>0.6028558913472728</v>
      </c>
      <c r="H40" s="75">
        <f t="shared" si="32"/>
        <v>0.6028558913472728</v>
      </c>
      <c r="I40" s="75">
        <f t="shared" si="32"/>
        <v>0.6028558913472728</v>
      </c>
      <c r="J40" s="75">
        <f t="shared" si="32"/>
        <v>0.6028558913472728</v>
      </c>
      <c r="K40" s="75">
        <f t="shared" si="32"/>
        <v>0.60285589134727269</v>
      </c>
      <c r="L40" s="75">
        <f t="shared" si="32"/>
        <v>0.6028558913472728</v>
      </c>
      <c r="M40" s="75">
        <f t="shared" si="32"/>
        <v>0.6028558913472728</v>
      </c>
      <c r="N40" s="75">
        <f t="shared" si="32"/>
        <v>0.6028558913472728</v>
      </c>
      <c r="O40" s="75">
        <f t="shared" si="32"/>
        <v>0.6028558913472728</v>
      </c>
      <c r="P40" s="75">
        <f t="shared" si="32"/>
        <v>0.6028558913472728</v>
      </c>
      <c r="Q40" s="75">
        <f t="shared" si="32"/>
        <v>0.6028558913472728</v>
      </c>
      <c r="R40" s="75">
        <f t="shared" si="32"/>
        <v>0.6028558913472728</v>
      </c>
      <c r="S40" s="75">
        <f t="shared" si="32"/>
        <v>0.6028558913472728</v>
      </c>
      <c r="T40" s="75">
        <f t="shared" si="32"/>
        <v>0.6028558913472728</v>
      </c>
      <c r="U40" s="75">
        <f t="shared" si="32"/>
        <v>0.6028558913472728</v>
      </c>
      <c r="V40" s="75">
        <f t="shared" si="32"/>
        <v>0.6028558913472728</v>
      </c>
      <c r="W40" s="75">
        <f t="shared" si="32"/>
        <v>0.6028558913472728</v>
      </c>
      <c r="X40" s="75">
        <f t="shared" si="32"/>
        <v>0.6028558913472728</v>
      </c>
      <c r="Y40" s="75">
        <f t="shared" si="32"/>
        <v>0.6028558913472728</v>
      </c>
      <c r="Z40" s="75">
        <f t="shared" si="32"/>
        <v>0.6028558913472728</v>
      </c>
      <c r="AA40" s="75">
        <f t="shared" si="32"/>
        <v>0.6028558913472728</v>
      </c>
      <c r="AB40" s="75">
        <f t="shared" si="32"/>
        <v>0.6028558913472728</v>
      </c>
      <c r="AC40" s="75">
        <f t="shared" si="32"/>
        <v>0.6028558913472728</v>
      </c>
      <c r="AD40" s="75">
        <f t="shared" si="32"/>
        <v>0.6028558913472728</v>
      </c>
      <c r="AE40" s="75">
        <f t="shared" si="32"/>
        <v>0.6028558913472728</v>
      </c>
      <c r="AF40" s="75">
        <f t="shared" ref="AF40:AO40" si="33">AF38/AF37</f>
        <v>0.6028558913472728</v>
      </c>
      <c r="AG40" s="75">
        <f t="shared" si="33"/>
        <v>0.6028558913472728</v>
      </c>
      <c r="AH40" s="75">
        <f t="shared" si="33"/>
        <v>0.6028558913472728</v>
      </c>
      <c r="AI40" s="75">
        <f t="shared" si="33"/>
        <v>0.6028558913472728</v>
      </c>
      <c r="AJ40" s="75">
        <f t="shared" si="33"/>
        <v>0.6028558913472728</v>
      </c>
      <c r="AK40" s="75">
        <f t="shared" si="33"/>
        <v>0.6028558913472728</v>
      </c>
      <c r="AL40" s="75">
        <f t="shared" si="33"/>
        <v>0.6028558913472728</v>
      </c>
      <c r="AM40" s="75">
        <f t="shared" si="33"/>
        <v>0.6028558913472728</v>
      </c>
      <c r="AN40" s="75">
        <f t="shared" si="33"/>
        <v>0.6028558913472728</v>
      </c>
      <c r="AO40" s="75">
        <f t="shared" si="33"/>
        <v>0.6028558913472728</v>
      </c>
      <c r="AP40" s="75">
        <f t="shared" ref="AP40:BA40" si="34">AP38/AP37</f>
        <v>0.6028558913472728</v>
      </c>
      <c r="AQ40" s="75">
        <f t="shared" si="34"/>
        <v>0.6028558913472728</v>
      </c>
      <c r="AR40" s="75">
        <f t="shared" si="34"/>
        <v>0.6028558913472728</v>
      </c>
      <c r="AS40" s="75">
        <f t="shared" si="34"/>
        <v>0.6028558913472728</v>
      </c>
      <c r="AT40" s="75">
        <f t="shared" si="34"/>
        <v>0.6028558913472728</v>
      </c>
      <c r="AU40" s="75">
        <f t="shared" si="34"/>
        <v>0.6028558913472728</v>
      </c>
      <c r="AV40" s="75">
        <f t="shared" si="34"/>
        <v>0.6028558913472728</v>
      </c>
      <c r="AW40" s="75">
        <f t="shared" si="34"/>
        <v>0.6028558913472728</v>
      </c>
      <c r="AX40" s="75">
        <f t="shared" si="34"/>
        <v>0.6028558913472728</v>
      </c>
      <c r="AY40" s="75">
        <f t="shared" si="34"/>
        <v>0.6028558913472728</v>
      </c>
      <c r="AZ40" s="75">
        <f t="shared" si="34"/>
        <v>0.6028558913472728</v>
      </c>
      <c r="BA40" s="75">
        <f t="shared" si="34"/>
        <v>0.6028558913472728</v>
      </c>
    </row>
    <row r="44" spans="1:53" s="588" customFormat="1">
      <c r="A44" s="593" t="s">
        <v>2942</v>
      </c>
    </row>
    <row r="45" spans="1:53">
      <c r="A45" s="9"/>
    </row>
    <row r="46" spans="1:53">
      <c r="A46" s="9" t="s">
        <v>10</v>
      </c>
      <c r="B46" s="9" t="s">
        <v>2957</v>
      </c>
    </row>
    <row r="48" spans="1:53" ht="32" customHeight="1">
      <c r="C48" s="62" t="s">
        <v>3678</v>
      </c>
    </row>
    <row r="49" spans="1:53" ht="23" customHeight="1">
      <c r="B49" s="12" t="s">
        <v>5</v>
      </c>
      <c r="C49" s="42">
        <f>Epidemiology!C86</f>
        <v>5.5000000000000003E-4</v>
      </c>
    </row>
    <row r="50" spans="1:53" ht="23" customHeight="1">
      <c r="B50" s="12" t="s">
        <v>3679</v>
      </c>
      <c r="C50" s="12">
        <f>'Control Assumptions'!C47</f>
        <v>150000</v>
      </c>
    </row>
    <row r="51" spans="1:53" ht="23" customHeight="1">
      <c r="B51" s="12" t="s">
        <v>2947</v>
      </c>
      <c r="C51" s="12">
        <f>C49*C50</f>
        <v>82.5</v>
      </c>
    </row>
    <row r="54" spans="1:53">
      <c r="A54" s="9" t="s">
        <v>10</v>
      </c>
      <c r="B54" s="9" t="s">
        <v>2946</v>
      </c>
    </row>
    <row r="56" spans="1:53">
      <c r="C56" s="59">
        <f>C36</f>
        <v>2020</v>
      </c>
      <c r="D56" s="59">
        <f t="shared" ref="D56:AE56" si="35">D36</f>
        <v>2021</v>
      </c>
      <c r="E56" s="59">
        <f t="shared" si="35"/>
        <v>2022</v>
      </c>
      <c r="F56" s="59">
        <f t="shared" si="35"/>
        <v>2023</v>
      </c>
      <c r="G56" s="59">
        <f t="shared" si="35"/>
        <v>2024</v>
      </c>
      <c r="H56" s="59">
        <f t="shared" si="35"/>
        <v>2025</v>
      </c>
      <c r="I56" s="59">
        <f t="shared" si="35"/>
        <v>2026</v>
      </c>
      <c r="J56" s="59">
        <f t="shared" si="35"/>
        <v>2027</v>
      </c>
      <c r="K56" s="59">
        <f t="shared" si="35"/>
        <v>2028</v>
      </c>
      <c r="L56" s="59">
        <f t="shared" si="35"/>
        <v>2029</v>
      </c>
      <c r="M56" s="59">
        <f t="shared" si="35"/>
        <v>2030</v>
      </c>
      <c r="N56" s="59">
        <f t="shared" si="35"/>
        <v>2031</v>
      </c>
      <c r="O56" s="59">
        <f t="shared" si="35"/>
        <v>2032</v>
      </c>
      <c r="P56" s="59">
        <f t="shared" si="35"/>
        <v>2033</v>
      </c>
      <c r="Q56" s="59">
        <f t="shared" si="35"/>
        <v>2034</v>
      </c>
      <c r="R56" s="59">
        <f t="shared" si="35"/>
        <v>2035</v>
      </c>
      <c r="S56" s="59">
        <f t="shared" si="35"/>
        <v>2036</v>
      </c>
      <c r="T56" s="59">
        <f t="shared" si="35"/>
        <v>2037</v>
      </c>
      <c r="U56" s="59">
        <f t="shared" si="35"/>
        <v>2038</v>
      </c>
      <c r="V56" s="59">
        <f t="shared" si="35"/>
        <v>2039</v>
      </c>
      <c r="W56" s="59">
        <f t="shared" si="35"/>
        <v>2040</v>
      </c>
      <c r="X56" s="59">
        <f t="shared" si="35"/>
        <v>2041</v>
      </c>
      <c r="Y56" s="59">
        <f t="shared" si="35"/>
        <v>2042</v>
      </c>
      <c r="Z56" s="59">
        <f t="shared" si="35"/>
        <v>2043</v>
      </c>
      <c r="AA56" s="59">
        <f t="shared" si="35"/>
        <v>2044</v>
      </c>
      <c r="AB56" s="59">
        <f t="shared" si="35"/>
        <v>2045</v>
      </c>
      <c r="AC56" s="59">
        <f t="shared" si="35"/>
        <v>2046</v>
      </c>
      <c r="AD56" s="59">
        <f t="shared" si="35"/>
        <v>2047</v>
      </c>
      <c r="AE56" s="59">
        <f t="shared" si="35"/>
        <v>2048</v>
      </c>
      <c r="AF56" s="59">
        <f t="shared" ref="AF56:AO56" si="36">AF36</f>
        <v>2049</v>
      </c>
      <c r="AG56" s="59">
        <f t="shared" si="36"/>
        <v>2050</v>
      </c>
      <c r="AH56" s="59">
        <f t="shared" si="36"/>
        <v>2051</v>
      </c>
      <c r="AI56" s="59">
        <f t="shared" si="36"/>
        <v>2052</v>
      </c>
      <c r="AJ56" s="59">
        <f t="shared" si="36"/>
        <v>2053</v>
      </c>
      <c r="AK56" s="59">
        <f t="shared" si="36"/>
        <v>2054</v>
      </c>
      <c r="AL56" s="59">
        <f t="shared" si="36"/>
        <v>2055</v>
      </c>
      <c r="AM56" s="59">
        <f t="shared" si="36"/>
        <v>2056</v>
      </c>
      <c r="AN56" s="59">
        <f t="shared" si="36"/>
        <v>2057</v>
      </c>
      <c r="AO56" s="59">
        <f t="shared" si="36"/>
        <v>2058</v>
      </c>
      <c r="AP56" s="59">
        <f t="shared" ref="AP56:BA56" si="37">AP36</f>
        <v>2059</v>
      </c>
      <c r="AQ56" s="59">
        <f t="shared" si="37"/>
        <v>2060</v>
      </c>
      <c r="AR56" s="59">
        <f t="shared" si="37"/>
        <v>2061</v>
      </c>
      <c r="AS56" s="59">
        <f t="shared" si="37"/>
        <v>2062</v>
      </c>
      <c r="AT56" s="59">
        <f t="shared" si="37"/>
        <v>2063</v>
      </c>
      <c r="AU56" s="59">
        <f t="shared" si="37"/>
        <v>2064</v>
      </c>
      <c r="AV56" s="59">
        <f t="shared" si="37"/>
        <v>2065</v>
      </c>
      <c r="AW56" s="59">
        <f t="shared" si="37"/>
        <v>2066</v>
      </c>
      <c r="AX56" s="59">
        <f t="shared" si="37"/>
        <v>2067</v>
      </c>
      <c r="AY56" s="59">
        <f t="shared" si="37"/>
        <v>2068</v>
      </c>
      <c r="AZ56" s="59">
        <f t="shared" si="37"/>
        <v>2069</v>
      </c>
      <c r="BA56" s="59">
        <f t="shared" si="37"/>
        <v>2070</v>
      </c>
    </row>
    <row r="57" spans="1:53">
      <c r="B57" s="12" t="s">
        <v>86</v>
      </c>
      <c r="C57" s="153">
        <f>'Wound growth INT'!C119</f>
        <v>0</v>
      </c>
      <c r="D57" s="153">
        <f>'Wound growth INT'!D119</f>
        <v>3.8439422994360983E-2</v>
      </c>
      <c r="E57" s="153">
        <f>'Wound growth INT'!E119</f>
        <v>3.1967941068333561E-2</v>
      </c>
      <c r="F57" s="153">
        <f>'Wound growth INT'!F119</f>
        <v>2.7502371346320054E-2</v>
      </c>
      <c r="G57" s="153">
        <f>'Wound growth INT'!G119</f>
        <v>2.4666830975591747E-2</v>
      </c>
      <c r="H57" s="153">
        <f>'Wound growth INT'!H119</f>
        <v>-8.3746798569517278E-2</v>
      </c>
      <c r="I57" s="153">
        <f>'Wound growth INT'!I119</f>
        <v>-5.7638116933523942E-2</v>
      </c>
      <c r="J57" s="153">
        <f>'Wound growth INT'!J119</f>
        <v>-3.6681095426318699E-2</v>
      </c>
      <c r="K57" s="153">
        <f>'Wound growth INT'!K119</f>
        <v>-1.9185964654259147E-2</v>
      </c>
      <c r="L57" s="153">
        <f>'Wound growth INT'!L119</f>
        <v>-7.4222543717746836E-3</v>
      </c>
      <c r="M57" s="153">
        <f>'Wound growth INT'!M119</f>
        <v>3.322382888112374E-4</v>
      </c>
      <c r="N57" s="153">
        <f>'Wound growth INT'!N119</f>
        <v>5.8949517163988663E-3</v>
      </c>
      <c r="O57" s="153">
        <f>'Wound growth INT'!O119</f>
        <v>8.8190812713733191E-3</v>
      </c>
      <c r="P57" s="153">
        <f>'Wound growth INT'!P119</f>
        <v>1.0512822079175033E-2</v>
      </c>
      <c r="Q57" s="153">
        <f>'Wound growth INT'!Q119</f>
        <v>1.163006158316704E-2</v>
      </c>
      <c r="R57" s="153">
        <f>'Wound growth INT'!R119</f>
        <v>1.22331538148166E-2</v>
      </c>
      <c r="S57" s="153">
        <f>'Wound growth INT'!S119</f>
        <v>1.2407026437913027E-2</v>
      </c>
      <c r="T57" s="153">
        <f>'Wound growth INT'!T119</f>
        <v>1.252696807651632E-2</v>
      </c>
      <c r="U57" s="153">
        <f>'Wound growth INT'!U119</f>
        <v>1.3028392655649146E-2</v>
      </c>
      <c r="V57" s="153">
        <f>'Wound growth INT'!V119</f>
        <v>1.2807252521913615E-2</v>
      </c>
      <c r="W57" s="153">
        <f>'Wound growth INT'!W119</f>
        <v>1.2430598680884808E-2</v>
      </c>
      <c r="X57" s="153">
        <f>'Wound growth INT'!X119</f>
        <v>1.2261543146772746E-2</v>
      </c>
      <c r="Y57" s="153">
        <f>'Wound growth INT'!Y119</f>
        <v>1.1993302896403213E-2</v>
      </c>
      <c r="Z57" s="153">
        <f>'Wound growth INT'!Z119</f>
        <v>1.1625975016238632E-2</v>
      </c>
      <c r="AA57" s="153">
        <f>'Wound growth INT'!AA119</f>
        <v>1.1194452333677996E-2</v>
      </c>
      <c r="AB57" s="153">
        <f>'Wound growth INT'!AB119</f>
        <v>1.0823614317964303E-2</v>
      </c>
      <c r="AC57" s="153">
        <f>'Wound growth INT'!AC119</f>
        <v>1.035599751731775E-2</v>
      </c>
      <c r="AD57" s="153">
        <f>'Wound growth INT'!AD119</f>
        <v>9.8087147494934079E-3</v>
      </c>
      <c r="AE57" s="153">
        <f>'Wound growth INT'!AE119</f>
        <v>9.2129688650863795E-3</v>
      </c>
      <c r="AF57" s="153">
        <f>'Wound growth INT'!AF119</f>
        <v>8.6555140975366207E-3</v>
      </c>
      <c r="AG57" s="153">
        <f>'Wound growth INT'!AG119</f>
        <v>8.2927615318679759E-3</v>
      </c>
      <c r="AH57" s="153">
        <f>'Wound growth INT'!AH119</f>
        <v>7.9603787227811029E-3</v>
      </c>
      <c r="AI57" s="153">
        <f>'Wound growth INT'!AI119</f>
        <v>7.7395149277472708E-3</v>
      </c>
      <c r="AJ57" s="153">
        <f>'Wound growth INT'!AJ119</f>
        <v>7.4177239590444977E-3</v>
      </c>
      <c r="AK57" s="153">
        <f>'Wound growth INT'!AK119</f>
        <v>6.9399128647984476E-3</v>
      </c>
      <c r="AL57" s="153">
        <f>'Wound growth INT'!AL119</f>
        <v>6.3839836257073568E-3</v>
      </c>
      <c r="AM57" s="153">
        <f>'Wound growth INT'!AM119</f>
        <v>5.784461040655442E-3</v>
      </c>
      <c r="AN57" s="153">
        <f>'Wound growth INT'!AN119</f>
        <v>5.1550190793909767E-3</v>
      </c>
      <c r="AO57" s="153">
        <f>'Wound growth INT'!AO119</f>
        <v>4.4984946627348865E-3</v>
      </c>
      <c r="AP57" s="153">
        <f>'Wound growth INT'!AP119</f>
        <v>4.1248045300166236E-3</v>
      </c>
      <c r="AQ57" s="153">
        <f>'Wound growth INT'!AQ119</f>
        <v>4.0097983176612395E-3</v>
      </c>
      <c r="AR57" s="153">
        <f>'Wound growth INT'!AR119</f>
        <v>4.0784247080363212E-3</v>
      </c>
      <c r="AS57" s="153">
        <f>'Wound growth INT'!AS119</f>
        <v>3.0846593579449966E-3</v>
      </c>
      <c r="AT57" s="153">
        <f>'Wound growth INT'!AT119</f>
        <v>2.4183655651159874E-3</v>
      </c>
      <c r="AU57" s="153">
        <f>'Wound growth INT'!AU119</f>
        <v>1.9726842057572469E-3</v>
      </c>
      <c r="AV57" s="153">
        <f>'Wound growth INT'!AV119</f>
        <v>1.0544643288004085E-3</v>
      </c>
      <c r="AW57" s="153">
        <f>'Wound growth INT'!AW119</f>
        <v>5.0028609839669613E-4</v>
      </c>
      <c r="AX57" s="153">
        <f>'Wound growth INT'!AX119</f>
        <v>1.7493910713461958E-4</v>
      </c>
      <c r="AY57" s="153">
        <f>'Wound growth INT'!AY119</f>
        <v>-7.7866616512434206E-6</v>
      </c>
      <c r="AZ57" s="153">
        <f>'Wound growth INT'!AZ119</f>
        <v>-1.0288001698910421E-4</v>
      </c>
      <c r="BA57" s="153">
        <f>'Wound growth INT'!BA119</f>
        <v>-1.4528729758844783E-4</v>
      </c>
    </row>
    <row r="58" spans="1:53">
      <c r="B58" s="12" t="s">
        <v>2948</v>
      </c>
      <c r="C58" s="39">
        <f>C51</f>
        <v>82.5</v>
      </c>
      <c r="D58" s="39">
        <f>C58*(1+D57)</f>
        <v>85.671252397034777</v>
      </c>
      <c r="E58" s="39">
        <f t="shared" ref="E58:AE58" si="38">D58*(1+E57)</f>
        <v>88.409985944913515</v>
      </c>
      <c r="F58" s="39">
        <f t="shared" si="38"/>
        <v>90.841470209093458</v>
      </c>
      <c r="G58" s="39">
        <f t="shared" si="38"/>
        <v>93.082241400315425</v>
      </c>
      <c r="H58" s="39">
        <f t="shared" si="38"/>
        <v>85.286901679364021</v>
      </c>
      <c r="I58" s="39">
        <f t="shared" si="38"/>
        <v>80.371125267470873</v>
      </c>
      <c r="J58" s="39">
        <f t="shared" si="38"/>
        <v>77.423024352014167</v>
      </c>
      <c r="K58" s="39">
        <f t="shared" si="38"/>
        <v>75.937588943370585</v>
      </c>
      <c r="L58" s="39">
        <f t="shared" si="38"/>
        <v>75.373960841853631</v>
      </c>
      <c r="M58" s="39">
        <f t="shared" si="38"/>
        <v>75.399002957624646</v>
      </c>
      <c r="N58" s="39">
        <f t="shared" si="38"/>
        <v>75.843476439524451</v>
      </c>
      <c r="O58" s="39">
        <f t="shared" si="38"/>
        <v>76.512346222148111</v>
      </c>
      <c r="P58" s="39">
        <f t="shared" si="38"/>
        <v>77.316706904841794</v>
      </c>
      <c r="Q58" s="39">
        <f t="shared" si="38"/>
        <v>78.215904967552774</v>
      </c>
      <c r="R58" s="39">
        <f t="shared" si="38"/>
        <v>79.172732163785923</v>
      </c>
      <c r="S58" s="39">
        <f t="shared" si="38"/>
        <v>80.155030344903821</v>
      </c>
      <c r="T58" s="39">
        <f t="shared" si="38"/>
        <v>81.159129851206629</v>
      </c>
      <c r="U58" s="39">
        <f t="shared" si="38"/>
        <v>82.21650286249897</v>
      </c>
      <c r="V58" s="39">
        <f t="shared" si="38"/>
        <v>83.269470376127629</v>
      </c>
      <c r="W58" s="39">
        <f t="shared" si="38"/>
        <v>84.304559744743102</v>
      </c>
      <c r="X58" s="39">
        <f t="shared" si="38"/>
        <v>85.338263741522951</v>
      </c>
      <c r="Y58" s="39">
        <f t="shared" si="38"/>
        <v>86.361751387228182</v>
      </c>
      <c r="Z58" s="39">
        <f t="shared" si="38"/>
        <v>87.365790951214706</v>
      </c>
      <c r="AA58" s="39">
        <f t="shared" si="38"/>
        <v>88.343803133612155</v>
      </c>
      <c r="AB58" s="39">
        <f t="shared" si="38"/>
        <v>89.300002386112538</v>
      </c>
      <c r="AC58" s="39">
        <f t="shared" si="38"/>
        <v>90.224792989119592</v>
      </c>
      <c r="AD58" s="39">
        <f t="shared" si="38"/>
        <v>91.109782246881963</v>
      </c>
      <c r="AE58" s="39">
        <f t="shared" si="38"/>
        <v>91.949173834027292</v>
      </c>
      <c r="AF58" s="39">
        <f t="shared" ref="AF58" si="39">AE58*(1+AF57)</f>
        <v>92.745041204404558</v>
      </c>
      <c r="AG58" s="39">
        <f t="shared" ref="AG58" si="40">AF58*(1+AG57)</f>
        <v>93.514153714375951</v>
      </c>
      <c r="AH58" s="39">
        <f t="shared" ref="AH58" si="41">AG58*(1+AH57)</f>
        <v>94.258561793882748</v>
      </c>
      <c r="AI58" s="39">
        <f t="shared" ref="AI58" si="42">AH58*(1+AI57)</f>
        <v>94.988077339954486</v>
      </c>
      <c r="AJ58" s="39">
        <f t="shared" ref="AJ58" si="43">AI58*(1+AJ57)</f>
        <v>95.692672677062632</v>
      </c>
      <c r="AK58" s="39">
        <f t="shared" ref="AK58" si="44">AJ58*(1+AK57)</f>
        <v>96.356771487241119</v>
      </c>
      <c r="AL58" s="39">
        <f t="shared" ref="AL58" si="45">AK58*(1+AL57)</f>
        <v>96.971911538641692</v>
      </c>
      <c r="AM58" s="39">
        <f t="shared" ref="AM58" si="46">AL58*(1+AM57)</f>
        <v>97.532841782974856</v>
      </c>
      <c r="AN58" s="39">
        <f t="shared" ref="AN58" si="47">AM58*(1+AN57)</f>
        <v>98.035625443233315</v>
      </c>
      <c r="AO58" s="39">
        <f t="shared" ref="AO58" si="48">AN58*(1+AO57)</f>
        <v>98.476638181047576</v>
      </c>
      <c r="AP58" s="39">
        <f t="shared" ref="AP58" si="49">AO58*(1+AP57)</f>
        <v>98.882835064317575</v>
      </c>
      <c r="AQ58" s="39">
        <f t="shared" ref="AQ58" si="50">AP58*(1+AQ57)</f>
        <v>99.279335290004056</v>
      </c>
      <c r="AR58" s="39">
        <f t="shared" ref="AR58" si="51">AQ58*(1+AR57)</f>
        <v>99.684238584048231</v>
      </c>
      <c r="AS58" s="39">
        <f t="shared" ref="AS58" si="52">AR58*(1+AS57)</f>
        <v>99.991730503436131</v>
      </c>
      <c r="AT58" s="39">
        <f t="shared" ref="AT58" si="53">AS58*(1+AT57)</f>
        <v>100.233547061282</v>
      </c>
      <c r="AU58" s="39">
        <f t="shared" ref="AU58" si="54">AT58*(1+AU57)</f>
        <v>100.43127619645681</v>
      </c>
      <c r="AV58" s="39">
        <f t="shared" ref="AV58" si="55">AU58*(1+AV57)</f>
        <v>100.53717739470187</v>
      </c>
      <c r="AW58" s="39">
        <f t="shared" ref="AW58" si="56">AV58*(1+AW57)</f>
        <v>100.58747474692449</v>
      </c>
      <c r="AX58" s="39">
        <f t="shared" ref="AX58" si="57">AW58*(1+AX57)</f>
        <v>100.60507142994564</v>
      </c>
      <c r="AY58" s="39">
        <f t="shared" ref="AY58" si="58">AX58*(1+AY57)</f>
        <v>100.60428805229401</v>
      </c>
      <c r="AZ58" s="39">
        <f t="shared" ref="AZ58" si="59">AY58*(1+AZ57)</f>
        <v>100.59393788143001</v>
      </c>
      <c r="BA58" s="39">
        <f t="shared" ref="BA58" si="60">AZ58*(1+BA57)</f>
        <v>100.57932286004143</v>
      </c>
    </row>
    <row r="59" spans="1:53">
      <c r="B59" s="63"/>
      <c r="C59" s="701" t="b">
        <f>C58=C51</f>
        <v>1</v>
      </c>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AC59" s="64"/>
      <c r="AD59" s="64"/>
      <c r="AE59" s="64"/>
      <c r="AF59" s="64"/>
      <c r="AG59" s="64"/>
      <c r="AH59" s="64"/>
      <c r="AI59" s="64"/>
      <c r="AJ59" s="64"/>
      <c r="AK59" s="64"/>
      <c r="AL59" s="64"/>
      <c r="AM59" s="64"/>
      <c r="AN59" s="64"/>
      <c r="AO59" s="64"/>
      <c r="AP59" s="64"/>
      <c r="AQ59" s="64"/>
      <c r="AR59" s="64"/>
      <c r="AS59" s="64"/>
      <c r="AT59" s="64"/>
      <c r="AU59" s="64"/>
      <c r="AV59" s="64"/>
      <c r="AW59" s="64"/>
      <c r="AX59" s="64"/>
      <c r="AY59" s="64"/>
      <c r="AZ59" s="64"/>
      <c r="BA59" s="64"/>
    </row>
    <row r="60" spans="1:53">
      <c r="B60" s="63"/>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row>
    <row r="61" spans="1:53">
      <c r="AE61" s="60"/>
      <c r="AF61" s="60"/>
      <c r="AG61" s="60"/>
      <c r="AH61" s="60"/>
      <c r="AI61" s="60"/>
      <c r="AJ61" s="60"/>
      <c r="AK61" s="60"/>
      <c r="AL61" s="60"/>
      <c r="AM61" s="60"/>
      <c r="AN61" s="60"/>
      <c r="AO61" s="60"/>
      <c r="AP61" s="60"/>
      <c r="AQ61" s="60"/>
      <c r="AR61" s="60"/>
      <c r="AS61" s="60"/>
      <c r="AT61" s="60"/>
      <c r="AU61" s="60"/>
      <c r="AV61" s="60"/>
      <c r="AW61" s="60"/>
      <c r="AX61" s="60"/>
      <c r="AY61" s="60"/>
      <c r="AZ61" s="60"/>
      <c r="BA61" s="60"/>
    </row>
    <row r="62" spans="1:53">
      <c r="A62" s="9"/>
      <c r="B62" s="66" t="s">
        <v>2943</v>
      </c>
      <c r="C62" s="38"/>
      <c r="D62" s="38"/>
      <c r="E62" s="75"/>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row>
    <row r="63" spans="1:53" ht="29">
      <c r="B63" s="65"/>
      <c r="C63" s="38"/>
      <c r="D63" s="38"/>
      <c r="E63" s="75"/>
      <c r="F63" s="527" t="s">
        <v>3200</v>
      </c>
      <c r="G63" s="52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row>
    <row r="64" spans="1:53" ht="21.65" customHeight="1">
      <c r="B64" s="65"/>
      <c r="C64" s="59" t="s">
        <v>152</v>
      </c>
      <c r="D64" s="98" t="s">
        <v>153</v>
      </c>
      <c r="E64" s="75"/>
      <c r="F64" s="527" t="s">
        <v>152</v>
      </c>
      <c r="G64" s="528" t="s">
        <v>153</v>
      </c>
      <c r="H64" s="38"/>
      <c r="I64" s="73"/>
      <c r="J64" s="74"/>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row>
    <row r="65" spans="1:53">
      <c r="B65" s="12" t="s">
        <v>2949</v>
      </c>
      <c r="C65" s="24">
        <f>Epidemiology!C102</f>
        <v>0.42</v>
      </c>
      <c r="D65" s="24">
        <f>1-C65</f>
        <v>0.58000000000000007</v>
      </c>
      <c r="E65" s="75"/>
      <c r="F65" s="24">
        <f>'To-be clinical improvements'!C11</f>
        <v>0.62286949602337649</v>
      </c>
      <c r="G65" s="24">
        <f>1-F65</f>
        <v>0.37713050397662351</v>
      </c>
      <c r="H65" s="704" t="b">
        <f>SUM(F65:G65)=1</f>
        <v>1</v>
      </c>
      <c r="I65" s="71"/>
      <c r="J65" s="70"/>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row>
    <row r="66" spans="1:53">
      <c r="E66" s="75"/>
      <c r="H66" s="71"/>
      <c r="I66" s="71"/>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row>
    <row r="67" spans="1:53" s="4" customFormat="1">
      <c r="B67" s="67"/>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row>
    <row r="68" spans="1:53" s="4" customFormat="1">
      <c r="C68" s="34">
        <f>'Prevalence projection INT'!C$24</f>
        <v>2020</v>
      </c>
      <c r="D68" s="34">
        <f>'Prevalence projection INT'!D$24</f>
        <v>2021</v>
      </c>
      <c r="E68" s="34">
        <f>'Prevalence projection INT'!E$24</f>
        <v>2022</v>
      </c>
      <c r="F68" s="34">
        <f>'Prevalence projection INT'!F$24</f>
        <v>2023</v>
      </c>
      <c r="G68" s="34">
        <f>'Prevalence projection INT'!G$24</f>
        <v>2024</v>
      </c>
      <c r="H68" s="34">
        <f>'Prevalence projection INT'!H$24</f>
        <v>2025</v>
      </c>
      <c r="I68" s="34">
        <f>'Prevalence projection INT'!I$24</f>
        <v>2026</v>
      </c>
      <c r="J68" s="34">
        <f>'Prevalence projection INT'!J$24</f>
        <v>2027</v>
      </c>
      <c r="K68" s="34">
        <f>'Prevalence projection INT'!K$24</f>
        <v>2028</v>
      </c>
      <c r="L68" s="34">
        <f>'Prevalence projection INT'!L$24</f>
        <v>2029</v>
      </c>
      <c r="M68" s="34">
        <f>'Prevalence projection INT'!M$24</f>
        <v>2030</v>
      </c>
      <c r="N68" s="34">
        <f>'Prevalence projection INT'!N$24</f>
        <v>2031</v>
      </c>
      <c r="O68" s="34">
        <f>'Prevalence projection INT'!O$24</f>
        <v>2032</v>
      </c>
      <c r="P68" s="34">
        <f>'Prevalence projection INT'!P$24</f>
        <v>2033</v>
      </c>
      <c r="Q68" s="34">
        <f>'Prevalence projection INT'!Q$24</f>
        <v>2034</v>
      </c>
      <c r="R68" s="34">
        <f>'Prevalence projection INT'!R$24</f>
        <v>2035</v>
      </c>
      <c r="S68" s="34">
        <f>'Prevalence projection INT'!S$24</f>
        <v>2036</v>
      </c>
      <c r="T68" s="34">
        <f>'Prevalence projection INT'!T$24</f>
        <v>2037</v>
      </c>
      <c r="U68" s="34">
        <f>'Prevalence projection INT'!U$24</f>
        <v>2038</v>
      </c>
      <c r="V68" s="34">
        <f>'Prevalence projection INT'!V$24</f>
        <v>2039</v>
      </c>
      <c r="W68" s="34">
        <f>'Prevalence projection INT'!W$24</f>
        <v>2040</v>
      </c>
      <c r="X68" s="34">
        <f>'Prevalence projection INT'!X$24</f>
        <v>2041</v>
      </c>
      <c r="Y68" s="34">
        <f>'Prevalence projection INT'!Y$24</f>
        <v>2042</v>
      </c>
      <c r="Z68" s="34">
        <f>'Prevalence projection INT'!Z$24</f>
        <v>2043</v>
      </c>
      <c r="AA68" s="34">
        <f>'Prevalence projection INT'!AA$24</f>
        <v>2044</v>
      </c>
      <c r="AB68" s="34">
        <f>'Prevalence projection INT'!AB$24</f>
        <v>2045</v>
      </c>
      <c r="AC68" s="34">
        <f>'Prevalence projection INT'!AC$24</f>
        <v>2046</v>
      </c>
      <c r="AD68" s="34">
        <f>'Prevalence projection INT'!AD$24</f>
        <v>2047</v>
      </c>
      <c r="AE68" s="34">
        <f>'Prevalence projection INT'!AE$24</f>
        <v>2048</v>
      </c>
      <c r="AF68" s="34">
        <f>'Prevalence projection INT'!AF$24</f>
        <v>2049</v>
      </c>
      <c r="AG68" s="34">
        <f>'Prevalence projection INT'!AG$24</f>
        <v>2050</v>
      </c>
      <c r="AH68" s="34">
        <f>'Prevalence projection INT'!AH$24</f>
        <v>2051</v>
      </c>
      <c r="AI68" s="34">
        <f>'Prevalence projection INT'!AI$24</f>
        <v>2052</v>
      </c>
      <c r="AJ68" s="34">
        <f>'Prevalence projection INT'!AJ$24</f>
        <v>2053</v>
      </c>
      <c r="AK68" s="34">
        <f>'Prevalence projection INT'!AK$24</f>
        <v>2054</v>
      </c>
      <c r="AL68" s="34">
        <f>'Prevalence projection INT'!AL$24</f>
        <v>2055</v>
      </c>
      <c r="AM68" s="34">
        <f>'Prevalence projection INT'!AM$24</f>
        <v>2056</v>
      </c>
      <c r="AN68" s="34">
        <f>'Prevalence projection INT'!AN$24</f>
        <v>2057</v>
      </c>
      <c r="AO68" s="34">
        <f>'Prevalence projection INT'!AO$24</f>
        <v>2058</v>
      </c>
      <c r="AP68" s="34">
        <f>'Prevalence projection INT'!AP$24</f>
        <v>2059</v>
      </c>
      <c r="AQ68" s="34">
        <f>'Prevalence projection INT'!AQ$24</f>
        <v>2060</v>
      </c>
      <c r="AR68" s="34">
        <f>'Prevalence projection INT'!AR$24</f>
        <v>2061</v>
      </c>
      <c r="AS68" s="34">
        <f>'Prevalence projection INT'!AS$24</f>
        <v>2062</v>
      </c>
      <c r="AT68" s="34">
        <f>'Prevalence projection INT'!AT$24</f>
        <v>2063</v>
      </c>
      <c r="AU68" s="34">
        <f>'Prevalence projection INT'!AU$24</f>
        <v>2064</v>
      </c>
      <c r="AV68" s="34">
        <f>'Prevalence projection INT'!AV$24</f>
        <v>2065</v>
      </c>
      <c r="AW68" s="34">
        <f>'Prevalence projection INT'!AW$24</f>
        <v>2066</v>
      </c>
      <c r="AX68" s="34">
        <f>'Prevalence projection INT'!AX$24</f>
        <v>2067</v>
      </c>
      <c r="AY68" s="34">
        <f>'Prevalence projection INT'!AY$24</f>
        <v>2068</v>
      </c>
      <c r="AZ68" s="34">
        <f>'Prevalence projection INT'!AZ$24</f>
        <v>2069</v>
      </c>
      <c r="BA68" s="34">
        <f>'Prevalence projection INT'!BA$24</f>
        <v>2070</v>
      </c>
    </row>
    <row r="69" spans="1:53" s="4" customFormat="1" ht="18.649999999999999" customHeight="1">
      <c r="B69" s="12" t="s">
        <v>2950</v>
      </c>
      <c r="C69" s="39">
        <f t="shared" ref="C69:AE69" si="61">C58</f>
        <v>82.5</v>
      </c>
      <c r="D69" s="39">
        <f t="shared" si="61"/>
        <v>85.671252397034777</v>
      </c>
      <c r="E69" s="39">
        <f t="shared" si="61"/>
        <v>88.409985944913515</v>
      </c>
      <c r="F69" s="39">
        <f t="shared" si="61"/>
        <v>90.841470209093458</v>
      </c>
      <c r="G69" s="39">
        <f t="shared" si="61"/>
        <v>93.082241400315425</v>
      </c>
      <c r="H69" s="39">
        <f t="shared" si="61"/>
        <v>85.286901679364021</v>
      </c>
      <c r="I69" s="39">
        <f t="shared" si="61"/>
        <v>80.371125267470873</v>
      </c>
      <c r="J69" s="39">
        <f t="shared" si="61"/>
        <v>77.423024352014167</v>
      </c>
      <c r="K69" s="39">
        <f t="shared" si="61"/>
        <v>75.937588943370585</v>
      </c>
      <c r="L69" s="39">
        <f t="shared" si="61"/>
        <v>75.373960841853631</v>
      </c>
      <c r="M69" s="39">
        <f t="shared" si="61"/>
        <v>75.399002957624646</v>
      </c>
      <c r="N69" s="39">
        <f t="shared" si="61"/>
        <v>75.843476439524451</v>
      </c>
      <c r="O69" s="39">
        <f t="shared" si="61"/>
        <v>76.512346222148111</v>
      </c>
      <c r="P69" s="39">
        <f t="shared" si="61"/>
        <v>77.316706904841794</v>
      </c>
      <c r="Q69" s="39">
        <f t="shared" si="61"/>
        <v>78.215904967552774</v>
      </c>
      <c r="R69" s="39">
        <f t="shared" si="61"/>
        <v>79.172732163785923</v>
      </c>
      <c r="S69" s="39">
        <f t="shared" si="61"/>
        <v>80.155030344903821</v>
      </c>
      <c r="T69" s="39">
        <f t="shared" si="61"/>
        <v>81.159129851206629</v>
      </c>
      <c r="U69" s="39">
        <f t="shared" si="61"/>
        <v>82.21650286249897</v>
      </c>
      <c r="V69" s="39">
        <f t="shared" si="61"/>
        <v>83.269470376127629</v>
      </c>
      <c r="W69" s="39">
        <f t="shared" si="61"/>
        <v>84.304559744743102</v>
      </c>
      <c r="X69" s="39">
        <f t="shared" si="61"/>
        <v>85.338263741522951</v>
      </c>
      <c r="Y69" s="39">
        <f t="shared" si="61"/>
        <v>86.361751387228182</v>
      </c>
      <c r="Z69" s="39">
        <f t="shared" si="61"/>
        <v>87.365790951214706</v>
      </c>
      <c r="AA69" s="39">
        <f t="shared" si="61"/>
        <v>88.343803133612155</v>
      </c>
      <c r="AB69" s="39">
        <f t="shared" si="61"/>
        <v>89.300002386112538</v>
      </c>
      <c r="AC69" s="39">
        <f t="shared" si="61"/>
        <v>90.224792989119592</v>
      </c>
      <c r="AD69" s="39">
        <f t="shared" si="61"/>
        <v>91.109782246881963</v>
      </c>
      <c r="AE69" s="39">
        <f t="shared" si="61"/>
        <v>91.949173834027292</v>
      </c>
      <c r="AF69" s="39">
        <f t="shared" ref="AF69:AO69" si="62">AF58</f>
        <v>92.745041204404558</v>
      </c>
      <c r="AG69" s="39">
        <f t="shared" si="62"/>
        <v>93.514153714375951</v>
      </c>
      <c r="AH69" s="39">
        <f t="shared" si="62"/>
        <v>94.258561793882748</v>
      </c>
      <c r="AI69" s="39">
        <f t="shared" si="62"/>
        <v>94.988077339954486</v>
      </c>
      <c r="AJ69" s="39">
        <f t="shared" si="62"/>
        <v>95.692672677062632</v>
      </c>
      <c r="AK69" s="39">
        <f t="shared" si="62"/>
        <v>96.356771487241119</v>
      </c>
      <c r="AL69" s="39">
        <f t="shared" si="62"/>
        <v>96.971911538641692</v>
      </c>
      <c r="AM69" s="39">
        <f t="shared" si="62"/>
        <v>97.532841782974856</v>
      </c>
      <c r="AN69" s="39">
        <f t="shared" si="62"/>
        <v>98.035625443233315</v>
      </c>
      <c r="AO69" s="39">
        <f t="shared" si="62"/>
        <v>98.476638181047576</v>
      </c>
      <c r="AP69" s="39">
        <f t="shared" ref="AP69:BA69" si="63">AP58</f>
        <v>98.882835064317575</v>
      </c>
      <c r="AQ69" s="39">
        <f t="shared" si="63"/>
        <v>99.279335290004056</v>
      </c>
      <c r="AR69" s="39">
        <f t="shared" si="63"/>
        <v>99.684238584048231</v>
      </c>
      <c r="AS69" s="39">
        <f t="shared" si="63"/>
        <v>99.991730503436131</v>
      </c>
      <c r="AT69" s="39">
        <f t="shared" si="63"/>
        <v>100.233547061282</v>
      </c>
      <c r="AU69" s="39">
        <f t="shared" si="63"/>
        <v>100.43127619645681</v>
      </c>
      <c r="AV69" s="39">
        <f t="shared" si="63"/>
        <v>100.53717739470187</v>
      </c>
      <c r="AW69" s="39">
        <f t="shared" si="63"/>
        <v>100.58747474692449</v>
      </c>
      <c r="AX69" s="39">
        <f t="shared" si="63"/>
        <v>100.60507142994564</v>
      </c>
      <c r="AY69" s="39">
        <f t="shared" si="63"/>
        <v>100.60428805229401</v>
      </c>
      <c r="AZ69" s="39">
        <f t="shared" si="63"/>
        <v>100.59393788143001</v>
      </c>
      <c r="BA69" s="39">
        <f t="shared" si="63"/>
        <v>100.57932286004143</v>
      </c>
    </row>
    <row r="70" spans="1:53" s="4" customFormat="1" ht="15.65" customHeight="1">
      <c r="B70" s="12" t="s">
        <v>97</v>
      </c>
      <c r="C70" s="39">
        <f>C69*IF(C$68&lt;$C$6, $C$65, $F$65)</f>
        <v>34.65</v>
      </c>
      <c r="D70" s="39">
        <f t="shared" ref="D70:N70" si="64">D69*IF(D$68&lt;$C$6, $C$65, $F$65)</f>
        <v>35.981926006754605</v>
      </c>
      <c r="E70" s="39">
        <f t="shared" si="64"/>
        <v>37.132194096863678</v>
      </c>
      <c r="F70" s="39">
        <f t="shared" si="64"/>
        <v>38.153417487819254</v>
      </c>
      <c r="G70" s="39">
        <f t="shared" si="64"/>
        <v>57.978088789740738</v>
      </c>
      <c r="H70" s="39">
        <f t="shared" si="64"/>
        <v>53.122609466420727</v>
      </c>
      <c r="I70" s="39">
        <f t="shared" si="64"/>
        <v>50.060722290181246</v>
      </c>
      <c r="J70" s="39">
        <f t="shared" si="64"/>
        <v>48.22444015874467</v>
      </c>
      <c r="K70" s="39">
        <f t="shared" si="64"/>
        <v>47.299207754387567</v>
      </c>
      <c r="L70" s="39">
        <f t="shared" si="64"/>
        <v>46.948141002851088</v>
      </c>
      <c r="M70" s="39">
        <f t="shared" si="64"/>
        <v>46.963738972880734</v>
      </c>
      <c r="N70" s="39">
        <f t="shared" si="64"/>
        <v>47.240587946547421</v>
      </c>
      <c r="O70" s="39">
        <f>O69*IF(O$68&lt;$C$6, $C$65, $F$65)</f>
        <v>47.657206530955484</v>
      </c>
      <c r="P70" s="39">
        <f t="shared" ref="P70" si="65">P69*IF(P$68&lt;$C$6, $C$65, $F$65)</f>
        <v>48.158218264005924</v>
      </c>
      <c r="Q70" s="39">
        <f t="shared" ref="Q70" si="66">Q69*IF(Q$68&lt;$C$6, $C$65, $F$65)</f>
        <v>48.718301308151908</v>
      </c>
      <c r="R70" s="39">
        <f t="shared" ref="R70" si="67">R69*IF(R$68&lt;$C$6, $C$65, $F$65)</f>
        <v>49.314279781651109</v>
      </c>
      <c r="S70" s="39">
        <f t="shared" ref="S70" si="68">S69*IF(S$68&lt;$C$6, $C$65, $F$65)</f>
        <v>49.92612335466869</v>
      </c>
      <c r="T70" s="39">
        <f t="shared" ref="T70" si="69">T69*IF(T$68&lt;$C$6, $C$65, $F$65)</f>
        <v>50.551546308116841</v>
      </c>
      <c r="U70" s="39">
        <f t="shared" ref="U70" si="70">U69*IF(U$68&lt;$C$6, $C$65, $F$65)</f>
        <v>51.210151702769224</v>
      </c>
      <c r="V70" s="39">
        <f t="shared" ref="V70" si="71">V69*IF(V$68&lt;$C$6, $C$65, $F$65)</f>
        <v>51.866013047312094</v>
      </c>
      <c r="W70" s="39">
        <f t="shared" ref="W70" si="72">W69*IF(W$68&lt;$C$6, $C$65, $F$65)</f>
        <v>52.510738640680771</v>
      </c>
      <c r="X70" s="39">
        <f t="shared" ref="X70" si="73">X69*IF(X$68&lt;$C$6, $C$65, $F$65)</f>
        <v>53.154601328192385</v>
      </c>
      <c r="Y70" s="39">
        <f t="shared" ref="Y70" si="74">Y69*IF(Y$68&lt;$C$6, $C$65, $F$65)</f>
        <v>53.792100562258952</v>
      </c>
      <c r="Z70" s="39">
        <f t="shared" ref="Z70" si="75">Z69*IF(Z$68&lt;$C$6, $C$65, $F$65)</f>
        <v>54.417486179466771</v>
      </c>
      <c r="AA70" s="39">
        <f t="shared" ref="AA70:AC70" si="76">AA69*IF(AA$68&lt;$C$6, $C$65, $F$65)</f>
        <v>55.026660134621395</v>
      </c>
      <c r="AB70" s="39">
        <f t="shared" si="76"/>
        <v>55.622247481124234</v>
      </c>
      <c r="AC70" s="39">
        <f t="shared" si="76"/>
        <v>56.198271337946395</v>
      </c>
      <c r="AD70" s="39">
        <f t="shared" ref="AD70" si="77">AD69*IF(AD$68&lt;$C$6, $C$65, $F$65)</f>
        <v>56.749504150914944</v>
      </c>
      <c r="AE70" s="39">
        <f t="shared" ref="AE70" si="78">AE69*IF(AE$68&lt;$C$6, $C$65, $F$65)</f>
        <v>57.272335565766419</v>
      </c>
      <c r="AF70" s="39">
        <f t="shared" ref="AF70:AO70" si="79">AF69*IF(AF$68&lt;$C$6, $C$65, $F$65)</f>
        <v>57.768057073654752</v>
      </c>
      <c r="AG70" s="39">
        <f t="shared" si="79"/>
        <v>58.247113795125912</v>
      </c>
      <c r="AH70" s="39">
        <f t="shared" si="79"/>
        <v>58.710782880444036</v>
      </c>
      <c r="AI70" s="39">
        <f t="shared" si="79"/>
        <v>59.165175860966961</v>
      </c>
      <c r="AJ70" s="39">
        <f t="shared" si="79"/>
        <v>59.604046803491933</v>
      </c>
      <c r="AK70" s="39">
        <f t="shared" si="79"/>
        <v>60.017693694697527</v>
      </c>
      <c r="AL70" s="39">
        <f t="shared" si="79"/>
        <v>60.400845668497197</v>
      </c>
      <c r="AM70" s="39">
        <f t="shared" si="79"/>
        <v>60.750232007089267</v>
      </c>
      <c r="AN70" s="39">
        <f t="shared" si="79"/>
        <v>61.063400612163242</v>
      </c>
      <c r="AO70" s="39">
        <f t="shared" si="79"/>
        <v>61.338093993905495</v>
      </c>
      <c r="AP70" s="39">
        <f t="shared" ref="AP70:BA70" si="80">AP69*IF(AP$68&lt;$C$6, $C$65, $F$65)</f>
        <v>61.591101641874147</v>
      </c>
      <c r="AQ70" s="39">
        <f t="shared" si="80"/>
        <v>61.83806953762064</v>
      </c>
      <c r="AR70" s="39">
        <f t="shared" si="80"/>
        <v>62.090271448320145</v>
      </c>
      <c r="AS70" s="39">
        <f t="shared" si="80"/>
        <v>62.281798785180541</v>
      </c>
      <c r="AT70" s="39">
        <f t="shared" si="80"/>
        <v>62.43241894269611</v>
      </c>
      <c r="AU70" s="39">
        <f t="shared" si="80"/>
        <v>62.555578389471577</v>
      </c>
      <c r="AV70" s="39">
        <f t="shared" si="80"/>
        <v>62.621541015450752</v>
      </c>
      <c r="AW70" s="39">
        <f t="shared" si="80"/>
        <v>62.652869701880967</v>
      </c>
      <c r="AX70" s="39">
        <f t="shared" si="80"/>
        <v>62.663830138966034</v>
      </c>
      <c r="AY70" s="39">
        <f t="shared" si="80"/>
        <v>62.663342196922969</v>
      </c>
      <c r="AZ70" s="39">
        <f t="shared" si="80"/>
        <v>62.656895391213148</v>
      </c>
      <c r="BA70" s="39">
        <f t="shared" si="80"/>
        <v>62.647792140206477</v>
      </c>
    </row>
    <row r="71" spans="1:53" s="4" customFormat="1" ht="21" customHeight="1">
      <c r="B71" s="12" t="s">
        <v>98</v>
      </c>
      <c r="C71" s="39">
        <f>C69-C70</f>
        <v>47.85</v>
      </c>
      <c r="D71" s="39">
        <f t="shared" ref="D71:AE71" si="81">D69-D70</f>
        <v>49.689326390280172</v>
      </c>
      <c r="E71" s="39">
        <f t="shared" si="81"/>
        <v>51.277791848049837</v>
      </c>
      <c r="F71" s="39">
        <f t="shared" si="81"/>
        <v>52.688052721274204</v>
      </c>
      <c r="G71" s="39">
        <f t="shared" si="81"/>
        <v>35.104152610574687</v>
      </c>
      <c r="H71" s="39">
        <f t="shared" si="81"/>
        <v>32.164292212943295</v>
      </c>
      <c r="I71" s="39">
        <f t="shared" si="81"/>
        <v>30.310402977289627</v>
      </c>
      <c r="J71" s="39">
        <f t="shared" si="81"/>
        <v>29.198584193269497</v>
      </c>
      <c r="K71" s="39">
        <f t="shared" si="81"/>
        <v>28.638381188983018</v>
      </c>
      <c r="L71" s="39">
        <f t="shared" si="81"/>
        <v>28.425819839002543</v>
      </c>
      <c r="M71" s="39">
        <f t="shared" si="81"/>
        <v>28.435263984743912</v>
      </c>
      <c r="N71" s="39">
        <f t="shared" si="81"/>
        <v>28.60288849297703</v>
      </c>
      <c r="O71" s="39">
        <f t="shared" si="81"/>
        <v>28.855139691192626</v>
      </c>
      <c r="P71" s="39">
        <f t="shared" si="81"/>
        <v>29.15848864083587</v>
      </c>
      <c r="Q71" s="39">
        <f t="shared" si="81"/>
        <v>29.497603659400866</v>
      </c>
      <c r="R71" s="39">
        <f t="shared" si="81"/>
        <v>29.858452382134814</v>
      </c>
      <c r="S71" s="39">
        <f t="shared" si="81"/>
        <v>30.228906990235132</v>
      </c>
      <c r="T71" s="39">
        <f t="shared" si="81"/>
        <v>30.607583543089788</v>
      </c>
      <c r="U71" s="39">
        <f t="shared" si="81"/>
        <v>31.006351159729746</v>
      </c>
      <c r="V71" s="39">
        <f t="shared" si="81"/>
        <v>31.403457328815534</v>
      </c>
      <c r="W71" s="39">
        <f t="shared" si="81"/>
        <v>31.793821104062332</v>
      </c>
      <c r="X71" s="39">
        <f t="shared" si="81"/>
        <v>32.183662413330566</v>
      </c>
      <c r="Y71" s="39">
        <f t="shared" si="81"/>
        <v>32.56965082496923</v>
      </c>
      <c r="Z71" s="39">
        <f t="shared" si="81"/>
        <v>32.948304771747935</v>
      </c>
      <c r="AA71" s="39">
        <f t="shared" si="81"/>
        <v>33.317142998990761</v>
      </c>
      <c r="AB71" s="39">
        <f t="shared" si="81"/>
        <v>33.677754904988305</v>
      </c>
      <c r="AC71" s="39">
        <f t="shared" si="81"/>
        <v>34.026521651173198</v>
      </c>
      <c r="AD71" s="39">
        <f t="shared" si="81"/>
        <v>34.360278095967018</v>
      </c>
      <c r="AE71" s="39">
        <f t="shared" si="81"/>
        <v>34.676838268260873</v>
      </c>
      <c r="AF71" s="39">
        <f t="shared" ref="AF71:AO71" si="82">AF69-AF70</f>
        <v>34.976984130749806</v>
      </c>
      <c r="AG71" s="39">
        <f t="shared" si="82"/>
        <v>35.267039919250038</v>
      </c>
      <c r="AH71" s="39">
        <f t="shared" si="82"/>
        <v>35.547778913438712</v>
      </c>
      <c r="AI71" s="39">
        <f t="shared" si="82"/>
        <v>35.822901478987525</v>
      </c>
      <c r="AJ71" s="39">
        <f t="shared" si="82"/>
        <v>36.088625873570699</v>
      </c>
      <c r="AK71" s="39">
        <f t="shared" si="82"/>
        <v>36.339077792543591</v>
      </c>
      <c r="AL71" s="39">
        <f t="shared" si="82"/>
        <v>36.571065870144494</v>
      </c>
      <c r="AM71" s="39">
        <f t="shared" si="82"/>
        <v>36.782609775885589</v>
      </c>
      <c r="AN71" s="39">
        <f t="shared" si="82"/>
        <v>36.972224831070072</v>
      </c>
      <c r="AO71" s="39">
        <f t="shared" si="82"/>
        <v>37.138544187142081</v>
      </c>
      <c r="AP71" s="39">
        <f t="shared" ref="AP71:BA71" si="83">AP69-AP70</f>
        <v>37.291733422443428</v>
      </c>
      <c r="AQ71" s="39">
        <f t="shared" si="83"/>
        <v>37.441265752383416</v>
      </c>
      <c r="AR71" s="39">
        <f t="shared" si="83"/>
        <v>37.593967135728086</v>
      </c>
      <c r="AS71" s="39">
        <f t="shared" si="83"/>
        <v>37.709931718255589</v>
      </c>
      <c r="AT71" s="39">
        <f t="shared" si="83"/>
        <v>37.801128118585886</v>
      </c>
      <c r="AU71" s="39">
        <f t="shared" si="83"/>
        <v>37.875697806985229</v>
      </c>
      <c r="AV71" s="39">
        <f t="shared" si="83"/>
        <v>37.915636379251119</v>
      </c>
      <c r="AW71" s="39">
        <f t="shared" si="83"/>
        <v>37.934605045043519</v>
      </c>
      <c r="AX71" s="39">
        <f t="shared" si="83"/>
        <v>37.941241290979605</v>
      </c>
      <c r="AY71" s="39">
        <f t="shared" si="83"/>
        <v>37.940945855371041</v>
      </c>
      <c r="AZ71" s="39">
        <f t="shared" si="83"/>
        <v>37.937042490216861</v>
      </c>
      <c r="BA71" s="39">
        <f t="shared" si="83"/>
        <v>37.931530719834953</v>
      </c>
    </row>
    <row r="72" spans="1:53">
      <c r="C72" s="75">
        <f>C70/C69</f>
        <v>0.42</v>
      </c>
      <c r="D72" s="75">
        <f t="shared" ref="D72:AE72" si="84">D70/D69</f>
        <v>0.42</v>
      </c>
      <c r="E72" s="75">
        <f t="shared" si="84"/>
        <v>0.42000000000000004</v>
      </c>
      <c r="F72" s="75">
        <f t="shared" si="84"/>
        <v>0.42000000000000004</v>
      </c>
      <c r="G72" s="75">
        <f t="shared" si="84"/>
        <v>0.62286949602337649</v>
      </c>
      <c r="H72" s="75">
        <f t="shared" si="84"/>
        <v>0.62286949602337649</v>
      </c>
      <c r="I72" s="75">
        <f t="shared" si="84"/>
        <v>0.62286949602337649</v>
      </c>
      <c r="J72" s="75">
        <f t="shared" si="84"/>
        <v>0.62286949602337649</v>
      </c>
      <c r="K72" s="75">
        <f t="shared" si="84"/>
        <v>0.62286949602337649</v>
      </c>
      <c r="L72" s="75">
        <f t="shared" si="84"/>
        <v>0.62286949602337649</v>
      </c>
      <c r="M72" s="75">
        <f t="shared" si="84"/>
        <v>0.62286949602337649</v>
      </c>
      <c r="N72" s="75">
        <f t="shared" si="84"/>
        <v>0.62286949602337649</v>
      </c>
      <c r="O72" s="75">
        <f t="shared" si="84"/>
        <v>0.62286949602337649</v>
      </c>
      <c r="P72" s="75">
        <f t="shared" si="84"/>
        <v>0.62286949602337649</v>
      </c>
      <c r="Q72" s="75">
        <f t="shared" si="84"/>
        <v>0.62286949602337649</v>
      </c>
      <c r="R72" s="75">
        <f t="shared" si="84"/>
        <v>0.62286949602337649</v>
      </c>
      <c r="S72" s="75">
        <f t="shared" si="84"/>
        <v>0.62286949602337649</v>
      </c>
      <c r="T72" s="75">
        <f t="shared" si="84"/>
        <v>0.62286949602337649</v>
      </c>
      <c r="U72" s="75">
        <f t="shared" si="84"/>
        <v>0.62286949602337649</v>
      </c>
      <c r="V72" s="75">
        <f t="shared" si="84"/>
        <v>0.62286949602337649</v>
      </c>
      <c r="W72" s="75">
        <f t="shared" si="84"/>
        <v>0.62286949602337649</v>
      </c>
      <c r="X72" s="75">
        <f t="shared" si="84"/>
        <v>0.62286949602337649</v>
      </c>
      <c r="Y72" s="75">
        <f t="shared" si="84"/>
        <v>0.62286949602337649</v>
      </c>
      <c r="Z72" s="75">
        <f t="shared" si="84"/>
        <v>0.62286949602337649</v>
      </c>
      <c r="AA72" s="75">
        <f t="shared" si="84"/>
        <v>0.62286949602337649</v>
      </c>
      <c r="AB72" s="75">
        <f t="shared" si="84"/>
        <v>0.62286949602337649</v>
      </c>
      <c r="AC72" s="75">
        <f t="shared" si="84"/>
        <v>0.62286949602337649</v>
      </c>
      <c r="AD72" s="75">
        <f t="shared" si="84"/>
        <v>0.62286949602337649</v>
      </c>
      <c r="AE72" s="75">
        <f t="shared" si="84"/>
        <v>0.62286949602337649</v>
      </c>
      <c r="AF72" s="75">
        <f t="shared" ref="AF72:AO72" si="85">AF70/AF69</f>
        <v>0.62286949602337649</v>
      </c>
      <c r="AG72" s="75">
        <f t="shared" si="85"/>
        <v>0.62286949602337649</v>
      </c>
      <c r="AH72" s="75">
        <f t="shared" si="85"/>
        <v>0.62286949602337649</v>
      </c>
      <c r="AI72" s="75">
        <f t="shared" si="85"/>
        <v>0.62286949602337649</v>
      </c>
      <c r="AJ72" s="75">
        <f t="shared" si="85"/>
        <v>0.62286949602337649</v>
      </c>
      <c r="AK72" s="75">
        <f t="shared" si="85"/>
        <v>0.62286949602337649</v>
      </c>
      <c r="AL72" s="75">
        <f t="shared" si="85"/>
        <v>0.62286949602337649</v>
      </c>
      <c r="AM72" s="75">
        <f t="shared" si="85"/>
        <v>0.62286949602337649</v>
      </c>
      <c r="AN72" s="75">
        <f t="shared" si="85"/>
        <v>0.62286949602337649</v>
      </c>
      <c r="AO72" s="75">
        <f t="shared" si="85"/>
        <v>0.62286949602337649</v>
      </c>
      <c r="AP72" s="75">
        <f t="shared" ref="AP72:BA72" si="86">AP70/AP69</f>
        <v>0.62286949602337649</v>
      </c>
      <c r="AQ72" s="75">
        <f t="shared" si="86"/>
        <v>0.62286949602337649</v>
      </c>
      <c r="AR72" s="75">
        <f t="shared" si="86"/>
        <v>0.62286949602337649</v>
      </c>
      <c r="AS72" s="75">
        <f t="shared" si="86"/>
        <v>0.62286949602337649</v>
      </c>
      <c r="AT72" s="75">
        <f t="shared" si="86"/>
        <v>0.62286949602337649</v>
      </c>
      <c r="AU72" s="75">
        <f t="shared" si="86"/>
        <v>0.62286949602337649</v>
      </c>
      <c r="AV72" s="75">
        <f t="shared" si="86"/>
        <v>0.62286949602337649</v>
      </c>
      <c r="AW72" s="75">
        <f t="shared" si="86"/>
        <v>0.62286949602337649</v>
      </c>
      <c r="AX72" s="75">
        <f t="shared" si="86"/>
        <v>0.62286949602337649</v>
      </c>
      <c r="AY72" s="75">
        <f t="shared" si="86"/>
        <v>0.62286949602337649</v>
      </c>
      <c r="AZ72" s="75">
        <f t="shared" si="86"/>
        <v>0.62286949602337649</v>
      </c>
      <c r="BA72" s="75">
        <f t="shared" si="86"/>
        <v>0.62286949602337649</v>
      </c>
    </row>
    <row r="77" spans="1:53" s="588" customFormat="1">
      <c r="A77" s="593" t="s">
        <v>2951</v>
      </c>
    </row>
    <row r="78" spans="1:53">
      <c r="A78" s="9"/>
    </row>
    <row r="79" spans="1:53">
      <c r="A79" s="9"/>
    </row>
    <row r="80" spans="1:53">
      <c r="A80" s="9" t="s">
        <v>10</v>
      </c>
      <c r="B80" s="9" t="s">
        <v>2957</v>
      </c>
    </row>
    <row r="82" spans="1:53" ht="32" customHeight="1">
      <c r="C82" s="62" t="s">
        <v>3678</v>
      </c>
    </row>
    <row r="83" spans="1:53" ht="23" customHeight="1">
      <c r="B83" s="12" t="s">
        <v>5</v>
      </c>
      <c r="C83" s="42">
        <f>Epidemiology!C85</f>
        <v>2.3000000000000001E-4</v>
      </c>
    </row>
    <row r="84" spans="1:53" ht="23" customHeight="1">
      <c r="B84" s="12" t="s">
        <v>3679</v>
      </c>
      <c r="C84" s="12">
        <f>'Control Assumptions'!C47</f>
        <v>150000</v>
      </c>
    </row>
    <row r="85" spans="1:53" ht="23" customHeight="1">
      <c r="B85" s="12" t="s">
        <v>2952</v>
      </c>
      <c r="C85" s="12">
        <f>C83*C84</f>
        <v>34.5</v>
      </c>
    </row>
    <row r="88" spans="1:53">
      <c r="A88" s="9" t="s">
        <v>10</v>
      </c>
      <c r="B88" s="9" t="s">
        <v>2953</v>
      </c>
    </row>
    <row r="90" spans="1:53">
      <c r="C90" s="59">
        <f>'Wound growth'!C124</f>
        <v>2020</v>
      </c>
      <c r="D90" s="59">
        <f>'Wound growth'!D124</f>
        <v>2021</v>
      </c>
      <c r="E90" s="59">
        <f>'Wound growth'!E124</f>
        <v>2022</v>
      </c>
      <c r="F90" s="59">
        <f>'Wound growth'!F124</f>
        <v>2023</v>
      </c>
      <c r="G90" s="59">
        <f>'Wound growth'!G124</f>
        <v>2024</v>
      </c>
      <c r="H90" s="59">
        <f>'Wound growth'!H124</f>
        <v>2025</v>
      </c>
      <c r="I90" s="59">
        <f>'Wound growth'!I124</f>
        <v>2026</v>
      </c>
      <c r="J90" s="59">
        <f>'Wound growth'!J124</f>
        <v>2027</v>
      </c>
      <c r="K90" s="59">
        <f>'Wound growth'!K124</f>
        <v>2028</v>
      </c>
      <c r="L90" s="59">
        <f>'Wound growth'!L124</f>
        <v>2029</v>
      </c>
      <c r="M90" s="59">
        <f>'Wound growth'!M124</f>
        <v>2030</v>
      </c>
      <c r="N90" s="59">
        <f>'Wound growth'!N124</f>
        <v>2031</v>
      </c>
      <c r="O90" s="59">
        <f>'Wound growth'!O124</f>
        <v>2032</v>
      </c>
      <c r="P90" s="59">
        <f>'Wound growth'!P124</f>
        <v>2033</v>
      </c>
      <c r="Q90" s="59">
        <f>'Wound growth'!Q124</f>
        <v>2034</v>
      </c>
      <c r="R90" s="59">
        <f>'Wound growth'!R124</f>
        <v>2035</v>
      </c>
      <c r="S90" s="59">
        <f>'Wound growth'!S124</f>
        <v>2036</v>
      </c>
      <c r="T90" s="59">
        <f>'Wound growth'!T124</f>
        <v>2037</v>
      </c>
      <c r="U90" s="59">
        <f>'Wound growth'!U124</f>
        <v>2038</v>
      </c>
      <c r="V90" s="59">
        <f>'Wound growth'!V124</f>
        <v>2039</v>
      </c>
      <c r="W90" s="59">
        <f>'Wound growth'!W124</f>
        <v>2040</v>
      </c>
      <c r="X90" s="59">
        <f>'Wound growth'!X124</f>
        <v>2041</v>
      </c>
      <c r="Y90" s="59">
        <f>'Wound growth'!Y124</f>
        <v>2042</v>
      </c>
      <c r="Z90" s="59">
        <f>'Wound growth'!Z124</f>
        <v>2043</v>
      </c>
      <c r="AA90" s="59">
        <f>'Wound growth'!AA124</f>
        <v>2044</v>
      </c>
      <c r="AB90" s="59">
        <f>'Wound growth'!AB124</f>
        <v>2045</v>
      </c>
      <c r="AC90" s="59">
        <f>'Wound growth'!AC124</f>
        <v>2046</v>
      </c>
      <c r="AD90" s="59">
        <f>'Wound growth'!AD124</f>
        <v>2047</v>
      </c>
      <c r="AE90" s="59">
        <f>'Wound growth'!AE124</f>
        <v>2048</v>
      </c>
      <c r="AF90" s="59">
        <f>'Wound growth'!AF124</f>
        <v>2049</v>
      </c>
      <c r="AG90" s="59">
        <f>'Wound growth'!AG124</f>
        <v>2050</v>
      </c>
      <c r="AH90" s="59">
        <f>'Wound growth'!AH124</f>
        <v>2051</v>
      </c>
      <c r="AI90" s="59">
        <f>'Wound growth'!AI124</f>
        <v>2052</v>
      </c>
      <c r="AJ90" s="59">
        <f>'Wound growth'!AJ124</f>
        <v>2053</v>
      </c>
      <c r="AK90" s="59">
        <f>'Wound growth'!AK124</f>
        <v>2054</v>
      </c>
      <c r="AL90" s="59">
        <f>'Wound growth'!AL124</f>
        <v>2055</v>
      </c>
      <c r="AM90" s="59">
        <f>'Wound growth'!AM124</f>
        <v>2056</v>
      </c>
      <c r="AN90" s="59">
        <f>'Wound growth'!AN124</f>
        <v>2057</v>
      </c>
      <c r="AO90" s="59">
        <f>'Wound growth'!AO124</f>
        <v>2058</v>
      </c>
      <c r="AP90" s="59">
        <f>'Wound growth'!AP124</f>
        <v>2059</v>
      </c>
      <c r="AQ90" s="59">
        <f>'Wound growth'!AQ124</f>
        <v>2060</v>
      </c>
      <c r="AR90" s="59">
        <f>'Wound growth'!AR124</f>
        <v>2061</v>
      </c>
      <c r="AS90" s="59">
        <f>'Wound growth'!AS124</f>
        <v>2062</v>
      </c>
      <c r="AT90" s="59">
        <f>'Wound growth'!AT124</f>
        <v>2063</v>
      </c>
      <c r="AU90" s="59">
        <f>'Wound growth'!AU124</f>
        <v>2064</v>
      </c>
      <c r="AV90" s="59">
        <f>'Wound growth'!AV124</f>
        <v>2065</v>
      </c>
      <c r="AW90" s="59">
        <f>'Wound growth'!AW124</f>
        <v>2066</v>
      </c>
      <c r="AX90" s="59">
        <f>'Wound growth'!AX124</f>
        <v>2067</v>
      </c>
      <c r="AY90" s="59">
        <f>'Wound growth'!AY124</f>
        <v>2068</v>
      </c>
      <c r="AZ90" s="59">
        <f>'Wound growth'!AZ124</f>
        <v>2069</v>
      </c>
      <c r="BA90" s="59">
        <f>'Wound growth'!BA124</f>
        <v>2070</v>
      </c>
    </row>
    <row r="91" spans="1:53">
      <c r="B91" s="12" t="s">
        <v>86</v>
      </c>
      <c r="C91" s="153">
        <f>'Wound growth INT'!C139</f>
        <v>0</v>
      </c>
      <c r="D91" s="153">
        <f>'Wound growth INT'!D139</f>
        <v>0.11461243240161556</v>
      </c>
      <c r="E91" s="153">
        <f>'Wound growth INT'!E139</f>
        <v>0.10411110987465544</v>
      </c>
      <c r="F91" s="153">
        <f>'Wound growth INT'!F139</f>
        <v>9.5587278619037264E-2</v>
      </c>
      <c r="G91" s="153">
        <f>'Wound growth INT'!G139</f>
        <v>8.7247525125997205E-2</v>
      </c>
      <c r="H91" s="153">
        <f>'Wound growth INT'!H139</f>
        <v>8.1248231824790906E-2</v>
      </c>
      <c r="I91" s="153">
        <f>'Wound growth INT'!I139</f>
        <v>7.617356983697432E-2</v>
      </c>
      <c r="J91" s="153">
        <f>'Wound growth INT'!J139</f>
        <v>7.1896988539393636E-2</v>
      </c>
      <c r="K91" s="153">
        <f>'Wound growth INT'!K139</f>
        <v>6.819440699903323E-2</v>
      </c>
      <c r="L91" s="153">
        <f>'Wound growth INT'!L139</f>
        <v>6.48391183488497E-2</v>
      </c>
      <c r="M91" s="153">
        <f>'Wound growth INT'!M139</f>
        <v>6.1853942695790032E-2</v>
      </c>
      <c r="N91" s="153">
        <f>'Wound growth INT'!N139</f>
        <v>5.9555735419844158E-2</v>
      </c>
      <c r="O91" s="153">
        <f>'Wound growth INT'!O139</f>
        <v>5.7246324102872892E-2</v>
      </c>
      <c r="P91" s="153">
        <f>'Wound growth INT'!P139</f>
        <v>5.5015922155179808E-2</v>
      </c>
      <c r="Q91" s="153">
        <f>'Wound growth INT'!Q139</f>
        <v>5.2902660129240164E-2</v>
      </c>
      <c r="R91" s="153">
        <f>'Wound growth INT'!R139</f>
        <v>5.0905854740213474E-2</v>
      </c>
      <c r="S91" s="153">
        <f>'Wound growth INT'!S139</f>
        <v>4.9092511305112163E-2</v>
      </c>
      <c r="T91" s="153">
        <f>'Wound growth INT'!T139</f>
        <v>4.7460395897126473E-2</v>
      </c>
      <c r="U91" s="153">
        <f>'Wound growth INT'!U139</f>
        <v>4.5947586235342008E-2</v>
      </c>
      <c r="V91" s="153">
        <f>'Wound growth INT'!V139</f>
        <v>4.448908930156148E-2</v>
      </c>
      <c r="W91" s="153">
        <f>'Wound growth INT'!W139</f>
        <v>4.3123756248390821E-2</v>
      </c>
      <c r="X91" s="153">
        <f>'Wound growth INT'!X139</f>
        <v>4.1937483043502866E-2</v>
      </c>
      <c r="Y91" s="153">
        <f>'Wound growth INT'!Y139</f>
        <v>4.0752394963380567E-2</v>
      </c>
      <c r="Z91" s="153">
        <f>'Wound growth INT'!Z139</f>
        <v>3.961083025927592E-2</v>
      </c>
      <c r="AA91" s="153">
        <f>'Wound growth INT'!AA139</f>
        <v>3.852356454115835E-2</v>
      </c>
      <c r="AB91" s="153">
        <f>'Wound growth INT'!AB139</f>
        <v>3.7523360533798789E-2</v>
      </c>
      <c r="AC91" s="153">
        <f>'Wound growth INT'!AC139</f>
        <v>3.6568153959794847E-2</v>
      </c>
      <c r="AD91" s="153">
        <f>'Wound growth INT'!AD139</f>
        <v>3.5647188668106011E-2</v>
      </c>
      <c r="AE91" s="153">
        <f>'Wound growth INT'!AE139</f>
        <v>3.4758629436190791E-2</v>
      </c>
      <c r="AF91" s="153">
        <f>'Wound growth INT'!AF139</f>
        <v>3.3898630939240393E-2</v>
      </c>
      <c r="AG91" s="153">
        <f>'Wound growth INT'!AG139</f>
        <v>3.3066211784383626E-2</v>
      </c>
      <c r="AH91" s="153">
        <f>'Wound growth INT'!AH139</f>
        <v>3.2259192038969209E-2</v>
      </c>
      <c r="AI91" s="153">
        <f>'Wound growth INT'!AI139</f>
        <v>3.1485843029515515E-2</v>
      </c>
      <c r="AJ91" s="153">
        <f>'Wound growth INT'!AJ139</f>
        <v>3.0764536133549791E-2</v>
      </c>
      <c r="AK91" s="153">
        <f>'Wound growth INT'!AK139</f>
        <v>3.0075041128023727E-2</v>
      </c>
      <c r="AL91" s="153">
        <f>'Wound growth INT'!AL139</f>
        <v>2.94217612788088E-2</v>
      </c>
      <c r="AM91" s="153">
        <f>'Wound growth INT'!AM139</f>
        <v>2.8770597489365057E-2</v>
      </c>
      <c r="AN91" s="153">
        <f>'Wound growth INT'!AN139</f>
        <v>2.8122902246179082E-2</v>
      </c>
      <c r="AO91" s="153">
        <f>'Wound growth INT'!AO139</f>
        <v>2.7481271913973204E-2</v>
      </c>
      <c r="AP91" s="153">
        <f>'Wound growth INT'!AP139</f>
        <v>2.6862473565957945E-2</v>
      </c>
      <c r="AQ91" s="153">
        <f>'Wound growth INT'!AQ139</f>
        <v>2.6261341070586752E-2</v>
      </c>
      <c r="AR91" s="153">
        <f>'Wound growth INT'!AR139</f>
        <v>2.5673108541786505E-2</v>
      </c>
      <c r="AS91" s="153">
        <f>'Wound growth INT'!AS139</f>
        <v>2.5122552819665023E-2</v>
      </c>
      <c r="AT91" s="153">
        <f>'Wound growth INT'!AT139</f>
        <v>2.4614543912287123E-2</v>
      </c>
      <c r="AU91" s="153">
        <f>'Wound growth INT'!AU139</f>
        <v>2.4146356966836535E-2</v>
      </c>
      <c r="AV91" s="153">
        <f>'Wound growth INT'!AV139</f>
        <v>2.3577056933883567E-2</v>
      </c>
      <c r="AW91" s="153">
        <f>'Wound growth INT'!AW139</f>
        <v>2.3033983395943203E-2</v>
      </c>
      <c r="AX91" s="153">
        <f>'Wound growth INT'!AX139</f>
        <v>2.251536485570349E-2</v>
      </c>
      <c r="AY91" s="153">
        <f>'Wound growth INT'!AY139</f>
        <v>2.2019585846400291E-2</v>
      </c>
      <c r="AZ91" s="153">
        <f>'Wound growth INT'!AZ139</f>
        <v>2.1545170123294932E-2</v>
      </c>
      <c r="BA91" s="153">
        <f>'Wound growth INT'!BA139</f>
        <v>2.1090765982178405E-2</v>
      </c>
    </row>
    <row r="92" spans="1:53">
      <c r="B92" s="12" t="s">
        <v>2955</v>
      </c>
      <c r="C92" s="39">
        <f>C85</f>
        <v>34.5</v>
      </c>
      <c r="D92" s="39">
        <f>C92*(1+D91)</f>
        <v>38.454128917855734</v>
      </c>
      <c r="E92" s="39">
        <f t="shared" ref="E92:AE92" si="87">D92*(1+E91)</f>
        <v>42.457630958756774</v>
      </c>
      <c r="F92" s="39">
        <f t="shared" si="87"/>
        <v>46.516040358715721</v>
      </c>
      <c r="G92" s="39">
        <f t="shared" si="87"/>
        <v>50.574449758674668</v>
      </c>
      <c r="H92" s="39">
        <f t="shared" si="87"/>
        <v>54.683534377078708</v>
      </c>
      <c r="I92" s="39">
        <f t="shared" si="87"/>
        <v>58.848974401883702</v>
      </c>
      <c r="J92" s="39">
        <f t="shared" si="87"/>
        <v>63.080038440011002</v>
      </c>
      <c r="K92" s="39">
        <f t="shared" si="87"/>
        <v>67.381744254903779</v>
      </c>
      <c r="L92" s="39">
        <f t="shared" si="87"/>
        <v>71.750717145199403</v>
      </c>
      <c r="M92" s="39">
        <f t="shared" si="87"/>
        <v>76.18878189188041</v>
      </c>
      <c r="N92" s="39">
        <f t="shared" si="87"/>
        <v>80.72626082819346</v>
      </c>
      <c r="O92" s="39">
        <f t="shared" si="87"/>
        <v>85.347542519177281</v>
      </c>
      <c r="P92" s="39">
        <f t="shared" si="87"/>
        <v>90.043016274548236</v>
      </c>
      <c r="Q92" s="39">
        <f t="shared" si="87"/>
        <v>94.806531361532308</v>
      </c>
      <c r="R92" s="39">
        <f t="shared" si="87"/>
        <v>99.632738875445966</v>
      </c>
      <c r="S92" s="39">
        <f t="shared" si="87"/>
        <v>104.52396023504808</v>
      </c>
      <c r="T92" s="39">
        <f t="shared" si="87"/>
        <v>109.48470876853897</v>
      </c>
      <c r="U92" s="39">
        <f t="shared" si="87"/>
        <v>114.51526686613272</v>
      </c>
      <c r="V92" s="39">
        <f t="shared" si="87"/>
        <v>119.60994680013225</v>
      </c>
      <c r="W92" s="39">
        <f t="shared" si="87"/>
        <v>124.76797699082415</v>
      </c>
      <c r="X92" s="39">
        <f t="shared" si="87"/>
        <v>130.00043191024901</v>
      </c>
      <c r="Y92" s="39">
        <f t="shared" si="87"/>
        <v>135.29826085686554</v>
      </c>
      <c r="Z92" s="39">
        <f t="shared" si="87"/>
        <v>140.65753730204207</v>
      </c>
      <c r="AA92" s="39">
        <f t="shared" si="87"/>
        <v>146.07616701849767</v>
      </c>
      <c r="AB92" s="39">
        <f t="shared" si="87"/>
        <v>151.55743569892817</v>
      </c>
      <c r="AC92" s="39">
        <f t="shared" si="87"/>
        <v>157.09961134131828</v>
      </c>
      <c r="AD92" s="39">
        <f t="shared" si="87"/>
        <v>162.69977082648839</v>
      </c>
      <c r="AE92" s="39">
        <f t="shared" si="87"/>
        <v>168.35499186999945</v>
      </c>
      <c r="AF92" s="39">
        <f t="shared" ref="AF92" si="88">AE92*(1+AF91)</f>
        <v>174.06199560617938</v>
      </c>
      <c r="AG92" s="39">
        <f t="shared" ref="AG92" si="89">AF92*(1+AG91)</f>
        <v>179.81756641650577</v>
      </c>
      <c r="AH92" s="39">
        <f t="shared" ref="AH92" si="90">AG92*(1+AH91)</f>
        <v>185.61833582351593</v>
      </c>
      <c r="AI92" s="39">
        <f t="shared" ref="AI92" si="91">AH92*(1+AI91)</f>
        <v>191.46268560865505</v>
      </c>
      <c r="AJ92" s="39">
        <f t="shared" ref="AJ92" si="92">AI92*(1+AJ91)</f>
        <v>197.35294631828901</v>
      </c>
      <c r="AK92" s="39">
        <f t="shared" ref="AK92" si="93">AJ92*(1+AK91)</f>
        <v>203.28834429554823</v>
      </c>
      <c r="AL92" s="39">
        <f t="shared" ref="AL92" si="94">AK92*(1+AL91)</f>
        <v>209.26944543217613</v>
      </c>
      <c r="AM92" s="39">
        <f t="shared" ref="AM92" si="95">AL92*(1+AM91)</f>
        <v>215.29025241352792</v>
      </c>
      <c r="AN92" s="39">
        <f t="shared" ref="AN92" si="96">AM92*(1+AN91)</f>
        <v>221.3448391367088</v>
      </c>
      <c r="AO92" s="39">
        <f t="shared" ref="AO92" si="97">AN92*(1+AO91)</f>
        <v>227.42767684777934</v>
      </c>
      <c r="AP92" s="39">
        <f t="shared" ref="AP92" si="98">AO92*(1+AP91)</f>
        <v>233.53694680527005</v>
      </c>
      <c r="AQ92" s="39">
        <f t="shared" ref="AQ92" si="99">AP92*(1+AQ91)</f>
        <v>239.66994021790671</v>
      </c>
      <c r="AR92" s="39">
        <f t="shared" ref="AR92" si="100">AQ92*(1+AR91)</f>
        <v>245.82301260732453</v>
      </c>
      <c r="AS92" s="39">
        <f t="shared" ref="AS92" si="101">AR92*(1+AS91)</f>
        <v>251.99871422584121</v>
      </c>
      <c r="AT92" s="39">
        <f t="shared" ref="AT92" si="102">AS92*(1+AT91)</f>
        <v>258.20154764299309</v>
      </c>
      <c r="AU92" s="39">
        <f t="shared" ref="AU92" si="103">AT92*(1+AU91)</f>
        <v>264.43617438177046</v>
      </c>
      <c r="AV92" s="39">
        <f t="shared" ref="AV92" si="104">AU92*(1+AV91)</f>
        <v>270.67080112054782</v>
      </c>
      <c r="AW92" s="39">
        <f t="shared" ref="AW92" si="105">AV92*(1+AW91)</f>
        <v>276.90542785932519</v>
      </c>
      <c r="AX92" s="39">
        <f t="shared" ref="AX92" si="106">AW92*(1+AX91)</f>
        <v>283.14005459810255</v>
      </c>
      <c r="AY92" s="39">
        <f t="shared" ref="AY92" si="107">AX92*(1+AY91)</f>
        <v>289.37468133687992</v>
      </c>
      <c r="AZ92" s="39">
        <f t="shared" ref="AZ92" si="108">AY92*(1+AZ91)</f>
        <v>295.60930807565728</v>
      </c>
      <c r="BA92" s="39">
        <f t="shared" ref="BA92" si="109">AZ92*(1+BA91)</f>
        <v>301.84393481443465</v>
      </c>
    </row>
    <row r="93" spans="1:53">
      <c r="B93" s="63"/>
      <c r="C93" s="701" t="b">
        <f>C92=C85</f>
        <v>1</v>
      </c>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AC93" s="64"/>
      <c r="AD93" s="64"/>
      <c r="AE93" s="64"/>
      <c r="AF93" s="64"/>
      <c r="AG93" s="64"/>
      <c r="AH93" s="64"/>
      <c r="AI93" s="64"/>
      <c r="AJ93" s="64"/>
      <c r="AK93" s="64"/>
      <c r="AL93" s="64"/>
      <c r="AM93" s="64"/>
      <c r="AN93" s="64"/>
      <c r="AO93" s="64"/>
      <c r="AP93" s="64"/>
      <c r="AQ93" s="64"/>
      <c r="AR93" s="64"/>
      <c r="AS93" s="64"/>
      <c r="AT93" s="64"/>
      <c r="AU93" s="64"/>
      <c r="AV93" s="64"/>
      <c r="AW93" s="64"/>
      <c r="AX93" s="64"/>
      <c r="AY93" s="64"/>
      <c r="AZ93" s="64"/>
      <c r="BA93" s="64"/>
    </row>
    <row r="94" spans="1:53">
      <c r="B94" s="63"/>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row>
    <row r="97" spans="1:53">
      <c r="A97" s="9"/>
      <c r="B97" s="66" t="s">
        <v>2958</v>
      </c>
      <c r="C97" s="38"/>
      <c r="D97" s="38"/>
      <c r="E97" s="75"/>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row>
    <row r="98" spans="1:53" ht="29">
      <c r="B98" s="65"/>
      <c r="C98" s="38"/>
      <c r="D98" s="38"/>
      <c r="E98" s="75"/>
      <c r="F98" s="527" t="s">
        <v>3200</v>
      </c>
      <c r="G98" s="52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row>
    <row r="99" spans="1:53" ht="21.65" customHeight="1">
      <c r="B99" s="65"/>
      <c r="C99" s="59" t="s">
        <v>152</v>
      </c>
      <c r="D99" s="98" t="s">
        <v>153</v>
      </c>
      <c r="E99" s="75"/>
      <c r="F99" s="527" t="s">
        <v>152</v>
      </c>
      <c r="G99" s="528" t="s">
        <v>153</v>
      </c>
      <c r="H99" s="38"/>
      <c r="I99" s="73"/>
      <c r="J99" s="74"/>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row>
    <row r="100" spans="1:53">
      <c r="B100" s="12" t="s">
        <v>2954</v>
      </c>
      <c r="C100" s="24">
        <f>Epidemiology!C101</f>
        <v>0</v>
      </c>
      <c r="D100" s="24">
        <f>1-C100</f>
        <v>1</v>
      </c>
      <c r="E100" s="75"/>
      <c r="F100" s="24">
        <f>'To-be clinical improvements'!C12</f>
        <v>0</v>
      </c>
      <c r="G100" s="24">
        <f>1-F100</f>
        <v>1</v>
      </c>
      <c r="H100" s="704" t="b">
        <f>SUM(F100:G100)=1</f>
        <v>1</v>
      </c>
      <c r="I100" s="71"/>
      <c r="J100" s="70"/>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row>
    <row r="101" spans="1:53">
      <c r="E101" s="75"/>
      <c r="G101" s="38"/>
      <c r="H101" s="71"/>
      <c r="I101" s="71"/>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row>
    <row r="102" spans="1:53" s="4" customFormat="1">
      <c r="B102" s="67"/>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row>
    <row r="103" spans="1:53" s="4" customFormat="1">
      <c r="C103" s="34">
        <f>'Prevalence projection INT'!C$24</f>
        <v>2020</v>
      </c>
      <c r="D103" s="34">
        <f>'Prevalence projection INT'!D$24</f>
        <v>2021</v>
      </c>
      <c r="E103" s="34">
        <f>'Prevalence projection INT'!E$24</f>
        <v>2022</v>
      </c>
      <c r="F103" s="34">
        <f>'Prevalence projection INT'!F$24</f>
        <v>2023</v>
      </c>
      <c r="G103" s="34">
        <f>'Prevalence projection INT'!G$24</f>
        <v>2024</v>
      </c>
      <c r="H103" s="34">
        <f>'Prevalence projection INT'!H$24</f>
        <v>2025</v>
      </c>
      <c r="I103" s="34">
        <f>'Prevalence projection INT'!I$24</f>
        <v>2026</v>
      </c>
      <c r="J103" s="34">
        <f>'Prevalence projection INT'!J$24</f>
        <v>2027</v>
      </c>
      <c r="K103" s="34">
        <f>'Prevalence projection INT'!K$24</f>
        <v>2028</v>
      </c>
      <c r="L103" s="34">
        <f>'Prevalence projection INT'!L$24</f>
        <v>2029</v>
      </c>
      <c r="M103" s="34">
        <f>'Prevalence projection INT'!M$24</f>
        <v>2030</v>
      </c>
      <c r="N103" s="34">
        <f>'Prevalence projection INT'!N$24</f>
        <v>2031</v>
      </c>
      <c r="O103" s="34">
        <f>'Prevalence projection INT'!O$24</f>
        <v>2032</v>
      </c>
      <c r="P103" s="34">
        <f>'Prevalence projection INT'!P$24</f>
        <v>2033</v>
      </c>
      <c r="Q103" s="34">
        <f>'Prevalence projection INT'!Q$24</f>
        <v>2034</v>
      </c>
      <c r="R103" s="34">
        <f>'Prevalence projection INT'!R$24</f>
        <v>2035</v>
      </c>
      <c r="S103" s="34">
        <f>'Prevalence projection INT'!S$24</f>
        <v>2036</v>
      </c>
      <c r="T103" s="34">
        <f>'Prevalence projection INT'!T$24</f>
        <v>2037</v>
      </c>
      <c r="U103" s="34">
        <f>'Prevalence projection INT'!U$24</f>
        <v>2038</v>
      </c>
      <c r="V103" s="34">
        <f>'Prevalence projection INT'!V$24</f>
        <v>2039</v>
      </c>
      <c r="W103" s="34">
        <f>'Prevalence projection INT'!W$24</f>
        <v>2040</v>
      </c>
      <c r="X103" s="34">
        <f>'Prevalence projection INT'!X$24</f>
        <v>2041</v>
      </c>
      <c r="Y103" s="34">
        <f>'Prevalence projection INT'!Y$24</f>
        <v>2042</v>
      </c>
      <c r="Z103" s="34">
        <f>'Prevalence projection INT'!Z$24</f>
        <v>2043</v>
      </c>
      <c r="AA103" s="34">
        <f>'Prevalence projection INT'!AA$24</f>
        <v>2044</v>
      </c>
      <c r="AB103" s="34">
        <f>'Prevalence projection INT'!AB$24</f>
        <v>2045</v>
      </c>
      <c r="AC103" s="34">
        <f>'Prevalence projection INT'!AC$24</f>
        <v>2046</v>
      </c>
      <c r="AD103" s="34">
        <f>'Prevalence projection INT'!AD$24</f>
        <v>2047</v>
      </c>
      <c r="AE103" s="34">
        <f>'Prevalence projection INT'!AE$24</f>
        <v>2048</v>
      </c>
      <c r="AF103" s="34">
        <f>'Prevalence projection INT'!AF$24</f>
        <v>2049</v>
      </c>
      <c r="AG103" s="34">
        <f>'Prevalence projection INT'!AG$24</f>
        <v>2050</v>
      </c>
      <c r="AH103" s="34">
        <f>'Prevalence projection INT'!AH$24</f>
        <v>2051</v>
      </c>
      <c r="AI103" s="34">
        <f>'Prevalence projection INT'!AI$24</f>
        <v>2052</v>
      </c>
      <c r="AJ103" s="34">
        <f>'Prevalence projection INT'!AJ$24</f>
        <v>2053</v>
      </c>
      <c r="AK103" s="34">
        <f>'Prevalence projection INT'!AK$24</f>
        <v>2054</v>
      </c>
      <c r="AL103" s="34">
        <f>'Prevalence projection INT'!AL$24</f>
        <v>2055</v>
      </c>
      <c r="AM103" s="34">
        <f>'Prevalence projection INT'!AM$24</f>
        <v>2056</v>
      </c>
      <c r="AN103" s="34">
        <f>'Prevalence projection INT'!AN$24</f>
        <v>2057</v>
      </c>
      <c r="AO103" s="34">
        <f>'Prevalence projection INT'!AO$24</f>
        <v>2058</v>
      </c>
      <c r="AP103" s="34">
        <f>'Prevalence projection INT'!AP$24</f>
        <v>2059</v>
      </c>
      <c r="AQ103" s="34">
        <f>'Prevalence projection INT'!AQ$24</f>
        <v>2060</v>
      </c>
      <c r="AR103" s="34">
        <f>'Prevalence projection INT'!AR$24</f>
        <v>2061</v>
      </c>
      <c r="AS103" s="34">
        <f>'Prevalence projection INT'!AS$24</f>
        <v>2062</v>
      </c>
      <c r="AT103" s="34">
        <f>'Prevalence projection INT'!AT$24</f>
        <v>2063</v>
      </c>
      <c r="AU103" s="34">
        <f>'Prevalence projection INT'!AU$24</f>
        <v>2064</v>
      </c>
      <c r="AV103" s="34">
        <f>'Prevalence projection INT'!AV$24</f>
        <v>2065</v>
      </c>
      <c r="AW103" s="34">
        <f>'Prevalence projection INT'!AW$24</f>
        <v>2066</v>
      </c>
      <c r="AX103" s="34">
        <f>'Prevalence projection INT'!AX$24</f>
        <v>2067</v>
      </c>
      <c r="AY103" s="34">
        <f>'Prevalence projection INT'!AY$24</f>
        <v>2068</v>
      </c>
      <c r="AZ103" s="34">
        <f>'Prevalence projection INT'!AZ$24</f>
        <v>2069</v>
      </c>
      <c r="BA103" s="34">
        <f>'Prevalence projection INT'!BA$24</f>
        <v>2070</v>
      </c>
    </row>
    <row r="104" spans="1:53" s="4" customFormat="1" ht="18.649999999999999" customHeight="1">
      <c r="B104" s="12" t="s">
        <v>2956</v>
      </c>
      <c r="C104" s="39">
        <f>C92</f>
        <v>34.5</v>
      </c>
      <c r="D104" s="39">
        <f t="shared" ref="D104:AE104" si="110">D92</f>
        <v>38.454128917855734</v>
      </c>
      <c r="E104" s="39">
        <f t="shared" si="110"/>
        <v>42.457630958756774</v>
      </c>
      <c r="F104" s="39">
        <f t="shared" si="110"/>
        <v>46.516040358715721</v>
      </c>
      <c r="G104" s="39">
        <f t="shared" si="110"/>
        <v>50.574449758674668</v>
      </c>
      <c r="H104" s="39">
        <f t="shared" si="110"/>
        <v>54.683534377078708</v>
      </c>
      <c r="I104" s="39">
        <f t="shared" si="110"/>
        <v>58.848974401883702</v>
      </c>
      <c r="J104" s="39">
        <f t="shared" si="110"/>
        <v>63.080038440011002</v>
      </c>
      <c r="K104" s="39">
        <f t="shared" si="110"/>
        <v>67.381744254903779</v>
      </c>
      <c r="L104" s="39">
        <f t="shared" si="110"/>
        <v>71.750717145199403</v>
      </c>
      <c r="M104" s="39">
        <f t="shared" si="110"/>
        <v>76.18878189188041</v>
      </c>
      <c r="N104" s="39">
        <f t="shared" si="110"/>
        <v>80.72626082819346</v>
      </c>
      <c r="O104" s="39">
        <f t="shared" si="110"/>
        <v>85.347542519177281</v>
      </c>
      <c r="P104" s="39">
        <f t="shared" si="110"/>
        <v>90.043016274548236</v>
      </c>
      <c r="Q104" s="39">
        <f t="shared" si="110"/>
        <v>94.806531361532308</v>
      </c>
      <c r="R104" s="39">
        <f t="shared" si="110"/>
        <v>99.632738875445966</v>
      </c>
      <c r="S104" s="39">
        <f t="shared" si="110"/>
        <v>104.52396023504808</v>
      </c>
      <c r="T104" s="39">
        <f t="shared" si="110"/>
        <v>109.48470876853897</v>
      </c>
      <c r="U104" s="39">
        <f t="shared" si="110"/>
        <v>114.51526686613272</v>
      </c>
      <c r="V104" s="39">
        <f t="shared" si="110"/>
        <v>119.60994680013225</v>
      </c>
      <c r="W104" s="39">
        <f t="shared" si="110"/>
        <v>124.76797699082415</v>
      </c>
      <c r="X104" s="39">
        <f t="shared" si="110"/>
        <v>130.00043191024901</v>
      </c>
      <c r="Y104" s="39">
        <f t="shared" si="110"/>
        <v>135.29826085686554</v>
      </c>
      <c r="Z104" s="39">
        <f t="shared" si="110"/>
        <v>140.65753730204207</v>
      </c>
      <c r="AA104" s="39">
        <f t="shared" si="110"/>
        <v>146.07616701849767</v>
      </c>
      <c r="AB104" s="39">
        <f t="shared" si="110"/>
        <v>151.55743569892817</v>
      </c>
      <c r="AC104" s="39">
        <f t="shared" si="110"/>
        <v>157.09961134131828</v>
      </c>
      <c r="AD104" s="39">
        <f t="shared" si="110"/>
        <v>162.69977082648839</v>
      </c>
      <c r="AE104" s="39">
        <f t="shared" si="110"/>
        <v>168.35499186999945</v>
      </c>
      <c r="AF104" s="39">
        <f t="shared" ref="AF104:AO104" si="111">AF92</f>
        <v>174.06199560617938</v>
      </c>
      <c r="AG104" s="39">
        <f t="shared" si="111"/>
        <v>179.81756641650577</v>
      </c>
      <c r="AH104" s="39">
        <f t="shared" si="111"/>
        <v>185.61833582351593</v>
      </c>
      <c r="AI104" s="39">
        <f t="shared" si="111"/>
        <v>191.46268560865505</v>
      </c>
      <c r="AJ104" s="39">
        <f t="shared" si="111"/>
        <v>197.35294631828901</v>
      </c>
      <c r="AK104" s="39">
        <f t="shared" si="111"/>
        <v>203.28834429554823</v>
      </c>
      <c r="AL104" s="39">
        <f t="shared" si="111"/>
        <v>209.26944543217613</v>
      </c>
      <c r="AM104" s="39">
        <f t="shared" si="111"/>
        <v>215.29025241352792</v>
      </c>
      <c r="AN104" s="39">
        <f t="shared" si="111"/>
        <v>221.3448391367088</v>
      </c>
      <c r="AO104" s="39">
        <f t="shared" si="111"/>
        <v>227.42767684777934</v>
      </c>
      <c r="AP104" s="39">
        <f t="shared" ref="AP104:BA104" si="112">AP92</f>
        <v>233.53694680527005</v>
      </c>
      <c r="AQ104" s="39">
        <f t="shared" si="112"/>
        <v>239.66994021790671</v>
      </c>
      <c r="AR104" s="39">
        <f t="shared" si="112"/>
        <v>245.82301260732453</v>
      </c>
      <c r="AS104" s="39">
        <f t="shared" si="112"/>
        <v>251.99871422584121</v>
      </c>
      <c r="AT104" s="39">
        <f t="shared" si="112"/>
        <v>258.20154764299309</v>
      </c>
      <c r="AU104" s="39">
        <f t="shared" si="112"/>
        <v>264.43617438177046</v>
      </c>
      <c r="AV104" s="39">
        <f t="shared" si="112"/>
        <v>270.67080112054782</v>
      </c>
      <c r="AW104" s="39">
        <f t="shared" si="112"/>
        <v>276.90542785932519</v>
      </c>
      <c r="AX104" s="39">
        <f t="shared" si="112"/>
        <v>283.14005459810255</v>
      </c>
      <c r="AY104" s="39">
        <f t="shared" si="112"/>
        <v>289.37468133687992</v>
      </c>
      <c r="AZ104" s="39">
        <f t="shared" si="112"/>
        <v>295.60930807565728</v>
      </c>
      <c r="BA104" s="39">
        <f t="shared" si="112"/>
        <v>301.84393481443465</v>
      </c>
    </row>
    <row r="105" spans="1:53" s="4" customFormat="1" ht="15.65" customHeight="1">
      <c r="B105" s="12" t="s">
        <v>97</v>
      </c>
      <c r="C105" s="39">
        <f>C104*IF(C$103&lt;$C$6, $C$100, $F$100)</f>
        <v>0</v>
      </c>
      <c r="D105" s="39">
        <f t="shared" ref="D105:AE105" si="113">D104*IF(D$103&lt;$C$6, $C$100, $F$100)</f>
        <v>0</v>
      </c>
      <c r="E105" s="39">
        <f t="shared" si="113"/>
        <v>0</v>
      </c>
      <c r="F105" s="39">
        <f t="shared" si="113"/>
        <v>0</v>
      </c>
      <c r="G105" s="39">
        <f t="shared" si="113"/>
        <v>0</v>
      </c>
      <c r="H105" s="39">
        <f t="shared" si="113"/>
        <v>0</v>
      </c>
      <c r="I105" s="39">
        <f t="shared" si="113"/>
        <v>0</v>
      </c>
      <c r="J105" s="39">
        <f t="shared" si="113"/>
        <v>0</v>
      </c>
      <c r="K105" s="39">
        <f t="shared" si="113"/>
        <v>0</v>
      </c>
      <c r="L105" s="39">
        <f t="shared" si="113"/>
        <v>0</v>
      </c>
      <c r="M105" s="39">
        <f t="shared" si="113"/>
        <v>0</v>
      </c>
      <c r="N105" s="39">
        <f t="shared" si="113"/>
        <v>0</v>
      </c>
      <c r="O105" s="39">
        <f t="shared" si="113"/>
        <v>0</v>
      </c>
      <c r="P105" s="39">
        <f t="shared" si="113"/>
        <v>0</v>
      </c>
      <c r="Q105" s="39">
        <f t="shared" si="113"/>
        <v>0</v>
      </c>
      <c r="R105" s="39">
        <f t="shared" si="113"/>
        <v>0</v>
      </c>
      <c r="S105" s="39">
        <f t="shared" si="113"/>
        <v>0</v>
      </c>
      <c r="T105" s="39">
        <f t="shared" si="113"/>
        <v>0</v>
      </c>
      <c r="U105" s="39">
        <f t="shared" si="113"/>
        <v>0</v>
      </c>
      <c r="V105" s="39">
        <f t="shared" si="113"/>
        <v>0</v>
      </c>
      <c r="W105" s="39">
        <f t="shared" si="113"/>
        <v>0</v>
      </c>
      <c r="X105" s="39">
        <f t="shared" si="113"/>
        <v>0</v>
      </c>
      <c r="Y105" s="39">
        <f t="shared" si="113"/>
        <v>0</v>
      </c>
      <c r="Z105" s="39">
        <f t="shared" si="113"/>
        <v>0</v>
      </c>
      <c r="AA105" s="39">
        <f t="shared" si="113"/>
        <v>0</v>
      </c>
      <c r="AB105" s="39">
        <f t="shared" si="113"/>
        <v>0</v>
      </c>
      <c r="AC105" s="39">
        <f t="shared" si="113"/>
        <v>0</v>
      </c>
      <c r="AD105" s="39">
        <f t="shared" si="113"/>
        <v>0</v>
      </c>
      <c r="AE105" s="39">
        <f t="shared" si="113"/>
        <v>0</v>
      </c>
      <c r="AF105" s="39">
        <f t="shared" ref="AF105:AO105" si="114">AF104*IF(AF$103&lt;$C$6, $C$100, $F$100)</f>
        <v>0</v>
      </c>
      <c r="AG105" s="39">
        <f t="shared" si="114"/>
        <v>0</v>
      </c>
      <c r="AH105" s="39">
        <f t="shared" si="114"/>
        <v>0</v>
      </c>
      <c r="AI105" s="39">
        <f t="shared" si="114"/>
        <v>0</v>
      </c>
      <c r="AJ105" s="39">
        <f t="shared" si="114"/>
        <v>0</v>
      </c>
      <c r="AK105" s="39">
        <f t="shared" si="114"/>
        <v>0</v>
      </c>
      <c r="AL105" s="39">
        <f t="shared" si="114"/>
        <v>0</v>
      </c>
      <c r="AM105" s="39">
        <f t="shared" si="114"/>
        <v>0</v>
      </c>
      <c r="AN105" s="39">
        <f t="shared" si="114"/>
        <v>0</v>
      </c>
      <c r="AO105" s="39">
        <f t="shared" si="114"/>
        <v>0</v>
      </c>
      <c r="AP105" s="39">
        <f t="shared" ref="AP105:BA105" si="115">AP104*IF(AP$103&lt;$C$6, $C$100, $F$100)</f>
        <v>0</v>
      </c>
      <c r="AQ105" s="39">
        <f t="shared" si="115"/>
        <v>0</v>
      </c>
      <c r="AR105" s="39">
        <f t="shared" si="115"/>
        <v>0</v>
      </c>
      <c r="AS105" s="39">
        <f t="shared" si="115"/>
        <v>0</v>
      </c>
      <c r="AT105" s="39">
        <f t="shared" si="115"/>
        <v>0</v>
      </c>
      <c r="AU105" s="39">
        <f t="shared" si="115"/>
        <v>0</v>
      </c>
      <c r="AV105" s="39">
        <f t="shared" si="115"/>
        <v>0</v>
      </c>
      <c r="AW105" s="39">
        <f t="shared" si="115"/>
        <v>0</v>
      </c>
      <c r="AX105" s="39">
        <f t="shared" si="115"/>
        <v>0</v>
      </c>
      <c r="AY105" s="39">
        <f t="shared" si="115"/>
        <v>0</v>
      </c>
      <c r="AZ105" s="39">
        <f t="shared" si="115"/>
        <v>0</v>
      </c>
      <c r="BA105" s="39">
        <f t="shared" si="115"/>
        <v>0</v>
      </c>
    </row>
    <row r="106" spans="1:53" s="4" customFormat="1" ht="21" customHeight="1">
      <c r="B106" s="12" t="s">
        <v>98</v>
      </c>
      <c r="C106" s="39">
        <f>C104-C105</f>
        <v>34.5</v>
      </c>
      <c r="D106" s="39">
        <f t="shared" ref="D106:AE106" si="116">D104-D105</f>
        <v>38.454128917855734</v>
      </c>
      <c r="E106" s="39">
        <f t="shared" si="116"/>
        <v>42.457630958756774</v>
      </c>
      <c r="F106" s="39">
        <f t="shared" si="116"/>
        <v>46.516040358715721</v>
      </c>
      <c r="G106" s="39">
        <f t="shared" si="116"/>
        <v>50.574449758674668</v>
      </c>
      <c r="H106" s="39">
        <f t="shared" si="116"/>
        <v>54.683534377078708</v>
      </c>
      <c r="I106" s="39">
        <f t="shared" si="116"/>
        <v>58.848974401883702</v>
      </c>
      <c r="J106" s="39">
        <f t="shared" si="116"/>
        <v>63.080038440011002</v>
      </c>
      <c r="K106" s="39">
        <f t="shared" si="116"/>
        <v>67.381744254903779</v>
      </c>
      <c r="L106" s="39">
        <f t="shared" si="116"/>
        <v>71.750717145199403</v>
      </c>
      <c r="M106" s="39">
        <f t="shared" si="116"/>
        <v>76.18878189188041</v>
      </c>
      <c r="N106" s="39">
        <f t="shared" si="116"/>
        <v>80.72626082819346</v>
      </c>
      <c r="O106" s="39">
        <f t="shared" si="116"/>
        <v>85.347542519177281</v>
      </c>
      <c r="P106" s="39">
        <f t="shared" si="116"/>
        <v>90.043016274548236</v>
      </c>
      <c r="Q106" s="39">
        <f t="shared" si="116"/>
        <v>94.806531361532308</v>
      </c>
      <c r="R106" s="39">
        <f t="shared" si="116"/>
        <v>99.632738875445966</v>
      </c>
      <c r="S106" s="39">
        <f t="shared" si="116"/>
        <v>104.52396023504808</v>
      </c>
      <c r="T106" s="39">
        <f t="shared" si="116"/>
        <v>109.48470876853897</v>
      </c>
      <c r="U106" s="39">
        <f t="shared" si="116"/>
        <v>114.51526686613272</v>
      </c>
      <c r="V106" s="39">
        <f t="shared" si="116"/>
        <v>119.60994680013225</v>
      </c>
      <c r="W106" s="39">
        <f t="shared" si="116"/>
        <v>124.76797699082415</v>
      </c>
      <c r="X106" s="39">
        <f t="shared" si="116"/>
        <v>130.00043191024901</v>
      </c>
      <c r="Y106" s="39">
        <f t="shared" si="116"/>
        <v>135.29826085686554</v>
      </c>
      <c r="Z106" s="39">
        <f t="shared" si="116"/>
        <v>140.65753730204207</v>
      </c>
      <c r="AA106" s="39">
        <f t="shared" si="116"/>
        <v>146.07616701849767</v>
      </c>
      <c r="AB106" s="39">
        <f t="shared" si="116"/>
        <v>151.55743569892817</v>
      </c>
      <c r="AC106" s="39">
        <f t="shared" si="116"/>
        <v>157.09961134131828</v>
      </c>
      <c r="AD106" s="39">
        <f t="shared" si="116"/>
        <v>162.69977082648839</v>
      </c>
      <c r="AE106" s="39">
        <f t="shared" si="116"/>
        <v>168.35499186999945</v>
      </c>
      <c r="AF106" s="39">
        <f t="shared" ref="AF106:AO106" si="117">AF104-AF105</f>
        <v>174.06199560617938</v>
      </c>
      <c r="AG106" s="39">
        <f t="shared" si="117"/>
        <v>179.81756641650577</v>
      </c>
      <c r="AH106" s="39">
        <f t="shared" si="117"/>
        <v>185.61833582351593</v>
      </c>
      <c r="AI106" s="39">
        <f t="shared" si="117"/>
        <v>191.46268560865505</v>
      </c>
      <c r="AJ106" s="39">
        <f t="shared" si="117"/>
        <v>197.35294631828901</v>
      </c>
      <c r="AK106" s="39">
        <f t="shared" si="117"/>
        <v>203.28834429554823</v>
      </c>
      <c r="AL106" s="39">
        <f t="shared" si="117"/>
        <v>209.26944543217613</v>
      </c>
      <c r="AM106" s="39">
        <f t="shared" si="117"/>
        <v>215.29025241352792</v>
      </c>
      <c r="AN106" s="39">
        <f t="shared" si="117"/>
        <v>221.3448391367088</v>
      </c>
      <c r="AO106" s="39">
        <f t="shared" si="117"/>
        <v>227.42767684777934</v>
      </c>
      <c r="AP106" s="39">
        <f t="shared" ref="AP106:BA106" si="118">AP104-AP105</f>
        <v>233.53694680527005</v>
      </c>
      <c r="AQ106" s="39">
        <f t="shared" si="118"/>
        <v>239.66994021790671</v>
      </c>
      <c r="AR106" s="39">
        <f t="shared" si="118"/>
        <v>245.82301260732453</v>
      </c>
      <c r="AS106" s="39">
        <f t="shared" si="118"/>
        <v>251.99871422584121</v>
      </c>
      <c r="AT106" s="39">
        <f t="shared" si="118"/>
        <v>258.20154764299309</v>
      </c>
      <c r="AU106" s="39">
        <f t="shared" si="118"/>
        <v>264.43617438177046</v>
      </c>
      <c r="AV106" s="39">
        <f t="shared" si="118"/>
        <v>270.67080112054782</v>
      </c>
      <c r="AW106" s="39">
        <f t="shared" si="118"/>
        <v>276.90542785932519</v>
      </c>
      <c r="AX106" s="39">
        <f t="shared" si="118"/>
        <v>283.14005459810255</v>
      </c>
      <c r="AY106" s="39">
        <f t="shared" si="118"/>
        <v>289.37468133687992</v>
      </c>
      <c r="AZ106" s="39">
        <f t="shared" si="118"/>
        <v>295.60930807565728</v>
      </c>
      <c r="BA106" s="39">
        <f t="shared" si="118"/>
        <v>301.84393481443465</v>
      </c>
    </row>
    <row r="107" spans="1:53">
      <c r="C107" s="75">
        <f>C105/C104</f>
        <v>0</v>
      </c>
      <c r="D107" s="75">
        <f t="shared" ref="D107:AE107" si="119">D105/D104</f>
        <v>0</v>
      </c>
      <c r="E107" s="75">
        <f t="shared" si="119"/>
        <v>0</v>
      </c>
      <c r="F107" s="75">
        <f t="shared" si="119"/>
        <v>0</v>
      </c>
      <c r="G107" s="75">
        <f t="shared" si="119"/>
        <v>0</v>
      </c>
      <c r="H107" s="75">
        <f t="shared" si="119"/>
        <v>0</v>
      </c>
      <c r="I107" s="75">
        <f t="shared" si="119"/>
        <v>0</v>
      </c>
      <c r="J107" s="75">
        <f t="shared" si="119"/>
        <v>0</v>
      </c>
      <c r="K107" s="75">
        <f t="shared" si="119"/>
        <v>0</v>
      </c>
      <c r="L107" s="75">
        <f t="shared" si="119"/>
        <v>0</v>
      </c>
      <c r="M107" s="75">
        <f t="shared" si="119"/>
        <v>0</v>
      </c>
      <c r="N107" s="75">
        <f t="shared" si="119"/>
        <v>0</v>
      </c>
      <c r="O107" s="75">
        <f t="shared" si="119"/>
        <v>0</v>
      </c>
      <c r="P107" s="75">
        <f t="shared" si="119"/>
        <v>0</v>
      </c>
      <c r="Q107" s="75">
        <f t="shared" si="119"/>
        <v>0</v>
      </c>
      <c r="R107" s="75">
        <f t="shared" si="119"/>
        <v>0</v>
      </c>
      <c r="S107" s="75">
        <f t="shared" si="119"/>
        <v>0</v>
      </c>
      <c r="T107" s="75">
        <f t="shared" si="119"/>
        <v>0</v>
      </c>
      <c r="U107" s="75">
        <f t="shared" si="119"/>
        <v>0</v>
      </c>
      <c r="V107" s="75">
        <f t="shared" si="119"/>
        <v>0</v>
      </c>
      <c r="W107" s="75">
        <f t="shared" si="119"/>
        <v>0</v>
      </c>
      <c r="X107" s="75">
        <f t="shared" si="119"/>
        <v>0</v>
      </c>
      <c r="Y107" s="75">
        <f t="shared" si="119"/>
        <v>0</v>
      </c>
      <c r="Z107" s="75">
        <f t="shared" si="119"/>
        <v>0</v>
      </c>
      <c r="AA107" s="75">
        <f t="shared" si="119"/>
        <v>0</v>
      </c>
      <c r="AB107" s="75">
        <f t="shared" si="119"/>
        <v>0</v>
      </c>
      <c r="AC107" s="75">
        <f t="shared" si="119"/>
        <v>0</v>
      </c>
      <c r="AD107" s="75">
        <f t="shared" si="119"/>
        <v>0</v>
      </c>
      <c r="AE107" s="75">
        <f t="shared" si="119"/>
        <v>0</v>
      </c>
    </row>
  </sheetData>
  <pageMargins left="0.7" right="0.7" top="0.75" bottom="0.75" header="0.3" footer="0.3"/>
  <pageSetup paperSize="9"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5" tint="0.59999389629810485"/>
    <pageSetUpPr autoPageBreaks="0"/>
  </sheetPr>
  <dimension ref="A1:BI281"/>
  <sheetViews>
    <sheetView showGridLines="0" workbookViewId="0"/>
  </sheetViews>
  <sheetFormatPr defaultRowHeight="14.5"/>
  <cols>
    <col min="1" max="1" width="6.453125" customWidth="1"/>
    <col min="2" max="2" width="22.08984375" customWidth="1"/>
    <col min="3" max="31" width="15.6328125" customWidth="1"/>
    <col min="32" max="60" width="9" bestFit="1" customWidth="1"/>
    <col min="61" max="61" width="11.36328125" customWidth="1"/>
  </cols>
  <sheetData>
    <row r="1" spans="1:4" s="588" customFormat="1" ht="18.5">
      <c r="A1" s="587" t="s">
        <v>3517</v>
      </c>
    </row>
    <row r="2" spans="1:4" s="588" customFormat="1">
      <c r="A2" s="588" t="s">
        <v>3518</v>
      </c>
    </row>
    <row r="3" spans="1:4" s="588" customFormat="1"/>
    <row r="4" spans="1:4" s="781" customFormat="1"/>
    <row r="7" spans="1:4">
      <c r="B7" s="521" t="str">
        <f>'Control Assumptions'!B10</f>
        <v>Baseline year</v>
      </c>
      <c r="C7" s="521">
        <f>'Control Assumptions'!C10</f>
        <v>2020</v>
      </c>
    </row>
    <row r="8" spans="1:4">
      <c r="B8" s="521" t="str">
        <f>'Control Assumptions'!B13</f>
        <v>First year of benefit</v>
      </c>
      <c r="C8" s="521">
        <f>'Control Assumptions'!C13</f>
        <v>2024</v>
      </c>
    </row>
    <row r="10" spans="1:4" s="588" customFormat="1">
      <c r="A10" s="588" t="s">
        <v>10</v>
      </c>
      <c r="B10" s="593" t="s">
        <v>3025</v>
      </c>
    </row>
    <row r="11" spans="1:4">
      <c r="B11" s="9"/>
    </row>
    <row r="12" spans="1:4">
      <c r="B12" s="7" t="s">
        <v>2505</v>
      </c>
      <c r="C12" s="7" t="s">
        <v>2887</v>
      </c>
    </row>
    <row r="13" spans="1:4">
      <c r="B13" s="6" t="s">
        <v>27</v>
      </c>
      <c r="C13" s="27">
        <v>1000</v>
      </c>
      <c r="D13" s="152" t="s">
        <v>3399</v>
      </c>
    </row>
    <row r="14" spans="1:4">
      <c r="B14" s="6" t="s">
        <v>28</v>
      </c>
      <c r="C14" s="27">
        <v>1000</v>
      </c>
    </row>
    <row r="15" spans="1:4">
      <c r="B15" s="6" t="s">
        <v>30</v>
      </c>
      <c r="C15" s="27">
        <v>1000</v>
      </c>
    </row>
    <row r="16" spans="1:4">
      <c r="B16" s="52"/>
      <c r="C16" s="206"/>
    </row>
    <row r="17" spans="1:6">
      <c r="B17" s="7" t="s">
        <v>2505</v>
      </c>
      <c r="C17" s="7" t="s">
        <v>2532</v>
      </c>
    </row>
    <row r="18" spans="1:6">
      <c r="B18" s="6" t="s">
        <v>27</v>
      </c>
      <c r="C18" s="28">
        <f>Epidemiology!C138</f>
        <v>0.4</v>
      </c>
    </row>
    <row r="19" spans="1:6">
      <c r="B19" s="6" t="s">
        <v>28</v>
      </c>
      <c r="C19" s="28">
        <f>Epidemiology!C139</f>
        <v>0.5</v>
      </c>
    </row>
    <row r="20" spans="1:6">
      <c r="B20" s="6" t="s">
        <v>30</v>
      </c>
      <c r="C20" s="28">
        <f>Epidemiology!C140</f>
        <v>0.52</v>
      </c>
    </row>
    <row r="21" spans="1:6">
      <c r="B21" s="52"/>
      <c r="C21" s="52"/>
      <c r="D21" s="52"/>
      <c r="E21" s="206"/>
      <c r="F21" s="206"/>
    </row>
    <row r="22" spans="1:6">
      <c r="B22" s="52"/>
      <c r="C22" s="52"/>
      <c r="D22" s="52"/>
    </row>
    <row r="23" spans="1:6">
      <c r="B23" s="9" t="s">
        <v>93</v>
      </c>
      <c r="C23" s="216" t="s">
        <v>20</v>
      </c>
      <c r="E23" s="520" t="s">
        <v>3197</v>
      </c>
    </row>
    <row r="24" spans="1:6">
      <c r="B24" s="216" t="s">
        <v>2505</v>
      </c>
      <c r="C24" s="216" t="s">
        <v>2531</v>
      </c>
      <c r="E24" s="520" t="s">
        <v>2531</v>
      </c>
    </row>
    <row r="25" spans="1:6">
      <c r="B25" s="6" t="s">
        <v>25</v>
      </c>
      <c r="C25" s="215">
        <f>Epidemiology!C119</f>
        <v>0.47499999999999998</v>
      </c>
      <c r="E25" s="28">
        <f>'To-be clinical improvements'!D10</f>
        <v>0.37076496125633113</v>
      </c>
      <c r="F25" s="145"/>
    </row>
    <row r="26" spans="1:6">
      <c r="B26" s="6" t="s">
        <v>184</v>
      </c>
      <c r="C26" s="215">
        <f>Epidemiology!C120</f>
        <v>0.47499999999999998</v>
      </c>
      <c r="E26" s="28">
        <f>'To-be clinical improvements'!D11</f>
        <v>0.47499999999999998</v>
      </c>
      <c r="F26" s="145"/>
    </row>
    <row r="27" spans="1:6">
      <c r="B27" s="6" t="s">
        <v>185</v>
      </c>
      <c r="C27" s="215">
        <f>Epidemiology!C121</f>
        <v>0.47499999999999998</v>
      </c>
      <c r="E27" s="28">
        <f>'To-be clinical improvements'!D12</f>
        <v>0.47499999999999998</v>
      </c>
      <c r="F27" s="145"/>
    </row>
    <row r="28" spans="1:6">
      <c r="B28" s="6" t="s">
        <v>2530</v>
      </c>
      <c r="C28" s="215">
        <f>Epidemiology!C122</f>
        <v>0.47499999999999998</v>
      </c>
      <c r="F28" s="145"/>
    </row>
    <row r="29" spans="1:6">
      <c r="F29" s="145"/>
    </row>
    <row r="30" spans="1:6">
      <c r="A30" s="9"/>
      <c r="B30" s="9" t="s">
        <v>118</v>
      </c>
      <c r="C30" s="216" t="s">
        <v>20</v>
      </c>
      <c r="E30" s="520" t="s">
        <v>3197</v>
      </c>
      <c r="F30" s="145"/>
    </row>
    <row r="31" spans="1:6" ht="14" customHeight="1">
      <c r="A31" s="9"/>
      <c r="B31" s="8"/>
      <c r="C31" s="7" t="s">
        <v>152</v>
      </c>
      <c r="E31" s="520" t="s">
        <v>152</v>
      </c>
      <c r="F31" s="145"/>
    </row>
    <row r="32" spans="1:6">
      <c r="A32" s="9"/>
      <c r="B32" s="6" t="s">
        <v>27</v>
      </c>
      <c r="C32" s="215">
        <f>Epidemiology!C101</f>
        <v>0</v>
      </c>
      <c r="E32" s="28">
        <f>'To-be clinical improvements'!C12</f>
        <v>0</v>
      </c>
      <c r="F32" s="145"/>
    </row>
    <row r="33" spans="1:60">
      <c r="A33" s="9"/>
      <c r="B33" s="6" t="s">
        <v>28</v>
      </c>
      <c r="C33" s="215">
        <f>Epidemiology!C102</f>
        <v>0.42</v>
      </c>
      <c r="E33" s="28">
        <f>'To-be clinical improvements'!C11</f>
        <v>0.62286949602337649</v>
      </c>
      <c r="F33" s="145"/>
    </row>
    <row r="34" spans="1:60">
      <c r="A34" s="9"/>
      <c r="B34" s="6" t="s">
        <v>30</v>
      </c>
      <c r="C34" s="215">
        <f>Epidemiology!C104</f>
        <v>0.47</v>
      </c>
      <c r="E34" s="28">
        <f>'To-be clinical improvements'!C10</f>
        <v>0.6028558913472728</v>
      </c>
      <c r="F34" s="145"/>
    </row>
    <row r="35" spans="1:60">
      <c r="A35" s="9"/>
      <c r="B35" s="52"/>
      <c r="C35" s="221"/>
    </row>
    <row r="36" spans="1:60">
      <c r="A36" s="9"/>
      <c r="B36" s="52"/>
      <c r="C36" s="221"/>
      <c r="D36" s="145"/>
    </row>
    <row r="37" spans="1:60">
      <c r="B37" s="52"/>
      <c r="C37" s="52"/>
      <c r="D37" s="52"/>
    </row>
    <row r="38" spans="1:60" s="588" customFormat="1">
      <c r="A38" s="593" t="s">
        <v>10</v>
      </c>
      <c r="B38" s="696" t="s">
        <v>3024</v>
      </c>
      <c r="C38" s="625"/>
      <c r="D38" s="625"/>
    </row>
    <row r="39" spans="1:60">
      <c r="B39" s="697" t="s">
        <v>2536</v>
      </c>
      <c r="C39" s="52"/>
      <c r="D39" s="52"/>
    </row>
    <row r="40" spans="1:60">
      <c r="B40" s="697"/>
      <c r="C40" s="52"/>
      <c r="D40" s="52"/>
    </row>
    <row r="41" spans="1:60">
      <c r="B41" s="442"/>
      <c r="C41" s="52"/>
      <c r="D41" s="52"/>
    </row>
    <row r="42" spans="1:60">
      <c r="B42" s="32"/>
      <c r="C42" s="32">
        <f>'Demographic growth'!V251</f>
        <v>2020</v>
      </c>
      <c r="D42" s="32">
        <f>'Demographic growth'!W251</f>
        <v>2021</v>
      </c>
      <c r="E42" s="32">
        <f>'Demographic growth'!X251</f>
        <v>2022</v>
      </c>
      <c r="F42" s="32">
        <f>'Demographic growth'!Y251</f>
        <v>2023</v>
      </c>
      <c r="G42" s="32">
        <f>'Demographic growth'!Z251</f>
        <v>2024</v>
      </c>
      <c r="H42" s="32">
        <f>'Demographic growth'!AA251</f>
        <v>2025</v>
      </c>
      <c r="I42" s="32">
        <f>'Demographic growth'!AB251</f>
        <v>2026</v>
      </c>
      <c r="J42" s="32">
        <f>'Demographic growth'!AC251</f>
        <v>2027</v>
      </c>
      <c r="K42" s="32">
        <f>'Demographic growth'!AD251</f>
        <v>2028</v>
      </c>
      <c r="L42" s="32">
        <f>'Demographic growth'!AE251</f>
        <v>2029</v>
      </c>
      <c r="M42" s="32">
        <f>'Demographic growth'!AF251</f>
        <v>2030</v>
      </c>
      <c r="N42" s="32">
        <f>'Demographic growth'!AG251</f>
        <v>2031</v>
      </c>
      <c r="O42" s="32">
        <f>'Demographic growth'!AH251</f>
        <v>2032</v>
      </c>
      <c r="P42" s="32">
        <f>'Demographic growth'!AI251</f>
        <v>2033</v>
      </c>
      <c r="Q42" s="32">
        <f>'Demographic growth'!AJ251</f>
        <v>2034</v>
      </c>
      <c r="R42" s="32">
        <f>'Demographic growth'!AK251</f>
        <v>2035</v>
      </c>
      <c r="S42" s="32">
        <f>'Demographic growth'!AL251</f>
        <v>2036</v>
      </c>
      <c r="T42" s="32">
        <f>'Demographic growth'!AM251</f>
        <v>2037</v>
      </c>
      <c r="U42" s="32">
        <f>'Demographic growth'!AN251</f>
        <v>2038</v>
      </c>
      <c r="V42" s="32">
        <f>'Demographic growth'!AO251</f>
        <v>2039</v>
      </c>
      <c r="W42" s="32">
        <f>'Demographic growth'!AP251</f>
        <v>2040</v>
      </c>
      <c r="X42" s="32">
        <f>'Demographic growth'!AQ251</f>
        <v>2041</v>
      </c>
      <c r="Y42" s="32">
        <f>'Demographic growth'!AR251</f>
        <v>2042</v>
      </c>
      <c r="Z42" s="32">
        <f>'Demographic growth'!AS251</f>
        <v>2043</v>
      </c>
      <c r="AA42" s="32">
        <f>'Demographic growth'!AT251</f>
        <v>2044</v>
      </c>
      <c r="AB42" s="32">
        <f>'Demographic growth'!AU251</f>
        <v>2045</v>
      </c>
      <c r="AC42" s="32">
        <f>'Demographic growth'!AV251</f>
        <v>2046</v>
      </c>
      <c r="AD42" s="32">
        <f>'Demographic growth'!AW251</f>
        <v>2047</v>
      </c>
      <c r="AE42" s="32">
        <f>'Demographic growth'!AX251</f>
        <v>2048</v>
      </c>
      <c r="AF42" s="32">
        <f>'Demographic growth'!AY251</f>
        <v>2049</v>
      </c>
      <c r="AG42" s="32">
        <f>'Demographic growth'!AZ251</f>
        <v>2050</v>
      </c>
      <c r="AH42" s="32">
        <f>'Demographic growth'!BA251</f>
        <v>2051</v>
      </c>
      <c r="AI42" s="32">
        <f>'Demographic growth'!BB251</f>
        <v>2052</v>
      </c>
      <c r="AJ42" s="32">
        <f>'Demographic growth'!BC251</f>
        <v>2053</v>
      </c>
      <c r="AK42" s="32">
        <f>'Demographic growth'!BD251</f>
        <v>2054</v>
      </c>
      <c r="AL42" s="32">
        <f>'Demographic growth'!BE251</f>
        <v>2055</v>
      </c>
      <c r="AM42" s="32">
        <f>'Demographic growth'!BF251</f>
        <v>2056</v>
      </c>
      <c r="AN42" s="32">
        <f>'Demographic growth'!BG251</f>
        <v>2057</v>
      </c>
      <c r="AO42" s="32">
        <f>'Demographic growth'!BH251</f>
        <v>2058</v>
      </c>
      <c r="AP42" s="32">
        <f>'Demographic growth'!BI251</f>
        <v>2059</v>
      </c>
      <c r="AQ42" s="32">
        <f>'Demographic growth'!BJ251</f>
        <v>2060</v>
      </c>
      <c r="AR42" s="32">
        <f>'Demographic growth'!BK251</f>
        <v>2061</v>
      </c>
      <c r="AS42" s="32">
        <f>'Demographic growth'!BL251</f>
        <v>2062</v>
      </c>
      <c r="AT42" s="32">
        <f>'Demographic growth'!BM251</f>
        <v>2063</v>
      </c>
      <c r="AU42" s="32">
        <f>'Demographic growth'!BN251</f>
        <v>2064</v>
      </c>
      <c r="AV42" s="32">
        <f>'Demographic growth'!BO251</f>
        <v>2065</v>
      </c>
      <c r="AW42" s="32">
        <f>'Demographic growth'!BP251</f>
        <v>2066</v>
      </c>
      <c r="AX42" s="32">
        <f>'Demographic growth'!BQ251</f>
        <v>2067</v>
      </c>
      <c r="AY42" s="32">
        <f>'Demographic growth'!BR251</f>
        <v>2068</v>
      </c>
      <c r="AZ42" s="32">
        <f>'Demographic growth'!BS251</f>
        <v>2069</v>
      </c>
      <c r="BA42" s="32">
        <f>'Demographic growth'!BT251</f>
        <v>0</v>
      </c>
      <c r="BB42" s="32">
        <f>'Demographic growth'!BU251</f>
        <v>0</v>
      </c>
      <c r="BC42" s="32">
        <f>'Demographic growth'!BV251</f>
        <v>0</v>
      </c>
      <c r="BD42" s="32">
        <f>'Demographic growth'!BW251</f>
        <v>0</v>
      </c>
      <c r="BE42" s="32">
        <f>'Demographic growth'!BX251</f>
        <v>0</v>
      </c>
      <c r="BF42" s="32">
        <f>'Demographic growth'!BY251</f>
        <v>0</v>
      </c>
      <c r="BG42" s="32">
        <f>'Demographic growth'!BZ251</f>
        <v>0</v>
      </c>
      <c r="BH42" s="32">
        <f>'Demographic growth'!CA251</f>
        <v>0</v>
      </c>
    </row>
    <row r="43" spans="1:60" ht="43.5">
      <c r="B43" s="36" t="s">
        <v>3029</v>
      </c>
      <c r="C43" s="130">
        <f>'Demographic growth'!V252</f>
        <v>1.4435645707949602E-2</v>
      </c>
      <c r="D43" s="130">
        <f>'Demographic growth'!W252</f>
        <v>1.2486472765809758E-2</v>
      </c>
      <c r="E43" s="130">
        <f>'Demographic growth'!X252</f>
        <v>1.3714832288569241E-2</v>
      </c>
      <c r="F43" s="130">
        <f>'Demographic growth'!Y252</f>
        <v>1.5754401199280177E-2</v>
      </c>
      <c r="G43" s="130">
        <f>'Demographic growth'!Z252</f>
        <v>1.6695983830280297E-2</v>
      </c>
      <c r="H43" s="130">
        <f>'Demographic growth'!AA252</f>
        <v>1.5637302571919091E-2</v>
      </c>
      <c r="I43" s="130">
        <f>'Demographic growth'!AB252</f>
        <v>1.5814210369408999E-2</v>
      </c>
      <c r="J43" s="130">
        <f>'Demographic growth'!AC252</f>
        <v>2.2400346841801033E-2</v>
      </c>
      <c r="K43" s="130">
        <f>'Demographic growth'!AD252</f>
        <v>1.84690123848541E-2</v>
      </c>
      <c r="L43" s="130">
        <f>'Demographic growth'!AE252</f>
        <v>1.6054434537477909E-2</v>
      </c>
      <c r="M43" s="130">
        <f>'Demographic growth'!AF252</f>
        <v>1.4490834185851703E-2</v>
      </c>
      <c r="N43" s="130">
        <f>'Demographic growth'!AG252</f>
        <v>1.3160959036510839E-2</v>
      </c>
      <c r="O43" s="130">
        <f>'Demographic growth'!AH252</f>
        <v>1.3471000884450444E-2</v>
      </c>
      <c r="P43" s="130">
        <f>'Demographic growth'!AI252</f>
        <v>1.4214685612677759E-2</v>
      </c>
      <c r="Q43" s="130">
        <f>'Demographic growth'!AJ252</f>
        <v>1.4072385171627226E-2</v>
      </c>
      <c r="R43" s="130">
        <f>'Demographic growth'!AK252</f>
        <v>1.2746465732387276E-2</v>
      </c>
      <c r="S43" s="130">
        <f>'Demographic growth'!AL252</f>
        <v>1.2434590104396695E-2</v>
      </c>
      <c r="T43" s="130">
        <f>'Demographic growth'!AM252</f>
        <v>1.4428905217977375E-2</v>
      </c>
      <c r="U43" s="130">
        <f>'Demographic growth'!AN252</f>
        <v>1.249394943642828E-2</v>
      </c>
      <c r="V43" s="130">
        <f>'Demographic growth'!AO252</f>
        <v>1.1598618826535009E-2</v>
      </c>
      <c r="W43" s="130">
        <f>'Demographic growth'!AP252</f>
        <v>1.1074866520926036E-2</v>
      </c>
      <c r="X43" s="130">
        <f>'Demographic growth'!AQ252</f>
        <v>1.1559927002332507E-2</v>
      </c>
      <c r="Y43" s="130">
        <f>'Demographic growth'!AR252</f>
        <v>1.1111836604007545E-2</v>
      </c>
      <c r="Z43" s="130">
        <f>'Demographic growth'!AS252</f>
        <v>1.0462288913495137E-2</v>
      </c>
      <c r="AA43" s="130">
        <f>'Demographic growth'!AT252</f>
        <v>9.8321411179054536E-3</v>
      </c>
      <c r="AB43" s="130">
        <f>'Demographic growth'!AU252</f>
        <v>9.1566169156669774E-3</v>
      </c>
      <c r="AC43" s="130">
        <f>'Demographic growth'!AV252</f>
        <v>8.510082766992836E-3</v>
      </c>
      <c r="AD43" s="130">
        <f>'Demographic growth'!AW252</f>
        <v>7.8530172198904083E-3</v>
      </c>
      <c r="AE43" s="130">
        <f>'Demographic growth'!AX252</f>
        <v>7.5128616690548471E-3</v>
      </c>
      <c r="AF43" s="130">
        <f>'Demographic growth'!AY252</f>
        <v>7.855608610488566E-3</v>
      </c>
      <c r="AG43" s="130">
        <f>'Demographic growth'!AZ252</f>
        <v>7.6630339216423446E-3</v>
      </c>
      <c r="AH43" s="130">
        <f>'Demographic growth'!BA252</f>
        <v>7.7001002365470238E-3</v>
      </c>
      <c r="AI43" s="130">
        <f>'Demographic growth'!BB252</f>
        <v>6.6385509652605625E-3</v>
      </c>
      <c r="AJ43" s="130">
        <f>'Demographic growth'!BC252</f>
        <v>5.6105007075816287E-3</v>
      </c>
      <c r="AK43" s="130">
        <f>'Demographic growth'!BD252</f>
        <v>4.6660472764468424E-3</v>
      </c>
      <c r="AL43" s="130">
        <f>'Demographic growth'!BE252</f>
        <v>4.3453808363169977E-3</v>
      </c>
      <c r="AM43" s="130">
        <f>'Demographic growth'!BF252</f>
        <v>3.8831898591900767E-3</v>
      </c>
      <c r="AN43" s="130">
        <f>'Demographic growth'!BG252</f>
        <v>3.2739276614497715E-3</v>
      </c>
      <c r="AO43" s="130">
        <f>'Demographic growth'!BH252</f>
        <v>3.677712152034877E-3</v>
      </c>
      <c r="AP43" s="130">
        <f>'Demographic growth'!BI252</f>
        <v>4.3933143650905556E-3</v>
      </c>
      <c r="AQ43" s="130">
        <f>'Demographic growth'!BJ252</f>
        <v>5.1256126817116453E-3</v>
      </c>
      <c r="AR43" s="130">
        <f>'Demographic growth'!BK252</f>
        <v>0</v>
      </c>
      <c r="AS43" s="130">
        <f>'Demographic growth'!BL252</f>
        <v>0</v>
      </c>
      <c r="AT43" s="130">
        <f>'Demographic growth'!BM252</f>
        <v>0</v>
      </c>
      <c r="AU43" s="130">
        <f>'Demographic growth'!BN252</f>
        <v>0</v>
      </c>
      <c r="AV43" s="130">
        <f>'Demographic growth'!BO252</f>
        <v>0</v>
      </c>
      <c r="AW43" s="130">
        <f>'Demographic growth'!BP252</f>
        <v>0</v>
      </c>
      <c r="AX43" s="130">
        <f>'Demographic growth'!BQ252</f>
        <v>0</v>
      </c>
      <c r="AY43" s="130">
        <f>'Demographic growth'!BR252</f>
        <v>0</v>
      </c>
      <c r="AZ43" s="130">
        <f>'Demographic growth'!BS252</f>
        <v>0</v>
      </c>
      <c r="BA43" s="130">
        <f>'Demographic growth'!BT252</f>
        <v>0</v>
      </c>
      <c r="BB43" s="130">
        <f>'Demographic growth'!BU252</f>
        <v>0</v>
      </c>
      <c r="BC43" s="130">
        <f>'Demographic growth'!BV252</f>
        <v>0</v>
      </c>
      <c r="BD43" s="130">
        <f>'Demographic growth'!BW252</f>
        <v>0</v>
      </c>
      <c r="BE43" s="130">
        <f>'Demographic growth'!BX252</f>
        <v>0</v>
      </c>
      <c r="BF43" s="130">
        <f>'Demographic growth'!BY252</f>
        <v>0</v>
      </c>
      <c r="BG43" s="130">
        <f>'Demographic growth'!BZ252</f>
        <v>0</v>
      </c>
      <c r="BH43" s="130">
        <f>'Demographic growth'!CA252</f>
        <v>0</v>
      </c>
    </row>
    <row r="44" spans="1:60">
      <c r="B44" s="142"/>
      <c r="C44" s="223"/>
      <c r="D44" s="223"/>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3"/>
      <c r="AX44" s="223"/>
      <c r="AY44" s="223"/>
      <c r="AZ44" s="223"/>
      <c r="BA44" s="223"/>
      <c r="BB44" s="223"/>
      <c r="BC44" s="223"/>
      <c r="BD44" s="223"/>
      <c r="BE44" s="223"/>
      <c r="BF44" s="223"/>
      <c r="BG44" s="223"/>
      <c r="BH44" s="223"/>
    </row>
    <row r="45" spans="1:60">
      <c r="B45" s="142"/>
      <c r="C45" s="223"/>
      <c r="D45" s="223"/>
      <c r="E45" s="223"/>
      <c r="F45" s="223"/>
      <c r="G45" s="223"/>
      <c r="H45" s="223"/>
      <c r="I45" s="223"/>
      <c r="J45" s="223"/>
      <c r="K45" s="223"/>
      <c r="L45" s="223"/>
      <c r="M45" s="223"/>
      <c r="N45" s="223"/>
      <c r="O45" s="223"/>
      <c r="P45" s="223"/>
      <c r="Q45" s="223"/>
      <c r="R45" s="223"/>
      <c r="S45" s="223"/>
      <c r="T45" s="223"/>
      <c r="U45" s="223"/>
      <c r="V45" s="223"/>
      <c r="W45" s="223"/>
      <c r="X45" s="223"/>
      <c r="Y45" s="223"/>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3"/>
      <c r="AX45" s="223"/>
      <c r="AY45" s="223"/>
      <c r="AZ45" s="223"/>
      <c r="BA45" s="223"/>
      <c r="BB45" s="223"/>
      <c r="BC45" s="223"/>
      <c r="BD45" s="223"/>
      <c r="BE45" s="223"/>
      <c r="BF45" s="223"/>
      <c r="BG45" s="223"/>
      <c r="BH45" s="223"/>
    </row>
    <row r="46" spans="1:60">
      <c r="A46" s="9"/>
      <c r="B46" s="9"/>
    </row>
    <row r="47" spans="1:60">
      <c r="B47" s="108"/>
      <c r="BH47">
        <f>BI52/AB52</f>
        <v>1.1333369100614046</v>
      </c>
    </row>
    <row r="48" spans="1:60" s="588" customFormat="1">
      <c r="A48" s="698" t="s">
        <v>10</v>
      </c>
      <c r="B48" s="699" t="s">
        <v>3202</v>
      </c>
      <c r="E48" s="700"/>
    </row>
    <row r="49" spans="1:61">
      <c r="A49" s="227"/>
      <c r="B49" s="443"/>
    </row>
    <row r="50" spans="1:61" ht="58">
      <c r="C50" s="315"/>
      <c r="D50" s="343" t="s">
        <v>3206</v>
      </c>
      <c r="E50" s="343" t="s">
        <v>3207</v>
      </c>
    </row>
    <row r="51" spans="1:61">
      <c r="B51" s="34" t="s">
        <v>2544</v>
      </c>
      <c r="C51" s="534">
        <f>$C$8-2</f>
        <v>2022</v>
      </c>
      <c r="D51" s="34">
        <f>C51+1</f>
        <v>2023</v>
      </c>
      <c r="E51" s="34">
        <f t="shared" ref="E51:BI51" si="0">D51+1</f>
        <v>2024</v>
      </c>
      <c r="F51" s="34">
        <f t="shared" si="0"/>
        <v>2025</v>
      </c>
      <c r="G51" s="34">
        <f t="shared" si="0"/>
        <v>2026</v>
      </c>
      <c r="H51" s="34">
        <f t="shared" si="0"/>
        <v>2027</v>
      </c>
      <c r="I51" s="34">
        <f t="shared" si="0"/>
        <v>2028</v>
      </c>
      <c r="J51" s="34">
        <f t="shared" si="0"/>
        <v>2029</v>
      </c>
      <c r="K51" s="34">
        <f t="shared" si="0"/>
        <v>2030</v>
      </c>
      <c r="L51" s="34">
        <f t="shared" si="0"/>
        <v>2031</v>
      </c>
      <c r="M51" s="34">
        <f t="shared" si="0"/>
        <v>2032</v>
      </c>
      <c r="N51" s="34">
        <f t="shared" si="0"/>
        <v>2033</v>
      </c>
      <c r="O51" s="34">
        <f t="shared" si="0"/>
        <v>2034</v>
      </c>
      <c r="P51" s="34">
        <f t="shared" si="0"/>
        <v>2035</v>
      </c>
      <c r="Q51" s="34">
        <f t="shared" si="0"/>
        <v>2036</v>
      </c>
      <c r="R51" s="34">
        <f t="shared" si="0"/>
        <v>2037</v>
      </c>
      <c r="S51" s="34">
        <f t="shared" si="0"/>
        <v>2038</v>
      </c>
      <c r="T51" s="34">
        <f t="shared" si="0"/>
        <v>2039</v>
      </c>
      <c r="U51" s="34">
        <f t="shared" si="0"/>
        <v>2040</v>
      </c>
      <c r="V51" s="34">
        <f t="shared" si="0"/>
        <v>2041</v>
      </c>
      <c r="W51" s="34">
        <f t="shared" si="0"/>
        <v>2042</v>
      </c>
      <c r="X51" s="34">
        <f t="shared" si="0"/>
        <v>2043</v>
      </c>
      <c r="Y51" s="34">
        <f t="shared" si="0"/>
        <v>2044</v>
      </c>
      <c r="Z51" s="34">
        <f t="shared" si="0"/>
        <v>2045</v>
      </c>
      <c r="AA51" s="34">
        <f t="shared" si="0"/>
        <v>2046</v>
      </c>
      <c r="AB51" s="34">
        <f t="shared" si="0"/>
        <v>2047</v>
      </c>
      <c r="AC51" s="34">
        <f t="shared" si="0"/>
        <v>2048</v>
      </c>
      <c r="AD51" s="34">
        <f t="shared" si="0"/>
        <v>2049</v>
      </c>
      <c r="AE51" s="34">
        <f t="shared" si="0"/>
        <v>2050</v>
      </c>
      <c r="AF51" s="34">
        <f t="shared" si="0"/>
        <v>2051</v>
      </c>
      <c r="AG51" s="34">
        <f t="shared" si="0"/>
        <v>2052</v>
      </c>
      <c r="AH51" s="34">
        <f t="shared" si="0"/>
        <v>2053</v>
      </c>
      <c r="AI51" s="34">
        <f t="shared" si="0"/>
        <v>2054</v>
      </c>
      <c r="AJ51" s="34">
        <f t="shared" si="0"/>
        <v>2055</v>
      </c>
      <c r="AK51" s="34">
        <f t="shared" si="0"/>
        <v>2056</v>
      </c>
      <c r="AL51" s="34">
        <f t="shared" si="0"/>
        <v>2057</v>
      </c>
      <c r="AM51" s="34">
        <f t="shared" si="0"/>
        <v>2058</v>
      </c>
      <c r="AN51" s="34">
        <f t="shared" si="0"/>
        <v>2059</v>
      </c>
      <c r="AO51" s="34">
        <f t="shared" si="0"/>
        <v>2060</v>
      </c>
      <c r="AP51" s="34">
        <f t="shared" si="0"/>
        <v>2061</v>
      </c>
      <c r="AQ51" s="34">
        <f t="shared" si="0"/>
        <v>2062</v>
      </c>
      <c r="AR51" s="34">
        <f t="shared" si="0"/>
        <v>2063</v>
      </c>
      <c r="AS51" s="34">
        <f t="shared" si="0"/>
        <v>2064</v>
      </c>
      <c r="AT51" s="34">
        <f t="shared" si="0"/>
        <v>2065</v>
      </c>
      <c r="AU51" s="34">
        <f t="shared" si="0"/>
        <v>2066</v>
      </c>
      <c r="AV51" s="34">
        <f t="shared" si="0"/>
        <v>2067</v>
      </c>
      <c r="AW51" s="34">
        <f t="shared" si="0"/>
        <v>2068</v>
      </c>
      <c r="AX51" s="34">
        <f t="shared" si="0"/>
        <v>2069</v>
      </c>
      <c r="AY51" s="34">
        <f t="shared" si="0"/>
        <v>2070</v>
      </c>
      <c r="AZ51" s="34">
        <f t="shared" si="0"/>
        <v>2071</v>
      </c>
      <c r="BA51" s="34">
        <f t="shared" si="0"/>
        <v>2072</v>
      </c>
      <c r="BB51" s="34">
        <f t="shared" si="0"/>
        <v>2073</v>
      </c>
      <c r="BC51" s="34">
        <f t="shared" si="0"/>
        <v>2074</v>
      </c>
      <c r="BD51" s="34">
        <f t="shared" si="0"/>
        <v>2075</v>
      </c>
      <c r="BE51" s="34">
        <f t="shared" si="0"/>
        <v>2076</v>
      </c>
      <c r="BF51" s="34">
        <f t="shared" si="0"/>
        <v>2077</v>
      </c>
      <c r="BG51" s="34">
        <f t="shared" si="0"/>
        <v>2078</v>
      </c>
      <c r="BH51" s="34">
        <f t="shared" si="0"/>
        <v>2079</v>
      </c>
      <c r="BI51" s="34">
        <f t="shared" si="0"/>
        <v>2080</v>
      </c>
    </row>
    <row r="52" spans="1:61" s="9" customFormat="1" ht="13.25" customHeight="1">
      <c r="B52" s="5" t="s">
        <v>22</v>
      </c>
      <c r="C52" s="535">
        <f>INDEX('Prevalence projection'!$C$34:$AE$34, MATCH(C$51, 'Prevalence projection'!$C$33:$AE$33,0))</f>
        <v>301.48374143342193</v>
      </c>
      <c r="D52" s="535">
        <f>INDEX('Prevalence projection'!$C$34:$AE$34, MATCH(D$51, 'Prevalence projection'!$C$33:$AE$33,0))</f>
        <v>308.83682243526221</v>
      </c>
      <c r="E52" s="224">
        <f t="shared" ref="E52:AJ52" si="1">D55+D56+D57</f>
        <v>314.37553069989838</v>
      </c>
      <c r="F52" s="224">
        <f t="shared" si="1"/>
        <v>277.88582072490561</v>
      </c>
      <c r="G52" s="224">
        <f t="shared" si="1"/>
        <v>256.37315277978058</v>
      </c>
      <c r="H52" s="224">
        <f t="shared" si="1"/>
        <v>244.34285256694437</v>
      </c>
      <c r="I52" s="224">
        <f t="shared" si="1"/>
        <v>238.29896463531171</v>
      </c>
      <c r="J52" s="224">
        <f t="shared" si="1"/>
        <v>235.9026420273251</v>
      </c>
      <c r="K52" s="224">
        <f t="shared" si="1"/>
        <v>235.80697903440895</v>
      </c>
      <c r="L52" s="224">
        <f t="shared" si="1"/>
        <v>237.74999820909085</v>
      </c>
      <c r="M52" s="224">
        <f t="shared" si="1"/>
        <v>240.64390541764186</v>
      </c>
      <c r="N52" s="224">
        <f t="shared" si="1"/>
        <v>243.93441480554444</v>
      </c>
      <c r="O52" s="224">
        <f t="shared" si="1"/>
        <v>247.34719245224204</v>
      </c>
      <c r="P52" s="224">
        <f t="shared" si="1"/>
        <v>250.7281200962039</v>
      </c>
      <c r="Q52" s="224">
        <f t="shared" si="1"/>
        <v>254.13603750730766</v>
      </c>
      <c r="R52" s="224">
        <f t="shared" si="1"/>
        <v>257.65161357631325</v>
      </c>
      <c r="S52" s="224">
        <f t="shared" si="1"/>
        <v>261.23969716150827</v>
      </c>
      <c r="T52" s="224">
        <f t="shared" si="1"/>
        <v>264.75822159533448</v>
      </c>
      <c r="U52" s="224">
        <f t="shared" si="1"/>
        <v>268.21803220679669</v>
      </c>
      <c r="V52" s="224">
        <f t="shared" si="1"/>
        <v>271.86446261292406</v>
      </c>
      <c r="W52" s="224">
        <f t="shared" si="1"/>
        <v>275.44442223636815</v>
      </c>
      <c r="X52" s="224">
        <f t="shared" si="1"/>
        <v>278.90403811310114</v>
      </c>
      <c r="Y52" s="224">
        <f t="shared" si="1"/>
        <v>282.24677942803567</v>
      </c>
      <c r="Z52" s="224">
        <f t="shared" si="1"/>
        <v>285.58316133872449</v>
      </c>
      <c r="AA52" s="224">
        <f t="shared" si="1"/>
        <v>288.88071034746326</v>
      </c>
      <c r="AB52" s="224">
        <f t="shared" si="1"/>
        <v>292.0952799924317</v>
      </c>
      <c r="AC52" s="224">
        <f t="shared" si="1"/>
        <v>295.19948705784196</v>
      </c>
      <c r="AD52" s="224">
        <f t="shared" si="1"/>
        <v>298.16915358969214</v>
      </c>
      <c r="AE52" s="224">
        <f t="shared" si="1"/>
        <v>300.99054717150989</v>
      </c>
      <c r="AF52" s="224">
        <f t="shared" si="1"/>
        <v>303.65206574098249</v>
      </c>
      <c r="AG52" s="224">
        <f t="shared" si="1"/>
        <v>306.1817619302372</v>
      </c>
      <c r="AH52" s="224">
        <f t="shared" si="1"/>
        <v>308.6765826835076</v>
      </c>
      <c r="AI52" s="224">
        <f t="shared" si="1"/>
        <v>311.13417463889937</v>
      </c>
      <c r="AJ52" s="224">
        <f t="shared" si="1"/>
        <v>313.58005824735727</v>
      </c>
      <c r="AK52" s="224">
        <f t="shared" ref="AK52:BI52" si="2">AJ55+AJ56+AJ57</f>
        <v>315.89787744429555</v>
      </c>
      <c r="AL52" s="224">
        <f t="shared" si="2"/>
        <v>318.01684878980785</v>
      </c>
      <c r="AM52" s="224">
        <f t="shared" si="2"/>
        <v>319.90104307053389</v>
      </c>
      <c r="AN52" s="224">
        <f t="shared" si="2"/>
        <v>321.60288719880367</v>
      </c>
      <c r="AO52" s="224">
        <f t="shared" si="2"/>
        <v>323.13699324423237</v>
      </c>
      <c r="AP52" s="224">
        <f t="shared" si="2"/>
        <v>324.4935838194416</v>
      </c>
      <c r="AQ52" s="224">
        <f t="shared" si="2"/>
        <v>325.79136429802702</v>
      </c>
      <c r="AR52" s="224">
        <f t="shared" si="2"/>
        <v>327.14333402352423</v>
      </c>
      <c r="AS52" s="224">
        <f t="shared" si="2"/>
        <v>328.62282901801973</v>
      </c>
      <c r="AT52" s="224">
        <f t="shared" si="2"/>
        <v>329.54109526609847</v>
      </c>
      <c r="AU52" s="224">
        <f t="shared" si="2"/>
        <v>330.11102818611363</v>
      </c>
      <c r="AV52" s="224">
        <f t="shared" si="2"/>
        <v>330.46476386353464</v>
      </c>
      <c r="AW52" s="224">
        <f t="shared" si="2"/>
        <v>330.68431413881473</v>
      </c>
      <c r="AX52" s="224">
        <f t="shared" si="2"/>
        <v>330.82058064076045</v>
      </c>
      <c r="AY52" s="224">
        <f t="shared" si="2"/>
        <v>330.90515607355746</v>
      </c>
      <c r="AZ52" s="224">
        <f t="shared" si="2"/>
        <v>330.95764882658682</v>
      </c>
      <c r="BA52" s="224">
        <f t="shared" si="2"/>
        <v>330.99022908103507</v>
      </c>
      <c r="BB52" s="224">
        <f t="shared" si="2"/>
        <v>331.01045040528754</v>
      </c>
      <c r="BC52" s="224">
        <f t="shared" si="2"/>
        <v>331.02300101182664</v>
      </c>
      <c r="BD52" s="224">
        <f t="shared" si="2"/>
        <v>331.03079069575301</v>
      </c>
      <c r="BE52" s="224">
        <f t="shared" si="2"/>
        <v>331.03562545616751</v>
      </c>
      <c r="BF52" s="224">
        <f t="shared" si="2"/>
        <v>331.03862620799345</v>
      </c>
      <c r="BG52" s="224">
        <f t="shared" si="2"/>
        <v>331.04048866047276</v>
      </c>
      <c r="BH52" s="224">
        <f t="shared" si="2"/>
        <v>331.04164461386006</v>
      </c>
      <c r="BI52" s="224">
        <f t="shared" si="2"/>
        <v>331.04236207014333</v>
      </c>
    </row>
    <row r="53" spans="1:61" s="9" customFormat="1" ht="13.25" customHeight="1">
      <c r="B53" s="5"/>
      <c r="C53" s="531"/>
      <c r="D53" s="531"/>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O53" s="224"/>
      <c r="AP53" s="224"/>
      <c r="AQ53" s="224"/>
      <c r="AR53" s="224"/>
      <c r="AS53" s="224"/>
      <c r="AT53" s="224"/>
      <c r="AU53" s="224"/>
      <c r="AV53" s="224"/>
      <c r="AW53" s="224"/>
      <c r="AX53" s="224"/>
      <c r="AY53" s="224"/>
      <c r="AZ53" s="224"/>
      <c r="BA53" s="224"/>
      <c r="BB53" s="224"/>
      <c r="BC53" s="224"/>
      <c r="BD53" s="224"/>
      <c r="BE53" s="224"/>
      <c r="BF53" s="224"/>
      <c r="BG53" s="224"/>
      <c r="BH53" s="224"/>
      <c r="BI53" s="224"/>
    </row>
    <row r="54" spans="1:61" ht="13.25" customHeight="1">
      <c r="B54" s="6" t="s">
        <v>97</v>
      </c>
      <c r="C54" s="214">
        <f t="shared" ref="C54:AH54" si="3">C52*IF(C$51&lt;$C$8,$C$34, $E$34)</f>
        <v>141.69735847370831</v>
      </c>
      <c r="D54" s="214">
        <f t="shared" si="3"/>
        <v>145.15330654457324</v>
      </c>
      <c r="E54" s="214">
        <f t="shared" si="3"/>
        <v>189.52314077785917</v>
      </c>
      <c r="F54" s="214">
        <f t="shared" si="3"/>
        <v>167.52510414588141</v>
      </c>
      <c r="G54" s="214">
        <f t="shared" si="3"/>
        <v>154.55606553656517</v>
      </c>
      <c r="H54" s="214">
        <f t="shared" si="3"/>
        <v>147.30352817858051</v>
      </c>
      <c r="I54" s="214">
        <f t="shared" si="3"/>
        <v>143.65993473235307</v>
      </c>
      <c r="J54" s="214">
        <f t="shared" si="3"/>
        <v>142.2152975305597</v>
      </c>
      <c r="K54" s="214">
        <f t="shared" si="3"/>
        <v>142.15762653169628</v>
      </c>
      <c r="L54" s="214">
        <f t="shared" si="3"/>
        <v>143.32898708815398</v>
      </c>
      <c r="M54" s="214">
        <f t="shared" si="3"/>
        <v>145.07359609784129</v>
      </c>
      <c r="N54" s="214">
        <f t="shared" si="3"/>
        <v>147.05729906787187</v>
      </c>
      <c r="O54" s="214">
        <f t="shared" si="3"/>
        <v>149.1147121780418</v>
      </c>
      <c r="P54" s="214">
        <f t="shared" si="3"/>
        <v>151.15292432642306</v>
      </c>
      <c r="Q54" s="214">
        <f t="shared" si="3"/>
        <v>153.20740741493191</v>
      </c>
      <c r="R54" s="214">
        <f t="shared" si="3"/>
        <v>155.32679315961141</v>
      </c>
      <c r="S54" s="214">
        <f t="shared" si="3"/>
        <v>157.48989048759267</v>
      </c>
      <c r="T54" s="214">
        <f t="shared" si="3"/>
        <v>159.61105367137412</v>
      </c>
      <c r="U54" s="214">
        <f t="shared" si="3"/>
        <v>161.69682088143995</v>
      </c>
      <c r="V54" s="214">
        <f t="shared" si="3"/>
        <v>163.89509293416165</v>
      </c>
      <c r="W54" s="214">
        <f t="shared" si="3"/>
        <v>166.0532926839403</v>
      </c>
      <c r="X54" s="214">
        <f t="shared" si="3"/>
        <v>168.13894249702733</v>
      </c>
      <c r="Y54" s="214">
        <f t="shared" si="3"/>
        <v>170.15413379198554</v>
      </c>
      <c r="Z54" s="214">
        <f t="shared" si="3"/>
        <v>172.16549128262878</v>
      </c>
      <c r="AA54" s="214">
        <f t="shared" si="3"/>
        <v>174.15343812955331</v>
      </c>
      <c r="AB54" s="214">
        <f t="shared" si="3"/>
        <v>176.09136037816864</v>
      </c>
      <c r="AC54" s="214">
        <f t="shared" si="3"/>
        <v>177.96274989551304</v>
      </c>
      <c r="AD54" s="214">
        <f t="shared" si="3"/>
        <v>179.75303085957574</v>
      </c>
      <c r="AE54" s="214">
        <f t="shared" si="3"/>
        <v>181.45392460218395</v>
      </c>
      <c r="AF54" s="214">
        <f t="shared" si="3"/>
        <v>183.05843675172068</v>
      </c>
      <c r="AG54" s="214">
        <f t="shared" si="3"/>
        <v>184.58347900273162</v>
      </c>
      <c r="AH54" s="214">
        <f t="shared" si="3"/>
        <v>186.08749639169613</v>
      </c>
      <c r="AI54" s="214">
        <f t="shared" ref="AI54:BI54" si="4">AI52*IF(AI$51&lt;$C$8,$C$34, $E$34)</f>
        <v>187.56907018053172</v>
      </c>
      <c r="AJ54" s="214">
        <f t="shared" si="4"/>
        <v>189.0435855234403</v>
      </c>
      <c r="AK54" s="214">
        <f t="shared" si="4"/>
        <v>190.44089648139234</v>
      </c>
      <c r="AL54" s="214">
        <f t="shared" si="4"/>
        <v>191.71833084063047</v>
      </c>
      <c r="AM54" s="214">
        <f t="shared" si="4"/>
        <v>192.85422846320901</v>
      </c>
      <c r="AN54" s="214">
        <f t="shared" si="4"/>
        <v>193.8801952220912</v>
      </c>
      <c r="AO54" s="214">
        <f t="shared" si="4"/>
        <v>194.80504008952937</v>
      </c>
      <c r="AP54" s="214">
        <f t="shared" si="4"/>
        <v>195.62286870994043</v>
      </c>
      <c r="AQ54" s="214">
        <f t="shared" si="4"/>
        <v>196.40524331713115</v>
      </c>
      <c r="AR54" s="214">
        <f t="shared" si="4"/>
        <v>197.2202862310703</v>
      </c>
      <c r="AS54" s="214">
        <f t="shared" si="4"/>
        <v>198.11220850472071</v>
      </c>
      <c r="AT54" s="214">
        <f t="shared" si="4"/>
        <v>198.66579072220034</v>
      </c>
      <c r="AU54" s="214">
        <f t="shared" si="4"/>
        <v>199.00937814070423</v>
      </c>
      <c r="AV54" s="214">
        <f t="shared" si="4"/>
        <v>199.22262977781719</v>
      </c>
      <c r="AW54" s="214">
        <f t="shared" si="4"/>
        <v>199.35498695471671</v>
      </c>
      <c r="AX54" s="214">
        <f t="shared" si="4"/>
        <v>199.43713601820798</v>
      </c>
      <c r="AY54" s="214">
        <f t="shared" si="4"/>
        <v>199.48812281613291</v>
      </c>
      <c r="AZ54" s="214">
        <f t="shared" si="4"/>
        <v>199.51976838154968</v>
      </c>
      <c r="BA54" s="214">
        <f t="shared" si="4"/>
        <v>199.53940957988542</v>
      </c>
      <c r="BB54" s="214">
        <f t="shared" si="4"/>
        <v>199.55160012434186</v>
      </c>
      <c r="BC54" s="214">
        <f t="shared" si="4"/>
        <v>199.55916633143394</v>
      </c>
      <c r="BD54" s="214">
        <f t="shared" si="4"/>
        <v>199.56386238828068</v>
      </c>
      <c r="BE54" s="214">
        <f t="shared" si="4"/>
        <v>199.5667770520798</v>
      </c>
      <c r="BF54" s="214">
        <f t="shared" si="4"/>
        <v>199.56858607299654</v>
      </c>
      <c r="BG54" s="214">
        <f t="shared" si="4"/>
        <v>199.56970886344607</v>
      </c>
      <c r="BH54" s="214">
        <f t="shared" si="4"/>
        <v>199.5704057367557</v>
      </c>
      <c r="BI54" s="214">
        <f t="shared" si="4"/>
        <v>199.57083825950286</v>
      </c>
    </row>
    <row r="55" spans="1:61" ht="22.25" customHeight="1">
      <c r="B55" s="6" t="s">
        <v>98</v>
      </c>
      <c r="C55" s="214">
        <f t="shared" ref="C55:AH55" si="5">C52*IF(C$51&lt;$C$8,(1-$C$34), (1-$E$34))</f>
        <v>159.78638295971362</v>
      </c>
      <c r="D55" s="214">
        <f t="shared" si="5"/>
        <v>163.68351589068897</v>
      </c>
      <c r="E55" s="214">
        <f t="shared" si="5"/>
        <v>124.85238992203922</v>
      </c>
      <c r="F55" s="214">
        <f t="shared" si="5"/>
        <v>110.36071657902419</v>
      </c>
      <c r="G55" s="214">
        <f t="shared" si="5"/>
        <v>101.81708724321541</v>
      </c>
      <c r="H55" s="214">
        <f t="shared" si="5"/>
        <v>97.039324388363866</v>
      </c>
      <c r="I55" s="214">
        <f t="shared" si="5"/>
        <v>94.639029902958626</v>
      </c>
      <c r="J55" s="214">
        <f t="shared" si="5"/>
        <v>93.687344496765405</v>
      </c>
      <c r="K55" s="214">
        <f t="shared" si="5"/>
        <v>93.649352502712674</v>
      </c>
      <c r="L55" s="214">
        <f t="shared" si="5"/>
        <v>94.421011120936868</v>
      </c>
      <c r="M55" s="214">
        <f t="shared" si="5"/>
        <v>95.570309319800572</v>
      </c>
      <c r="N55" s="214">
        <f t="shared" si="5"/>
        <v>96.877115737672568</v>
      </c>
      <c r="O55" s="214">
        <f t="shared" si="5"/>
        <v>98.232480274200242</v>
      </c>
      <c r="P55" s="214">
        <f t="shared" si="5"/>
        <v>99.575195769780834</v>
      </c>
      <c r="Q55" s="214">
        <f t="shared" si="5"/>
        <v>100.92863009237576</v>
      </c>
      <c r="R55" s="214">
        <f t="shared" si="5"/>
        <v>102.32482041670184</v>
      </c>
      <c r="S55" s="214">
        <f t="shared" si="5"/>
        <v>103.74980667391559</v>
      </c>
      <c r="T55" s="214">
        <f t="shared" si="5"/>
        <v>105.14716792396034</v>
      </c>
      <c r="U55" s="214">
        <f t="shared" si="5"/>
        <v>106.52121132535675</v>
      </c>
      <c r="V55" s="214">
        <f t="shared" si="5"/>
        <v>107.9693696787624</v>
      </c>
      <c r="W55" s="214">
        <f t="shared" si="5"/>
        <v>109.39112955242786</v>
      </c>
      <c r="X55" s="214">
        <f t="shared" si="5"/>
        <v>110.76509561607381</v>
      </c>
      <c r="Y55" s="214">
        <f t="shared" si="5"/>
        <v>112.09264563605012</v>
      </c>
      <c r="Z55" s="214">
        <f t="shared" si="5"/>
        <v>113.41767005609572</v>
      </c>
      <c r="AA55" s="214">
        <f t="shared" si="5"/>
        <v>114.72727221790997</v>
      </c>
      <c r="AB55" s="214">
        <f t="shared" si="5"/>
        <v>116.00391961426307</v>
      </c>
      <c r="AC55" s="214">
        <f t="shared" si="5"/>
        <v>117.23673716232892</v>
      </c>
      <c r="AD55" s="214">
        <f t="shared" si="5"/>
        <v>118.4161227301164</v>
      </c>
      <c r="AE55" s="214">
        <f t="shared" si="5"/>
        <v>119.53662256932593</v>
      </c>
      <c r="AF55" s="214">
        <f t="shared" si="5"/>
        <v>120.59362898926182</v>
      </c>
      <c r="AG55" s="214">
        <f t="shared" si="5"/>
        <v>121.59828292750558</v>
      </c>
      <c r="AH55" s="214">
        <f t="shared" si="5"/>
        <v>122.58908629181147</v>
      </c>
      <c r="AI55" s="214">
        <f t="shared" ref="AI55:BI55" si="6">AI52*IF(AI$51&lt;$C$8,(1-$C$34), (1-$E$34))</f>
        <v>123.56510445836766</v>
      </c>
      <c r="AJ55" s="214">
        <f t="shared" si="6"/>
        <v>124.53647272391699</v>
      </c>
      <c r="AK55" s="214">
        <f t="shared" si="6"/>
        <v>125.45698096290322</v>
      </c>
      <c r="AL55" s="214">
        <f t="shared" si="6"/>
        <v>126.29851794917737</v>
      </c>
      <c r="AM55" s="214">
        <f t="shared" si="6"/>
        <v>127.04681460732488</v>
      </c>
      <c r="AN55" s="214">
        <f t="shared" si="6"/>
        <v>127.72269197671245</v>
      </c>
      <c r="AO55" s="214">
        <f t="shared" si="6"/>
        <v>128.331953154703</v>
      </c>
      <c r="AP55" s="214">
        <f t="shared" si="6"/>
        <v>128.87071510950116</v>
      </c>
      <c r="AQ55" s="214">
        <f t="shared" si="6"/>
        <v>129.38612098089587</v>
      </c>
      <c r="AR55" s="214">
        <f t="shared" si="6"/>
        <v>129.92304779245393</v>
      </c>
      <c r="AS55" s="214">
        <f t="shared" si="6"/>
        <v>130.51062051329902</v>
      </c>
      <c r="AT55" s="214">
        <f t="shared" si="6"/>
        <v>130.87530454389812</v>
      </c>
      <c r="AU55" s="214">
        <f t="shared" si="6"/>
        <v>131.1016500454094</v>
      </c>
      <c r="AV55" s="214">
        <f t="shared" si="6"/>
        <v>131.24213408571745</v>
      </c>
      <c r="AW55" s="214">
        <f t="shared" si="6"/>
        <v>131.32932718409802</v>
      </c>
      <c r="AX55" s="214">
        <f t="shared" si="6"/>
        <v>131.38344462255247</v>
      </c>
      <c r="AY55" s="214">
        <f t="shared" si="6"/>
        <v>131.41703325742455</v>
      </c>
      <c r="AZ55" s="214">
        <f t="shared" si="6"/>
        <v>131.43788044503714</v>
      </c>
      <c r="BA55" s="214">
        <f t="shared" si="6"/>
        <v>131.45081950114965</v>
      </c>
      <c r="BB55" s="214">
        <f t="shared" si="6"/>
        <v>131.45885028094568</v>
      </c>
      <c r="BC55" s="214">
        <f t="shared" si="6"/>
        <v>131.46383468039269</v>
      </c>
      <c r="BD55" s="214">
        <f t="shared" si="6"/>
        <v>131.46692830747233</v>
      </c>
      <c r="BE55" s="214">
        <f t="shared" si="6"/>
        <v>131.46884840408771</v>
      </c>
      <c r="BF55" s="214">
        <f t="shared" si="6"/>
        <v>131.47004013499691</v>
      </c>
      <c r="BG55" s="214">
        <f t="shared" si="6"/>
        <v>131.47077979702669</v>
      </c>
      <c r="BH55" s="214">
        <f t="shared" si="6"/>
        <v>131.47123887710435</v>
      </c>
      <c r="BI55" s="214">
        <f t="shared" si="6"/>
        <v>131.47152381064046</v>
      </c>
    </row>
    <row r="56" spans="1:61">
      <c r="B56" s="6" t="s">
        <v>2534</v>
      </c>
      <c r="C56" s="214">
        <f>C54*IF(C$51&lt;$C$8, $C$25,$E$25)</f>
        <v>67.306245275011449</v>
      </c>
      <c r="D56" s="214">
        <f>D54*IF(D$51&lt;$C$8, $C$25,$E$25)</f>
        <v>68.947820608672288</v>
      </c>
      <c r="E56" s="214">
        <f>E54*IF(E$51&lt;$C$8, $C$25,$E$25)</f>
        <v>70.268539947681148</v>
      </c>
      <c r="F56" s="214">
        <f>F54*IF(F$51&lt;$C$8, $C$25,$E$25)</f>
        <v>62.112438748110563</v>
      </c>
      <c r="G56" s="214">
        <f>G54*IF(G$51&lt;$C$8, $C$25,$E$25)</f>
        <v>57.303973650595559</v>
      </c>
      <c r="H56" s="214">
        <f t="shared" ref="H56:AM56" si="7">H54*$E$25</f>
        <v>54.614986918052281</v>
      </c>
      <c r="I56" s="214">
        <f t="shared" si="7"/>
        <v>53.264070135127945</v>
      </c>
      <c r="J56" s="214">
        <f t="shared" si="7"/>
        <v>52.728449278975567</v>
      </c>
      <c r="K56" s="214">
        <f t="shared" si="7"/>
        <v>52.707066893316359</v>
      </c>
      <c r="L56" s="214">
        <f t="shared" si="7"/>
        <v>53.141366344648596</v>
      </c>
      <c r="M56" s="214">
        <f t="shared" si="7"/>
        <v>53.788206236532758</v>
      </c>
      <c r="N56" s="214">
        <f t="shared" si="7"/>
        <v>54.523693791360209</v>
      </c>
      <c r="O56" s="214">
        <f t="shared" si="7"/>
        <v>55.286510483440637</v>
      </c>
      <c r="P56" s="214">
        <f t="shared" si="7"/>
        <v>56.042208131667394</v>
      </c>
      <c r="Q56" s="214">
        <f t="shared" si="7"/>
        <v>56.803938474380168</v>
      </c>
      <c r="R56" s="214">
        <f t="shared" si="7"/>
        <v>57.589732447893482</v>
      </c>
      <c r="S56" s="214">
        <f t="shared" si="7"/>
        <v>58.391733144896129</v>
      </c>
      <c r="T56" s="214">
        <f t="shared" si="7"/>
        <v>59.178186130549214</v>
      </c>
      <c r="U56" s="214">
        <f t="shared" si="7"/>
        <v>59.951515529378995</v>
      </c>
      <c r="V56" s="214">
        <f t="shared" si="7"/>
        <v>60.766557781837236</v>
      </c>
      <c r="W56" s="214">
        <f t="shared" si="7"/>
        <v>61.566742628447336</v>
      </c>
      <c r="X56" s="214">
        <f t="shared" si="7"/>
        <v>62.340028500590826</v>
      </c>
      <c r="Y56" s="214">
        <f t="shared" si="7"/>
        <v>63.087190822990102</v>
      </c>
      <c r="Z56" s="214">
        <f t="shared" si="7"/>
        <v>63.832931705081073</v>
      </c>
      <c r="AA56" s="214">
        <f t="shared" si="7"/>
        <v>64.569992740760696</v>
      </c>
      <c r="AB56" s="214">
        <f t="shared" si="7"/>
        <v>65.288506408186336</v>
      </c>
      <c r="AC56" s="214">
        <f t="shared" si="7"/>
        <v>65.98235207008004</v>
      </c>
      <c r="AD56" s="214">
        <f t="shared" si="7"/>
        <v>66.646125522358687</v>
      </c>
      <c r="AE56" s="214">
        <f t="shared" si="7"/>
        <v>67.276757324937961</v>
      </c>
      <c r="AF56" s="214">
        <f t="shared" si="7"/>
        <v>67.871654209896263</v>
      </c>
      <c r="AG56" s="214">
        <f t="shared" si="7"/>
        <v>68.437086441006599</v>
      </c>
      <c r="AH56" s="214">
        <f t="shared" si="7"/>
        <v>68.994723389954871</v>
      </c>
      <c r="AI56" s="214">
        <f t="shared" si="7"/>
        <v>69.544039038370897</v>
      </c>
      <c r="AJ56" s="214">
        <f t="shared" si="7"/>
        <v>70.090737662356261</v>
      </c>
      <c r="AK56" s="214">
        <f t="shared" si="7"/>
        <v>70.608811605544403</v>
      </c>
      <c r="AL56" s="214">
        <f t="shared" si="7"/>
        <v>71.082439506254829</v>
      </c>
      <c r="AM56" s="214">
        <f t="shared" si="7"/>
        <v>71.503590544281323</v>
      </c>
      <c r="AN56" s="214">
        <f t="shared" ref="AN56:BI56" si="8">AN54*$E$25</f>
        <v>71.883983069888558</v>
      </c>
      <c r="AO56" s="214">
        <f t="shared" si="8"/>
        <v>72.226883141332394</v>
      </c>
      <c r="AP56" s="214">
        <f t="shared" si="8"/>
        <v>72.530105338093421</v>
      </c>
      <c r="AQ56" s="214">
        <f t="shared" si="8"/>
        <v>72.820182429016413</v>
      </c>
      <c r="AR56" s="214">
        <f t="shared" si="8"/>
        <v>73.122371783425322</v>
      </c>
      <c r="AS56" s="214">
        <f t="shared" si="8"/>
        <v>73.453065310658971</v>
      </c>
      <c r="AT56" s="214">
        <f t="shared" si="8"/>
        <v>73.658314200074997</v>
      </c>
      <c r="AU56" s="214">
        <f t="shared" si="8"/>
        <v>73.78570437598475</v>
      </c>
      <c r="AV56" s="214">
        <f t="shared" si="8"/>
        <v>73.864770610956796</v>
      </c>
      <c r="AW56" s="214">
        <f t="shared" si="8"/>
        <v>73.913844014521942</v>
      </c>
      <c r="AX56" s="214">
        <f t="shared" si="8"/>
        <v>73.944302008864526</v>
      </c>
      <c r="AY56" s="214">
        <f t="shared" si="8"/>
        <v>73.963206127021749</v>
      </c>
      <c r="AZ56" s="214">
        <f t="shared" si="8"/>
        <v>73.974939193857423</v>
      </c>
      <c r="BA56" s="214">
        <f t="shared" si="8"/>
        <v>73.982221461997398</v>
      </c>
      <c r="BB56" s="214">
        <f t="shared" si="8"/>
        <v>73.98674128874049</v>
      </c>
      <c r="BC56" s="214">
        <f t="shared" si="8"/>
        <v>73.98954657321984</v>
      </c>
      <c r="BD56" s="214">
        <f t="shared" si="8"/>
        <v>73.991287706554687</v>
      </c>
      <c r="BE56" s="214">
        <f t="shared" si="8"/>
        <v>73.992368361765244</v>
      </c>
      <c r="BF56" s="214">
        <f t="shared" si="8"/>
        <v>73.993039083335347</v>
      </c>
      <c r="BG56" s="214">
        <f t="shared" si="8"/>
        <v>73.993455374692857</v>
      </c>
      <c r="BH56" s="214">
        <f t="shared" si="8"/>
        <v>73.993713750898507</v>
      </c>
      <c r="BI56" s="214">
        <f t="shared" si="8"/>
        <v>73.993874115178102</v>
      </c>
    </row>
    <row r="57" spans="1:61" ht="13.25" customHeight="1">
      <c r="B57" s="6" t="s">
        <v>3205</v>
      </c>
      <c r="C57" s="214"/>
      <c r="D57" s="536">
        <f>D52-(C55+C56)</f>
        <v>81.744194200537152</v>
      </c>
      <c r="E57" s="214">
        <f t="shared" ref="E57:AJ57" si="9">D57*(1+D$43)</f>
        <v>82.764890855185229</v>
      </c>
      <c r="F57" s="214">
        <f t="shared" si="9"/>
        <v>83.89999745264582</v>
      </c>
      <c r="G57" s="214">
        <f t="shared" si="9"/>
        <v>85.221791673133396</v>
      </c>
      <c r="H57" s="214">
        <f t="shared" si="9"/>
        <v>86.644653328895544</v>
      </c>
      <c r="I57" s="214">
        <f t="shared" si="9"/>
        <v>87.999541989238523</v>
      </c>
      <c r="J57" s="214">
        <f t="shared" si="9"/>
        <v>89.391185258667974</v>
      </c>
      <c r="K57" s="214">
        <f t="shared" si="9"/>
        <v>91.393578813061822</v>
      </c>
      <c r="L57" s="214">
        <f t="shared" si="9"/>
        <v>93.081527952056405</v>
      </c>
      <c r="M57" s="214">
        <f t="shared" si="9"/>
        <v>94.575899249211119</v>
      </c>
      <c r="N57" s="214">
        <f t="shared" si="9"/>
        <v>95.946382923209242</v>
      </c>
      <c r="O57" s="214">
        <f t="shared" si="9"/>
        <v>97.209129338562988</v>
      </c>
      <c r="P57" s="214">
        <f t="shared" si="9"/>
        <v>98.518633605859435</v>
      </c>
      <c r="Q57" s="214">
        <f t="shared" si="9"/>
        <v>99.919045009557308</v>
      </c>
      <c r="R57" s="214">
        <f t="shared" si="9"/>
        <v>101.32514429691294</v>
      </c>
      <c r="S57" s="214">
        <f t="shared" si="9"/>
        <v>102.61668177652274</v>
      </c>
      <c r="T57" s="214">
        <f t="shared" si="9"/>
        <v>103.89267815228712</v>
      </c>
      <c r="U57" s="214">
        <f t="shared" si="9"/>
        <v>105.39173575818829</v>
      </c>
      <c r="V57" s="214">
        <f t="shared" si="9"/>
        <v>106.7084947757685</v>
      </c>
      <c r="W57" s="214">
        <f t="shared" si="9"/>
        <v>107.94616593222592</v>
      </c>
      <c r="X57" s="214">
        <f t="shared" si="9"/>
        <v>109.14165531137105</v>
      </c>
      <c r="Y57" s="214">
        <f t="shared" si="9"/>
        <v>110.40332487968425</v>
      </c>
      <c r="Z57" s="214">
        <f t="shared" si="9"/>
        <v>111.63010858628645</v>
      </c>
      <c r="AA57" s="214">
        <f t="shared" si="9"/>
        <v>112.79801503376102</v>
      </c>
      <c r="AB57" s="214">
        <f t="shared" si="9"/>
        <v>113.90706103539257</v>
      </c>
      <c r="AC57" s="214">
        <f t="shared" si="9"/>
        <v>114.95006435728315</v>
      </c>
      <c r="AD57" s="214">
        <f t="shared" si="9"/>
        <v>115.92829891903479</v>
      </c>
      <c r="AE57" s="214">
        <f t="shared" si="9"/>
        <v>116.83868584671858</v>
      </c>
      <c r="AF57" s="214">
        <f t="shared" si="9"/>
        <v>117.71647873107912</v>
      </c>
      <c r="AG57" s="214">
        <f t="shared" si="9"/>
        <v>118.64121331499538</v>
      </c>
      <c r="AH57" s="214">
        <f t="shared" si="9"/>
        <v>119.550364957133</v>
      </c>
      <c r="AI57" s="214">
        <f t="shared" si="9"/>
        <v>120.47091475061872</v>
      </c>
      <c r="AJ57" s="214">
        <f t="shared" si="9"/>
        <v>121.27066705802227</v>
      </c>
      <c r="AK57" s="214">
        <f t="shared" ref="AK57:BH57" si="10">AJ57*(1+AJ$43)</f>
        <v>121.95105622136022</v>
      </c>
      <c r="AL57" s="214">
        <f t="shared" si="10"/>
        <v>122.52008561510171</v>
      </c>
      <c r="AM57" s="214">
        <f t="shared" si="10"/>
        <v>123.05248204719749</v>
      </c>
      <c r="AN57" s="214">
        <f t="shared" si="10"/>
        <v>123.53031819763132</v>
      </c>
      <c r="AO57" s="214">
        <f t="shared" si="10"/>
        <v>123.93474752340623</v>
      </c>
      <c r="AP57" s="214">
        <f t="shared" si="10"/>
        <v>124.39054385043244</v>
      </c>
      <c r="AQ57" s="214">
        <f t="shared" si="10"/>
        <v>124.93703061361197</v>
      </c>
      <c r="AR57" s="214">
        <f t="shared" si="10"/>
        <v>125.57740944214049</v>
      </c>
      <c r="AS57" s="214">
        <f t="shared" si="10"/>
        <v>125.57740944214049</v>
      </c>
      <c r="AT57" s="214">
        <f t="shared" si="10"/>
        <v>125.57740944214049</v>
      </c>
      <c r="AU57" s="214">
        <f t="shared" si="10"/>
        <v>125.57740944214049</v>
      </c>
      <c r="AV57" s="214">
        <f t="shared" si="10"/>
        <v>125.57740944214049</v>
      </c>
      <c r="AW57" s="214">
        <f t="shared" si="10"/>
        <v>125.57740944214049</v>
      </c>
      <c r="AX57" s="214">
        <f t="shared" si="10"/>
        <v>125.57740944214049</v>
      </c>
      <c r="AY57" s="214">
        <f t="shared" si="10"/>
        <v>125.57740944214049</v>
      </c>
      <c r="AZ57" s="214">
        <f t="shared" si="10"/>
        <v>125.57740944214049</v>
      </c>
      <c r="BA57" s="214">
        <f t="shared" si="10"/>
        <v>125.57740944214049</v>
      </c>
      <c r="BB57" s="214">
        <f t="shared" si="10"/>
        <v>125.57740944214049</v>
      </c>
      <c r="BC57" s="214">
        <f t="shared" si="10"/>
        <v>125.57740944214049</v>
      </c>
      <c r="BD57" s="214">
        <f t="shared" si="10"/>
        <v>125.57740944214049</v>
      </c>
      <c r="BE57" s="214">
        <f t="shared" si="10"/>
        <v>125.57740944214049</v>
      </c>
      <c r="BF57" s="214">
        <f t="shared" si="10"/>
        <v>125.57740944214049</v>
      </c>
      <c r="BG57" s="214">
        <f t="shared" si="10"/>
        <v>125.57740944214049</v>
      </c>
      <c r="BH57" s="214">
        <f t="shared" si="10"/>
        <v>125.57740944214049</v>
      </c>
    </row>
    <row r="58" spans="1:61" s="151" customFormat="1">
      <c r="B58" s="343"/>
      <c r="C58" s="343"/>
      <c r="D58" s="343"/>
      <c r="E58" s="532"/>
      <c r="F58" s="532"/>
      <c r="G58" s="532"/>
      <c r="H58" s="532"/>
      <c r="I58" s="532"/>
      <c r="J58" s="532"/>
      <c r="K58" s="532"/>
      <c r="L58" s="532"/>
      <c r="M58" s="532"/>
      <c r="N58" s="532"/>
      <c r="O58" s="532"/>
      <c r="P58" s="532"/>
      <c r="Q58" s="532"/>
      <c r="R58" s="532"/>
      <c r="S58" s="532"/>
      <c r="T58" s="532"/>
      <c r="U58" s="532"/>
      <c r="V58" s="532"/>
      <c r="W58" s="532"/>
      <c r="X58" s="532"/>
      <c r="Y58" s="532"/>
      <c r="Z58" s="532"/>
      <c r="AA58" s="532"/>
      <c r="AB58" s="532"/>
      <c r="AC58" s="532"/>
      <c r="AD58" s="532"/>
      <c r="AE58" s="532"/>
      <c r="AF58" s="532"/>
      <c r="AG58" s="532"/>
      <c r="AH58" s="532"/>
      <c r="AI58" s="532"/>
      <c r="AJ58" s="532"/>
      <c r="AK58" s="532"/>
      <c r="AL58" s="532"/>
      <c r="AM58" s="532"/>
      <c r="AN58" s="532"/>
      <c r="AO58" s="532"/>
      <c r="AP58" s="532"/>
      <c r="AQ58" s="532"/>
      <c r="AR58" s="532"/>
      <c r="AS58" s="532"/>
      <c r="AT58" s="532"/>
      <c r="AU58" s="532"/>
      <c r="AV58" s="532"/>
      <c r="AW58" s="532"/>
      <c r="AX58" s="532"/>
      <c r="AY58" s="532"/>
      <c r="AZ58" s="532"/>
      <c r="BA58" s="532"/>
      <c r="BB58" s="532"/>
      <c r="BC58" s="532"/>
      <c r="BD58" s="532"/>
      <c r="BE58" s="532"/>
      <c r="BF58" s="532"/>
      <c r="BG58" s="532"/>
      <c r="BH58" s="532"/>
      <c r="BI58" s="532"/>
    </row>
    <row r="59" spans="1:61" s="20" customFormat="1" ht="26.4" customHeight="1">
      <c r="B59" s="33" t="s">
        <v>3201</v>
      </c>
      <c r="C59" s="566"/>
      <c r="D59" s="566">
        <f>D52/C52-1</f>
        <v>2.438964359032969E-2</v>
      </c>
      <c r="E59" s="566">
        <f t="shared" ref="E59:BH59" si="11">E52/D52-1</f>
        <v>1.7934092900457665E-2</v>
      </c>
      <c r="F59" s="566">
        <f t="shared" si="11"/>
        <v>-0.11607045209197819</v>
      </c>
      <c r="G59" s="566">
        <f t="shared" si="11"/>
        <v>-7.7415493489398246E-2</v>
      </c>
      <c r="H59" s="566">
        <f t="shared" si="11"/>
        <v>-4.6924961067081772E-2</v>
      </c>
      <c r="I59" s="566">
        <f t="shared" si="11"/>
        <v>-2.4735276142267226E-2</v>
      </c>
      <c r="J59" s="566">
        <f t="shared" si="11"/>
        <v>-1.0055950564677785E-2</v>
      </c>
      <c r="K59" s="566">
        <f t="shared" si="11"/>
        <v>-4.0551895516738323E-4</v>
      </c>
      <c r="L59" s="566">
        <f t="shared" si="11"/>
        <v>8.2398713669893375E-3</v>
      </c>
      <c r="M59" s="566">
        <f t="shared" si="11"/>
        <v>1.2172059854258954E-2</v>
      </c>
      <c r="N59" s="566">
        <f t="shared" si="11"/>
        <v>1.3673769889130716E-2</v>
      </c>
      <c r="O59" s="566">
        <f t="shared" si="11"/>
        <v>1.3990554179975634E-2</v>
      </c>
      <c r="P59" s="566">
        <f t="shared" si="11"/>
        <v>1.3668752858857047E-2</v>
      </c>
      <c r="Q59" s="566">
        <f t="shared" si="11"/>
        <v>1.3592082969377861E-2</v>
      </c>
      <c r="R59" s="566">
        <f t="shared" si="11"/>
        <v>1.3833441740447761E-2</v>
      </c>
      <c r="S59" s="566">
        <f t="shared" si="11"/>
        <v>1.3926105625309049E-2</v>
      </c>
      <c r="T59" s="566">
        <f t="shared" si="11"/>
        <v>1.3468567266218034E-2</v>
      </c>
      <c r="U59" s="566">
        <f t="shared" si="11"/>
        <v>1.3067811796795947E-2</v>
      </c>
      <c r="V59" s="566">
        <f t="shared" si="11"/>
        <v>1.3595023332793499E-2</v>
      </c>
      <c r="W59" s="566">
        <f t="shared" si="11"/>
        <v>1.3168177955429128E-2</v>
      </c>
      <c r="X59" s="566">
        <f t="shared" si="11"/>
        <v>1.2560123195249018E-2</v>
      </c>
      <c r="Y59" s="566">
        <f t="shared" si="11"/>
        <v>1.1985273994415957E-2</v>
      </c>
      <c r="Z59" s="566">
        <f t="shared" si="11"/>
        <v>1.1820797096250057E-2</v>
      </c>
      <c r="AA59" s="566">
        <f t="shared" si="11"/>
        <v>1.1546720728494275E-2</v>
      </c>
      <c r="AB59" s="566">
        <f t="shared" si="11"/>
        <v>1.1127671491467872E-2</v>
      </c>
      <c r="AC59" s="566">
        <f t="shared" si="11"/>
        <v>1.0627378386568465E-2</v>
      </c>
      <c r="AD59" s="566">
        <f t="shared" si="11"/>
        <v>1.0059863455210927E-2</v>
      </c>
      <c r="AE59" s="566">
        <f t="shared" si="11"/>
        <v>9.4623925642565165E-3</v>
      </c>
      <c r="AF59" s="566">
        <f t="shared" si="11"/>
        <v>8.8425320811023056E-3</v>
      </c>
      <c r="AG59" s="566">
        <f t="shared" si="11"/>
        <v>8.3309039346781688E-3</v>
      </c>
      <c r="AH59" s="566">
        <f t="shared" si="11"/>
        <v>8.1481690403193419E-3</v>
      </c>
      <c r="AI59" s="566">
        <f t="shared" si="11"/>
        <v>7.9617052062272986E-3</v>
      </c>
      <c r="AJ59" s="566">
        <f t="shared" si="11"/>
        <v>7.8611859699970754E-3</v>
      </c>
      <c r="AK59" s="566">
        <f t="shared" si="11"/>
        <v>7.3914751144983359E-3</v>
      </c>
      <c r="AL59" s="566">
        <f t="shared" si="11"/>
        <v>6.7077732926077438E-3</v>
      </c>
      <c r="AM59" s="566">
        <f t="shared" si="11"/>
        <v>5.9248253288974873E-3</v>
      </c>
      <c r="AN59" s="566">
        <f t="shared" si="11"/>
        <v>5.3199080313550695E-3</v>
      </c>
      <c r="AO59" s="566">
        <f t="shared" si="11"/>
        <v>4.7701874158871949E-3</v>
      </c>
      <c r="AP59" s="566">
        <f t="shared" si="11"/>
        <v>4.1981902523424708E-3</v>
      </c>
      <c r="AQ59" s="566">
        <f t="shared" si="11"/>
        <v>3.9994025869785066E-3</v>
      </c>
      <c r="AR59" s="566">
        <f t="shared" si="11"/>
        <v>4.1498022159374148E-3</v>
      </c>
      <c r="AS59" s="566">
        <f t="shared" si="11"/>
        <v>4.5224671898376201E-3</v>
      </c>
      <c r="AT59" s="566">
        <f t="shared" si="11"/>
        <v>2.7942862363599108E-3</v>
      </c>
      <c r="AU59" s="566">
        <f t="shared" si="11"/>
        <v>1.7294744971183551E-3</v>
      </c>
      <c r="AV59" s="566">
        <f t="shared" si="11"/>
        <v>1.0715657679318813E-3</v>
      </c>
      <c r="AW59" s="566">
        <f t="shared" si="11"/>
        <v>6.6436818471449222E-4</v>
      </c>
      <c r="AX59" s="566">
        <f t="shared" si="11"/>
        <v>4.1207428389999912E-4</v>
      </c>
      <c r="AY59" s="566">
        <f t="shared" si="11"/>
        <v>2.556534803039856E-4</v>
      </c>
      <c r="AZ59" s="566">
        <f t="shared" si="11"/>
        <v>1.586338322805414E-4</v>
      </c>
      <c r="BA59" s="566">
        <f t="shared" si="11"/>
        <v>9.8442367365558781E-5</v>
      </c>
      <c r="BB59" s="566">
        <f t="shared" si="11"/>
        <v>6.1093417496493885E-5</v>
      </c>
      <c r="BC59" s="566">
        <f t="shared" si="11"/>
        <v>3.7916043205576955E-5</v>
      </c>
      <c r="BD59" s="566">
        <f t="shared" si="11"/>
        <v>2.3532153060612515E-5</v>
      </c>
      <c r="BE59" s="566">
        <f t="shared" si="11"/>
        <v>1.4605168311865313E-5</v>
      </c>
      <c r="BF59" s="566">
        <f t="shared" si="11"/>
        <v>9.0647398502952115E-6</v>
      </c>
      <c r="BG59" s="566">
        <f t="shared" si="11"/>
        <v>5.6260881113878725E-6</v>
      </c>
      <c r="BH59" s="566">
        <f t="shared" si="11"/>
        <v>3.4918791715909947E-6</v>
      </c>
    </row>
    <row r="60" spans="1:61" s="9" customFormat="1" ht="13.25" customHeight="1">
      <c r="B60" s="113"/>
      <c r="C60" s="226"/>
      <c r="D60" s="226"/>
      <c r="E60" s="533"/>
      <c r="F60" s="533"/>
      <c r="G60" s="533"/>
      <c r="H60" s="533"/>
      <c r="I60" s="533"/>
      <c r="J60" s="533"/>
      <c r="K60" s="533"/>
      <c r="L60" s="533"/>
      <c r="M60" s="533"/>
      <c r="N60" s="533"/>
      <c r="O60" s="533"/>
      <c r="P60" s="533"/>
      <c r="Q60" s="533"/>
      <c r="R60" s="533"/>
      <c r="S60" s="226"/>
      <c r="T60" s="226"/>
      <c r="U60" s="226"/>
      <c r="V60" s="226"/>
      <c r="W60" s="226"/>
      <c r="X60" s="226"/>
      <c r="Y60" s="226"/>
      <c r="Z60" s="226"/>
      <c r="AA60" s="226"/>
      <c r="AB60" s="226"/>
      <c r="AC60" s="226"/>
      <c r="AD60" s="226"/>
      <c r="AE60" s="226"/>
      <c r="AF60" s="226"/>
      <c r="AG60" s="226"/>
      <c r="AH60" s="226"/>
      <c r="AI60" s="226"/>
      <c r="AJ60" s="226"/>
      <c r="AK60" s="226"/>
      <c r="AL60" s="226"/>
      <c r="AM60" s="226"/>
      <c r="AN60" s="226"/>
      <c r="AO60" s="226"/>
      <c r="AP60" s="226"/>
      <c r="AQ60" s="226"/>
      <c r="AR60" s="226"/>
      <c r="AS60" s="226"/>
      <c r="AT60" s="226"/>
      <c r="AU60" s="226"/>
      <c r="AV60" s="226"/>
      <c r="AW60" s="226"/>
      <c r="AX60" s="226"/>
      <c r="AY60" s="226"/>
      <c r="AZ60" s="226"/>
      <c r="BA60" s="226"/>
      <c r="BB60" s="226"/>
      <c r="BC60" s="226"/>
      <c r="BD60" s="226"/>
      <c r="BE60" s="226"/>
      <c r="BF60" s="226"/>
      <c r="BG60" s="226"/>
      <c r="BH60" s="226"/>
    </row>
    <row r="61" spans="1:61" s="9" customFormat="1" ht="13.25" customHeight="1">
      <c r="B61" s="113" t="s">
        <v>3242</v>
      </c>
      <c r="C61" s="226"/>
      <c r="D61" s="226"/>
      <c r="F61" s="226"/>
      <c r="G61" s="226"/>
      <c r="H61" s="533"/>
      <c r="I61" s="533"/>
      <c r="J61" s="533"/>
      <c r="K61" s="533"/>
      <c r="L61" s="533"/>
      <c r="M61" s="533"/>
      <c r="N61" s="533"/>
      <c r="O61" s="533"/>
      <c r="P61" s="533"/>
      <c r="Q61" s="533"/>
      <c r="R61" s="533"/>
      <c r="S61" s="226"/>
      <c r="T61" s="226"/>
      <c r="U61" s="226"/>
      <c r="V61" s="226"/>
      <c r="W61" s="226"/>
      <c r="X61" s="226"/>
      <c r="Y61" s="226"/>
      <c r="Z61" s="226"/>
      <c r="AA61" s="226"/>
      <c r="AB61" s="226"/>
      <c r="AC61" s="226"/>
      <c r="AD61" s="226"/>
      <c r="AE61" s="226"/>
      <c r="AF61" s="226"/>
      <c r="AG61" s="226"/>
      <c r="AH61" s="226"/>
      <c r="AI61" s="226"/>
      <c r="AJ61" s="226"/>
      <c r="AK61" s="226"/>
      <c r="AL61" s="226"/>
      <c r="AM61" s="226"/>
      <c r="AN61" s="226"/>
      <c r="AO61" s="226"/>
      <c r="AP61" s="226"/>
      <c r="AQ61" s="226"/>
      <c r="AR61" s="226"/>
      <c r="AS61" s="226"/>
      <c r="AT61" s="226"/>
      <c r="AU61" s="226"/>
      <c r="AV61" s="226"/>
      <c r="AW61" s="226"/>
      <c r="AX61" s="226"/>
      <c r="AY61" s="226"/>
      <c r="AZ61" s="226"/>
      <c r="BA61" s="226"/>
      <c r="BB61" s="226"/>
      <c r="BC61" s="226"/>
      <c r="BD61" s="226"/>
      <c r="BE61" s="226"/>
      <c r="BF61" s="226"/>
      <c r="BG61" s="226"/>
      <c r="BH61" s="226"/>
    </row>
    <row r="62" spans="1:61" s="9" customFormat="1" ht="13.25" customHeight="1">
      <c r="B62" s="343" t="s">
        <v>3237</v>
      </c>
      <c r="C62" s="226"/>
      <c r="D62" s="226"/>
      <c r="E62" s="703"/>
      <c r="F62" s="702"/>
      <c r="G62" s="226"/>
      <c r="H62" s="533"/>
      <c r="I62" s="533"/>
      <c r="J62" s="533"/>
      <c r="K62" s="533"/>
      <c r="L62" s="533"/>
      <c r="M62" s="533"/>
      <c r="N62" s="533"/>
      <c r="O62" s="533"/>
      <c r="P62" s="533"/>
      <c r="Q62" s="533"/>
      <c r="R62" s="533"/>
      <c r="S62" s="226"/>
      <c r="T62" s="226"/>
      <c r="U62" s="226"/>
      <c r="V62" s="226"/>
      <c r="W62" s="226"/>
      <c r="X62" s="226"/>
      <c r="Y62" s="226"/>
      <c r="Z62" s="226"/>
      <c r="AA62" s="226"/>
      <c r="AB62" s="226"/>
      <c r="AC62" s="226"/>
      <c r="AD62" s="226"/>
      <c r="AE62" s="226"/>
      <c r="AF62" s="226"/>
      <c r="AG62" s="226"/>
      <c r="AH62" s="226"/>
      <c r="AI62" s="226"/>
      <c r="AJ62" s="226"/>
      <c r="AK62" s="226"/>
      <c r="AL62" s="226"/>
      <c r="AM62" s="226"/>
      <c r="AN62" s="226"/>
      <c r="AO62" s="226"/>
      <c r="AP62" s="226"/>
      <c r="AQ62" s="226"/>
      <c r="AR62" s="226"/>
      <c r="AS62" s="226"/>
      <c r="AT62" s="226"/>
      <c r="AU62" s="226"/>
      <c r="AV62" s="226"/>
      <c r="AW62" s="226"/>
      <c r="AX62" s="226"/>
      <c r="AY62" s="226"/>
      <c r="AZ62" s="226"/>
      <c r="BA62" s="226"/>
      <c r="BB62" s="226"/>
      <c r="BC62" s="226"/>
      <c r="BD62" s="226"/>
      <c r="BE62" s="226"/>
      <c r="BF62" s="226"/>
      <c r="BG62" s="226"/>
      <c r="BH62" s="226"/>
    </row>
    <row r="63" spans="1:61">
      <c r="B63" s="34" t="s">
        <v>2544</v>
      </c>
      <c r="C63" s="534">
        <f>$C$8-2</f>
        <v>2022</v>
      </c>
      <c r="D63" s="34">
        <f>C63+1</f>
        <v>2023</v>
      </c>
      <c r="E63" s="34">
        <f t="shared" ref="E63" si="12">D63+1</f>
        <v>2024</v>
      </c>
      <c r="F63" s="34">
        <f t="shared" ref="F63" si="13">E63+1</f>
        <v>2025</v>
      </c>
      <c r="G63" s="34">
        <f t="shared" ref="G63" si="14">F63+1</f>
        <v>2026</v>
      </c>
      <c r="H63" s="34">
        <f t="shared" ref="H63" si="15">G63+1</f>
        <v>2027</v>
      </c>
      <c r="I63" s="34">
        <f t="shared" ref="I63" si="16">H63+1</f>
        <v>2028</v>
      </c>
      <c r="J63" s="34">
        <f t="shared" ref="J63" si="17">I63+1</f>
        <v>2029</v>
      </c>
      <c r="K63" s="34">
        <f t="shared" ref="K63" si="18">J63+1</f>
        <v>2030</v>
      </c>
      <c r="L63" s="34">
        <f t="shared" ref="L63" si="19">K63+1</f>
        <v>2031</v>
      </c>
      <c r="M63" s="34">
        <f t="shared" ref="M63" si="20">L63+1</f>
        <v>2032</v>
      </c>
      <c r="N63" s="34">
        <f t="shared" ref="N63" si="21">M63+1</f>
        <v>2033</v>
      </c>
      <c r="O63" s="34">
        <f t="shared" ref="O63" si="22">N63+1</f>
        <v>2034</v>
      </c>
      <c r="P63" s="34">
        <f t="shared" ref="P63" si="23">O63+1</f>
        <v>2035</v>
      </c>
      <c r="Q63" s="34">
        <f t="shared" ref="Q63" si="24">P63+1</f>
        <v>2036</v>
      </c>
      <c r="R63" s="34">
        <f t="shared" ref="R63" si="25">Q63+1</f>
        <v>2037</v>
      </c>
      <c r="S63" s="34">
        <f t="shared" ref="S63" si="26">R63+1</f>
        <v>2038</v>
      </c>
      <c r="T63" s="34">
        <f t="shared" ref="T63" si="27">S63+1</f>
        <v>2039</v>
      </c>
      <c r="U63" s="34">
        <f t="shared" ref="U63" si="28">T63+1</f>
        <v>2040</v>
      </c>
      <c r="V63" s="34">
        <f t="shared" ref="V63" si="29">U63+1</f>
        <v>2041</v>
      </c>
      <c r="W63" s="34">
        <f t="shared" ref="W63" si="30">V63+1</f>
        <v>2042</v>
      </c>
      <c r="X63" s="34">
        <f t="shared" ref="X63" si="31">W63+1</f>
        <v>2043</v>
      </c>
      <c r="Y63" s="34">
        <f t="shared" ref="Y63" si="32">X63+1</f>
        <v>2044</v>
      </c>
      <c r="Z63" s="34">
        <f t="shared" ref="Z63" si="33">Y63+1</f>
        <v>2045</v>
      </c>
      <c r="AA63" s="34">
        <f t="shared" ref="AA63" si="34">Z63+1</f>
        <v>2046</v>
      </c>
      <c r="AB63" s="34">
        <f t="shared" ref="AB63" si="35">AA63+1</f>
        <v>2047</v>
      </c>
      <c r="AC63" s="34">
        <f t="shared" ref="AC63" si="36">AB63+1</f>
        <v>2048</v>
      </c>
      <c r="AD63" s="34">
        <f t="shared" ref="AD63" si="37">AC63+1</f>
        <v>2049</v>
      </c>
      <c r="AE63" s="34">
        <f t="shared" ref="AE63" si="38">AD63+1</f>
        <v>2050</v>
      </c>
      <c r="AF63" s="34">
        <f t="shared" ref="AF63" si="39">AE63+1</f>
        <v>2051</v>
      </c>
      <c r="AG63" s="34">
        <f t="shared" ref="AG63" si="40">AF63+1</f>
        <v>2052</v>
      </c>
      <c r="AH63" s="34">
        <f t="shared" ref="AH63" si="41">AG63+1</f>
        <v>2053</v>
      </c>
      <c r="AI63" s="34">
        <f t="shared" ref="AI63" si="42">AH63+1</f>
        <v>2054</v>
      </c>
      <c r="AJ63" s="34">
        <f t="shared" ref="AJ63" si="43">AI63+1</f>
        <v>2055</v>
      </c>
      <c r="AK63" s="34">
        <f t="shared" ref="AK63" si="44">AJ63+1</f>
        <v>2056</v>
      </c>
      <c r="AL63" s="34">
        <f t="shared" ref="AL63" si="45">AK63+1</f>
        <v>2057</v>
      </c>
      <c r="AM63" s="34">
        <f t="shared" ref="AM63" si="46">AL63+1</f>
        <v>2058</v>
      </c>
      <c r="AN63" s="34">
        <f t="shared" ref="AN63" si="47">AM63+1</f>
        <v>2059</v>
      </c>
      <c r="AO63" s="34">
        <f t="shared" ref="AO63" si="48">AN63+1</f>
        <v>2060</v>
      </c>
      <c r="AP63" s="34">
        <f t="shared" ref="AP63" si="49">AO63+1</f>
        <v>2061</v>
      </c>
      <c r="AQ63" s="34">
        <f t="shared" ref="AQ63" si="50">AP63+1</f>
        <v>2062</v>
      </c>
      <c r="AR63" s="34">
        <f t="shared" ref="AR63" si="51">AQ63+1</f>
        <v>2063</v>
      </c>
      <c r="AS63" s="34">
        <f t="shared" ref="AS63" si="52">AR63+1</f>
        <v>2064</v>
      </c>
      <c r="AT63" s="34">
        <f t="shared" ref="AT63" si="53">AS63+1</f>
        <v>2065</v>
      </c>
      <c r="AU63" s="34">
        <f t="shared" ref="AU63" si="54">AT63+1</f>
        <v>2066</v>
      </c>
      <c r="AV63" s="34">
        <f t="shared" ref="AV63" si="55">AU63+1</f>
        <v>2067</v>
      </c>
      <c r="AW63" s="34">
        <f t="shared" ref="AW63" si="56">AV63+1</f>
        <v>2068</v>
      </c>
      <c r="AX63" s="34">
        <f t="shared" ref="AX63" si="57">AW63+1</f>
        <v>2069</v>
      </c>
      <c r="AY63" s="34">
        <f t="shared" ref="AY63" si="58">AX63+1</f>
        <v>2070</v>
      </c>
      <c r="AZ63" s="34">
        <f t="shared" ref="AZ63" si="59">AY63+1</f>
        <v>2071</v>
      </c>
      <c r="BA63" s="34">
        <f t="shared" ref="BA63" si="60">AZ63+1</f>
        <v>2072</v>
      </c>
      <c r="BB63" s="34">
        <f t="shared" ref="BB63" si="61">BA63+1</f>
        <v>2073</v>
      </c>
      <c r="BC63" s="34">
        <f t="shared" ref="BC63" si="62">BB63+1</f>
        <v>2074</v>
      </c>
      <c r="BD63" s="34">
        <f t="shared" ref="BD63" si="63">BC63+1</f>
        <v>2075</v>
      </c>
      <c r="BE63" s="34">
        <f t="shared" ref="BE63" si="64">BD63+1</f>
        <v>2076</v>
      </c>
      <c r="BF63" s="34">
        <f t="shared" ref="BF63" si="65">BE63+1</f>
        <v>2077</v>
      </c>
      <c r="BG63" s="34">
        <f t="shared" ref="BG63" si="66">BF63+1</f>
        <v>2078</v>
      </c>
      <c r="BH63" s="34">
        <f t="shared" ref="BH63" si="67">BG63+1</f>
        <v>2079</v>
      </c>
      <c r="BI63" s="34">
        <f t="shared" ref="BI63" si="68">BH63+1</f>
        <v>2080</v>
      </c>
    </row>
    <row r="64" spans="1:61" s="9" customFormat="1" ht="13.25" customHeight="1">
      <c r="B64" s="5" t="s">
        <v>22</v>
      </c>
      <c r="C64" s="535">
        <f>INDEX('Prevalence projection'!$C$34:$AE$34, MATCH(C$51, 'Prevalence projection'!$C$33:$AE$33,0))</f>
        <v>301.48374143342193</v>
      </c>
      <c r="D64" s="535">
        <f>INDEX('Prevalence projection'!$C$34:$AE$34, MATCH(D$51, 'Prevalence projection'!$C$33:$AE$33,0))</f>
        <v>308.83682243526221</v>
      </c>
      <c r="E64" s="224">
        <f t="shared" ref="E64" si="69">D67+D68+D69</f>
        <v>314.37553069989838</v>
      </c>
      <c r="F64" s="224">
        <f t="shared" ref="F64" si="70">E67+E68+E69</f>
        <v>319.56825935488371</v>
      </c>
      <c r="G64" s="224">
        <f t="shared" ref="G64" si="71">F67+F68+F69</f>
        <v>324.614788811712</v>
      </c>
      <c r="H64" s="224">
        <f t="shared" ref="H64" si="72">G67+G68+G69</f>
        <v>329.73788134555548</v>
      </c>
      <c r="I64" s="224">
        <f t="shared" ref="I64" si="73">H67+H68+H69</f>
        <v>335.01971245243521</v>
      </c>
      <c r="J64" s="224">
        <f t="shared" ref="J64" si="74">I67+I68+I69</f>
        <v>340.35314039403534</v>
      </c>
      <c r="K64" s="224">
        <f t="shared" ref="K64" si="75">J67+J68+J69</f>
        <v>345.76218826047511</v>
      </c>
      <c r="L64" s="224">
        <f t="shared" ref="L64" si="76">K67+K68+K69</f>
        <v>351.83894712026472</v>
      </c>
      <c r="M64" s="224">
        <f t="shared" ref="M64" si="77">L67+L68+L69</f>
        <v>358.10421487039582</v>
      </c>
      <c r="N64" s="224">
        <f t="shared" ref="N64" si="78">M67+M68+M69</f>
        <v>364.31789910033683</v>
      </c>
      <c r="O64" s="224">
        <f t="shared" ref="O64" si="79">N67+N68+N69</f>
        <v>370.36884042053794</v>
      </c>
      <c r="P64" s="224">
        <f t="shared" ref="P64" si="80">O67+O68+O69</f>
        <v>376.18945838533318</v>
      </c>
      <c r="Q64" s="224">
        <f t="shared" ref="Q64" si="81">P67+P68+P69</f>
        <v>381.88334313461166</v>
      </c>
      <c r="R64" s="224">
        <f t="shared" ref="R64" si="82">Q67+Q68+Q69</f>
        <v>387.57267322570351</v>
      </c>
      <c r="S64" s="224">
        <f t="shared" ref="S64" si="83">R67+R68+R69</f>
        <v>393.26426040417408</v>
      </c>
      <c r="T64" s="224">
        <f t="shared" ref="T64" si="84">S67+S68+S69</f>
        <v>398.84298592596684</v>
      </c>
      <c r="U64" s="224">
        <f t="shared" ref="U64" si="85">T67+T68+T69</f>
        <v>404.32115730102169</v>
      </c>
      <c r="V64" s="224">
        <f t="shared" ref="V64" si="86">U67+U68+U69</f>
        <v>409.9466474951829</v>
      </c>
      <c r="W64" s="224">
        <f t="shared" ref="W64" si="87">V67+V68+V69</f>
        <v>415.500807001515</v>
      </c>
      <c r="X64" s="224">
        <f t="shared" ref="X64" si="88">W67+W68+W69</f>
        <v>420.92214880611715</v>
      </c>
      <c r="Y64" s="224">
        <f t="shared" ref="Y64" si="89">X67+X68+X69</f>
        <v>426.20126389957881</v>
      </c>
      <c r="Z64" s="224">
        <f t="shared" ref="Z64" si="90">Y67+Y68+Y69</f>
        <v>431.43942691204199</v>
      </c>
      <c r="AA64" s="224">
        <f t="shared" ref="AA64" si="91">Z67+Z68+Z69</f>
        <v>436.61185690778206</v>
      </c>
      <c r="AB64" s="224">
        <f t="shared" ref="AB64" si="92">AA67+AA68+AA69</f>
        <v>441.67589624954786</v>
      </c>
      <c r="AC64" s="224">
        <f t="shared" ref="AC64" si="93">AB67+AB68+AB69</f>
        <v>446.59942988536449</v>
      </c>
      <c r="AD64" s="224">
        <f t="shared" ref="AD64" si="94">AC67+AC68+AC69</f>
        <v>451.35108491843397</v>
      </c>
      <c r="AE64" s="224">
        <f t="shared" ref="AE64" si="95">AD67+AD68+AD69</f>
        <v>455.90850363384516</v>
      </c>
      <c r="AF64" s="224">
        <f t="shared" ref="AF64" si="96">AE67+AE68+AE69</f>
        <v>460.25176620891244</v>
      </c>
      <c r="AG64" s="224">
        <f t="shared" ref="AG64" si="97">AF67+AF68+AF69</f>
        <v>464.40112162794242</v>
      </c>
      <c r="AH64" s="224">
        <f t="shared" ref="AH64" si="98">AG67+AG68+AG69</f>
        <v>468.45135818124299</v>
      </c>
      <c r="AI64" s="224">
        <f t="shared" ref="AI64" si="99">AH67+AH68+AH69</f>
        <v>472.41135050715428</v>
      </c>
      <c r="AJ64" s="224">
        <f t="shared" ref="AJ64" si="100">AI67+AI68+AI69</f>
        <v>476.31476452013266</v>
      </c>
      <c r="AK64" s="224">
        <f t="shared" ref="AK64" si="101">AJ67+AJ68+AJ69</f>
        <v>480.05476343281214</v>
      </c>
      <c r="AL64" s="224">
        <f t="shared" ref="AL64" si="102">AK67+AK68+AK69</f>
        <v>483.55230677712598</v>
      </c>
      <c r="AM64" s="224">
        <f t="shared" ref="AM64" si="103">AL67+AL68+AL69</f>
        <v>486.75586069497189</v>
      </c>
      <c r="AN64" s="224">
        <f t="shared" ref="AN64" si="104">AM67+AM68+AM69</f>
        <v>489.70133411568509</v>
      </c>
      <c r="AO64" s="224">
        <f t="shared" ref="AO64" si="105">AN67+AN68+AN69</f>
        <v>492.39784812027108</v>
      </c>
      <c r="AP64" s="224">
        <f t="shared" ref="AP64" si="106">AO67+AO68+AO69</f>
        <v>494.83342662000041</v>
      </c>
      <c r="AQ64" s="224">
        <f t="shared" ref="AQ64" si="107">AP67+AP68+AP69</f>
        <v>497.12382245194772</v>
      </c>
      <c r="AR64" s="224">
        <f t="shared" ref="AR64" si="108">AQ67+AQ68+AQ69</f>
        <v>499.39554987554158</v>
      </c>
      <c r="AS64" s="224">
        <f t="shared" ref="AS64" si="109">AR67+AR68+AR69</f>
        <v>501.74710738589215</v>
      </c>
      <c r="AT64" s="224">
        <f t="shared" ref="AT64" si="110">AS67+AS68+AS69</f>
        <v>503.51841808056378</v>
      </c>
      <c r="AU64" s="224">
        <f t="shared" ref="AU64" si="111">AT67+AT68+AT69</f>
        <v>504.85265786132516</v>
      </c>
      <c r="AV64" s="224">
        <f t="shared" ref="AV64" si="112">AU67+AU68+AU69</f>
        <v>505.85767397618366</v>
      </c>
      <c r="AW64" s="224">
        <f t="shared" ref="AW64" si="113">AV67+AV68+AV69</f>
        <v>506.6147023647008</v>
      </c>
      <c r="AX64" s="224">
        <f t="shared" ref="AX64" si="114">AW67+AW68+AW69</f>
        <v>507.18493399835137</v>
      </c>
      <c r="AY64" s="224">
        <f t="shared" ref="AY64" si="115">AX67+AX68+AX69</f>
        <v>507.61446097639868</v>
      </c>
      <c r="AZ64" s="224">
        <f t="shared" ref="AZ64" si="116">AY67+AY68+AY69</f>
        <v>507.93800217261276</v>
      </c>
      <c r="BA64" s="224">
        <f t="shared" ref="BA64" si="117">AZ67+AZ68+AZ69</f>
        <v>508.18170957866107</v>
      </c>
      <c r="BB64" s="224">
        <f t="shared" ref="BB64" si="118">BA67+BA68+BA69</f>
        <v>508.36528218226692</v>
      </c>
      <c r="BC64" s="224">
        <f t="shared" ref="BC64" si="119">BB67+BB68+BB69</f>
        <v>508.50355824593305</v>
      </c>
      <c r="BD64" s="224">
        <f t="shared" ref="BD64" si="120">BC67+BC68+BC69</f>
        <v>508.60771469088957</v>
      </c>
      <c r="BE64" s="224">
        <f t="shared" ref="BE64" si="121">BD67+BD68+BD69</f>
        <v>508.68617053305309</v>
      </c>
      <c r="BF64" s="224">
        <f t="shared" ref="BF64" si="122">BE67+BE68+BE69</f>
        <v>508.74526739616272</v>
      </c>
      <c r="BG64" s="224">
        <f t="shared" ref="BG64" si="123">BF67+BF68+BF69</f>
        <v>508.78978210830007</v>
      </c>
      <c r="BH64" s="224">
        <f t="shared" ref="BH64" si="124">BG67+BG68+BG69</f>
        <v>508.82331281521749</v>
      </c>
      <c r="BI64" s="224">
        <f t="shared" ref="BI64" si="125">BH67+BH68+BH69</f>
        <v>508.84856982020307</v>
      </c>
    </row>
    <row r="65" spans="2:61" s="9" customFormat="1" ht="13.25" customHeight="1">
      <c r="B65" s="5"/>
      <c r="C65" s="531"/>
      <c r="D65" s="531"/>
      <c r="E65" s="224"/>
      <c r="F65" s="224"/>
      <c r="G65" s="224"/>
      <c r="H65" s="224"/>
      <c r="I65" s="224"/>
      <c r="J65" s="224"/>
      <c r="K65" s="224"/>
      <c r="L65" s="224"/>
      <c r="M65" s="224"/>
      <c r="N65" s="224"/>
      <c r="O65" s="224"/>
      <c r="P65" s="224"/>
      <c r="Q65" s="224"/>
      <c r="R65" s="224"/>
      <c r="S65" s="224"/>
      <c r="T65" s="224"/>
      <c r="U65" s="224"/>
      <c r="V65" s="224"/>
      <c r="W65" s="224"/>
      <c r="X65" s="224"/>
      <c r="Y65" s="224"/>
      <c r="Z65" s="224"/>
      <c r="AA65" s="224"/>
      <c r="AB65" s="224"/>
      <c r="AC65" s="224"/>
      <c r="AD65" s="224"/>
      <c r="AE65" s="224"/>
      <c r="AF65" s="224"/>
      <c r="AG65" s="224"/>
      <c r="AH65" s="224"/>
      <c r="AI65" s="224"/>
      <c r="AJ65" s="224"/>
      <c r="AK65" s="224"/>
      <c r="AL65" s="224"/>
      <c r="AM65" s="224"/>
      <c r="AN65" s="224"/>
      <c r="AO65" s="224"/>
      <c r="AP65" s="224"/>
      <c r="AQ65" s="224"/>
      <c r="AR65" s="224"/>
      <c r="AS65" s="224"/>
      <c r="AT65" s="224"/>
      <c r="AU65" s="224"/>
      <c r="AV65" s="224"/>
      <c r="AW65" s="224"/>
      <c r="AX65" s="224"/>
      <c r="AY65" s="224"/>
      <c r="AZ65" s="224"/>
      <c r="BA65" s="224"/>
      <c r="BB65" s="224"/>
      <c r="BC65" s="224"/>
      <c r="BD65" s="224"/>
      <c r="BE65" s="224"/>
      <c r="BF65" s="224"/>
      <c r="BG65" s="224"/>
      <c r="BH65" s="224"/>
      <c r="BI65" s="224"/>
    </row>
    <row r="66" spans="2:61" ht="13.25" customHeight="1">
      <c r="B66" s="6" t="s">
        <v>97</v>
      </c>
      <c r="C66" s="214">
        <f>C64*$C$34</f>
        <v>141.69735847370831</v>
      </c>
      <c r="D66" s="214">
        <f t="shared" ref="D66:BI66" si="126">D64*$C$34</f>
        <v>145.15330654457324</v>
      </c>
      <c r="E66" s="214">
        <f t="shared" si="126"/>
        <v>147.75649942895222</v>
      </c>
      <c r="F66" s="214">
        <f t="shared" si="126"/>
        <v>150.19708189679534</v>
      </c>
      <c r="G66" s="214">
        <f t="shared" si="126"/>
        <v>152.56895074150464</v>
      </c>
      <c r="H66" s="214">
        <f t="shared" si="126"/>
        <v>154.97680423241107</v>
      </c>
      <c r="I66" s="214">
        <f t="shared" si="126"/>
        <v>157.45926485264454</v>
      </c>
      <c r="J66" s="214">
        <f t="shared" si="126"/>
        <v>159.96597598519659</v>
      </c>
      <c r="K66" s="214">
        <f t="shared" si="126"/>
        <v>162.50822848242331</v>
      </c>
      <c r="L66" s="214">
        <f t="shared" si="126"/>
        <v>165.3643051465244</v>
      </c>
      <c r="M66" s="214">
        <f t="shared" si="126"/>
        <v>168.30898098908602</v>
      </c>
      <c r="N66" s="214">
        <f t="shared" si="126"/>
        <v>171.22941257715831</v>
      </c>
      <c r="O66" s="214">
        <f t="shared" si="126"/>
        <v>174.07335499765281</v>
      </c>
      <c r="P66" s="214">
        <f t="shared" si="126"/>
        <v>176.80904544110658</v>
      </c>
      <c r="Q66" s="214">
        <f t="shared" si="126"/>
        <v>179.48517127326747</v>
      </c>
      <c r="R66" s="214">
        <f t="shared" si="126"/>
        <v>182.15915641608063</v>
      </c>
      <c r="S66" s="214">
        <f t="shared" si="126"/>
        <v>184.8342023899618</v>
      </c>
      <c r="T66" s="214">
        <f t="shared" si="126"/>
        <v>187.45620338520442</v>
      </c>
      <c r="U66" s="214">
        <f t="shared" si="126"/>
        <v>190.03094393148018</v>
      </c>
      <c r="V66" s="214">
        <f t="shared" si="126"/>
        <v>192.67492432273596</v>
      </c>
      <c r="W66" s="214">
        <f t="shared" si="126"/>
        <v>195.28537929071203</v>
      </c>
      <c r="X66" s="214">
        <f t="shared" si="126"/>
        <v>197.83340993887504</v>
      </c>
      <c r="Y66" s="214">
        <f t="shared" si="126"/>
        <v>200.31459403280203</v>
      </c>
      <c r="Z66" s="214">
        <f t="shared" si="126"/>
        <v>202.77653064865973</v>
      </c>
      <c r="AA66" s="214">
        <f t="shared" si="126"/>
        <v>205.20757274665755</v>
      </c>
      <c r="AB66" s="214">
        <f t="shared" si="126"/>
        <v>207.58767123728748</v>
      </c>
      <c r="AC66" s="214">
        <f t="shared" si="126"/>
        <v>209.90173204612131</v>
      </c>
      <c r="AD66" s="214">
        <f t="shared" si="126"/>
        <v>212.13500991166396</v>
      </c>
      <c r="AE66" s="214">
        <f t="shared" si="126"/>
        <v>214.27699670790722</v>
      </c>
      <c r="AF66" s="214">
        <f t="shared" si="126"/>
        <v>216.31833011818884</v>
      </c>
      <c r="AG66" s="214">
        <f t="shared" si="126"/>
        <v>218.26852716513292</v>
      </c>
      <c r="AH66" s="214">
        <f t="shared" si="126"/>
        <v>220.17213834518421</v>
      </c>
      <c r="AI66" s="214">
        <f t="shared" si="126"/>
        <v>222.0333347383625</v>
      </c>
      <c r="AJ66" s="214">
        <f t="shared" si="126"/>
        <v>223.86793932446233</v>
      </c>
      <c r="AK66" s="214">
        <f t="shared" si="126"/>
        <v>225.62573881342169</v>
      </c>
      <c r="AL66" s="214">
        <f t="shared" si="126"/>
        <v>227.26958418524919</v>
      </c>
      <c r="AM66" s="214">
        <f t="shared" si="126"/>
        <v>228.77525452663679</v>
      </c>
      <c r="AN66" s="214">
        <f t="shared" si="126"/>
        <v>230.15962703437197</v>
      </c>
      <c r="AO66" s="214">
        <f t="shared" si="126"/>
        <v>231.42698861652738</v>
      </c>
      <c r="AP66" s="214">
        <f t="shared" si="126"/>
        <v>232.57171051140017</v>
      </c>
      <c r="AQ66" s="214">
        <f t="shared" si="126"/>
        <v>233.64819655241541</v>
      </c>
      <c r="AR66" s="214">
        <f t="shared" si="126"/>
        <v>234.71590844150452</v>
      </c>
      <c r="AS66" s="214">
        <f t="shared" si="126"/>
        <v>235.82114047136929</v>
      </c>
      <c r="AT66" s="214">
        <f t="shared" si="126"/>
        <v>236.65365649786497</v>
      </c>
      <c r="AU66" s="214">
        <f t="shared" si="126"/>
        <v>237.28074919482282</v>
      </c>
      <c r="AV66" s="214">
        <f t="shared" si="126"/>
        <v>237.7531067688063</v>
      </c>
      <c r="AW66" s="214">
        <f t="shared" si="126"/>
        <v>238.10891011140936</v>
      </c>
      <c r="AX66" s="214">
        <f t="shared" si="126"/>
        <v>238.37691897922514</v>
      </c>
      <c r="AY66" s="214">
        <f t="shared" si="126"/>
        <v>238.57879665890735</v>
      </c>
      <c r="AZ66" s="214">
        <f t="shared" si="126"/>
        <v>238.73086102112799</v>
      </c>
      <c r="BA66" s="214">
        <f t="shared" si="126"/>
        <v>238.84540350197068</v>
      </c>
      <c r="BB66" s="214">
        <f t="shared" si="126"/>
        <v>238.93168262566545</v>
      </c>
      <c r="BC66" s="214">
        <f t="shared" si="126"/>
        <v>238.99667237558853</v>
      </c>
      <c r="BD66" s="214">
        <f t="shared" si="126"/>
        <v>239.04562590471809</v>
      </c>
      <c r="BE66" s="214">
        <f t="shared" si="126"/>
        <v>239.08250015053494</v>
      </c>
      <c r="BF66" s="214">
        <f t="shared" si="126"/>
        <v>239.11027567619647</v>
      </c>
      <c r="BG66" s="214">
        <f t="shared" si="126"/>
        <v>239.13119759090102</v>
      </c>
      <c r="BH66" s="214">
        <f t="shared" si="126"/>
        <v>239.1469570231522</v>
      </c>
      <c r="BI66" s="214">
        <f t="shared" si="126"/>
        <v>239.15882781549544</v>
      </c>
    </row>
    <row r="67" spans="2:61" ht="22.25" customHeight="1">
      <c r="B67" s="6" t="s">
        <v>98</v>
      </c>
      <c r="C67" s="214">
        <f>C64*(1-$C$34)</f>
        <v>159.78638295971362</v>
      </c>
      <c r="D67" s="214">
        <f t="shared" ref="D67:BI67" si="127">D64*(1-$C$34)</f>
        <v>163.68351589068897</v>
      </c>
      <c r="E67" s="214">
        <f t="shared" si="127"/>
        <v>166.61903127094615</v>
      </c>
      <c r="F67" s="214">
        <f t="shared" si="127"/>
        <v>169.37117745808837</v>
      </c>
      <c r="G67" s="214">
        <f t="shared" si="127"/>
        <v>172.04583807020737</v>
      </c>
      <c r="H67" s="214">
        <f t="shared" si="127"/>
        <v>174.76107711314441</v>
      </c>
      <c r="I67" s="214">
        <f t="shared" si="127"/>
        <v>177.56044759979068</v>
      </c>
      <c r="J67" s="214">
        <f t="shared" si="127"/>
        <v>180.38716440883874</v>
      </c>
      <c r="K67" s="214">
        <f t="shared" si="127"/>
        <v>183.25395977805181</v>
      </c>
      <c r="L67" s="214">
        <f t="shared" si="127"/>
        <v>186.47464197374032</v>
      </c>
      <c r="M67" s="214">
        <f t="shared" si="127"/>
        <v>189.7952338813098</v>
      </c>
      <c r="N67" s="214">
        <f t="shared" si="127"/>
        <v>193.08848652317852</v>
      </c>
      <c r="O67" s="214">
        <f t="shared" si="127"/>
        <v>196.29548542288512</v>
      </c>
      <c r="P67" s="214">
        <f t="shared" si="127"/>
        <v>199.38041294422661</v>
      </c>
      <c r="Q67" s="214">
        <f t="shared" si="127"/>
        <v>202.3981718613442</v>
      </c>
      <c r="R67" s="214">
        <f t="shared" si="127"/>
        <v>205.41351680962288</v>
      </c>
      <c r="S67" s="214">
        <f t="shared" si="127"/>
        <v>208.43005801421228</v>
      </c>
      <c r="T67" s="214">
        <f t="shared" si="127"/>
        <v>211.38678254076243</v>
      </c>
      <c r="U67" s="214">
        <f t="shared" si="127"/>
        <v>214.2902133695415</v>
      </c>
      <c r="V67" s="214">
        <f t="shared" si="127"/>
        <v>217.27172317244694</v>
      </c>
      <c r="W67" s="214">
        <f t="shared" si="127"/>
        <v>220.21542771080297</v>
      </c>
      <c r="X67" s="214">
        <f t="shared" si="127"/>
        <v>223.08873886724211</v>
      </c>
      <c r="Y67" s="214">
        <f t="shared" si="127"/>
        <v>225.88666986677677</v>
      </c>
      <c r="Z67" s="214">
        <f t="shared" si="127"/>
        <v>228.66289626338227</v>
      </c>
      <c r="AA67" s="214">
        <f t="shared" si="127"/>
        <v>231.40428416112451</v>
      </c>
      <c r="AB67" s="214">
        <f t="shared" si="127"/>
        <v>234.08822501226038</v>
      </c>
      <c r="AC67" s="214">
        <f t="shared" si="127"/>
        <v>236.69769783924318</v>
      </c>
      <c r="AD67" s="214">
        <f t="shared" si="127"/>
        <v>239.21607500677001</v>
      </c>
      <c r="AE67" s="214">
        <f t="shared" si="127"/>
        <v>241.63150692593794</v>
      </c>
      <c r="AF67" s="214">
        <f t="shared" si="127"/>
        <v>243.9334360907236</v>
      </c>
      <c r="AG67" s="214">
        <f t="shared" si="127"/>
        <v>246.13259446280949</v>
      </c>
      <c r="AH67" s="214">
        <f t="shared" si="127"/>
        <v>248.27921983605879</v>
      </c>
      <c r="AI67" s="214">
        <f t="shared" si="127"/>
        <v>250.37801576879178</v>
      </c>
      <c r="AJ67" s="214">
        <f t="shared" si="127"/>
        <v>252.44682519567033</v>
      </c>
      <c r="AK67" s="214">
        <f t="shared" si="127"/>
        <v>254.42902461939045</v>
      </c>
      <c r="AL67" s="214">
        <f t="shared" si="127"/>
        <v>256.28272259187679</v>
      </c>
      <c r="AM67" s="214">
        <f t="shared" si="127"/>
        <v>257.9806061683351</v>
      </c>
      <c r="AN67" s="214">
        <f t="shared" si="127"/>
        <v>259.54170708131312</v>
      </c>
      <c r="AO67" s="214">
        <f t="shared" si="127"/>
        <v>260.97085950374367</v>
      </c>
      <c r="AP67" s="214">
        <f t="shared" si="127"/>
        <v>262.26171610860024</v>
      </c>
      <c r="AQ67" s="214">
        <f t="shared" si="127"/>
        <v>263.4756258995323</v>
      </c>
      <c r="AR67" s="214">
        <f t="shared" si="127"/>
        <v>264.67964143403702</v>
      </c>
      <c r="AS67" s="214">
        <f t="shared" si="127"/>
        <v>265.92596691452286</v>
      </c>
      <c r="AT67" s="214">
        <f t="shared" si="127"/>
        <v>266.8647615826988</v>
      </c>
      <c r="AU67" s="214">
        <f t="shared" si="127"/>
        <v>267.57190866650234</v>
      </c>
      <c r="AV67" s="214">
        <f t="shared" si="127"/>
        <v>268.10456720737733</v>
      </c>
      <c r="AW67" s="214">
        <f t="shared" si="127"/>
        <v>268.50579225329142</v>
      </c>
      <c r="AX67" s="214">
        <f t="shared" si="127"/>
        <v>268.80801501912623</v>
      </c>
      <c r="AY67" s="214">
        <f t="shared" si="127"/>
        <v>269.0356643174913</v>
      </c>
      <c r="AZ67" s="214">
        <f t="shared" si="127"/>
        <v>269.20714115148479</v>
      </c>
      <c r="BA67" s="214">
        <f t="shared" si="127"/>
        <v>269.33630607669039</v>
      </c>
      <c r="BB67" s="214">
        <f t="shared" si="127"/>
        <v>269.43359955660151</v>
      </c>
      <c r="BC67" s="214">
        <f t="shared" si="127"/>
        <v>269.50688587034455</v>
      </c>
      <c r="BD67" s="214">
        <f t="shared" si="127"/>
        <v>269.5620887861715</v>
      </c>
      <c r="BE67" s="214">
        <f t="shared" si="127"/>
        <v>269.60367038251815</v>
      </c>
      <c r="BF67" s="214">
        <f t="shared" si="127"/>
        <v>269.63499171996625</v>
      </c>
      <c r="BG67" s="214">
        <f t="shared" si="127"/>
        <v>269.65858451739905</v>
      </c>
      <c r="BH67" s="214">
        <f t="shared" si="127"/>
        <v>269.67635579206529</v>
      </c>
      <c r="BI67" s="214">
        <f t="shared" si="127"/>
        <v>269.68974200470763</v>
      </c>
    </row>
    <row r="68" spans="2:61">
      <c r="B68" s="6" t="s">
        <v>2534</v>
      </c>
      <c r="C68" s="214">
        <f>C66*$C$25</f>
        <v>67.306245275011449</v>
      </c>
      <c r="D68" s="214">
        <f t="shared" ref="D68:BI68" si="128">D66*$C$25</f>
        <v>68.947820608672288</v>
      </c>
      <c r="E68" s="214">
        <f t="shared" si="128"/>
        <v>70.184337228752298</v>
      </c>
      <c r="F68" s="214">
        <f t="shared" si="128"/>
        <v>71.343613900977786</v>
      </c>
      <c r="G68" s="214">
        <f t="shared" si="128"/>
        <v>72.470251602214702</v>
      </c>
      <c r="H68" s="214">
        <f t="shared" si="128"/>
        <v>73.613982010395262</v>
      </c>
      <c r="I68" s="214">
        <f t="shared" si="128"/>
        <v>74.79315080500615</v>
      </c>
      <c r="J68" s="214">
        <f t="shared" si="128"/>
        <v>75.983838592968382</v>
      </c>
      <c r="K68" s="214">
        <f t="shared" si="128"/>
        <v>77.191408529151062</v>
      </c>
      <c r="L68" s="214">
        <f t="shared" si="128"/>
        <v>78.548044944599084</v>
      </c>
      <c r="M68" s="214">
        <f t="shared" si="128"/>
        <v>79.946765969815857</v>
      </c>
      <c r="N68" s="214">
        <f t="shared" si="128"/>
        <v>81.333970974150191</v>
      </c>
      <c r="O68" s="214">
        <f t="shared" si="128"/>
        <v>82.684843623885087</v>
      </c>
      <c r="P68" s="214">
        <f t="shared" si="128"/>
        <v>83.984296584525623</v>
      </c>
      <c r="Q68" s="214">
        <f t="shared" si="128"/>
        <v>85.25545635480205</v>
      </c>
      <c r="R68" s="214">
        <f t="shared" si="128"/>
        <v>86.525599297638294</v>
      </c>
      <c r="S68" s="214">
        <f t="shared" si="128"/>
        <v>87.796246135231854</v>
      </c>
      <c r="T68" s="214">
        <f t="shared" si="128"/>
        <v>89.041696607972099</v>
      </c>
      <c r="U68" s="214">
        <f t="shared" si="128"/>
        <v>90.264698367453079</v>
      </c>
      <c r="V68" s="214">
        <f t="shared" si="128"/>
        <v>91.520589053299574</v>
      </c>
      <c r="W68" s="214">
        <f t="shared" si="128"/>
        <v>92.760555163088213</v>
      </c>
      <c r="X68" s="214">
        <f t="shared" si="128"/>
        <v>93.970869720965638</v>
      </c>
      <c r="Y68" s="214">
        <f t="shared" si="128"/>
        <v>95.149432165580961</v>
      </c>
      <c r="Z68" s="214">
        <f t="shared" si="128"/>
        <v>96.318852058113364</v>
      </c>
      <c r="AA68" s="214">
        <f t="shared" si="128"/>
        <v>97.473597054662335</v>
      </c>
      <c r="AB68" s="214">
        <f t="shared" si="128"/>
        <v>98.604143837711547</v>
      </c>
      <c r="AC68" s="214">
        <f t="shared" si="128"/>
        <v>99.703322721907611</v>
      </c>
      <c r="AD68" s="214">
        <f t="shared" si="128"/>
        <v>100.76412970804037</v>
      </c>
      <c r="AE68" s="214">
        <f t="shared" si="128"/>
        <v>101.78157343625593</v>
      </c>
      <c r="AF68" s="214">
        <f t="shared" si="128"/>
        <v>102.75120680613969</v>
      </c>
      <c r="AG68" s="214">
        <f t="shared" si="128"/>
        <v>103.67755040343813</v>
      </c>
      <c r="AH68" s="214">
        <f t="shared" si="128"/>
        <v>104.5817657139625</v>
      </c>
      <c r="AI68" s="214">
        <f t="shared" si="128"/>
        <v>105.46583400072218</v>
      </c>
      <c r="AJ68" s="214">
        <f t="shared" si="128"/>
        <v>106.3372711791196</v>
      </c>
      <c r="AK68" s="214">
        <f t="shared" si="128"/>
        <v>107.1722259363753</v>
      </c>
      <c r="AL68" s="214">
        <f t="shared" si="128"/>
        <v>107.95305248799336</v>
      </c>
      <c r="AM68" s="214">
        <f t="shared" si="128"/>
        <v>108.66824590015247</v>
      </c>
      <c r="AN68" s="214">
        <f t="shared" si="128"/>
        <v>109.32582284132668</v>
      </c>
      <c r="AO68" s="214">
        <f t="shared" si="128"/>
        <v>109.9278195928505</v>
      </c>
      <c r="AP68" s="214">
        <f t="shared" si="128"/>
        <v>110.47156249291507</v>
      </c>
      <c r="AQ68" s="214">
        <f t="shared" si="128"/>
        <v>110.98289336239732</v>
      </c>
      <c r="AR68" s="214">
        <f t="shared" si="128"/>
        <v>111.49005650971465</v>
      </c>
      <c r="AS68" s="214">
        <f t="shared" si="128"/>
        <v>112.01504172390041</v>
      </c>
      <c r="AT68" s="214">
        <f t="shared" si="128"/>
        <v>112.41048683648586</v>
      </c>
      <c r="AU68" s="214">
        <f t="shared" si="128"/>
        <v>112.70835586754083</v>
      </c>
      <c r="AV68" s="214">
        <f t="shared" si="128"/>
        <v>112.93272571518298</v>
      </c>
      <c r="AW68" s="214">
        <f t="shared" si="128"/>
        <v>113.10173230291944</v>
      </c>
      <c r="AX68" s="214">
        <f t="shared" si="128"/>
        <v>113.22903651513194</v>
      </c>
      <c r="AY68" s="214">
        <f t="shared" si="128"/>
        <v>113.32492841298098</v>
      </c>
      <c r="AZ68" s="214">
        <f t="shared" si="128"/>
        <v>113.39715898503579</v>
      </c>
      <c r="BA68" s="214">
        <f t="shared" si="128"/>
        <v>113.45156666343607</v>
      </c>
      <c r="BB68" s="214">
        <f t="shared" si="128"/>
        <v>113.49254924719108</v>
      </c>
      <c r="BC68" s="214">
        <f t="shared" si="128"/>
        <v>113.52341937840454</v>
      </c>
      <c r="BD68" s="214">
        <f t="shared" si="128"/>
        <v>113.54667230474109</v>
      </c>
      <c r="BE68" s="214">
        <f t="shared" si="128"/>
        <v>113.56418757150409</v>
      </c>
      <c r="BF68" s="214">
        <f t="shared" si="128"/>
        <v>113.57738094619332</v>
      </c>
      <c r="BG68" s="214">
        <f t="shared" si="128"/>
        <v>113.58731885567798</v>
      </c>
      <c r="BH68" s="214">
        <f t="shared" si="128"/>
        <v>113.5948045859973</v>
      </c>
      <c r="BI68" s="214">
        <f t="shared" si="128"/>
        <v>113.60044321236033</v>
      </c>
    </row>
    <row r="69" spans="2:61" ht="13.25" customHeight="1">
      <c r="B69" s="6" t="s">
        <v>3205</v>
      </c>
      <c r="C69" s="214"/>
      <c r="D69" s="536">
        <f>D64-(C67+C68)</f>
        <v>81.744194200537152</v>
      </c>
      <c r="E69" s="214">
        <f t="shared" ref="E69" si="129">D69*(1+D$43)</f>
        <v>82.764890855185229</v>
      </c>
      <c r="F69" s="214">
        <f t="shared" ref="F69" si="130">E69*(1+E$43)</f>
        <v>83.89999745264582</v>
      </c>
      <c r="G69" s="214">
        <f t="shared" ref="G69" si="131">F69*(1+F$43)</f>
        <v>85.221791673133396</v>
      </c>
      <c r="H69" s="214">
        <f t="shared" ref="H69" si="132">G69*(1+G$43)</f>
        <v>86.644653328895544</v>
      </c>
      <c r="I69" s="214">
        <f t="shared" ref="I69" si="133">H69*(1+H$43)</f>
        <v>87.999541989238523</v>
      </c>
      <c r="J69" s="214">
        <f t="shared" ref="J69" si="134">I69*(1+I$43)</f>
        <v>89.391185258667974</v>
      </c>
      <c r="K69" s="214">
        <f t="shared" ref="K69" si="135">J69*(1+J$43)</f>
        <v>91.393578813061822</v>
      </c>
      <c r="L69" s="214">
        <f t="shared" ref="L69" si="136">K69*(1+K$43)</f>
        <v>93.081527952056405</v>
      </c>
      <c r="M69" s="214">
        <f t="shared" ref="M69" si="137">L69*(1+L$43)</f>
        <v>94.575899249211119</v>
      </c>
      <c r="N69" s="214">
        <f t="shared" ref="N69" si="138">M69*(1+M$43)</f>
        <v>95.946382923209242</v>
      </c>
      <c r="O69" s="214">
        <f t="shared" ref="O69" si="139">N69*(1+N$43)</f>
        <v>97.209129338562988</v>
      </c>
      <c r="P69" s="214">
        <f t="shared" ref="P69" si="140">O69*(1+O$43)</f>
        <v>98.518633605859435</v>
      </c>
      <c r="Q69" s="214">
        <f t="shared" ref="Q69" si="141">P69*(1+P$43)</f>
        <v>99.919045009557308</v>
      </c>
      <c r="R69" s="214">
        <f t="shared" ref="R69" si="142">Q69*(1+Q$43)</f>
        <v>101.32514429691294</v>
      </c>
      <c r="S69" s="214">
        <f t="shared" ref="S69" si="143">R69*(1+R$43)</f>
        <v>102.61668177652274</v>
      </c>
      <c r="T69" s="214">
        <f t="shared" ref="T69" si="144">S69*(1+S$43)</f>
        <v>103.89267815228712</v>
      </c>
      <c r="U69" s="214">
        <f t="shared" ref="U69" si="145">T69*(1+T$43)</f>
        <v>105.39173575818829</v>
      </c>
      <c r="V69" s="214">
        <f t="shared" ref="V69" si="146">U69*(1+U$43)</f>
        <v>106.7084947757685</v>
      </c>
      <c r="W69" s="214">
        <f t="shared" ref="W69" si="147">V69*(1+V$43)</f>
        <v>107.94616593222592</v>
      </c>
      <c r="X69" s="214">
        <f t="shared" ref="X69" si="148">W69*(1+W$43)</f>
        <v>109.14165531137105</v>
      </c>
      <c r="Y69" s="214">
        <f t="shared" ref="Y69" si="149">X69*(1+X$43)</f>
        <v>110.40332487968425</v>
      </c>
      <c r="Z69" s="214">
        <f t="shared" ref="Z69" si="150">Y69*(1+Y$43)</f>
        <v>111.63010858628645</v>
      </c>
      <c r="AA69" s="214">
        <f t="shared" ref="AA69" si="151">Z69*(1+Z$43)</f>
        <v>112.79801503376102</v>
      </c>
      <c r="AB69" s="214">
        <f t="shared" ref="AB69" si="152">AA69*(1+AA$43)</f>
        <v>113.90706103539257</v>
      </c>
      <c r="AC69" s="214">
        <f t="shared" ref="AC69" si="153">AB69*(1+AB$43)</f>
        <v>114.95006435728315</v>
      </c>
      <c r="AD69" s="214">
        <f t="shared" ref="AD69" si="154">AC69*(1+AC$43)</f>
        <v>115.92829891903479</v>
      </c>
      <c r="AE69" s="214">
        <f t="shared" ref="AE69" si="155">AD69*(1+AD$43)</f>
        <v>116.83868584671858</v>
      </c>
      <c r="AF69" s="214">
        <f t="shared" ref="AF69" si="156">AE69*(1+AE$43)</f>
        <v>117.71647873107912</v>
      </c>
      <c r="AG69" s="214">
        <f t="shared" ref="AG69" si="157">AF69*(1+AF$43)</f>
        <v>118.64121331499538</v>
      </c>
      <c r="AH69" s="214">
        <f t="shared" ref="AH69" si="158">AG69*(1+AG$43)</f>
        <v>119.550364957133</v>
      </c>
      <c r="AI69" s="214">
        <f t="shared" ref="AI69" si="159">AH69*(1+AH$43)</f>
        <v>120.47091475061872</v>
      </c>
      <c r="AJ69" s="214">
        <f t="shared" ref="AJ69" si="160">AI69*(1+AI$43)</f>
        <v>121.27066705802227</v>
      </c>
      <c r="AK69" s="214">
        <f t="shared" ref="AK69" si="161">AJ69*(1+AJ$43)</f>
        <v>121.95105622136022</v>
      </c>
      <c r="AL69" s="214">
        <f t="shared" ref="AL69" si="162">AK69*(1+AK$43)</f>
        <v>122.52008561510171</v>
      </c>
      <c r="AM69" s="214">
        <f t="shared" ref="AM69" si="163">AL69*(1+AL$43)</f>
        <v>123.05248204719749</v>
      </c>
      <c r="AN69" s="214">
        <f t="shared" ref="AN69" si="164">AM69*(1+AM$43)</f>
        <v>123.53031819763132</v>
      </c>
      <c r="AO69" s="214">
        <f t="shared" ref="AO69" si="165">AN69*(1+AN$43)</f>
        <v>123.93474752340623</v>
      </c>
      <c r="AP69" s="214">
        <f t="shared" ref="AP69" si="166">AO69*(1+AO$43)</f>
        <v>124.39054385043244</v>
      </c>
      <c r="AQ69" s="214">
        <f t="shared" ref="AQ69" si="167">AP69*(1+AP$43)</f>
        <v>124.93703061361197</v>
      </c>
      <c r="AR69" s="214">
        <f t="shared" ref="AR69" si="168">AQ69*(1+AQ$43)</f>
        <v>125.57740944214049</v>
      </c>
      <c r="AS69" s="214">
        <f t="shared" ref="AS69" si="169">AR69*(1+AR$43)</f>
        <v>125.57740944214049</v>
      </c>
      <c r="AT69" s="214">
        <f t="shared" ref="AT69" si="170">AS69*(1+AS$43)</f>
        <v>125.57740944214049</v>
      </c>
      <c r="AU69" s="214">
        <f t="shared" ref="AU69" si="171">AT69*(1+AT$43)</f>
        <v>125.57740944214049</v>
      </c>
      <c r="AV69" s="214">
        <f t="shared" ref="AV69" si="172">AU69*(1+AU$43)</f>
        <v>125.57740944214049</v>
      </c>
      <c r="AW69" s="214">
        <f t="shared" ref="AW69" si="173">AV69*(1+AV$43)</f>
        <v>125.57740944214049</v>
      </c>
      <c r="AX69" s="214">
        <f t="shared" ref="AX69" si="174">AW69*(1+AW$43)</f>
        <v>125.57740944214049</v>
      </c>
      <c r="AY69" s="214">
        <f t="shared" ref="AY69" si="175">AX69*(1+AX$43)</f>
        <v>125.57740944214049</v>
      </c>
      <c r="AZ69" s="214">
        <f t="shared" ref="AZ69" si="176">AY69*(1+AY$43)</f>
        <v>125.57740944214049</v>
      </c>
      <c r="BA69" s="214">
        <f t="shared" ref="BA69" si="177">AZ69*(1+AZ$43)</f>
        <v>125.57740944214049</v>
      </c>
      <c r="BB69" s="214">
        <f t="shared" ref="BB69" si="178">BA69*(1+BA$43)</f>
        <v>125.57740944214049</v>
      </c>
      <c r="BC69" s="214">
        <f t="shared" ref="BC69" si="179">BB69*(1+BB$43)</f>
        <v>125.57740944214049</v>
      </c>
      <c r="BD69" s="214">
        <f t="shared" ref="BD69" si="180">BC69*(1+BC$43)</f>
        <v>125.57740944214049</v>
      </c>
      <c r="BE69" s="214">
        <f t="shared" ref="BE69" si="181">BD69*(1+BD$43)</f>
        <v>125.57740944214049</v>
      </c>
      <c r="BF69" s="214">
        <f t="shared" ref="BF69" si="182">BE69*(1+BE$43)</f>
        <v>125.57740944214049</v>
      </c>
      <c r="BG69" s="214">
        <f t="shared" ref="BG69" si="183">BF69*(1+BF$43)</f>
        <v>125.57740944214049</v>
      </c>
      <c r="BH69" s="214">
        <f t="shared" ref="BH69" si="184">BG69*(1+BG$43)</f>
        <v>125.57740944214049</v>
      </c>
    </row>
    <row r="70" spans="2:61" s="151" customFormat="1">
      <c r="B70" s="343"/>
      <c r="C70" s="343"/>
      <c r="D70" s="532"/>
      <c r="E70" s="532"/>
      <c r="F70" s="532"/>
      <c r="G70" s="532"/>
      <c r="H70" s="532"/>
      <c r="I70" s="532"/>
      <c r="J70" s="532"/>
      <c r="K70" s="532"/>
      <c r="L70" s="532"/>
      <c r="M70" s="532"/>
      <c r="N70" s="532"/>
      <c r="O70" s="532"/>
      <c r="P70" s="532"/>
      <c r="Q70" s="532"/>
      <c r="R70" s="532"/>
      <c r="S70" s="532"/>
      <c r="T70" s="532"/>
      <c r="U70" s="532"/>
      <c r="V70" s="532"/>
      <c r="W70" s="532"/>
      <c r="X70" s="532"/>
      <c r="Y70" s="532"/>
      <c r="Z70" s="532"/>
      <c r="AA70" s="532"/>
      <c r="AB70" s="532"/>
      <c r="AC70" s="532"/>
      <c r="AD70" s="532"/>
      <c r="AE70" s="532"/>
      <c r="AF70" s="532"/>
      <c r="AG70" s="532"/>
      <c r="AH70" s="532"/>
      <c r="AI70" s="532"/>
      <c r="AJ70" s="532"/>
      <c r="AK70" s="532"/>
      <c r="AL70" s="532"/>
      <c r="AM70" s="532"/>
      <c r="AN70" s="532"/>
      <c r="AO70" s="532"/>
      <c r="AP70" s="532"/>
      <c r="AQ70" s="532"/>
      <c r="AR70" s="532"/>
      <c r="AS70" s="532"/>
      <c r="AT70" s="532"/>
      <c r="AU70" s="532"/>
      <c r="AV70" s="532"/>
      <c r="AW70" s="532"/>
      <c r="AX70" s="532"/>
      <c r="AY70" s="532"/>
      <c r="AZ70" s="532"/>
      <c r="BA70" s="532"/>
      <c r="BB70" s="532"/>
      <c r="BC70" s="532"/>
      <c r="BD70" s="532"/>
      <c r="BE70" s="532"/>
      <c r="BF70" s="532"/>
      <c r="BG70" s="532"/>
      <c r="BH70" s="532"/>
      <c r="BI70" s="532"/>
    </row>
    <row r="71" spans="2:61" s="20" customFormat="1" ht="26.4" customHeight="1">
      <c r="B71" s="33" t="s">
        <v>3238</v>
      </c>
      <c r="C71" s="566"/>
      <c r="D71" s="566">
        <f>D64/C64-1</f>
        <v>2.438964359032969E-2</v>
      </c>
      <c r="E71" s="566">
        <f t="shared" ref="E71:BH71" si="185">E64/D64-1</f>
        <v>1.7934092900457665E-2</v>
      </c>
      <c r="F71" s="566">
        <f t="shared" si="185"/>
        <v>1.6517598056771998E-2</v>
      </c>
      <c r="G71" s="566">
        <f t="shared" si="185"/>
        <v>1.5791710562919503E-2</v>
      </c>
      <c r="H71" s="566">
        <f t="shared" si="185"/>
        <v>1.5782067577996495E-2</v>
      </c>
      <c r="I71" s="566">
        <f t="shared" si="185"/>
        <v>1.6018272105486453E-2</v>
      </c>
      <c r="J71" s="566">
        <f t="shared" si="185"/>
        <v>1.5919743654956742E-2</v>
      </c>
      <c r="K71" s="566">
        <f t="shared" si="185"/>
        <v>1.5892457640254376E-2</v>
      </c>
      <c r="L71" s="566">
        <f t="shared" si="185"/>
        <v>1.7574966454144914E-2</v>
      </c>
      <c r="M71" s="566">
        <f t="shared" si="185"/>
        <v>1.7807203555522122E-2</v>
      </c>
      <c r="N71" s="566">
        <f t="shared" si="185"/>
        <v>1.7351608754981651E-2</v>
      </c>
      <c r="O71" s="566">
        <f t="shared" si="185"/>
        <v>1.6608959744068397E-2</v>
      </c>
      <c r="P71" s="566">
        <f t="shared" si="185"/>
        <v>1.5715733424513267E-2</v>
      </c>
      <c r="Q71" s="566">
        <f t="shared" si="185"/>
        <v>1.5135683954881518E-2</v>
      </c>
      <c r="R71" s="566">
        <f t="shared" si="185"/>
        <v>1.4898083913249982E-2</v>
      </c>
      <c r="S71" s="566">
        <f t="shared" si="185"/>
        <v>1.4685212791450075E-2</v>
      </c>
      <c r="T71" s="566">
        <f t="shared" si="185"/>
        <v>1.4185691616266594E-2</v>
      </c>
      <c r="U71" s="566">
        <f t="shared" si="185"/>
        <v>1.3735157865034431E-2</v>
      </c>
      <c r="V71" s="566">
        <f t="shared" si="185"/>
        <v>1.3913420291219003E-2</v>
      </c>
      <c r="W71" s="566">
        <f t="shared" si="185"/>
        <v>1.3548493542436812E-2</v>
      </c>
      <c r="X71" s="566">
        <f t="shared" si="185"/>
        <v>1.304772870051818E-2</v>
      </c>
      <c r="Y71" s="566">
        <f t="shared" si="185"/>
        <v>1.2541785003319594E-2</v>
      </c>
      <c r="Z71" s="566">
        <f t="shared" si="185"/>
        <v>1.2290350724293964E-2</v>
      </c>
      <c r="AA71" s="566">
        <f t="shared" si="185"/>
        <v>1.1988774490919507E-2</v>
      </c>
      <c r="AB71" s="566">
        <f t="shared" si="185"/>
        <v>1.1598492486280421E-2</v>
      </c>
      <c r="AC71" s="566">
        <f t="shared" si="185"/>
        <v>1.1147390377479027E-2</v>
      </c>
      <c r="AD71" s="566">
        <f t="shared" si="185"/>
        <v>1.0639635241561196E-2</v>
      </c>
      <c r="AE71" s="566">
        <f t="shared" si="185"/>
        <v>1.0097280958646149E-2</v>
      </c>
      <c r="AF71" s="566">
        <f t="shared" si="185"/>
        <v>9.5266101431517036E-3</v>
      </c>
      <c r="AG71" s="566">
        <f t="shared" si="185"/>
        <v>9.0154035761951246E-3</v>
      </c>
      <c r="AH71" s="566">
        <f t="shared" si="185"/>
        <v>8.7214185424502322E-3</v>
      </c>
      <c r="AI71" s="566">
        <f t="shared" si="185"/>
        <v>8.4533692917145853E-3</v>
      </c>
      <c r="AJ71" s="566">
        <f t="shared" si="185"/>
        <v>8.2627439175368966E-3</v>
      </c>
      <c r="AK71" s="566">
        <f t="shared" si="185"/>
        <v>7.8519483149916969E-3</v>
      </c>
      <c r="AL71" s="566">
        <f t="shared" si="185"/>
        <v>7.2857174029548055E-3</v>
      </c>
      <c r="AM71" s="566">
        <f t="shared" si="185"/>
        <v>6.6250411236741247E-3</v>
      </c>
      <c r="AN71" s="566">
        <f t="shared" si="185"/>
        <v>6.0512336030382752E-3</v>
      </c>
      <c r="AO71" s="566">
        <f t="shared" si="185"/>
        <v>5.5064461064935344E-3</v>
      </c>
      <c r="AP71" s="566">
        <f t="shared" si="185"/>
        <v>4.9463630050925467E-3</v>
      </c>
      <c r="AQ71" s="566">
        <f t="shared" si="185"/>
        <v>4.6286198723317629E-3</v>
      </c>
      <c r="AR71" s="566">
        <f t="shared" si="185"/>
        <v>4.569741623704715E-3</v>
      </c>
      <c r="AS71" s="566">
        <f t="shared" si="185"/>
        <v>4.7088074992591711E-3</v>
      </c>
      <c r="AT71" s="566">
        <f t="shared" si="185"/>
        <v>3.5302858125085823E-3</v>
      </c>
      <c r="AU71" s="566">
        <f t="shared" si="185"/>
        <v>2.6498331200028868E-3</v>
      </c>
      <c r="AV71" s="566">
        <f t="shared" si="185"/>
        <v>1.9907117437312216E-3</v>
      </c>
      <c r="AW71" s="566">
        <f t="shared" si="185"/>
        <v>1.4965244721241167E-3</v>
      </c>
      <c r="AX71" s="566">
        <f t="shared" si="185"/>
        <v>1.1255726116690123E-3</v>
      </c>
      <c r="AY71" s="566">
        <f t="shared" si="185"/>
        <v>8.4688433992141654E-4</v>
      </c>
      <c r="AZ71" s="566">
        <f t="shared" si="185"/>
        <v>6.3737584542367109E-4</v>
      </c>
      <c r="BA71" s="566">
        <f t="shared" si="185"/>
        <v>4.7979754420013343E-4</v>
      </c>
      <c r="BB71" s="566">
        <f t="shared" si="185"/>
        <v>3.6123418089584192E-4</v>
      </c>
      <c r="BC71" s="566">
        <f t="shared" si="185"/>
        <v>2.7200139056016148E-4</v>
      </c>
      <c r="BD71" s="566">
        <f t="shared" si="185"/>
        <v>2.048293335759066E-4</v>
      </c>
      <c r="BE71" s="566">
        <f t="shared" si="185"/>
        <v>1.5425609934216489E-4</v>
      </c>
      <c r="BF71" s="566">
        <f t="shared" si="185"/>
        <v>1.1617548605213912E-4</v>
      </c>
      <c r="BG71" s="566">
        <f t="shared" si="185"/>
        <v>8.7499019627568231E-5</v>
      </c>
      <c r="BH71" s="566">
        <f t="shared" si="185"/>
        <v>6.5902870098000221E-5</v>
      </c>
    </row>
    <row r="72" spans="2:61" s="4" customFormat="1" ht="26.4" customHeight="1">
      <c r="B72" s="6" t="s">
        <v>3239</v>
      </c>
      <c r="C72" s="220"/>
      <c r="D72" s="566">
        <f>INDEX('Wound growth'!$C$82:$BD$82, MATCH(D63, 'Wound growth'!$C$81:$BD$81,0))</f>
        <v>2.438964359032969E-2</v>
      </c>
      <c r="E72" s="566">
        <f>INDEX('Wound growth'!$C$82:$BD$82, MATCH(E63, 'Wound growth'!$C$81:$BD$81,0))</f>
        <v>2.2104032291079267E-2</v>
      </c>
      <c r="F72" s="566">
        <f>INDEX('Wound growth'!$C$82:$BD$82, MATCH(F63, 'Wound growth'!$C$81:$BD$81,0))</f>
        <v>2.0681500347581983E-2</v>
      </c>
      <c r="G72" s="566">
        <f>INDEX('Wound growth'!$C$82:$BD$82, MATCH(G63, 'Wound growth'!$C$81:$BD$81,0))</f>
        <v>1.9359856545146048E-2</v>
      </c>
      <c r="H72" s="566">
        <f>INDEX('Wound growth'!$C$82:$BD$82, MATCH(H63, 'Wound growth'!$C$81:$BD$81,0))</f>
        <v>1.8434244859413029E-2</v>
      </c>
      <c r="I72" s="566">
        <f>INDEX('Wound growth'!$C$82:$BD$82, MATCH(I63, 'Wound growth'!$C$81:$BD$81,0))</f>
        <v>1.946695538004195E-2</v>
      </c>
      <c r="J72" s="566">
        <f>INDEX('Wound growth'!$C$82:$BD$82, MATCH(J63, 'Wound growth'!$C$81:$BD$81,0))</f>
        <v>1.9206359051323396E-2</v>
      </c>
      <c r="K72" s="566">
        <f>INDEX('Wound growth'!$C$82:$BD$82, MATCH(K63, 'Wound growth'!$C$81:$BD$81,0))</f>
        <v>1.8383881483103437E-2</v>
      </c>
      <c r="L72" s="566">
        <f>INDEX('Wound growth'!$C$82:$BD$82, MATCH(L63, 'Wound growth'!$C$81:$BD$81,0))</f>
        <v>1.7370335648879909E-2</v>
      </c>
      <c r="M72" s="566">
        <f>INDEX('Wound growth'!$C$82:$BD$82, MATCH(M63, 'Wound growth'!$C$81:$BD$81,0))</f>
        <v>1.627753598215631E-2</v>
      </c>
      <c r="N72" s="566">
        <f>INDEX('Wound growth'!$C$82:$BD$82, MATCH(N63, 'Wound growth'!$C$81:$BD$81,0))</f>
        <v>1.5551163524574196E-2</v>
      </c>
      <c r="O72" s="566">
        <f>INDEX('Wound growth'!$C$82:$BD$82, MATCH(O63, 'Wound growth'!$C$81:$BD$81,0))</f>
        <v>1.5205971943975882E-2</v>
      </c>
      <c r="P72" s="566">
        <f>INDEX('Wound growth'!$C$82:$BD$82, MATCH(P63, 'Wound growth'!$C$81:$BD$81,0))</f>
        <v>1.4913469897159803E-2</v>
      </c>
      <c r="Q72" s="566">
        <f>INDEX('Wound growth'!$C$82:$BD$82, MATCH(Q63, 'Wound growth'!$C$81:$BD$81,0))</f>
        <v>1.4354776130790281E-2</v>
      </c>
      <c r="R72" s="566">
        <f>INDEX('Wound growth'!$C$82:$BD$82, MATCH(R63, 'Wound growth'!$C$81:$BD$81,0))</f>
        <v>1.3860501588639051E-2</v>
      </c>
      <c r="S72" s="566">
        <f>INDEX('Wound growth'!$C$82:$BD$82, MATCH(S63, 'Wound growth'!$C$81:$BD$81,0))</f>
        <v>1.4006608429486089E-2</v>
      </c>
      <c r="T72" s="566">
        <f>INDEX('Wound growth'!$C$82:$BD$82, MATCH(T63, 'Wound growth'!$C$81:$BD$81,0))</f>
        <v>1.3617620995418855E-2</v>
      </c>
      <c r="U72" s="566">
        <f>INDEX('Wound growth'!$C$82:$BD$82, MATCH(U63, 'Wound growth'!$C$81:$BD$81,0))</f>
        <v>1.3099000580177433E-2</v>
      </c>
      <c r="V72" s="566">
        <f>INDEX('Wound growth'!$C$82:$BD$82, MATCH(V63, 'Wound growth'!$C$81:$BD$81,0))</f>
        <v>1.257983195792467E-2</v>
      </c>
      <c r="W72" s="566">
        <f>INDEX('Wound growth'!$C$82:$BD$82, MATCH(W63, 'Wound growth'!$C$81:$BD$81,0))</f>
        <v>1.2318626102939989E-2</v>
      </c>
      <c r="X72" s="566">
        <f>INDEX('Wound growth'!$C$82:$BD$82, MATCH(X63, 'Wound growth'!$C$81:$BD$81,0))</f>
        <v>1.2009789251160141E-2</v>
      </c>
      <c r="Y72" s="566">
        <f>INDEX('Wound growth'!$C$82:$BD$82, MATCH(Y63, 'Wound growth'!$C$81:$BD$81,0))</f>
        <v>1.1614110409420064E-2</v>
      </c>
      <c r="Z72" s="566">
        <f>INDEX('Wound growth'!$C$82:$BD$82, MATCH(Z63, 'Wound growth'!$C$81:$BD$81,0))</f>
        <v>1.1158999210355569E-2</v>
      </c>
      <c r="AA72" s="566">
        <f>INDEX('Wound growth'!$C$82:$BD$82, MATCH(AA63, 'Wound growth'!$C$81:$BD$81,0))</f>
        <v>1.064826606743452E-2</v>
      </c>
      <c r="AB72" s="566">
        <f>INDEX('Wound growth'!$C$82:$BD$82, MATCH(AB63, 'Wound growth'!$C$81:$BD$81,0))</f>
        <v>1.0103700076924627E-2</v>
      </c>
      <c r="AC72" s="566">
        <f>INDEX('Wound growth'!$C$82:$BD$82, MATCH(AC63, 'Wound growth'!$C$81:$BD$81,0))</f>
        <v>9.5313863437060942E-3</v>
      </c>
      <c r="AD72" s="566">
        <f>INDEX('Wound growth'!$C$82:$BD$82, MATCH(AD63, 'Wound growth'!$C$81:$BD$81,0))</f>
        <v>9.0189601735179981E-3</v>
      </c>
      <c r="AE72" s="566">
        <f>INDEX('Wound growth'!$C$82:$BD$82, MATCH(AE63, 'Wound growth'!$C$81:$BD$81,0))</f>
        <v>8.7240705516806738E-3</v>
      </c>
      <c r="AF72" s="566">
        <f>INDEX('Wound growth'!$C$82:$BD$82, MATCH(AF63, 'Wound growth'!$C$81:$BD$81,0))</f>
        <v>8.4553475631115038E-3</v>
      </c>
      <c r="AG72" s="566">
        <f>INDEX('Wound growth'!$C$82:$BD$82, MATCH(AG63, 'Wound growth'!$C$81:$BD$81,0))</f>
        <v>8.2642204527860752E-3</v>
      </c>
      <c r="AH72" s="566">
        <f>INDEX('Wound growth'!$C$82:$BD$82, MATCH(AH63, 'Wound growth'!$C$81:$BD$81,0))</f>
        <v>7.8530496220994284E-3</v>
      </c>
      <c r="AI72" s="566">
        <f>INDEX('Wound growth'!$C$82:$BD$82, MATCH(AI63, 'Wound growth'!$C$81:$BD$81,0))</f>
        <v>7.2865386681693067E-3</v>
      </c>
      <c r="AJ72" s="566">
        <f>INDEX('Wound growth'!$C$82:$BD$82, MATCH(AJ63, 'Wound growth'!$C$81:$BD$81,0))</f>
        <v>6.6256536695044055E-3</v>
      </c>
      <c r="AK72" s="566">
        <f>INDEX('Wound growth'!$C$82:$BD$82, MATCH(AK63, 'Wound growth'!$C$81:$BD$81,0))</f>
        <v>6.0516909281937981E-3</v>
      </c>
      <c r="AL72" s="566">
        <f>INDEX('Wound growth'!$C$82:$BD$82, MATCH(AL63, 'Wound growth'!$C$81:$BD$81,0))</f>
        <v>5.5067877766292739E-3</v>
      </c>
      <c r="AM72" s="566">
        <f>INDEX('Wound growth'!$C$82:$BD$82, MATCH(AM63, 'Wound growth'!$C$81:$BD$81,0))</f>
        <v>4.9466183903486005E-3</v>
      </c>
      <c r="AN72" s="566">
        <f>INDEX('Wound growth'!$C$82:$BD$82, MATCH(AN63, 'Wound growth'!$C$81:$BD$81,0))</f>
        <v>4.6288110527314963E-3</v>
      </c>
      <c r="AO72" s="566">
        <f>INDEX('Wound growth'!$C$82:$BD$82, MATCH(AO63, 'Wound growth'!$C$81:$BD$81,0))</f>
        <v>4.5698849332584945E-3</v>
      </c>
      <c r="AP72" s="566">
        <f>INDEX('Wound growth'!$C$82:$BD$82, MATCH(AP63, 'Wound growth'!$C$81:$BD$81,0))</f>
        <v>4.7089150155754655E-3</v>
      </c>
      <c r="AQ72" s="566">
        <f>INDEX('Wound growth'!$C$82:$BD$82, MATCH(AQ63, 'Wound growth'!$C$81:$BD$81,0))</f>
        <v>3.5303660418175564E-3</v>
      </c>
      <c r="AR72" s="566">
        <f>INDEX('Wound growth'!$C$82:$BD$82, MATCH(AR63, 'Wound growth'!$C$81:$BD$81,0))</f>
        <v>2.6498931282845639E-3</v>
      </c>
      <c r="AS72" s="566">
        <f>INDEX('Wound growth'!$C$82:$BD$82, MATCH(AS63, 'Wound growth'!$C$81:$BD$81,0))</f>
        <v>1.9907567063639497E-3</v>
      </c>
      <c r="AT72" s="566">
        <f>INDEX('Wound growth'!$C$82:$BD$82, MATCH(AT63, 'Wound growth'!$C$81:$BD$81,0))</f>
        <v>1.4965582057842042E-3</v>
      </c>
      <c r="AU72" s="566">
        <f>INDEX('Wound growth'!$C$82:$BD$82, MATCH(AU63, 'Wound growth'!$C$81:$BD$81,0))</f>
        <v>1.1255979456648024E-3</v>
      </c>
      <c r="AV72" s="566">
        <f>INDEX('Wound growth'!$C$82:$BD$82, MATCH(AV63, 'Wound growth'!$C$81:$BD$81,0))</f>
        <v>8.4690337986748077E-4</v>
      </c>
      <c r="AW72" s="566">
        <f>INDEX('Wound growth'!$C$82:$BD$82, MATCH(AW63, 'Wound growth'!$C$81:$BD$81,0))</f>
        <v>6.3739016300190521E-4</v>
      </c>
      <c r="AX72" s="566">
        <f>INDEX('Wound growth'!$C$82:$BD$82, MATCH(AX63, 'Wound growth'!$C$81:$BD$81,0))</f>
        <v>4.7980831518090739E-4</v>
      </c>
      <c r="AY72" s="566">
        <f>INDEX('Wound growth'!$C$82:$BD$82, MATCH(AY63, 'Wound growth'!$C$81:$BD$81,0))</f>
        <v>3.6124228635725508E-4</v>
      </c>
      <c r="AZ72" s="566" t="e">
        <f>INDEX('Wound growth'!$C$82:$BD$82, MATCH(AZ63, 'Wound growth'!$C$81:$BD$81,0))</f>
        <v>#N/A</v>
      </c>
      <c r="BA72" s="566" t="e">
        <f>INDEX('Wound growth'!$C$82:$BD$82, MATCH(BA63, 'Wound growth'!$C$81:$BD$81,0))</f>
        <v>#N/A</v>
      </c>
      <c r="BB72" s="566" t="e">
        <f>INDEX('Wound growth'!$C$82:$BD$82, MATCH(BB63, 'Wound growth'!$C$81:$BD$81,0))</f>
        <v>#N/A</v>
      </c>
      <c r="BC72" s="566" t="e">
        <f>INDEX('Wound growth'!$C$82:$BD$82, MATCH(BC63, 'Wound growth'!$C$81:$BD$81,0))</f>
        <v>#N/A</v>
      </c>
      <c r="BD72" s="566" t="e">
        <f>INDEX('Wound growth'!$C$82:$BD$82, MATCH(BD63, 'Wound growth'!$C$81:$BD$81,0))</f>
        <v>#N/A</v>
      </c>
      <c r="BE72" s="566" t="e">
        <f>INDEX('Wound growth'!$C$82:$BD$82, MATCH(BE63, 'Wound growth'!$C$81:$BD$81,0))</f>
        <v>#N/A</v>
      </c>
      <c r="BF72" s="566" t="e">
        <f>INDEX('Wound growth'!$C$82:$BD$82, MATCH(BF63, 'Wound growth'!$C$81:$BD$81,0))</f>
        <v>#N/A</v>
      </c>
      <c r="BG72" s="566" t="e">
        <f>INDEX('Wound growth'!$C$82:$BD$82, MATCH(BG63, 'Wound growth'!$C$81:$BD$81,0))</f>
        <v>#N/A</v>
      </c>
      <c r="BH72" s="566" t="e">
        <f>INDEX('Wound growth'!$C$82:$BD$82, MATCH(BH63, 'Wound growth'!$C$81:$BD$81,0))</f>
        <v>#N/A</v>
      </c>
    </row>
    <row r="73" spans="2:61" s="4" customFormat="1" ht="26.4" customHeight="1">
      <c r="B73" s="6" t="s">
        <v>3240</v>
      </c>
      <c r="C73" s="220"/>
      <c r="D73" s="566">
        <f>D71-D72</f>
        <v>0</v>
      </c>
      <c r="E73" s="566">
        <f t="shared" ref="E73:BH73" si="186">E71-E72</f>
        <v>-4.169939390621602E-3</v>
      </c>
      <c r="F73" s="566">
        <f t="shared" si="186"/>
        <v>-4.1639022908099843E-3</v>
      </c>
      <c r="G73" s="566">
        <f t="shared" si="186"/>
        <v>-3.5681459822265449E-3</v>
      </c>
      <c r="H73" s="566">
        <f t="shared" si="186"/>
        <v>-2.6521772814165345E-3</v>
      </c>
      <c r="I73" s="566">
        <f t="shared" si="186"/>
        <v>-3.4486832745554974E-3</v>
      </c>
      <c r="J73" s="566">
        <f t="shared" si="186"/>
        <v>-3.2866153963666545E-3</v>
      </c>
      <c r="K73" s="566">
        <f t="shared" si="186"/>
        <v>-2.4914238428490609E-3</v>
      </c>
      <c r="L73" s="566">
        <f t="shared" si="186"/>
        <v>2.0463080526500477E-4</v>
      </c>
      <c r="M73" s="566">
        <f t="shared" si="186"/>
        <v>1.5296675733658116E-3</v>
      </c>
      <c r="N73" s="566">
        <f t="shared" si="186"/>
        <v>1.8004452304074547E-3</v>
      </c>
      <c r="O73" s="566">
        <f t="shared" si="186"/>
        <v>1.4029878000925144E-3</v>
      </c>
      <c r="P73" s="566">
        <f t="shared" si="186"/>
        <v>8.0226352735346396E-4</v>
      </c>
      <c r="Q73" s="566">
        <f t="shared" si="186"/>
        <v>7.8090782409123705E-4</v>
      </c>
      <c r="R73" s="566">
        <f t="shared" si="186"/>
        <v>1.0375823246109306E-3</v>
      </c>
      <c r="S73" s="566">
        <f t="shared" si="186"/>
        <v>6.7860436196398588E-4</v>
      </c>
      <c r="T73" s="566">
        <f t="shared" si="186"/>
        <v>5.6807062084773818E-4</v>
      </c>
      <c r="U73" s="566">
        <f t="shared" si="186"/>
        <v>6.3615728485699741E-4</v>
      </c>
      <c r="V73" s="566">
        <f t="shared" si="186"/>
        <v>1.3335883332943332E-3</v>
      </c>
      <c r="W73" s="566">
        <f t="shared" si="186"/>
        <v>1.2298674394968234E-3</v>
      </c>
      <c r="X73" s="566">
        <f t="shared" si="186"/>
        <v>1.0379394493580385E-3</v>
      </c>
      <c r="Y73" s="566">
        <f t="shared" si="186"/>
        <v>9.2767459389953011E-4</v>
      </c>
      <c r="Z73" s="566">
        <f t="shared" si="186"/>
        <v>1.1313515139383945E-3</v>
      </c>
      <c r="AA73" s="566">
        <f t="shared" si="186"/>
        <v>1.3405084234849873E-3</v>
      </c>
      <c r="AB73" s="566">
        <f t="shared" si="186"/>
        <v>1.494792409355794E-3</v>
      </c>
      <c r="AC73" s="566">
        <f t="shared" si="186"/>
        <v>1.6160040337729331E-3</v>
      </c>
      <c r="AD73" s="566">
        <f t="shared" si="186"/>
        <v>1.6206750680431981E-3</v>
      </c>
      <c r="AE73" s="566">
        <f t="shared" si="186"/>
        <v>1.3732104069654749E-3</v>
      </c>
      <c r="AF73" s="566">
        <f t="shared" si="186"/>
        <v>1.0712625800401998E-3</v>
      </c>
      <c r="AG73" s="566">
        <f t="shared" si="186"/>
        <v>7.5118312340904936E-4</v>
      </c>
      <c r="AH73" s="566">
        <f t="shared" si="186"/>
        <v>8.6836892035080382E-4</v>
      </c>
      <c r="AI73" s="566">
        <f t="shared" si="186"/>
        <v>1.1668306235452786E-3</v>
      </c>
      <c r="AJ73" s="566">
        <f t="shared" si="186"/>
        <v>1.6370902480324911E-3</v>
      </c>
      <c r="AK73" s="566">
        <f t="shared" si="186"/>
        <v>1.8002573867978988E-3</v>
      </c>
      <c r="AL73" s="566">
        <f t="shared" si="186"/>
        <v>1.7789296263255316E-3</v>
      </c>
      <c r="AM73" s="566">
        <f t="shared" si="186"/>
        <v>1.6784227333255242E-3</v>
      </c>
      <c r="AN73" s="566">
        <f t="shared" si="186"/>
        <v>1.4224225503067789E-3</v>
      </c>
      <c r="AO73" s="566">
        <f t="shared" si="186"/>
        <v>9.3656117323503985E-4</v>
      </c>
      <c r="AP73" s="566">
        <f t="shared" si="186"/>
        <v>2.3744798951708113E-4</v>
      </c>
      <c r="AQ73" s="566">
        <f t="shared" si="186"/>
        <v>1.0982538305142064E-3</v>
      </c>
      <c r="AR73" s="566">
        <f t="shared" si="186"/>
        <v>1.9198484954201511E-3</v>
      </c>
      <c r="AS73" s="566">
        <f t="shared" si="186"/>
        <v>2.7180507928952213E-3</v>
      </c>
      <c r="AT73" s="566">
        <f t="shared" si="186"/>
        <v>2.0337276067243781E-3</v>
      </c>
      <c r="AU73" s="566">
        <f t="shared" si="186"/>
        <v>1.5242351743380844E-3</v>
      </c>
      <c r="AV73" s="566">
        <f t="shared" si="186"/>
        <v>1.1438083638637409E-3</v>
      </c>
      <c r="AW73" s="566">
        <f t="shared" si="186"/>
        <v>8.5913430912221145E-4</v>
      </c>
      <c r="AX73" s="566">
        <f t="shared" si="186"/>
        <v>6.4576429648810496E-4</v>
      </c>
      <c r="AY73" s="566">
        <f t="shared" si="186"/>
        <v>4.8564205356416146E-4</v>
      </c>
      <c r="AZ73" s="566" t="e">
        <f t="shared" si="186"/>
        <v>#N/A</v>
      </c>
      <c r="BA73" s="566" t="e">
        <f t="shared" si="186"/>
        <v>#N/A</v>
      </c>
      <c r="BB73" s="566" t="e">
        <f t="shared" si="186"/>
        <v>#N/A</v>
      </c>
      <c r="BC73" s="566" t="e">
        <f t="shared" si="186"/>
        <v>#N/A</v>
      </c>
      <c r="BD73" s="566" t="e">
        <f t="shared" si="186"/>
        <v>#N/A</v>
      </c>
      <c r="BE73" s="566" t="e">
        <f t="shared" si="186"/>
        <v>#N/A</v>
      </c>
      <c r="BF73" s="566" t="e">
        <f t="shared" si="186"/>
        <v>#N/A</v>
      </c>
      <c r="BG73" s="566" t="e">
        <f t="shared" si="186"/>
        <v>#N/A</v>
      </c>
      <c r="BH73" s="566" t="e">
        <f t="shared" si="186"/>
        <v>#N/A</v>
      </c>
    </row>
    <row r="74" spans="2:61" s="9" customFormat="1" ht="13.25" customHeight="1">
      <c r="B74" s="113"/>
      <c r="C74" s="226"/>
      <c r="D74" s="226"/>
      <c r="E74" s="533"/>
      <c r="F74" s="533"/>
      <c r="G74" s="533"/>
      <c r="H74" s="533"/>
      <c r="I74" s="533"/>
      <c r="J74" s="533"/>
      <c r="K74" s="533"/>
      <c r="L74" s="533"/>
      <c r="M74" s="533"/>
      <c r="N74" s="533"/>
      <c r="O74" s="533"/>
      <c r="P74" s="533"/>
      <c r="Q74" s="533"/>
      <c r="R74" s="533"/>
      <c r="S74" s="226"/>
      <c r="T74" s="226"/>
      <c r="U74" s="226"/>
      <c r="V74" s="226"/>
      <c r="W74" s="226"/>
      <c r="X74" s="226"/>
      <c r="Y74" s="226"/>
      <c r="Z74" s="226"/>
      <c r="AA74" s="226"/>
      <c r="AB74" s="226"/>
      <c r="AC74" s="226"/>
      <c r="AD74" s="226"/>
      <c r="AE74" s="226"/>
      <c r="AF74" s="226"/>
      <c r="AG74" s="226"/>
      <c r="AH74" s="226"/>
      <c r="AI74" s="226"/>
      <c r="AJ74" s="226"/>
      <c r="AK74" s="226"/>
      <c r="AL74" s="226"/>
      <c r="AM74" s="226"/>
      <c r="AN74" s="226"/>
      <c r="AO74" s="226"/>
      <c r="AP74" s="226"/>
      <c r="AQ74" s="226"/>
      <c r="AR74" s="226"/>
      <c r="AS74" s="226"/>
      <c r="AT74" s="226"/>
      <c r="AU74" s="226"/>
      <c r="AV74" s="226"/>
      <c r="AW74" s="226"/>
      <c r="AX74" s="226"/>
      <c r="AY74" s="226"/>
      <c r="AZ74" s="226"/>
      <c r="BA74" s="226"/>
      <c r="BB74" s="226"/>
      <c r="BC74" s="226"/>
      <c r="BD74" s="226"/>
      <c r="BE74" s="226"/>
      <c r="BF74" s="226"/>
      <c r="BG74" s="226"/>
      <c r="BH74" s="226"/>
    </row>
    <row r="75" spans="2:61" s="9" customFormat="1" ht="13.25" customHeight="1">
      <c r="B75" s="113"/>
      <c r="C75" s="226"/>
      <c r="D75" s="565"/>
      <c r="E75" s="565"/>
      <c r="F75" s="565"/>
      <c r="G75" s="565"/>
      <c r="H75" s="565"/>
      <c r="I75" s="565"/>
      <c r="J75" s="565"/>
      <c r="K75" s="565"/>
      <c r="L75" s="565"/>
      <c r="M75" s="565"/>
      <c r="N75" s="565"/>
      <c r="O75" s="565"/>
      <c r="P75" s="565"/>
      <c r="Q75" s="565"/>
      <c r="R75" s="565"/>
      <c r="S75" s="565"/>
      <c r="T75" s="565"/>
      <c r="U75" s="565"/>
      <c r="V75" s="565"/>
      <c r="W75" s="565"/>
      <c r="X75" s="565"/>
      <c r="Y75" s="226"/>
      <c r="Z75" s="226"/>
      <c r="AA75" s="226"/>
      <c r="AB75" s="226"/>
      <c r="AC75" s="226"/>
      <c r="AD75" s="226"/>
      <c r="AE75" s="226"/>
      <c r="AF75" s="226"/>
      <c r="AG75" s="226"/>
      <c r="AH75" s="226"/>
      <c r="AI75" s="226"/>
      <c r="AJ75" s="226"/>
      <c r="AK75" s="226"/>
      <c r="AL75" s="226"/>
      <c r="AM75" s="226"/>
      <c r="AN75" s="226"/>
      <c r="AO75" s="226"/>
      <c r="AP75" s="226"/>
      <c r="AQ75" s="226"/>
      <c r="AR75" s="226"/>
      <c r="AS75" s="226"/>
      <c r="AT75" s="226"/>
      <c r="AU75" s="226"/>
      <c r="AV75" s="226"/>
      <c r="AW75" s="226"/>
      <c r="AX75" s="226"/>
      <c r="AY75" s="226"/>
      <c r="AZ75" s="226"/>
      <c r="BA75" s="226"/>
      <c r="BB75" s="226"/>
      <c r="BC75" s="226"/>
      <c r="BD75" s="226"/>
      <c r="BE75" s="226"/>
      <c r="BF75" s="226"/>
      <c r="BG75" s="226"/>
      <c r="BH75" s="226"/>
    </row>
    <row r="76" spans="2:61" s="9" customFormat="1" ht="13.25" customHeight="1">
      <c r="B76" s="113"/>
      <c r="C76" s="226"/>
      <c r="D76" s="226"/>
      <c r="E76" s="533"/>
      <c r="F76" s="533"/>
      <c r="G76" s="533"/>
      <c r="H76" s="533"/>
      <c r="I76" s="533"/>
      <c r="J76" s="533"/>
      <c r="K76" s="533"/>
      <c r="L76" s="533"/>
      <c r="M76" s="533"/>
      <c r="N76" s="533"/>
      <c r="O76" s="533"/>
      <c r="P76" s="533"/>
      <c r="Q76" s="533"/>
      <c r="R76" s="533"/>
      <c r="S76" s="226"/>
      <c r="T76" s="226"/>
      <c r="U76" s="226"/>
      <c r="V76" s="226"/>
      <c r="W76" s="226"/>
      <c r="X76" s="226"/>
      <c r="Y76" s="226"/>
      <c r="Z76" s="226"/>
      <c r="AA76" s="226"/>
      <c r="AB76" s="226"/>
      <c r="AC76" s="226"/>
      <c r="AD76" s="226"/>
      <c r="AE76" s="226"/>
      <c r="AF76" s="226"/>
      <c r="AG76" s="226"/>
      <c r="AH76" s="226"/>
      <c r="AI76" s="226"/>
      <c r="AJ76" s="226"/>
      <c r="AK76" s="226"/>
      <c r="AL76" s="226"/>
      <c r="AM76" s="226"/>
      <c r="AN76" s="226"/>
      <c r="AO76" s="226"/>
      <c r="AP76" s="226"/>
      <c r="AQ76" s="226"/>
      <c r="AR76" s="226"/>
      <c r="AS76" s="226"/>
      <c r="AT76" s="226"/>
      <c r="AU76" s="226"/>
      <c r="AV76" s="226"/>
      <c r="AW76" s="226"/>
      <c r="AX76" s="226"/>
      <c r="AY76" s="226"/>
      <c r="AZ76" s="226"/>
      <c r="BA76" s="226"/>
      <c r="BB76" s="226"/>
      <c r="BC76" s="226"/>
      <c r="BD76" s="226"/>
      <c r="BE76" s="226"/>
      <c r="BF76" s="226"/>
      <c r="BG76" s="226"/>
      <c r="BH76" s="226"/>
    </row>
    <row r="77" spans="2:61" s="9" customFormat="1" ht="26.4" customHeight="1">
      <c r="B77" s="5" t="s">
        <v>3241</v>
      </c>
      <c r="C77" s="225"/>
      <c r="D77" s="524">
        <f>D59-D73</f>
        <v>2.438964359032969E-2</v>
      </c>
      <c r="E77" s="524">
        <f t="shared" ref="E77:BH77" si="187">E59-E73</f>
        <v>2.2104032291079267E-2</v>
      </c>
      <c r="F77" s="524">
        <f t="shared" si="187"/>
        <v>-0.11190654980116821</v>
      </c>
      <c r="G77" s="524">
        <f t="shared" si="187"/>
        <v>-7.3847347507171701E-2</v>
      </c>
      <c r="H77" s="524">
        <f t="shared" si="187"/>
        <v>-4.4272783785665237E-2</v>
      </c>
      <c r="I77" s="524">
        <f t="shared" si="187"/>
        <v>-2.1286592867711729E-2</v>
      </c>
      <c r="J77" s="524">
        <f t="shared" si="187"/>
        <v>-6.7693351683111302E-3</v>
      </c>
      <c r="K77" s="524">
        <f t="shared" si="187"/>
        <v>2.0859048876816777E-3</v>
      </c>
      <c r="L77" s="524">
        <f t="shared" si="187"/>
        <v>8.0352405617243328E-3</v>
      </c>
      <c r="M77" s="524">
        <f t="shared" si="187"/>
        <v>1.0642392280893143E-2</v>
      </c>
      <c r="N77" s="524">
        <f t="shared" si="187"/>
        <v>1.1873324658723261E-2</v>
      </c>
      <c r="O77" s="524">
        <f t="shared" si="187"/>
        <v>1.2587566379883119E-2</v>
      </c>
      <c r="P77" s="524">
        <f t="shared" si="187"/>
        <v>1.2866489331503583E-2</v>
      </c>
      <c r="Q77" s="524">
        <f t="shared" si="187"/>
        <v>1.2811175145286624E-2</v>
      </c>
      <c r="R77" s="524">
        <f t="shared" si="187"/>
        <v>1.279585941583683E-2</v>
      </c>
      <c r="S77" s="524">
        <f t="shared" si="187"/>
        <v>1.3247501263345063E-2</v>
      </c>
      <c r="T77" s="524">
        <f t="shared" si="187"/>
        <v>1.2900496645370296E-2</v>
      </c>
      <c r="U77" s="524">
        <f t="shared" si="187"/>
        <v>1.243165451193895E-2</v>
      </c>
      <c r="V77" s="524">
        <f t="shared" si="187"/>
        <v>1.2261434999499166E-2</v>
      </c>
      <c r="W77" s="524">
        <f t="shared" si="187"/>
        <v>1.1938310515932304E-2</v>
      </c>
      <c r="X77" s="524">
        <f t="shared" si="187"/>
        <v>1.1522183745890979E-2</v>
      </c>
      <c r="Y77" s="524">
        <f t="shared" si="187"/>
        <v>1.1057599400516427E-2</v>
      </c>
      <c r="Z77" s="524">
        <f t="shared" si="187"/>
        <v>1.0689445582311663E-2</v>
      </c>
      <c r="AA77" s="524">
        <f t="shared" si="187"/>
        <v>1.0206212305009288E-2</v>
      </c>
      <c r="AB77" s="524">
        <f t="shared" si="187"/>
        <v>9.632879082112078E-3</v>
      </c>
      <c r="AC77" s="524">
        <f t="shared" si="187"/>
        <v>9.0113743527955315E-3</v>
      </c>
      <c r="AD77" s="524">
        <f t="shared" si="187"/>
        <v>8.4391883871677287E-3</v>
      </c>
      <c r="AE77" s="524">
        <f t="shared" si="187"/>
        <v>8.0891821572910416E-3</v>
      </c>
      <c r="AF77" s="524">
        <f t="shared" si="187"/>
        <v>7.7712695010621058E-3</v>
      </c>
      <c r="AG77" s="524">
        <f t="shared" si="187"/>
        <v>7.5797208112691195E-3</v>
      </c>
      <c r="AH77" s="524">
        <f t="shared" si="187"/>
        <v>7.279800119968538E-3</v>
      </c>
      <c r="AI77" s="524">
        <f t="shared" si="187"/>
        <v>6.79487458268202E-3</v>
      </c>
      <c r="AJ77" s="524">
        <f t="shared" si="187"/>
        <v>6.2240957219645843E-3</v>
      </c>
      <c r="AK77" s="524">
        <f t="shared" si="187"/>
        <v>5.5912177277004371E-3</v>
      </c>
      <c r="AL77" s="524">
        <f t="shared" si="187"/>
        <v>4.9288436662822122E-3</v>
      </c>
      <c r="AM77" s="524">
        <f t="shared" si="187"/>
        <v>4.2464025955719631E-3</v>
      </c>
      <c r="AN77" s="524">
        <f t="shared" si="187"/>
        <v>3.8974854810482906E-3</v>
      </c>
      <c r="AO77" s="524">
        <f t="shared" si="187"/>
        <v>3.833626242652155E-3</v>
      </c>
      <c r="AP77" s="524">
        <f t="shared" si="187"/>
        <v>3.9607422628253897E-3</v>
      </c>
      <c r="AQ77" s="524">
        <f t="shared" si="187"/>
        <v>2.9011487564643001E-3</v>
      </c>
      <c r="AR77" s="524">
        <f t="shared" si="187"/>
        <v>2.2299537205172637E-3</v>
      </c>
      <c r="AS77" s="524">
        <f t="shared" si="187"/>
        <v>1.8044163969423987E-3</v>
      </c>
      <c r="AT77" s="524">
        <f t="shared" si="187"/>
        <v>7.6055862963553267E-4</v>
      </c>
      <c r="AU77" s="524">
        <f t="shared" si="187"/>
        <v>2.0523932278027068E-4</v>
      </c>
      <c r="AV77" s="524">
        <f t="shared" si="187"/>
        <v>-7.2242595931859555E-5</v>
      </c>
      <c r="AW77" s="524">
        <f t="shared" si="187"/>
        <v>-1.9476612440771923E-4</v>
      </c>
      <c r="AX77" s="524">
        <f t="shared" si="187"/>
        <v>-2.3369001258810584E-4</v>
      </c>
      <c r="AY77" s="524">
        <f t="shared" si="187"/>
        <v>-2.2998857326017585E-4</v>
      </c>
      <c r="AZ77" s="524" t="e">
        <f t="shared" si="187"/>
        <v>#N/A</v>
      </c>
      <c r="BA77" s="524" t="e">
        <f t="shared" si="187"/>
        <v>#N/A</v>
      </c>
      <c r="BB77" s="524" t="e">
        <f t="shared" si="187"/>
        <v>#N/A</v>
      </c>
      <c r="BC77" s="524" t="e">
        <f t="shared" si="187"/>
        <v>#N/A</v>
      </c>
      <c r="BD77" s="524" t="e">
        <f t="shared" si="187"/>
        <v>#N/A</v>
      </c>
      <c r="BE77" s="524" t="e">
        <f t="shared" si="187"/>
        <v>#N/A</v>
      </c>
      <c r="BF77" s="524" t="e">
        <f t="shared" si="187"/>
        <v>#N/A</v>
      </c>
      <c r="BG77" s="524" t="e">
        <f t="shared" si="187"/>
        <v>#N/A</v>
      </c>
      <c r="BH77" s="524" t="e">
        <f t="shared" si="187"/>
        <v>#N/A</v>
      </c>
    </row>
    <row r="78" spans="2:61" s="9" customFormat="1" ht="13.25" customHeight="1">
      <c r="B78" s="113"/>
      <c r="C78" s="226"/>
      <c r="D78" s="226"/>
      <c r="E78" s="533"/>
      <c r="F78" s="533"/>
      <c r="G78" s="533"/>
      <c r="H78" s="533"/>
      <c r="I78" s="533"/>
      <c r="J78" s="533"/>
      <c r="K78" s="533"/>
      <c r="L78" s="533"/>
      <c r="M78" s="533"/>
      <c r="N78" s="533"/>
      <c r="O78" s="533"/>
      <c r="P78" s="533"/>
      <c r="Q78" s="533"/>
      <c r="R78" s="533"/>
      <c r="S78" s="226"/>
      <c r="T78" s="226"/>
      <c r="U78" s="226"/>
      <c r="V78" s="226"/>
      <c r="W78" s="226"/>
      <c r="X78" s="226"/>
      <c r="Y78" s="226"/>
      <c r="Z78" s="226"/>
      <c r="AA78" s="226"/>
      <c r="AB78" s="226"/>
      <c r="AC78" s="226"/>
      <c r="AD78" s="226"/>
      <c r="AE78" s="226"/>
      <c r="AF78" s="226"/>
      <c r="AG78" s="226"/>
      <c r="AH78" s="226"/>
      <c r="AI78" s="226"/>
      <c r="AJ78" s="226"/>
      <c r="AK78" s="226"/>
      <c r="AL78" s="226"/>
      <c r="AM78" s="226"/>
      <c r="AN78" s="226"/>
      <c r="AO78" s="226"/>
      <c r="AP78" s="226"/>
      <c r="AQ78" s="226"/>
      <c r="AR78" s="226"/>
      <c r="AS78" s="226"/>
      <c r="AT78" s="226"/>
      <c r="AU78" s="226"/>
      <c r="AV78" s="226"/>
      <c r="AW78" s="226"/>
      <c r="AX78" s="226"/>
      <c r="AY78" s="226"/>
      <c r="AZ78" s="226"/>
      <c r="BA78" s="226"/>
      <c r="BB78" s="226"/>
      <c r="BC78" s="226"/>
      <c r="BD78" s="226"/>
      <c r="BE78" s="226"/>
      <c r="BF78" s="226"/>
      <c r="BG78" s="226"/>
      <c r="BH78" s="226"/>
    </row>
    <row r="79" spans="2:61" s="9" customFormat="1" ht="13.25" customHeight="1">
      <c r="B79" s="113"/>
      <c r="C79" s="226"/>
      <c r="D79" s="226"/>
      <c r="E79" s="533"/>
      <c r="F79" s="533"/>
      <c r="G79" s="533"/>
      <c r="H79" s="533"/>
      <c r="I79" s="533"/>
      <c r="J79" s="533"/>
      <c r="K79" s="533"/>
      <c r="L79" s="533"/>
      <c r="M79" s="533"/>
      <c r="N79" s="533"/>
      <c r="O79" s="533"/>
      <c r="P79" s="533"/>
      <c r="Q79" s="533"/>
      <c r="R79" s="533"/>
      <c r="S79" s="226"/>
      <c r="T79" s="226"/>
      <c r="U79" s="226"/>
      <c r="V79" s="226"/>
      <c r="W79" s="226"/>
      <c r="X79" s="226"/>
      <c r="Y79" s="226"/>
      <c r="Z79" s="226"/>
      <c r="AA79" s="226"/>
      <c r="AB79" s="226"/>
      <c r="AC79" s="226"/>
      <c r="AD79" s="226"/>
      <c r="AE79" s="226"/>
      <c r="AF79" s="226"/>
      <c r="AG79" s="226"/>
      <c r="AH79" s="226"/>
      <c r="AI79" s="226"/>
      <c r="AJ79" s="226"/>
      <c r="AK79" s="226"/>
      <c r="AL79" s="226"/>
      <c r="AM79" s="226"/>
      <c r="AN79" s="226"/>
      <c r="AO79" s="226"/>
      <c r="AP79" s="226"/>
      <c r="AQ79" s="226"/>
      <c r="AR79" s="226"/>
      <c r="AS79" s="226"/>
      <c r="AT79" s="226"/>
      <c r="AU79" s="226"/>
      <c r="AV79" s="226"/>
      <c r="AW79" s="226"/>
      <c r="AX79" s="226"/>
      <c r="AY79" s="226"/>
      <c r="AZ79" s="226"/>
      <c r="BA79" s="226"/>
      <c r="BB79" s="226"/>
      <c r="BC79" s="226"/>
      <c r="BD79" s="226"/>
      <c r="BE79" s="226"/>
      <c r="BF79" s="226"/>
      <c r="BG79" s="226"/>
      <c r="BH79" s="226"/>
    </row>
    <row r="80" spans="2:61" s="9" customFormat="1" ht="13.25" customHeight="1">
      <c r="B80" s="113"/>
      <c r="C80" s="226"/>
      <c r="D80" s="226"/>
      <c r="E80" s="533"/>
      <c r="F80" s="533"/>
      <c r="G80" s="533"/>
      <c r="H80" s="533"/>
      <c r="I80" s="533"/>
      <c r="J80" s="533"/>
      <c r="K80" s="533"/>
      <c r="L80" s="533"/>
      <c r="M80" s="533"/>
      <c r="N80" s="533"/>
      <c r="O80" s="533"/>
      <c r="P80" s="533"/>
      <c r="Q80" s="533"/>
      <c r="R80" s="533"/>
      <c r="S80" s="226"/>
      <c r="T80" s="226"/>
      <c r="U80" s="226"/>
      <c r="V80" s="226"/>
      <c r="W80" s="226"/>
      <c r="X80" s="226"/>
      <c r="Y80" s="226"/>
      <c r="Z80" s="226"/>
      <c r="AA80" s="226"/>
      <c r="AB80" s="226"/>
      <c r="AC80" s="226"/>
      <c r="AD80" s="226"/>
      <c r="AE80" s="226"/>
      <c r="AF80" s="226"/>
      <c r="AG80" s="226"/>
      <c r="AH80" s="226"/>
      <c r="AI80" s="226"/>
      <c r="AJ80" s="226"/>
      <c r="AK80" s="226"/>
      <c r="AL80" s="226"/>
      <c r="AM80" s="226"/>
      <c r="AN80" s="226"/>
      <c r="AO80" s="226"/>
      <c r="AP80" s="226"/>
      <c r="AQ80" s="226"/>
      <c r="AR80" s="226"/>
      <c r="AS80" s="226"/>
      <c r="AT80" s="226"/>
      <c r="AU80" s="226"/>
      <c r="AV80" s="226"/>
      <c r="AW80" s="226"/>
      <c r="AX80" s="226"/>
      <c r="AY80" s="226"/>
      <c r="AZ80" s="226"/>
      <c r="BA80" s="226"/>
      <c r="BB80" s="226"/>
      <c r="BC80" s="226"/>
      <c r="BD80" s="226"/>
      <c r="BE80" s="226"/>
      <c r="BF80" s="226"/>
      <c r="BG80" s="226"/>
      <c r="BH80" s="226"/>
    </row>
    <row r="81" spans="1:61">
      <c r="B81" s="9"/>
      <c r="D81" s="19"/>
      <c r="E81" s="19"/>
      <c r="F81" s="19"/>
    </row>
    <row r="82" spans="1:61">
      <c r="B82" s="34"/>
      <c r="C82" s="387">
        <f>Epidemiology!$C$89</f>
        <v>2020</v>
      </c>
      <c r="D82" s="34">
        <f t="shared" ref="D82:BD82" si="188">C82+1</f>
        <v>2021</v>
      </c>
      <c r="E82" s="34">
        <f t="shared" si="188"/>
        <v>2022</v>
      </c>
      <c r="F82" s="34">
        <f t="shared" si="188"/>
        <v>2023</v>
      </c>
      <c r="G82" s="34">
        <f t="shared" si="188"/>
        <v>2024</v>
      </c>
      <c r="H82" s="34">
        <f t="shared" si="188"/>
        <v>2025</v>
      </c>
      <c r="I82" s="34">
        <f t="shared" si="188"/>
        <v>2026</v>
      </c>
      <c r="J82" s="34">
        <f t="shared" si="188"/>
        <v>2027</v>
      </c>
      <c r="K82" s="34">
        <f t="shared" si="188"/>
        <v>2028</v>
      </c>
      <c r="L82" s="34">
        <f t="shared" si="188"/>
        <v>2029</v>
      </c>
      <c r="M82" s="34">
        <f t="shared" si="188"/>
        <v>2030</v>
      </c>
      <c r="N82" s="34">
        <f t="shared" si="188"/>
        <v>2031</v>
      </c>
      <c r="O82" s="34">
        <f t="shared" si="188"/>
        <v>2032</v>
      </c>
      <c r="P82" s="34">
        <f t="shared" si="188"/>
        <v>2033</v>
      </c>
      <c r="Q82" s="34">
        <f t="shared" si="188"/>
        <v>2034</v>
      </c>
      <c r="R82" s="34">
        <f t="shared" si="188"/>
        <v>2035</v>
      </c>
      <c r="S82" s="34">
        <f t="shared" si="188"/>
        <v>2036</v>
      </c>
      <c r="T82" s="34">
        <f t="shared" si="188"/>
        <v>2037</v>
      </c>
      <c r="U82" s="34">
        <f t="shared" si="188"/>
        <v>2038</v>
      </c>
      <c r="V82" s="34">
        <f t="shared" si="188"/>
        <v>2039</v>
      </c>
      <c r="W82" s="34">
        <f t="shared" si="188"/>
        <v>2040</v>
      </c>
      <c r="X82" s="34">
        <f t="shared" si="188"/>
        <v>2041</v>
      </c>
      <c r="Y82" s="34">
        <f t="shared" si="188"/>
        <v>2042</v>
      </c>
      <c r="Z82" s="34">
        <f t="shared" si="188"/>
        <v>2043</v>
      </c>
      <c r="AA82" s="34">
        <f t="shared" si="188"/>
        <v>2044</v>
      </c>
      <c r="AB82" s="34">
        <f t="shared" si="188"/>
        <v>2045</v>
      </c>
      <c r="AC82" s="34">
        <f t="shared" si="188"/>
        <v>2046</v>
      </c>
      <c r="AD82" s="34">
        <f t="shared" si="188"/>
        <v>2047</v>
      </c>
      <c r="AE82" s="34">
        <f t="shared" si="188"/>
        <v>2048</v>
      </c>
      <c r="AF82" s="34">
        <f t="shared" si="188"/>
        <v>2049</v>
      </c>
      <c r="AG82" s="34">
        <f t="shared" si="188"/>
        <v>2050</v>
      </c>
      <c r="AH82" s="34">
        <f t="shared" si="188"/>
        <v>2051</v>
      </c>
      <c r="AI82" s="34">
        <f t="shared" si="188"/>
        <v>2052</v>
      </c>
      <c r="AJ82" s="34">
        <f t="shared" si="188"/>
        <v>2053</v>
      </c>
      <c r="AK82" s="34">
        <f t="shared" si="188"/>
        <v>2054</v>
      </c>
      <c r="AL82" s="34">
        <f t="shared" si="188"/>
        <v>2055</v>
      </c>
      <c r="AM82" s="34">
        <f t="shared" si="188"/>
        <v>2056</v>
      </c>
      <c r="AN82" s="34">
        <f t="shared" si="188"/>
        <v>2057</v>
      </c>
      <c r="AO82" s="34">
        <f t="shared" si="188"/>
        <v>2058</v>
      </c>
      <c r="AP82" s="34">
        <f t="shared" si="188"/>
        <v>2059</v>
      </c>
      <c r="AQ82" s="34">
        <f t="shared" si="188"/>
        <v>2060</v>
      </c>
      <c r="AR82" s="34">
        <f t="shared" si="188"/>
        <v>2061</v>
      </c>
      <c r="AS82" s="34">
        <f t="shared" si="188"/>
        <v>2062</v>
      </c>
      <c r="AT82" s="34">
        <f t="shared" si="188"/>
        <v>2063</v>
      </c>
      <c r="AU82" s="34">
        <f t="shared" si="188"/>
        <v>2064</v>
      </c>
      <c r="AV82" s="34">
        <f t="shared" si="188"/>
        <v>2065</v>
      </c>
      <c r="AW82" s="34">
        <f t="shared" si="188"/>
        <v>2066</v>
      </c>
      <c r="AX82" s="34">
        <f t="shared" si="188"/>
        <v>2067</v>
      </c>
      <c r="AY82" s="34">
        <f t="shared" si="188"/>
        <v>2068</v>
      </c>
      <c r="AZ82" s="34">
        <f t="shared" si="188"/>
        <v>2069</v>
      </c>
      <c r="BA82" s="34">
        <f t="shared" si="188"/>
        <v>2070</v>
      </c>
      <c r="BB82" s="34">
        <f t="shared" si="188"/>
        <v>2071</v>
      </c>
      <c r="BC82" s="34">
        <f t="shared" si="188"/>
        <v>2072</v>
      </c>
      <c r="BD82" s="34">
        <f t="shared" si="188"/>
        <v>2073</v>
      </c>
      <c r="BE82" s="34"/>
      <c r="BF82" s="34"/>
      <c r="BG82" s="34"/>
      <c r="BH82" s="34"/>
    </row>
    <row r="83" spans="1:61" s="522" customFormat="1" ht="13.25" customHeight="1">
      <c r="B83" s="523" t="s">
        <v>2550</v>
      </c>
      <c r="C83" s="524">
        <f>IF(C$82&lt;$C$8,    'Wound growth'!C82,  INDEX($C$77:$BH$77, MATCH(C82, $C$51:$BH$51,0)))</f>
        <v>0</v>
      </c>
      <c r="D83" s="524">
        <f>IF(D$82&lt;$C$8,    'Wound growth'!D82,  INDEX($C$77:$BH$77, MATCH(D82, $C$51:$BH$51,0)))</f>
        <v>3.4180455479503546E-2</v>
      </c>
      <c r="E83" s="524">
        <f>IF(E$82&lt;$C$8,    'Wound growth'!E82,  INDEX($C$77:$BH$77, MATCH(E82, $C$51:$BH$51,0)))</f>
        <v>2.8287382938216199E-2</v>
      </c>
      <c r="F83" s="524">
        <f>IF(F$82&lt;$C$8,    'Wound growth'!F82,  INDEX($C$77:$BH$77, MATCH(F82, $C$51:$BH$51,0)))</f>
        <v>2.438964359032969E-2</v>
      </c>
      <c r="G83" s="524">
        <f>IF(G$82&lt;$C$8,    'Wound growth'!G82,  INDEX($C$77:$BH$77, MATCH(G82, $C$51:$BH$51,0)))</f>
        <v>2.2104032291079267E-2</v>
      </c>
      <c r="H83" s="524">
        <f>IF(H$82&lt;$C$8,    'Wound growth'!H82,  INDEX($C$77:$BH$77, MATCH(H82, $C$51:$BH$51,0)))</f>
        <v>-0.11190654980116821</v>
      </c>
      <c r="I83" s="524">
        <f>IF(I$82&lt;$C$8,    'Wound growth'!I82,  INDEX($C$77:$BH$77, MATCH(I82, $C$51:$BH$51,0)))</f>
        <v>-7.3847347507171701E-2</v>
      </c>
      <c r="J83" s="524">
        <f>IF(J$82&lt;$C$8,    'Wound growth'!J82,  INDEX($C$77:$BH$77, MATCH(J82, $C$51:$BH$51,0)))</f>
        <v>-4.4272783785665237E-2</v>
      </c>
      <c r="K83" s="524">
        <f>IF(K$82&lt;$C$8,    'Wound growth'!K82,  INDEX($C$77:$BH$77, MATCH(K82, $C$51:$BH$51,0)))</f>
        <v>-2.1286592867711729E-2</v>
      </c>
      <c r="L83" s="524">
        <f>IF(L$82&lt;$C$8,    'Wound growth'!L82,  INDEX($C$77:$BH$77, MATCH(L82, $C$51:$BH$51,0)))</f>
        <v>-6.7693351683111302E-3</v>
      </c>
      <c r="M83" s="524">
        <f>IF(M$82&lt;$C$8,    'Wound growth'!M82,  INDEX($C$77:$BH$77, MATCH(M82, $C$51:$BH$51,0)))</f>
        <v>2.0859048876816777E-3</v>
      </c>
      <c r="N83" s="524">
        <f>IF(N$82&lt;$C$8,    'Wound growth'!N82,  INDEX($C$77:$BH$77, MATCH(N82, $C$51:$BH$51,0)))</f>
        <v>8.0352405617243328E-3</v>
      </c>
      <c r="O83" s="524">
        <f>IF(O$82&lt;$C$8,    'Wound growth'!O82,  INDEX($C$77:$BH$77, MATCH(O82, $C$51:$BH$51,0)))</f>
        <v>1.0642392280893143E-2</v>
      </c>
      <c r="P83" s="524">
        <f>IF(P$82&lt;$C$8,    'Wound growth'!P82,  INDEX($C$77:$BH$77, MATCH(P82, $C$51:$BH$51,0)))</f>
        <v>1.1873324658723261E-2</v>
      </c>
      <c r="Q83" s="524">
        <f>IF(Q$82&lt;$C$8,    'Wound growth'!Q82,  INDEX($C$77:$BH$77, MATCH(Q82, $C$51:$BH$51,0)))</f>
        <v>1.2587566379883119E-2</v>
      </c>
      <c r="R83" s="524">
        <f>IF(R$82&lt;$C$8,    'Wound growth'!R82,  INDEX($C$77:$BH$77, MATCH(R82, $C$51:$BH$51,0)))</f>
        <v>1.2866489331503583E-2</v>
      </c>
      <c r="S83" s="524">
        <f>IF(S$82&lt;$C$8,    'Wound growth'!S82,  INDEX($C$77:$BH$77, MATCH(S82, $C$51:$BH$51,0)))</f>
        <v>1.2811175145286624E-2</v>
      </c>
      <c r="T83" s="524">
        <f>IF(T$82&lt;$C$8,    'Wound growth'!T82,  INDEX($C$77:$BH$77, MATCH(T82, $C$51:$BH$51,0)))</f>
        <v>1.279585941583683E-2</v>
      </c>
      <c r="U83" s="524">
        <f>IF(U$82&lt;$C$8,    'Wound growth'!U82,  INDEX($C$77:$BH$77, MATCH(U82, $C$51:$BH$51,0)))</f>
        <v>1.3247501263345063E-2</v>
      </c>
      <c r="V83" s="524">
        <f>IF(V$82&lt;$C$8,    'Wound growth'!V82,  INDEX($C$77:$BH$77, MATCH(V82, $C$51:$BH$51,0)))</f>
        <v>1.2900496645370296E-2</v>
      </c>
      <c r="W83" s="524">
        <f>IF(W$82&lt;$C$8,    'Wound growth'!W82,  INDEX($C$77:$BH$77, MATCH(W82, $C$51:$BH$51,0)))</f>
        <v>1.243165451193895E-2</v>
      </c>
      <c r="X83" s="524">
        <f>IF(X$82&lt;$C$8,    'Wound growth'!X82,  INDEX($C$77:$BH$77, MATCH(X82, $C$51:$BH$51,0)))</f>
        <v>1.2261434999499166E-2</v>
      </c>
      <c r="Y83" s="524">
        <f>IF(Y$82&lt;$C$8,    'Wound growth'!Y82,  INDEX($C$77:$BH$77, MATCH(Y82, $C$51:$BH$51,0)))</f>
        <v>1.1938310515932304E-2</v>
      </c>
      <c r="Z83" s="524">
        <f>IF(Z$82&lt;$C$8,    'Wound growth'!Z82,  INDEX($C$77:$BH$77, MATCH(Z82, $C$51:$BH$51,0)))</f>
        <v>1.1522183745890979E-2</v>
      </c>
      <c r="AA83" s="524">
        <f>IF(AA$82&lt;$C$8,    'Wound growth'!AA82,  INDEX($C$77:$BH$77, MATCH(AA82, $C$51:$BH$51,0)))</f>
        <v>1.1057599400516427E-2</v>
      </c>
      <c r="AB83" s="524">
        <f>IF(AB$82&lt;$C$8,    'Wound growth'!AB82,  INDEX($C$77:$BH$77, MATCH(AB82, $C$51:$BH$51,0)))</f>
        <v>1.0689445582311663E-2</v>
      </c>
      <c r="AC83" s="524">
        <f>IF(AC$82&lt;$C$8,    'Wound growth'!AC82,  INDEX($C$77:$BH$77, MATCH(AC82, $C$51:$BH$51,0)))</f>
        <v>1.0206212305009288E-2</v>
      </c>
      <c r="AD83" s="524">
        <f>IF(AD$82&lt;$C$8,    'Wound growth'!AD82,  INDEX($C$77:$BH$77, MATCH(AD82, $C$51:$BH$51,0)))</f>
        <v>9.632879082112078E-3</v>
      </c>
      <c r="AE83" s="524">
        <f>IF(AE$82&lt;$C$8,    'Wound growth'!AE82,  INDEX($C$77:$BH$77, MATCH(AE82, $C$51:$BH$51,0)))</f>
        <v>9.0113743527955315E-3</v>
      </c>
      <c r="AF83" s="524">
        <f>IF(AF$82&lt;$C$8,    'Wound growth'!AF82,  INDEX($C$77:$BH$77, MATCH(AF82, $C$51:$BH$51,0)))</f>
        <v>8.4391883871677287E-3</v>
      </c>
      <c r="AG83" s="524">
        <f>IF(AG$82&lt;$C$8,    'Wound growth'!AG82,  INDEX($C$77:$BH$77, MATCH(AG82, $C$51:$BH$51,0)))</f>
        <v>8.0891821572910416E-3</v>
      </c>
      <c r="AH83" s="524">
        <f>IF(AH$82&lt;$C$8,    'Wound growth'!AH82,  INDEX($C$77:$BH$77, MATCH(AH82, $C$51:$BH$51,0)))</f>
        <v>7.7712695010621058E-3</v>
      </c>
      <c r="AI83" s="524">
        <f>IF(AI$82&lt;$C$8,    'Wound growth'!AI82,  INDEX($C$77:$BH$77, MATCH(AI82, $C$51:$BH$51,0)))</f>
        <v>7.5797208112691195E-3</v>
      </c>
      <c r="AJ83" s="524">
        <f>IF(AJ$82&lt;$C$8,    'Wound growth'!AJ82,  INDEX($C$77:$BH$77, MATCH(AJ82, $C$51:$BH$51,0)))</f>
        <v>7.279800119968538E-3</v>
      </c>
      <c r="AK83" s="524">
        <f>IF(AK$82&lt;$C$8,    'Wound growth'!AK82,  INDEX($C$77:$BH$77, MATCH(AK82, $C$51:$BH$51,0)))</f>
        <v>6.79487458268202E-3</v>
      </c>
      <c r="AL83" s="524">
        <f>IF(AL$82&lt;$C$8,    'Wound growth'!AL82,  INDEX($C$77:$BH$77, MATCH(AL82, $C$51:$BH$51,0)))</f>
        <v>6.2240957219645843E-3</v>
      </c>
      <c r="AM83" s="524">
        <f>IF(AM$82&lt;$C$8,    'Wound growth'!AM82,  INDEX($C$77:$BH$77, MATCH(AM82, $C$51:$BH$51,0)))</f>
        <v>5.5912177277004371E-3</v>
      </c>
      <c r="AN83" s="524">
        <f>IF(AN$82&lt;$C$8,    'Wound growth'!AN82,  INDEX($C$77:$BH$77, MATCH(AN82, $C$51:$BH$51,0)))</f>
        <v>4.9288436662822122E-3</v>
      </c>
      <c r="AO83" s="524">
        <f>IF(AO$82&lt;$C$8,    'Wound growth'!AO82,  INDEX($C$77:$BH$77, MATCH(AO82, $C$51:$BH$51,0)))</f>
        <v>4.2464025955719631E-3</v>
      </c>
      <c r="AP83" s="524">
        <f>IF(AP$82&lt;$C$8,    'Wound growth'!AP82,  INDEX($C$77:$BH$77, MATCH(AP82, $C$51:$BH$51,0)))</f>
        <v>3.8974854810482906E-3</v>
      </c>
      <c r="AQ83" s="524">
        <f>IF(AQ$82&lt;$C$8,    'Wound growth'!AQ82,  INDEX($C$77:$BH$77, MATCH(AQ82, $C$51:$BH$51,0)))</f>
        <v>3.833626242652155E-3</v>
      </c>
      <c r="AR83" s="524">
        <f>IF(AR$82&lt;$C$8,    'Wound growth'!AR82,  INDEX($C$77:$BH$77, MATCH(AR82, $C$51:$BH$51,0)))</f>
        <v>3.9607422628253897E-3</v>
      </c>
      <c r="AS83" s="524">
        <f>IF(AS$82&lt;$C$8,    'Wound growth'!AS82,  INDEX($C$77:$BH$77, MATCH(AS82, $C$51:$BH$51,0)))</f>
        <v>2.9011487564643001E-3</v>
      </c>
      <c r="AT83" s="524">
        <f>IF(AT$82&lt;$C$8,    'Wound growth'!AT82,  INDEX($C$77:$BH$77, MATCH(AT82, $C$51:$BH$51,0)))</f>
        <v>2.2299537205172637E-3</v>
      </c>
      <c r="AU83" s="524">
        <f>IF(AU$82&lt;$C$8,    'Wound growth'!AU82,  INDEX($C$77:$BH$77, MATCH(AU82, $C$51:$BH$51,0)))</f>
        <v>1.8044163969423987E-3</v>
      </c>
      <c r="AV83" s="524">
        <f>IF(AV$82&lt;$C$8,    'Wound growth'!AV82,  INDEX($C$77:$BH$77, MATCH(AV82, $C$51:$BH$51,0)))</f>
        <v>7.6055862963553267E-4</v>
      </c>
      <c r="AW83" s="524">
        <f>IF(AW$82&lt;$C$8,    'Wound growth'!AW82,  INDEX($C$77:$BH$77, MATCH(AW82, $C$51:$BH$51,0)))</f>
        <v>2.0523932278027068E-4</v>
      </c>
      <c r="AX83" s="524">
        <f>IF(AX$82&lt;$C$8,    'Wound growth'!AX82,  INDEX($C$77:$BH$77, MATCH(AX82, $C$51:$BH$51,0)))</f>
        <v>-7.2242595931859555E-5</v>
      </c>
      <c r="AY83" s="524">
        <f>IF(AY$82&lt;$C$8,    'Wound growth'!AY82,  INDEX($C$77:$BH$77, MATCH(AY82, $C$51:$BH$51,0)))</f>
        <v>-1.9476612440771923E-4</v>
      </c>
      <c r="AZ83" s="524">
        <f>IF(AZ$82&lt;$C$8,    'Wound growth'!AZ82,  INDEX($C$77:$BH$77, MATCH(AZ82, $C$51:$BH$51,0)))</f>
        <v>-2.3369001258810584E-4</v>
      </c>
      <c r="BA83" s="524">
        <f>IF(BA$82&lt;$C$8,    'Wound growth'!BA82,  INDEX($C$77:$BH$77, MATCH(BA82, $C$51:$BH$51,0)))</f>
        <v>-2.2998857326017585E-4</v>
      </c>
      <c r="BB83" s="524" t="e">
        <f>IF(BB$82&lt;$C$8,    'Wound growth'!BB82,  INDEX($C$77:$BH$77, MATCH(BB82, $C$51:$BH$51,0)))</f>
        <v>#N/A</v>
      </c>
      <c r="BC83" s="524" t="e">
        <f>IF(BC$82&lt;$C$8,    'Wound growth'!BC82,  INDEX($C$77:$BH$77, MATCH(BC82, $C$51:$BH$51,0)))</f>
        <v>#N/A</v>
      </c>
      <c r="BD83" s="524" t="e">
        <f>IF(BD$82&lt;$C$8,    'Wound growth'!BD82,  INDEX($C$77:$BH$77, MATCH(BD82, $C$51:$BH$51,0)))</f>
        <v>#N/A</v>
      </c>
      <c r="BE83" s="524"/>
      <c r="BF83" s="524"/>
      <c r="BG83" s="524"/>
    </row>
    <row r="84" spans="1:61">
      <c r="C84" s="108"/>
    </row>
    <row r="85" spans="1:61" s="4" customFormat="1" ht="28.25" customHeight="1">
      <c r="B85" s="52"/>
      <c r="C85" s="393"/>
      <c r="D85" s="393"/>
      <c r="E85" s="393"/>
      <c r="F85" s="393"/>
      <c r="G85" s="393"/>
      <c r="H85" s="393"/>
      <c r="I85" s="393"/>
      <c r="J85" s="393"/>
      <c r="K85" s="393"/>
      <c r="L85" s="393"/>
      <c r="M85" s="393"/>
      <c r="N85" s="393"/>
      <c r="O85" s="393"/>
      <c r="P85" s="393"/>
      <c r="Q85" s="393"/>
      <c r="R85" s="393"/>
      <c r="S85" s="393"/>
      <c r="T85" s="393"/>
      <c r="U85" s="393"/>
      <c r="V85" s="393"/>
      <c r="W85" s="393"/>
      <c r="X85" s="393"/>
      <c r="Y85" s="393"/>
      <c r="Z85" s="393"/>
      <c r="AA85" s="393"/>
      <c r="AB85" s="393"/>
      <c r="AC85" s="393"/>
      <c r="AD85" s="393"/>
      <c r="AE85" s="393"/>
      <c r="AF85" s="393"/>
      <c r="AG85" s="393"/>
      <c r="AH85" s="393"/>
      <c r="AI85" s="393"/>
      <c r="AJ85" s="393"/>
      <c r="AK85" s="393"/>
      <c r="AL85" s="393"/>
      <c r="AM85" s="393"/>
      <c r="AN85" s="393"/>
      <c r="AO85" s="393"/>
      <c r="AP85" s="393"/>
      <c r="AQ85" s="393"/>
      <c r="AR85" s="393"/>
      <c r="AS85" s="393"/>
      <c r="AT85" s="393"/>
      <c r="AU85" s="393"/>
      <c r="AV85" s="393"/>
      <c r="AW85" s="393"/>
      <c r="AX85" s="393"/>
      <c r="AY85" s="393"/>
      <c r="AZ85" s="393"/>
      <c r="BA85" s="393"/>
      <c r="BB85" s="393"/>
      <c r="BC85" s="393"/>
      <c r="BD85" s="393"/>
      <c r="BE85" s="393"/>
      <c r="BF85" s="393"/>
      <c r="BG85" s="393"/>
      <c r="BH85" s="393"/>
    </row>
    <row r="86" spans="1:61" s="4" customFormat="1" ht="28.25" customHeight="1">
      <c r="B86" s="52"/>
      <c r="C86" s="393"/>
      <c r="D86" s="393"/>
      <c r="E86" s="393"/>
      <c r="F86" s="393"/>
      <c r="G86" s="393"/>
      <c r="H86" s="393"/>
      <c r="I86" s="393"/>
      <c r="J86" s="393"/>
      <c r="K86" s="393"/>
      <c r="L86" s="393"/>
      <c r="M86" s="393"/>
      <c r="N86" s="393"/>
      <c r="O86" s="393"/>
      <c r="P86" s="393"/>
      <c r="Q86" s="393"/>
      <c r="R86" s="393"/>
      <c r="S86" s="393"/>
      <c r="T86" s="393"/>
      <c r="U86" s="393"/>
      <c r="V86" s="393"/>
      <c r="W86" s="393"/>
      <c r="X86" s="393"/>
      <c r="Y86" s="393"/>
      <c r="Z86" s="393"/>
      <c r="AA86" s="393"/>
      <c r="AB86" s="393"/>
      <c r="AC86" s="393"/>
      <c r="AD86" s="393"/>
      <c r="AE86" s="393"/>
      <c r="AF86" s="393"/>
      <c r="AG86" s="393"/>
      <c r="AH86" s="393"/>
      <c r="AI86" s="393"/>
      <c r="AJ86" s="393"/>
      <c r="AK86" s="393"/>
      <c r="AL86" s="393"/>
      <c r="AM86" s="393"/>
      <c r="AN86" s="393"/>
      <c r="AO86" s="393"/>
      <c r="AP86" s="393"/>
      <c r="AQ86" s="393"/>
      <c r="AR86" s="393"/>
      <c r="AS86" s="393"/>
      <c r="AT86" s="393"/>
      <c r="AU86" s="393"/>
      <c r="AV86" s="393"/>
      <c r="AW86" s="393"/>
      <c r="AX86" s="393"/>
      <c r="AY86" s="393"/>
      <c r="AZ86" s="393"/>
      <c r="BA86" s="393"/>
      <c r="BB86" s="393"/>
      <c r="BC86" s="393"/>
      <c r="BD86" s="393"/>
      <c r="BE86" s="393"/>
      <c r="BF86" s="393"/>
      <c r="BG86" s="393"/>
      <c r="BH86" s="393"/>
    </row>
    <row r="87" spans="1:61" s="4" customFormat="1" ht="28.25" customHeight="1">
      <c r="B87" s="52"/>
      <c r="C87" s="393"/>
      <c r="D87" s="393"/>
      <c r="E87" s="393"/>
      <c r="F87" s="393"/>
      <c r="G87" s="393"/>
      <c r="H87" s="393"/>
      <c r="I87" s="393"/>
      <c r="J87" s="393"/>
      <c r="K87" s="393"/>
      <c r="L87" s="393"/>
      <c r="M87" s="393"/>
      <c r="N87" s="393"/>
      <c r="O87" s="393"/>
      <c r="P87" s="393"/>
      <c r="Q87" s="393"/>
      <c r="R87" s="393"/>
      <c r="S87" s="393"/>
      <c r="T87" s="393"/>
      <c r="U87" s="393"/>
      <c r="V87" s="393"/>
      <c r="W87" s="393"/>
      <c r="X87" s="393"/>
      <c r="Y87" s="393"/>
      <c r="Z87" s="393"/>
      <c r="AA87" s="393"/>
      <c r="AB87" s="393"/>
      <c r="AC87" s="393"/>
      <c r="AD87" s="393"/>
      <c r="AE87" s="393"/>
      <c r="AF87" s="393"/>
      <c r="AG87" s="393"/>
      <c r="AH87" s="393"/>
      <c r="AI87" s="393"/>
      <c r="AJ87" s="393"/>
      <c r="AK87" s="393"/>
      <c r="AL87" s="393"/>
      <c r="AM87" s="393"/>
      <c r="AN87" s="393"/>
      <c r="AO87" s="393"/>
      <c r="AP87" s="393"/>
      <c r="AQ87" s="393"/>
      <c r="AR87" s="393"/>
      <c r="AS87" s="393"/>
      <c r="AT87" s="393"/>
      <c r="AU87" s="393"/>
      <c r="AV87" s="393"/>
      <c r="AW87" s="393"/>
      <c r="AX87" s="393"/>
      <c r="AY87" s="393"/>
      <c r="AZ87" s="393"/>
      <c r="BA87" s="393"/>
      <c r="BB87" s="393"/>
      <c r="BC87" s="393"/>
      <c r="BD87" s="393"/>
      <c r="BE87" s="393"/>
      <c r="BF87" s="393"/>
      <c r="BG87" s="393"/>
      <c r="BH87" s="393"/>
    </row>
    <row r="88" spans="1:61" s="588" customFormat="1">
      <c r="A88" s="698" t="s">
        <v>10</v>
      </c>
      <c r="B88" s="699" t="s">
        <v>3203</v>
      </c>
      <c r="E88" s="700"/>
    </row>
    <row r="89" spans="1:61">
      <c r="A89" s="227"/>
      <c r="B89" s="443"/>
      <c r="E89" s="212"/>
    </row>
    <row r="90" spans="1:61" ht="58">
      <c r="C90" s="315"/>
      <c r="D90" s="343" t="s">
        <v>3206</v>
      </c>
      <c r="E90" s="343" t="s">
        <v>3207</v>
      </c>
    </row>
    <row r="91" spans="1:61">
      <c r="B91" s="34" t="s">
        <v>3208</v>
      </c>
      <c r="C91" s="534">
        <f>$C$8-2</f>
        <v>2022</v>
      </c>
      <c r="D91" s="34">
        <f>C91+1</f>
        <v>2023</v>
      </c>
      <c r="E91" s="34">
        <f t="shared" ref="E91:BI91" si="189">D91+1</f>
        <v>2024</v>
      </c>
      <c r="F91" s="34">
        <f t="shared" si="189"/>
        <v>2025</v>
      </c>
      <c r="G91" s="34">
        <f t="shared" si="189"/>
        <v>2026</v>
      </c>
      <c r="H91" s="34">
        <f t="shared" si="189"/>
        <v>2027</v>
      </c>
      <c r="I91" s="34">
        <f t="shared" si="189"/>
        <v>2028</v>
      </c>
      <c r="J91" s="34">
        <f t="shared" si="189"/>
        <v>2029</v>
      </c>
      <c r="K91" s="34">
        <f t="shared" si="189"/>
        <v>2030</v>
      </c>
      <c r="L91" s="34">
        <f t="shared" si="189"/>
        <v>2031</v>
      </c>
      <c r="M91" s="34">
        <f t="shared" si="189"/>
        <v>2032</v>
      </c>
      <c r="N91" s="34">
        <f t="shared" si="189"/>
        <v>2033</v>
      </c>
      <c r="O91" s="34">
        <f t="shared" si="189"/>
        <v>2034</v>
      </c>
      <c r="P91" s="34">
        <f t="shared" si="189"/>
        <v>2035</v>
      </c>
      <c r="Q91" s="34">
        <f t="shared" si="189"/>
        <v>2036</v>
      </c>
      <c r="R91" s="34">
        <f t="shared" si="189"/>
        <v>2037</v>
      </c>
      <c r="S91" s="34">
        <f t="shared" si="189"/>
        <v>2038</v>
      </c>
      <c r="T91" s="34">
        <f t="shared" si="189"/>
        <v>2039</v>
      </c>
      <c r="U91" s="34">
        <f t="shared" si="189"/>
        <v>2040</v>
      </c>
      <c r="V91" s="34">
        <f t="shared" si="189"/>
        <v>2041</v>
      </c>
      <c r="W91" s="34">
        <f t="shared" si="189"/>
        <v>2042</v>
      </c>
      <c r="X91" s="34">
        <f t="shared" si="189"/>
        <v>2043</v>
      </c>
      <c r="Y91" s="34">
        <f t="shared" si="189"/>
        <v>2044</v>
      </c>
      <c r="Z91" s="34">
        <f t="shared" si="189"/>
        <v>2045</v>
      </c>
      <c r="AA91" s="34">
        <f t="shared" si="189"/>
        <v>2046</v>
      </c>
      <c r="AB91" s="34">
        <f t="shared" si="189"/>
        <v>2047</v>
      </c>
      <c r="AC91" s="34">
        <f t="shared" si="189"/>
        <v>2048</v>
      </c>
      <c r="AD91" s="34">
        <f t="shared" si="189"/>
        <v>2049</v>
      </c>
      <c r="AE91" s="34">
        <f t="shared" si="189"/>
        <v>2050</v>
      </c>
      <c r="AF91" s="34">
        <f t="shared" si="189"/>
        <v>2051</v>
      </c>
      <c r="AG91" s="34">
        <f t="shared" si="189"/>
        <v>2052</v>
      </c>
      <c r="AH91" s="34">
        <f t="shared" si="189"/>
        <v>2053</v>
      </c>
      <c r="AI91" s="34">
        <f t="shared" si="189"/>
        <v>2054</v>
      </c>
      <c r="AJ91" s="34">
        <f t="shared" si="189"/>
        <v>2055</v>
      </c>
      <c r="AK91" s="34">
        <f t="shared" si="189"/>
        <v>2056</v>
      </c>
      <c r="AL91" s="34">
        <f t="shared" si="189"/>
        <v>2057</v>
      </c>
      <c r="AM91" s="34">
        <f t="shared" si="189"/>
        <v>2058</v>
      </c>
      <c r="AN91" s="34">
        <f t="shared" si="189"/>
        <v>2059</v>
      </c>
      <c r="AO91" s="34">
        <f t="shared" si="189"/>
        <v>2060</v>
      </c>
      <c r="AP91" s="34">
        <f t="shared" si="189"/>
        <v>2061</v>
      </c>
      <c r="AQ91" s="34">
        <f t="shared" si="189"/>
        <v>2062</v>
      </c>
      <c r="AR91" s="34">
        <f t="shared" si="189"/>
        <v>2063</v>
      </c>
      <c r="AS91" s="34">
        <f t="shared" si="189"/>
        <v>2064</v>
      </c>
      <c r="AT91" s="34">
        <f t="shared" si="189"/>
        <v>2065</v>
      </c>
      <c r="AU91" s="34">
        <f t="shared" si="189"/>
        <v>2066</v>
      </c>
      <c r="AV91" s="34">
        <f t="shared" si="189"/>
        <v>2067</v>
      </c>
      <c r="AW91" s="34">
        <f t="shared" si="189"/>
        <v>2068</v>
      </c>
      <c r="AX91" s="34">
        <f t="shared" si="189"/>
        <v>2069</v>
      </c>
      <c r="AY91" s="34">
        <f t="shared" si="189"/>
        <v>2070</v>
      </c>
      <c r="AZ91" s="34">
        <f t="shared" si="189"/>
        <v>2071</v>
      </c>
      <c r="BA91" s="34">
        <f t="shared" si="189"/>
        <v>2072</v>
      </c>
      <c r="BB91" s="34">
        <f t="shared" si="189"/>
        <v>2073</v>
      </c>
      <c r="BC91" s="34">
        <f t="shared" si="189"/>
        <v>2074</v>
      </c>
      <c r="BD91" s="34">
        <f t="shared" si="189"/>
        <v>2075</v>
      </c>
      <c r="BE91" s="34">
        <f t="shared" si="189"/>
        <v>2076</v>
      </c>
      <c r="BF91" s="34">
        <f t="shared" si="189"/>
        <v>2077</v>
      </c>
      <c r="BG91" s="34">
        <f t="shared" si="189"/>
        <v>2078</v>
      </c>
      <c r="BH91" s="34">
        <f t="shared" si="189"/>
        <v>2079</v>
      </c>
      <c r="BI91" s="34">
        <f t="shared" si="189"/>
        <v>2080</v>
      </c>
    </row>
    <row r="92" spans="1:61" s="9" customFormat="1" ht="13.25" customHeight="1">
      <c r="B92" s="5" t="s">
        <v>22</v>
      </c>
      <c r="C92" s="535">
        <f>INDEX('Prevalence projection'!$C$66:$AE$66, MATCH(C$51, 'Prevalence projection'!$C$33:$AE$33,0))</f>
        <v>88.409985944913515</v>
      </c>
      <c r="D92" s="535">
        <f>INDEX('Prevalence projection'!$C$66:$AE$66, MATCH(D$51, 'Prevalence projection'!$C$33:$AE$33,0))</f>
        <v>90.841470209093458</v>
      </c>
      <c r="E92" s="224">
        <f t="shared" ref="E92:AJ92" si="190">D95+D96+D97</f>
        <v>92.73681219302172</v>
      </c>
      <c r="F92" s="224">
        <f t="shared" si="190"/>
        <v>84.61093631494299</v>
      </c>
      <c r="G92" s="224">
        <f t="shared" si="190"/>
        <v>79.446739205554394</v>
      </c>
      <c r="H92" s="224">
        <f t="shared" si="190"/>
        <v>76.32580710092212</v>
      </c>
      <c r="I92" s="224">
        <f t="shared" si="190"/>
        <v>74.607087967319671</v>
      </c>
      <c r="J92" s="224">
        <f t="shared" si="190"/>
        <v>73.813816971287864</v>
      </c>
      <c r="K92" s="224">
        <f t="shared" si="190"/>
        <v>73.653225097286253</v>
      </c>
      <c r="L92" s="224">
        <f t="shared" si="190"/>
        <v>74.082241035560898</v>
      </c>
      <c r="M92" s="224">
        <f t="shared" si="190"/>
        <v>74.82371716324073</v>
      </c>
      <c r="N92" s="224">
        <f t="shared" si="190"/>
        <v>75.723554437693195</v>
      </c>
      <c r="O92" s="224">
        <f t="shared" si="190"/>
        <v>76.696737903879168</v>
      </c>
      <c r="P92" s="224">
        <f t="shared" si="190"/>
        <v>77.690384989750143</v>
      </c>
      <c r="Q92" s="224">
        <f t="shared" si="190"/>
        <v>78.710345612205984</v>
      </c>
      <c r="R92" s="224">
        <f t="shared" si="190"/>
        <v>79.772398696034472</v>
      </c>
      <c r="S92" s="224">
        <f t="shared" si="190"/>
        <v>80.864305369430369</v>
      </c>
      <c r="T92" s="224">
        <f t="shared" si="190"/>
        <v>81.945574904490968</v>
      </c>
      <c r="U92" s="224">
        <f t="shared" si="190"/>
        <v>83.015517192414933</v>
      </c>
      <c r="V92" s="224">
        <f t="shared" si="190"/>
        <v>84.137667050484595</v>
      </c>
      <c r="W92" s="224">
        <f t="shared" si="190"/>
        <v>85.246055115040235</v>
      </c>
      <c r="X92" s="224">
        <f t="shared" si="190"/>
        <v>86.323968192200851</v>
      </c>
      <c r="Y92" s="224">
        <f t="shared" si="190"/>
        <v>87.370057567634191</v>
      </c>
      <c r="Z92" s="224">
        <f t="shared" si="190"/>
        <v>88.412481019651921</v>
      </c>
      <c r="AA92" s="224">
        <f t="shared" si="190"/>
        <v>89.443080047528554</v>
      </c>
      <c r="AB92" s="224">
        <f t="shared" si="190"/>
        <v>90.449928926035511</v>
      </c>
      <c r="AC92" s="224">
        <f t="shared" si="190"/>
        <v>91.425006229190714</v>
      </c>
      <c r="AD92" s="224">
        <f t="shared" si="190"/>
        <v>92.360987130278573</v>
      </c>
      <c r="AE92" s="224">
        <f t="shared" si="190"/>
        <v>93.253283766283445</v>
      </c>
      <c r="AF92" s="224">
        <f t="shared" si="190"/>
        <v>94.097982702319371</v>
      </c>
      <c r="AG92" s="224">
        <f t="shared" si="190"/>
        <v>94.901906137889256</v>
      </c>
      <c r="AH92" s="224">
        <f t="shared" si="190"/>
        <v>95.690978891981018</v>
      </c>
      <c r="AI92" s="224">
        <f t="shared" si="190"/>
        <v>96.465877489722544</v>
      </c>
      <c r="AJ92" s="224">
        <f t="shared" si="190"/>
        <v>97.234294248237575</v>
      </c>
      <c r="AK92" s="224">
        <f t="shared" ref="AK92:BI92" si="191">AJ95+AJ96+AJ97</f>
        <v>97.965947791878051</v>
      </c>
      <c r="AL92" s="224">
        <f t="shared" si="191"/>
        <v>98.640843678479101</v>
      </c>
      <c r="AM92" s="224">
        <f t="shared" si="191"/>
        <v>99.247672488116564</v>
      </c>
      <c r="AN92" s="224">
        <f t="shared" si="191"/>
        <v>99.798866698001476</v>
      </c>
      <c r="AO92" s="224">
        <f t="shared" si="191"/>
        <v>100.29798471836142</v>
      </c>
      <c r="AP92" s="224">
        <f t="shared" si="191"/>
        <v>100.74236621075346</v>
      </c>
      <c r="AQ92" s="224">
        <f t="shared" si="191"/>
        <v>101.16368831993819</v>
      </c>
      <c r="AR92" s="224">
        <f t="shared" si="191"/>
        <v>101.5938171111234</v>
      </c>
      <c r="AS92" s="224">
        <f t="shared" si="191"/>
        <v>102.05505699846603</v>
      </c>
      <c r="AT92" s="224">
        <f t="shared" si="191"/>
        <v>102.36546845131679</v>
      </c>
      <c r="AU92" s="224">
        <f t="shared" si="191"/>
        <v>102.57437334593911</v>
      </c>
      <c r="AV92" s="224">
        <f t="shared" si="191"/>
        <v>102.71496498518556</v>
      </c>
      <c r="AW92" s="224">
        <f t="shared" si="191"/>
        <v>102.80958224660367</v>
      </c>
      <c r="AX92" s="224">
        <f t="shared" si="191"/>
        <v>102.87325904990612</v>
      </c>
      <c r="AY92" s="224">
        <f t="shared" si="191"/>
        <v>102.91611312555835</v>
      </c>
      <c r="AZ92" s="224">
        <f t="shared" si="191"/>
        <v>102.94495364054595</v>
      </c>
      <c r="BA92" s="224">
        <f t="shared" si="191"/>
        <v>102.96436312008996</v>
      </c>
      <c r="BB92" s="224">
        <f t="shared" si="191"/>
        <v>102.9774255739446</v>
      </c>
      <c r="BC92" s="224">
        <f t="shared" si="191"/>
        <v>102.98621652067337</v>
      </c>
      <c r="BD92" s="224">
        <f t="shared" si="191"/>
        <v>102.99213277080892</v>
      </c>
      <c r="BE92" s="224">
        <f t="shared" si="191"/>
        <v>102.99611436878084</v>
      </c>
      <c r="BF92" s="224">
        <f t="shared" si="191"/>
        <v>102.99879395839363</v>
      </c>
      <c r="BG92" s="224">
        <f t="shared" si="191"/>
        <v>103.00059730482479</v>
      </c>
      <c r="BH92" s="224">
        <f t="shared" si="191"/>
        <v>103.00181094527753</v>
      </c>
      <c r="BI92" s="224">
        <f t="shared" si="191"/>
        <v>103.00262771743127</v>
      </c>
    </row>
    <row r="93" spans="1:61" s="9" customFormat="1" ht="13.25" customHeight="1">
      <c r="B93" s="5"/>
      <c r="C93" s="224"/>
      <c r="D93" s="224"/>
      <c r="E93" s="224"/>
      <c r="F93" s="224"/>
      <c r="G93" s="224"/>
      <c r="H93" s="224"/>
      <c r="I93" s="224"/>
      <c r="J93" s="224"/>
      <c r="K93" s="224"/>
      <c r="L93" s="224"/>
      <c r="M93" s="224"/>
      <c r="N93" s="224"/>
      <c r="O93" s="224"/>
      <c r="P93" s="224"/>
      <c r="Q93" s="224"/>
      <c r="R93" s="224"/>
      <c r="S93" s="224"/>
      <c r="T93" s="224"/>
      <c r="U93" s="224"/>
      <c r="V93" s="224"/>
      <c r="W93" s="224"/>
      <c r="X93" s="224"/>
      <c r="Y93" s="224"/>
      <c r="Z93" s="224"/>
      <c r="AA93" s="224"/>
      <c r="AB93" s="224"/>
      <c r="AC93" s="224"/>
      <c r="AD93" s="224"/>
      <c r="AE93" s="224"/>
      <c r="AF93" s="224"/>
      <c r="AG93" s="224"/>
      <c r="AH93" s="224"/>
      <c r="AI93" s="224"/>
      <c r="AJ93" s="224"/>
      <c r="AK93" s="224"/>
      <c r="AL93" s="224"/>
      <c r="AM93" s="224"/>
      <c r="AN93" s="224"/>
      <c r="AO93" s="224"/>
      <c r="AP93" s="224"/>
      <c r="AQ93" s="224"/>
      <c r="AR93" s="224"/>
      <c r="AS93" s="224"/>
      <c r="AT93" s="224"/>
      <c r="AU93" s="224"/>
      <c r="AV93" s="224"/>
      <c r="AW93" s="224"/>
      <c r="AX93" s="224"/>
      <c r="AY93" s="224"/>
      <c r="AZ93" s="224"/>
      <c r="BA93" s="224"/>
      <c r="BB93" s="224"/>
      <c r="BC93" s="224"/>
      <c r="BD93" s="224"/>
      <c r="BE93" s="224"/>
      <c r="BF93" s="224"/>
      <c r="BG93" s="224"/>
      <c r="BH93" s="224"/>
      <c r="BI93" s="224"/>
    </row>
    <row r="94" spans="1:61" ht="13.25" customHeight="1">
      <c r="B94" s="6" t="s">
        <v>97</v>
      </c>
      <c r="C94" s="214">
        <f t="shared" ref="C94:AH94" si="192">C92*IF(C$51&lt;$C$8,$C$33, $E$33)</f>
        <v>37.132194096863678</v>
      </c>
      <c r="D94" s="214">
        <f t="shared" si="192"/>
        <v>38.153417487819254</v>
      </c>
      <c r="E94" s="214">
        <f t="shared" si="192"/>
        <v>57.762931473481956</v>
      </c>
      <c r="F94" s="214">
        <f t="shared" si="192"/>
        <v>52.701571260554545</v>
      </c>
      <c r="G94" s="214">
        <f t="shared" si="192"/>
        <v>49.484950409664293</v>
      </c>
      <c r="H94" s="214">
        <f t="shared" si="192"/>
        <v>47.541017002528811</v>
      </c>
      <c r="I94" s="214">
        <f t="shared" si="192"/>
        <v>46.470479281976118</v>
      </c>
      <c r="J94" s="214">
        <f t="shared" si="192"/>
        <v>45.976374976467824</v>
      </c>
      <c r="K94" s="214">
        <f t="shared" si="192"/>
        <v>45.876347196842993</v>
      </c>
      <c r="L94" s="214">
        <f t="shared" si="192"/>
        <v>46.143568138102118</v>
      </c>
      <c r="M94" s="214">
        <f t="shared" si="192"/>
        <v>46.60541100006342</v>
      </c>
      <c r="N94" s="214">
        <f t="shared" si="192"/>
        <v>47.165892189704678</v>
      </c>
      <c r="O94" s="214">
        <f t="shared" si="192"/>
        <v>47.772058484826211</v>
      </c>
      <c r="P94" s="214">
        <f t="shared" si="192"/>
        <v>48.390970944427764</v>
      </c>
      <c r="Q94" s="214">
        <f t="shared" si="192"/>
        <v>49.026273303300528</v>
      </c>
      <c r="R94" s="214">
        <f t="shared" si="192"/>
        <v>49.687793772374846</v>
      </c>
      <c r="S94" s="214">
        <f t="shared" si="192"/>
        <v>50.367909131737512</v>
      </c>
      <c r="T94" s="214">
        <f t="shared" si="192"/>
        <v>51.041398942106134</v>
      </c>
      <c r="U94" s="214">
        <f t="shared" si="192"/>
        <v>51.707833355759433</v>
      </c>
      <c r="V94" s="214">
        <f t="shared" si="192"/>
        <v>52.406786272317987</v>
      </c>
      <c r="W94" s="214">
        <f t="shared" si="192"/>
        <v>53.097167387486088</v>
      </c>
      <c r="X94" s="214">
        <f t="shared" si="192"/>
        <v>53.768566562614126</v>
      </c>
      <c r="Y94" s="214">
        <f t="shared" si="192"/>
        <v>54.420143724685701</v>
      </c>
      <c r="Z94" s="214">
        <f t="shared" si="192"/>
        <v>55.069437494886934</v>
      </c>
      <c r="AA94" s="214">
        <f t="shared" si="192"/>
        <v>55.711366191982634</v>
      </c>
      <c r="AB94" s="214">
        <f t="shared" si="192"/>
        <v>56.338501645509965</v>
      </c>
      <c r="AC94" s="214">
        <f t="shared" si="192"/>
        <v>56.945847553910077</v>
      </c>
      <c r="AD94" s="214">
        <f t="shared" si="192"/>
        <v>57.528841506058178</v>
      </c>
      <c r="AE94" s="214">
        <f t="shared" si="192"/>
        <v>58.084625862029888</v>
      </c>
      <c r="AF94" s="214">
        <f t="shared" si="192"/>
        <v>58.610763062610062</v>
      </c>
      <c r="AG94" s="214">
        <f t="shared" si="192"/>
        <v>59.111502447764863</v>
      </c>
      <c r="AH94" s="214">
        <f t="shared" si="192"/>
        <v>59.602991796431773</v>
      </c>
      <c r="AI94" s="214">
        <f t="shared" ref="AI94:BI94" si="193">AI92*IF(AI$51&lt;$C$8,$C$33, $E$33)</f>
        <v>60.085652495476261</v>
      </c>
      <c r="AJ94" s="214">
        <f t="shared" si="193"/>
        <v>60.564275854588431</v>
      </c>
      <c r="AK94" s="214">
        <f t="shared" si="193"/>
        <v>61.020000528579494</v>
      </c>
      <c r="AL94" s="214">
        <f t="shared" si="193"/>
        <v>61.440372589334942</v>
      </c>
      <c r="AM94" s="214">
        <f t="shared" si="193"/>
        <v>61.818347744166289</v>
      </c>
      <c r="AN94" s="214">
        <f t="shared" si="193"/>
        <v>62.161669803888309</v>
      </c>
      <c r="AO94" s="214">
        <f t="shared" si="193"/>
        <v>62.472555193686091</v>
      </c>
      <c r="AP94" s="214">
        <f t="shared" si="193"/>
        <v>62.749346869894438</v>
      </c>
      <c r="AQ94" s="214">
        <f t="shared" si="193"/>
        <v>63.011775559705839</v>
      </c>
      <c r="AR94" s="214">
        <f t="shared" si="193"/>
        <v>63.279689663096512</v>
      </c>
      <c r="AS94" s="214">
        <f t="shared" si="193"/>
        <v>63.566981919271498</v>
      </c>
      <c r="AT94" s="214">
        <f t="shared" si="193"/>
        <v>63.760327744468533</v>
      </c>
      <c r="AU94" s="214">
        <f t="shared" si="193"/>
        <v>63.890448230898755</v>
      </c>
      <c r="AV94" s="214">
        <f t="shared" si="193"/>
        <v>63.978018474381294</v>
      </c>
      <c r="AW94" s="214">
        <f t="shared" si="193"/>
        <v>64.036952680315906</v>
      </c>
      <c r="AX94" s="214">
        <f t="shared" si="193"/>
        <v>64.076615018697282</v>
      </c>
      <c r="AY94" s="214">
        <f t="shared" si="193"/>
        <v>64.103307515201337</v>
      </c>
      <c r="AZ94" s="214">
        <f t="shared" si="193"/>
        <v>64.121271392236707</v>
      </c>
      <c r="BA94" s="214">
        <f t="shared" si="193"/>
        <v>64.133360964978365</v>
      </c>
      <c r="BB94" s="214">
        <f t="shared" si="193"/>
        <v>64.14149716902763</v>
      </c>
      <c r="BC94" s="214">
        <f t="shared" si="193"/>
        <v>64.146972781586143</v>
      </c>
      <c r="BD94" s="214">
        <f t="shared" si="193"/>
        <v>64.150657833326434</v>
      </c>
      <c r="BE94" s="214">
        <f t="shared" si="193"/>
        <v>64.153137849248566</v>
      </c>
      <c r="BF94" s="214">
        <f t="shared" si="193"/>
        <v>64.154806883880241</v>
      </c>
      <c r="BG94" s="214">
        <f t="shared" si="193"/>
        <v>64.155930133362972</v>
      </c>
      <c r="BH94" s="214">
        <f t="shared" si="193"/>
        <v>64.156686072980122</v>
      </c>
      <c r="BI94" s="214">
        <f t="shared" si="193"/>
        <v>64.15719481543988</v>
      </c>
    </row>
    <row r="95" spans="1:61" ht="22.25" customHeight="1">
      <c r="B95" s="6" t="s">
        <v>98</v>
      </c>
      <c r="C95" s="214">
        <f t="shared" ref="C95:AH95" si="194">C92*IF(C$51&lt;$C$8,(1-$C$33), (1-$E$33))</f>
        <v>51.277791848049844</v>
      </c>
      <c r="D95" s="214">
        <f t="shared" si="194"/>
        <v>52.688052721274211</v>
      </c>
      <c r="E95" s="214">
        <f t="shared" si="194"/>
        <v>34.973880719539764</v>
      </c>
      <c r="F95" s="214">
        <f t="shared" si="194"/>
        <v>31.909365054388445</v>
      </c>
      <c r="G95" s="214">
        <f t="shared" si="194"/>
        <v>29.961788795890101</v>
      </c>
      <c r="H95" s="214">
        <f t="shared" si="194"/>
        <v>28.784790098393309</v>
      </c>
      <c r="I95" s="214">
        <f t="shared" si="194"/>
        <v>28.13660868534355</v>
      </c>
      <c r="J95" s="214">
        <f t="shared" si="194"/>
        <v>27.837441994820036</v>
      </c>
      <c r="K95" s="214">
        <f t="shared" si="194"/>
        <v>27.77687790044326</v>
      </c>
      <c r="L95" s="214">
        <f t="shared" si="194"/>
        <v>27.93867289745878</v>
      </c>
      <c r="M95" s="214">
        <f t="shared" si="194"/>
        <v>28.21830616317731</v>
      </c>
      <c r="N95" s="214">
        <f t="shared" si="194"/>
        <v>28.557662247988521</v>
      </c>
      <c r="O95" s="214">
        <f t="shared" si="194"/>
        <v>28.924679419052953</v>
      </c>
      <c r="P95" s="214">
        <f t="shared" si="194"/>
        <v>29.299414045322379</v>
      </c>
      <c r="Q95" s="214">
        <f t="shared" si="194"/>
        <v>29.68407230890546</v>
      </c>
      <c r="R95" s="214">
        <f t="shared" si="194"/>
        <v>30.084604923659626</v>
      </c>
      <c r="S95" s="214">
        <f t="shared" si="194"/>
        <v>30.496396237692856</v>
      </c>
      <c r="T95" s="214">
        <f t="shared" si="194"/>
        <v>30.90417596238483</v>
      </c>
      <c r="U95" s="214">
        <f t="shared" si="194"/>
        <v>31.307683836655496</v>
      </c>
      <c r="V95" s="214">
        <f t="shared" si="194"/>
        <v>31.730880778166604</v>
      </c>
      <c r="W95" s="214">
        <f t="shared" si="194"/>
        <v>32.148887727554147</v>
      </c>
      <c r="X95" s="214">
        <f t="shared" si="194"/>
        <v>32.555401629586726</v>
      </c>
      <c r="Y95" s="214">
        <f t="shared" si="194"/>
        <v>32.94991384294849</v>
      </c>
      <c r="Z95" s="214">
        <f t="shared" si="194"/>
        <v>33.343043524764987</v>
      </c>
      <c r="AA95" s="214">
        <f t="shared" si="194"/>
        <v>33.73171385554592</v>
      </c>
      <c r="AB95" s="214">
        <f t="shared" si="194"/>
        <v>34.111427280525547</v>
      </c>
      <c r="AC95" s="214">
        <f t="shared" si="194"/>
        <v>34.479158675280637</v>
      </c>
      <c r="AD95" s="214">
        <f t="shared" si="194"/>
        <v>34.832145624220395</v>
      </c>
      <c r="AE95" s="214">
        <f t="shared" si="194"/>
        <v>35.168657904253557</v>
      </c>
      <c r="AF95" s="214">
        <f t="shared" si="194"/>
        <v>35.487219639709309</v>
      </c>
      <c r="AG95" s="214">
        <f t="shared" si="194"/>
        <v>35.790403690124393</v>
      </c>
      <c r="AH95" s="214">
        <f t="shared" si="194"/>
        <v>36.087987095549245</v>
      </c>
      <c r="AI95" s="214">
        <f t="shared" ref="AI95:BI95" si="195">AI92*IF(AI$51&lt;$C$8,(1-$C$33), (1-$E$33))</f>
        <v>36.380224994246284</v>
      </c>
      <c r="AJ95" s="214">
        <f t="shared" si="195"/>
        <v>36.670018393649144</v>
      </c>
      <c r="AK95" s="214">
        <f t="shared" si="195"/>
        <v>36.945947263298557</v>
      </c>
      <c r="AL95" s="214">
        <f t="shared" si="195"/>
        <v>37.200471089144159</v>
      </c>
      <c r="AM95" s="214">
        <f t="shared" si="195"/>
        <v>37.429324743950275</v>
      </c>
      <c r="AN95" s="214">
        <f t="shared" si="195"/>
        <v>37.637196894113167</v>
      </c>
      <c r="AO95" s="214">
        <f t="shared" si="195"/>
        <v>37.825429524675329</v>
      </c>
      <c r="AP95" s="214">
        <f t="shared" si="195"/>
        <v>37.993019340859021</v>
      </c>
      <c r="AQ95" s="214">
        <f t="shared" si="195"/>
        <v>38.151912760232349</v>
      </c>
      <c r="AR95" s="214">
        <f t="shared" si="195"/>
        <v>38.314127448026888</v>
      </c>
      <c r="AS95" s="214">
        <f t="shared" si="195"/>
        <v>38.48807507919453</v>
      </c>
      <c r="AT95" s="214">
        <f t="shared" si="195"/>
        <v>38.605140706848253</v>
      </c>
      <c r="AU95" s="214">
        <f t="shared" si="195"/>
        <v>38.683925115040353</v>
      </c>
      <c r="AV95" s="214">
        <f t="shared" si="195"/>
        <v>38.736946510804266</v>
      </c>
      <c r="AW95" s="214">
        <f t="shared" si="195"/>
        <v>38.772629566287769</v>
      </c>
      <c r="AX95" s="214">
        <f t="shared" si="195"/>
        <v>38.796644031208842</v>
      </c>
      <c r="AY95" s="214">
        <f t="shared" si="195"/>
        <v>38.812805610357017</v>
      </c>
      <c r="AZ95" s="214">
        <f t="shared" si="195"/>
        <v>38.82368224830924</v>
      </c>
      <c r="BA95" s="214">
        <f t="shared" si="195"/>
        <v>38.831002155111591</v>
      </c>
      <c r="BB95" s="214">
        <f t="shared" si="195"/>
        <v>38.835928404916963</v>
      </c>
      <c r="BC95" s="214">
        <f t="shared" si="195"/>
        <v>38.839243739087216</v>
      </c>
      <c r="BD95" s="214">
        <f t="shared" si="195"/>
        <v>38.841474937482488</v>
      </c>
      <c r="BE95" s="214">
        <f t="shared" si="195"/>
        <v>38.842976519532272</v>
      </c>
      <c r="BF95" s="214">
        <f t="shared" si="195"/>
        <v>38.843987074513393</v>
      </c>
      <c r="BG95" s="214">
        <f t="shared" si="195"/>
        <v>38.844667171461822</v>
      </c>
      <c r="BH95" s="214">
        <f t="shared" si="195"/>
        <v>38.845124872297411</v>
      </c>
      <c r="BI95" s="214">
        <f t="shared" si="195"/>
        <v>38.84543290199138</v>
      </c>
    </row>
    <row r="96" spans="1:61">
      <c r="B96" s="6" t="s">
        <v>2534</v>
      </c>
      <c r="C96" s="214">
        <f t="shared" ref="C96:AH96" si="196">C94*IF(C$51&lt;$C$8, $C$26,$E$26)</f>
        <v>17.637792196010246</v>
      </c>
      <c r="D96" s="214">
        <f t="shared" si="196"/>
        <v>18.122873306714144</v>
      </c>
      <c r="E96" s="214">
        <f t="shared" si="196"/>
        <v>27.437392449903928</v>
      </c>
      <c r="F96" s="214">
        <f t="shared" si="196"/>
        <v>25.033246348763406</v>
      </c>
      <c r="G96" s="214">
        <f t="shared" si="196"/>
        <v>23.505351444590538</v>
      </c>
      <c r="H96" s="214">
        <f t="shared" si="196"/>
        <v>22.581983076201183</v>
      </c>
      <c r="I96" s="214">
        <f t="shared" si="196"/>
        <v>22.073477658938653</v>
      </c>
      <c r="J96" s="214">
        <f t="shared" si="196"/>
        <v>21.838778113822215</v>
      </c>
      <c r="K96" s="214">
        <f t="shared" si="196"/>
        <v>21.791264918500421</v>
      </c>
      <c r="L96" s="214">
        <f t="shared" si="196"/>
        <v>21.918194865598505</v>
      </c>
      <c r="M96" s="214">
        <f t="shared" si="196"/>
        <v>22.137570225030125</v>
      </c>
      <c r="N96" s="214">
        <f t="shared" si="196"/>
        <v>22.403798790109722</v>
      </c>
      <c r="O96" s="214">
        <f t="shared" si="196"/>
        <v>22.69172778029245</v>
      </c>
      <c r="P96" s="214">
        <f t="shared" si="196"/>
        <v>22.985711198603187</v>
      </c>
      <c r="Q96" s="214">
        <f t="shared" si="196"/>
        <v>23.287479819067748</v>
      </c>
      <c r="R96" s="214">
        <f t="shared" si="196"/>
        <v>23.601702041878049</v>
      </c>
      <c r="S96" s="214">
        <f t="shared" si="196"/>
        <v>23.924756837575316</v>
      </c>
      <c r="T96" s="214">
        <f t="shared" si="196"/>
        <v>24.244664497500413</v>
      </c>
      <c r="U96" s="214">
        <f t="shared" si="196"/>
        <v>24.56122084398573</v>
      </c>
      <c r="V96" s="214">
        <f t="shared" si="196"/>
        <v>24.893223479351043</v>
      </c>
      <c r="W96" s="214">
        <f t="shared" si="196"/>
        <v>25.221154509055889</v>
      </c>
      <c r="X96" s="214">
        <f t="shared" si="196"/>
        <v>25.540069117241707</v>
      </c>
      <c r="Y96" s="214">
        <f t="shared" si="196"/>
        <v>25.849568269225706</v>
      </c>
      <c r="Z96" s="214">
        <f t="shared" si="196"/>
        <v>26.157982810071292</v>
      </c>
      <c r="AA96" s="214">
        <f t="shared" si="196"/>
        <v>26.462898941191749</v>
      </c>
      <c r="AB96" s="214">
        <f t="shared" si="196"/>
        <v>26.760788281617231</v>
      </c>
      <c r="AC96" s="214">
        <f t="shared" si="196"/>
        <v>27.049277588107284</v>
      </c>
      <c r="AD96" s="214">
        <f t="shared" si="196"/>
        <v>27.326199715377633</v>
      </c>
      <c r="AE96" s="214">
        <f t="shared" si="196"/>
        <v>27.590197284464196</v>
      </c>
      <c r="AF96" s="214">
        <f t="shared" si="196"/>
        <v>27.840112454739778</v>
      </c>
      <c r="AG96" s="214">
        <f t="shared" si="196"/>
        <v>28.077963662688308</v>
      </c>
      <c r="AH96" s="214">
        <f t="shared" si="196"/>
        <v>28.31142110330509</v>
      </c>
      <c r="AI96" s="214">
        <f t="shared" ref="AI96:BI96" si="197">AI94*IF(AI$51&lt;$C$8, $C$26,$E$26)</f>
        <v>28.540684935351223</v>
      </c>
      <c r="AJ96" s="214">
        <f t="shared" si="197"/>
        <v>28.768031030929503</v>
      </c>
      <c r="AK96" s="214">
        <f t="shared" si="197"/>
        <v>28.984500251075257</v>
      </c>
      <c r="AL96" s="214">
        <f t="shared" si="197"/>
        <v>29.184176979934097</v>
      </c>
      <c r="AM96" s="214">
        <f t="shared" si="197"/>
        <v>29.363715178478987</v>
      </c>
      <c r="AN96" s="214">
        <f t="shared" si="197"/>
        <v>29.526793156846946</v>
      </c>
      <c r="AO96" s="214">
        <f t="shared" si="197"/>
        <v>29.674463717000894</v>
      </c>
      <c r="AP96" s="214">
        <f t="shared" si="197"/>
        <v>29.805939763199856</v>
      </c>
      <c r="AQ96" s="214">
        <f t="shared" si="197"/>
        <v>29.930593390860274</v>
      </c>
      <c r="AR96" s="214">
        <f t="shared" si="197"/>
        <v>30.057852589970842</v>
      </c>
      <c r="AS96" s="214">
        <f t="shared" si="197"/>
        <v>30.194316411653961</v>
      </c>
      <c r="AT96" s="214">
        <f t="shared" si="197"/>
        <v>30.286155678622553</v>
      </c>
      <c r="AU96" s="214">
        <f t="shared" si="197"/>
        <v>30.347962909676909</v>
      </c>
      <c r="AV96" s="214">
        <f t="shared" si="197"/>
        <v>30.389558775331114</v>
      </c>
      <c r="AW96" s="214">
        <f t="shared" si="197"/>
        <v>30.417552523150054</v>
      </c>
      <c r="AX96" s="214">
        <f t="shared" si="197"/>
        <v>30.436392133881206</v>
      </c>
      <c r="AY96" s="214">
        <f t="shared" si="197"/>
        <v>30.449071069720635</v>
      </c>
      <c r="AZ96" s="214">
        <f t="shared" si="197"/>
        <v>30.457603911312436</v>
      </c>
      <c r="BA96" s="214">
        <f t="shared" si="197"/>
        <v>30.463346458364722</v>
      </c>
      <c r="BB96" s="214">
        <f t="shared" si="197"/>
        <v>30.467211155288123</v>
      </c>
      <c r="BC96" s="214">
        <f t="shared" si="197"/>
        <v>30.469812071253415</v>
      </c>
      <c r="BD96" s="214">
        <f t="shared" si="197"/>
        <v>30.471562470830055</v>
      </c>
      <c r="BE96" s="214">
        <f t="shared" si="197"/>
        <v>30.472740478393067</v>
      </c>
      <c r="BF96" s="214">
        <f t="shared" si="197"/>
        <v>30.473533269843113</v>
      </c>
      <c r="BG96" s="214">
        <f t="shared" si="197"/>
        <v>30.47406681334741</v>
      </c>
      <c r="BH96" s="214">
        <f t="shared" si="197"/>
        <v>30.474425884665557</v>
      </c>
      <c r="BI96" s="214">
        <f t="shared" si="197"/>
        <v>30.474667537333943</v>
      </c>
    </row>
    <row r="97" spans="2:61" ht="13.25" customHeight="1">
      <c r="B97" s="6" t="s">
        <v>3205</v>
      </c>
      <c r="C97" s="214"/>
      <c r="D97" s="536">
        <f>D92-(C95+C96)</f>
        <v>21.925886165033361</v>
      </c>
      <c r="E97" s="214">
        <f t="shared" ref="E97:AJ97" si="198">D97*(1+D$43)</f>
        <v>22.199663145499297</v>
      </c>
      <c r="F97" s="214">
        <f t="shared" si="198"/>
        <v>22.50412780240255</v>
      </c>
      <c r="G97" s="214">
        <f t="shared" si="198"/>
        <v>22.858666860441478</v>
      </c>
      <c r="H97" s="214">
        <f t="shared" si="198"/>
        <v>23.240314792725172</v>
      </c>
      <c r="I97" s="214">
        <f t="shared" si="198"/>
        <v>23.603730627005664</v>
      </c>
      <c r="J97" s="214">
        <f t="shared" si="198"/>
        <v>23.977004988643994</v>
      </c>
      <c r="K97" s="214">
        <f t="shared" si="198"/>
        <v>24.514098216617214</v>
      </c>
      <c r="L97" s="214">
        <f t="shared" si="198"/>
        <v>24.966849400183445</v>
      </c>
      <c r="M97" s="214">
        <f t="shared" si="198"/>
        <v>25.367678049485761</v>
      </c>
      <c r="N97" s="214">
        <f t="shared" si="198"/>
        <v>25.735276865780929</v>
      </c>
      <c r="O97" s="214">
        <f t="shared" si="198"/>
        <v>26.07397779040474</v>
      </c>
      <c r="P97" s="214">
        <f t="shared" si="198"/>
        <v>26.425220368280424</v>
      </c>
      <c r="Q97" s="214">
        <f t="shared" si="198"/>
        <v>26.800846568061257</v>
      </c>
      <c r="R97" s="214">
        <f t="shared" si="198"/>
        <v>27.177998403892694</v>
      </c>
      <c r="S97" s="214">
        <f t="shared" si="198"/>
        <v>27.524421829222788</v>
      </c>
      <c r="T97" s="214">
        <f t="shared" si="198"/>
        <v>27.866676732529683</v>
      </c>
      <c r="U97" s="214">
        <f t="shared" si="198"/>
        <v>28.268762369843369</v>
      </c>
      <c r="V97" s="214">
        <f t="shared" si="198"/>
        <v>28.621950857522599</v>
      </c>
      <c r="W97" s="214">
        <f t="shared" si="198"/>
        <v>28.953925955590819</v>
      </c>
      <c r="X97" s="214">
        <f t="shared" si="198"/>
        <v>29.274586820805759</v>
      </c>
      <c r="Y97" s="214">
        <f t="shared" si="198"/>
        <v>29.612998907477721</v>
      </c>
      <c r="Z97" s="214">
        <f t="shared" si="198"/>
        <v>29.942053712692264</v>
      </c>
      <c r="AA97" s="214">
        <f t="shared" si="198"/>
        <v>30.255316129297839</v>
      </c>
      <c r="AB97" s="214">
        <f t="shared" si="198"/>
        <v>30.552790667047937</v>
      </c>
      <c r="AC97" s="214">
        <f t="shared" si="198"/>
        <v>30.83255086689066</v>
      </c>
      <c r="AD97" s="214">
        <f t="shared" si="198"/>
        <v>31.094938426685417</v>
      </c>
      <c r="AE97" s="214">
        <f t="shared" si="198"/>
        <v>31.339127513601614</v>
      </c>
      <c r="AF97" s="214">
        <f t="shared" si="198"/>
        <v>31.574574043440169</v>
      </c>
      <c r="AG97" s="214">
        <f t="shared" si="198"/>
        <v>31.822611539168328</v>
      </c>
      <c r="AH97" s="214">
        <f t="shared" si="198"/>
        <v>32.06646929086822</v>
      </c>
      <c r="AI97" s="214">
        <f t="shared" si="198"/>
        <v>32.313384318640061</v>
      </c>
      <c r="AJ97" s="214">
        <f t="shared" si="198"/>
        <v>32.527898367299407</v>
      </c>
      <c r="AK97" s="214">
        <f t="shared" ref="AK97:BH97" si="199">AJ97*(1+AJ$43)</f>
        <v>32.71039616410529</v>
      </c>
      <c r="AL97" s="214">
        <f t="shared" si="199"/>
        <v>32.863024419038311</v>
      </c>
      <c r="AM97" s="214">
        <f t="shared" si="199"/>
        <v>33.005826775572217</v>
      </c>
      <c r="AN97" s="214">
        <f t="shared" si="199"/>
        <v>33.133994667401304</v>
      </c>
      <c r="AO97" s="214">
        <f t="shared" si="199"/>
        <v>33.242472969077234</v>
      </c>
      <c r="AP97" s="214">
        <f t="shared" si="199"/>
        <v>33.364729215879301</v>
      </c>
      <c r="AQ97" s="214">
        <f t="shared" si="199"/>
        <v>33.511310960030777</v>
      </c>
      <c r="AR97" s="214">
        <f t="shared" si="199"/>
        <v>33.683076960468291</v>
      </c>
      <c r="AS97" s="214">
        <f t="shared" si="199"/>
        <v>33.683076960468291</v>
      </c>
      <c r="AT97" s="214">
        <f t="shared" si="199"/>
        <v>33.683076960468291</v>
      </c>
      <c r="AU97" s="214">
        <f t="shared" si="199"/>
        <v>33.683076960468291</v>
      </c>
      <c r="AV97" s="214">
        <f t="shared" si="199"/>
        <v>33.683076960468291</v>
      </c>
      <c r="AW97" s="214">
        <f t="shared" si="199"/>
        <v>33.683076960468291</v>
      </c>
      <c r="AX97" s="214">
        <f t="shared" si="199"/>
        <v>33.683076960468291</v>
      </c>
      <c r="AY97" s="214">
        <f t="shared" si="199"/>
        <v>33.683076960468291</v>
      </c>
      <c r="AZ97" s="214">
        <f t="shared" si="199"/>
        <v>33.683076960468291</v>
      </c>
      <c r="BA97" s="214">
        <f t="shared" si="199"/>
        <v>33.683076960468291</v>
      </c>
      <c r="BB97" s="214">
        <f t="shared" si="199"/>
        <v>33.683076960468291</v>
      </c>
      <c r="BC97" s="214">
        <f t="shared" si="199"/>
        <v>33.683076960468291</v>
      </c>
      <c r="BD97" s="214">
        <f t="shared" si="199"/>
        <v>33.683076960468291</v>
      </c>
      <c r="BE97" s="214">
        <f t="shared" si="199"/>
        <v>33.683076960468291</v>
      </c>
      <c r="BF97" s="214">
        <f t="shared" si="199"/>
        <v>33.683076960468291</v>
      </c>
      <c r="BG97" s="214">
        <f t="shared" si="199"/>
        <v>33.683076960468291</v>
      </c>
      <c r="BH97" s="214">
        <f t="shared" si="199"/>
        <v>33.683076960468291</v>
      </c>
    </row>
    <row r="98" spans="2:61" s="151" customFormat="1">
      <c r="B98" s="343"/>
      <c r="C98" s="343"/>
      <c r="D98" s="532"/>
      <c r="E98" s="532"/>
      <c r="F98" s="532"/>
      <c r="G98" s="532"/>
      <c r="H98" s="532"/>
      <c r="I98" s="532"/>
      <c r="J98" s="532"/>
      <c r="K98" s="532"/>
      <c r="L98" s="532"/>
      <c r="M98" s="532"/>
      <c r="N98" s="532"/>
      <c r="O98" s="532"/>
      <c r="P98" s="532"/>
      <c r="Q98" s="532"/>
      <c r="R98" s="532"/>
      <c r="S98" s="532"/>
      <c r="T98" s="532"/>
      <c r="U98" s="532"/>
      <c r="V98" s="532"/>
      <c r="W98" s="532"/>
      <c r="X98" s="532"/>
      <c r="Y98" s="532"/>
      <c r="Z98" s="532"/>
      <c r="AA98" s="532"/>
      <c r="AB98" s="532"/>
      <c r="AC98" s="532"/>
      <c r="AD98" s="532"/>
      <c r="AE98" s="532"/>
      <c r="AF98" s="532"/>
      <c r="AG98" s="532"/>
      <c r="AH98" s="532"/>
      <c r="AI98" s="532"/>
      <c r="AJ98" s="532"/>
      <c r="AK98" s="532"/>
      <c r="AL98" s="532"/>
      <c r="AM98" s="532"/>
      <c r="AN98" s="532"/>
      <c r="AO98" s="532"/>
      <c r="AP98" s="532"/>
      <c r="AQ98" s="532"/>
      <c r="AR98" s="532"/>
      <c r="AS98" s="532"/>
      <c r="AT98" s="532"/>
      <c r="AU98" s="532"/>
      <c r="AV98" s="532"/>
      <c r="AW98" s="532"/>
      <c r="AX98" s="532"/>
      <c r="AY98" s="532"/>
      <c r="AZ98" s="532"/>
      <c r="BA98" s="532"/>
      <c r="BB98" s="532"/>
      <c r="BC98" s="532"/>
      <c r="BD98" s="532"/>
      <c r="BE98" s="532"/>
      <c r="BF98" s="532"/>
      <c r="BG98" s="532"/>
      <c r="BH98" s="532"/>
      <c r="BI98" s="532"/>
    </row>
    <row r="99" spans="2:61" s="20" customFormat="1" ht="26.4" customHeight="1">
      <c r="B99" s="33" t="s">
        <v>3201</v>
      </c>
      <c r="C99" s="566"/>
      <c r="D99" s="566">
        <f>D92/C92-1</f>
        <v>2.7502371346320054E-2</v>
      </c>
      <c r="E99" s="566">
        <f t="shared" ref="E99:BH99" si="200">E92/D92-1</f>
        <v>2.0864281253547334E-2</v>
      </c>
      <c r="F99" s="566">
        <f t="shared" si="200"/>
        <v>-8.7622980410040352E-2</v>
      </c>
      <c r="G99" s="566">
        <f t="shared" si="200"/>
        <v>-6.1034629024387166E-2</v>
      </c>
      <c r="H99" s="566">
        <f t="shared" si="200"/>
        <v>-3.9283325355335408E-2</v>
      </c>
      <c r="I99" s="566">
        <f t="shared" si="200"/>
        <v>-2.2518191407132626E-2</v>
      </c>
      <c r="J99" s="566">
        <f t="shared" si="200"/>
        <v>-1.0632649224686097E-2</v>
      </c>
      <c r="K99" s="566">
        <f t="shared" si="200"/>
        <v>-2.1756343268913847E-3</v>
      </c>
      <c r="L99" s="566">
        <f t="shared" si="200"/>
        <v>5.8248085906349445E-3</v>
      </c>
      <c r="M99" s="566">
        <f t="shared" si="200"/>
        <v>1.00088242109726E-2</v>
      </c>
      <c r="N99" s="566">
        <f t="shared" si="200"/>
        <v>1.2026096919100171E-2</v>
      </c>
      <c r="O99" s="566">
        <f t="shared" si="200"/>
        <v>1.2851793255250987E-2</v>
      </c>
      <c r="P99" s="566">
        <f t="shared" si="200"/>
        <v>1.2955532569276507E-2</v>
      </c>
      <c r="Q99" s="566">
        <f t="shared" si="200"/>
        <v>1.312853093198596E-2</v>
      </c>
      <c r="R99" s="566">
        <f t="shared" si="200"/>
        <v>1.3493182828354877E-2</v>
      </c>
      <c r="S99" s="566">
        <f t="shared" si="200"/>
        <v>1.3687775361456822E-2</v>
      </c>
      <c r="T99" s="566">
        <f t="shared" si="200"/>
        <v>1.3371406952929377E-2</v>
      </c>
      <c r="U99" s="566">
        <f t="shared" si="200"/>
        <v>1.3056742712111102E-2</v>
      </c>
      <c r="V99" s="566">
        <f t="shared" si="200"/>
        <v>1.3517350683592388E-2</v>
      </c>
      <c r="W99" s="566">
        <f t="shared" si="200"/>
        <v>1.3173506033755222E-2</v>
      </c>
      <c r="X99" s="566">
        <f t="shared" si="200"/>
        <v>1.2644726793585415E-2</v>
      </c>
      <c r="Y99" s="566">
        <f t="shared" si="200"/>
        <v>1.2118179890713732E-2</v>
      </c>
      <c r="Z99" s="566">
        <f t="shared" si="200"/>
        <v>1.1931129279739494E-2</v>
      </c>
      <c r="AA99" s="566">
        <f t="shared" si="200"/>
        <v>1.1656714255621425E-2</v>
      </c>
      <c r="AB99" s="566">
        <f t="shared" si="200"/>
        <v>1.1256867249785474E-2</v>
      </c>
      <c r="AC99" s="566">
        <f t="shared" si="200"/>
        <v>1.0780299274226746E-2</v>
      </c>
      <c r="AD99" s="566">
        <f t="shared" si="200"/>
        <v>1.0237690317914439E-2</v>
      </c>
      <c r="AE99" s="566">
        <f t="shared" si="200"/>
        <v>9.6609690273909976E-3</v>
      </c>
      <c r="AF99" s="566">
        <f t="shared" si="200"/>
        <v>9.0581146520583022E-3</v>
      </c>
      <c r="AG99" s="566">
        <f t="shared" si="200"/>
        <v>8.543471522796775E-3</v>
      </c>
      <c r="AH99" s="566">
        <f t="shared" si="200"/>
        <v>8.3146143866201783E-3</v>
      </c>
      <c r="AI99" s="566">
        <f t="shared" si="200"/>
        <v>8.097927377420433E-3</v>
      </c>
      <c r="AJ99" s="566">
        <f t="shared" si="200"/>
        <v>7.9656846390776526E-3</v>
      </c>
      <c r="AK99" s="566">
        <f t="shared" si="200"/>
        <v>7.5246449752859323E-3</v>
      </c>
      <c r="AL99" s="566">
        <f t="shared" si="200"/>
        <v>6.8890864817112707E-3</v>
      </c>
      <c r="AM99" s="566">
        <f t="shared" si="200"/>
        <v>6.1519020621461085E-3</v>
      </c>
      <c r="AN99" s="566">
        <f t="shared" si="200"/>
        <v>5.5537242946519516E-3</v>
      </c>
      <c r="AO99" s="566">
        <f t="shared" si="200"/>
        <v>5.0012393614680128E-3</v>
      </c>
      <c r="AP99" s="566">
        <f t="shared" si="200"/>
        <v>4.4306123761097549E-3</v>
      </c>
      <c r="AQ99" s="566">
        <f t="shared" si="200"/>
        <v>4.1821740448633182E-3</v>
      </c>
      <c r="AR99" s="566">
        <f t="shared" si="200"/>
        <v>4.2518100943975679E-3</v>
      </c>
      <c r="AS99" s="566">
        <f t="shared" si="200"/>
        <v>4.5400389556986553E-3</v>
      </c>
      <c r="AT99" s="566">
        <f t="shared" si="200"/>
        <v>3.0416077554631382E-3</v>
      </c>
      <c r="AU99" s="566">
        <f t="shared" si="200"/>
        <v>2.0407750561086679E-3</v>
      </c>
      <c r="AV99" s="566">
        <f t="shared" si="200"/>
        <v>1.3706312274732735E-3</v>
      </c>
      <c r="AW99" s="566">
        <f t="shared" si="200"/>
        <v>9.2116335172542918E-4</v>
      </c>
      <c r="AX99" s="566">
        <f t="shared" si="200"/>
        <v>6.1936642393622954E-4</v>
      </c>
      <c r="AY99" s="566">
        <f t="shared" si="200"/>
        <v>4.1657157601515671E-4</v>
      </c>
      <c r="AZ99" s="566">
        <f t="shared" si="200"/>
        <v>2.8023323182058135E-4</v>
      </c>
      <c r="BA99" s="566">
        <f t="shared" si="200"/>
        <v>1.8854231176579361E-4</v>
      </c>
      <c r="BB99" s="566">
        <f t="shared" si="200"/>
        <v>1.2686383384319377E-4</v>
      </c>
      <c r="BC99" s="566">
        <f t="shared" si="200"/>
        <v>8.5367707337580256E-5</v>
      </c>
      <c r="BD99" s="566">
        <f t="shared" si="200"/>
        <v>5.7447009274014249E-5</v>
      </c>
      <c r="BE99" s="566">
        <f t="shared" si="200"/>
        <v>3.8659243815963862E-5</v>
      </c>
      <c r="BF99" s="566">
        <f t="shared" si="200"/>
        <v>2.601641459221149E-5</v>
      </c>
      <c r="BG99" s="566">
        <f t="shared" si="200"/>
        <v>1.7508422786916E-5</v>
      </c>
      <c r="BH99" s="566">
        <f t="shared" si="200"/>
        <v>1.1782848687191816E-5</v>
      </c>
    </row>
    <row r="100" spans="2:61" s="4" customFormat="1" ht="26.4" customHeight="1">
      <c r="B100" s="52"/>
      <c r="C100" s="529"/>
      <c r="D100" s="529"/>
      <c r="E100" s="529"/>
      <c r="F100" s="529"/>
      <c r="G100" s="529"/>
      <c r="H100" s="529"/>
      <c r="I100" s="529"/>
      <c r="J100" s="529"/>
      <c r="K100" s="529"/>
      <c r="L100" s="529"/>
      <c r="M100" s="529"/>
      <c r="N100" s="529"/>
      <c r="O100" s="529"/>
      <c r="P100" s="529"/>
      <c r="Q100" s="529"/>
      <c r="R100" s="529"/>
      <c r="S100" s="529"/>
      <c r="T100" s="529"/>
      <c r="U100" s="529"/>
      <c r="V100" s="529"/>
      <c r="W100" s="529"/>
      <c r="X100" s="529"/>
      <c r="Y100" s="529"/>
      <c r="Z100" s="529"/>
      <c r="AA100" s="529"/>
      <c r="AB100" s="529"/>
      <c r="AC100" s="529"/>
      <c r="AD100" s="529"/>
      <c r="AE100" s="529"/>
      <c r="AF100" s="529"/>
      <c r="AG100" s="529"/>
      <c r="AH100" s="529"/>
      <c r="AI100" s="529"/>
      <c r="AJ100" s="529"/>
      <c r="AK100" s="529"/>
      <c r="AL100" s="529"/>
      <c r="AM100" s="529"/>
      <c r="AN100" s="529"/>
      <c r="AO100" s="529"/>
      <c r="AP100" s="529"/>
      <c r="AQ100" s="529"/>
      <c r="AR100" s="529"/>
      <c r="AS100" s="529"/>
      <c r="AT100" s="529"/>
      <c r="AU100" s="529"/>
      <c r="AV100" s="529"/>
      <c r="AW100" s="529"/>
      <c r="AX100" s="529"/>
      <c r="AY100" s="529"/>
      <c r="AZ100" s="529"/>
      <c r="BA100" s="529"/>
      <c r="BB100" s="529"/>
      <c r="BC100" s="529"/>
      <c r="BD100" s="529"/>
      <c r="BE100" s="529"/>
      <c r="BF100" s="529"/>
      <c r="BG100" s="529"/>
      <c r="BH100" s="529"/>
    </row>
    <row r="101" spans="2:61" s="9" customFormat="1" ht="13.25" customHeight="1">
      <c r="B101" s="113" t="s">
        <v>3242</v>
      </c>
      <c r="C101" s="226"/>
      <c r="D101" s="226"/>
      <c r="E101" s="533"/>
      <c r="F101" s="533"/>
      <c r="G101" s="533"/>
      <c r="H101" s="533"/>
      <c r="I101" s="533"/>
      <c r="J101" s="533"/>
      <c r="K101" s="533"/>
      <c r="L101" s="533"/>
      <c r="M101" s="533"/>
      <c r="N101" s="533"/>
      <c r="O101" s="533"/>
      <c r="P101" s="533"/>
      <c r="Q101" s="533"/>
      <c r="R101" s="533"/>
      <c r="S101" s="226"/>
      <c r="T101" s="226"/>
      <c r="U101" s="226"/>
      <c r="V101" s="226"/>
      <c r="W101" s="226"/>
      <c r="X101" s="226"/>
      <c r="Y101" s="226"/>
      <c r="Z101" s="226"/>
      <c r="AA101" s="226"/>
      <c r="AB101" s="226"/>
      <c r="AC101" s="226"/>
      <c r="AD101" s="226"/>
      <c r="AE101" s="226"/>
      <c r="AF101" s="226"/>
      <c r="AG101" s="226"/>
      <c r="AH101" s="226"/>
      <c r="AI101" s="226"/>
      <c r="AJ101" s="226"/>
      <c r="AK101" s="226"/>
      <c r="AL101" s="226"/>
      <c r="AM101" s="226"/>
      <c r="AN101" s="226"/>
      <c r="AO101" s="226"/>
      <c r="AP101" s="226"/>
      <c r="AQ101" s="226"/>
      <c r="AR101" s="226"/>
      <c r="AS101" s="226"/>
      <c r="AT101" s="226"/>
      <c r="AU101" s="226"/>
      <c r="AV101" s="226"/>
      <c r="AW101" s="226"/>
      <c r="AX101" s="226"/>
      <c r="AY101" s="226"/>
      <c r="AZ101" s="226"/>
      <c r="BA101" s="226"/>
      <c r="BB101" s="226"/>
      <c r="BC101" s="226"/>
      <c r="BD101" s="226"/>
      <c r="BE101" s="226"/>
      <c r="BF101" s="226"/>
      <c r="BG101" s="226"/>
      <c r="BH101" s="226"/>
    </row>
    <row r="102" spans="2:61" s="9" customFormat="1" ht="13.25" customHeight="1">
      <c r="B102" s="343" t="s">
        <v>3237</v>
      </c>
      <c r="C102" s="226"/>
      <c r="D102" s="226"/>
      <c r="E102" s="533"/>
      <c r="F102" s="533"/>
      <c r="G102" s="533"/>
      <c r="H102" s="533"/>
      <c r="I102" s="533"/>
      <c r="J102" s="533"/>
      <c r="K102" s="533"/>
      <c r="L102" s="533"/>
      <c r="M102" s="533"/>
      <c r="N102" s="533"/>
      <c r="O102" s="533"/>
      <c r="P102" s="533"/>
      <c r="Q102" s="533"/>
      <c r="R102" s="533"/>
      <c r="S102" s="226"/>
      <c r="T102" s="226"/>
      <c r="U102" s="226"/>
      <c r="V102" s="226"/>
      <c r="W102" s="226"/>
      <c r="X102" s="226"/>
      <c r="Y102" s="226"/>
      <c r="Z102" s="226"/>
      <c r="AA102" s="226"/>
      <c r="AB102" s="226"/>
      <c r="AC102" s="226"/>
      <c r="AD102" s="226"/>
      <c r="AE102" s="226"/>
      <c r="AF102" s="226"/>
      <c r="AG102" s="226"/>
      <c r="AH102" s="226"/>
      <c r="AI102" s="226"/>
      <c r="AJ102" s="226"/>
      <c r="AK102" s="226"/>
      <c r="AL102" s="226"/>
      <c r="AM102" s="226"/>
      <c r="AN102" s="226"/>
      <c r="AO102" s="226"/>
      <c r="AP102" s="226"/>
      <c r="AQ102" s="226"/>
      <c r="AR102" s="226"/>
      <c r="AS102" s="226"/>
      <c r="AT102" s="226"/>
      <c r="AU102" s="226"/>
      <c r="AV102" s="226"/>
      <c r="AW102" s="226"/>
      <c r="AX102" s="226"/>
      <c r="AY102" s="226"/>
      <c r="AZ102" s="226"/>
      <c r="BA102" s="226"/>
      <c r="BB102" s="226"/>
      <c r="BC102" s="226"/>
      <c r="BD102" s="226"/>
      <c r="BE102" s="226"/>
      <c r="BF102" s="226"/>
      <c r="BG102" s="226"/>
      <c r="BH102" s="226"/>
    </row>
    <row r="103" spans="2:61">
      <c r="B103" s="34" t="s">
        <v>3208</v>
      </c>
      <c r="C103" s="534">
        <f>$C$8-2</f>
        <v>2022</v>
      </c>
      <c r="D103" s="34">
        <f>C103+1</f>
        <v>2023</v>
      </c>
      <c r="E103" s="34">
        <f t="shared" ref="E103" si="201">D103+1</f>
        <v>2024</v>
      </c>
      <c r="F103" s="34">
        <f t="shared" ref="F103" si="202">E103+1</f>
        <v>2025</v>
      </c>
      <c r="G103" s="34">
        <f t="shared" ref="G103" si="203">F103+1</f>
        <v>2026</v>
      </c>
      <c r="H103" s="34">
        <f t="shared" ref="H103" si="204">G103+1</f>
        <v>2027</v>
      </c>
      <c r="I103" s="34">
        <f t="shared" ref="I103" si="205">H103+1</f>
        <v>2028</v>
      </c>
      <c r="J103" s="34">
        <f t="shared" ref="J103" si="206">I103+1</f>
        <v>2029</v>
      </c>
      <c r="K103" s="34">
        <f t="shared" ref="K103" si="207">J103+1</f>
        <v>2030</v>
      </c>
      <c r="L103" s="34">
        <f t="shared" ref="L103" si="208">K103+1</f>
        <v>2031</v>
      </c>
      <c r="M103" s="34">
        <f t="shared" ref="M103" si="209">L103+1</f>
        <v>2032</v>
      </c>
      <c r="N103" s="34">
        <f t="shared" ref="N103" si="210">M103+1</f>
        <v>2033</v>
      </c>
      <c r="O103" s="34">
        <f t="shared" ref="O103" si="211">N103+1</f>
        <v>2034</v>
      </c>
      <c r="P103" s="34">
        <f t="shared" ref="P103" si="212">O103+1</f>
        <v>2035</v>
      </c>
      <c r="Q103" s="34">
        <f t="shared" ref="Q103" si="213">P103+1</f>
        <v>2036</v>
      </c>
      <c r="R103" s="34">
        <f t="shared" ref="R103" si="214">Q103+1</f>
        <v>2037</v>
      </c>
      <c r="S103" s="34">
        <f t="shared" ref="S103" si="215">R103+1</f>
        <v>2038</v>
      </c>
      <c r="T103" s="34">
        <f t="shared" ref="T103" si="216">S103+1</f>
        <v>2039</v>
      </c>
      <c r="U103" s="34">
        <f t="shared" ref="U103" si="217">T103+1</f>
        <v>2040</v>
      </c>
      <c r="V103" s="34">
        <f t="shared" ref="V103" si="218">U103+1</f>
        <v>2041</v>
      </c>
      <c r="W103" s="34">
        <f t="shared" ref="W103" si="219">V103+1</f>
        <v>2042</v>
      </c>
      <c r="X103" s="34">
        <f t="shared" ref="X103" si="220">W103+1</f>
        <v>2043</v>
      </c>
      <c r="Y103" s="34">
        <f t="shared" ref="Y103" si="221">X103+1</f>
        <v>2044</v>
      </c>
      <c r="Z103" s="34">
        <f t="shared" ref="Z103" si="222">Y103+1</f>
        <v>2045</v>
      </c>
      <c r="AA103" s="34">
        <f t="shared" ref="AA103" si="223">Z103+1</f>
        <v>2046</v>
      </c>
      <c r="AB103" s="34">
        <f t="shared" ref="AB103" si="224">AA103+1</f>
        <v>2047</v>
      </c>
      <c r="AC103" s="34">
        <f t="shared" ref="AC103" si="225">AB103+1</f>
        <v>2048</v>
      </c>
      <c r="AD103" s="34">
        <f t="shared" ref="AD103" si="226">AC103+1</f>
        <v>2049</v>
      </c>
      <c r="AE103" s="34">
        <f t="shared" ref="AE103" si="227">AD103+1</f>
        <v>2050</v>
      </c>
      <c r="AF103" s="34">
        <f t="shared" ref="AF103" si="228">AE103+1</f>
        <v>2051</v>
      </c>
      <c r="AG103" s="34">
        <f t="shared" ref="AG103" si="229">AF103+1</f>
        <v>2052</v>
      </c>
      <c r="AH103" s="34">
        <f t="shared" ref="AH103" si="230">AG103+1</f>
        <v>2053</v>
      </c>
      <c r="AI103" s="34">
        <f t="shared" ref="AI103" si="231">AH103+1</f>
        <v>2054</v>
      </c>
      <c r="AJ103" s="34">
        <f t="shared" ref="AJ103" si="232">AI103+1</f>
        <v>2055</v>
      </c>
      <c r="AK103" s="34">
        <f t="shared" ref="AK103" si="233">AJ103+1</f>
        <v>2056</v>
      </c>
      <c r="AL103" s="34">
        <f t="shared" ref="AL103" si="234">AK103+1</f>
        <v>2057</v>
      </c>
      <c r="AM103" s="34">
        <f t="shared" ref="AM103" si="235">AL103+1</f>
        <v>2058</v>
      </c>
      <c r="AN103" s="34">
        <f t="shared" ref="AN103" si="236">AM103+1</f>
        <v>2059</v>
      </c>
      <c r="AO103" s="34">
        <f t="shared" ref="AO103" si="237">AN103+1</f>
        <v>2060</v>
      </c>
      <c r="AP103" s="34">
        <f t="shared" ref="AP103" si="238">AO103+1</f>
        <v>2061</v>
      </c>
      <c r="AQ103" s="34">
        <f t="shared" ref="AQ103" si="239">AP103+1</f>
        <v>2062</v>
      </c>
      <c r="AR103" s="34">
        <f t="shared" ref="AR103" si="240">AQ103+1</f>
        <v>2063</v>
      </c>
      <c r="AS103" s="34">
        <f t="shared" ref="AS103" si="241">AR103+1</f>
        <v>2064</v>
      </c>
      <c r="AT103" s="34">
        <f t="shared" ref="AT103" si="242">AS103+1</f>
        <v>2065</v>
      </c>
      <c r="AU103" s="34">
        <f t="shared" ref="AU103" si="243">AT103+1</f>
        <v>2066</v>
      </c>
      <c r="AV103" s="34">
        <f t="shared" ref="AV103" si="244">AU103+1</f>
        <v>2067</v>
      </c>
      <c r="AW103" s="34">
        <f t="shared" ref="AW103" si="245">AV103+1</f>
        <v>2068</v>
      </c>
      <c r="AX103" s="34">
        <f t="shared" ref="AX103" si="246">AW103+1</f>
        <v>2069</v>
      </c>
      <c r="AY103" s="34">
        <f t="shared" ref="AY103" si="247">AX103+1</f>
        <v>2070</v>
      </c>
      <c r="AZ103" s="34">
        <f t="shared" ref="AZ103" si="248">AY103+1</f>
        <v>2071</v>
      </c>
      <c r="BA103" s="34">
        <f t="shared" ref="BA103" si="249">AZ103+1</f>
        <v>2072</v>
      </c>
      <c r="BB103" s="34">
        <f t="shared" ref="BB103" si="250">BA103+1</f>
        <v>2073</v>
      </c>
      <c r="BC103" s="34">
        <f t="shared" ref="BC103" si="251">BB103+1</f>
        <v>2074</v>
      </c>
      <c r="BD103" s="34">
        <f t="shared" ref="BD103" si="252">BC103+1</f>
        <v>2075</v>
      </c>
      <c r="BE103" s="34">
        <f t="shared" ref="BE103" si="253">BD103+1</f>
        <v>2076</v>
      </c>
      <c r="BF103" s="34">
        <f t="shared" ref="BF103" si="254">BE103+1</f>
        <v>2077</v>
      </c>
      <c r="BG103" s="34">
        <f t="shared" ref="BG103" si="255">BF103+1</f>
        <v>2078</v>
      </c>
      <c r="BH103" s="34">
        <f t="shared" ref="BH103" si="256">BG103+1</f>
        <v>2079</v>
      </c>
      <c r="BI103" s="34">
        <f t="shared" ref="BI103" si="257">BH103+1</f>
        <v>2080</v>
      </c>
    </row>
    <row r="104" spans="2:61" s="9" customFormat="1" ht="13.25" customHeight="1">
      <c r="B104" s="5" t="s">
        <v>22</v>
      </c>
      <c r="C104" s="535">
        <f>INDEX('Prevalence projection'!$C$66:$AE$66, MATCH(C$51, 'Prevalence projection'!$C$33:$AE$33,0))</f>
        <v>88.409985944913515</v>
      </c>
      <c r="D104" s="535">
        <f>INDEX('Prevalence projection'!$C$66:$AE$66, MATCH(D$51, 'Prevalence projection'!$C$33:$AE$33,0))</f>
        <v>90.841470209093458</v>
      </c>
      <c r="E104" s="224">
        <f t="shared" ref="E104" si="258">D107+D108+D109</f>
        <v>92.73681219302172</v>
      </c>
      <c r="F104" s="224">
        <f t="shared" ref="F104" si="259">E107+E108+E109</f>
        <v>94.488008249959734</v>
      </c>
      <c r="G104" s="224">
        <f t="shared" ref="G104" si="260">F107+F108+F109</f>
        <v>96.157530233246163</v>
      </c>
      <c r="H104" s="224">
        <f t="shared" ref="H104" si="261">G107+G108+G109</f>
        <v>97.813461677256868</v>
      </c>
      <c r="I104" s="224">
        <f t="shared" ref="I104" si="262">H107+H108+H109</f>
        <v>99.485908170146899</v>
      </c>
      <c r="J104" s="224">
        <f t="shared" ref="J104" si="263">I107+I108+I109</f>
        <v>101.15299604563518</v>
      </c>
      <c r="K104" s="224">
        <f t="shared" ref="K104" si="264">J107+J108+J109</f>
        <v>102.82576540621663</v>
      </c>
      <c r="L104" s="224">
        <f t="shared" ref="L104" si="265">K107+K108+K109</f>
        <v>104.66678235076309</v>
      </c>
      <c r="M104" s="224">
        <f t="shared" ref="M104" si="266">L107+L108+L109</f>
        <v>106.55460624260328</v>
      </c>
      <c r="N104" s="224">
        <f t="shared" ref="N104" si="267">M107+M108+M109</f>
        <v>108.42699361559502</v>
      </c>
      <c r="O104" s="224">
        <f t="shared" ref="O104" si="268">N107+N108+N109</f>
        <v>110.25411838913726</v>
      </c>
      <c r="P104" s="224">
        <f t="shared" ref="P104" si="269">O107+O108+O109</f>
        <v>112.01706307473724</v>
      </c>
      <c r="Q104" s="224">
        <f t="shared" ref="Q104" si="270">P107+P108+P109</f>
        <v>113.74252103503811</v>
      </c>
      <c r="R104" s="224">
        <f t="shared" ref="R104" si="271">Q107+Q108+Q109</f>
        <v>115.46314171487347</v>
      </c>
      <c r="S104" s="224">
        <f t="shared" ref="S104" si="272">R107+R108+R109</f>
        <v>117.18151737063656</v>
      </c>
      <c r="T104" s="224">
        <f t="shared" ref="T104" si="273">S107+S108+S109</f>
        <v>118.86741461963399</v>
      </c>
      <c r="U104" s="224">
        <f t="shared" ref="U104" si="274">T107+T108+T109</f>
        <v>120.52382642853438</v>
      </c>
      <c r="V104" s="224">
        <f t="shared" ref="V104" si="275">U107+U108+U109</f>
        <v>122.21708507088591</v>
      </c>
      <c r="W104" s="224">
        <f t="shared" ref="W104" si="276">V107+V108+V109</f>
        <v>123.89016867027817</v>
      </c>
      <c r="X104" s="224">
        <f t="shared" ref="X104" si="277">W107+W108+W109</f>
        <v>125.52631243407265</v>
      </c>
      <c r="Y104" s="224">
        <f t="shared" ref="Y104" si="278">X107+X108+X109</f>
        <v>127.1223473631654</v>
      </c>
      <c r="Z104" s="224">
        <f t="shared" ref="Z104" si="279">Y107+Y108+Y109</f>
        <v>128.70486867706518</v>
      </c>
      <c r="AA104" s="224">
        <f t="shared" ref="AA104" si="280">Z107+Z108+Z109</f>
        <v>130.26749884646458</v>
      </c>
      <c r="AB104" s="224">
        <f t="shared" ref="AB104" si="281">AA107+AA108+AA109</f>
        <v>131.79883148011697</v>
      </c>
      <c r="AC104" s="224">
        <f t="shared" ref="AC104" si="282">AB107+AB108+AB109</f>
        <v>133.28997980579913</v>
      </c>
      <c r="AD104" s="224">
        <f t="shared" ref="AD104" si="283">AC107+AC108+AC109</f>
        <v>134.73209012551109</v>
      </c>
      <c r="AE104" s="224">
        <f t="shared" ref="AE104" si="284">AD107+AD108+AD109</f>
        <v>136.1186026795213</v>
      </c>
      <c r="AF104" s="224">
        <f t="shared" ref="AF104" si="285">AE107+AE108+AE109</f>
        <v>137.4435783022885</v>
      </c>
      <c r="AG104" s="224">
        <f t="shared" ref="AG104" si="286">AF107+AF108+AF109</f>
        <v>138.71184333007406</v>
      </c>
      <c r="AH104" s="224">
        <f t="shared" ref="AH104" si="287">AG107+AG108+AG109</f>
        <v>139.94849341496106</v>
      </c>
      <c r="AI104" s="224">
        <f t="shared" ref="AI104" si="288">AH107+AH108+AH109</f>
        <v>141.15631990783038</v>
      </c>
      <c r="AJ104" s="224">
        <f t="shared" ref="AJ104" si="289">AI107+AI108+AI109</f>
        <v>142.34473568679385</v>
      </c>
      <c r="AK104" s="224">
        <f t="shared" ref="AK104" si="290">AJ107+AJ108+AJ109</f>
        <v>143.48561983515521</v>
      </c>
      <c r="AL104" s="224">
        <f t="shared" ref="AL104" si="291">AK107+AK108+AK109</f>
        <v>144.55743682560879</v>
      </c>
      <c r="AM104" s="224">
        <f t="shared" ref="AM104" si="292">AL107+AL108+AL109</f>
        <v>145.54554642460039</v>
      </c>
      <c r="AN104" s="224">
        <f t="shared" ref="AN104" si="293">AM107+AM108+AM109</f>
        <v>146.45858021354823</v>
      </c>
      <c r="AO104" s="224">
        <f t="shared" ref="AO104" si="294">AN107+AN108+AN109</f>
        <v>147.29845794386216</v>
      </c>
      <c r="AP104" s="224">
        <f t="shared" ref="AP104" si="295">AO107+AO108+AO109</f>
        <v>148.06162093631781</v>
      </c>
      <c r="AQ104" s="224">
        <f t="shared" ref="AQ104" si="296">AP107+AP108+AP109</f>
        <v>148.77876273573904</v>
      </c>
      <c r="AR104" s="224">
        <f t="shared" ref="AR104" si="297">AQ107+AQ108+AQ109</f>
        <v>149.48435651253936</v>
      </c>
      <c r="AS104" s="224">
        <f t="shared" ref="AS104" si="298">AR107+AR108+AR109</f>
        <v>150.20613286199273</v>
      </c>
      <c r="AT104" s="224">
        <f t="shared" ref="AT104" si="299">AS107+AS108+AS109</f>
        <v>150.76875752639162</v>
      </c>
      <c r="AU104" s="224">
        <f t="shared" ref="AU104" si="300">AT107+AT108+AT109</f>
        <v>151.20732345229058</v>
      </c>
      <c r="AV104" s="224">
        <f t="shared" ref="AV104" si="301">AU107+AU108+AU109</f>
        <v>151.54918559152881</v>
      </c>
      <c r="AW104" s="224">
        <f t="shared" ref="AW104" si="302">AV107+AV108+AV109</f>
        <v>151.81566712906502</v>
      </c>
      <c r="AX104" s="224">
        <f t="shared" ref="AX104" si="303">AW107+AW108+AW109</f>
        <v>152.02338948757449</v>
      </c>
      <c r="AY104" s="224">
        <f t="shared" ref="AY104" si="304">AX107+AX108+AX109</f>
        <v>152.1853090660326</v>
      </c>
      <c r="AZ104" s="224">
        <f t="shared" ref="AZ104" si="305">AY107+AY108+AY109</f>
        <v>152.31152537744072</v>
      </c>
      <c r="BA104" s="224">
        <f t="shared" ref="BA104" si="306">AZ107+AZ108+AZ109</f>
        <v>152.40991099218334</v>
      </c>
      <c r="BB104" s="224">
        <f t="shared" ref="BB104" si="307">BA107+BA108+BA109</f>
        <v>152.48660257887522</v>
      </c>
      <c r="BC104" s="224">
        <f t="shared" ref="BC104" si="308">BB107+BB108+BB109</f>
        <v>152.54638367070154</v>
      </c>
      <c r="BD104" s="224">
        <f t="shared" ref="BD104" si="309">BC107+BC108+BC109</f>
        <v>152.59298303178016</v>
      </c>
      <c r="BE104" s="224">
        <f t="shared" ref="BE104" si="310">BD107+BD108+BD109</f>
        <v>152.62930723374095</v>
      </c>
      <c r="BF104" s="224">
        <f t="shared" ref="BF104" si="311">BE107+BE108+BE109</f>
        <v>152.65762194916937</v>
      </c>
      <c r="BG104" s="224">
        <f t="shared" ref="BG104" si="312">BF107+BF108+BF109</f>
        <v>152.67969326984581</v>
      </c>
      <c r="BH104" s="224">
        <f t="shared" ref="BH104" si="313">BG107+BG108+BG109</f>
        <v>152.69689786431312</v>
      </c>
      <c r="BI104" s="224">
        <f t="shared" ref="BI104" si="314">BH107+BH108+BH109</f>
        <v>152.71030884570038</v>
      </c>
    </row>
    <row r="105" spans="2:61" s="9" customFormat="1" ht="13.25" customHeight="1">
      <c r="B105" s="5"/>
      <c r="C105" s="224"/>
      <c r="D105" s="224"/>
      <c r="E105" s="224"/>
      <c r="F105" s="224"/>
      <c r="G105" s="224"/>
      <c r="H105" s="224"/>
      <c r="I105" s="224"/>
      <c r="J105" s="224"/>
      <c r="K105" s="224"/>
      <c r="L105" s="224"/>
      <c r="M105" s="224"/>
      <c r="N105" s="224"/>
      <c r="O105" s="224"/>
      <c r="P105" s="224"/>
      <c r="Q105" s="224"/>
      <c r="R105" s="224"/>
      <c r="S105" s="224"/>
      <c r="T105" s="224"/>
      <c r="U105" s="224"/>
      <c r="V105" s="224"/>
      <c r="W105" s="224"/>
      <c r="X105" s="224"/>
      <c r="Y105" s="224"/>
      <c r="Z105" s="224"/>
      <c r="AA105" s="224"/>
      <c r="AB105" s="224"/>
      <c r="AC105" s="224"/>
      <c r="AD105" s="224"/>
      <c r="AE105" s="224"/>
      <c r="AF105" s="224"/>
      <c r="AG105" s="224"/>
      <c r="AH105" s="224"/>
      <c r="AI105" s="224"/>
      <c r="AJ105" s="224"/>
      <c r="AK105" s="224"/>
      <c r="AL105" s="224"/>
      <c r="AM105" s="224"/>
      <c r="AN105" s="224"/>
      <c r="AO105" s="224"/>
      <c r="AP105" s="224"/>
      <c r="AQ105" s="224"/>
      <c r="AR105" s="224"/>
      <c r="AS105" s="224"/>
      <c r="AT105" s="224"/>
      <c r="AU105" s="224"/>
      <c r="AV105" s="224"/>
      <c r="AW105" s="224"/>
      <c r="AX105" s="224"/>
      <c r="AY105" s="224"/>
      <c r="AZ105" s="224"/>
      <c r="BA105" s="224"/>
      <c r="BB105" s="224"/>
      <c r="BC105" s="224"/>
      <c r="BD105" s="224"/>
      <c r="BE105" s="224"/>
      <c r="BF105" s="224"/>
      <c r="BG105" s="224"/>
      <c r="BH105" s="224"/>
      <c r="BI105" s="224"/>
    </row>
    <row r="106" spans="2:61" ht="13.25" customHeight="1">
      <c r="B106" s="6" t="s">
        <v>97</v>
      </c>
      <c r="C106" s="214">
        <f>C104*$C$33</f>
        <v>37.132194096863678</v>
      </c>
      <c r="D106" s="214">
        <f t="shared" ref="D106:BI106" si="315">D104*$C$33</f>
        <v>38.153417487819254</v>
      </c>
      <c r="E106" s="214">
        <f t="shared" si="315"/>
        <v>38.94946112106912</v>
      </c>
      <c r="F106" s="214">
        <f t="shared" si="315"/>
        <v>39.684963464983085</v>
      </c>
      <c r="G106" s="214">
        <f t="shared" si="315"/>
        <v>40.386162697963385</v>
      </c>
      <c r="H106" s="214">
        <f t="shared" si="315"/>
        <v>41.081653904447883</v>
      </c>
      <c r="I106" s="214">
        <f t="shared" si="315"/>
        <v>41.784081431461694</v>
      </c>
      <c r="J106" s="214">
        <f t="shared" si="315"/>
        <v>42.484258339166772</v>
      </c>
      <c r="K106" s="214">
        <f t="shared" si="315"/>
        <v>43.186821470610987</v>
      </c>
      <c r="L106" s="214">
        <f t="shared" si="315"/>
        <v>43.960048587320493</v>
      </c>
      <c r="M106" s="214">
        <f t="shared" si="315"/>
        <v>44.752934621893381</v>
      </c>
      <c r="N106" s="214">
        <f t="shared" si="315"/>
        <v>45.539337318549912</v>
      </c>
      <c r="O106" s="214">
        <f t="shared" si="315"/>
        <v>46.306729723437648</v>
      </c>
      <c r="P106" s="214">
        <f t="shared" si="315"/>
        <v>47.047166491389639</v>
      </c>
      <c r="Q106" s="214">
        <f t="shared" si="315"/>
        <v>47.771858834716006</v>
      </c>
      <c r="R106" s="214">
        <f t="shared" si="315"/>
        <v>48.494519520246854</v>
      </c>
      <c r="S106" s="214">
        <f t="shared" si="315"/>
        <v>49.216237295667355</v>
      </c>
      <c r="T106" s="214">
        <f t="shared" si="315"/>
        <v>49.924314140246274</v>
      </c>
      <c r="U106" s="214">
        <f t="shared" si="315"/>
        <v>50.620007099984434</v>
      </c>
      <c r="V106" s="214">
        <f t="shared" si="315"/>
        <v>51.331175729772085</v>
      </c>
      <c r="W106" s="214">
        <f t="shared" si="315"/>
        <v>52.03387084151683</v>
      </c>
      <c r="X106" s="214">
        <f t="shared" si="315"/>
        <v>52.721051222310514</v>
      </c>
      <c r="Y106" s="214">
        <f t="shared" si="315"/>
        <v>53.39138589252947</v>
      </c>
      <c r="Z106" s="214">
        <f t="shared" si="315"/>
        <v>54.056044844367371</v>
      </c>
      <c r="AA106" s="214">
        <f t="shared" si="315"/>
        <v>54.712349515515122</v>
      </c>
      <c r="AB106" s="214">
        <f t="shared" si="315"/>
        <v>55.355509221649129</v>
      </c>
      <c r="AC106" s="214">
        <f t="shared" si="315"/>
        <v>55.981791518435635</v>
      </c>
      <c r="AD106" s="214">
        <f t="shared" si="315"/>
        <v>56.587477852714656</v>
      </c>
      <c r="AE106" s="214">
        <f t="shared" si="315"/>
        <v>57.169813125398946</v>
      </c>
      <c r="AF106" s="214">
        <f t="shared" si="315"/>
        <v>57.726302886961165</v>
      </c>
      <c r="AG106" s="214">
        <f t="shared" si="315"/>
        <v>58.258974198631101</v>
      </c>
      <c r="AH106" s="214">
        <f t="shared" si="315"/>
        <v>58.778367234283643</v>
      </c>
      <c r="AI106" s="214">
        <f t="shared" si="315"/>
        <v>59.285654361288756</v>
      </c>
      <c r="AJ106" s="214">
        <f t="shared" si="315"/>
        <v>59.784788988453414</v>
      </c>
      <c r="AK106" s="214">
        <f t="shared" si="315"/>
        <v>60.263960330765187</v>
      </c>
      <c r="AL106" s="214">
        <f t="shared" si="315"/>
        <v>60.714123466755687</v>
      </c>
      <c r="AM106" s="214">
        <f t="shared" si="315"/>
        <v>61.129129498332162</v>
      </c>
      <c r="AN106" s="214">
        <f t="shared" si="315"/>
        <v>61.512603689690252</v>
      </c>
      <c r="AO106" s="214">
        <f t="shared" si="315"/>
        <v>61.865352336422106</v>
      </c>
      <c r="AP106" s="214">
        <f t="shared" si="315"/>
        <v>62.185880793253475</v>
      </c>
      <c r="AQ106" s="214">
        <f t="shared" si="315"/>
        <v>62.487080349010391</v>
      </c>
      <c r="AR106" s="214">
        <f t="shared" si="315"/>
        <v>62.78342973526653</v>
      </c>
      <c r="AS106" s="214">
        <f t="shared" si="315"/>
        <v>63.086575802036947</v>
      </c>
      <c r="AT106" s="214">
        <f t="shared" si="315"/>
        <v>63.322878161084482</v>
      </c>
      <c r="AU106" s="214">
        <f t="shared" si="315"/>
        <v>63.507075849962042</v>
      </c>
      <c r="AV106" s="214">
        <f t="shared" si="315"/>
        <v>63.650657948442095</v>
      </c>
      <c r="AW106" s="214">
        <f t="shared" si="315"/>
        <v>63.762580194207302</v>
      </c>
      <c r="AX106" s="214">
        <f t="shared" si="315"/>
        <v>63.849823584781284</v>
      </c>
      <c r="AY106" s="214">
        <f t="shared" si="315"/>
        <v>63.917829807733689</v>
      </c>
      <c r="AZ106" s="214">
        <f t="shared" si="315"/>
        <v>63.970840658525098</v>
      </c>
      <c r="BA106" s="214">
        <f t="shared" si="315"/>
        <v>64.012162616717006</v>
      </c>
      <c r="BB106" s="214">
        <f t="shared" si="315"/>
        <v>64.044373083127596</v>
      </c>
      <c r="BC106" s="214">
        <f t="shared" si="315"/>
        <v>64.069481141694652</v>
      </c>
      <c r="BD106" s="214">
        <f t="shared" si="315"/>
        <v>64.089052873347669</v>
      </c>
      <c r="BE106" s="214">
        <f t="shared" si="315"/>
        <v>64.104309038171195</v>
      </c>
      <c r="BF106" s="214">
        <f t="shared" si="315"/>
        <v>64.116201218651128</v>
      </c>
      <c r="BG106" s="214">
        <f t="shared" si="315"/>
        <v>64.125471173335242</v>
      </c>
      <c r="BH106" s="214">
        <f t="shared" si="315"/>
        <v>64.132697103011509</v>
      </c>
      <c r="BI106" s="214">
        <f t="shared" si="315"/>
        <v>64.13832971519416</v>
      </c>
    </row>
    <row r="107" spans="2:61" ht="22.25" customHeight="1">
      <c r="B107" s="6" t="s">
        <v>98</v>
      </c>
      <c r="C107" s="214">
        <f>C104*(1-$C$33)</f>
        <v>51.277791848049844</v>
      </c>
      <c r="D107" s="214">
        <f t="shared" ref="D107:BI107" si="316">D104*(1-$C$33)</f>
        <v>52.688052721274211</v>
      </c>
      <c r="E107" s="214">
        <f t="shared" si="316"/>
        <v>53.787351071952607</v>
      </c>
      <c r="F107" s="214">
        <f t="shared" si="316"/>
        <v>54.803044784976649</v>
      </c>
      <c r="G107" s="214">
        <f t="shared" si="316"/>
        <v>55.771367535282785</v>
      </c>
      <c r="H107" s="214">
        <f t="shared" si="316"/>
        <v>56.731807772808992</v>
      </c>
      <c r="I107" s="214">
        <f t="shared" si="316"/>
        <v>57.701826738685206</v>
      </c>
      <c r="J107" s="214">
        <f t="shared" si="316"/>
        <v>58.668737706468413</v>
      </c>
      <c r="K107" s="214">
        <f t="shared" si="316"/>
        <v>59.638943935605653</v>
      </c>
      <c r="L107" s="214">
        <f t="shared" si="316"/>
        <v>60.7067337634426</v>
      </c>
      <c r="M107" s="214">
        <f t="shared" si="316"/>
        <v>61.801671620709911</v>
      </c>
      <c r="N107" s="214">
        <f t="shared" si="316"/>
        <v>62.887656297045119</v>
      </c>
      <c r="O107" s="214">
        <f t="shared" si="316"/>
        <v>63.94738866569962</v>
      </c>
      <c r="P107" s="214">
        <f t="shared" si="316"/>
        <v>64.969896583347605</v>
      </c>
      <c r="Q107" s="214">
        <f t="shared" si="316"/>
        <v>65.97066220032211</v>
      </c>
      <c r="R107" s="214">
        <f t="shared" si="316"/>
        <v>66.968622194626619</v>
      </c>
      <c r="S107" s="214">
        <f t="shared" si="316"/>
        <v>67.965280074969215</v>
      </c>
      <c r="T107" s="214">
        <f t="shared" si="316"/>
        <v>68.943100479387724</v>
      </c>
      <c r="U107" s="214">
        <f t="shared" si="316"/>
        <v>69.903819328549943</v>
      </c>
      <c r="V107" s="214">
        <f t="shared" si="316"/>
        <v>70.885909341113845</v>
      </c>
      <c r="W107" s="214">
        <f t="shared" si="316"/>
        <v>71.856297828761342</v>
      </c>
      <c r="X107" s="214">
        <f t="shared" si="316"/>
        <v>72.805261211762144</v>
      </c>
      <c r="Y107" s="214">
        <f t="shared" si="316"/>
        <v>73.730961470635947</v>
      </c>
      <c r="Z107" s="214">
        <f t="shared" si="316"/>
        <v>74.648823832697815</v>
      </c>
      <c r="AA107" s="214">
        <f t="shared" si="316"/>
        <v>75.555149330949462</v>
      </c>
      <c r="AB107" s="214">
        <f t="shared" si="316"/>
        <v>76.443322258467859</v>
      </c>
      <c r="AC107" s="214">
        <f t="shared" si="316"/>
        <v>77.308188287363507</v>
      </c>
      <c r="AD107" s="214">
        <f t="shared" si="316"/>
        <v>78.144612272796437</v>
      </c>
      <c r="AE107" s="214">
        <f t="shared" si="316"/>
        <v>78.948789554122371</v>
      </c>
      <c r="AF107" s="214">
        <f t="shared" si="316"/>
        <v>79.717275415327336</v>
      </c>
      <c r="AG107" s="214">
        <f t="shared" si="316"/>
        <v>80.452869131442966</v>
      </c>
      <c r="AH107" s="214">
        <f t="shared" si="316"/>
        <v>81.170126180677428</v>
      </c>
      <c r="AI107" s="214">
        <f t="shared" si="316"/>
        <v>81.87066554654163</v>
      </c>
      <c r="AJ107" s="214">
        <f t="shared" si="316"/>
        <v>82.55994669834044</v>
      </c>
      <c r="AK107" s="214">
        <f t="shared" si="316"/>
        <v>83.221659504390033</v>
      </c>
      <c r="AL107" s="214">
        <f t="shared" si="316"/>
        <v>83.843313358853109</v>
      </c>
      <c r="AM107" s="214">
        <f t="shared" si="316"/>
        <v>84.416416926268241</v>
      </c>
      <c r="AN107" s="214">
        <f t="shared" si="316"/>
        <v>84.945976523857979</v>
      </c>
      <c r="AO107" s="214">
        <f t="shared" si="316"/>
        <v>85.433105607440069</v>
      </c>
      <c r="AP107" s="214">
        <f t="shared" si="316"/>
        <v>85.875740143064334</v>
      </c>
      <c r="AQ107" s="214">
        <f t="shared" si="316"/>
        <v>86.291682386728652</v>
      </c>
      <c r="AR107" s="214">
        <f t="shared" si="316"/>
        <v>86.700926777272841</v>
      </c>
      <c r="AS107" s="214">
        <f t="shared" si="316"/>
        <v>87.119557059955795</v>
      </c>
      <c r="AT107" s="214">
        <f t="shared" si="316"/>
        <v>87.44587936530715</v>
      </c>
      <c r="AU107" s="214">
        <f t="shared" si="316"/>
        <v>87.700247602328545</v>
      </c>
      <c r="AV107" s="214">
        <f t="shared" si="316"/>
        <v>87.898527643086723</v>
      </c>
      <c r="AW107" s="214">
        <f t="shared" si="316"/>
        <v>88.053086934857717</v>
      </c>
      <c r="AX107" s="214">
        <f t="shared" si="316"/>
        <v>88.173565902793214</v>
      </c>
      <c r="AY107" s="214">
        <f t="shared" si="316"/>
        <v>88.26747925829892</v>
      </c>
      <c r="AZ107" s="214">
        <f t="shared" si="316"/>
        <v>88.340684718915625</v>
      </c>
      <c r="BA107" s="214">
        <f t="shared" si="316"/>
        <v>88.39774837546635</v>
      </c>
      <c r="BB107" s="214">
        <f t="shared" si="316"/>
        <v>88.44222949574764</v>
      </c>
      <c r="BC107" s="214">
        <f t="shared" si="316"/>
        <v>88.476902529006907</v>
      </c>
      <c r="BD107" s="214">
        <f t="shared" si="316"/>
        <v>88.50393015843251</v>
      </c>
      <c r="BE107" s="214">
        <f t="shared" si="316"/>
        <v>88.524998195569765</v>
      </c>
      <c r="BF107" s="214">
        <f t="shared" si="316"/>
        <v>88.54142073051824</v>
      </c>
      <c r="BG107" s="214">
        <f t="shared" si="316"/>
        <v>88.554222096510586</v>
      </c>
      <c r="BH107" s="214">
        <f t="shared" si="316"/>
        <v>88.56420076130162</v>
      </c>
      <c r="BI107" s="214">
        <f t="shared" si="316"/>
        <v>88.571979130506236</v>
      </c>
    </row>
    <row r="108" spans="2:61">
      <c r="B108" s="6" t="s">
        <v>2534</v>
      </c>
      <c r="C108" s="214">
        <f>C106*$C$26</f>
        <v>17.637792196010246</v>
      </c>
      <c r="D108" s="214">
        <f t="shared" ref="D108:BI108" si="317">D106*$C$26</f>
        <v>18.122873306714144</v>
      </c>
      <c r="E108" s="214">
        <f t="shared" si="317"/>
        <v>18.50099403250783</v>
      </c>
      <c r="F108" s="214">
        <f t="shared" si="317"/>
        <v>18.850357645866964</v>
      </c>
      <c r="G108" s="214">
        <f t="shared" si="317"/>
        <v>19.183427281532609</v>
      </c>
      <c r="H108" s="214">
        <f t="shared" si="317"/>
        <v>19.513785604612742</v>
      </c>
      <c r="I108" s="214">
        <f t="shared" si="317"/>
        <v>19.847438679944304</v>
      </c>
      <c r="J108" s="214">
        <f t="shared" si="317"/>
        <v>20.180022711104215</v>
      </c>
      <c r="K108" s="214">
        <f t="shared" si="317"/>
        <v>20.513740198540219</v>
      </c>
      <c r="L108" s="214">
        <f t="shared" si="317"/>
        <v>20.881023078977233</v>
      </c>
      <c r="M108" s="214">
        <f t="shared" si="317"/>
        <v>21.257643945399355</v>
      </c>
      <c r="N108" s="214">
        <f t="shared" si="317"/>
        <v>21.631185226311207</v>
      </c>
      <c r="O108" s="214">
        <f t="shared" si="317"/>
        <v>21.995696618632881</v>
      </c>
      <c r="P108" s="214">
        <f t="shared" si="317"/>
        <v>22.347404083410076</v>
      </c>
      <c r="Q108" s="214">
        <f t="shared" si="317"/>
        <v>22.691632946490103</v>
      </c>
      <c r="R108" s="214">
        <f t="shared" si="317"/>
        <v>23.034896772117254</v>
      </c>
      <c r="S108" s="214">
        <f t="shared" si="317"/>
        <v>23.377712715441991</v>
      </c>
      <c r="T108" s="214">
        <f t="shared" si="317"/>
        <v>23.714049216616978</v>
      </c>
      <c r="U108" s="214">
        <f t="shared" si="317"/>
        <v>24.044503372492606</v>
      </c>
      <c r="V108" s="214">
        <f t="shared" si="317"/>
        <v>24.382308471641739</v>
      </c>
      <c r="W108" s="214">
        <f t="shared" si="317"/>
        <v>24.716088649720493</v>
      </c>
      <c r="X108" s="214">
        <f t="shared" si="317"/>
        <v>25.042499330597494</v>
      </c>
      <c r="Y108" s="214">
        <f t="shared" si="317"/>
        <v>25.360908298951497</v>
      </c>
      <c r="Z108" s="214">
        <f t="shared" si="317"/>
        <v>25.676621301074501</v>
      </c>
      <c r="AA108" s="214">
        <f t="shared" si="317"/>
        <v>25.98836601986968</v>
      </c>
      <c r="AB108" s="214">
        <f t="shared" si="317"/>
        <v>26.293866880283336</v>
      </c>
      <c r="AC108" s="214">
        <f t="shared" si="317"/>
        <v>26.591350971256926</v>
      </c>
      <c r="AD108" s="214">
        <f t="shared" si="317"/>
        <v>26.87905198003946</v>
      </c>
      <c r="AE108" s="214">
        <f t="shared" si="317"/>
        <v>27.155661234564498</v>
      </c>
      <c r="AF108" s="214">
        <f t="shared" si="317"/>
        <v>27.419993871306552</v>
      </c>
      <c r="AG108" s="214">
        <f t="shared" si="317"/>
        <v>27.673012744349773</v>
      </c>
      <c r="AH108" s="214">
        <f t="shared" si="317"/>
        <v>27.919724436284728</v>
      </c>
      <c r="AI108" s="214">
        <f t="shared" si="317"/>
        <v>28.160685821612159</v>
      </c>
      <c r="AJ108" s="214">
        <f t="shared" si="317"/>
        <v>28.397774769515369</v>
      </c>
      <c r="AK108" s="214">
        <f t="shared" si="317"/>
        <v>28.625381157113463</v>
      </c>
      <c r="AL108" s="214">
        <f t="shared" si="317"/>
        <v>28.839208646708951</v>
      </c>
      <c r="AM108" s="214">
        <f t="shared" si="317"/>
        <v>29.036336511707777</v>
      </c>
      <c r="AN108" s="214">
        <f t="shared" si="317"/>
        <v>29.218486752602868</v>
      </c>
      <c r="AO108" s="214">
        <f t="shared" si="317"/>
        <v>29.386042359800499</v>
      </c>
      <c r="AP108" s="214">
        <f t="shared" si="317"/>
        <v>29.538293376795398</v>
      </c>
      <c r="AQ108" s="214">
        <f t="shared" si="317"/>
        <v>29.681363165779935</v>
      </c>
      <c r="AR108" s="214">
        <f t="shared" si="317"/>
        <v>29.8221291242516</v>
      </c>
      <c r="AS108" s="214">
        <f t="shared" si="317"/>
        <v>29.966123505967548</v>
      </c>
      <c r="AT108" s="214">
        <f t="shared" si="317"/>
        <v>30.078367126515129</v>
      </c>
      <c r="AU108" s="214">
        <f t="shared" si="317"/>
        <v>30.165861028731968</v>
      </c>
      <c r="AV108" s="214">
        <f t="shared" si="317"/>
        <v>30.234062525509994</v>
      </c>
      <c r="AW108" s="214">
        <f t="shared" si="317"/>
        <v>30.287225592248468</v>
      </c>
      <c r="AX108" s="214">
        <f t="shared" si="317"/>
        <v>30.328666202771107</v>
      </c>
      <c r="AY108" s="214">
        <f t="shared" si="317"/>
        <v>30.360969158673502</v>
      </c>
      <c r="AZ108" s="214">
        <f t="shared" si="317"/>
        <v>30.386149312799422</v>
      </c>
      <c r="BA108" s="214">
        <f t="shared" si="317"/>
        <v>30.405777242940577</v>
      </c>
      <c r="BB108" s="214">
        <f t="shared" si="317"/>
        <v>30.421077214485607</v>
      </c>
      <c r="BC108" s="214">
        <f t="shared" si="317"/>
        <v>30.433003542304959</v>
      </c>
      <c r="BD108" s="214">
        <f t="shared" si="317"/>
        <v>30.44230011484014</v>
      </c>
      <c r="BE108" s="214">
        <f t="shared" si="317"/>
        <v>30.449546793131315</v>
      </c>
      <c r="BF108" s="214">
        <f t="shared" si="317"/>
        <v>30.455195578859286</v>
      </c>
      <c r="BG108" s="214">
        <f t="shared" si="317"/>
        <v>30.459598807334238</v>
      </c>
      <c r="BH108" s="214">
        <f t="shared" si="317"/>
        <v>30.463031123930467</v>
      </c>
      <c r="BI108" s="214">
        <f t="shared" si="317"/>
        <v>30.465706614717224</v>
      </c>
    </row>
    <row r="109" spans="2:61" ht="13.25" customHeight="1">
      <c r="B109" s="6" t="s">
        <v>3205</v>
      </c>
      <c r="C109" s="214"/>
      <c r="D109" s="536">
        <f>D104-(C107+C108)</f>
        <v>21.925886165033361</v>
      </c>
      <c r="E109" s="214">
        <f t="shared" ref="E109" si="318">D109*(1+D$43)</f>
        <v>22.199663145499297</v>
      </c>
      <c r="F109" s="214">
        <f t="shared" ref="F109" si="319">E109*(1+E$43)</f>
        <v>22.50412780240255</v>
      </c>
      <c r="G109" s="214">
        <f t="shared" ref="G109" si="320">F109*(1+F$43)</f>
        <v>22.858666860441478</v>
      </c>
      <c r="H109" s="214">
        <f t="shared" ref="H109" si="321">G109*(1+G$43)</f>
        <v>23.240314792725172</v>
      </c>
      <c r="I109" s="214">
        <f t="shared" ref="I109" si="322">H109*(1+H$43)</f>
        <v>23.603730627005664</v>
      </c>
      <c r="J109" s="214">
        <f t="shared" ref="J109" si="323">I109*(1+I$43)</f>
        <v>23.977004988643994</v>
      </c>
      <c r="K109" s="214">
        <f t="shared" ref="K109" si="324">J109*(1+J$43)</f>
        <v>24.514098216617214</v>
      </c>
      <c r="L109" s="214">
        <f t="shared" ref="L109" si="325">K109*(1+K$43)</f>
        <v>24.966849400183445</v>
      </c>
      <c r="M109" s="214">
        <f t="shared" ref="M109" si="326">L109*(1+L$43)</f>
        <v>25.367678049485761</v>
      </c>
      <c r="N109" s="214">
        <f t="shared" ref="N109" si="327">M109*(1+M$43)</f>
        <v>25.735276865780929</v>
      </c>
      <c r="O109" s="214">
        <f t="shared" ref="O109" si="328">N109*(1+N$43)</f>
        <v>26.07397779040474</v>
      </c>
      <c r="P109" s="214">
        <f t="shared" ref="P109" si="329">O109*(1+O$43)</f>
        <v>26.425220368280424</v>
      </c>
      <c r="Q109" s="214">
        <f t="shared" ref="Q109" si="330">P109*(1+P$43)</f>
        <v>26.800846568061257</v>
      </c>
      <c r="R109" s="214">
        <f t="shared" ref="R109" si="331">Q109*(1+Q$43)</f>
        <v>27.177998403892694</v>
      </c>
      <c r="S109" s="214">
        <f t="shared" ref="S109" si="332">R109*(1+R$43)</f>
        <v>27.524421829222788</v>
      </c>
      <c r="T109" s="214">
        <f t="shared" ref="T109" si="333">S109*(1+S$43)</f>
        <v>27.866676732529683</v>
      </c>
      <c r="U109" s="214">
        <f t="shared" ref="U109" si="334">T109*(1+T$43)</f>
        <v>28.268762369843369</v>
      </c>
      <c r="V109" s="214">
        <f t="shared" ref="V109" si="335">U109*(1+U$43)</f>
        <v>28.621950857522599</v>
      </c>
      <c r="W109" s="214">
        <f t="shared" ref="W109" si="336">V109*(1+V$43)</f>
        <v>28.953925955590819</v>
      </c>
      <c r="X109" s="214">
        <f t="shared" ref="X109" si="337">W109*(1+W$43)</f>
        <v>29.274586820805759</v>
      </c>
      <c r="Y109" s="214">
        <f t="shared" ref="Y109" si="338">X109*(1+X$43)</f>
        <v>29.612998907477721</v>
      </c>
      <c r="Z109" s="214">
        <f t="shared" ref="Z109" si="339">Y109*(1+Y$43)</f>
        <v>29.942053712692264</v>
      </c>
      <c r="AA109" s="214">
        <f t="shared" ref="AA109" si="340">Z109*(1+Z$43)</f>
        <v>30.255316129297839</v>
      </c>
      <c r="AB109" s="214">
        <f t="shared" ref="AB109" si="341">AA109*(1+AA$43)</f>
        <v>30.552790667047937</v>
      </c>
      <c r="AC109" s="214">
        <f t="shared" ref="AC109" si="342">AB109*(1+AB$43)</f>
        <v>30.83255086689066</v>
      </c>
      <c r="AD109" s="214">
        <f t="shared" ref="AD109" si="343">AC109*(1+AC$43)</f>
        <v>31.094938426685417</v>
      </c>
      <c r="AE109" s="214">
        <f t="shared" ref="AE109" si="344">AD109*(1+AD$43)</f>
        <v>31.339127513601614</v>
      </c>
      <c r="AF109" s="214">
        <f t="shared" ref="AF109" si="345">AE109*(1+AE$43)</f>
        <v>31.574574043440169</v>
      </c>
      <c r="AG109" s="214">
        <f t="shared" ref="AG109" si="346">AF109*(1+AF$43)</f>
        <v>31.822611539168328</v>
      </c>
      <c r="AH109" s="214">
        <f t="shared" ref="AH109" si="347">AG109*(1+AG$43)</f>
        <v>32.06646929086822</v>
      </c>
      <c r="AI109" s="214">
        <f t="shared" ref="AI109" si="348">AH109*(1+AH$43)</f>
        <v>32.313384318640061</v>
      </c>
      <c r="AJ109" s="214">
        <f t="shared" ref="AJ109" si="349">AI109*(1+AI$43)</f>
        <v>32.527898367299407</v>
      </c>
      <c r="AK109" s="214">
        <f t="shared" ref="AK109" si="350">AJ109*(1+AJ$43)</f>
        <v>32.71039616410529</v>
      </c>
      <c r="AL109" s="214">
        <f t="shared" ref="AL109" si="351">AK109*(1+AK$43)</f>
        <v>32.863024419038311</v>
      </c>
      <c r="AM109" s="214">
        <f t="shared" ref="AM109" si="352">AL109*(1+AL$43)</f>
        <v>33.005826775572217</v>
      </c>
      <c r="AN109" s="214">
        <f t="shared" ref="AN109" si="353">AM109*(1+AM$43)</f>
        <v>33.133994667401304</v>
      </c>
      <c r="AO109" s="214">
        <f t="shared" ref="AO109" si="354">AN109*(1+AN$43)</f>
        <v>33.242472969077234</v>
      </c>
      <c r="AP109" s="214">
        <f t="shared" ref="AP109" si="355">AO109*(1+AO$43)</f>
        <v>33.364729215879301</v>
      </c>
      <c r="AQ109" s="214">
        <f t="shared" ref="AQ109" si="356">AP109*(1+AP$43)</f>
        <v>33.511310960030777</v>
      </c>
      <c r="AR109" s="214">
        <f t="shared" ref="AR109" si="357">AQ109*(1+AQ$43)</f>
        <v>33.683076960468291</v>
      </c>
      <c r="AS109" s="214">
        <f t="shared" ref="AS109" si="358">AR109*(1+AR$43)</f>
        <v>33.683076960468291</v>
      </c>
      <c r="AT109" s="214">
        <f t="shared" ref="AT109" si="359">AS109*(1+AS$43)</f>
        <v>33.683076960468291</v>
      </c>
      <c r="AU109" s="214">
        <f t="shared" ref="AU109" si="360">AT109*(1+AT$43)</f>
        <v>33.683076960468291</v>
      </c>
      <c r="AV109" s="214">
        <f t="shared" ref="AV109" si="361">AU109*(1+AU$43)</f>
        <v>33.683076960468291</v>
      </c>
      <c r="AW109" s="214">
        <f t="shared" ref="AW109" si="362">AV109*(1+AV$43)</f>
        <v>33.683076960468291</v>
      </c>
      <c r="AX109" s="214">
        <f t="shared" ref="AX109" si="363">AW109*(1+AW$43)</f>
        <v>33.683076960468291</v>
      </c>
      <c r="AY109" s="214">
        <f t="shared" ref="AY109" si="364">AX109*(1+AX$43)</f>
        <v>33.683076960468291</v>
      </c>
      <c r="AZ109" s="214">
        <f t="shared" ref="AZ109" si="365">AY109*(1+AY$43)</f>
        <v>33.683076960468291</v>
      </c>
      <c r="BA109" s="214">
        <f t="shared" ref="BA109" si="366">AZ109*(1+AZ$43)</f>
        <v>33.683076960468291</v>
      </c>
      <c r="BB109" s="214">
        <f t="shared" ref="BB109" si="367">BA109*(1+BA$43)</f>
        <v>33.683076960468291</v>
      </c>
      <c r="BC109" s="214">
        <f t="shared" ref="BC109" si="368">BB109*(1+BB$43)</f>
        <v>33.683076960468291</v>
      </c>
      <c r="BD109" s="214">
        <f t="shared" ref="BD109" si="369">BC109*(1+BC$43)</f>
        <v>33.683076960468291</v>
      </c>
      <c r="BE109" s="214">
        <f t="shared" ref="BE109" si="370">BD109*(1+BD$43)</f>
        <v>33.683076960468291</v>
      </c>
      <c r="BF109" s="214">
        <f t="shared" ref="BF109" si="371">BE109*(1+BE$43)</f>
        <v>33.683076960468291</v>
      </c>
      <c r="BG109" s="214">
        <f t="shared" ref="BG109" si="372">BF109*(1+BF$43)</f>
        <v>33.683076960468291</v>
      </c>
      <c r="BH109" s="214">
        <f t="shared" ref="BH109" si="373">BG109*(1+BG$43)</f>
        <v>33.683076960468291</v>
      </c>
    </row>
    <row r="110" spans="2:61" s="151" customFormat="1">
      <c r="B110" s="343"/>
      <c r="C110" s="343"/>
      <c r="D110" s="532">
        <f t="shared" ref="D110:BI110" si="374">D106/D104</f>
        <v>0.42000000000000004</v>
      </c>
      <c r="E110" s="532">
        <f t="shared" si="374"/>
        <v>0.42</v>
      </c>
      <c r="F110" s="532">
        <f t="shared" si="374"/>
        <v>0.42</v>
      </c>
      <c r="G110" s="532">
        <f t="shared" si="374"/>
        <v>0.42</v>
      </c>
      <c r="H110" s="532">
        <f t="shared" si="374"/>
        <v>0.42</v>
      </c>
      <c r="I110" s="532">
        <f t="shared" si="374"/>
        <v>0.42</v>
      </c>
      <c r="J110" s="532">
        <f t="shared" si="374"/>
        <v>0.42</v>
      </c>
      <c r="K110" s="532">
        <f t="shared" si="374"/>
        <v>0.42</v>
      </c>
      <c r="L110" s="532">
        <f t="shared" si="374"/>
        <v>0.42</v>
      </c>
      <c r="M110" s="532">
        <f t="shared" si="374"/>
        <v>0.42000000000000004</v>
      </c>
      <c r="N110" s="532">
        <f t="shared" si="374"/>
        <v>0.42000000000000004</v>
      </c>
      <c r="O110" s="532">
        <f t="shared" si="374"/>
        <v>0.42</v>
      </c>
      <c r="P110" s="532">
        <f t="shared" si="374"/>
        <v>0.42</v>
      </c>
      <c r="Q110" s="532">
        <f t="shared" si="374"/>
        <v>0.42</v>
      </c>
      <c r="R110" s="532">
        <f t="shared" si="374"/>
        <v>0.42</v>
      </c>
      <c r="S110" s="532">
        <f t="shared" si="374"/>
        <v>0.42000000000000004</v>
      </c>
      <c r="T110" s="532">
        <f t="shared" si="374"/>
        <v>0.42</v>
      </c>
      <c r="U110" s="532">
        <f t="shared" si="374"/>
        <v>0.42</v>
      </c>
      <c r="V110" s="532">
        <f t="shared" si="374"/>
        <v>0.42</v>
      </c>
      <c r="W110" s="532">
        <f t="shared" si="374"/>
        <v>0.42</v>
      </c>
      <c r="X110" s="532">
        <f t="shared" si="374"/>
        <v>0.42</v>
      </c>
      <c r="Y110" s="532">
        <f t="shared" si="374"/>
        <v>0.42</v>
      </c>
      <c r="Z110" s="532">
        <f t="shared" si="374"/>
        <v>0.42</v>
      </c>
      <c r="AA110" s="532">
        <f t="shared" si="374"/>
        <v>0.42</v>
      </c>
      <c r="AB110" s="532">
        <f t="shared" si="374"/>
        <v>0.42</v>
      </c>
      <c r="AC110" s="532">
        <f t="shared" si="374"/>
        <v>0.42</v>
      </c>
      <c r="AD110" s="532">
        <f t="shared" si="374"/>
        <v>0.42</v>
      </c>
      <c r="AE110" s="532">
        <f t="shared" si="374"/>
        <v>0.42</v>
      </c>
      <c r="AF110" s="532">
        <f t="shared" si="374"/>
        <v>0.42</v>
      </c>
      <c r="AG110" s="532">
        <f t="shared" si="374"/>
        <v>0.42</v>
      </c>
      <c r="AH110" s="532">
        <f t="shared" si="374"/>
        <v>0.42</v>
      </c>
      <c r="AI110" s="532">
        <f t="shared" si="374"/>
        <v>0.42</v>
      </c>
      <c r="AJ110" s="532">
        <f t="shared" si="374"/>
        <v>0.42</v>
      </c>
      <c r="AK110" s="532">
        <f t="shared" si="374"/>
        <v>0.42</v>
      </c>
      <c r="AL110" s="532">
        <f t="shared" si="374"/>
        <v>0.42</v>
      </c>
      <c r="AM110" s="532">
        <f t="shared" si="374"/>
        <v>0.42</v>
      </c>
      <c r="AN110" s="532">
        <f t="shared" si="374"/>
        <v>0.42</v>
      </c>
      <c r="AO110" s="532">
        <f t="shared" si="374"/>
        <v>0.42</v>
      </c>
      <c r="AP110" s="532">
        <f t="shared" si="374"/>
        <v>0.42</v>
      </c>
      <c r="AQ110" s="532">
        <f t="shared" si="374"/>
        <v>0.42</v>
      </c>
      <c r="AR110" s="532">
        <f t="shared" si="374"/>
        <v>0.42</v>
      </c>
      <c r="AS110" s="532">
        <f t="shared" si="374"/>
        <v>0.42</v>
      </c>
      <c r="AT110" s="532">
        <f t="shared" si="374"/>
        <v>0.42</v>
      </c>
      <c r="AU110" s="532">
        <f t="shared" si="374"/>
        <v>0.42</v>
      </c>
      <c r="AV110" s="532">
        <f t="shared" si="374"/>
        <v>0.42</v>
      </c>
      <c r="AW110" s="532">
        <f t="shared" si="374"/>
        <v>0.42</v>
      </c>
      <c r="AX110" s="532">
        <f t="shared" si="374"/>
        <v>0.42</v>
      </c>
      <c r="AY110" s="532">
        <f t="shared" si="374"/>
        <v>0.42</v>
      </c>
      <c r="AZ110" s="532">
        <f t="shared" si="374"/>
        <v>0.42</v>
      </c>
      <c r="BA110" s="532">
        <f t="shared" si="374"/>
        <v>0.42000000000000004</v>
      </c>
      <c r="BB110" s="532">
        <f t="shared" si="374"/>
        <v>0.42000000000000004</v>
      </c>
      <c r="BC110" s="532">
        <f t="shared" si="374"/>
        <v>0.42000000000000004</v>
      </c>
      <c r="BD110" s="532">
        <f t="shared" si="374"/>
        <v>0.42</v>
      </c>
      <c r="BE110" s="532">
        <f t="shared" si="374"/>
        <v>0.42</v>
      </c>
      <c r="BF110" s="532">
        <f t="shared" si="374"/>
        <v>0.41999999999999993</v>
      </c>
      <c r="BG110" s="532">
        <f t="shared" si="374"/>
        <v>0.42</v>
      </c>
      <c r="BH110" s="532">
        <f t="shared" si="374"/>
        <v>0.42</v>
      </c>
      <c r="BI110" s="532">
        <f t="shared" si="374"/>
        <v>0.42</v>
      </c>
    </row>
    <row r="111" spans="2:61" s="20" customFormat="1" ht="26.4" customHeight="1">
      <c r="B111" s="33" t="s">
        <v>3201</v>
      </c>
      <c r="C111" s="566"/>
      <c r="D111" s="566">
        <f>D104/C104-1</f>
        <v>2.7502371346320054E-2</v>
      </c>
      <c r="E111" s="566">
        <f t="shared" ref="E111:BH111" si="375">E104/D104-1</f>
        <v>2.0864281253547334E-2</v>
      </c>
      <c r="F111" s="566">
        <f t="shared" si="375"/>
        <v>1.8883505002232459E-2</v>
      </c>
      <c r="G111" s="566">
        <f t="shared" si="375"/>
        <v>1.7669141452001602E-2</v>
      </c>
      <c r="H111" s="566">
        <f t="shared" si="375"/>
        <v>1.7221027203943029E-2</v>
      </c>
      <c r="I111" s="566">
        <f t="shared" si="375"/>
        <v>1.709832638791986E-2</v>
      </c>
      <c r="J111" s="566">
        <f t="shared" si="375"/>
        <v>1.6757025252633007E-2</v>
      </c>
      <c r="K111" s="566">
        <f t="shared" si="375"/>
        <v>1.6537022391573952E-2</v>
      </c>
      <c r="L111" s="566">
        <f t="shared" si="375"/>
        <v>1.7904237690558045E-2</v>
      </c>
      <c r="M111" s="566">
        <f t="shared" si="375"/>
        <v>1.8036514063398457E-2</v>
      </c>
      <c r="N111" s="566">
        <f t="shared" si="375"/>
        <v>1.7572092272845508E-2</v>
      </c>
      <c r="O111" s="566">
        <f t="shared" si="375"/>
        <v>1.6851198328157402E-2</v>
      </c>
      <c r="P111" s="566">
        <f t="shared" si="375"/>
        <v>1.5989830687119788E-2</v>
      </c>
      <c r="Q111" s="566">
        <f t="shared" si="375"/>
        <v>1.5403527935290207E-2</v>
      </c>
      <c r="R111" s="566">
        <f t="shared" si="375"/>
        <v>1.5127330255897187E-2</v>
      </c>
      <c r="S111" s="566">
        <f t="shared" si="375"/>
        <v>1.4882460586482793E-2</v>
      </c>
      <c r="T111" s="566">
        <f t="shared" si="375"/>
        <v>1.43870576762124E-2</v>
      </c>
      <c r="U111" s="566">
        <f t="shared" si="375"/>
        <v>1.3934952772387321E-2</v>
      </c>
      <c r="V111" s="566">
        <f t="shared" si="375"/>
        <v>1.4049161004322741E-2</v>
      </c>
      <c r="W111" s="566">
        <f t="shared" si="375"/>
        <v>1.3689441197373142E-2</v>
      </c>
      <c r="X111" s="566">
        <f t="shared" si="375"/>
        <v>1.3206405168023627E-2</v>
      </c>
      <c r="Y111" s="566">
        <f t="shared" si="375"/>
        <v>1.2714744009794776E-2</v>
      </c>
      <c r="Z111" s="566">
        <f t="shared" si="375"/>
        <v>1.2448805003409724E-2</v>
      </c>
      <c r="AA111" s="566">
        <f t="shared" si="375"/>
        <v>1.2141189260836738E-2</v>
      </c>
      <c r="AB111" s="566">
        <f t="shared" si="375"/>
        <v>1.1755293125396138E-2</v>
      </c>
      <c r="AC111" s="566">
        <f t="shared" si="375"/>
        <v>1.1313820531914986E-2</v>
      </c>
      <c r="AD111" s="566">
        <f t="shared" si="375"/>
        <v>1.081934532373019E-2</v>
      </c>
      <c r="AE111" s="566">
        <f t="shared" si="375"/>
        <v>1.0290885806926831E-2</v>
      </c>
      <c r="AF111" s="566">
        <f t="shared" si="375"/>
        <v>9.7339790203896381E-3</v>
      </c>
      <c r="AG111" s="566">
        <f t="shared" si="375"/>
        <v>9.2275320786263659E-3</v>
      </c>
      <c r="AH111" s="566">
        <f t="shared" si="375"/>
        <v>8.9152451239820074E-3</v>
      </c>
      <c r="AI111" s="566">
        <f t="shared" si="375"/>
        <v>8.6305072916219583E-3</v>
      </c>
      <c r="AJ111" s="566">
        <f t="shared" si="375"/>
        <v>8.4191467993743885E-3</v>
      </c>
      <c r="AK111" s="566">
        <f t="shared" si="375"/>
        <v>8.0149374183509092E-3</v>
      </c>
      <c r="AL111" s="566">
        <f t="shared" si="375"/>
        <v>7.4698565032855768E-3</v>
      </c>
      <c r="AM111" s="566">
        <f t="shared" si="375"/>
        <v>6.8354117276141491E-3</v>
      </c>
      <c r="AN111" s="566">
        <f t="shared" si="375"/>
        <v>6.2731825973172395E-3</v>
      </c>
      <c r="AO111" s="566">
        <f t="shared" si="375"/>
        <v>5.7345751207564799E-3</v>
      </c>
      <c r="AP111" s="566">
        <f t="shared" si="375"/>
        <v>5.1810657294626417E-3</v>
      </c>
      <c r="AQ111" s="566">
        <f t="shared" si="375"/>
        <v>4.843536055367581E-3</v>
      </c>
      <c r="AR111" s="566">
        <f t="shared" si="375"/>
        <v>4.7425705377963645E-3</v>
      </c>
      <c r="AS111" s="566">
        <f t="shared" si="375"/>
        <v>4.8284406896639265E-3</v>
      </c>
      <c r="AT111" s="566">
        <f t="shared" si="375"/>
        <v>3.7456837059763881E-3</v>
      </c>
      <c r="AU111" s="566">
        <f t="shared" si="375"/>
        <v>2.9088647614687879E-3</v>
      </c>
      <c r="AV111" s="566">
        <f t="shared" si="375"/>
        <v>2.2608834772879227E-3</v>
      </c>
      <c r="AW111" s="566">
        <f t="shared" si="375"/>
        <v>1.7583831710878961E-3</v>
      </c>
      <c r="AX111" s="566">
        <f t="shared" si="375"/>
        <v>1.3682537674644113E-3</v>
      </c>
      <c r="AY111" s="566">
        <f t="shared" si="375"/>
        <v>1.065096489454076E-3</v>
      </c>
      <c r="AZ111" s="566">
        <f t="shared" si="375"/>
        <v>8.2935936578043545E-4</v>
      </c>
      <c r="BA111" s="566">
        <f t="shared" si="375"/>
        <v>6.45949901025622E-4</v>
      </c>
      <c r="BB111" s="566">
        <f t="shared" si="375"/>
        <v>5.0319291043887659E-4</v>
      </c>
      <c r="BC111" s="566">
        <f t="shared" si="375"/>
        <v>3.9204160113270881E-4</v>
      </c>
      <c r="BD111" s="566">
        <f t="shared" si="375"/>
        <v>3.0547666852087652E-4</v>
      </c>
      <c r="BE111" s="566">
        <f t="shared" si="375"/>
        <v>2.3804634550739223E-4</v>
      </c>
      <c r="BF111" s="566">
        <f t="shared" si="375"/>
        <v>1.8551296563940056E-4</v>
      </c>
      <c r="BG111" s="566">
        <f t="shared" si="375"/>
        <v>1.4458053515209457E-4</v>
      </c>
      <c r="BH111" s="566">
        <f t="shared" si="375"/>
        <v>1.1268423520394144E-4</v>
      </c>
    </row>
    <row r="112" spans="2:61" s="4" customFormat="1" ht="26.4" customHeight="1">
      <c r="B112" s="6" t="s">
        <v>3239</v>
      </c>
      <c r="C112" s="220"/>
      <c r="D112" s="566">
        <f>INDEX('Wound growth'!$C$103:$BD$103, MATCH(D103, 'Wound growth'!$C$102:$BD$102,0))</f>
        <v>2.7502371346320054E-2</v>
      </c>
      <c r="E112" s="566">
        <f>INDEX('Wound growth'!$C$103:$BD$103, MATCH(E103, 'Wound growth'!$C$102:$BD$102,0))</f>
        <v>2.4666830975591747E-2</v>
      </c>
      <c r="F112" s="566">
        <f>INDEX('Wound growth'!$C$103:$BD$103, MATCH(F103, 'Wound growth'!$C$102:$BD$102,0))</f>
        <v>2.2759686842755533E-2</v>
      </c>
      <c r="G112" s="566">
        <f>INDEX('Wound growth'!$C$103:$BD$103, MATCH(G103, 'Wound growth'!$C$102:$BD$102,0))</f>
        <v>2.1065653542864826E-2</v>
      </c>
      <c r="H112" s="566">
        <f>INDEX('Wound growth'!$C$103:$BD$103, MATCH(H103, 'Wound growth'!$C$102:$BD$102,0))</f>
        <v>1.9823257132959737E-2</v>
      </c>
      <c r="I112" s="566">
        <f>INDEX('Wound growth'!$C$103:$BD$103, MATCH(I103, 'Wound growth'!$C$102:$BD$102,0))</f>
        <v>2.0430553140793339E-2</v>
      </c>
      <c r="J112" s="566">
        <f>INDEX('Wound growth'!$C$103:$BD$103, MATCH(J103, 'Wound growth'!$C$102:$BD$102,0))</f>
        <v>1.996742010554442E-2</v>
      </c>
      <c r="K112" s="566">
        <f>INDEX('Wound growth'!$C$103:$BD$103, MATCH(K103, 'Wound growth'!$C$102:$BD$102,0))</f>
        <v>1.9044895007276574E-2</v>
      </c>
      <c r="L112" s="566">
        <f>INDEX('Wound growth'!$C$103:$BD$103, MATCH(L103, 'Wound growth'!$C$102:$BD$102,0))</f>
        <v>1.7974380816321966E-2</v>
      </c>
      <c r="M112" s="566">
        <f>INDEX('Wound growth'!$C$103:$BD$103, MATCH(M103, 'Wound growth'!$C$102:$BD$102,0))</f>
        <v>1.6846771123799176E-2</v>
      </c>
      <c r="N112" s="566">
        <f>INDEX('Wound growth'!$C$103:$BD$103, MATCH(N103, 'Wound growth'!$C$102:$BD$102,0))</f>
        <v>1.6058817432920369E-2</v>
      </c>
      <c r="O112" s="566">
        <f>INDEX('Wound growth'!$C$103:$BD$103, MATCH(O103, 'Wound growth'!$C$102:$BD$102,0))</f>
        <v>1.5629466656073454E-2</v>
      </c>
      <c r="P112" s="566">
        <f>INDEX('Wound growth'!$C$103:$BD$103, MATCH(P103, 'Wound growth'!$C$102:$BD$102,0))</f>
        <v>1.5267451932659881E-2</v>
      </c>
      <c r="Q112" s="566">
        <f>INDEX('Wound growth'!$C$103:$BD$103, MATCH(Q103, 'Wound growth'!$C$102:$BD$102,0))</f>
        <v>1.4682023441217273E-2</v>
      </c>
      <c r="R112" s="566">
        <f>INDEX('Wound growth'!$C$103:$BD$103, MATCH(R103, 'Wound growth'!$C$102:$BD$102,0))</f>
        <v>1.416111550405863E-2</v>
      </c>
      <c r="S112" s="566">
        <f>INDEX('Wound growth'!$C$103:$BD$103, MATCH(S103, 'Wound growth'!$C$102:$BD$102,0))</f>
        <v>1.4223077880675117E-2</v>
      </c>
      <c r="T112" s="566">
        <f>INDEX('Wound growth'!$C$103:$BD$103, MATCH(T103, 'Wound growth'!$C$102:$BD$102,0))</f>
        <v>1.3822903245196638E-2</v>
      </c>
      <c r="U112" s="566">
        <f>INDEX('Wound growth'!$C$103:$BD$103, MATCH(U103, 'Wound growth'!$C$102:$BD$102,0))</f>
        <v>1.3308808741161027E-2</v>
      </c>
      <c r="V112" s="566">
        <f>INDEX('Wound growth'!$C$103:$BD$103, MATCH(V103, 'Wound growth'!$C$102:$BD$102,0))</f>
        <v>1.2793353467503099E-2</v>
      </c>
      <c r="W112" s="566">
        <f>INDEX('Wound growth'!$C$103:$BD$103, MATCH(W103, 'Wound growth'!$C$102:$BD$102,0))</f>
        <v>1.2509238060021133E-2</v>
      </c>
      <c r="X112" s="566">
        <f>INDEX('Wound growth'!$C$103:$BD$103, MATCH(X103, 'Wound growth'!$C$102:$BD$102,0))</f>
        <v>1.2187653390676845E-2</v>
      </c>
      <c r="Y112" s="566">
        <f>INDEX('Wound growth'!$C$103:$BD$103, MATCH(Y103, 'Wound growth'!$C$102:$BD$102,0))</f>
        <v>1.179101645275904E-2</v>
      </c>
      <c r="Z112" s="566">
        <f>INDEX('Wound growth'!$C$103:$BD$103, MATCH(Z103, 'Wound growth'!$C$102:$BD$102,0))</f>
        <v>1.1341290041634533E-2</v>
      </c>
      <c r="AA112" s="566">
        <f>INDEX('Wound growth'!$C$103:$BD$103, MATCH(AA103, 'Wound growth'!$C$102:$BD$102,0))</f>
        <v>1.0840472522533062E-2</v>
      </c>
      <c r="AB112" s="566">
        <f>INDEX('Wound growth'!$C$103:$BD$103, MATCH(AB103, 'Wound growth'!$C$102:$BD$102,0))</f>
        <v>1.0307140625104072E-2</v>
      </c>
      <c r="AC112" s="566">
        <f>INDEX('Wound growth'!$C$103:$BD$103, MATCH(AC103, 'Wound growth'!$C$102:$BD$102,0))</f>
        <v>9.7464901227746203E-3</v>
      </c>
      <c r="AD112" s="566">
        <f>INDEX('Wound growth'!$C$103:$BD$103, MATCH(AD103, 'Wound growth'!$C$102:$BD$102,0))</f>
        <v>9.2371691033523717E-3</v>
      </c>
      <c r="AE112" s="566">
        <f>INDEX('Wound growth'!$C$103:$BD$103, MATCH(AE103, 'Wound growth'!$C$102:$BD$102,0))</f>
        <v>8.9226783114038088E-3</v>
      </c>
      <c r="AF112" s="566">
        <f>INDEX('Wound growth'!$C$103:$BD$103, MATCH(AF103, 'Wound growth'!$C$102:$BD$102,0))</f>
        <v>8.6362430911124388E-3</v>
      </c>
      <c r="AG112" s="566">
        <f>INDEX('Wound growth'!$C$103:$BD$103, MATCH(AG103, 'Wound growth'!$C$102:$BD$102,0))</f>
        <v>8.4235754835768617E-3</v>
      </c>
      <c r="AH112" s="566">
        <f>INDEX('Wound growth'!$C$103:$BD$103, MATCH(AH103, 'Wound growth'!$C$102:$BD$102,0))</f>
        <v>8.0183546964063268E-3</v>
      </c>
      <c r="AI112" s="566">
        <f>INDEX('Wound growth'!$C$103:$BD$103, MATCH(AI103, 'Wound growth'!$C$102:$BD$102,0))</f>
        <v>7.4724927789999729E-3</v>
      </c>
      <c r="AJ112" s="566">
        <f>INDEX('Wound growth'!$C$103:$BD$103, MATCH(AJ103, 'Wound growth'!$C$102:$BD$102,0))</f>
        <v>6.8374457860040927E-3</v>
      </c>
      <c r="AK112" s="566">
        <f>INDEX('Wound growth'!$C$103:$BD$103, MATCH(AK103, 'Wound growth'!$C$102:$BD$102,0))</f>
        <v>6.2747534837204189E-3</v>
      </c>
      <c r="AL112" s="566">
        <f>INDEX('Wound growth'!$C$103:$BD$103, MATCH(AL103, 'Wound growth'!$C$102:$BD$102,0))</f>
        <v>5.7357891009652828E-3</v>
      </c>
      <c r="AM112" s="566">
        <f>INDEX('Wound growth'!$C$103:$BD$103, MATCH(AM103, 'Wound growth'!$C$102:$BD$102,0))</f>
        <v>5.1820043282029271E-3</v>
      </c>
      <c r="AN112" s="566">
        <f>INDEX('Wound growth'!$C$103:$BD$103, MATCH(AN103, 'Wound growth'!$C$102:$BD$102,0))</f>
        <v>4.8442628326819115E-3</v>
      </c>
      <c r="AO112" s="566">
        <f>INDEX('Wound growth'!$C$103:$BD$103, MATCH(AO103, 'Wound growth'!$C$102:$BD$102,0))</f>
        <v>4.7431340769497066E-3</v>
      </c>
      <c r="AP112" s="566">
        <f>INDEX('Wound growth'!$C$103:$BD$103, MATCH(AP103, 'Wound growth'!$C$102:$BD$102,0))</f>
        <v>4.8288780613892079E-3</v>
      </c>
      <c r="AQ112" s="566">
        <f>INDEX('Wound growth'!$C$103:$BD$103, MATCH(AQ103, 'Wound growth'!$C$102:$BD$102,0))</f>
        <v>3.7460213684492594E-3</v>
      </c>
      <c r="AR112" s="566">
        <f>INDEX('Wound growth'!$C$103:$BD$103, MATCH(AR103, 'Wound growth'!$C$102:$BD$102,0))</f>
        <v>2.9091260085147841E-3</v>
      </c>
      <c r="AS112" s="566">
        <f>INDEX('Wound growth'!$C$103:$BD$103, MATCH(AS103, 'Wound growth'!$C$102:$BD$102,0))</f>
        <v>2.261085939722518E-3</v>
      </c>
      <c r="AT112" s="566">
        <f>INDEX('Wound growth'!$C$103:$BD$103, MATCH(AT103, 'Wound growth'!$C$102:$BD$102,0))</f>
        <v>1.7585402793136584E-3</v>
      </c>
      <c r="AU112" s="566">
        <f>INDEX('Wound growth'!$C$103:$BD$103, MATCH(AU103, 'Wound growth'!$C$102:$BD$102,0))</f>
        <v>1.3683758037568161E-3</v>
      </c>
      <c r="AV112" s="566">
        <f>INDEX('Wound growth'!$C$103:$BD$103, MATCH(AV103, 'Wound growth'!$C$102:$BD$102,0))</f>
        <v>1.0651913569492688E-3</v>
      </c>
      <c r="AW112" s="566">
        <f>INDEX('Wound growth'!$C$103:$BD$103, MATCH(AW103, 'Wound growth'!$C$102:$BD$102,0))</f>
        <v>8.294331577112235E-4</v>
      </c>
      <c r="AX112" s="566">
        <f>INDEX('Wound growth'!$C$103:$BD$103, MATCH(AX103, 'Wound growth'!$C$102:$BD$102,0))</f>
        <v>6.4600732653907755E-4</v>
      </c>
      <c r="AY112" s="566">
        <f>INDEX('Wound growth'!$C$103:$BD$103, MATCH(AY103, 'Wound growth'!$C$102:$BD$102,0))</f>
        <v>5.0323761585047144E-4</v>
      </c>
      <c r="AZ112" s="566" t="e">
        <f>INDEX('Wound growth'!$C$103:$BD$103, MATCH(AZ103, 'Wound growth'!$C$102:$BD$102,0))</f>
        <v>#N/A</v>
      </c>
      <c r="BA112" s="566" t="e">
        <f>INDEX('Wound growth'!$C$103:$BD$103, MATCH(BA103, 'Wound growth'!$C$102:$BD$102,0))</f>
        <v>#N/A</v>
      </c>
      <c r="BB112" s="566" t="e">
        <f>INDEX('Wound growth'!$C$103:$BD$103, MATCH(BB103, 'Wound growth'!$C$102:$BD$102,0))</f>
        <v>#N/A</v>
      </c>
      <c r="BC112" s="566" t="e">
        <f>INDEX('Wound growth'!$C$103:$BD$103, MATCH(BC103, 'Wound growth'!$C$102:$BD$102,0))</f>
        <v>#N/A</v>
      </c>
      <c r="BD112" s="566" t="e">
        <f>INDEX('Wound growth'!$C$103:$BD$103, MATCH(BD103, 'Wound growth'!$C$102:$BD$102,0))</f>
        <v>#N/A</v>
      </c>
      <c r="BE112" s="566" t="e">
        <f>INDEX('Wound growth'!$C$103:$BD$103, MATCH(BE103, 'Wound growth'!$C$102:$BD$102,0))</f>
        <v>#N/A</v>
      </c>
      <c r="BF112" s="566" t="e">
        <f>INDEX('Wound growth'!$C$103:$BD$103, MATCH(BF103, 'Wound growth'!$C$102:$BD$102,0))</f>
        <v>#N/A</v>
      </c>
      <c r="BG112" s="566" t="e">
        <f>INDEX('Wound growth'!$C$103:$BD$103, MATCH(BG103, 'Wound growth'!$C$102:$BD$102,0))</f>
        <v>#N/A</v>
      </c>
      <c r="BH112" s="566" t="e">
        <f>INDEX('Wound growth'!$C$103:$BD$103, MATCH(BH103, 'Wound growth'!$C$102:$BD$102,0))</f>
        <v>#N/A</v>
      </c>
    </row>
    <row r="113" spans="1:61" s="4" customFormat="1" ht="26.4" customHeight="1">
      <c r="B113" s="6" t="s">
        <v>3240</v>
      </c>
      <c r="C113" s="220"/>
      <c r="D113" s="566">
        <f>D111-D112</f>
        <v>0</v>
      </c>
      <c r="E113" s="566">
        <f t="shared" ref="E113" si="376">E111-E112</f>
        <v>-3.8025497220444127E-3</v>
      </c>
      <c r="F113" s="566">
        <f t="shared" ref="F113" si="377">F111-F112</f>
        <v>-3.8761818405230741E-3</v>
      </c>
      <c r="G113" s="566">
        <f t="shared" ref="G113" si="378">G111-G112</f>
        <v>-3.396512090863224E-3</v>
      </c>
      <c r="H113" s="566">
        <f t="shared" ref="H113" si="379">H111-H112</f>
        <v>-2.6022299290167084E-3</v>
      </c>
      <c r="I113" s="566">
        <f t="shared" ref="I113" si="380">I111-I112</f>
        <v>-3.3322267528734795E-3</v>
      </c>
      <c r="J113" s="566">
        <f t="shared" ref="J113" si="381">J111-J112</f>
        <v>-3.2103948529114135E-3</v>
      </c>
      <c r="K113" s="566">
        <f t="shared" ref="K113" si="382">K111-K112</f>
        <v>-2.5078726157026221E-3</v>
      </c>
      <c r="L113" s="566">
        <f t="shared" ref="L113" si="383">L111-L112</f>
        <v>-7.0143125763921788E-5</v>
      </c>
      <c r="M113" s="566">
        <f t="shared" ref="M113" si="384">M111-M112</f>
        <v>1.1897429395992809E-3</v>
      </c>
      <c r="N113" s="566">
        <f t="shared" ref="N113" si="385">N111-N112</f>
        <v>1.5132748399251383E-3</v>
      </c>
      <c r="O113" s="566">
        <f t="shared" ref="O113" si="386">O111-O112</f>
        <v>1.2217316720839477E-3</v>
      </c>
      <c r="P113" s="566">
        <f t="shared" ref="P113" si="387">P111-P112</f>
        <v>7.2237875445990696E-4</v>
      </c>
      <c r="Q113" s="566">
        <f t="shared" ref="Q113" si="388">Q111-Q112</f>
        <v>7.2150449407293316E-4</v>
      </c>
      <c r="R113" s="566">
        <f t="shared" ref="R113" si="389">R111-R112</f>
        <v>9.6621475183855665E-4</v>
      </c>
      <c r="S113" s="566">
        <f t="shared" ref="S113" si="390">S111-S112</f>
        <v>6.5938270580767622E-4</v>
      </c>
      <c r="T113" s="566">
        <f t="shared" ref="T113" si="391">T111-T112</f>
        <v>5.6415443101576201E-4</v>
      </c>
      <c r="U113" s="566">
        <f t="shared" ref="U113" si="392">U111-U112</f>
        <v>6.2614403122629447E-4</v>
      </c>
      <c r="V113" s="566">
        <f t="shared" ref="V113" si="393">V111-V112</f>
        <v>1.255807536819642E-3</v>
      </c>
      <c r="W113" s="566">
        <f t="shared" ref="W113" si="394">W111-W112</f>
        <v>1.1802031373520094E-3</v>
      </c>
      <c r="X113" s="566">
        <f t="shared" ref="X113" si="395">X111-X112</f>
        <v>1.0187517773467825E-3</v>
      </c>
      <c r="Y113" s="566">
        <f t="shared" ref="Y113" si="396">Y111-Y112</f>
        <v>9.2372755703573617E-4</v>
      </c>
      <c r="Z113" s="566">
        <f t="shared" ref="Z113" si="397">Z111-Z112</f>
        <v>1.1075149617751912E-3</v>
      </c>
      <c r="AA113" s="566">
        <f t="shared" ref="AA113" si="398">AA111-AA112</f>
        <v>1.3007167383036755E-3</v>
      </c>
      <c r="AB113" s="566">
        <f t="shared" ref="AB113" si="399">AB111-AB112</f>
        <v>1.4481525002920659E-3</v>
      </c>
      <c r="AC113" s="566">
        <f t="shared" ref="AC113" si="400">AC111-AC112</f>
        <v>1.5673304091403661E-3</v>
      </c>
      <c r="AD113" s="566">
        <f t="shared" ref="AD113" si="401">AD111-AD112</f>
        <v>1.5821762203778178E-3</v>
      </c>
      <c r="AE113" s="566">
        <f t="shared" ref="AE113" si="402">AE111-AE112</f>
        <v>1.3682074955230217E-3</v>
      </c>
      <c r="AF113" s="566">
        <f t="shared" ref="AF113" si="403">AF111-AF112</f>
        <v>1.0977359292771993E-3</v>
      </c>
      <c r="AG113" s="566">
        <f t="shared" ref="AG113" si="404">AG111-AG112</f>
        <v>8.0395659504950423E-4</v>
      </c>
      <c r="AH113" s="566">
        <f t="shared" ref="AH113" si="405">AH111-AH112</f>
        <v>8.968904275756806E-4</v>
      </c>
      <c r="AI113" s="566">
        <f t="shared" ref="AI113" si="406">AI111-AI112</f>
        <v>1.1580145126219854E-3</v>
      </c>
      <c r="AJ113" s="566">
        <f t="shared" ref="AJ113" si="407">AJ111-AJ112</f>
        <v>1.5817010133702958E-3</v>
      </c>
      <c r="AK113" s="566">
        <f t="shared" ref="AK113" si="408">AK111-AK112</f>
        <v>1.7401839346304904E-3</v>
      </c>
      <c r="AL113" s="566">
        <f t="shared" ref="AL113" si="409">AL111-AL112</f>
        <v>1.734067402320294E-3</v>
      </c>
      <c r="AM113" s="566">
        <f t="shared" ref="AM113" si="410">AM111-AM112</f>
        <v>1.6534073994112219E-3</v>
      </c>
      <c r="AN113" s="566">
        <f t="shared" ref="AN113" si="411">AN111-AN112</f>
        <v>1.428919764635328E-3</v>
      </c>
      <c r="AO113" s="566">
        <f t="shared" ref="AO113" si="412">AO111-AO112</f>
        <v>9.9144104380677334E-4</v>
      </c>
      <c r="AP113" s="566">
        <f t="shared" ref="AP113" si="413">AP111-AP112</f>
        <v>3.5218766807343371E-4</v>
      </c>
      <c r="AQ113" s="566">
        <f t="shared" ref="AQ113" si="414">AQ111-AQ112</f>
        <v>1.0975146869183217E-3</v>
      </c>
      <c r="AR113" s="566">
        <f t="shared" ref="AR113" si="415">AR111-AR112</f>
        <v>1.8334445292815804E-3</v>
      </c>
      <c r="AS113" s="566">
        <f t="shared" ref="AS113" si="416">AS111-AS112</f>
        <v>2.5673547499414084E-3</v>
      </c>
      <c r="AT113" s="566">
        <f t="shared" ref="AT113" si="417">AT111-AT112</f>
        <v>1.9871434266627297E-3</v>
      </c>
      <c r="AU113" s="566">
        <f t="shared" ref="AU113" si="418">AU111-AU112</f>
        <v>1.5404889577119718E-3</v>
      </c>
      <c r="AV113" s="566">
        <f t="shared" ref="AV113" si="419">AV111-AV112</f>
        <v>1.1956921203386539E-3</v>
      </c>
      <c r="AW113" s="566">
        <f t="shared" ref="AW113" si="420">AW111-AW112</f>
        <v>9.289500133766726E-4</v>
      </c>
      <c r="AX113" s="566">
        <f t="shared" ref="AX113" si="421">AX111-AX112</f>
        <v>7.2224644092533374E-4</v>
      </c>
      <c r="AY113" s="566">
        <f t="shared" ref="AY113" si="422">AY111-AY112</f>
        <v>5.6185887360360454E-4</v>
      </c>
      <c r="AZ113" s="566" t="e">
        <f t="shared" ref="AZ113" si="423">AZ111-AZ112</f>
        <v>#N/A</v>
      </c>
      <c r="BA113" s="566" t="e">
        <f t="shared" ref="BA113" si="424">BA111-BA112</f>
        <v>#N/A</v>
      </c>
      <c r="BB113" s="566" t="e">
        <f t="shared" ref="BB113" si="425">BB111-BB112</f>
        <v>#N/A</v>
      </c>
      <c r="BC113" s="566" t="e">
        <f t="shared" ref="BC113" si="426">BC111-BC112</f>
        <v>#N/A</v>
      </c>
      <c r="BD113" s="566" t="e">
        <f t="shared" ref="BD113" si="427">BD111-BD112</f>
        <v>#N/A</v>
      </c>
      <c r="BE113" s="566" t="e">
        <f t="shared" ref="BE113" si="428">BE111-BE112</f>
        <v>#N/A</v>
      </c>
      <c r="BF113" s="566" t="e">
        <f t="shared" ref="BF113" si="429">BF111-BF112</f>
        <v>#N/A</v>
      </c>
      <c r="BG113" s="566" t="e">
        <f t="shared" ref="BG113" si="430">BG111-BG112</f>
        <v>#N/A</v>
      </c>
      <c r="BH113" s="566" t="e">
        <f t="shared" ref="BH113" si="431">BH111-BH112</f>
        <v>#N/A</v>
      </c>
    </row>
    <row r="114" spans="1:61" s="4" customFormat="1" ht="26.4" customHeight="1">
      <c r="B114" s="52"/>
      <c r="C114" s="529"/>
      <c r="D114" s="567"/>
      <c r="E114" s="567"/>
      <c r="F114" s="567"/>
      <c r="G114" s="567"/>
      <c r="H114" s="567"/>
      <c r="I114" s="567"/>
      <c r="J114" s="567"/>
      <c r="K114" s="567"/>
      <c r="L114" s="567"/>
      <c r="M114" s="567"/>
      <c r="N114" s="567"/>
      <c r="O114" s="567"/>
      <c r="P114" s="567"/>
      <c r="Q114" s="567"/>
      <c r="R114" s="567"/>
      <c r="S114" s="567"/>
      <c r="T114" s="567"/>
      <c r="U114" s="567"/>
      <c r="V114" s="567"/>
      <c r="W114" s="567"/>
      <c r="X114" s="567"/>
      <c r="Y114" s="567"/>
      <c r="Z114" s="567"/>
      <c r="AA114" s="567"/>
      <c r="AB114" s="567"/>
      <c r="AC114" s="567"/>
      <c r="AD114" s="567"/>
      <c r="AE114" s="567"/>
      <c r="AF114" s="567"/>
      <c r="AG114" s="567"/>
      <c r="AH114" s="567"/>
      <c r="AI114" s="567"/>
      <c r="AJ114" s="567"/>
      <c r="AK114" s="567"/>
      <c r="AL114" s="567"/>
      <c r="AM114" s="567"/>
      <c r="AN114" s="567"/>
      <c r="AO114" s="567"/>
      <c r="AP114" s="567"/>
      <c r="AQ114" s="567"/>
      <c r="AR114" s="567"/>
      <c r="AS114" s="567"/>
      <c r="AT114" s="567"/>
      <c r="AU114" s="567"/>
      <c r="AV114" s="567"/>
      <c r="AW114" s="567"/>
      <c r="AX114" s="567"/>
      <c r="AY114" s="567"/>
      <c r="AZ114" s="567"/>
      <c r="BA114" s="567"/>
      <c r="BB114" s="567"/>
      <c r="BC114" s="567"/>
      <c r="BD114" s="567"/>
      <c r="BE114" s="567"/>
      <c r="BF114" s="567"/>
      <c r="BG114" s="567"/>
      <c r="BH114" s="567"/>
    </row>
    <row r="115" spans="1:61" s="9" customFormat="1" ht="26.4" customHeight="1">
      <c r="B115" s="5" t="s">
        <v>3243</v>
      </c>
      <c r="C115" s="225"/>
      <c r="D115" s="524">
        <f>D99-D113</f>
        <v>2.7502371346320054E-2</v>
      </c>
      <c r="E115" s="524">
        <f t="shared" ref="E115:BH115" si="432">E99-E113</f>
        <v>2.4666830975591747E-2</v>
      </c>
      <c r="F115" s="524">
        <f t="shared" si="432"/>
        <v>-8.3746798569517278E-2</v>
      </c>
      <c r="G115" s="524">
        <f t="shared" si="432"/>
        <v>-5.7638116933523942E-2</v>
      </c>
      <c r="H115" s="524">
        <f t="shared" si="432"/>
        <v>-3.6681095426318699E-2</v>
      </c>
      <c r="I115" s="524">
        <f t="shared" si="432"/>
        <v>-1.9185964654259147E-2</v>
      </c>
      <c r="J115" s="524">
        <f t="shared" si="432"/>
        <v>-7.4222543717746836E-3</v>
      </c>
      <c r="K115" s="524">
        <f t="shared" si="432"/>
        <v>3.322382888112374E-4</v>
      </c>
      <c r="L115" s="524">
        <f t="shared" si="432"/>
        <v>5.8949517163988663E-3</v>
      </c>
      <c r="M115" s="524">
        <f t="shared" si="432"/>
        <v>8.8190812713733191E-3</v>
      </c>
      <c r="N115" s="524">
        <f t="shared" si="432"/>
        <v>1.0512822079175033E-2</v>
      </c>
      <c r="O115" s="524">
        <f t="shared" si="432"/>
        <v>1.163006158316704E-2</v>
      </c>
      <c r="P115" s="524">
        <f t="shared" si="432"/>
        <v>1.22331538148166E-2</v>
      </c>
      <c r="Q115" s="524">
        <f t="shared" si="432"/>
        <v>1.2407026437913027E-2</v>
      </c>
      <c r="R115" s="524">
        <f t="shared" si="432"/>
        <v>1.252696807651632E-2</v>
      </c>
      <c r="S115" s="524">
        <f t="shared" si="432"/>
        <v>1.3028392655649146E-2</v>
      </c>
      <c r="T115" s="524">
        <f t="shared" si="432"/>
        <v>1.2807252521913615E-2</v>
      </c>
      <c r="U115" s="524">
        <f t="shared" si="432"/>
        <v>1.2430598680884808E-2</v>
      </c>
      <c r="V115" s="524">
        <f t="shared" si="432"/>
        <v>1.2261543146772746E-2</v>
      </c>
      <c r="W115" s="524">
        <f t="shared" si="432"/>
        <v>1.1993302896403213E-2</v>
      </c>
      <c r="X115" s="524">
        <f t="shared" si="432"/>
        <v>1.1625975016238632E-2</v>
      </c>
      <c r="Y115" s="524">
        <f t="shared" si="432"/>
        <v>1.1194452333677996E-2</v>
      </c>
      <c r="Z115" s="524">
        <f t="shared" si="432"/>
        <v>1.0823614317964303E-2</v>
      </c>
      <c r="AA115" s="524">
        <f t="shared" si="432"/>
        <v>1.035599751731775E-2</v>
      </c>
      <c r="AB115" s="524">
        <f t="shared" si="432"/>
        <v>9.8087147494934079E-3</v>
      </c>
      <c r="AC115" s="524">
        <f t="shared" si="432"/>
        <v>9.2129688650863795E-3</v>
      </c>
      <c r="AD115" s="524">
        <f t="shared" si="432"/>
        <v>8.6555140975366207E-3</v>
      </c>
      <c r="AE115" s="524">
        <f t="shared" si="432"/>
        <v>8.2927615318679759E-3</v>
      </c>
      <c r="AF115" s="524">
        <f t="shared" si="432"/>
        <v>7.9603787227811029E-3</v>
      </c>
      <c r="AG115" s="524">
        <f t="shared" si="432"/>
        <v>7.7395149277472708E-3</v>
      </c>
      <c r="AH115" s="524">
        <f t="shared" si="432"/>
        <v>7.4177239590444977E-3</v>
      </c>
      <c r="AI115" s="524">
        <f t="shared" si="432"/>
        <v>6.9399128647984476E-3</v>
      </c>
      <c r="AJ115" s="524">
        <f t="shared" si="432"/>
        <v>6.3839836257073568E-3</v>
      </c>
      <c r="AK115" s="524">
        <f t="shared" si="432"/>
        <v>5.784461040655442E-3</v>
      </c>
      <c r="AL115" s="524">
        <f t="shared" si="432"/>
        <v>5.1550190793909767E-3</v>
      </c>
      <c r="AM115" s="524">
        <f t="shared" si="432"/>
        <v>4.4984946627348865E-3</v>
      </c>
      <c r="AN115" s="524">
        <f t="shared" si="432"/>
        <v>4.1248045300166236E-3</v>
      </c>
      <c r="AO115" s="524">
        <f t="shared" si="432"/>
        <v>4.0097983176612395E-3</v>
      </c>
      <c r="AP115" s="524">
        <f t="shared" si="432"/>
        <v>4.0784247080363212E-3</v>
      </c>
      <c r="AQ115" s="524">
        <f t="shared" si="432"/>
        <v>3.0846593579449966E-3</v>
      </c>
      <c r="AR115" s="524">
        <f t="shared" si="432"/>
        <v>2.4183655651159874E-3</v>
      </c>
      <c r="AS115" s="524">
        <f t="shared" si="432"/>
        <v>1.9726842057572469E-3</v>
      </c>
      <c r="AT115" s="524">
        <f t="shared" si="432"/>
        <v>1.0544643288004085E-3</v>
      </c>
      <c r="AU115" s="524">
        <f t="shared" si="432"/>
        <v>5.0028609839669613E-4</v>
      </c>
      <c r="AV115" s="524">
        <f t="shared" si="432"/>
        <v>1.7493910713461958E-4</v>
      </c>
      <c r="AW115" s="524">
        <f t="shared" si="432"/>
        <v>-7.7866616512434206E-6</v>
      </c>
      <c r="AX115" s="524">
        <f t="shared" si="432"/>
        <v>-1.0288001698910421E-4</v>
      </c>
      <c r="AY115" s="524">
        <f t="shared" si="432"/>
        <v>-1.4528729758844783E-4</v>
      </c>
      <c r="AZ115" s="524" t="e">
        <f t="shared" si="432"/>
        <v>#N/A</v>
      </c>
      <c r="BA115" s="524" t="e">
        <f t="shared" si="432"/>
        <v>#N/A</v>
      </c>
      <c r="BB115" s="524" t="e">
        <f t="shared" si="432"/>
        <v>#N/A</v>
      </c>
      <c r="BC115" s="524" t="e">
        <f t="shared" si="432"/>
        <v>#N/A</v>
      </c>
      <c r="BD115" s="524" t="e">
        <f t="shared" si="432"/>
        <v>#N/A</v>
      </c>
      <c r="BE115" s="524" t="e">
        <f t="shared" si="432"/>
        <v>#N/A</v>
      </c>
      <c r="BF115" s="524" t="e">
        <f t="shared" si="432"/>
        <v>#N/A</v>
      </c>
      <c r="BG115" s="524" t="e">
        <f t="shared" si="432"/>
        <v>#N/A</v>
      </c>
      <c r="BH115" s="524" t="e">
        <f t="shared" si="432"/>
        <v>#N/A</v>
      </c>
    </row>
    <row r="116" spans="1:61" s="9" customFormat="1" ht="26.4" customHeight="1">
      <c r="B116" s="113"/>
      <c r="C116" s="226"/>
      <c r="D116" s="564"/>
      <c r="E116" s="564"/>
      <c r="F116" s="564"/>
      <c r="G116" s="564"/>
      <c r="H116" s="564"/>
      <c r="I116" s="564"/>
      <c r="J116" s="564"/>
      <c r="K116" s="564"/>
      <c r="L116" s="564"/>
      <c r="M116" s="564"/>
      <c r="N116" s="564"/>
      <c r="O116" s="564"/>
      <c r="P116" s="564"/>
      <c r="Q116" s="564"/>
      <c r="R116" s="564"/>
      <c r="S116" s="564"/>
      <c r="T116" s="564"/>
      <c r="U116" s="564"/>
      <c r="V116" s="564"/>
      <c r="W116" s="564"/>
      <c r="X116" s="564"/>
      <c r="Y116" s="564"/>
      <c r="Z116" s="564"/>
      <c r="AA116" s="564"/>
      <c r="AB116" s="564"/>
      <c r="AC116" s="564"/>
      <c r="AD116" s="564"/>
      <c r="AE116" s="564"/>
      <c r="AF116" s="564"/>
      <c r="AG116" s="564"/>
      <c r="AH116" s="564"/>
      <c r="AI116" s="564"/>
      <c r="AJ116" s="564"/>
      <c r="AK116" s="564"/>
      <c r="AL116" s="564"/>
      <c r="AM116" s="564"/>
      <c r="AN116" s="564"/>
      <c r="AO116" s="564"/>
      <c r="AP116" s="564"/>
      <c r="AQ116" s="564"/>
      <c r="AR116" s="564"/>
      <c r="AS116" s="564"/>
      <c r="AT116" s="564"/>
      <c r="AU116" s="564"/>
      <c r="AV116" s="564"/>
      <c r="AW116" s="564"/>
      <c r="AX116" s="564"/>
      <c r="AY116" s="564"/>
      <c r="AZ116" s="564"/>
      <c r="BA116" s="564"/>
      <c r="BB116" s="564"/>
      <c r="BC116" s="564"/>
      <c r="BD116" s="564"/>
      <c r="BE116" s="564"/>
      <c r="BF116" s="564"/>
      <c r="BG116" s="564"/>
      <c r="BH116" s="564"/>
    </row>
    <row r="117" spans="1:61">
      <c r="B117" s="9"/>
    </row>
    <row r="118" spans="1:61">
      <c r="B118" s="34"/>
      <c r="C118" s="387">
        <f>Epidemiology!$C$89</f>
        <v>2020</v>
      </c>
      <c r="D118" s="34">
        <f t="shared" ref="D118" si="433">C118+1</f>
        <v>2021</v>
      </c>
      <c r="E118" s="34">
        <f t="shared" ref="E118" si="434">D118+1</f>
        <v>2022</v>
      </c>
      <c r="F118" s="34">
        <f t="shared" ref="F118" si="435">E118+1</f>
        <v>2023</v>
      </c>
      <c r="G118" s="34">
        <f t="shared" ref="G118" si="436">F118+1</f>
        <v>2024</v>
      </c>
      <c r="H118" s="34">
        <f t="shared" ref="H118" si="437">G118+1</f>
        <v>2025</v>
      </c>
      <c r="I118" s="34">
        <f t="shared" ref="I118" si="438">H118+1</f>
        <v>2026</v>
      </c>
      <c r="J118" s="34">
        <f t="shared" ref="J118" si="439">I118+1</f>
        <v>2027</v>
      </c>
      <c r="K118" s="34">
        <f t="shared" ref="K118" si="440">J118+1</f>
        <v>2028</v>
      </c>
      <c r="L118" s="34">
        <f t="shared" ref="L118" si="441">K118+1</f>
        <v>2029</v>
      </c>
      <c r="M118" s="34">
        <f t="shared" ref="M118" si="442">L118+1</f>
        <v>2030</v>
      </c>
      <c r="N118" s="34">
        <f t="shared" ref="N118" si="443">M118+1</f>
        <v>2031</v>
      </c>
      <c r="O118" s="34">
        <f t="shared" ref="O118" si="444">N118+1</f>
        <v>2032</v>
      </c>
      <c r="P118" s="34">
        <f t="shared" ref="P118" si="445">O118+1</f>
        <v>2033</v>
      </c>
      <c r="Q118" s="34">
        <f t="shared" ref="Q118" si="446">P118+1</f>
        <v>2034</v>
      </c>
      <c r="R118" s="34">
        <f t="shared" ref="R118" si="447">Q118+1</f>
        <v>2035</v>
      </c>
      <c r="S118" s="34">
        <f t="shared" ref="S118" si="448">R118+1</f>
        <v>2036</v>
      </c>
      <c r="T118" s="34">
        <f t="shared" ref="T118" si="449">S118+1</f>
        <v>2037</v>
      </c>
      <c r="U118" s="34">
        <f t="shared" ref="U118" si="450">T118+1</f>
        <v>2038</v>
      </c>
      <c r="V118" s="34">
        <f t="shared" ref="V118" si="451">U118+1</f>
        <v>2039</v>
      </c>
      <c r="W118" s="34">
        <f t="shared" ref="W118" si="452">V118+1</f>
        <v>2040</v>
      </c>
      <c r="X118" s="34">
        <f t="shared" ref="X118" si="453">W118+1</f>
        <v>2041</v>
      </c>
      <c r="Y118" s="34">
        <f t="shared" ref="Y118" si="454">X118+1</f>
        <v>2042</v>
      </c>
      <c r="Z118" s="34">
        <f t="shared" ref="Z118" si="455">Y118+1</f>
        <v>2043</v>
      </c>
      <c r="AA118" s="34">
        <f t="shared" ref="AA118" si="456">Z118+1</f>
        <v>2044</v>
      </c>
      <c r="AB118" s="34">
        <f t="shared" ref="AB118" si="457">AA118+1</f>
        <v>2045</v>
      </c>
      <c r="AC118" s="34">
        <f t="shared" ref="AC118" si="458">AB118+1</f>
        <v>2046</v>
      </c>
      <c r="AD118" s="34">
        <f t="shared" ref="AD118" si="459">AC118+1</f>
        <v>2047</v>
      </c>
      <c r="AE118" s="34">
        <f t="shared" ref="AE118" si="460">AD118+1</f>
        <v>2048</v>
      </c>
      <c r="AF118" s="34">
        <f t="shared" ref="AF118" si="461">AE118+1</f>
        <v>2049</v>
      </c>
      <c r="AG118" s="34">
        <f t="shared" ref="AG118" si="462">AF118+1</f>
        <v>2050</v>
      </c>
      <c r="AH118" s="34">
        <f t="shared" ref="AH118" si="463">AG118+1</f>
        <v>2051</v>
      </c>
      <c r="AI118" s="34">
        <f t="shared" ref="AI118" si="464">AH118+1</f>
        <v>2052</v>
      </c>
      <c r="AJ118" s="34">
        <f t="shared" ref="AJ118" si="465">AI118+1</f>
        <v>2053</v>
      </c>
      <c r="AK118" s="34">
        <f t="shared" ref="AK118" si="466">AJ118+1</f>
        <v>2054</v>
      </c>
      <c r="AL118" s="34">
        <f t="shared" ref="AL118" si="467">AK118+1</f>
        <v>2055</v>
      </c>
      <c r="AM118" s="34">
        <f t="shared" ref="AM118" si="468">AL118+1</f>
        <v>2056</v>
      </c>
      <c r="AN118" s="34">
        <f t="shared" ref="AN118" si="469">AM118+1</f>
        <v>2057</v>
      </c>
      <c r="AO118" s="34">
        <f t="shared" ref="AO118" si="470">AN118+1</f>
        <v>2058</v>
      </c>
      <c r="AP118" s="34">
        <f t="shared" ref="AP118" si="471">AO118+1</f>
        <v>2059</v>
      </c>
      <c r="AQ118" s="34">
        <f t="shared" ref="AQ118" si="472">AP118+1</f>
        <v>2060</v>
      </c>
      <c r="AR118" s="34">
        <f t="shared" ref="AR118" si="473">AQ118+1</f>
        <v>2061</v>
      </c>
      <c r="AS118" s="34">
        <f t="shared" ref="AS118" si="474">AR118+1</f>
        <v>2062</v>
      </c>
      <c r="AT118" s="34">
        <f t="shared" ref="AT118" si="475">AS118+1</f>
        <v>2063</v>
      </c>
      <c r="AU118" s="34">
        <f t="shared" ref="AU118" si="476">AT118+1</f>
        <v>2064</v>
      </c>
      <c r="AV118" s="34">
        <f t="shared" ref="AV118" si="477">AU118+1</f>
        <v>2065</v>
      </c>
      <c r="AW118" s="34">
        <f t="shared" ref="AW118" si="478">AV118+1</f>
        <v>2066</v>
      </c>
      <c r="AX118" s="34">
        <f t="shared" ref="AX118" si="479">AW118+1</f>
        <v>2067</v>
      </c>
      <c r="AY118" s="34">
        <f t="shared" ref="AY118" si="480">AX118+1</f>
        <v>2068</v>
      </c>
      <c r="AZ118" s="34">
        <f t="shared" ref="AZ118" si="481">AY118+1</f>
        <v>2069</v>
      </c>
      <c r="BA118" s="34">
        <f t="shared" ref="BA118" si="482">AZ118+1</f>
        <v>2070</v>
      </c>
      <c r="BB118" s="34">
        <f t="shared" ref="BB118" si="483">BA118+1</f>
        <v>2071</v>
      </c>
      <c r="BC118" s="34">
        <f t="shared" ref="BC118" si="484">BB118+1</f>
        <v>2072</v>
      </c>
      <c r="BD118" s="34">
        <f t="shared" ref="BD118" si="485">BC118+1</f>
        <v>2073</v>
      </c>
      <c r="BE118" s="34"/>
      <c r="BF118" s="34"/>
      <c r="BG118" s="34"/>
      <c r="BH118" s="34"/>
    </row>
    <row r="119" spans="1:61" s="522" customFormat="1" ht="13.25" customHeight="1">
      <c r="B119" s="523" t="s">
        <v>3209</v>
      </c>
      <c r="C119" s="524">
        <f>IF(C$118&lt;$C$8,    'Wound growth'!C103,  INDEX($C$115:$BH$115, MATCH(C118, $C$91:$BH$91,0)))</f>
        <v>0</v>
      </c>
      <c r="D119" s="524">
        <f>IF(D$118&lt;$C$8,    'Wound growth'!D103,  INDEX($C$115:$BH$115, MATCH(D118, $C$91:$BH$91,0)))</f>
        <v>3.8439422994360983E-2</v>
      </c>
      <c r="E119" s="524">
        <f>IF(E$118&lt;$C$8,    'Wound growth'!E103,  INDEX($C$115:$BH$115, MATCH(E118, $C$91:$BH$91,0)))</f>
        <v>3.1967941068333561E-2</v>
      </c>
      <c r="F119" s="524">
        <f>IF(F$118&lt;$C$8,    'Wound growth'!F103,  INDEX($C$115:$BH$115, MATCH(F118, $C$91:$BH$91,0)))</f>
        <v>2.7502371346320054E-2</v>
      </c>
      <c r="G119" s="524">
        <f>IF(G$118&lt;$C$8,    'Wound growth'!G103,  INDEX($C$115:$BH$115, MATCH(G118, $C$91:$BH$91,0)))</f>
        <v>2.4666830975591747E-2</v>
      </c>
      <c r="H119" s="524">
        <f>IF(H$118&lt;$C$8,    'Wound growth'!H103,  INDEX($C$115:$BH$115, MATCH(H118, $C$91:$BH$91,0)))</f>
        <v>-8.3746798569517278E-2</v>
      </c>
      <c r="I119" s="524">
        <f>IF(I$118&lt;$C$8,    'Wound growth'!I103,  INDEX($C$115:$BH$115, MATCH(I118, $C$91:$BH$91,0)))</f>
        <v>-5.7638116933523942E-2</v>
      </c>
      <c r="J119" s="524">
        <f>IF(J$118&lt;$C$8,    'Wound growth'!J103,  INDEX($C$115:$BH$115, MATCH(J118, $C$91:$BH$91,0)))</f>
        <v>-3.6681095426318699E-2</v>
      </c>
      <c r="K119" s="524">
        <f>IF(K$118&lt;$C$8,    'Wound growth'!K103,  INDEX($C$115:$BH$115, MATCH(K118, $C$91:$BH$91,0)))</f>
        <v>-1.9185964654259147E-2</v>
      </c>
      <c r="L119" s="524">
        <f>IF(L$118&lt;$C$8,    'Wound growth'!L103,  INDEX($C$115:$BH$115, MATCH(L118, $C$91:$BH$91,0)))</f>
        <v>-7.4222543717746836E-3</v>
      </c>
      <c r="M119" s="524">
        <f>IF(M$118&lt;$C$8,    'Wound growth'!M103,  INDEX($C$115:$BH$115, MATCH(M118, $C$91:$BH$91,0)))</f>
        <v>3.322382888112374E-4</v>
      </c>
      <c r="N119" s="524">
        <f>IF(N$118&lt;$C$8,    'Wound growth'!N103,  INDEX($C$115:$BH$115, MATCH(N118, $C$91:$BH$91,0)))</f>
        <v>5.8949517163988663E-3</v>
      </c>
      <c r="O119" s="524">
        <f>IF(O$118&lt;$C$8,    'Wound growth'!O103,  INDEX($C$115:$BH$115, MATCH(O118, $C$91:$BH$91,0)))</f>
        <v>8.8190812713733191E-3</v>
      </c>
      <c r="P119" s="524">
        <f>IF(P$118&lt;$C$8,    'Wound growth'!P103,  INDEX($C$115:$BH$115, MATCH(P118, $C$91:$BH$91,0)))</f>
        <v>1.0512822079175033E-2</v>
      </c>
      <c r="Q119" s="524">
        <f>IF(Q$118&lt;$C$8,    'Wound growth'!Q103,  INDEX($C$115:$BH$115, MATCH(Q118, $C$91:$BH$91,0)))</f>
        <v>1.163006158316704E-2</v>
      </c>
      <c r="R119" s="524">
        <f>IF(R$118&lt;$C$8,    'Wound growth'!R103,  INDEX($C$115:$BH$115, MATCH(R118, $C$91:$BH$91,0)))</f>
        <v>1.22331538148166E-2</v>
      </c>
      <c r="S119" s="524">
        <f>IF(S$118&lt;$C$8,    'Wound growth'!S103,  INDEX($C$115:$BH$115, MATCH(S118, $C$91:$BH$91,0)))</f>
        <v>1.2407026437913027E-2</v>
      </c>
      <c r="T119" s="524">
        <f>IF(T$118&lt;$C$8,    'Wound growth'!T103,  INDEX($C$115:$BH$115, MATCH(T118, $C$91:$BH$91,0)))</f>
        <v>1.252696807651632E-2</v>
      </c>
      <c r="U119" s="524">
        <f>IF(U$118&lt;$C$8,    'Wound growth'!U103,  INDEX($C$115:$BH$115, MATCH(U118, $C$91:$BH$91,0)))</f>
        <v>1.3028392655649146E-2</v>
      </c>
      <c r="V119" s="524">
        <f>IF(V$118&lt;$C$8,    'Wound growth'!V103,  INDEX($C$115:$BH$115, MATCH(V118, $C$91:$BH$91,0)))</f>
        <v>1.2807252521913615E-2</v>
      </c>
      <c r="W119" s="524">
        <f>IF(W$118&lt;$C$8,    'Wound growth'!W103,  INDEX($C$115:$BH$115, MATCH(W118, $C$91:$BH$91,0)))</f>
        <v>1.2430598680884808E-2</v>
      </c>
      <c r="X119" s="524">
        <f>IF(X$118&lt;$C$8,    'Wound growth'!X103,  INDEX($C$115:$BH$115, MATCH(X118, $C$91:$BH$91,0)))</f>
        <v>1.2261543146772746E-2</v>
      </c>
      <c r="Y119" s="524">
        <f>IF(Y$118&lt;$C$8,    'Wound growth'!Y103,  INDEX($C$115:$BH$115, MATCH(Y118, $C$91:$BH$91,0)))</f>
        <v>1.1993302896403213E-2</v>
      </c>
      <c r="Z119" s="524">
        <f>IF(Z$118&lt;$C$8,    'Wound growth'!Z103,  INDEX($C$115:$BH$115, MATCH(Z118, $C$91:$BH$91,0)))</f>
        <v>1.1625975016238632E-2</v>
      </c>
      <c r="AA119" s="524">
        <f>IF(AA$118&lt;$C$8,    'Wound growth'!AA103,  INDEX($C$115:$BH$115, MATCH(AA118, $C$91:$BH$91,0)))</f>
        <v>1.1194452333677996E-2</v>
      </c>
      <c r="AB119" s="524">
        <f>IF(AB$118&lt;$C$8,    'Wound growth'!AB103,  INDEX($C$115:$BH$115, MATCH(AB118, $C$91:$BH$91,0)))</f>
        <v>1.0823614317964303E-2</v>
      </c>
      <c r="AC119" s="524">
        <f>IF(AC$118&lt;$C$8,    'Wound growth'!AC103,  INDEX($C$115:$BH$115, MATCH(AC118, $C$91:$BH$91,0)))</f>
        <v>1.035599751731775E-2</v>
      </c>
      <c r="AD119" s="524">
        <f>IF(AD$118&lt;$C$8,    'Wound growth'!AD103,  INDEX($C$115:$BH$115, MATCH(AD118, $C$91:$BH$91,0)))</f>
        <v>9.8087147494934079E-3</v>
      </c>
      <c r="AE119" s="524">
        <f>IF(AE$118&lt;$C$8,    'Wound growth'!AE103,  INDEX($C$115:$BH$115, MATCH(AE118, $C$91:$BH$91,0)))</f>
        <v>9.2129688650863795E-3</v>
      </c>
      <c r="AF119" s="524">
        <f>IF(AF$118&lt;$C$8,    'Wound growth'!AF103,  INDEX($C$115:$BH$115, MATCH(AF118, $C$91:$BH$91,0)))</f>
        <v>8.6555140975366207E-3</v>
      </c>
      <c r="AG119" s="524">
        <f>IF(AG$118&lt;$C$8,    'Wound growth'!AG103,  INDEX($C$115:$BH$115, MATCH(AG118, $C$91:$BH$91,0)))</f>
        <v>8.2927615318679759E-3</v>
      </c>
      <c r="AH119" s="524">
        <f>IF(AH$118&lt;$C$8,    'Wound growth'!AH103,  INDEX($C$115:$BH$115, MATCH(AH118, $C$91:$BH$91,0)))</f>
        <v>7.9603787227811029E-3</v>
      </c>
      <c r="AI119" s="524">
        <f>IF(AI$118&lt;$C$8,    'Wound growth'!AI103,  INDEX($C$115:$BH$115, MATCH(AI118, $C$91:$BH$91,0)))</f>
        <v>7.7395149277472708E-3</v>
      </c>
      <c r="AJ119" s="524">
        <f>IF(AJ$118&lt;$C$8,    'Wound growth'!AJ103,  INDEX($C$115:$BH$115, MATCH(AJ118, $C$91:$BH$91,0)))</f>
        <v>7.4177239590444977E-3</v>
      </c>
      <c r="AK119" s="524">
        <f>IF(AK$118&lt;$C$8,    'Wound growth'!AK103,  INDEX($C$115:$BH$115, MATCH(AK118, $C$91:$BH$91,0)))</f>
        <v>6.9399128647984476E-3</v>
      </c>
      <c r="AL119" s="524">
        <f>IF(AL$118&lt;$C$8,    'Wound growth'!AL103,  INDEX($C$115:$BH$115, MATCH(AL118, $C$91:$BH$91,0)))</f>
        <v>6.3839836257073568E-3</v>
      </c>
      <c r="AM119" s="524">
        <f>IF(AM$118&lt;$C$8,    'Wound growth'!AM103,  INDEX($C$115:$BH$115, MATCH(AM118, $C$91:$BH$91,0)))</f>
        <v>5.784461040655442E-3</v>
      </c>
      <c r="AN119" s="524">
        <f>IF(AN$118&lt;$C$8,    'Wound growth'!AN103,  INDEX($C$115:$BH$115, MATCH(AN118, $C$91:$BH$91,0)))</f>
        <v>5.1550190793909767E-3</v>
      </c>
      <c r="AO119" s="524">
        <f>IF(AO$118&lt;$C$8,    'Wound growth'!AO103,  INDEX($C$115:$BH$115, MATCH(AO118, $C$91:$BH$91,0)))</f>
        <v>4.4984946627348865E-3</v>
      </c>
      <c r="AP119" s="524">
        <f>IF(AP$118&lt;$C$8,    'Wound growth'!AP103,  INDEX($C$115:$BH$115, MATCH(AP118, $C$91:$BH$91,0)))</f>
        <v>4.1248045300166236E-3</v>
      </c>
      <c r="AQ119" s="524">
        <f>IF(AQ$118&lt;$C$8,    'Wound growth'!AQ103,  INDEX($C$115:$BH$115, MATCH(AQ118, $C$91:$BH$91,0)))</f>
        <v>4.0097983176612395E-3</v>
      </c>
      <c r="AR119" s="524">
        <f>IF(AR$118&lt;$C$8,    'Wound growth'!AR103,  INDEX($C$115:$BH$115, MATCH(AR118, $C$91:$BH$91,0)))</f>
        <v>4.0784247080363212E-3</v>
      </c>
      <c r="AS119" s="524">
        <f>IF(AS$118&lt;$C$8,    'Wound growth'!AS103,  INDEX($C$115:$BH$115, MATCH(AS118, $C$91:$BH$91,0)))</f>
        <v>3.0846593579449966E-3</v>
      </c>
      <c r="AT119" s="524">
        <f>IF(AT$118&lt;$C$8,    'Wound growth'!AT103,  INDEX($C$115:$BH$115, MATCH(AT118, $C$91:$BH$91,0)))</f>
        <v>2.4183655651159874E-3</v>
      </c>
      <c r="AU119" s="524">
        <f>IF(AU$118&lt;$C$8,    'Wound growth'!AU103,  INDEX($C$115:$BH$115, MATCH(AU118, $C$91:$BH$91,0)))</f>
        <v>1.9726842057572469E-3</v>
      </c>
      <c r="AV119" s="524">
        <f>IF(AV$118&lt;$C$8,    'Wound growth'!AV103,  INDEX($C$115:$BH$115, MATCH(AV118, $C$91:$BH$91,0)))</f>
        <v>1.0544643288004085E-3</v>
      </c>
      <c r="AW119" s="524">
        <f>IF(AW$118&lt;$C$8,    'Wound growth'!AW103,  INDEX($C$115:$BH$115, MATCH(AW118, $C$91:$BH$91,0)))</f>
        <v>5.0028609839669613E-4</v>
      </c>
      <c r="AX119" s="524">
        <f>IF(AX$118&lt;$C$8,    'Wound growth'!AX103,  INDEX($C$115:$BH$115, MATCH(AX118, $C$91:$BH$91,0)))</f>
        <v>1.7493910713461958E-4</v>
      </c>
      <c r="AY119" s="524">
        <f>IF(AY$118&lt;$C$8,    'Wound growth'!AY103,  INDEX($C$115:$BH$115, MATCH(AY118, $C$91:$BH$91,0)))</f>
        <v>-7.7866616512434206E-6</v>
      </c>
      <c r="AZ119" s="524">
        <f>IF(AZ$118&lt;$C$8,    'Wound growth'!AZ103,  INDEX($C$115:$BH$115, MATCH(AZ118, $C$91:$BH$91,0)))</f>
        <v>-1.0288001698910421E-4</v>
      </c>
      <c r="BA119" s="524">
        <f>IF(BA$118&lt;$C$8,    'Wound growth'!BA103,  INDEX($C$115:$BH$115, MATCH(BA118, $C$91:$BH$91,0)))</f>
        <v>-1.4528729758844783E-4</v>
      </c>
      <c r="BB119" s="524" t="e">
        <f>IF(BB$118&lt;$C$8,    'Wound growth'!BB103,  INDEX($C$115:$BH$115, MATCH(BB118, $C$91:$BH$91,0)))</f>
        <v>#N/A</v>
      </c>
      <c r="BC119" s="524" t="e">
        <f>IF(BC$118&lt;$C$8,    'Wound growth'!BC103,  INDEX($C$115:$BH$115, MATCH(BC118, $C$91:$BH$91,0)))</f>
        <v>#N/A</v>
      </c>
      <c r="BD119" s="524" t="e">
        <f>IF(BD$118&lt;$C$8,    'Wound growth'!BD103,  INDEX($C$115:$BH$115, MATCH(BD118, $C$91:$BH$91,0)))</f>
        <v>#N/A</v>
      </c>
      <c r="BE119" s="524"/>
      <c r="BF119" s="524"/>
      <c r="BG119" s="524"/>
    </row>
    <row r="120" spans="1:61">
      <c r="C120" s="108"/>
    </row>
    <row r="121" spans="1:61">
      <c r="C121" s="108"/>
      <c r="E121" s="19"/>
      <c r="F121" s="19"/>
      <c r="G121" s="19"/>
      <c r="H121" s="19"/>
      <c r="I121" s="19"/>
      <c r="J121" s="19"/>
      <c r="K121" s="19"/>
      <c r="L121" s="19"/>
      <c r="M121" s="19"/>
      <c r="N121" s="19"/>
      <c r="O121" s="19"/>
      <c r="P121" s="19"/>
      <c r="Q121" s="19"/>
      <c r="R121" s="19"/>
      <c r="S121" s="19"/>
      <c r="T121" s="19"/>
      <c r="U121" s="19"/>
      <c r="V121" s="19"/>
      <c r="W121" s="19"/>
      <c r="X121" s="19"/>
    </row>
    <row r="124" spans="1:61" s="588" customFormat="1">
      <c r="A124" s="698" t="s">
        <v>10</v>
      </c>
      <c r="B124" s="699" t="s">
        <v>3204</v>
      </c>
      <c r="E124" s="700"/>
    </row>
    <row r="125" spans="1:61">
      <c r="A125" s="227"/>
      <c r="B125" s="443"/>
      <c r="E125" s="212"/>
    </row>
    <row r="126" spans="1:61" ht="58">
      <c r="C126" s="315"/>
      <c r="D126" s="343" t="s">
        <v>3206</v>
      </c>
      <c r="E126" s="343" t="s">
        <v>3207</v>
      </c>
    </row>
    <row r="127" spans="1:61">
      <c r="B127" s="34" t="s">
        <v>3210</v>
      </c>
      <c r="C127" s="534">
        <f>$C$8-2</f>
        <v>2022</v>
      </c>
      <c r="D127" s="34">
        <f>C127+1</f>
        <v>2023</v>
      </c>
      <c r="E127" s="34">
        <f t="shared" ref="E127:BI127" si="486">D127+1</f>
        <v>2024</v>
      </c>
      <c r="F127" s="34">
        <f t="shared" si="486"/>
        <v>2025</v>
      </c>
      <c r="G127" s="34">
        <f t="shared" si="486"/>
        <v>2026</v>
      </c>
      <c r="H127" s="34">
        <f t="shared" si="486"/>
        <v>2027</v>
      </c>
      <c r="I127" s="34">
        <f t="shared" si="486"/>
        <v>2028</v>
      </c>
      <c r="J127" s="34">
        <f t="shared" si="486"/>
        <v>2029</v>
      </c>
      <c r="K127" s="34">
        <f t="shared" si="486"/>
        <v>2030</v>
      </c>
      <c r="L127" s="34">
        <f t="shared" si="486"/>
        <v>2031</v>
      </c>
      <c r="M127" s="34">
        <f t="shared" si="486"/>
        <v>2032</v>
      </c>
      <c r="N127" s="34">
        <f t="shared" si="486"/>
        <v>2033</v>
      </c>
      <c r="O127" s="34">
        <f t="shared" si="486"/>
        <v>2034</v>
      </c>
      <c r="P127" s="34">
        <f t="shared" si="486"/>
        <v>2035</v>
      </c>
      <c r="Q127" s="34">
        <f t="shared" si="486"/>
        <v>2036</v>
      </c>
      <c r="R127" s="34">
        <f t="shared" si="486"/>
        <v>2037</v>
      </c>
      <c r="S127" s="34">
        <f t="shared" si="486"/>
        <v>2038</v>
      </c>
      <c r="T127" s="34">
        <f t="shared" si="486"/>
        <v>2039</v>
      </c>
      <c r="U127" s="34">
        <f t="shared" si="486"/>
        <v>2040</v>
      </c>
      <c r="V127" s="34">
        <f t="shared" si="486"/>
        <v>2041</v>
      </c>
      <c r="W127" s="34">
        <f t="shared" si="486"/>
        <v>2042</v>
      </c>
      <c r="X127" s="34">
        <f t="shared" si="486"/>
        <v>2043</v>
      </c>
      <c r="Y127" s="34">
        <f t="shared" si="486"/>
        <v>2044</v>
      </c>
      <c r="Z127" s="34">
        <f t="shared" si="486"/>
        <v>2045</v>
      </c>
      <c r="AA127" s="34">
        <f t="shared" si="486"/>
        <v>2046</v>
      </c>
      <c r="AB127" s="34">
        <f t="shared" si="486"/>
        <v>2047</v>
      </c>
      <c r="AC127" s="34">
        <f t="shared" si="486"/>
        <v>2048</v>
      </c>
      <c r="AD127" s="34">
        <f t="shared" si="486"/>
        <v>2049</v>
      </c>
      <c r="AE127" s="34">
        <f t="shared" si="486"/>
        <v>2050</v>
      </c>
      <c r="AF127" s="34">
        <f t="shared" si="486"/>
        <v>2051</v>
      </c>
      <c r="AG127" s="34">
        <f t="shared" si="486"/>
        <v>2052</v>
      </c>
      <c r="AH127" s="34">
        <f t="shared" si="486"/>
        <v>2053</v>
      </c>
      <c r="AI127" s="34">
        <f t="shared" si="486"/>
        <v>2054</v>
      </c>
      <c r="AJ127" s="34">
        <f t="shared" si="486"/>
        <v>2055</v>
      </c>
      <c r="AK127" s="34">
        <f t="shared" si="486"/>
        <v>2056</v>
      </c>
      <c r="AL127" s="34">
        <f t="shared" si="486"/>
        <v>2057</v>
      </c>
      <c r="AM127" s="34">
        <f t="shared" si="486"/>
        <v>2058</v>
      </c>
      <c r="AN127" s="34">
        <f t="shared" si="486"/>
        <v>2059</v>
      </c>
      <c r="AO127" s="34">
        <f t="shared" si="486"/>
        <v>2060</v>
      </c>
      <c r="AP127" s="34">
        <f t="shared" si="486"/>
        <v>2061</v>
      </c>
      <c r="AQ127" s="34">
        <f t="shared" si="486"/>
        <v>2062</v>
      </c>
      <c r="AR127" s="34">
        <f t="shared" si="486"/>
        <v>2063</v>
      </c>
      <c r="AS127" s="34">
        <f t="shared" si="486"/>
        <v>2064</v>
      </c>
      <c r="AT127" s="34">
        <f t="shared" si="486"/>
        <v>2065</v>
      </c>
      <c r="AU127" s="34">
        <f t="shared" si="486"/>
        <v>2066</v>
      </c>
      <c r="AV127" s="34">
        <f t="shared" si="486"/>
        <v>2067</v>
      </c>
      <c r="AW127" s="34">
        <f t="shared" si="486"/>
        <v>2068</v>
      </c>
      <c r="AX127" s="34">
        <f t="shared" si="486"/>
        <v>2069</v>
      </c>
      <c r="AY127" s="34">
        <f t="shared" si="486"/>
        <v>2070</v>
      </c>
      <c r="AZ127" s="34">
        <f t="shared" si="486"/>
        <v>2071</v>
      </c>
      <c r="BA127" s="34">
        <f t="shared" si="486"/>
        <v>2072</v>
      </c>
      <c r="BB127" s="34">
        <f t="shared" si="486"/>
        <v>2073</v>
      </c>
      <c r="BC127" s="34">
        <f t="shared" si="486"/>
        <v>2074</v>
      </c>
      <c r="BD127" s="34">
        <f t="shared" si="486"/>
        <v>2075</v>
      </c>
      <c r="BE127" s="34">
        <f t="shared" si="486"/>
        <v>2076</v>
      </c>
      <c r="BF127" s="34">
        <f t="shared" si="486"/>
        <v>2077</v>
      </c>
      <c r="BG127" s="34">
        <f t="shared" si="486"/>
        <v>2078</v>
      </c>
      <c r="BH127" s="34">
        <f t="shared" si="486"/>
        <v>2079</v>
      </c>
      <c r="BI127" s="34">
        <f t="shared" si="486"/>
        <v>2080</v>
      </c>
    </row>
    <row r="128" spans="1:61" s="9" customFormat="1" ht="13.25" customHeight="1">
      <c r="B128" s="5" t="s">
        <v>22</v>
      </c>
      <c r="C128" s="535">
        <f>INDEX('Prevalence projection'!$C$101:$AE$101, MATCH(C$51, 'Prevalence projection'!$C$33:$AE$33,0))</f>
        <v>42.457630958756774</v>
      </c>
      <c r="D128" s="535">
        <f>INDEX('Prevalence projection'!$C$101:$AE$101, MATCH(D$51, 'Prevalence projection'!$C$33:$AE$33,0))</f>
        <v>46.516040358715721</v>
      </c>
      <c r="E128" s="224">
        <f t="shared" ref="E128:AJ128" si="487">D131+D132+D133</f>
        <v>50.574449758674668</v>
      </c>
      <c r="F128" s="224">
        <f t="shared" si="487"/>
        <v>54.683534377078708</v>
      </c>
      <c r="G128" s="224">
        <f t="shared" si="487"/>
        <v>58.848974401883702</v>
      </c>
      <c r="H128" s="224">
        <f t="shared" si="487"/>
        <v>63.080038440011009</v>
      </c>
      <c r="I128" s="224">
        <f t="shared" si="487"/>
        <v>67.381744254903779</v>
      </c>
      <c r="J128" s="224">
        <f t="shared" si="487"/>
        <v>71.750717145199403</v>
      </c>
      <c r="K128" s="224">
        <f t="shared" si="487"/>
        <v>76.18878189188041</v>
      </c>
      <c r="L128" s="224">
        <f t="shared" si="487"/>
        <v>80.726260828193446</v>
      </c>
      <c r="M128" s="224">
        <f t="shared" si="487"/>
        <v>85.347542519177253</v>
      </c>
      <c r="N128" s="224">
        <f t="shared" si="487"/>
        <v>90.043016274548208</v>
      </c>
      <c r="O128" s="224">
        <f t="shared" si="487"/>
        <v>94.806531361532265</v>
      </c>
      <c r="P128" s="224">
        <f t="shared" si="487"/>
        <v>99.632738875445924</v>
      </c>
      <c r="Q128" s="224">
        <f t="shared" si="487"/>
        <v>104.52396023504805</v>
      </c>
      <c r="R128" s="224">
        <f t="shared" si="487"/>
        <v>109.48470876853894</v>
      </c>
      <c r="S128" s="224">
        <f t="shared" si="487"/>
        <v>114.51526686613269</v>
      </c>
      <c r="T128" s="224">
        <f t="shared" si="487"/>
        <v>119.60994680013221</v>
      </c>
      <c r="U128" s="224">
        <f t="shared" si="487"/>
        <v>124.7679769908241</v>
      </c>
      <c r="V128" s="224">
        <f t="shared" si="487"/>
        <v>130.00043191024895</v>
      </c>
      <c r="W128" s="224">
        <f t="shared" si="487"/>
        <v>135.29826085686548</v>
      </c>
      <c r="X128" s="224">
        <f t="shared" si="487"/>
        <v>140.65753730204202</v>
      </c>
      <c r="Y128" s="224">
        <f t="shared" si="487"/>
        <v>146.07616701849761</v>
      </c>
      <c r="Z128" s="224">
        <f t="shared" si="487"/>
        <v>151.55743569892812</v>
      </c>
      <c r="AA128" s="224">
        <f t="shared" si="487"/>
        <v>157.09961134131822</v>
      </c>
      <c r="AB128" s="224">
        <f t="shared" si="487"/>
        <v>162.69977082648833</v>
      </c>
      <c r="AC128" s="224">
        <f t="shared" si="487"/>
        <v>168.35499186999942</v>
      </c>
      <c r="AD128" s="224">
        <f t="shared" si="487"/>
        <v>174.06199560617935</v>
      </c>
      <c r="AE128" s="224">
        <f t="shared" si="487"/>
        <v>179.81756641650571</v>
      </c>
      <c r="AF128" s="224">
        <f t="shared" si="487"/>
        <v>185.61833582351588</v>
      </c>
      <c r="AG128" s="224">
        <f t="shared" si="487"/>
        <v>191.46268560865499</v>
      </c>
      <c r="AH128" s="224">
        <f t="shared" si="487"/>
        <v>197.35294631828896</v>
      </c>
      <c r="AI128" s="224">
        <f t="shared" si="487"/>
        <v>203.28834429554817</v>
      </c>
      <c r="AJ128" s="224">
        <f t="shared" si="487"/>
        <v>209.26944543217607</v>
      </c>
      <c r="AK128" s="224">
        <f t="shared" ref="AK128:BI128" si="488">AJ131+AJ132+AJ133</f>
        <v>215.29025241352784</v>
      </c>
      <c r="AL128" s="224">
        <f t="shared" si="488"/>
        <v>221.34483913670871</v>
      </c>
      <c r="AM128" s="224">
        <f t="shared" si="488"/>
        <v>227.42767684777928</v>
      </c>
      <c r="AN128" s="224">
        <f t="shared" si="488"/>
        <v>233.53694680526996</v>
      </c>
      <c r="AO128" s="224">
        <f t="shared" si="488"/>
        <v>239.66994021790663</v>
      </c>
      <c r="AP128" s="224">
        <f t="shared" si="488"/>
        <v>245.82301260732442</v>
      </c>
      <c r="AQ128" s="224">
        <f t="shared" si="488"/>
        <v>251.99871422584113</v>
      </c>
      <c r="AR128" s="224">
        <f t="shared" si="488"/>
        <v>258.20154764299298</v>
      </c>
      <c r="AS128" s="224">
        <f t="shared" si="488"/>
        <v>264.43617438177034</v>
      </c>
      <c r="AT128" s="224">
        <f t="shared" si="488"/>
        <v>270.67080112054771</v>
      </c>
      <c r="AU128" s="224">
        <f t="shared" si="488"/>
        <v>276.90542785932507</v>
      </c>
      <c r="AV128" s="224">
        <f t="shared" si="488"/>
        <v>283.14005459810244</v>
      </c>
      <c r="AW128" s="224">
        <f t="shared" si="488"/>
        <v>289.3746813368798</v>
      </c>
      <c r="AX128" s="224">
        <f t="shared" si="488"/>
        <v>295.60930807565717</v>
      </c>
      <c r="AY128" s="224">
        <f t="shared" si="488"/>
        <v>301.84393481443453</v>
      </c>
      <c r="AZ128" s="224">
        <f t="shared" si="488"/>
        <v>308.0785615532119</v>
      </c>
      <c r="BA128" s="224">
        <f t="shared" si="488"/>
        <v>314.31318829198926</v>
      </c>
      <c r="BB128" s="224">
        <f t="shared" si="488"/>
        <v>320.54781503076663</v>
      </c>
      <c r="BC128" s="224">
        <f t="shared" si="488"/>
        <v>326.78244176954399</v>
      </c>
      <c r="BD128" s="224">
        <f t="shared" si="488"/>
        <v>333.01706850832136</v>
      </c>
      <c r="BE128" s="224">
        <f t="shared" si="488"/>
        <v>339.25169524709872</v>
      </c>
      <c r="BF128" s="224">
        <f t="shared" si="488"/>
        <v>345.48632198587609</v>
      </c>
      <c r="BG128" s="224">
        <f t="shared" si="488"/>
        <v>351.72094872465345</v>
      </c>
      <c r="BH128" s="224">
        <f t="shared" si="488"/>
        <v>357.95557546343082</v>
      </c>
      <c r="BI128" s="224">
        <f t="shared" si="488"/>
        <v>364.19020220220818</v>
      </c>
    </row>
    <row r="129" spans="2:61" s="9" customFormat="1" ht="13.25" customHeight="1">
      <c r="B129" s="5"/>
      <c r="C129" s="224"/>
      <c r="D129" s="224"/>
      <c r="E129" s="224"/>
      <c r="F129" s="224"/>
      <c r="G129" s="224"/>
      <c r="H129" s="224"/>
      <c r="I129" s="224"/>
      <c r="J129" s="224"/>
      <c r="K129" s="224"/>
      <c r="L129" s="224"/>
      <c r="M129" s="224"/>
      <c r="N129" s="224"/>
      <c r="O129" s="224"/>
      <c r="P129" s="224"/>
      <c r="Q129" s="224"/>
      <c r="R129" s="224"/>
      <c r="S129" s="224"/>
      <c r="T129" s="224"/>
      <c r="U129" s="224"/>
      <c r="V129" s="224"/>
      <c r="W129" s="224"/>
      <c r="X129" s="224"/>
      <c r="Y129" s="224"/>
      <c r="Z129" s="224"/>
      <c r="AA129" s="224"/>
      <c r="AB129" s="224"/>
      <c r="AC129" s="224"/>
      <c r="AD129" s="224"/>
      <c r="AE129" s="224"/>
      <c r="AF129" s="224"/>
      <c r="AG129" s="224"/>
      <c r="AH129" s="224"/>
      <c r="AI129" s="224"/>
      <c r="AJ129" s="224"/>
      <c r="AK129" s="224"/>
      <c r="AL129" s="224"/>
      <c r="AM129" s="224"/>
      <c r="AN129" s="224"/>
      <c r="AO129" s="224"/>
      <c r="AP129" s="224"/>
      <c r="AQ129" s="224"/>
      <c r="AR129" s="224"/>
      <c r="AS129" s="224"/>
      <c r="AT129" s="224"/>
      <c r="AU129" s="224"/>
      <c r="AV129" s="224"/>
      <c r="AW129" s="224"/>
      <c r="AX129" s="224"/>
      <c r="AY129" s="224"/>
      <c r="AZ129" s="224"/>
      <c r="BA129" s="224"/>
      <c r="BB129" s="224"/>
      <c r="BC129" s="224"/>
      <c r="BD129" s="224"/>
      <c r="BE129" s="224"/>
      <c r="BF129" s="224"/>
      <c r="BG129" s="224"/>
      <c r="BH129" s="224"/>
      <c r="BI129" s="224"/>
    </row>
    <row r="130" spans="2:61" ht="13.25" customHeight="1">
      <c r="B130" s="6" t="s">
        <v>97</v>
      </c>
      <c r="C130" s="214">
        <f t="shared" ref="C130:AH130" si="489">C128*IF(C$51&lt;$C$8,$C$32, $E$32)</f>
        <v>0</v>
      </c>
      <c r="D130" s="214">
        <f t="shared" si="489"/>
        <v>0</v>
      </c>
      <c r="E130" s="214">
        <f t="shared" si="489"/>
        <v>0</v>
      </c>
      <c r="F130" s="214">
        <f t="shared" si="489"/>
        <v>0</v>
      </c>
      <c r="G130" s="214">
        <f t="shared" si="489"/>
        <v>0</v>
      </c>
      <c r="H130" s="214">
        <f t="shared" si="489"/>
        <v>0</v>
      </c>
      <c r="I130" s="214">
        <f t="shared" si="489"/>
        <v>0</v>
      </c>
      <c r="J130" s="214">
        <f t="shared" si="489"/>
        <v>0</v>
      </c>
      <c r="K130" s="214">
        <f t="shared" si="489"/>
        <v>0</v>
      </c>
      <c r="L130" s="214">
        <f t="shared" si="489"/>
        <v>0</v>
      </c>
      <c r="M130" s="214">
        <f t="shared" si="489"/>
        <v>0</v>
      </c>
      <c r="N130" s="214">
        <f t="shared" si="489"/>
        <v>0</v>
      </c>
      <c r="O130" s="214">
        <f t="shared" si="489"/>
        <v>0</v>
      </c>
      <c r="P130" s="214">
        <f t="shared" si="489"/>
        <v>0</v>
      </c>
      <c r="Q130" s="214">
        <f t="shared" si="489"/>
        <v>0</v>
      </c>
      <c r="R130" s="214">
        <f t="shared" si="489"/>
        <v>0</v>
      </c>
      <c r="S130" s="214">
        <f t="shared" si="489"/>
        <v>0</v>
      </c>
      <c r="T130" s="214">
        <f t="shared" si="489"/>
        <v>0</v>
      </c>
      <c r="U130" s="214">
        <f t="shared" si="489"/>
        <v>0</v>
      </c>
      <c r="V130" s="214">
        <f t="shared" si="489"/>
        <v>0</v>
      </c>
      <c r="W130" s="214">
        <f t="shared" si="489"/>
        <v>0</v>
      </c>
      <c r="X130" s="214">
        <f t="shared" si="489"/>
        <v>0</v>
      </c>
      <c r="Y130" s="214">
        <f t="shared" si="489"/>
        <v>0</v>
      </c>
      <c r="Z130" s="214">
        <f t="shared" si="489"/>
        <v>0</v>
      </c>
      <c r="AA130" s="214">
        <f t="shared" si="489"/>
        <v>0</v>
      </c>
      <c r="AB130" s="214">
        <f t="shared" si="489"/>
        <v>0</v>
      </c>
      <c r="AC130" s="214">
        <f t="shared" si="489"/>
        <v>0</v>
      </c>
      <c r="AD130" s="214">
        <f t="shared" si="489"/>
        <v>0</v>
      </c>
      <c r="AE130" s="214">
        <f t="shared" si="489"/>
        <v>0</v>
      </c>
      <c r="AF130" s="214">
        <f t="shared" si="489"/>
        <v>0</v>
      </c>
      <c r="AG130" s="214">
        <f t="shared" si="489"/>
        <v>0</v>
      </c>
      <c r="AH130" s="214">
        <f t="shared" si="489"/>
        <v>0</v>
      </c>
      <c r="AI130" s="214">
        <f t="shared" ref="AI130:BI130" si="490">AI128*IF(AI$51&lt;$C$8,$C$32, $E$32)</f>
        <v>0</v>
      </c>
      <c r="AJ130" s="214">
        <f t="shared" si="490"/>
        <v>0</v>
      </c>
      <c r="AK130" s="214">
        <f t="shared" si="490"/>
        <v>0</v>
      </c>
      <c r="AL130" s="214">
        <f t="shared" si="490"/>
        <v>0</v>
      </c>
      <c r="AM130" s="214">
        <f t="shared" si="490"/>
        <v>0</v>
      </c>
      <c r="AN130" s="214">
        <f t="shared" si="490"/>
        <v>0</v>
      </c>
      <c r="AO130" s="214">
        <f t="shared" si="490"/>
        <v>0</v>
      </c>
      <c r="AP130" s="214">
        <f t="shared" si="490"/>
        <v>0</v>
      </c>
      <c r="AQ130" s="214">
        <f t="shared" si="490"/>
        <v>0</v>
      </c>
      <c r="AR130" s="214">
        <f t="shared" si="490"/>
        <v>0</v>
      </c>
      <c r="AS130" s="214">
        <f t="shared" si="490"/>
        <v>0</v>
      </c>
      <c r="AT130" s="214">
        <f t="shared" si="490"/>
        <v>0</v>
      </c>
      <c r="AU130" s="214">
        <f t="shared" si="490"/>
        <v>0</v>
      </c>
      <c r="AV130" s="214">
        <f t="shared" si="490"/>
        <v>0</v>
      </c>
      <c r="AW130" s="214">
        <f t="shared" si="490"/>
        <v>0</v>
      </c>
      <c r="AX130" s="214">
        <f t="shared" si="490"/>
        <v>0</v>
      </c>
      <c r="AY130" s="214">
        <f t="shared" si="490"/>
        <v>0</v>
      </c>
      <c r="AZ130" s="214">
        <f t="shared" si="490"/>
        <v>0</v>
      </c>
      <c r="BA130" s="214">
        <f t="shared" si="490"/>
        <v>0</v>
      </c>
      <c r="BB130" s="214">
        <f t="shared" si="490"/>
        <v>0</v>
      </c>
      <c r="BC130" s="214">
        <f t="shared" si="490"/>
        <v>0</v>
      </c>
      <c r="BD130" s="214">
        <f t="shared" si="490"/>
        <v>0</v>
      </c>
      <c r="BE130" s="214">
        <f t="shared" si="490"/>
        <v>0</v>
      </c>
      <c r="BF130" s="214">
        <f t="shared" si="490"/>
        <v>0</v>
      </c>
      <c r="BG130" s="214">
        <f t="shared" si="490"/>
        <v>0</v>
      </c>
      <c r="BH130" s="214">
        <f t="shared" si="490"/>
        <v>0</v>
      </c>
      <c r="BI130" s="214">
        <f t="shared" si="490"/>
        <v>0</v>
      </c>
    </row>
    <row r="131" spans="2:61" ht="22.25" customHeight="1">
      <c r="B131" s="6" t="s">
        <v>98</v>
      </c>
      <c r="C131" s="214">
        <f t="shared" ref="C131:AH131" si="491">C128*IF(C$51&lt;$C$8,(1-$C$32), (1-$E$32))</f>
        <v>42.457630958756774</v>
      </c>
      <c r="D131" s="214">
        <f t="shared" si="491"/>
        <v>46.516040358715721</v>
      </c>
      <c r="E131" s="214">
        <f t="shared" si="491"/>
        <v>50.574449758674668</v>
      </c>
      <c r="F131" s="214">
        <f t="shared" si="491"/>
        <v>54.683534377078708</v>
      </c>
      <c r="G131" s="214">
        <f t="shared" si="491"/>
        <v>58.848974401883702</v>
      </c>
      <c r="H131" s="214">
        <f t="shared" si="491"/>
        <v>63.080038440011009</v>
      </c>
      <c r="I131" s="214">
        <f t="shared" si="491"/>
        <v>67.381744254903779</v>
      </c>
      <c r="J131" s="214">
        <f t="shared" si="491"/>
        <v>71.750717145199403</v>
      </c>
      <c r="K131" s="214">
        <f t="shared" si="491"/>
        <v>76.18878189188041</v>
      </c>
      <c r="L131" s="214">
        <f t="shared" si="491"/>
        <v>80.726260828193446</v>
      </c>
      <c r="M131" s="214">
        <f t="shared" si="491"/>
        <v>85.347542519177253</v>
      </c>
      <c r="N131" s="214">
        <f t="shared" si="491"/>
        <v>90.043016274548208</v>
      </c>
      <c r="O131" s="214">
        <f t="shared" si="491"/>
        <v>94.806531361532265</v>
      </c>
      <c r="P131" s="214">
        <f t="shared" si="491"/>
        <v>99.632738875445924</v>
      </c>
      <c r="Q131" s="214">
        <f t="shared" si="491"/>
        <v>104.52396023504805</v>
      </c>
      <c r="R131" s="214">
        <f t="shared" si="491"/>
        <v>109.48470876853894</v>
      </c>
      <c r="S131" s="214">
        <f t="shared" si="491"/>
        <v>114.51526686613269</v>
      </c>
      <c r="T131" s="214">
        <f t="shared" si="491"/>
        <v>119.60994680013221</v>
      </c>
      <c r="U131" s="214">
        <f t="shared" si="491"/>
        <v>124.7679769908241</v>
      </c>
      <c r="V131" s="214">
        <f t="shared" si="491"/>
        <v>130.00043191024895</v>
      </c>
      <c r="W131" s="214">
        <f t="shared" si="491"/>
        <v>135.29826085686548</v>
      </c>
      <c r="X131" s="214">
        <f t="shared" si="491"/>
        <v>140.65753730204202</v>
      </c>
      <c r="Y131" s="214">
        <f t="shared" si="491"/>
        <v>146.07616701849761</v>
      </c>
      <c r="Z131" s="214">
        <f t="shared" si="491"/>
        <v>151.55743569892812</v>
      </c>
      <c r="AA131" s="214">
        <f t="shared" si="491"/>
        <v>157.09961134131822</v>
      </c>
      <c r="AB131" s="214">
        <f t="shared" si="491"/>
        <v>162.69977082648833</v>
      </c>
      <c r="AC131" s="214">
        <f t="shared" si="491"/>
        <v>168.35499186999942</v>
      </c>
      <c r="AD131" s="214">
        <f t="shared" si="491"/>
        <v>174.06199560617935</v>
      </c>
      <c r="AE131" s="214">
        <f t="shared" si="491"/>
        <v>179.81756641650571</v>
      </c>
      <c r="AF131" s="214">
        <f t="shared" si="491"/>
        <v>185.61833582351588</v>
      </c>
      <c r="AG131" s="214">
        <f t="shared" si="491"/>
        <v>191.46268560865499</v>
      </c>
      <c r="AH131" s="214">
        <f t="shared" si="491"/>
        <v>197.35294631828896</v>
      </c>
      <c r="AI131" s="214">
        <f t="shared" ref="AI131:BI131" si="492">AI128*IF(AI$51&lt;$C$8,(1-$C$32), (1-$E$32))</f>
        <v>203.28834429554817</v>
      </c>
      <c r="AJ131" s="214">
        <f t="shared" si="492"/>
        <v>209.26944543217607</v>
      </c>
      <c r="AK131" s="214">
        <f t="shared" si="492"/>
        <v>215.29025241352784</v>
      </c>
      <c r="AL131" s="214">
        <f t="shared" si="492"/>
        <v>221.34483913670871</v>
      </c>
      <c r="AM131" s="214">
        <f t="shared" si="492"/>
        <v>227.42767684777928</v>
      </c>
      <c r="AN131" s="214">
        <f t="shared" si="492"/>
        <v>233.53694680526996</v>
      </c>
      <c r="AO131" s="214">
        <f t="shared" si="492"/>
        <v>239.66994021790663</v>
      </c>
      <c r="AP131" s="214">
        <f t="shared" si="492"/>
        <v>245.82301260732442</v>
      </c>
      <c r="AQ131" s="214">
        <f t="shared" si="492"/>
        <v>251.99871422584113</v>
      </c>
      <c r="AR131" s="214">
        <f t="shared" si="492"/>
        <v>258.20154764299298</v>
      </c>
      <c r="AS131" s="214">
        <f t="shared" si="492"/>
        <v>264.43617438177034</v>
      </c>
      <c r="AT131" s="214">
        <f t="shared" si="492"/>
        <v>270.67080112054771</v>
      </c>
      <c r="AU131" s="214">
        <f t="shared" si="492"/>
        <v>276.90542785932507</v>
      </c>
      <c r="AV131" s="214">
        <f t="shared" si="492"/>
        <v>283.14005459810244</v>
      </c>
      <c r="AW131" s="214">
        <f t="shared" si="492"/>
        <v>289.3746813368798</v>
      </c>
      <c r="AX131" s="214">
        <f t="shared" si="492"/>
        <v>295.60930807565717</v>
      </c>
      <c r="AY131" s="214">
        <f t="shared" si="492"/>
        <v>301.84393481443453</v>
      </c>
      <c r="AZ131" s="214">
        <f t="shared" si="492"/>
        <v>308.0785615532119</v>
      </c>
      <c r="BA131" s="214">
        <f t="shared" si="492"/>
        <v>314.31318829198926</v>
      </c>
      <c r="BB131" s="214">
        <f t="shared" si="492"/>
        <v>320.54781503076663</v>
      </c>
      <c r="BC131" s="214">
        <f t="shared" si="492"/>
        <v>326.78244176954399</v>
      </c>
      <c r="BD131" s="214">
        <f t="shared" si="492"/>
        <v>333.01706850832136</v>
      </c>
      <c r="BE131" s="214">
        <f t="shared" si="492"/>
        <v>339.25169524709872</v>
      </c>
      <c r="BF131" s="214">
        <f t="shared" si="492"/>
        <v>345.48632198587609</v>
      </c>
      <c r="BG131" s="214">
        <f t="shared" si="492"/>
        <v>351.72094872465345</v>
      </c>
      <c r="BH131" s="214">
        <f t="shared" si="492"/>
        <v>357.95557546343082</v>
      </c>
      <c r="BI131" s="214">
        <f t="shared" si="492"/>
        <v>364.19020220220818</v>
      </c>
    </row>
    <row r="132" spans="2:61">
      <c r="B132" s="6" t="s">
        <v>2534</v>
      </c>
      <c r="C132" s="214">
        <f t="shared" ref="C132:AH132" si="493">C130*IF(C$51&lt;$C$8, $C$27,$E$27)</f>
        <v>0</v>
      </c>
      <c r="D132" s="214">
        <f t="shared" si="493"/>
        <v>0</v>
      </c>
      <c r="E132" s="214">
        <f t="shared" si="493"/>
        <v>0</v>
      </c>
      <c r="F132" s="214">
        <f t="shared" si="493"/>
        <v>0</v>
      </c>
      <c r="G132" s="214">
        <f t="shared" si="493"/>
        <v>0</v>
      </c>
      <c r="H132" s="214">
        <f t="shared" si="493"/>
        <v>0</v>
      </c>
      <c r="I132" s="214">
        <f t="shared" si="493"/>
        <v>0</v>
      </c>
      <c r="J132" s="214">
        <f t="shared" si="493"/>
        <v>0</v>
      </c>
      <c r="K132" s="214">
        <f t="shared" si="493"/>
        <v>0</v>
      </c>
      <c r="L132" s="214">
        <f t="shared" si="493"/>
        <v>0</v>
      </c>
      <c r="M132" s="214">
        <f t="shared" si="493"/>
        <v>0</v>
      </c>
      <c r="N132" s="214">
        <f t="shared" si="493"/>
        <v>0</v>
      </c>
      <c r="O132" s="214">
        <f t="shared" si="493"/>
        <v>0</v>
      </c>
      <c r="P132" s="214">
        <f t="shared" si="493"/>
        <v>0</v>
      </c>
      <c r="Q132" s="214">
        <f t="shared" si="493"/>
        <v>0</v>
      </c>
      <c r="R132" s="214">
        <f t="shared" si="493"/>
        <v>0</v>
      </c>
      <c r="S132" s="214">
        <f t="shared" si="493"/>
        <v>0</v>
      </c>
      <c r="T132" s="214">
        <f t="shared" si="493"/>
        <v>0</v>
      </c>
      <c r="U132" s="214">
        <f t="shared" si="493"/>
        <v>0</v>
      </c>
      <c r="V132" s="214">
        <f t="shared" si="493"/>
        <v>0</v>
      </c>
      <c r="W132" s="214">
        <f t="shared" si="493"/>
        <v>0</v>
      </c>
      <c r="X132" s="214">
        <f t="shared" si="493"/>
        <v>0</v>
      </c>
      <c r="Y132" s="214">
        <f t="shared" si="493"/>
        <v>0</v>
      </c>
      <c r="Z132" s="214">
        <f t="shared" si="493"/>
        <v>0</v>
      </c>
      <c r="AA132" s="214">
        <f t="shared" si="493"/>
        <v>0</v>
      </c>
      <c r="AB132" s="214">
        <f t="shared" si="493"/>
        <v>0</v>
      </c>
      <c r="AC132" s="214">
        <f t="shared" si="493"/>
        <v>0</v>
      </c>
      <c r="AD132" s="214">
        <f t="shared" si="493"/>
        <v>0</v>
      </c>
      <c r="AE132" s="214">
        <f t="shared" si="493"/>
        <v>0</v>
      </c>
      <c r="AF132" s="214">
        <f t="shared" si="493"/>
        <v>0</v>
      </c>
      <c r="AG132" s="214">
        <f t="shared" si="493"/>
        <v>0</v>
      </c>
      <c r="AH132" s="214">
        <f t="shared" si="493"/>
        <v>0</v>
      </c>
      <c r="AI132" s="214">
        <f t="shared" ref="AI132:BI132" si="494">AI130*IF(AI$51&lt;$C$8, $C$27,$E$27)</f>
        <v>0</v>
      </c>
      <c r="AJ132" s="214">
        <f t="shared" si="494"/>
        <v>0</v>
      </c>
      <c r="AK132" s="214">
        <f t="shared" si="494"/>
        <v>0</v>
      </c>
      <c r="AL132" s="214">
        <f t="shared" si="494"/>
        <v>0</v>
      </c>
      <c r="AM132" s="214">
        <f t="shared" si="494"/>
        <v>0</v>
      </c>
      <c r="AN132" s="214">
        <f t="shared" si="494"/>
        <v>0</v>
      </c>
      <c r="AO132" s="214">
        <f t="shared" si="494"/>
        <v>0</v>
      </c>
      <c r="AP132" s="214">
        <f t="shared" si="494"/>
        <v>0</v>
      </c>
      <c r="AQ132" s="214">
        <f t="shared" si="494"/>
        <v>0</v>
      </c>
      <c r="AR132" s="214">
        <f t="shared" si="494"/>
        <v>0</v>
      </c>
      <c r="AS132" s="214">
        <f t="shared" si="494"/>
        <v>0</v>
      </c>
      <c r="AT132" s="214">
        <f t="shared" si="494"/>
        <v>0</v>
      </c>
      <c r="AU132" s="214">
        <f t="shared" si="494"/>
        <v>0</v>
      </c>
      <c r="AV132" s="214">
        <f t="shared" si="494"/>
        <v>0</v>
      </c>
      <c r="AW132" s="214">
        <f t="shared" si="494"/>
        <v>0</v>
      </c>
      <c r="AX132" s="214">
        <f t="shared" si="494"/>
        <v>0</v>
      </c>
      <c r="AY132" s="214">
        <f t="shared" si="494"/>
        <v>0</v>
      </c>
      <c r="AZ132" s="214">
        <f t="shared" si="494"/>
        <v>0</v>
      </c>
      <c r="BA132" s="214">
        <f t="shared" si="494"/>
        <v>0</v>
      </c>
      <c r="BB132" s="214">
        <f t="shared" si="494"/>
        <v>0</v>
      </c>
      <c r="BC132" s="214">
        <f t="shared" si="494"/>
        <v>0</v>
      </c>
      <c r="BD132" s="214">
        <f t="shared" si="494"/>
        <v>0</v>
      </c>
      <c r="BE132" s="214">
        <f t="shared" si="494"/>
        <v>0</v>
      </c>
      <c r="BF132" s="214">
        <f t="shared" si="494"/>
        <v>0</v>
      </c>
      <c r="BG132" s="214">
        <f t="shared" si="494"/>
        <v>0</v>
      </c>
      <c r="BH132" s="214">
        <f t="shared" si="494"/>
        <v>0</v>
      </c>
      <c r="BI132" s="214">
        <f t="shared" si="494"/>
        <v>0</v>
      </c>
    </row>
    <row r="133" spans="2:61" ht="13.25" customHeight="1">
      <c r="B133" s="6" t="s">
        <v>3205</v>
      </c>
      <c r="C133" s="214"/>
      <c r="D133" s="536">
        <f>D128-(C131+C132)</f>
        <v>4.058409399958947</v>
      </c>
      <c r="E133" s="214">
        <f t="shared" ref="E133:AJ133" si="495">D133*(1+D$43)</f>
        <v>4.109084618404041</v>
      </c>
      <c r="F133" s="214">
        <f t="shared" si="495"/>
        <v>4.1654400248049921</v>
      </c>
      <c r="G133" s="214">
        <f t="shared" si="495"/>
        <v>4.2310640381273101</v>
      </c>
      <c r="H133" s="214">
        <f t="shared" si="495"/>
        <v>4.301705814892764</v>
      </c>
      <c r="I133" s="214">
        <f t="shared" si="495"/>
        <v>4.3689728902956269</v>
      </c>
      <c r="J133" s="214">
        <f t="shared" si="495"/>
        <v>4.4380647466810066</v>
      </c>
      <c r="K133" s="214">
        <f t="shared" si="495"/>
        <v>4.5374789363130308</v>
      </c>
      <c r="L133" s="214">
        <f t="shared" si="495"/>
        <v>4.6212816909838104</v>
      </c>
      <c r="M133" s="214">
        <f t="shared" si="495"/>
        <v>4.6954737553709558</v>
      </c>
      <c r="N133" s="214">
        <f t="shared" si="495"/>
        <v>4.7635150869840546</v>
      </c>
      <c r="O133" s="214">
        <f t="shared" si="495"/>
        <v>4.8262075139136531</v>
      </c>
      <c r="P133" s="214">
        <f t="shared" si="495"/>
        <v>4.8912213596021257</v>
      </c>
      <c r="Q133" s="214">
        <f t="shared" si="495"/>
        <v>4.9607485334908841</v>
      </c>
      <c r="R133" s="214">
        <f t="shared" si="495"/>
        <v>5.0305580975937518</v>
      </c>
      <c r="S133" s="214">
        <f t="shared" si="495"/>
        <v>5.0946799339995135</v>
      </c>
      <c r="T133" s="214">
        <f t="shared" si="495"/>
        <v>5.1580301906918926</v>
      </c>
      <c r="U133" s="214">
        <f t="shared" si="495"/>
        <v>5.2324549194248515</v>
      </c>
      <c r="V133" s="214">
        <f t="shared" si="495"/>
        <v>5.2978289466165354</v>
      </c>
      <c r="W133" s="214">
        <f t="shared" si="495"/>
        <v>5.3592764451765236</v>
      </c>
      <c r="X133" s="214">
        <f t="shared" si="495"/>
        <v>5.4186297164555963</v>
      </c>
      <c r="Y133" s="214">
        <f t="shared" si="495"/>
        <v>5.4812686804304933</v>
      </c>
      <c r="Z133" s="214">
        <f t="shared" si="495"/>
        <v>5.5421756423901005</v>
      </c>
      <c r="AA133" s="214">
        <f t="shared" si="495"/>
        <v>5.6001594851701206</v>
      </c>
      <c r="AB133" s="214">
        <f t="shared" si="495"/>
        <v>5.6552210435110899</v>
      </c>
      <c r="AC133" s="214">
        <f t="shared" si="495"/>
        <v>5.7070037361799395</v>
      </c>
      <c r="AD133" s="214">
        <f t="shared" si="495"/>
        <v>5.7555708103263683</v>
      </c>
      <c r="AE133" s="214">
        <f t="shared" si="495"/>
        <v>5.8007694070101605</v>
      </c>
      <c r="AF133" s="214">
        <f t="shared" si="495"/>
        <v>5.8443497851391122</v>
      </c>
      <c r="AG133" s="214">
        <f t="shared" si="495"/>
        <v>5.8902607096339583</v>
      </c>
      <c r="AH133" s="214">
        <f t="shared" si="495"/>
        <v>5.9353979772592007</v>
      </c>
      <c r="AI133" s="214">
        <f t="shared" si="495"/>
        <v>5.9811011366278954</v>
      </c>
      <c r="AJ133" s="214">
        <f t="shared" si="495"/>
        <v>6.0208069813517779</v>
      </c>
      <c r="AK133" s="214">
        <f t="shared" ref="AK133:BH133" si="496">AJ133*(1+AJ$43)</f>
        <v>6.054586723180865</v>
      </c>
      <c r="AL133" s="214">
        <f t="shared" si="496"/>
        <v>6.0828377110705745</v>
      </c>
      <c r="AM133" s="214">
        <f t="shared" si="496"/>
        <v>6.109269957490687</v>
      </c>
      <c r="AN133" s="214">
        <f t="shared" si="496"/>
        <v>6.1329934126366688</v>
      </c>
      <c r="AO133" s="214">
        <f t="shared" si="496"/>
        <v>6.1530723894177886</v>
      </c>
      <c r="AP133" s="214">
        <f t="shared" si="496"/>
        <v>6.1757016185167002</v>
      </c>
      <c r="AQ133" s="214">
        <f t="shared" si="496"/>
        <v>6.202833417151842</v>
      </c>
      <c r="AR133" s="214">
        <f t="shared" si="496"/>
        <v>6.2346267387773402</v>
      </c>
      <c r="AS133" s="214">
        <f t="shared" si="496"/>
        <v>6.2346267387773402</v>
      </c>
      <c r="AT133" s="214">
        <f t="shared" si="496"/>
        <v>6.2346267387773402</v>
      </c>
      <c r="AU133" s="214">
        <f t="shared" si="496"/>
        <v>6.2346267387773402</v>
      </c>
      <c r="AV133" s="214">
        <f t="shared" si="496"/>
        <v>6.2346267387773402</v>
      </c>
      <c r="AW133" s="214">
        <f t="shared" si="496"/>
        <v>6.2346267387773402</v>
      </c>
      <c r="AX133" s="214">
        <f t="shared" si="496"/>
        <v>6.2346267387773402</v>
      </c>
      <c r="AY133" s="214">
        <f t="shared" si="496"/>
        <v>6.2346267387773402</v>
      </c>
      <c r="AZ133" s="214">
        <f t="shared" si="496"/>
        <v>6.2346267387773402</v>
      </c>
      <c r="BA133" s="214">
        <f t="shared" si="496"/>
        <v>6.2346267387773402</v>
      </c>
      <c r="BB133" s="214">
        <f t="shared" si="496"/>
        <v>6.2346267387773402</v>
      </c>
      <c r="BC133" s="214">
        <f t="shared" si="496"/>
        <v>6.2346267387773402</v>
      </c>
      <c r="BD133" s="214">
        <f t="shared" si="496"/>
        <v>6.2346267387773402</v>
      </c>
      <c r="BE133" s="214">
        <f t="shared" si="496"/>
        <v>6.2346267387773402</v>
      </c>
      <c r="BF133" s="214">
        <f t="shared" si="496"/>
        <v>6.2346267387773402</v>
      </c>
      <c r="BG133" s="214">
        <f t="shared" si="496"/>
        <v>6.2346267387773402</v>
      </c>
      <c r="BH133" s="214">
        <f t="shared" si="496"/>
        <v>6.2346267387773402</v>
      </c>
    </row>
    <row r="134" spans="2:61" s="151" customFormat="1">
      <c r="B134" s="343"/>
      <c r="C134" s="343"/>
      <c r="D134" s="532"/>
      <c r="E134" s="532"/>
      <c r="F134" s="532"/>
      <c r="G134" s="532"/>
      <c r="H134" s="532"/>
      <c r="I134" s="532"/>
      <c r="J134" s="532"/>
      <c r="K134" s="532"/>
      <c r="L134" s="532"/>
      <c r="M134" s="532"/>
      <c r="N134" s="532"/>
      <c r="O134" s="532"/>
      <c r="P134" s="532"/>
      <c r="Q134" s="532"/>
      <c r="R134" s="532"/>
      <c r="S134" s="532"/>
      <c r="T134" s="532"/>
      <c r="U134" s="532"/>
      <c r="V134" s="532"/>
      <c r="W134" s="532"/>
      <c r="X134" s="532"/>
      <c r="Y134" s="532"/>
      <c r="Z134" s="532"/>
      <c r="AA134" s="532"/>
      <c r="AB134" s="532"/>
      <c r="AC134" s="532"/>
      <c r="AD134" s="532"/>
      <c r="AE134" s="532"/>
      <c r="AF134" s="532"/>
      <c r="AG134" s="532"/>
      <c r="AH134" s="532"/>
      <c r="AI134" s="532"/>
      <c r="AJ134" s="532"/>
      <c r="AK134" s="532"/>
      <c r="AL134" s="532"/>
      <c r="AM134" s="532"/>
      <c r="AN134" s="532"/>
      <c r="AO134" s="532"/>
      <c r="AP134" s="532"/>
      <c r="AQ134" s="532"/>
      <c r="AR134" s="532"/>
      <c r="AS134" s="532"/>
      <c r="AT134" s="532"/>
      <c r="AU134" s="532"/>
      <c r="AV134" s="532"/>
      <c r="AW134" s="532"/>
      <c r="AX134" s="532"/>
      <c r="AY134" s="532"/>
      <c r="AZ134" s="532"/>
      <c r="BA134" s="532"/>
      <c r="BB134" s="532"/>
      <c r="BC134" s="532"/>
      <c r="BD134" s="532"/>
      <c r="BE134" s="532"/>
      <c r="BF134" s="532"/>
      <c r="BG134" s="532"/>
      <c r="BH134" s="532"/>
      <c r="BI134" s="532"/>
    </row>
    <row r="135" spans="2:61" s="4" customFormat="1" ht="26.4" customHeight="1">
      <c r="B135" s="6" t="s">
        <v>3201</v>
      </c>
      <c r="C135" s="220"/>
      <c r="D135" s="220">
        <f>D128/C128-1</f>
        <v>9.5587278619037264E-2</v>
      </c>
      <c r="E135" s="220">
        <f t="shared" ref="E135:BH135" si="497">E128/D128-1</f>
        <v>8.7247525125997205E-2</v>
      </c>
      <c r="F135" s="220">
        <f t="shared" si="497"/>
        <v>8.1248231824790906E-2</v>
      </c>
      <c r="G135" s="220">
        <f t="shared" si="497"/>
        <v>7.617356983697432E-2</v>
      </c>
      <c r="H135" s="220">
        <f t="shared" si="497"/>
        <v>7.1896988539393636E-2</v>
      </c>
      <c r="I135" s="220">
        <f t="shared" si="497"/>
        <v>6.819440699903323E-2</v>
      </c>
      <c r="J135" s="220">
        <f t="shared" si="497"/>
        <v>6.48391183488497E-2</v>
      </c>
      <c r="K135" s="220">
        <f t="shared" si="497"/>
        <v>6.1853942695790032E-2</v>
      </c>
      <c r="L135" s="220">
        <f t="shared" si="497"/>
        <v>5.9555735419844158E-2</v>
      </c>
      <c r="M135" s="220">
        <f t="shared" si="497"/>
        <v>5.7246324102872892E-2</v>
      </c>
      <c r="N135" s="220">
        <f t="shared" si="497"/>
        <v>5.5015922155179808E-2</v>
      </c>
      <c r="O135" s="220">
        <f t="shared" si="497"/>
        <v>5.2902660129240164E-2</v>
      </c>
      <c r="P135" s="220">
        <f t="shared" si="497"/>
        <v>5.0905854740213474E-2</v>
      </c>
      <c r="Q135" s="220">
        <f t="shared" si="497"/>
        <v>4.9092511305112163E-2</v>
      </c>
      <c r="R135" s="220">
        <f t="shared" si="497"/>
        <v>4.7460395897126473E-2</v>
      </c>
      <c r="S135" s="220">
        <f t="shared" si="497"/>
        <v>4.5947586235342008E-2</v>
      </c>
      <c r="T135" s="220">
        <f t="shared" si="497"/>
        <v>4.448908930156148E-2</v>
      </c>
      <c r="U135" s="220">
        <f t="shared" si="497"/>
        <v>4.3123756248390821E-2</v>
      </c>
      <c r="V135" s="220">
        <f t="shared" si="497"/>
        <v>4.1937483043502866E-2</v>
      </c>
      <c r="W135" s="220">
        <f t="shared" si="497"/>
        <v>4.0752394963380567E-2</v>
      </c>
      <c r="X135" s="220">
        <f t="shared" si="497"/>
        <v>3.961083025927592E-2</v>
      </c>
      <c r="Y135" s="220">
        <f t="shared" si="497"/>
        <v>3.852356454115835E-2</v>
      </c>
      <c r="Z135" s="220">
        <f t="shared" si="497"/>
        <v>3.7523360533798789E-2</v>
      </c>
      <c r="AA135" s="220">
        <f t="shared" si="497"/>
        <v>3.6568153959794847E-2</v>
      </c>
      <c r="AB135" s="220">
        <f t="shared" si="497"/>
        <v>3.5647188668106011E-2</v>
      </c>
      <c r="AC135" s="220">
        <f t="shared" si="497"/>
        <v>3.4758629436190791E-2</v>
      </c>
      <c r="AD135" s="220">
        <f t="shared" si="497"/>
        <v>3.3898630939240393E-2</v>
      </c>
      <c r="AE135" s="220">
        <f t="shared" si="497"/>
        <v>3.3066211784383626E-2</v>
      </c>
      <c r="AF135" s="220">
        <f t="shared" si="497"/>
        <v>3.2259192038969209E-2</v>
      </c>
      <c r="AG135" s="220">
        <f t="shared" si="497"/>
        <v>3.1485843029515515E-2</v>
      </c>
      <c r="AH135" s="220">
        <f t="shared" si="497"/>
        <v>3.0764536133549791E-2</v>
      </c>
      <c r="AI135" s="220">
        <f t="shared" si="497"/>
        <v>3.0075041128023727E-2</v>
      </c>
      <c r="AJ135" s="220">
        <f t="shared" si="497"/>
        <v>2.94217612788088E-2</v>
      </c>
      <c r="AK135" s="220">
        <f t="shared" si="497"/>
        <v>2.8770597489365057E-2</v>
      </c>
      <c r="AL135" s="220">
        <f t="shared" si="497"/>
        <v>2.8122902246179082E-2</v>
      </c>
      <c r="AM135" s="220">
        <f t="shared" si="497"/>
        <v>2.7481271913973204E-2</v>
      </c>
      <c r="AN135" s="220">
        <f t="shared" si="497"/>
        <v>2.6862473565957945E-2</v>
      </c>
      <c r="AO135" s="220">
        <f t="shared" si="497"/>
        <v>2.6261341070586752E-2</v>
      </c>
      <c r="AP135" s="220">
        <f t="shared" si="497"/>
        <v>2.5673108541786505E-2</v>
      </c>
      <c r="AQ135" s="220">
        <f t="shared" si="497"/>
        <v>2.5122552819665023E-2</v>
      </c>
      <c r="AR135" s="220">
        <f t="shared" si="497"/>
        <v>2.4614543912287123E-2</v>
      </c>
      <c r="AS135" s="220">
        <f t="shared" si="497"/>
        <v>2.4146356966836535E-2</v>
      </c>
      <c r="AT135" s="220">
        <f t="shared" si="497"/>
        <v>2.3577056933883567E-2</v>
      </c>
      <c r="AU135" s="220">
        <f t="shared" si="497"/>
        <v>2.3033983395943203E-2</v>
      </c>
      <c r="AV135" s="220">
        <f t="shared" si="497"/>
        <v>2.251536485570349E-2</v>
      </c>
      <c r="AW135" s="220">
        <f t="shared" si="497"/>
        <v>2.2019585846400291E-2</v>
      </c>
      <c r="AX135" s="220">
        <f t="shared" si="497"/>
        <v>2.1545170123294932E-2</v>
      </c>
      <c r="AY135" s="220">
        <f t="shared" si="497"/>
        <v>2.1090765982178405E-2</v>
      </c>
      <c r="AZ135" s="220">
        <f t="shared" si="497"/>
        <v>2.0655133397363912E-2</v>
      </c>
      <c r="BA135" s="220">
        <f t="shared" si="497"/>
        <v>2.0237132721422801E-2</v>
      </c>
      <c r="BB135" s="220">
        <f t="shared" si="497"/>
        <v>1.9835714729811382E-2</v>
      </c>
      <c r="BC135" s="220">
        <f t="shared" si="497"/>
        <v>1.9449911827285282E-2</v>
      </c>
      <c r="BD135" s="220">
        <f t="shared" si="497"/>
        <v>1.9078830260942148E-2</v>
      </c>
      <c r="BE135" s="220">
        <f t="shared" si="497"/>
        <v>1.8721643207971317E-2</v>
      </c>
      <c r="BF135" s="220">
        <f t="shared" si="497"/>
        <v>1.8377584625586918E-2</v>
      </c>
      <c r="BG135" s="220">
        <f t="shared" si="497"/>
        <v>1.8045943766862749E-2</v>
      </c>
      <c r="BH135" s="220">
        <f t="shared" si="497"/>
        <v>1.772606027984458E-2</v>
      </c>
    </row>
    <row r="136" spans="2:61" s="9" customFormat="1" ht="13.25" customHeight="1">
      <c r="B136" s="113"/>
      <c r="C136" s="226"/>
      <c r="D136" s="226"/>
      <c r="E136" s="533"/>
      <c r="F136" s="533"/>
      <c r="G136" s="533"/>
      <c r="H136" s="533"/>
      <c r="I136" s="533"/>
      <c r="J136" s="533"/>
      <c r="K136" s="533"/>
      <c r="L136" s="533"/>
      <c r="M136" s="533"/>
      <c r="N136" s="533"/>
      <c r="O136" s="533"/>
      <c r="P136" s="533"/>
      <c r="Q136" s="533"/>
      <c r="R136" s="533"/>
      <c r="S136" s="226"/>
      <c r="T136" s="226"/>
      <c r="U136" s="226"/>
      <c r="V136" s="226"/>
      <c r="W136" s="226"/>
      <c r="X136" s="226"/>
      <c r="Y136" s="226"/>
      <c r="Z136" s="226"/>
      <c r="AA136" s="226"/>
      <c r="AB136" s="226"/>
      <c r="AC136" s="226"/>
      <c r="AD136" s="226"/>
      <c r="AE136" s="226"/>
      <c r="AF136" s="226"/>
      <c r="AG136" s="226"/>
      <c r="AH136" s="226"/>
      <c r="AI136" s="226"/>
      <c r="AJ136" s="226"/>
      <c r="AK136" s="226"/>
      <c r="AL136" s="226"/>
      <c r="AM136" s="226"/>
      <c r="AN136" s="226"/>
      <c r="AO136" s="226"/>
      <c r="AP136" s="226"/>
      <c r="AQ136" s="226"/>
      <c r="AR136" s="226"/>
      <c r="AS136" s="226"/>
      <c r="AT136" s="226"/>
      <c r="AU136" s="226"/>
      <c r="AV136" s="226"/>
      <c r="AW136" s="226"/>
      <c r="AX136" s="226"/>
      <c r="AY136" s="226"/>
      <c r="AZ136" s="226"/>
      <c r="BA136" s="226"/>
      <c r="BB136" s="226"/>
      <c r="BC136" s="226"/>
      <c r="BD136" s="226"/>
      <c r="BE136" s="226"/>
      <c r="BF136" s="226"/>
      <c r="BG136" s="226"/>
      <c r="BH136" s="226"/>
    </row>
    <row r="137" spans="2:61">
      <c r="B137" s="9"/>
    </row>
    <row r="138" spans="2:61">
      <c r="B138" s="34"/>
      <c r="C138" s="387">
        <f>Epidemiology!$C$89</f>
        <v>2020</v>
      </c>
      <c r="D138" s="34">
        <f t="shared" ref="D138" si="498">C138+1</f>
        <v>2021</v>
      </c>
      <c r="E138" s="34">
        <f t="shared" ref="E138" si="499">D138+1</f>
        <v>2022</v>
      </c>
      <c r="F138" s="34">
        <f t="shared" ref="F138" si="500">E138+1</f>
        <v>2023</v>
      </c>
      <c r="G138" s="34">
        <f t="shared" ref="G138" si="501">F138+1</f>
        <v>2024</v>
      </c>
      <c r="H138" s="34">
        <f t="shared" ref="H138" si="502">G138+1</f>
        <v>2025</v>
      </c>
      <c r="I138" s="34">
        <f t="shared" ref="I138" si="503">H138+1</f>
        <v>2026</v>
      </c>
      <c r="J138" s="34">
        <f t="shared" ref="J138" si="504">I138+1</f>
        <v>2027</v>
      </c>
      <c r="K138" s="34">
        <f t="shared" ref="K138" si="505">J138+1</f>
        <v>2028</v>
      </c>
      <c r="L138" s="34">
        <f t="shared" ref="L138" si="506">K138+1</f>
        <v>2029</v>
      </c>
      <c r="M138" s="34">
        <f t="shared" ref="M138" si="507">L138+1</f>
        <v>2030</v>
      </c>
      <c r="N138" s="34">
        <f t="shared" ref="N138" si="508">M138+1</f>
        <v>2031</v>
      </c>
      <c r="O138" s="34">
        <f t="shared" ref="O138" si="509">N138+1</f>
        <v>2032</v>
      </c>
      <c r="P138" s="34">
        <f t="shared" ref="P138" si="510">O138+1</f>
        <v>2033</v>
      </c>
      <c r="Q138" s="34">
        <f t="shared" ref="Q138" si="511">P138+1</f>
        <v>2034</v>
      </c>
      <c r="R138" s="34">
        <f t="shared" ref="R138" si="512">Q138+1</f>
        <v>2035</v>
      </c>
      <c r="S138" s="34">
        <f t="shared" ref="S138" si="513">R138+1</f>
        <v>2036</v>
      </c>
      <c r="T138" s="34">
        <f t="shared" ref="T138" si="514">S138+1</f>
        <v>2037</v>
      </c>
      <c r="U138" s="34">
        <f t="shared" ref="U138" si="515">T138+1</f>
        <v>2038</v>
      </c>
      <c r="V138" s="34">
        <f t="shared" ref="V138" si="516">U138+1</f>
        <v>2039</v>
      </c>
      <c r="W138" s="34">
        <f t="shared" ref="W138" si="517">V138+1</f>
        <v>2040</v>
      </c>
      <c r="X138" s="34">
        <f t="shared" ref="X138" si="518">W138+1</f>
        <v>2041</v>
      </c>
      <c r="Y138" s="34">
        <f t="shared" ref="Y138" si="519">X138+1</f>
        <v>2042</v>
      </c>
      <c r="Z138" s="34">
        <f t="shared" ref="Z138" si="520">Y138+1</f>
        <v>2043</v>
      </c>
      <c r="AA138" s="34">
        <f t="shared" ref="AA138" si="521">Z138+1</f>
        <v>2044</v>
      </c>
      <c r="AB138" s="34">
        <f t="shared" ref="AB138" si="522">AA138+1</f>
        <v>2045</v>
      </c>
      <c r="AC138" s="34">
        <f t="shared" ref="AC138" si="523">AB138+1</f>
        <v>2046</v>
      </c>
      <c r="AD138" s="34">
        <f t="shared" ref="AD138" si="524">AC138+1</f>
        <v>2047</v>
      </c>
      <c r="AE138" s="34">
        <f t="shared" ref="AE138" si="525">AD138+1</f>
        <v>2048</v>
      </c>
      <c r="AF138" s="34">
        <f t="shared" ref="AF138" si="526">AE138+1</f>
        <v>2049</v>
      </c>
      <c r="AG138" s="34">
        <f t="shared" ref="AG138" si="527">AF138+1</f>
        <v>2050</v>
      </c>
      <c r="AH138" s="34">
        <f t="shared" ref="AH138" si="528">AG138+1</f>
        <v>2051</v>
      </c>
      <c r="AI138" s="34">
        <f t="shared" ref="AI138" si="529">AH138+1</f>
        <v>2052</v>
      </c>
      <c r="AJ138" s="34">
        <f t="shared" ref="AJ138" si="530">AI138+1</f>
        <v>2053</v>
      </c>
      <c r="AK138" s="34">
        <f t="shared" ref="AK138" si="531">AJ138+1</f>
        <v>2054</v>
      </c>
      <c r="AL138" s="34">
        <f t="shared" ref="AL138" si="532">AK138+1</f>
        <v>2055</v>
      </c>
      <c r="AM138" s="34">
        <f t="shared" ref="AM138" si="533">AL138+1</f>
        <v>2056</v>
      </c>
      <c r="AN138" s="34">
        <f t="shared" ref="AN138" si="534">AM138+1</f>
        <v>2057</v>
      </c>
      <c r="AO138" s="34">
        <f t="shared" ref="AO138" si="535">AN138+1</f>
        <v>2058</v>
      </c>
      <c r="AP138" s="34">
        <f t="shared" ref="AP138" si="536">AO138+1</f>
        <v>2059</v>
      </c>
      <c r="AQ138" s="34">
        <f t="shared" ref="AQ138" si="537">AP138+1</f>
        <v>2060</v>
      </c>
      <c r="AR138" s="34">
        <f t="shared" ref="AR138" si="538">AQ138+1</f>
        <v>2061</v>
      </c>
      <c r="AS138" s="34">
        <f t="shared" ref="AS138" si="539">AR138+1</f>
        <v>2062</v>
      </c>
      <c r="AT138" s="34">
        <f t="shared" ref="AT138" si="540">AS138+1</f>
        <v>2063</v>
      </c>
      <c r="AU138" s="34">
        <f t="shared" ref="AU138" si="541">AT138+1</f>
        <v>2064</v>
      </c>
      <c r="AV138" s="34">
        <f t="shared" ref="AV138" si="542">AU138+1</f>
        <v>2065</v>
      </c>
      <c r="AW138" s="34">
        <f t="shared" ref="AW138" si="543">AV138+1</f>
        <v>2066</v>
      </c>
      <c r="AX138" s="34">
        <f t="shared" ref="AX138" si="544">AW138+1</f>
        <v>2067</v>
      </c>
      <c r="AY138" s="34">
        <f t="shared" ref="AY138" si="545">AX138+1</f>
        <v>2068</v>
      </c>
      <c r="AZ138" s="34">
        <f t="shared" ref="AZ138" si="546">AY138+1</f>
        <v>2069</v>
      </c>
      <c r="BA138" s="34">
        <f t="shared" ref="BA138" si="547">AZ138+1</f>
        <v>2070</v>
      </c>
      <c r="BB138" s="34">
        <f t="shared" ref="BB138" si="548">BA138+1</f>
        <v>2071</v>
      </c>
      <c r="BC138" s="34">
        <f t="shared" ref="BC138" si="549">BB138+1</f>
        <v>2072</v>
      </c>
      <c r="BD138" s="34">
        <f t="shared" ref="BD138" si="550">BC138+1</f>
        <v>2073</v>
      </c>
      <c r="BE138" s="34"/>
      <c r="BF138" s="34"/>
      <c r="BG138" s="34"/>
      <c r="BH138" s="34"/>
    </row>
    <row r="139" spans="2:61" s="522" customFormat="1" ht="13.25" customHeight="1">
      <c r="B139" s="523" t="s">
        <v>3211</v>
      </c>
      <c r="C139" s="524">
        <f>IF(C$82&lt;$C$8,    'Wound growth'!C125,  INDEX($C$135:$BH$135, MATCH(C138, $C$51:$BH$51,0)))</f>
        <v>0</v>
      </c>
      <c r="D139" s="524">
        <f>IF(D$82&lt;$C$8,    'Wound growth'!D125,  INDEX($C$135:$BH$135, MATCH(D138, $C$51:$BH$51,0)))</f>
        <v>0.11461243240161556</v>
      </c>
      <c r="E139" s="524">
        <f>IF(E$82&lt;$C$8,    'Wound growth'!E125,  INDEX($C$135:$BH$135, MATCH(E138, $C$51:$BH$51,0)))</f>
        <v>0.10411110987465544</v>
      </c>
      <c r="F139" s="524">
        <f>IF(F$82&lt;$C$8,    'Wound growth'!F125,  INDEX($C$135:$BH$135, MATCH(F138, $C$51:$BH$51,0)))</f>
        <v>9.5587278619037264E-2</v>
      </c>
      <c r="G139" s="524">
        <f>IF(G$82&lt;$C$8,    'Wound growth'!G125,  INDEX($C$135:$BH$135, MATCH(G138, $C$51:$BH$51,0)))</f>
        <v>8.7247525125997205E-2</v>
      </c>
      <c r="H139" s="524">
        <f>IF(H$82&lt;$C$8,    'Wound growth'!H125,  INDEX($C$135:$BH$135, MATCH(H138, $C$51:$BH$51,0)))</f>
        <v>8.1248231824790906E-2</v>
      </c>
      <c r="I139" s="524">
        <f>IF(I$82&lt;$C$8,    'Wound growth'!I125,  INDEX($C$135:$BH$135, MATCH(I138, $C$51:$BH$51,0)))</f>
        <v>7.617356983697432E-2</v>
      </c>
      <c r="J139" s="524">
        <f>IF(J$82&lt;$C$8,    'Wound growth'!J125,  INDEX($C$135:$BH$135, MATCH(J138, $C$51:$BH$51,0)))</f>
        <v>7.1896988539393636E-2</v>
      </c>
      <c r="K139" s="524">
        <f>IF(K$82&lt;$C$8,    'Wound growth'!K125,  INDEX($C$135:$BH$135, MATCH(K138, $C$51:$BH$51,0)))</f>
        <v>6.819440699903323E-2</v>
      </c>
      <c r="L139" s="524">
        <f>IF(L$82&lt;$C$8,    'Wound growth'!L125,  INDEX($C$135:$BH$135, MATCH(L138, $C$51:$BH$51,0)))</f>
        <v>6.48391183488497E-2</v>
      </c>
      <c r="M139" s="524">
        <f>IF(M$82&lt;$C$8,    'Wound growth'!M125,  INDEX($C$135:$BH$135, MATCH(M138, $C$51:$BH$51,0)))</f>
        <v>6.1853942695790032E-2</v>
      </c>
      <c r="N139" s="524">
        <f>IF(N$82&lt;$C$8,    'Wound growth'!N125,  INDEX($C$135:$BH$135, MATCH(N138, $C$51:$BH$51,0)))</f>
        <v>5.9555735419844158E-2</v>
      </c>
      <c r="O139" s="524">
        <f>IF(O$82&lt;$C$8,    'Wound growth'!O125,  INDEX($C$135:$BH$135, MATCH(O138, $C$51:$BH$51,0)))</f>
        <v>5.7246324102872892E-2</v>
      </c>
      <c r="P139" s="524">
        <f>IF(P$82&lt;$C$8,    'Wound growth'!P125,  INDEX($C$135:$BH$135, MATCH(P138, $C$51:$BH$51,0)))</f>
        <v>5.5015922155179808E-2</v>
      </c>
      <c r="Q139" s="524">
        <f>IF(Q$82&lt;$C$8,    'Wound growth'!Q125,  INDEX($C$135:$BH$135, MATCH(Q138, $C$51:$BH$51,0)))</f>
        <v>5.2902660129240164E-2</v>
      </c>
      <c r="R139" s="524">
        <f>IF(R$82&lt;$C$8,    'Wound growth'!R125,  INDEX($C$135:$BH$135, MATCH(R138, $C$51:$BH$51,0)))</f>
        <v>5.0905854740213474E-2</v>
      </c>
      <c r="S139" s="524">
        <f>IF(S$82&lt;$C$8,    'Wound growth'!S125,  INDEX($C$135:$BH$135, MATCH(S138, $C$51:$BH$51,0)))</f>
        <v>4.9092511305112163E-2</v>
      </c>
      <c r="T139" s="524">
        <f>IF(T$82&lt;$C$8,    'Wound growth'!T125,  INDEX($C$135:$BH$135, MATCH(T138, $C$51:$BH$51,0)))</f>
        <v>4.7460395897126473E-2</v>
      </c>
      <c r="U139" s="524">
        <f>IF(U$82&lt;$C$8,    'Wound growth'!U125,  INDEX($C$135:$BH$135, MATCH(U138, $C$51:$BH$51,0)))</f>
        <v>4.5947586235342008E-2</v>
      </c>
      <c r="V139" s="524">
        <f>IF(V$82&lt;$C$8,    'Wound growth'!V125,  INDEX($C$135:$BH$135, MATCH(V138, $C$51:$BH$51,0)))</f>
        <v>4.448908930156148E-2</v>
      </c>
      <c r="W139" s="524">
        <f>IF(W$82&lt;$C$8,    'Wound growth'!W125,  INDEX($C$135:$BH$135, MATCH(W138, $C$51:$BH$51,0)))</f>
        <v>4.3123756248390821E-2</v>
      </c>
      <c r="X139" s="524">
        <f>IF(X$82&lt;$C$8,    'Wound growth'!X125,  INDEX($C$135:$BH$135, MATCH(X138, $C$51:$BH$51,0)))</f>
        <v>4.1937483043502866E-2</v>
      </c>
      <c r="Y139" s="524">
        <f>IF(Y$82&lt;$C$8,    'Wound growth'!Y125,  INDEX($C$135:$BH$135, MATCH(Y138, $C$51:$BH$51,0)))</f>
        <v>4.0752394963380567E-2</v>
      </c>
      <c r="Z139" s="524">
        <f>IF(Z$82&lt;$C$8,    'Wound growth'!Z125,  INDEX($C$135:$BH$135, MATCH(Z138, $C$51:$BH$51,0)))</f>
        <v>3.961083025927592E-2</v>
      </c>
      <c r="AA139" s="524">
        <f>IF(AA$82&lt;$C$8,    'Wound growth'!AA125,  INDEX($C$135:$BH$135, MATCH(AA138, $C$51:$BH$51,0)))</f>
        <v>3.852356454115835E-2</v>
      </c>
      <c r="AB139" s="524">
        <f>IF(AB$82&lt;$C$8,    'Wound growth'!AB125,  INDEX($C$135:$BH$135, MATCH(AB138, $C$51:$BH$51,0)))</f>
        <v>3.7523360533798789E-2</v>
      </c>
      <c r="AC139" s="524">
        <f>IF(AC$82&lt;$C$8,    'Wound growth'!AC125,  INDEX($C$135:$BH$135, MATCH(AC138, $C$51:$BH$51,0)))</f>
        <v>3.6568153959794847E-2</v>
      </c>
      <c r="AD139" s="524">
        <f>IF(AD$82&lt;$C$8,    'Wound growth'!AD125,  INDEX($C$135:$BH$135, MATCH(AD138, $C$51:$BH$51,0)))</f>
        <v>3.5647188668106011E-2</v>
      </c>
      <c r="AE139" s="524">
        <f>IF(AE$82&lt;$C$8,    'Wound growth'!AE125,  INDEX($C$135:$BH$135, MATCH(AE138, $C$51:$BH$51,0)))</f>
        <v>3.4758629436190791E-2</v>
      </c>
      <c r="AF139" s="524">
        <f>IF(AF$82&lt;$C$8,    'Wound growth'!AF125,  INDEX($C$135:$BH$135, MATCH(AF138, $C$51:$BH$51,0)))</f>
        <v>3.3898630939240393E-2</v>
      </c>
      <c r="AG139" s="524">
        <f>IF(AG$82&lt;$C$8,    'Wound growth'!AG125,  INDEX($C$135:$BH$135, MATCH(AG138, $C$51:$BH$51,0)))</f>
        <v>3.3066211784383626E-2</v>
      </c>
      <c r="AH139" s="524">
        <f>IF(AH$82&lt;$C$8,    'Wound growth'!AH125,  INDEX($C$135:$BH$135, MATCH(AH138, $C$51:$BH$51,0)))</f>
        <v>3.2259192038969209E-2</v>
      </c>
      <c r="AI139" s="524">
        <f>IF(AI$82&lt;$C$8,    'Wound growth'!AI125,  INDEX($C$135:$BH$135, MATCH(AI138, $C$51:$BH$51,0)))</f>
        <v>3.1485843029515515E-2</v>
      </c>
      <c r="AJ139" s="524">
        <f>IF(AJ$82&lt;$C$8,    'Wound growth'!AJ125,  INDEX($C$135:$BH$135, MATCH(AJ138, $C$51:$BH$51,0)))</f>
        <v>3.0764536133549791E-2</v>
      </c>
      <c r="AK139" s="524">
        <f>IF(AK$82&lt;$C$8,    'Wound growth'!AK125,  INDEX($C$135:$BH$135, MATCH(AK138, $C$51:$BH$51,0)))</f>
        <v>3.0075041128023727E-2</v>
      </c>
      <c r="AL139" s="524">
        <f>IF(AL$82&lt;$C$8,    'Wound growth'!AL125,  INDEX($C$135:$BH$135, MATCH(AL138, $C$51:$BH$51,0)))</f>
        <v>2.94217612788088E-2</v>
      </c>
      <c r="AM139" s="524">
        <f>IF(AM$82&lt;$C$8,    'Wound growth'!AM125,  INDEX($C$135:$BH$135, MATCH(AM138, $C$51:$BH$51,0)))</f>
        <v>2.8770597489365057E-2</v>
      </c>
      <c r="AN139" s="524">
        <f>IF(AN$82&lt;$C$8,    'Wound growth'!AN125,  INDEX($C$135:$BH$135, MATCH(AN138, $C$51:$BH$51,0)))</f>
        <v>2.8122902246179082E-2</v>
      </c>
      <c r="AO139" s="524">
        <f>IF(AO$82&lt;$C$8,    'Wound growth'!AO125,  INDEX($C$135:$BH$135, MATCH(AO138, $C$51:$BH$51,0)))</f>
        <v>2.7481271913973204E-2</v>
      </c>
      <c r="AP139" s="524">
        <f>IF(AP$82&lt;$C$8,    'Wound growth'!AP125,  INDEX($C$135:$BH$135, MATCH(AP138, $C$51:$BH$51,0)))</f>
        <v>2.6862473565957945E-2</v>
      </c>
      <c r="AQ139" s="524">
        <f>IF(AQ$82&lt;$C$8,    'Wound growth'!AQ125,  INDEX($C$135:$BH$135, MATCH(AQ138, $C$51:$BH$51,0)))</f>
        <v>2.6261341070586752E-2</v>
      </c>
      <c r="AR139" s="524">
        <f>IF(AR$82&lt;$C$8,    'Wound growth'!AR125,  INDEX($C$135:$BH$135, MATCH(AR138, $C$51:$BH$51,0)))</f>
        <v>2.5673108541786505E-2</v>
      </c>
      <c r="AS139" s="524">
        <f>IF(AS$82&lt;$C$8,    'Wound growth'!AS125,  INDEX($C$135:$BH$135, MATCH(AS138, $C$51:$BH$51,0)))</f>
        <v>2.5122552819665023E-2</v>
      </c>
      <c r="AT139" s="524">
        <f>IF(AT$82&lt;$C$8,    'Wound growth'!AT125,  INDEX($C$135:$BH$135, MATCH(AT138, $C$51:$BH$51,0)))</f>
        <v>2.4614543912287123E-2</v>
      </c>
      <c r="AU139" s="524">
        <f>IF(AU$82&lt;$C$8,    'Wound growth'!AU125,  INDEX($C$135:$BH$135, MATCH(AU138, $C$51:$BH$51,0)))</f>
        <v>2.4146356966836535E-2</v>
      </c>
      <c r="AV139" s="524">
        <f>IF(AV$82&lt;$C$8,    'Wound growth'!AV125,  INDEX($C$135:$BH$135, MATCH(AV138, $C$51:$BH$51,0)))</f>
        <v>2.3577056933883567E-2</v>
      </c>
      <c r="AW139" s="524">
        <f>IF(AW$82&lt;$C$8,    'Wound growth'!AW125,  INDEX($C$135:$BH$135, MATCH(AW138, $C$51:$BH$51,0)))</f>
        <v>2.3033983395943203E-2</v>
      </c>
      <c r="AX139" s="524">
        <f>IF(AX$82&lt;$C$8,    'Wound growth'!AX125,  INDEX($C$135:$BH$135, MATCH(AX138, $C$51:$BH$51,0)))</f>
        <v>2.251536485570349E-2</v>
      </c>
      <c r="AY139" s="524">
        <f>IF(AY$82&lt;$C$8,    'Wound growth'!AY125,  INDEX($C$135:$BH$135, MATCH(AY138, $C$51:$BH$51,0)))</f>
        <v>2.2019585846400291E-2</v>
      </c>
      <c r="AZ139" s="524">
        <f>IF(AZ$82&lt;$C$8,    'Wound growth'!AZ125,  INDEX($C$135:$BH$135, MATCH(AZ138, $C$51:$BH$51,0)))</f>
        <v>2.1545170123294932E-2</v>
      </c>
      <c r="BA139" s="524">
        <f>IF(BA$82&lt;$C$8,    'Wound growth'!BA125,  INDEX($C$135:$BH$135, MATCH(BA138, $C$51:$BH$51,0)))</f>
        <v>2.1090765982178405E-2</v>
      </c>
      <c r="BB139" s="524">
        <f>IF(BB$82&lt;$C$8,    'Wound growth'!BB125,  INDEX($C$135:$BH$135, MATCH(BB138, $C$51:$BH$51,0)))</f>
        <v>2.0655133397363912E-2</v>
      </c>
      <c r="BC139" s="524">
        <f>IF(BC$82&lt;$C$8,    'Wound growth'!BC125,  INDEX($C$135:$BH$135, MATCH(BC138, $C$51:$BH$51,0)))</f>
        <v>2.0237132721422801E-2</v>
      </c>
      <c r="BD139" s="524">
        <f>IF(BD$82&lt;$C$8,    'Wound growth'!BD125,  INDEX($C$135:$BH$135, MATCH(BD138, $C$51:$BH$51,0)))</f>
        <v>1.9835714729811382E-2</v>
      </c>
      <c r="BE139" s="524"/>
      <c r="BF139" s="524"/>
      <c r="BG139" s="524"/>
    </row>
    <row r="140" spans="2:61">
      <c r="C140" s="108"/>
    </row>
    <row r="141" spans="2:61">
      <c r="C141" s="108"/>
      <c r="E141" s="19"/>
      <c r="F141" s="19"/>
      <c r="G141" s="19"/>
      <c r="H141" s="19"/>
      <c r="I141" s="19"/>
      <c r="J141" s="19"/>
      <c r="K141" s="19"/>
      <c r="L141" s="19"/>
      <c r="M141" s="19"/>
      <c r="N141" s="19"/>
      <c r="O141" s="19"/>
      <c r="P141" s="19"/>
      <c r="Q141" s="19"/>
      <c r="R141" s="19"/>
      <c r="S141" s="19"/>
      <c r="T141" s="19"/>
      <c r="U141" s="19"/>
      <c r="V141" s="19"/>
      <c r="W141" s="19"/>
      <c r="X141" s="19"/>
    </row>
    <row r="201" spans="4:32">
      <c r="D201" s="395"/>
      <c r="E201" s="395"/>
      <c r="F201" s="395"/>
      <c r="G201" s="395"/>
      <c r="H201" s="395"/>
      <c r="I201" s="395"/>
      <c r="J201" s="395"/>
      <c r="K201" s="395"/>
      <c r="L201" s="395"/>
      <c r="M201" s="395"/>
      <c r="N201" s="395"/>
      <c r="O201" s="395"/>
      <c r="P201" s="395"/>
      <c r="Q201" s="395"/>
      <c r="R201" s="395"/>
      <c r="S201" s="395"/>
      <c r="T201" s="395"/>
      <c r="U201" s="395"/>
      <c r="V201" s="395"/>
      <c r="W201" s="395"/>
      <c r="X201" s="395"/>
      <c r="Y201" s="395"/>
      <c r="Z201" s="395"/>
      <c r="AA201" s="395"/>
      <c r="AB201" s="395"/>
      <c r="AC201" s="395"/>
      <c r="AD201" s="395"/>
      <c r="AE201" s="395"/>
      <c r="AF201" s="395"/>
    </row>
    <row r="202" spans="4:32">
      <c r="D202" s="395"/>
      <c r="E202" s="395"/>
      <c r="F202" s="395"/>
      <c r="G202" s="395"/>
      <c r="H202" s="395"/>
      <c r="I202" s="395"/>
      <c r="J202" s="395"/>
      <c r="K202" s="395"/>
      <c r="L202" s="395"/>
      <c r="M202" s="395"/>
      <c r="N202" s="395"/>
      <c r="O202" s="395"/>
      <c r="P202" s="395"/>
      <c r="Q202" s="395"/>
      <c r="R202" s="395"/>
      <c r="S202" s="395"/>
      <c r="T202" s="395"/>
      <c r="U202" s="395"/>
      <c r="V202" s="395"/>
      <c r="W202" s="395"/>
      <c r="X202" s="395"/>
      <c r="Y202" s="395"/>
      <c r="Z202" s="395"/>
      <c r="AA202" s="395"/>
      <c r="AB202" s="395"/>
      <c r="AC202" s="395"/>
      <c r="AD202" s="395"/>
      <c r="AE202" s="395"/>
      <c r="AF202" s="395"/>
    </row>
    <row r="203" spans="4:32">
      <c r="D203" s="395"/>
      <c r="E203" s="395"/>
      <c r="F203" s="395"/>
      <c r="G203" s="395"/>
      <c r="H203" s="395"/>
      <c r="I203" s="395"/>
      <c r="J203" s="395"/>
      <c r="K203" s="395"/>
      <c r="L203" s="395"/>
      <c r="M203" s="395"/>
      <c r="N203" s="395"/>
      <c r="O203" s="395"/>
      <c r="P203" s="395"/>
      <c r="Q203" s="395"/>
      <c r="R203" s="395"/>
      <c r="S203" s="395"/>
      <c r="T203" s="395"/>
      <c r="U203" s="395"/>
      <c r="V203" s="395"/>
      <c r="W203" s="395"/>
      <c r="X203" s="395"/>
      <c r="Y203" s="395"/>
      <c r="Z203" s="395"/>
      <c r="AA203" s="395"/>
      <c r="AB203" s="395"/>
      <c r="AC203" s="395"/>
      <c r="AD203" s="395"/>
      <c r="AE203" s="395"/>
      <c r="AF203" s="395"/>
    </row>
    <row r="204" spans="4:32">
      <c r="D204" s="395"/>
      <c r="E204" s="395"/>
      <c r="F204" s="395"/>
      <c r="G204" s="395"/>
      <c r="H204" s="395"/>
      <c r="I204" s="395"/>
      <c r="J204" s="395"/>
      <c r="K204" s="395"/>
      <c r="L204" s="395"/>
      <c r="M204" s="395"/>
      <c r="N204" s="395"/>
      <c r="O204" s="395"/>
      <c r="P204" s="395"/>
      <c r="Q204" s="395"/>
      <c r="R204" s="395"/>
      <c r="S204" s="395"/>
      <c r="T204" s="395"/>
      <c r="U204" s="395"/>
      <c r="V204" s="395"/>
      <c r="W204" s="395"/>
      <c r="X204" s="395"/>
      <c r="Y204" s="395"/>
      <c r="Z204" s="395"/>
      <c r="AA204" s="395"/>
      <c r="AB204" s="395"/>
      <c r="AC204" s="395"/>
      <c r="AD204" s="395"/>
      <c r="AE204" s="395"/>
      <c r="AF204" s="395"/>
    </row>
    <row r="205" spans="4:32">
      <c r="D205" s="395"/>
      <c r="E205" s="395"/>
      <c r="F205" s="395"/>
      <c r="G205" s="395"/>
      <c r="H205" s="395"/>
      <c r="I205" s="395"/>
      <c r="J205" s="395"/>
      <c r="K205" s="395"/>
      <c r="L205" s="395"/>
      <c r="M205" s="395"/>
      <c r="N205" s="395"/>
      <c r="O205" s="395"/>
      <c r="P205" s="395"/>
      <c r="Q205" s="395"/>
      <c r="R205" s="395"/>
      <c r="S205" s="395"/>
      <c r="T205" s="395"/>
      <c r="U205" s="395"/>
      <c r="V205" s="395"/>
      <c r="W205" s="395"/>
      <c r="X205" s="395"/>
      <c r="Y205" s="395"/>
      <c r="Z205" s="395"/>
      <c r="AA205" s="395"/>
      <c r="AB205" s="395"/>
      <c r="AC205" s="395"/>
      <c r="AD205" s="395"/>
      <c r="AE205" s="395"/>
      <c r="AF205" s="395"/>
    </row>
    <row r="206" spans="4:32">
      <c r="D206" s="395"/>
      <c r="E206" s="395"/>
      <c r="F206" s="395"/>
      <c r="G206" s="395"/>
      <c r="H206" s="395"/>
      <c r="I206" s="395"/>
      <c r="J206" s="395"/>
      <c r="K206" s="395"/>
      <c r="L206" s="395"/>
      <c r="M206" s="395"/>
      <c r="N206" s="395"/>
      <c r="O206" s="395"/>
      <c r="P206" s="395"/>
      <c r="Q206" s="395"/>
      <c r="R206" s="395"/>
      <c r="S206" s="395"/>
      <c r="T206" s="395"/>
      <c r="U206" s="395"/>
      <c r="V206" s="395"/>
      <c r="W206" s="395"/>
      <c r="X206" s="395"/>
      <c r="Y206" s="395"/>
      <c r="Z206" s="395"/>
      <c r="AA206" s="395"/>
      <c r="AB206" s="395"/>
      <c r="AC206" s="395"/>
      <c r="AD206" s="395"/>
      <c r="AE206" s="395"/>
      <c r="AF206" s="395"/>
    </row>
    <row r="207" spans="4:32">
      <c r="D207" s="395"/>
      <c r="E207" s="395"/>
      <c r="F207" s="395"/>
      <c r="G207" s="395"/>
      <c r="H207" s="395"/>
      <c r="I207" s="395"/>
      <c r="J207" s="395"/>
      <c r="K207" s="395"/>
      <c r="L207" s="395"/>
      <c r="M207" s="395"/>
      <c r="N207" s="395"/>
      <c r="O207" s="395"/>
      <c r="P207" s="395"/>
      <c r="Q207" s="395"/>
      <c r="R207" s="395"/>
      <c r="S207" s="395"/>
      <c r="T207" s="395"/>
      <c r="U207" s="395"/>
      <c r="V207" s="395"/>
      <c r="W207" s="395"/>
      <c r="X207" s="395"/>
      <c r="Y207" s="395"/>
      <c r="Z207" s="395"/>
      <c r="AA207" s="395"/>
      <c r="AB207" s="395"/>
      <c r="AC207" s="395"/>
      <c r="AD207" s="395"/>
      <c r="AE207" s="395"/>
      <c r="AF207" s="395"/>
    </row>
    <row r="208" spans="4:32">
      <c r="D208" s="395"/>
      <c r="E208" s="395"/>
      <c r="F208" s="395"/>
      <c r="G208" s="395"/>
      <c r="H208" s="395"/>
      <c r="I208" s="395"/>
      <c r="J208" s="395"/>
      <c r="K208" s="395"/>
      <c r="L208" s="395"/>
      <c r="M208" s="395"/>
      <c r="N208" s="395"/>
      <c r="O208" s="395"/>
      <c r="P208" s="395"/>
      <c r="Q208" s="395"/>
      <c r="R208" s="395"/>
      <c r="S208" s="395"/>
      <c r="T208" s="395"/>
      <c r="U208" s="395"/>
      <c r="V208" s="395"/>
      <c r="W208" s="395"/>
      <c r="X208" s="395"/>
      <c r="Y208" s="395"/>
      <c r="Z208" s="395"/>
      <c r="AA208" s="395"/>
      <c r="AB208" s="395"/>
      <c r="AC208" s="395"/>
      <c r="AD208" s="395"/>
      <c r="AE208" s="395"/>
      <c r="AF208" s="395"/>
    </row>
    <row r="209" spans="4:32">
      <c r="D209" s="395"/>
      <c r="E209" s="395"/>
      <c r="F209" s="395"/>
      <c r="G209" s="395"/>
      <c r="H209" s="395"/>
      <c r="I209" s="395"/>
      <c r="J209" s="395"/>
      <c r="K209" s="395"/>
      <c r="L209" s="395"/>
      <c r="M209" s="395"/>
      <c r="N209" s="395"/>
      <c r="O209" s="395"/>
      <c r="P209" s="395"/>
      <c r="Q209" s="395"/>
      <c r="R209" s="395"/>
      <c r="S209" s="395"/>
      <c r="T209" s="395"/>
      <c r="U209" s="395"/>
      <c r="V209" s="395"/>
      <c r="W209" s="395"/>
      <c r="X209" s="395"/>
      <c r="Y209" s="395"/>
      <c r="Z209" s="395"/>
      <c r="AA209" s="395"/>
      <c r="AB209" s="395"/>
      <c r="AC209" s="395"/>
      <c r="AD209" s="395"/>
      <c r="AE209" s="395"/>
      <c r="AF209" s="395"/>
    </row>
    <row r="210" spans="4:32">
      <c r="D210" s="395"/>
      <c r="E210" s="395"/>
      <c r="F210" s="395"/>
      <c r="G210" s="395"/>
      <c r="H210" s="395"/>
      <c r="I210" s="395"/>
      <c r="J210" s="395"/>
      <c r="K210" s="395"/>
      <c r="L210" s="395"/>
      <c r="M210" s="395"/>
      <c r="N210" s="395"/>
      <c r="O210" s="395"/>
      <c r="P210" s="395"/>
      <c r="Q210" s="395"/>
      <c r="R210" s="395"/>
      <c r="S210" s="395"/>
      <c r="T210" s="395"/>
      <c r="U210" s="395"/>
      <c r="V210" s="395"/>
      <c r="W210" s="395"/>
      <c r="X210" s="395"/>
      <c r="Y210" s="395"/>
      <c r="Z210" s="395"/>
      <c r="AA210" s="395"/>
      <c r="AB210" s="395"/>
      <c r="AC210" s="395"/>
      <c r="AD210" s="395"/>
      <c r="AE210" s="395"/>
      <c r="AF210" s="395"/>
    </row>
    <row r="211" spans="4:32">
      <c r="D211" s="395"/>
      <c r="E211" s="395"/>
      <c r="F211" s="395"/>
      <c r="G211" s="395"/>
      <c r="H211" s="395"/>
      <c r="I211" s="395"/>
      <c r="J211" s="395"/>
      <c r="K211" s="395"/>
      <c r="L211" s="395"/>
      <c r="M211" s="395"/>
      <c r="N211" s="395"/>
      <c r="O211" s="395"/>
      <c r="P211" s="395"/>
      <c r="Q211" s="395"/>
      <c r="R211" s="395"/>
      <c r="S211" s="395"/>
      <c r="T211" s="395"/>
      <c r="U211" s="395"/>
      <c r="V211" s="395"/>
      <c r="W211" s="395"/>
      <c r="X211" s="395"/>
      <c r="Y211" s="395"/>
      <c r="Z211" s="395"/>
      <c r="AA211" s="395"/>
      <c r="AB211" s="395"/>
      <c r="AC211" s="395"/>
      <c r="AD211" s="395"/>
      <c r="AE211" s="395"/>
      <c r="AF211" s="395"/>
    </row>
    <row r="212" spans="4:32">
      <c r="D212" s="395"/>
      <c r="E212" s="395"/>
      <c r="F212" s="395"/>
      <c r="G212" s="395"/>
      <c r="H212" s="395"/>
      <c r="I212" s="395"/>
      <c r="J212" s="395"/>
      <c r="K212" s="395"/>
      <c r="L212" s="395"/>
      <c r="M212" s="395"/>
      <c r="N212" s="395"/>
      <c r="O212" s="395"/>
      <c r="P212" s="395"/>
      <c r="Q212" s="395"/>
      <c r="R212" s="395"/>
      <c r="S212" s="395"/>
      <c r="T212" s="395"/>
      <c r="U212" s="395"/>
      <c r="V212" s="395"/>
      <c r="W212" s="395"/>
      <c r="X212" s="395"/>
      <c r="Y212" s="395"/>
      <c r="Z212" s="395"/>
      <c r="AA212" s="395"/>
      <c r="AB212" s="395"/>
      <c r="AC212" s="395"/>
      <c r="AD212" s="395"/>
      <c r="AE212" s="395"/>
      <c r="AF212" s="395"/>
    </row>
    <row r="213" spans="4:32">
      <c r="D213" s="395"/>
      <c r="E213" s="395"/>
      <c r="F213" s="395"/>
      <c r="G213" s="395"/>
      <c r="H213" s="395"/>
      <c r="I213" s="395"/>
      <c r="J213" s="395"/>
      <c r="K213" s="395"/>
      <c r="L213" s="395"/>
      <c r="M213" s="395"/>
      <c r="N213" s="395"/>
      <c r="O213" s="395"/>
      <c r="P213" s="395"/>
      <c r="Q213" s="395"/>
      <c r="R213" s="395"/>
      <c r="S213" s="395"/>
      <c r="T213" s="395"/>
      <c r="U213" s="395"/>
      <c r="V213" s="395"/>
      <c r="W213" s="395"/>
      <c r="X213" s="395"/>
      <c r="Y213" s="395"/>
      <c r="Z213" s="395"/>
      <c r="AA213" s="395"/>
      <c r="AB213" s="395"/>
      <c r="AC213" s="395"/>
      <c r="AD213" s="395"/>
      <c r="AE213" s="395"/>
      <c r="AF213" s="395"/>
    </row>
    <row r="214" spans="4:32">
      <c r="D214" s="395"/>
      <c r="E214" s="395"/>
      <c r="F214" s="395"/>
      <c r="G214" s="395"/>
      <c r="H214" s="395"/>
      <c r="I214" s="395"/>
      <c r="J214" s="395"/>
      <c r="K214" s="395"/>
      <c r="L214" s="395"/>
      <c r="M214" s="395"/>
      <c r="N214" s="395"/>
      <c r="O214" s="395"/>
      <c r="P214" s="395"/>
      <c r="Q214" s="395"/>
      <c r="R214" s="395"/>
      <c r="S214" s="395"/>
      <c r="T214" s="395"/>
      <c r="U214" s="395"/>
      <c r="V214" s="395"/>
      <c r="W214" s="395"/>
      <c r="X214" s="395"/>
      <c r="Y214" s="395"/>
      <c r="Z214" s="395"/>
      <c r="AA214" s="395"/>
      <c r="AB214" s="395"/>
      <c r="AC214" s="395"/>
      <c r="AD214" s="395"/>
      <c r="AE214" s="395"/>
      <c r="AF214" s="395"/>
    </row>
    <row r="215" spans="4:32">
      <c r="D215" s="395"/>
      <c r="E215" s="395"/>
      <c r="F215" s="395"/>
      <c r="G215" s="395"/>
      <c r="H215" s="395"/>
      <c r="I215" s="395"/>
      <c r="J215" s="395"/>
      <c r="K215" s="395"/>
      <c r="L215" s="395"/>
      <c r="M215" s="395"/>
      <c r="N215" s="395"/>
      <c r="O215" s="395"/>
      <c r="P215" s="395"/>
      <c r="Q215" s="395"/>
      <c r="R215" s="395"/>
      <c r="S215" s="395"/>
      <c r="T215" s="395"/>
      <c r="U215" s="395"/>
      <c r="V215" s="395"/>
      <c r="W215" s="395"/>
      <c r="X215" s="395"/>
      <c r="Y215" s="395"/>
      <c r="Z215" s="395"/>
      <c r="AA215" s="395"/>
      <c r="AB215" s="395"/>
      <c r="AC215" s="395"/>
      <c r="AD215" s="395"/>
      <c r="AE215" s="395"/>
      <c r="AF215" s="395"/>
    </row>
    <row r="216" spans="4:32">
      <c r="D216" s="395"/>
      <c r="E216" s="395"/>
      <c r="F216" s="395"/>
      <c r="G216" s="395"/>
      <c r="H216" s="395"/>
      <c r="I216" s="395"/>
      <c r="J216" s="395"/>
      <c r="K216" s="395"/>
      <c r="L216" s="395"/>
      <c r="M216" s="395"/>
      <c r="N216" s="395"/>
      <c r="O216" s="395"/>
      <c r="P216" s="395"/>
      <c r="Q216" s="395"/>
      <c r="R216" s="395"/>
      <c r="S216" s="395"/>
      <c r="T216" s="395"/>
      <c r="U216" s="395"/>
      <c r="V216" s="395"/>
      <c r="W216" s="395"/>
      <c r="X216" s="395"/>
      <c r="Y216" s="395"/>
      <c r="Z216" s="395"/>
      <c r="AA216" s="395"/>
      <c r="AB216" s="395"/>
      <c r="AC216" s="395"/>
      <c r="AD216" s="395"/>
      <c r="AE216" s="395"/>
      <c r="AF216" s="395"/>
    </row>
    <row r="217" spans="4:32">
      <c r="D217" s="395"/>
      <c r="E217" s="395"/>
      <c r="F217" s="395"/>
      <c r="G217" s="395"/>
      <c r="H217" s="395"/>
      <c r="I217" s="395"/>
      <c r="J217" s="395"/>
      <c r="K217" s="395"/>
      <c r="L217" s="395"/>
      <c r="M217" s="395"/>
      <c r="N217" s="395"/>
      <c r="O217" s="395"/>
      <c r="P217" s="395"/>
      <c r="Q217" s="395"/>
      <c r="R217" s="395"/>
      <c r="S217" s="395"/>
      <c r="T217" s="395"/>
      <c r="U217" s="395"/>
      <c r="V217" s="395"/>
      <c r="W217" s="395"/>
      <c r="X217" s="395"/>
      <c r="Y217" s="395"/>
      <c r="Z217" s="395"/>
      <c r="AA217" s="395"/>
      <c r="AB217" s="395"/>
      <c r="AC217" s="395"/>
      <c r="AD217" s="395"/>
      <c r="AE217" s="395"/>
      <c r="AF217" s="395"/>
    </row>
    <row r="218" spans="4:32">
      <c r="D218" s="395"/>
      <c r="E218" s="395"/>
      <c r="F218" s="395"/>
      <c r="G218" s="395"/>
      <c r="H218" s="395"/>
      <c r="I218" s="395"/>
      <c r="J218" s="395"/>
      <c r="K218" s="395"/>
      <c r="L218" s="395"/>
      <c r="M218" s="395"/>
      <c r="N218" s="395"/>
      <c r="O218" s="395"/>
      <c r="P218" s="395"/>
      <c r="Q218" s="395"/>
      <c r="R218" s="395"/>
      <c r="S218" s="395"/>
      <c r="T218" s="395"/>
      <c r="U218" s="395"/>
      <c r="V218" s="395"/>
      <c r="W218" s="395"/>
      <c r="X218" s="395"/>
      <c r="Y218" s="395"/>
      <c r="Z218" s="395"/>
      <c r="AA218" s="395"/>
      <c r="AB218" s="395"/>
      <c r="AC218" s="395"/>
      <c r="AD218" s="395"/>
      <c r="AE218" s="395"/>
      <c r="AF218" s="395"/>
    </row>
    <row r="219" spans="4:32">
      <c r="D219" s="395"/>
      <c r="E219" s="395"/>
      <c r="F219" s="395"/>
      <c r="G219" s="395"/>
      <c r="H219" s="395"/>
      <c r="I219" s="395"/>
      <c r="J219" s="395"/>
      <c r="K219" s="395"/>
      <c r="L219" s="395"/>
      <c r="M219" s="395"/>
      <c r="N219" s="395"/>
      <c r="O219" s="395"/>
      <c r="P219" s="395"/>
      <c r="Q219" s="395"/>
      <c r="R219" s="395"/>
      <c r="S219" s="395"/>
      <c r="T219" s="395"/>
      <c r="U219" s="395"/>
      <c r="V219" s="395"/>
      <c r="W219" s="395"/>
      <c r="X219" s="395"/>
      <c r="Y219" s="395"/>
      <c r="Z219" s="395"/>
      <c r="AA219" s="395"/>
      <c r="AB219" s="395"/>
      <c r="AC219" s="395"/>
      <c r="AD219" s="395"/>
      <c r="AE219" s="395"/>
      <c r="AF219" s="395"/>
    </row>
    <row r="220" spans="4:32">
      <c r="D220" s="395"/>
      <c r="E220" s="395"/>
      <c r="F220" s="395"/>
      <c r="G220" s="395"/>
      <c r="H220" s="395"/>
      <c r="I220" s="395"/>
      <c r="J220" s="395"/>
      <c r="K220" s="395"/>
      <c r="L220" s="395"/>
      <c r="M220" s="395"/>
      <c r="N220" s="395"/>
      <c r="O220" s="395"/>
      <c r="P220" s="395"/>
      <c r="Q220" s="395"/>
      <c r="R220" s="395"/>
      <c r="S220" s="395"/>
      <c r="T220" s="395"/>
      <c r="U220" s="395"/>
      <c r="V220" s="395"/>
      <c r="W220" s="395"/>
      <c r="X220" s="395"/>
      <c r="Y220" s="395"/>
      <c r="Z220" s="395"/>
      <c r="AA220" s="395"/>
      <c r="AB220" s="395"/>
      <c r="AC220" s="395"/>
      <c r="AD220" s="395"/>
      <c r="AE220" s="395"/>
      <c r="AF220" s="395"/>
    </row>
    <row r="221" spans="4:32">
      <c r="D221" s="395"/>
      <c r="E221" s="395"/>
      <c r="F221" s="395"/>
      <c r="G221" s="395"/>
      <c r="H221" s="395"/>
      <c r="I221" s="395"/>
      <c r="J221" s="395"/>
      <c r="K221" s="395"/>
      <c r="L221" s="395"/>
      <c r="M221" s="395"/>
      <c r="N221" s="395"/>
      <c r="O221" s="395"/>
      <c r="P221" s="395"/>
      <c r="Q221" s="395"/>
      <c r="R221" s="395"/>
      <c r="S221" s="395"/>
      <c r="T221" s="395"/>
      <c r="U221" s="395"/>
      <c r="V221" s="395"/>
      <c r="W221" s="395"/>
      <c r="X221" s="395"/>
      <c r="Y221" s="395"/>
      <c r="Z221" s="395"/>
      <c r="AA221" s="395"/>
      <c r="AB221" s="395"/>
      <c r="AC221" s="395"/>
      <c r="AD221" s="395"/>
      <c r="AE221" s="395"/>
      <c r="AF221" s="395"/>
    </row>
    <row r="222" spans="4:32">
      <c r="D222" s="395"/>
      <c r="E222" s="395"/>
      <c r="F222" s="395"/>
      <c r="G222" s="395"/>
      <c r="H222" s="395"/>
      <c r="I222" s="395"/>
      <c r="J222" s="395"/>
      <c r="K222" s="395"/>
      <c r="L222" s="395"/>
      <c r="M222" s="395"/>
      <c r="N222" s="395"/>
      <c r="O222" s="395"/>
      <c r="P222" s="395"/>
      <c r="Q222" s="395"/>
      <c r="R222" s="395"/>
      <c r="S222" s="395"/>
      <c r="T222" s="395"/>
      <c r="U222" s="395"/>
      <c r="V222" s="395"/>
      <c r="W222" s="395"/>
      <c r="X222" s="395"/>
      <c r="Y222" s="395"/>
      <c r="Z222" s="395"/>
      <c r="AA222" s="395"/>
      <c r="AB222" s="395"/>
      <c r="AC222" s="395"/>
      <c r="AD222" s="395"/>
      <c r="AE222" s="395"/>
      <c r="AF222" s="395"/>
    </row>
    <row r="223" spans="4:32">
      <c r="D223" s="395"/>
      <c r="E223" s="395"/>
      <c r="F223" s="395"/>
      <c r="G223" s="395"/>
      <c r="H223" s="395"/>
      <c r="I223" s="395"/>
      <c r="J223" s="395"/>
      <c r="K223" s="395"/>
      <c r="L223" s="395"/>
      <c r="M223" s="395"/>
      <c r="N223" s="395"/>
      <c r="O223" s="395"/>
      <c r="P223" s="395"/>
      <c r="Q223" s="395"/>
      <c r="R223" s="395"/>
      <c r="S223" s="395"/>
      <c r="T223" s="395"/>
      <c r="U223" s="395"/>
      <c r="V223" s="395"/>
      <c r="W223" s="395"/>
      <c r="X223" s="395"/>
      <c r="Y223" s="395"/>
      <c r="Z223" s="395"/>
      <c r="AA223" s="395"/>
      <c r="AB223" s="395"/>
      <c r="AC223" s="395"/>
      <c r="AD223" s="395"/>
      <c r="AE223" s="395"/>
      <c r="AF223" s="395"/>
    </row>
    <row r="224" spans="4:32">
      <c r="D224" s="395"/>
      <c r="E224" s="395"/>
      <c r="F224" s="395"/>
      <c r="G224" s="395"/>
      <c r="H224" s="395"/>
      <c r="I224" s="395"/>
      <c r="J224" s="395"/>
      <c r="K224" s="395"/>
      <c r="L224" s="395"/>
      <c r="M224" s="395"/>
      <c r="N224" s="395"/>
      <c r="O224" s="395"/>
      <c r="P224" s="395"/>
      <c r="Q224" s="395"/>
      <c r="R224" s="395"/>
      <c r="S224" s="395"/>
      <c r="T224" s="395"/>
      <c r="U224" s="395"/>
      <c r="V224" s="395"/>
      <c r="W224" s="395"/>
      <c r="X224" s="395"/>
      <c r="Y224" s="395"/>
      <c r="Z224" s="395"/>
      <c r="AA224" s="395"/>
      <c r="AB224" s="395"/>
      <c r="AC224" s="395"/>
      <c r="AD224" s="395"/>
      <c r="AE224" s="395"/>
      <c r="AF224" s="395"/>
    </row>
    <row r="225" spans="4:32">
      <c r="D225" s="395"/>
      <c r="E225" s="395"/>
      <c r="F225" s="395"/>
      <c r="G225" s="395"/>
      <c r="H225" s="395"/>
      <c r="I225" s="395"/>
      <c r="J225" s="395"/>
      <c r="K225" s="395"/>
      <c r="L225" s="395"/>
      <c r="M225" s="395"/>
      <c r="N225" s="395"/>
      <c r="O225" s="395"/>
      <c r="P225" s="395"/>
      <c r="Q225" s="395"/>
      <c r="R225" s="395"/>
      <c r="S225" s="395"/>
      <c r="T225" s="395"/>
      <c r="U225" s="395"/>
      <c r="V225" s="395"/>
      <c r="W225" s="395"/>
      <c r="X225" s="395"/>
      <c r="Y225" s="395"/>
      <c r="Z225" s="395"/>
      <c r="AA225" s="395"/>
      <c r="AB225" s="395"/>
      <c r="AC225" s="395"/>
      <c r="AD225" s="395"/>
      <c r="AE225" s="395"/>
      <c r="AF225" s="395"/>
    </row>
    <row r="226" spans="4:32">
      <c r="D226" s="395"/>
      <c r="E226" s="395"/>
      <c r="F226" s="395"/>
      <c r="G226" s="395"/>
      <c r="H226" s="395"/>
      <c r="I226" s="395"/>
      <c r="J226" s="395"/>
      <c r="K226" s="395"/>
      <c r="L226" s="395"/>
      <c r="M226" s="395"/>
      <c r="N226" s="395"/>
      <c r="O226" s="395"/>
      <c r="P226" s="395"/>
      <c r="Q226" s="395"/>
      <c r="R226" s="395"/>
      <c r="S226" s="395"/>
      <c r="T226" s="395"/>
      <c r="U226" s="395"/>
      <c r="V226" s="395"/>
      <c r="W226" s="395"/>
      <c r="X226" s="395"/>
      <c r="Y226" s="395"/>
      <c r="Z226" s="395"/>
      <c r="AA226" s="395"/>
      <c r="AB226" s="395"/>
      <c r="AC226" s="395"/>
      <c r="AD226" s="395"/>
      <c r="AE226" s="395"/>
      <c r="AF226" s="395"/>
    </row>
    <row r="227" spans="4:32">
      <c r="D227" s="395"/>
      <c r="E227" s="395"/>
      <c r="F227" s="395"/>
      <c r="G227" s="395"/>
      <c r="H227" s="395"/>
      <c r="I227" s="395"/>
      <c r="J227" s="395"/>
      <c r="K227" s="395"/>
      <c r="L227" s="395"/>
      <c r="M227" s="395"/>
      <c r="N227" s="395"/>
      <c r="O227" s="395"/>
      <c r="P227" s="395"/>
      <c r="Q227" s="395"/>
      <c r="R227" s="395"/>
      <c r="S227" s="395"/>
      <c r="T227" s="395"/>
      <c r="U227" s="395"/>
      <c r="V227" s="395"/>
      <c r="W227" s="395"/>
      <c r="X227" s="395"/>
      <c r="Y227" s="395"/>
      <c r="Z227" s="395"/>
      <c r="AA227" s="395"/>
      <c r="AB227" s="395"/>
      <c r="AC227" s="395"/>
      <c r="AD227" s="395"/>
      <c r="AE227" s="395"/>
      <c r="AF227" s="395"/>
    </row>
    <row r="228" spans="4:32">
      <c r="D228" s="395"/>
      <c r="E228" s="395"/>
      <c r="F228" s="395"/>
      <c r="G228" s="395"/>
      <c r="H228" s="395"/>
      <c r="I228" s="395"/>
      <c r="J228" s="395"/>
      <c r="K228" s="395"/>
      <c r="L228" s="395"/>
      <c r="M228" s="395"/>
      <c r="N228" s="395"/>
      <c r="O228" s="395"/>
      <c r="P228" s="395"/>
      <c r="Q228" s="395"/>
      <c r="R228" s="395"/>
      <c r="S228" s="395"/>
      <c r="T228" s="395"/>
      <c r="U228" s="395"/>
      <c r="V228" s="395"/>
      <c r="W228" s="395"/>
      <c r="X228" s="395"/>
      <c r="Y228" s="395"/>
      <c r="Z228" s="395"/>
      <c r="AA228" s="395"/>
      <c r="AB228" s="395"/>
      <c r="AC228" s="395"/>
      <c r="AD228" s="395"/>
      <c r="AE228" s="395"/>
      <c r="AF228" s="395"/>
    </row>
    <row r="229" spans="4:32">
      <c r="D229" s="395"/>
      <c r="E229" s="395"/>
      <c r="F229" s="395"/>
      <c r="G229" s="395"/>
      <c r="H229" s="395"/>
      <c r="I229" s="395"/>
      <c r="J229" s="395"/>
      <c r="K229" s="395"/>
      <c r="L229" s="395"/>
      <c r="M229" s="395"/>
      <c r="N229" s="395"/>
      <c r="O229" s="395"/>
      <c r="P229" s="395"/>
      <c r="Q229" s="395"/>
      <c r="R229" s="395"/>
      <c r="S229" s="395"/>
      <c r="T229" s="395"/>
      <c r="U229" s="395"/>
      <c r="V229" s="395"/>
      <c r="W229" s="395"/>
      <c r="X229" s="395"/>
      <c r="Y229" s="395"/>
      <c r="Z229" s="395"/>
      <c r="AA229" s="395"/>
      <c r="AB229" s="395"/>
      <c r="AC229" s="395"/>
      <c r="AD229" s="395"/>
      <c r="AE229" s="395"/>
      <c r="AF229" s="395"/>
    </row>
    <row r="230" spans="4:32">
      <c r="D230" s="395"/>
      <c r="E230" s="395"/>
      <c r="F230" s="395"/>
      <c r="G230" s="395"/>
      <c r="H230" s="395"/>
      <c r="I230" s="395"/>
      <c r="J230" s="395"/>
      <c r="K230" s="395"/>
      <c r="L230" s="395"/>
      <c r="M230" s="395"/>
      <c r="N230" s="395"/>
      <c r="O230" s="395"/>
      <c r="P230" s="395"/>
      <c r="Q230" s="395"/>
      <c r="R230" s="395"/>
      <c r="S230" s="395"/>
      <c r="T230" s="395"/>
      <c r="U230" s="395"/>
      <c r="V230" s="395"/>
      <c r="W230" s="395"/>
      <c r="X230" s="395"/>
      <c r="Y230" s="395"/>
      <c r="Z230" s="395"/>
      <c r="AA230" s="395"/>
      <c r="AB230" s="395"/>
      <c r="AC230" s="395"/>
      <c r="AD230" s="395"/>
      <c r="AE230" s="395"/>
      <c r="AF230" s="395"/>
    </row>
    <row r="231" spans="4:32">
      <c r="D231" s="395"/>
      <c r="E231" s="395"/>
      <c r="F231" s="395"/>
      <c r="G231" s="395"/>
      <c r="H231" s="395"/>
      <c r="I231" s="395"/>
      <c r="J231" s="395"/>
      <c r="K231" s="395"/>
      <c r="L231" s="395"/>
      <c r="M231" s="395"/>
      <c r="N231" s="395"/>
      <c r="O231" s="395"/>
      <c r="P231" s="395"/>
      <c r="Q231" s="395"/>
      <c r="R231" s="395"/>
      <c r="S231" s="395"/>
      <c r="T231" s="395"/>
      <c r="U231" s="395"/>
      <c r="V231" s="395"/>
      <c r="W231" s="395"/>
      <c r="X231" s="395"/>
      <c r="Y231" s="395"/>
      <c r="Z231" s="395"/>
      <c r="AA231" s="395"/>
      <c r="AB231" s="395"/>
      <c r="AC231" s="395"/>
      <c r="AD231" s="395"/>
      <c r="AE231" s="395"/>
      <c r="AF231" s="395"/>
    </row>
    <row r="232" spans="4:32">
      <c r="D232" s="395"/>
      <c r="E232" s="395"/>
      <c r="F232" s="395"/>
      <c r="G232" s="395"/>
      <c r="H232" s="395"/>
      <c r="I232" s="395"/>
      <c r="J232" s="395"/>
      <c r="K232" s="395"/>
      <c r="L232" s="395"/>
      <c r="M232" s="395"/>
      <c r="N232" s="395"/>
      <c r="O232" s="395"/>
      <c r="P232" s="395"/>
      <c r="Q232" s="395"/>
      <c r="R232" s="395"/>
      <c r="S232" s="395"/>
      <c r="T232" s="395"/>
      <c r="U232" s="395"/>
      <c r="V232" s="395"/>
      <c r="W232" s="395"/>
      <c r="X232" s="395"/>
      <c r="Y232" s="395"/>
      <c r="Z232" s="395"/>
      <c r="AA232" s="395"/>
      <c r="AB232" s="395"/>
      <c r="AC232" s="395"/>
      <c r="AD232" s="395"/>
      <c r="AE232" s="395"/>
      <c r="AF232" s="395"/>
    </row>
    <row r="233" spans="4:32">
      <c r="D233" s="395"/>
      <c r="E233" s="395"/>
      <c r="F233" s="395"/>
      <c r="G233" s="395"/>
      <c r="H233" s="395"/>
      <c r="I233" s="395"/>
      <c r="J233" s="395"/>
      <c r="K233" s="395"/>
      <c r="L233" s="395"/>
      <c r="M233" s="395"/>
      <c r="N233" s="395"/>
      <c r="O233" s="395"/>
      <c r="P233" s="395"/>
      <c r="Q233" s="395"/>
      <c r="R233" s="395"/>
      <c r="S233" s="395"/>
      <c r="T233" s="395"/>
      <c r="U233" s="395"/>
      <c r="V233" s="395"/>
      <c r="W233" s="395"/>
      <c r="X233" s="395"/>
      <c r="Y233" s="395"/>
      <c r="Z233" s="395"/>
      <c r="AA233" s="395"/>
      <c r="AB233" s="395"/>
      <c r="AC233" s="395"/>
      <c r="AD233" s="395"/>
      <c r="AE233" s="395"/>
      <c r="AF233" s="395"/>
    </row>
    <row r="234" spans="4:32">
      <c r="D234" s="395"/>
      <c r="E234" s="395"/>
      <c r="F234" s="395"/>
      <c r="G234" s="395"/>
      <c r="H234" s="395"/>
      <c r="I234" s="395"/>
      <c r="J234" s="395"/>
      <c r="K234" s="395"/>
      <c r="L234" s="395"/>
      <c r="M234" s="395"/>
      <c r="N234" s="395"/>
      <c r="O234" s="395"/>
      <c r="P234" s="395"/>
      <c r="Q234" s="395"/>
      <c r="R234" s="395"/>
      <c r="S234" s="395"/>
      <c r="T234" s="395"/>
      <c r="U234" s="395"/>
      <c r="V234" s="395"/>
      <c r="W234" s="395"/>
      <c r="X234" s="395"/>
      <c r="Y234" s="395"/>
      <c r="Z234" s="395"/>
      <c r="AA234" s="395"/>
      <c r="AB234" s="395"/>
      <c r="AC234" s="395"/>
      <c r="AD234" s="395"/>
      <c r="AE234" s="395"/>
      <c r="AF234" s="395"/>
    </row>
    <row r="235" spans="4:32">
      <c r="D235" s="395"/>
      <c r="E235" s="395"/>
      <c r="F235" s="395"/>
      <c r="G235" s="395"/>
      <c r="H235" s="395"/>
      <c r="I235" s="395"/>
      <c r="J235" s="395"/>
      <c r="K235" s="395"/>
      <c r="L235" s="395"/>
      <c r="M235" s="395"/>
      <c r="N235" s="395"/>
      <c r="O235" s="395"/>
      <c r="P235" s="395"/>
      <c r="Q235" s="395"/>
      <c r="R235" s="395"/>
      <c r="S235" s="395"/>
      <c r="T235" s="395"/>
      <c r="U235" s="395"/>
      <c r="V235" s="395"/>
      <c r="W235" s="395"/>
      <c r="X235" s="395"/>
      <c r="Y235" s="395"/>
      <c r="Z235" s="395"/>
      <c r="AA235" s="395"/>
      <c r="AB235" s="395"/>
      <c r="AC235" s="395"/>
      <c r="AD235" s="395"/>
      <c r="AE235" s="395"/>
      <c r="AF235" s="395"/>
    </row>
    <row r="236" spans="4:32">
      <c r="D236" s="395"/>
      <c r="E236" s="395"/>
      <c r="F236" s="395"/>
      <c r="G236" s="395"/>
      <c r="H236" s="395"/>
      <c r="I236" s="395"/>
      <c r="J236" s="395"/>
      <c r="K236" s="395"/>
      <c r="L236" s="395"/>
      <c r="M236" s="395"/>
      <c r="N236" s="395"/>
      <c r="O236" s="395"/>
      <c r="P236" s="395"/>
      <c r="Q236" s="395"/>
      <c r="R236" s="395"/>
      <c r="S236" s="395"/>
      <c r="T236" s="395"/>
      <c r="U236" s="395"/>
      <c r="V236" s="395"/>
      <c r="W236" s="395"/>
      <c r="X236" s="395"/>
      <c r="Y236" s="395"/>
      <c r="Z236" s="395"/>
      <c r="AA236" s="395"/>
      <c r="AB236" s="395"/>
      <c r="AC236" s="395"/>
      <c r="AD236" s="395"/>
      <c r="AE236" s="395"/>
      <c r="AF236" s="395"/>
    </row>
    <row r="237" spans="4:32">
      <c r="D237" s="395"/>
      <c r="E237" s="395"/>
      <c r="F237" s="395"/>
      <c r="G237" s="395"/>
      <c r="H237" s="395"/>
      <c r="I237" s="395"/>
      <c r="J237" s="395"/>
      <c r="K237" s="395"/>
      <c r="L237" s="395"/>
      <c r="M237" s="395"/>
      <c r="N237" s="395"/>
      <c r="O237" s="395"/>
      <c r="P237" s="395"/>
      <c r="Q237" s="395"/>
      <c r="R237" s="395"/>
      <c r="S237" s="395"/>
      <c r="T237" s="395"/>
      <c r="U237" s="395"/>
      <c r="V237" s="395"/>
      <c r="W237" s="395"/>
      <c r="X237" s="395"/>
      <c r="Y237" s="395"/>
      <c r="Z237" s="395"/>
      <c r="AA237" s="395"/>
      <c r="AB237" s="395"/>
      <c r="AC237" s="395"/>
      <c r="AD237" s="395"/>
      <c r="AE237" s="395"/>
      <c r="AF237" s="395"/>
    </row>
    <row r="238" spans="4:32">
      <c r="D238" s="395"/>
      <c r="E238" s="395"/>
      <c r="F238" s="395"/>
      <c r="G238" s="395"/>
      <c r="H238" s="395"/>
      <c r="I238" s="395"/>
      <c r="J238" s="395"/>
      <c r="K238" s="395"/>
      <c r="L238" s="395"/>
      <c r="M238" s="395"/>
      <c r="N238" s="395"/>
      <c r="O238" s="395"/>
      <c r="P238" s="395"/>
      <c r="Q238" s="395"/>
      <c r="R238" s="395"/>
      <c r="S238" s="395"/>
      <c r="T238" s="395"/>
      <c r="U238" s="395"/>
      <c r="V238" s="395"/>
      <c r="W238" s="395"/>
      <c r="X238" s="395"/>
      <c r="Y238" s="395"/>
      <c r="Z238" s="395"/>
      <c r="AA238" s="395"/>
      <c r="AB238" s="395"/>
      <c r="AC238" s="395"/>
      <c r="AD238" s="395"/>
      <c r="AE238" s="395"/>
      <c r="AF238" s="395"/>
    </row>
    <row r="239" spans="4:32">
      <c r="D239" s="395"/>
      <c r="E239" s="395"/>
      <c r="F239" s="395"/>
      <c r="G239" s="395"/>
      <c r="H239" s="395"/>
      <c r="I239" s="395"/>
      <c r="J239" s="395"/>
      <c r="K239" s="395"/>
      <c r="L239" s="395"/>
      <c r="M239" s="395"/>
      <c r="N239" s="395"/>
      <c r="O239" s="395"/>
      <c r="P239" s="395"/>
      <c r="Q239" s="395"/>
      <c r="R239" s="395"/>
      <c r="S239" s="395"/>
      <c r="T239" s="395"/>
      <c r="U239" s="395"/>
      <c r="V239" s="395"/>
      <c r="W239" s="395"/>
      <c r="X239" s="395"/>
      <c r="Y239" s="395"/>
      <c r="Z239" s="395"/>
      <c r="AA239" s="395"/>
      <c r="AB239" s="395"/>
      <c r="AC239" s="395"/>
      <c r="AD239" s="395"/>
      <c r="AE239" s="395"/>
      <c r="AF239" s="395"/>
    </row>
    <row r="240" spans="4:32">
      <c r="D240" s="395"/>
      <c r="E240" s="395"/>
      <c r="F240" s="395"/>
      <c r="G240" s="395"/>
      <c r="H240" s="395"/>
      <c r="I240" s="395"/>
      <c r="J240" s="395"/>
      <c r="K240" s="395"/>
      <c r="L240" s="395"/>
      <c r="M240" s="395"/>
      <c r="N240" s="395"/>
      <c r="O240" s="395"/>
      <c r="P240" s="395"/>
      <c r="Q240" s="395"/>
      <c r="R240" s="395"/>
      <c r="S240" s="395"/>
      <c r="T240" s="395"/>
      <c r="U240" s="395"/>
      <c r="V240" s="395"/>
      <c r="W240" s="395"/>
      <c r="X240" s="395"/>
      <c r="Y240" s="395"/>
      <c r="Z240" s="395"/>
      <c r="AA240" s="395"/>
      <c r="AB240" s="395"/>
      <c r="AC240" s="395"/>
      <c r="AD240" s="395"/>
      <c r="AE240" s="395"/>
      <c r="AF240" s="395"/>
    </row>
    <row r="241" spans="4:32">
      <c r="D241" s="395"/>
      <c r="E241" s="395"/>
      <c r="F241" s="395"/>
      <c r="G241" s="395"/>
      <c r="H241" s="395"/>
      <c r="I241" s="395"/>
      <c r="J241" s="395"/>
      <c r="K241" s="395"/>
      <c r="L241" s="395"/>
      <c r="M241" s="395"/>
      <c r="N241" s="395"/>
      <c r="O241" s="395"/>
      <c r="P241" s="395"/>
      <c r="Q241" s="395"/>
      <c r="R241" s="395"/>
      <c r="S241" s="395"/>
      <c r="T241" s="395"/>
      <c r="U241" s="395"/>
      <c r="V241" s="395"/>
      <c r="W241" s="395"/>
      <c r="X241" s="395"/>
      <c r="Y241" s="395"/>
      <c r="Z241" s="395"/>
      <c r="AA241" s="395"/>
      <c r="AB241" s="395"/>
      <c r="AC241" s="395"/>
      <c r="AD241" s="395"/>
      <c r="AE241" s="395"/>
      <c r="AF241" s="395"/>
    </row>
    <row r="242" spans="4:32">
      <c r="D242" s="395"/>
      <c r="E242" s="395"/>
      <c r="F242" s="395"/>
      <c r="G242" s="395"/>
      <c r="H242" s="395"/>
      <c r="I242" s="395"/>
      <c r="J242" s="395"/>
      <c r="K242" s="395"/>
      <c r="L242" s="395"/>
      <c r="M242" s="395"/>
      <c r="N242" s="395"/>
      <c r="O242" s="395"/>
      <c r="P242" s="395"/>
      <c r="Q242" s="395"/>
      <c r="R242" s="395"/>
      <c r="S242" s="395"/>
      <c r="T242" s="395"/>
      <c r="U242" s="395"/>
      <c r="V242" s="395"/>
      <c r="W242" s="395"/>
      <c r="X242" s="395"/>
      <c r="Y242" s="395"/>
      <c r="Z242" s="395"/>
      <c r="AA242" s="395"/>
      <c r="AB242" s="395"/>
      <c r="AC242" s="395"/>
      <c r="AD242" s="395"/>
      <c r="AE242" s="395"/>
      <c r="AF242" s="395"/>
    </row>
    <row r="243" spans="4:32">
      <c r="D243" s="395"/>
      <c r="E243" s="395"/>
      <c r="F243" s="395"/>
      <c r="G243" s="395"/>
      <c r="H243" s="395"/>
      <c r="I243" s="395"/>
      <c r="J243" s="395"/>
      <c r="K243" s="395"/>
      <c r="L243" s="395"/>
      <c r="M243" s="395"/>
      <c r="N243" s="395"/>
      <c r="O243" s="395"/>
      <c r="P243" s="395"/>
      <c r="Q243" s="395"/>
      <c r="R243" s="395"/>
      <c r="S243" s="395"/>
      <c r="T243" s="395"/>
      <c r="U243" s="395"/>
      <c r="V243" s="395"/>
      <c r="W243" s="395"/>
      <c r="X243" s="395"/>
      <c r="Y243" s="395"/>
      <c r="Z243" s="395"/>
      <c r="AA243" s="395"/>
      <c r="AB243" s="395"/>
      <c r="AC243" s="395"/>
      <c r="AD243" s="395"/>
      <c r="AE243" s="395"/>
      <c r="AF243" s="395"/>
    </row>
    <row r="244" spans="4:32">
      <c r="D244" s="395"/>
      <c r="E244" s="395"/>
      <c r="F244" s="395"/>
      <c r="G244" s="395"/>
      <c r="H244" s="395"/>
      <c r="I244" s="395"/>
      <c r="J244" s="395"/>
      <c r="K244" s="395"/>
      <c r="L244" s="395"/>
      <c r="M244" s="395"/>
      <c r="N244" s="395"/>
      <c r="O244" s="395"/>
      <c r="P244" s="395"/>
      <c r="Q244" s="395"/>
      <c r="R244" s="395"/>
      <c r="S244" s="395"/>
      <c r="T244" s="395"/>
      <c r="U244" s="395"/>
      <c r="V244" s="395"/>
      <c r="W244" s="395"/>
      <c r="X244" s="395"/>
      <c r="Y244" s="395"/>
      <c r="Z244" s="395"/>
      <c r="AA244" s="395"/>
      <c r="AB244" s="395"/>
      <c r="AC244" s="395"/>
      <c r="AD244" s="395"/>
      <c r="AE244" s="395"/>
      <c r="AF244" s="395"/>
    </row>
    <row r="245" spans="4:32">
      <c r="D245" s="395"/>
      <c r="E245" s="395"/>
      <c r="F245" s="395"/>
      <c r="G245" s="395"/>
      <c r="H245" s="395"/>
      <c r="I245" s="395"/>
      <c r="J245" s="395"/>
      <c r="K245" s="395"/>
      <c r="L245" s="395"/>
      <c r="M245" s="395"/>
      <c r="N245" s="395"/>
      <c r="O245" s="395"/>
      <c r="P245" s="395"/>
      <c r="Q245" s="395"/>
      <c r="R245" s="395"/>
      <c r="S245" s="395"/>
      <c r="T245" s="395"/>
      <c r="U245" s="395"/>
      <c r="V245" s="395"/>
      <c r="W245" s="395"/>
      <c r="X245" s="395"/>
      <c r="Y245" s="395"/>
      <c r="Z245" s="395"/>
      <c r="AA245" s="395"/>
      <c r="AB245" s="395"/>
      <c r="AC245" s="395"/>
      <c r="AD245" s="395"/>
      <c r="AE245" s="395"/>
      <c r="AF245" s="395"/>
    </row>
    <row r="246" spans="4:32">
      <c r="D246" s="395"/>
      <c r="E246" s="395"/>
      <c r="F246" s="395"/>
      <c r="G246" s="395"/>
      <c r="H246" s="395"/>
      <c r="I246" s="395"/>
      <c r="J246" s="395"/>
      <c r="K246" s="395"/>
      <c r="L246" s="395"/>
      <c r="M246" s="395"/>
      <c r="N246" s="395"/>
      <c r="O246" s="395"/>
      <c r="P246" s="395"/>
      <c r="Q246" s="395"/>
      <c r="R246" s="395"/>
      <c r="S246" s="395"/>
      <c r="T246" s="395"/>
      <c r="U246" s="395"/>
      <c r="V246" s="395"/>
      <c r="W246" s="395"/>
      <c r="X246" s="395"/>
      <c r="Y246" s="395"/>
      <c r="Z246" s="395"/>
      <c r="AA246" s="395"/>
      <c r="AB246" s="395"/>
      <c r="AC246" s="395"/>
      <c r="AD246" s="395"/>
      <c r="AE246" s="395"/>
      <c r="AF246" s="395"/>
    </row>
    <row r="247" spans="4:32">
      <c r="D247" s="395"/>
      <c r="E247" s="395"/>
      <c r="F247" s="395"/>
      <c r="G247" s="395"/>
      <c r="H247" s="395"/>
      <c r="I247" s="395"/>
      <c r="J247" s="395"/>
      <c r="K247" s="395"/>
      <c r="L247" s="395"/>
      <c r="M247" s="395"/>
      <c r="N247" s="395"/>
      <c r="O247" s="395"/>
      <c r="P247" s="395"/>
      <c r="Q247" s="395"/>
      <c r="R247" s="395"/>
      <c r="S247" s="395"/>
      <c r="T247" s="395"/>
      <c r="U247" s="395"/>
      <c r="V247" s="395"/>
      <c r="W247" s="395"/>
      <c r="X247" s="395"/>
      <c r="Y247" s="395"/>
      <c r="Z247" s="395"/>
      <c r="AA247" s="395"/>
      <c r="AB247" s="395"/>
      <c r="AC247" s="395"/>
      <c r="AD247" s="395"/>
      <c r="AE247" s="395"/>
      <c r="AF247" s="395"/>
    </row>
    <row r="248" spans="4:32">
      <c r="D248" s="395"/>
      <c r="E248" s="395"/>
      <c r="F248" s="395"/>
      <c r="G248" s="395"/>
      <c r="H248" s="395"/>
      <c r="I248" s="395"/>
      <c r="J248" s="395"/>
      <c r="K248" s="395"/>
      <c r="L248" s="395"/>
      <c r="M248" s="395"/>
      <c r="N248" s="395"/>
      <c r="O248" s="395"/>
      <c r="P248" s="395"/>
      <c r="Q248" s="395"/>
      <c r="R248" s="395"/>
      <c r="S248" s="395"/>
      <c r="T248" s="395"/>
      <c r="U248" s="395"/>
      <c r="V248" s="395"/>
      <c r="W248" s="395"/>
      <c r="X248" s="395"/>
      <c r="Y248" s="395"/>
      <c r="Z248" s="395"/>
      <c r="AA248" s="395"/>
      <c r="AB248" s="395"/>
      <c r="AC248" s="395"/>
      <c r="AD248" s="395"/>
      <c r="AE248" s="395"/>
      <c r="AF248" s="395"/>
    </row>
    <row r="249" spans="4:32">
      <c r="D249" s="395"/>
      <c r="E249" s="395"/>
      <c r="F249" s="395"/>
      <c r="G249" s="395"/>
      <c r="H249" s="395"/>
      <c r="I249" s="395"/>
      <c r="J249" s="395"/>
      <c r="K249" s="395"/>
      <c r="L249" s="395"/>
      <c r="M249" s="395"/>
      <c r="N249" s="395"/>
      <c r="O249" s="395"/>
      <c r="P249" s="395"/>
      <c r="Q249" s="395"/>
      <c r="R249" s="395"/>
      <c r="S249" s="395"/>
      <c r="T249" s="395"/>
      <c r="U249" s="395"/>
      <c r="V249" s="395"/>
      <c r="W249" s="395"/>
      <c r="X249" s="395"/>
      <c r="Y249" s="395"/>
      <c r="Z249" s="395"/>
      <c r="AA249" s="395"/>
      <c r="AB249" s="395"/>
      <c r="AC249" s="395"/>
      <c r="AD249" s="395"/>
      <c r="AE249" s="395"/>
      <c r="AF249" s="395"/>
    </row>
    <row r="250" spans="4:32">
      <c r="D250" s="395"/>
      <c r="E250" s="395"/>
      <c r="F250" s="395"/>
      <c r="G250" s="395"/>
      <c r="H250" s="395"/>
      <c r="I250" s="395"/>
      <c r="J250" s="395"/>
      <c r="K250" s="395"/>
      <c r="L250" s="395"/>
      <c r="M250" s="395"/>
      <c r="N250" s="395"/>
      <c r="O250" s="395"/>
      <c r="P250" s="395"/>
      <c r="Q250" s="395"/>
      <c r="R250" s="395"/>
      <c r="S250" s="395"/>
      <c r="T250" s="395"/>
      <c r="U250" s="395"/>
      <c r="V250" s="395"/>
      <c r="W250" s="395"/>
      <c r="X250" s="395"/>
      <c r="Y250" s="395"/>
      <c r="Z250" s="395"/>
      <c r="AA250" s="395"/>
      <c r="AB250" s="395"/>
      <c r="AC250" s="395"/>
      <c r="AD250" s="395"/>
      <c r="AE250" s="395"/>
      <c r="AF250" s="395"/>
    </row>
    <row r="251" spans="4:32">
      <c r="D251" s="395"/>
      <c r="E251" s="395"/>
      <c r="F251" s="395"/>
      <c r="G251" s="395"/>
      <c r="H251" s="395"/>
      <c r="I251" s="395"/>
      <c r="J251" s="395"/>
      <c r="K251" s="395"/>
      <c r="L251" s="395"/>
      <c r="M251" s="395"/>
      <c r="N251" s="395"/>
      <c r="O251" s="395"/>
      <c r="P251" s="395"/>
      <c r="Q251" s="395"/>
      <c r="R251" s="395"/>
      <c r="S251" s="395"/>
      <c r="T251" s="395"/>
      <c r="U251" s="395"/>
      <c r="V251" s="395"/>
      <c r="W251" s="395"/>
      <c r="X251" s="395"/>
      <c r="Y251" s="395"/>
      <c r="Z251" s="395"/>
      <c r="AA251" s="395"/>
      <c r="AB251" s="395"/>
      <c r="AC251" s="395"/>
      <c r="AD251" s="395"/>
      <c r="AE251" s="395"/>
      <c r="AF251" s="395"/>
    </row>
    <row r="252" spans="4:32">
      <c r="D252" s="395"/>
      <c r="E252" s="395"/>
      <c r="F252" s="395"/>
      <c r="G252" s="395"/>
      <c r="H252" s="395"/>
      <c r="I252" s="395"/>
      <c r="J252" s="395"/>
      <c r="K252" s="395"/>
      <c r="L252" s="395"/>
      <c r="M252" s="395"/>
      <c r="N252" s="395"/>
      <c r="O252" s="395"/>
      <c r="P252" s="395"/>
      <c r="Q252" s="395"/>
      <c r="R252" s="395"/>
      <c r="S252" s="395"/>
      <c r="T252" s="395"/>
      <c r="U252" s="395"/>
      <c r="V252" s="395"/>
      <c r="W252" s="395"/>
      <c r="X252" s="395"/>
      <c r="Y252" s="395"/>
      <c r="Z252" s="395"/>
      <c r="AA252" s="395"/>
      <c r="AB252" s="395"/>
      <c r="AC252" s="395"/>
      <c r="AD252" s="395"/>
      <c r="AE252" s="395"/>
      <c r="AF252" s="395"/>
    </row>
    <row r="253" spans="4:32">
      <c r="D253" s="395"/>
      <c r="E253" s="395"/>
      <c r="F253" s="395"/>
      <c r="G253" s="395"/>
      <c r="H253" s="395"/>
      <c r="I253" s="395"/>
      <c r="J253" s="395"/>
      <c r="K253" s="395"/>
      <c r="L253" s="395"/>
      <c r="M253" s="395"/>
      <c r="N253" s="395"/>
      <c r="O253" s="395"/>
      <c r="P253" s="395"/>
      <c r="Q253" s="395"/>
      <c r="R253" s="395"/>
      <c r="S253" s="395"/>
      <c r="T253" s="395"/>
      <c r="U253" s="395"/>
      <c r="V253" s="395"/>
      <c r="W253" s="395"/>
      <c r="X253" s="395"/>
      <c r="Y253" s="395"/>
      <c r="Z253" s="395"/>
      <c r="AA253" s="395"/>
      <c r="AB253" s="395"/>
      <c r="AC253" s="395"/>
      <c r="AD253" s="395"/>
      <c r="AE253" s="395"/>
      <c r="AF253" s="395"/>
    </row>
    <row r="254" spans="4:32">
      <c r="D254" s="395"/>
      <c r="E254" s="395"/>
      <c r="F254" s="395"/>
      <c r="G254" s="395"/>
      <c r="H254" s="395"/>
      <c r="I254" s="395"/>
      <c r="J254" s="395"/>
      <c r="K254" s="395"/>
      <c r="L254" s="395"/>
      <c r="M254" s="395"/>
      <c r="N254" s="395"/>
      <c r="O254" s="395"/>
      <c r="P254" s="395"/>
      <c r="Q254" s="395"/>
      <c r="R254" s="395"/>
      <c r="S254" s="395"/>
      <c r="T254" s="395"/>
      <c r="U254" s="395"/>
      <c r="V254" s="395"/>
      <c r="W254" s="395"/>
      <c r="X254" s="395"/>
      <c r="Y254" s="395"/>
      <c r="Z254" s="395"/>
      <c r="AA254" s="395"/>
      <c r="AB254" s="395"/>
      <c r="AC254" s="395"/>
      <c r="AD254" s="395"/>
      <c r="AE254" s="395"/>
      <c r="AF254" s="395"/>
    </row>
    <row r="255" spans="4:32">
      <c r="D255" s="395"/>
      <c r="E255" s="395"/>
      <c r="F255" s="395"/>
      <c r="G255" s="395"/>
      <c r="H255" s="395"/>
      <c r="I255" s="395"/>
      <c r="J255" s="395"/>
      <c r="K255" s="395"/>
      <c r="L255" s="395"/>
      <c r="M255" s="395"/>
      <c r="N255" s="395"/>
      <c r="O255" s="395"/>
      <c r="P255" s="395"/>
      <c r="Q255" s="395"/>
      <c r="R255" s="395"/>
      <c r="S255" s="395"/>
      <c r="T255" s="395"/>
      <c r="U255" s="395"/>
      <c r="V255" s="395"/>
      <c r="W255" s="395"/>
      <c r="X255" s="395"/>
      <c r="Y255" s="395"/>
      <c r="Z255" s="395"/>
      <c r="AA255" s="395"/>
      <c r="AB255" s="395"/>
      <c r="AC255" s="395"/>
      <c r="AD255" s="395"/>
      <c r="AE255" s="395"/>
      <c r="AF255" s="395"/>
    </row>
    <row r="256" spans="4:32">
      <c r="D256" s="395"/>
      <c r="E256" s="395"/>
      <c r="F256" s="395"/>
      <c r="G256" s="395"/>
      <c r="H256" s="395"/>
      <c r="I256" s="395"/>
      <c r="J256" s="395"/>
      <c r="K256" s="395"/>
      <c r="L256" s="395"/>
      <c r="M256" s="395"/>
      <c r="N256" s="395"/>
      <c r="O256" s="395"/>
      <c r="P256" s="395"/>
      <c r="Q256" s="395"/>
      <c r="R256" s="395"/>
      <c r="S256" s="395"/>
      <c r="T256" s="395"/>
      <c r="U256" s="395"/>
      <c r="V256" s="395"/>
      <c r="W256" s="395"/>
      <c r="X256" s="395"/>
      <c r="Y256" s="395"/>
      <c r="Z256" s="395"/>
      <c r="AA256" s="395"/>
      <c r="AB256" s="395"/>
      <c r="AC256" s="395"/>
      <c r="AD256" s="395"/>
      <c r="AE256" s="395"/>
      <c r="AF256" s="395"/>
    </row>
    <row r="257" spans="4:32">
      <c r="D257" s="395"/>
      <c r="E257" s="395"/>
      <c r="F257" s="395"/>
      <c r="G257" s="395"/>
      <c r="H257" s="395"/>
      <c r="I257" s="395"/>
      <c r="J257" s="395"/>
      <c r="K257" s="395"/>
      <c r="L257" s="395"/>
      <c r="M257" s="395"/>
      <c r="N257" s="395"/>
      <c r="O257" s="395"/>
      <c r="P257" s="395"/>
      <c r="Q257" s="395"/>
      <c r="R257" s="395"/>
      <c r="S257" s="395"/>
      <c r="T257" s="395"/>
      <c r="U257" s="395"/>
      <c r="V257" s="395"/>
      <c r="W257" s="395"/>
      <c r="X257" s="395"/>
      <c r="Y257" s="395"/>
      <c r="Z257" s="395"/>
      <c r="AA257" s="395"/>
      <c r="AB257" s="395"/>
      <c r="AC257" s="395"/>
      <c r="AD257" s="395"/>
      <c r="AE257" s="395"/>
      <c r="AF257" s="395"/>
    </row>
    <row r="258" spans="4:32">
      <c r="D258" s="395"/>
      <c r="E258" s="395"/>
      <c r="F258" s="395"/>
      <c r="G258" s="395"/>
      <c r="H258" s="395"/>
      <c r="I258" s="395"/>
      <c r="J258" s="395"/>
      <c r="K258" s="395"/>
      <c r="L258" s="395"/>
      <c r="M258" s="395"/>
      <c r="N258" s="395"/>
      <c r="O258" s="395"/>
      <c r="P258" s="395"/>
      <c r="Q258" s="395"/>
      <c r="R258" s="395"/>
      <c r="S258" s="395"/>
      <c r="T258" s="395"/>
      <c r="U258" s="395"/>
      <c r="V258" s="395"/>
      <c r="W258" s="395"/>
      <c r="X258" s="395"/>
      <c r="Y258" s="395"/>
      <c r="Z258" s="395"/>
      <c r="AA258" s="395"/>
      <c r="AB258" s="395"/>
      <c r="AC258" s="395"/>
      <c r="AD258" s="395"/>
      <c r="AE258" s="395"/>
      <c r="AF258" s="395"/>
    </row>
    <row r="259" spans="4:32">
      <c r="D259" s="395"/>
      <c r="E259" s="395"/>
      <c r="F259" s="395"/>
      <c r="G259" s="395"/>
      <c r="H259" s="395"/>
      <c r="I259" s="395"/>
      <c r="J259" s="395"/>
      <c r="K259" s="395"/>
      <c r="L259" s="395"/>
      <c r="M259" s="395"/>
      <c r="N259" s="395"/>
      <c r="O259" s="395"/>
      <c r="P259" s="395"/>
      <c r="Q259" s="395"/>
      <c r="R259" s="395"/>
      <c r="S259" s="395"/>
      <c r="T259" s="395"/>
      <c r="U259" s="395"/>
      <c r="V259" s="395"/>
      <c r="W259" s="395"/>
      <c r="X259" s="395"/>
      <c r="Y259" s="395"/>
      <c r="Z259" s="395"/>
      <c r="AA259" s="395"/>
      <c r="AB259" s="395"/>
      <c r="AC259" s="395"/>
      <c r="AD259" s="395"/>
      <c r="AE259" s="395"/>
      <c r="AF259" s="395"/>
    </row>
    <row r="260" spans="4:32">
      <c r="D260" s="395"/>
      <c r="E260" s="395"/>
      <c r="F260" s="395"/>
      <c r="G260" s="395"/>
      <c r="H260" s="395"/>
      <c r="I260" s="395"/>
      <c r="J260" s="395"/>
      <c r="K260" s="395"/>
      <c r="L260" s="395"/>
      <c r="M260" s="395"/>
      <c r="N260" s="395"/>
      <c r="O260" s="395"/>
      <c r="P260" s="395"/>
      <c r="Q260" s="395"/>
      <c r="R260" s="395"/>
      <c r="S260" s="395"/>
      <c r="T260" s="395"/>
      <c r="U260" s="395"/>
      <c r="V260" s="395"/>
      <c r="W260" s="395"/>
      <c r="X260" s="395"/>
      <c r="Y260" s="395"/>
      <c r="Z260" s="395"/>
      <c r="AA260" s="395"/>
      <c r="AB260" s="395"/>
      <c r="AC260" s="395"/>
      <c r="AD260" s="395"/>
      <c r="AE260" s="395"/>
      <c r="AF260" s="395"/>
    </row>
    <row r="261" spans="4:32">
      <c r="D261" s="395"/>
      <c r="E261" s="395"/>
      <c r="F261" s="395"/>
      <c r="G261" s="395"/>
      <c r="H261" s="395"/>
      <c r="I261" s="395"/>
      <c r="J261" s="395"/>
      <c r="K261" s="395"/>
      <c r="L261" s="395"/>
      <c r="M261" s="395"/>
      <c r="N261" s="395"/>
      <c r="O261" s="395"/>
      <c r="P261" s="395"/>
      <c r="Q261" s="395"/>
      <c r="R261" s="395"/>
      <c r="S261" s="395"/>
      <c r="T261" s="395"/>
      <c r="U261" s="395"/>
      <c r="V261" s="395"/>
      <c r="W261" s="395"/>
      <c r="X261" s="395"/>
      <c r="Y261" s="395"/>
      <c r="Z261" s="395"/>
      <c r="AA261" s="395"/>
      <c r="AB261" s="395"/>
      <c r="AC261" s="395"/>
      <c r="AD261" s="395"/>
      <c r="AE261" s="395"/>
      <c r="AF261" s="395"/>
    </row>
    <row r="262" spans="4:32">
      <c r="D262" s="395"/>
      <c r="E262" s="395"/>
      <c r="F262" s="395"/>
      <c r="G262" s="395"/>
      <c r="H262" s="395"/>
      <c r="I262" s="395"/>
      <c r="J262" s="395"/>
      <c r="K262" s="395"/>
      <c r="L262" s="395"/>
      <c r="M262" s="395"/>
      <c r="N262" s="395"/>
      <c r="O262" s="395"/>
      <c r="P262" s="395"/>
      <c r="Q262" s="395"/>
      <c r="R262" s="395"/>
      <c r="S262" s="395"/>
      <c r="T262" s="395"/>
      <c r="U262" s="395"/>
      <c r="V262" s="395"/>
      <c r="W262" s="395"/>
      <c r="X262" s="395"/>
      <c r="Y262" s="395"/>
      <c r="Z262" s="395"/>
      <c r="AA262" s="395"/>
      <c r="AB262" s="395"/>
      <c r="AC262" s="395"/>
      <c r="AD262" s="395"/>
      <c r="AE262" s="395"/>
      <c r="AF262" s="395"/>
    </row>
    <row r="263" spans="4:32">
      <c r="D263" s="395"/>
      <c r="E263" s="395"/>
      <c r="F263" s="395"/>
      <c r="G263" s="395"/>
      <c r="H263" s="395"/>
      <c r="I263" s="395"/>
      <c r="J263" s="395"/>
      <c r="K263" s="395"/>
      <c r="L263" s="395"/>
      <c r="M263" s="395"/>
      <c r="N263" s="395"/>
      <c r="O263" s="395"/>
      <c r="P263" s="395"/>
      <c r="Q263" s="395"/>
      <c r="R263" s="395"/>
      <c r="S263" s="395"/>
      <c r="T263" s="395"/>
      <c r="U263" s="395"/>
      <c r="V263" s="395"/>
      <c r="W263" s="395"/>
      <c r="X263" s="395"/>
      <c r="Y263" s="395"/>
      <c r="Z263" s="395"/>
      <c r="AA263" s="395"/>
      <c r="AB263" s="395"/>
      <c r="AC263" s="395"/>
      <c r="AD263" s="395"/>
      <c r="AE263" s="395"/>
      <c r="AF263" s="395"/>
    </row>
    <row r="264" spans="4:32">
      <c r="D264" s="395"/>
      <c r="E264" s="395"/>
      <c r="F264" s="395"/>
      <c r="G264" s="395"/>
      <c r="H264" s="395"/>
      <c r="I264" s="395"/>
      <c r="J264" s="395"/>
      <c r="K264" s="395"/>
      <c r="L264" s="395"/>
      <c r="M264" s="395"/>
      <c r="N264" s="395"/>
      <c r="O264" s="395"/>
      <c r="P264" s="395"/>
      <c r="Q264" s="395"/>
      <c r="R264" s="395"/>
      <c r="S264" s="395"/>
      <c r="T264" s="395"/>
      <c r="U264" s="395"/>
      <c r="V264" s="395"/>
      <c r="W264" s="395"/>
      <c r="X264" s="395"/>
      <c r="Y264" s="395"/>
      <c r="Z264" s="395"/>
      <c r="AA264" s="395"/>
      <c r="AB264" s="395"/>
      <c r="AC264" s="395"/>
      <c r="AD264" s="395"/>
      <c r="AE264" s="395"/>
      <c r="AF264" s="395"/>
    </row>
    <row r="265" spans="4:32">
      <c r="D265" s="395"/>
      <c r="E265" s="395"/>
      <c r="F265" s="395"/>
      <c r="G265" s="395"/>
      <c r="H265" s="395"/>
      <c r="I265" s="395"/>
      <c r="J265" s="395"/>
      <c r="K265" s="395"/>
      <c r="L265" s="395"/>
      <c r="M265" s="395"/>
      <c r="N265" s="395"/>
      <c r="O265" s="395"/>
      <c r="P265" s="395"/>
      <c r="Q265" s="395"/>
      <c r="R265" s="395"/>
      <c r="S265" s="395"/>
      <c r="T265" s="395"/>
      <c r="U265" s="395"/>
      <c r="V265" s="395"/>
      <c r="W265" s="395"/>
      <c r="X265" s="395"/>
      <c r="Y265" s="395"/>
      <c r="Z265" s="395"/>
      <c r="AA265" s="395"/>
      <c r="AB265" s="395"/>
      <c r="AC265" s="395"/>
      <c r="AD265" s="395"/>
      <c r="AE265" s="395"/>
      <c r="AF265" s="395"/>
    </row>
    <row r="266" spans="4:32">
      <c r="D266" s="395"/>
      <c r="E266" s="395"/>
      <c r="F266" s="395"/>
      <c r="G266" s="395"/>
      <c r="H266" s="395"/>
      <c r="I266" s="395"/>
      <c r="J266" s="395"/>
      <c r="K266" s="395"/>
      <c r="L266" s="395"/>
      <c r="M266" s="395"/>
      <c r="N266" s="395"/>
      <c r="O266" s="395"/>
      <c r="P266" s="395"/>
      <c r="Q266" s="395"/>
      <c r="R266" s="395"/>
      <c r="S266" s="395"/>
      <c r="T266" s="395"/>
      <c r="U266" s="395"/>
      <c r="V266" s="395"/>
      <c r="W266" s="395"/>
      <c r="X266" s="395"/>
      <c r="Y266" s="395"/>
      <c r="Z266" s="395"/>
      <c r="AA266" s="395"/>
      <c r="AB266" s="395"/>
      <c r="AC266" s="395"/>
      <c r="AD266" s="395"/>
      <c r="AE266" s="395"/>
      <c r="AF266" s="395"/>
    </row>
    <row r="267" spans="4:32">
      <c r="D267" s="395"/>
      <c r="E267" s="395"/>
      <c r="F267" s="395"/>
      <c r="G267" s="395"/>
      <c r="H267" s="395"/>
      <c r="I267" s="395"/>
      <c r="J267" s="395"/>
      <c r="K267" s="395"/>
      <c r="L267" s="395"/>
      <c r="M267" s="395"/>
      <c r="N267" s="395"/>
      <c r="O267" s="395"/>
      <c r="P267" s="395"/>
      <c r="Q267" s="395"/>
      <c r="R267" s="395"/>
      <c r="S267" s="395"/>
      <c r="T267" s="395"/>
      <c r="U267" s="395"/>
      <c r="V267" s="395"/>
      <c r="W267" s="395"/>
      <c r="X267" s="395"/>
      <c r="Y267" s="395"/>
      <c r="Z267" s="395"/>
      <c r="AA267" s="395"/>
      <c r="AB267" s="395"/>
      <c r="AC267" s="395"/>
      <c r="AD267" s="395"/>
      <c r="AE267" s="395"/>
      <c r="AF267" s="395"/>
    </row>
    <row r="268" spans="4:32">
      <c r="D268" s="395"/>
      <c r="E268" s="395"/>
      <c r="F268" s="395"/>
      <c r="G268" s="395"/>
      <c r="H268" s="395"/>
      <c r="I268" s="395"/>
      <c r="J268" s="395"/>
      <c r="K268" s="395"/>
      <c r="L268" s="395"/>
      <c r="M268" s="395"/>
      <c r="N268" s="395"/>
      <c r="O268" s="395"/>
      <c r="P268" s="395"/>
      <c r="Q268" s="395"/>
      <c r="R268" s="395"/>
      <c r="S268" s="395"/>
      <c r="T268" s="395"/>
      <c r="U268" s="395"/>
      <c r="V268" s="395"/>
      <c r="W268" s="395"/>
      <c r="X268" s="395"/>
      <c r="Y268" s="395"/>
      <c r="Z268" s="395"/>
      <c r="AA268" s="395"/>
      <c r="AB268" s="395"/>
      <c r="AC268" s="395"/>
      <c r="AD268" s="395"/>
      <c r="AE268" s="395"/>
      <c r="AF268" s="395"/>
    </row>
    <row r="269" spans="4:32">
      <c r="D269" s="395"/>
      <c r="E269" s="395"/>
      <c r="F269" s="395"/>
      <c r="G269" s="395"/>
      <c r="H269" s="395"/>
      <c r="I269" s="395"/>
      <c r="J269" s="395"/>
      <c r="K269" s="395"/>
      <c r="L269" s="395"/>
      <c r="M269" s="395"/>
      <c r="N269" s="395"/>
      <c r="O269" s="395"/>
      <c r="P269" s="395"/>
      <c r="Q269" s="395"/>
      <c r="R269" s="395"/>
      <c r="S269" s="395"/>
      <c r="T269" s="395"/>
      <c r="U269" s="395"/>
      <c r="V269" s="395"/>
      <c r="W269" s="395"/>
      <c r="X269" s="395"/>
      <c r="Y269" s="395"/>
      <c r="Z269" s="395"/>
      <c r="AA269" s="395"/>
      <c r="AB269" s="395"/>
      <c r="AC269" s="395"/>
      <c r="AD269" s="395"/>
      <c r="AE269" s="395"/>
      <c r="AF269" s="395"/>
    </row>
    <row r="270" spans="4:32">
      <c r="D270" s="395"/>
      <c r="E270" s="395"/>
      <c r="F270" s="395"/>
      <c r="G270" s="395"/>
      <c r="H270" s="395"/>
      <c r="I270" s="395"/>
      <c r="J270" s="395"/>
      <c r="K270" s="395"/>
      <c r="L270" s="395"/>
      <c r="M270" s="395"/>
      <c r="N270" s="395"/>
      <c r="O270" s="395"/>
      <c r="P270" s="395"/>
      <c r="Q270" s="395"/>
      <c r="R270" s="395"/>
      <c r="S270" s="395"/>
      <c r="T270" s="395"/>
      <c r="U270" s="395"/>
      <c r="V270" s="395"/>
      <c r="W270" s="395"/>
      <c r="X270" s="395"/>
      <c r="Y270" s="395"/>
      <c r="Z270" s="395"/>
      <c r="AA270" s="395"/>
      <c r="AB270" s="395"/>
      <c r="AC270" s="395"/>
      <c r="AD270" s="395"/>
      <c r="AE270" s="395"/>
      <c r="AF270" s="395"/>
    </row>
    <row r="271" spans="4:32">
      <c r="D271" s="395"/>
      <c r="E271" s="395"/>
      <c r="F271" s="395"/>
      <c r="G271" s="395"/>
      <c r="H271" s="395"/>
      <c r="I271" s="395"/>
      <c r="J271" s="395"/>
      <c r="K271" s="395"/>
      <c r="L271" s="395"/>
      <c r="M271" s="395"/>
      <c r="N271" s="395"/>
      <c r="O271" s="395"/>
      <c r="P271" s="395"/>
      <c r="Q271" s="395"/>
      <c r="R271" s="395"/>
      <c r="S271" s="395"/>
      <c r="T271" s="395"/>
      <c r="U271" s="395"/>
      <c r="V271" s="395"/>
      <c r="W271" s="395"/>
      <c r="X271" s="395"/>
      <c r="Y271" s="395"/>
      <c r="Z271" s="395"/>
      <c r="AA271" s="395"/>
      <c r="AB271" s="395"/>
      <c r="AC271" s="395"/>
      <c r="AD271" s="395"/>
      <c r="AE271" s="395"/>
      <c r="AF271" s="395"/>
    </row>
    <row r="272" spans="4:32">
      <c r="D272" s="395"/>
      <c r="E272" s="395"/>
      <c r="F272" s="395"/>
      <c r="G272" s="395"/>
      <c r="H272" s="395"/>
      <c r="I272" s="395"/>
      <c r="J272" s="395"/>
      <c r="K272" s="395"/>
      <c r="L272" s="395"/>
      <c r="M272" s="395"/>
      <c r="N272" s="395"/>
      <c r="O272" s="395"/>
      <c r="P272" s="395"/>
      <c r="Q272" s="395"/>
      <c r="R272" s="395"/>
      <c r="S272" s="395"/>
      <c r="T272" s="395"/>
      <c r="U272" s="395"/>
      <c r="V272" s="395"/>
      <c r="W272" s="395"/>
      <c r="X272" s="395"/>
      <c r="Y272" s="395"/>
      <c r="Z272" s="395"/>
      <c r="AA272" s="395"/>
      <c r="AB272" s="395"/>
      <c r="AC272" s="395"/>
      <c r="AD272" s="395"/>
      <c r="AE272" s="395"/>
      <c r="AF272" s="395"/>
    </row>
    <row r="273" spans="4:32">
      <c r="D273" s="395"/>
      <c r="E273" s="395"/>
      <c r="F273" s="395"/>
      <c r="G273" s="395"/>
      <c r="H273" s="395"/>
      <c r="I273" s="395"/>
      <c r="J273" s="395"/>
      <c r="K273" s="395"/>
      <c r="L273" s="395"/>
      <c r="M273" s="395"/>
      <c r="N273" s="395"/>
      <c r="O273" s="395"/>
      <c r="P273" s="395"/>
      <c r="Q273" s="395"/>
      <c r="R273" s="395"/>
      <c r="S273" s="395"/>
      <c r="T273" s="395"/>
      <c r="U273" s="395"/>
      <c r="V273" s="395"/>
      <c r="W273" s="395"/>
      <c r="X273" s="395"/>
      <c r="Y273" s="395"/>
      <c r="Z273" s="395"/>
      <c r="AA273" s="395"/>
      <c r="AB273" s="395"/>
      <c r="AC273" s="395"/>
      <c r="AD273" s="395"/>
      <c r="AE273" s="395"/>
      <c r="AF273" s="395"/>
    </row>
    <row r="274" spans="4:32">
      <c r="D274" s="395"/>
      <c r="E274" s="395"/>
      <c r="F274" s="395"/>
      <c r="G274" s="395"/>
      <c r="H274" s="395"/>
      <c r="I274" s="395"/>
      <c r="J274" s="395"/>
      <c r="K274" s="395"/>
      <c r="L274" s="395"/>
      <c r="M274" s="395"/>
      <c r="N274" s="395"/>
      <c r="O274" s="395"/>
      <c r="P274" s="395"/>
      <c r="Q274" s="395"/>
      <c r="R274" s="395"/>
      <c r="S274" s="395"/>
      <c r="T274" s="395"/>
      <c r="U274" s="395"/>
      <c r="V274" s="395"/>
      <c r="W274" s="395"/>
      <c r="X274" s="395"/>
      <c r="Y274" s="395"/>
      <c r="Z274" s="395"/>
      <c r="AA274" s="395"/>
      <c r="AB274" s="395"/>
      <c r="AC274" s="395"/>
      <c r="AD274" s="395"/>
      <c r="AE274" s="395"/>
      <c r="AF274" s="395"/>
    </row>
    <row r="275" spans="4:32">
      <c r="D275" s="395"/>
      <c r="E275" s="395"/>
      <c r="F275" s="395"/>
      <c r="G275" s="395"/>
      <c r="H275" s="395"/>
      <c r="I275" s="395"/>
      <c r="J275" s="395"/>
      <c r="K275" s="395"/>
      <c r="L275" s="395"/>
      <c r="M275" s="395"/>
      <c r="N275" s="395"/>
      <c r="O275" s="395"/>
      <c r="P275" s="395"/>
      <c r="Q275" s="395"/>
      <c r="R275" s="395"/>
      <c r="S275" s="395"/>
      <c r="T275" s="395"/>
      <c r="U275" s="395"/>
      <c r="V275" s="395"/>
      <c r="W275" s="395"/>
      <c r="X275" s="395"/>
      <c r="Y275" s="395"/>
      <c r="Z275" s="395"/>
      <c r="AA275" s="395"/>
      <c r="AB275" s="395"/>
      <c r="AC275" s="395"/>
      <c r="AD275" s="395"/>
      <c r="AE275" s="395"/>
      <c r="AF275" s="395"/>
    </row>
    <row r="276" spans="4:32">
      <c r="D276" s="395"/>
      <c r="E276" s="395"/>
      <c r="F276" s="395"/>
      <c r="G276" s="395"/>
      <c r="H276" s="395"/>
      <c r="I276" s="395"/>
      <c r="J276" s="395"/>
      <c r="K276" s="395"/>
      <c r="L276" s="395"/>
      <c r="M276" s="395"/>
      <c r="N276" s="395"/>
      <c r="O276" s="395"/>
      <c r="P276" s="395"/>
      <c r="Q276" s="395"/>
      <c r="R276" s="395"/>
      <c r="S276" s="395"/>
      <c r="T276" s="395"/>
      <c r="U276" s="395"/>
      <c r="V276" s="395"/>
      <c r="W276" s="395"/>
      <c r="X276" s="395"/>
      <c r="Y276" s="395"/>
      <c r="Z276" s="395"/>
      <c r="AA276" s="395"/>
      <c r="AB276" s="395"/>
      <c r="AC276" s="395"/>
      <c r="AD276" s="395"/>
      <c r="AE276" s="395"/>
      <c r="AF276" s="395"/>
    </row>
    <row r="277" spans="4:32">
      <c r="D277" s="395"/>
      <c r="E277" s="395"/>
      <c r="F277" s="395"/>
      <c r="G277" s="395"/>
      <c r="H277" s="395"/>
      <c r="I277" s="395"/>
      <c r="J277" s="395"/>
      <c r="K277" s="395"/>
      <c r="L277" s="395"/>
      <c r="M277" s="395"/>
      <c r="N277" s="395"/>
      <c r="O277" s="395"/>
      <c r="P277" s="395"/>
      <c r="Q277" s="395"/>
      <c r="R277" s="395"/>
      <c r="S277" s="395"/>
      <c r="T277" s="395"/>
      <c r="U277" s="395"/>
      <c r="V277" s="395"/>
      <c r="W277" s="395"/>
      <c r="X277" s="395"/>
      <c r="Y277" s="395"/>
      <c r="Z277" s="395"/>
      <c r="AA277" s="395"/>
      <c r="AB277" s="395"/>
      <c r="AC277" s="395"/>
      <c r="AD277" s="395"/>
      <c r="AE277" s="395"/>
      <c r="AF277" s="395"/>
    </row>
    <row r="278" spans="4:32">
      <c r="D278" s="395"/>
      <c r="E278" s="395"/>
      <c r="F278" s="395"/>
      <c r="G278" s="395"/>
      <c r="H278" s="395"/>
      <c r="I278" s="395"/>
      <c r="J278" s="395"/>
      <c r="K278" s="395"/>
      <c r="L278" s="395"/>
      <c r="M278" s="395"/>
      <c r="N278" s="395"/>
      <c r="O278" s="395"/>
      <c r="P278" s="395"/>
      <c r="Q278" s="395"/>
      <c r="R278" s="395"/>
      <c r="S278" s="395"/>
      <c r="T278" s="395"/>
      <c r="U278" s="395"/>
      <c r="V278" s="395"/>
      <c r="W278" s="395"/>
      <c r="X278" s="395"/>
      <c r="Y278" s="395"/>
      <c r="Z278" s="395"/>
      <c r="AA278" s="395"/>
      <c r="AB278" s="395"/>
      <c r="AC278" s="395"/>
      <c r="AD278" s="395"/>
      <c r="AE278" s="395"/>
      <c r="AF278" s="395"/>
    </row>
    <row r="279" spans="4:32">
      <c r="D279" s="395"/>
      <c r="E279" s="395"/>
      <c r="F279" s="395"/>
      <c r="G279" s="395"/>
      <c r="H279" s="395"/>
      <c r="I279" s="395"/>
      <c r="J279" s="395"/>
      <c r="K279" s="395"/>
      <c r="L279" s="395"/>
      <c r="M279" s="395"/>
      <c r="N279" s="395"/>
      <c r="O279" s="395"/>
      <c r="P279" s="395"/>
      <c r="Q279" s="395"/>
      <c r="R279" s="395"/>
      <c r="S279" s="395"/>
      <c r="T279" s="395"/>
      <c r="U279" s="395"/>
      <c r="V279" s="395"/>
      <c r="W279" s="395"/>
      <c r="X279" s="395"/>
      <c r="Y279" s="395"/>
      <c r="Z279" s="395"/>
      <c r="AA279" s="395"/>
      <c r="AB279" s="395"/>
      <c r="AC279" s="395"/>
      <c r="AD279" s="395"/>
      <c r="AE279" s="395"/>
      <c r="AF279" s="395"/>
    </row>
    <row r="280" spans="4:32">
      <c r="D280" s="395"/>
      <c r="E280" s="395"/>
      <c r="F280" s="395"/>
      <c r="G280" s="395"/>
      <c r="H280" s="395"/>
      <c r="I280" s="395"/>
      <c r="J280" s="395"/>
      <c r="K280" s="395"/>
      <c r="L280" s="395"/>
      <c r="M280" s="395"/>
      <c r="N280" s="395"/>
      <c r="O280" s="395"/>
      <c r="P280" s="395"/>
      <c r="Q280" s="395"/>
      <c r="R280" s="395"/>
      <c r="S280" s="395"/>
      <c r="T280" s="395"/>
      <c r="U280" s="395"/>
      <c r="V280" s="395"/>
      <c r="W280" s="395"/>
      <c r="X280" s="395"/>
      <c r="Y280" s="395"/>
      <c r="Z280" s="395"/>
      <c r="AA280" s="395"/>
      <c r="AB280" s="395"/>
      <c r="AC280" s="395"/>
      <c r="AD280" s="395"/>
      <c r="AE280" s="395"/>
      <c r="AF280" s="395"/>
    </row>
    <row r="281" spans="4:32">
      <c r="D281" s="395"/>
      <c r="E281" s="395"/>
      <c r="F281" s="395"/>
      <c r="G281" s="395"/>
      <c r="H281" s="395"/>
      <c r="I281" s="395"/>
      <c r="J281" s="395"/>
      <c r="K281" s="395"/>
      <c r="L281" s="395"/>
      <c r="M281" s="395"/>
      <c r="N281" s="395"/>
      <c r="O281" s="395"/>
      <c r="P281" s="395"/>
      <c r="Q281" s="395"/>
      <c r="R281" s="395"/>
      <c r="S281" s="395"/>
      <c r="T281" s="395"/>
      <c r="U281" s="395"/>
      <c r="V281" s="395"/>
      <c r="W281" s="395"/>
      <c r="X281" s="395"/>
      <c r="Y281" s="395"/>
      <c r="Z281" s="395"/>
      <c r="AA281" s="395"/>
      <c r="AB281" s="395"/>
      <c r="AC281" s="395"/>
      <c r="AD281" s="395"/>
      <c r="AE281" s="395"/>
      <c r="AF281" s="395"/>
    </row>
  </sheetData>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4"/>
  <sheetViews>
    <sheetView showGridLines="0" workbookViewId="0"/>
  </sheetViews>
  <sheetFormatPr defaultRowHeight="14.5"/>
  <sheetData>
    <row r="4" spans="2:2">
      <c r="B4" s="9" t="s">
        <v>3749</v>
      </c>
    </row>
  </sheetData>
  <pageMargins left="0.7" right="0.7" top="0.75" bottom="0.75" header="0.3" footer="0.3"/>
  <pageSetup paperSize="9"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4" tint="0.59999389629810485"/>
  </sheetPr>
  <dimension ref="A1:BA199"/>
  <sheetViews>
    <sheetView showGridLines="0" workbookViewId="0"/>
  </sheetViews>
  <sheetFormatPr defaultRowHeight="14.5"/>
  <cols>
    <col min="1" max="1" width="6" customWidth="1"/>
    <col min="2" max="2" width="40" customWidth="1"/>
    <col min="3" max="32" width="12.36328125" customWidth="1"/>
    <col min="33" max="33" width="14" customWidth="1"/>
    <col min="34" max="40" width="10.6328125" customWidth="1"/>
    <col min="41" max="41" width="11.36328125" customWidth="1"/>
    <col min="42" max="53" width="12.36328125" customWidth="1"/>
  </cols>
  <sheetData>
    <row r="1" spans="1:53" s="588" customFormat="1" ht="18.5">
      <c r="A1" s="587" t="s">
        <v>3515</v>
      </c>
    </row>
    <row r="2" spans="1:53" s="588" customFormat="1">
      <c r="A2" s="600" t="s">
        <v>3516</v>
      </c>
    </row>
    <row r="3" spans="1:53" s="588" customFormat="1"/>
    <row r="4" spans="1:53" s="781" customFormat="1"/>
    <row r="6" spans="1:53">
      <c r="A6" s="9"/>
      <c r="B6" s="9" t="s">
        <v>2932</v>
      </c>
    </row>
    <row r="7" spans="1:53" ht="18.5">
      <c r="A7" s="31" t="s">
        <v>20</v>
      </c>
      <c r="B7" s="9"/>
    </row>
    <row r="8" spans="1:53">
      <c r="A8" s="9"/>
      <c r="B8" s="9"/>
    </row>
    <row r="9" spans="1:53">
      <c r="A9" s="9" t="s">
        <v>2518</v>
      </c>
    </row>
    <row r="10" spans="1:53">
      <c r="A10" s="9"/>
      <c r="B10" s="9"/>
    </row>
    <row r="11" spans="1:53">
      <c r="A11" s="9" t="s">
        <v>10</v>
      </c>
      <c r="B11" s="9" t="s">
        <v>2934</v>
      </c>
    </row>
    <row r="12" spans="1:53">
      <c r="A12" s="9"/>
      <c r="B12" s="9"/>
    </row>
    <row r="13" spans="1:53">
      <c r="A13" s="9"/>
      <c r="B13" s="9"/>
    </row>
    <row r="14" spans="1:53">
      <c r="A14" s="9"/>
      <c r="B14" s="12" t="s">
        <v>2531</v>
      </c>
      <c r="C14" s="24">
        <f>Epidemiology!C119</f>
        <v>0.47499999999999998</v>
      </c>
    </row>
    <row r="15" spans="1:53">
      <c r="A15" s="9"/>
      <c r="B15" s="9"/>
    </row>
    <row r="16" spans="1:53">
      <c r="A16" s="9"/>
      <c r="B16" s="4"/>
      <c r="C16" s="34">
        <f>'Wound growth'!C81</f>
        <v>2020</v>
      </c>
      <c r="D16" s="34">
        <f>'Wound growth'!D81</f>
        <v>2021</v>
      </c>
      <c r="E16" s="34">
        <f>'Wound growth'!E81</f>
        <v>2022</v>
      </c>
      <c r="F16" s="34">
        <f>'Wound growth'!F81</f>
        <v>2023</v>
      </c>
      <c r="G16" s="34">
        <f>'Wound growth'!G81</f>
        <v>2024</v>
      </c>
      <c r="H16" s="34">
        <f>'Wound growth'!H81</f>
        <v>2025</v>
      </c>
      <c r="I16" s="34">
        <f>'Wound growth'!I81</f>
        <v>2026</v>
      </c>
      <c r="J16" s="34">
        <f>'Wound growth'!J81</f>
        <v>2027</v>
      </c>
      <c r="K16" s="34">
        <f>'Wound growth'!K81</f>
        <v>2028</v>
      </c>
      <c r="L16" s="34">
        <f>'Wound growth'!L81</f>
        <v>2029</v>
      </c>
      <c r="M16" s="34">
        <f>'Wound growth'!M81</f>
        <v>2030</v>
      </c>
      <c r="N16" s="34">
        <f>'Wound growth'!N81</f>
        <v>2031</v>
      </c>
      <c r="O16" s="34">
        <f>'Wound growth'!O81</f>
        <v>2032</v>
      </c>
      <c r="P16" s="34">
        <f>'Wound growth'!P81</f>
        <v>2033</v>
      </c>
      <c r="Q16" s="34">
        <f>'Wound growth'!Q81</f>
        <v>2034</v>
      </c>
      <c r="R16" s="34">
        <f>'Wound growth'!R81</f>
        <v>2035</v>
      </c>
      <c r="S16" s="34">
        <f>'Wound growth'!S81</f>
        <v>2036</v>
      </c>
      <c r="T16" s="34">
        <f>'Wound growth'!T81</f>
        <v>2037</v>
      </c>
      <c r="U16" s="34">
        <f>'Wound growth'!U81</f>
        <v>2038</v>
      </c>
      <c r="V16" s="34">
        <f>'Wound growth'!V81</f>
        <v>2039</v>
      </c>
      <c r="W16" s="34">
        <f>'Wound growth'!W81</f>
        <v>2040</v>
      </c>
      <c r="X16" s="34">
        <f>'Wound growth'!X81</f>
        <v>2041</v>
      </c>
      <c r="Y16" s="34">
        <f>'Wound growth'!Y81</f>
        <v>2042</v>
      </c>
      <c r="Z16" s="34">
        <f>'Wound growth'!Z81</f>
        <v>2043</v>
      </c>
      <c r="AA16" s="34">
        <f>'Wound growth'!AA81</f>
        <v>2044</v>
      </c>
      <c r="AB16" s="34">
        <f>'Wound growth'!AB81</f>
        <v>2045</v>
      </c>
      <c r="AC16" s="34">
        <f>'Wound growth'!AC81</f>
        <v>2046</v>
      </c>
      <c r="AD16" s="34">
        <f>'Wound growth'!AD81</f>
        <v>2047</v>
      </c>
      <c r="AE16" s="34">
        <f>'Wound growth'!AE81</f>
        <v>2048</v>
      </c>
      <c r="AF16" s="34">
        <f>'Wound growth'!AF81</f>
        <v>2049</v>
      </c>
      <c r="AG16" s="34">
        <f>'Wound growth'!AG81</f>
        <v>2050</v>
      </c>
      <c r="AH16" s="34">
        <f>'Wound growth'!AH81</f>
        <v>2051</v>
      </c>
      <c r="AI16" s="34">
        <f>'Wound growth'!AI81</f>
        <v>2052</v>
      </c>
      <c r="AJ16" s="34">
        <f>'Wound growth'!AJ81</f>
        <v>2053</v>
      </c>
      <c r="AK16" s="34">
        <f>'Wound growth'!AK81</f>
        <v>2054</v>
      </c>
      <c r="AL16" s="34">
        <f>'Wound growth'!AL81</f>
        <v>2055</v>
      </c>
      <c r="AM16" s="34">
        <f>'Wound growth'!AM81</f>
        <v>2056</v>
      </c>
      <c r="AN16" s="34">
        <f>'Wound growth'!AN81</f>
        <v>2057</v>
      </c>
      <c r="AO16" s="34">
        <f>'Wound growth'!AO81</f>
        <v>2058</v>
      </c>
      <c r="AP16" s="34">
        <f>'Wound growth'!AP81</f>
        <v>2059</v>
      </c>
      <c r="AQ16" s="34">
        <f>'Wound growth'!AQ81</f>
        <v>2060</v>
      </c>
      <c r="AR16" s="34">
        <f>'Wound growth'!AR81</f>
        <v>2061</v>
      </c>
      <c r="AS16" s="34">
        <f>'Wound growth'!AS81</f>
        <v>2062</v>
      </c>
      <c r="AT16" s="34">
        <f>'Wound growth'!AT81</f>
        <v>2063</v>
      </c>
      <c r="AU16" s="34">
        <f>'Wound growth'!AU81</f>
        <v>2064</v>
      </c>
      <c r="AV16" s="34">
        <f>'Wound growth'!AV81</f>
        <v>2065</v>
      </c>
      <c r="AW16" s="34">
        <f>'Wound growth'!AW81</f>
        <v>2066</v>
      </c>
      <c r="AX16" s="34">
        <f>'Wound growth'!AX81</f>
        <v>2067</v>
      </c>
      <c r="AY16" s="34">
        <f>'Wound growth'!AY81</f>
        <v>2068</v>
      </c>
      <c r="AZ16" s="34">
        <f>'Wound growth'!AZ81</f>
        <v>2069</v>
      </c>
      <c r="BA16" s="34">
        <f>'Wound growth'!BA81</f>
        <v>2070</v>
      </c>
    </row>
    <row r="17" spans="1:53">
      <c r="A17" s="9"/>
      <c r="B17" s="12" t="s">
        <v>2931</v>
      </c>
      <c r="C17" s="39">
        <f>'Prevalence projection'!C35</f>
        <v>133.245</v>
      </c>
      <c r="D17" s="39">
        <f>'Prevalence projection'!D35</f>
        <v>137.79937479036644</v>
      </c>
      <c r="E17" s="39">
        <f>'Prevalence projection'!E35</f>
        <v>141.69735847370831</v>
      </c>
      <c r="F17" s="39">
        <f>'Prevalence projection'!F35</f>
        <v>145.15330654457324</v>
      </c>
      <c r="G17" s="39">
        <f>'Prevalence projection'!G35</f>
        <v>148.36177991959141</v>
      </c>
      <c r="H17" s="39">
        <f>'Prevalence projection'!H35</f>
        <v>151.4301241225663</v>
      </c>
      <c r="I17" s="39">
        <f>'Prevalence projection'!I35</f>
        <v>154.36178960219286</v>
      </c>
      <c r="J17" s="39">
        <f>'Prevalence projection'!J35</f>
        <v>157.20733262865684</v>
      </c>
      <c r="K17" s="39">
        <f>'Prevalence projection'!K35</f>
        <v>160.26768075835435</v>
      </c>
      <c r="L17" s="39">
        <f>'Prevalence projection'!L35</f>
        <v>163.34583937932214</v>
      </c>
      <c r="M17" s="39">
        <f>'Prevalence projection'!M35</f>
        <v>166.34876993122967</v>
      </c>
      <c r="N17" s="39">
        <f>'Prevalence projection'!N35</f>
        <v>169.23830389971343</v>
      </c>
      <c r="O17" s="39">
        <f>'Prevalence projection'!O35</f>
        <v>171.99308648100012</v>
      </c>
      <c r="P17" s="39">
        <f>'Prevalence projection'!P35</f>
        <v>174.66777909396239</v>
      </c>
      <c r="Q17" s="39">
        <f>'Prevalence projection'!Q35</f>
        <v>177.32377244238177</v>
      </c>
      <c r="R17" s="39">
        <f>'Prevalence projection'!R35</f>
        <v>179.96828518475203</v>
      </c>
      <c r="S17" s="39">
        <f>'Prevalence projection'!S35</f>
        <v>182.55168962922136</v>
      </c>
      <c r="T17" s="39">
        <f>'Prevalence projection'!T35</f>
        <v>185.08194761333596</v>
      </c>
      <c r="U17" s="39">
        <f>'Prevalence projection'!U35</f>
        <v>187.67431798092258</v>
      </c>
      <c r="V17" s="39">
        <f>'Prevalence projection'!V35</f>
        <v>190.22999571376053</v>
      </c>
      <c r="W17" s="39">
        <f>'Prevalence projection'!W35</f>
        <v>192.72181853798222</v>
      </c>
      <c r="X17" s="39">
        <f>'Prevalence projection'!X35</f>
        <v>195.14622662981569</v>
      </c>
      <c r="Y17" s="39">
        <f>'Prevalence projection'!Y35</f>
        <v>197.55016003106797</v>
      </c>
      <c r="Z17" s="39">
        <f>'Prevalence projection'!Z35</f>
        <v>199.92269581957405</v>
      </c>
      <c r="AA17" s="39">
        <f>'Prevalence projection'!AA35</f>
        <v>202.24462008217148</v>
      </c>
      <c r="AB17" s="39">
        <f>'Prevalence projection'!AB35</f>
        <v>204.5014676379671</v>
      </c>
      <c r="AC17" s="39">
        <f>'Prevalence projection'!AC35</f>
        <v>206.679053676557</v>
      </c>
      <c r="AD17" s="39">
        <f>'Prevalence projection'!AD35</f>
        <v>208.76727684708757</v>
      </c>
      <c r="AE17" s="39">
        <f>'Prevalence projection'!AE35</f>
        <v>210.7571184186406</v>
      </c>
      <c r="AF17" s="39">
        <f>'Prevalence projection'!AF35</f>
        <v>212.65792847594375</v>
      </c>
      <c r="AG17" s="39">
        <f>'Prevalence projection'!AG35</f>
        <v>214.51317124734214</v>
      </c>
      <c r="AH17" s="39">
        <f>'Prevalence projection'!AH35</f>
        <v>216.32695466710368</v>
      </c>
      <c r="AI17" s="39">
        <f>'Prevalence projection'!AI35</f>
        <v>218.11472831035246</v>
      </c>
      <c r="AJ17" s="39">
        <f>'Prevalence projection'!AJ35</f>
        <v>219.82759409508438</v>
      </c>
      <c r="AK17" s="39">
        <f>'Prevalence projection'!AK35</f>
        <v>221.42937635978885</v>
      </c>
      <c r="AL17" s="39">
        <f>'Prevalence projection'!AL35</f>
        <v>222.89649071980318</v>
      </c>
      <c r="AM17" s="39">
        <f>'Prevalence projection'!AM35</f>
        <v>224.24539139061844</v>
      </c>
      <c r="AN17" s="39">
        <f>'Prevalence projection'!AN35</f>
        <v>225.48026317089375</v>
      </c>
      <c r="AO17" s="39">
        <f>'Prevalence projection'!AO35</f>
        <v>226.59562798735553</v>
      </c>
      <c r="AP17" s="39">
        <f>'Prevalence projection'!AP35</f>
        <v>227.64449633468402</v>
      </c>
      <c r="AQ17" s="39">
        <f>'Prevalence projection'!AQ35</f>
        <v>228.68480548862311</v>
      </c>
      <c r="AR17" s="39">
        <f>'Prevalence projection'!AR35</f>
        <v>229.76166280302246</v>
      </c>
      <c r="AS17" s="39">
        <f>'Prevalence projection'!AS35</f>
        <v>230.57280557509378</v>
      </c>
      <c r="AT17" s="39">
        <f>'Prevalence projection'!AT35</f>
        <v>231.18379886815652</v>
      </c>
      <c r="AU17" s="39">
        <f>'Prevalence projection'!AU35</f>
        <v>231.64402956615598</v>
      </c>
      <c r="AV17" s="39">
        <f>'Prevalence projection'!AV35</f>
        <v>231.99069833942411</v>
      </c>
      <c r="AW17" s="39">
        <f>'Prevalence projection'!AW35</f>
        <v>232.25182659288834</v>
      </c>
      <c r="AX17" s="39">
        <f>'Prevalence projection'!AX35</f>
        <v>232.44852144981024</v>
      </c>
      <c r="AY17" s="39">
        <f>'Prevalence projection'!AY35</f>
        <v>232.59668185078669</v>
      </c>
      <c r="AZ17" s="39">
        <f>'Prevalence projection'!AZ35</f>
        <v>232.70828367282218</v>
      </c>
      <c r="BA17" s="39">
        <f>'Prevalence projection'!BA35</f>
        <v>232.79234774527043</v>
      </c>
    </row>
    <row r="18" spans="1:53">
      <c r="A18" s="9"/>
      <c r="B18" s="12" t="s">
        <v>2904</v>
      </c>
      <c r="C18" s="39">
        <f>C17*(1-$C$14)</f>
        <v>69.953625000000002</v>
      </c>
      <c r="D18" s="39">
        <f t="shared" ref="D18:AE18" si="0">D17*(1-$C$14)</f>
        <v>72.34467176494239</v>
      </c>
      <c r="E18" s="39">
        <f t="shared" si="0"/>
        <v>74.391113198696857</v>
      </c>
      <c r="F18" s="39">
        <f t="shared" si="0"/>
        <v>76.205485935900953</v>
      </c>
      <c r="G18" s="39">
        <f t="shared" si="0"/>
        <v>77.8899344577855</v>
      </c>
      <c r="H18" s="39">
        <f t="shared" si="0"/>
        <v>79.500815164347316</v>
      </c>
      <c r="I18" s="39">
        <f t="shared" si="0"/>
        <v>81.039939541151256</v>
      </c>
      <c r="J18" s="39">
        <f t="shared" si="0"/>
        <v>82.533849630044841</v>
      </c>
      <c r="K18" s="39">
        <f t="shared" si="0"/>
        <v>84.140532398136031</v>
      </c>
      <c r="L18" s="39">
        <f t="shared" si="0"/>
        <v>85.756565674144127</v>
      </c>
      <c r="M18" s="39">
        <f t="shared" si="0"/>
        <v>87.333104213895581</v>
      </c>
      <c r="N18" s="39">
        <f t="shared" si="0"/>
        <v>88.850109547349561</v>
      </c>
      <c r="O18" s="39">
        <f t="shared" si="0"/>
        <v>90.296370402525071</v>
      </c>
      <c r="P18" s="39">
        <f t="shared" si="0"/>
        <v>91.700584024330254</v>
      </c>
      <c r="Q18" s="39">
        <f t="shared" si="0"/>
        <v>93.094980532250432</v>
      </c>
      <c r="R18" s="39">
        <f t="shared" si="0"/>
        <v>94.483349721994827</v>
      </c>
      <c r="S18" s="39">
        <f t="shared" si="0"/>
        <v>95.839637055341214</v>
      </c>
      <c r="T18" s="39">
        <f t="shared" si="0"/>
        <v>97.168022497001374</v>
      </c>
      <c r="U18" s="39">
        <f t="shared" si="0"/>
        <v>98.529016939984359</v>
      </c>
      <c r="V18" s="39">
        <f t="shared" si="0"/>
        <v>99.870747749724288</v>
      </c>
      <c r="W18" s="39">
        <f t="shared" si="0"/>
        <v>101.17895473244067</v>
      </c>
      <c r="X18" s="39">
        <f t="shared" si="0"/>
        <v>102.45176898065324</v>
      </c>
      <c r="Y18" s="39">
        <f t="shared" si="0"/>
        <v>103.71383401631068</v>
      </c>
      <c r="Z18" s="39">
        <f t="shared" si="0"/>
        <v>104.95941530527638</v>
      </c>
      <c r="AA18" s="39">
        <f t="shared" si="0"/>
        <v>106.17842554314004</v>
      </c>
      <c r="AB18" s="39">
        <f t="shared" si="0"/>
        <v>107.36327050993273</v>
      </c>
      <c r="AC18" s="39">
        <f t="shared" si="0"/>
        <v>108.50650318019242</v>
      </c>
      <c r="AD18" s="39">
        <f t="shared" si="0"/>
        <v>109.60282034472098</v>
      </c>
      <c r="AE18" s="39">
        <f t="shared" si="0"/>
        <v>110.64748716978632</v>
      </c>
      <c r="AF18" s="39">
        <f t="shared" ref="AF18:AO18" si="1">AF17*(1-$C$14)</f>
        <v>111.64541244987048</v>
      </c>
      <c r="AG18" s="39">
        <f t="shared" si="1"/>
        <v>112.61941490485464</v>
      </c>
      <c r="AH18" s="39">
        <f t="shared" si="1"/>
        <v>113.57165120022944</v>
      </c>
      <c r="AI18" s="39">
        <f t="shared" si="1"/>
        <v>114.51023236293504</v>
      </c>
      <c r="AJ18" s="39">
        <f t="shared" si="1"/>
        <v>115.4094868999193</v>
      </c>
      <c r="AK18" s="39">
        <f t="shared" si="1"/>
        <v>116.25042258888915</v>
      </c>
      <c r="AL18" s="39">
        <f t="shared" si="1"/>
        <v>117.02065762789668</v>
      </c>
      <c r="AM18" s="39">
        <f t="shared" si="1"/>
        <v>117.72883048007469</v>
      </c>
      <c r="AN18" s="39">
        <f t="shared" si="1"/>
        <v>118.37713816471923</v>
      </c>
      <c r="AO18" s="39">
        <f t="shared" si="1"/>
        <v>118.96270469336166</v>
      </c>
      <c r="AP18" s="39">
        <f t="shared" ref="AP18:BA18" si="2">AP17*(1-$C$14)</f>
        <v>119.51336057570911</v>
      </c>
      <c r="AQ18" s="39">
        <f t="shared" si="2"/>
        <v>120.05952288152714</v>
      </c>
      <c r="AR18" s="39">
        <f t="shared" si="2"/>
        <v>120.6248729715868</v>
      </c>
      <c r="AS18" s="39">
        <f t="shared" si="2"/>
        <v>121.05072292692424</v>
      </c>
      <c r="AT18" s="39">
        <f t="shared" si="2"/>
        <v>121.37149440578217</v>
      </c>
      <c r="AU18" s="39">
        <f t="shared" si="2"/>
        <v>121.61311552223189</v>
      </c>
      <c r="AV18" s="39">
        <f t="shared" si="2"/>
        <v>121.79511662819766</v>
      </c>
      <c r="AW18" s="39">
        <f t="shared" si="2"/>
        <v>121.93220896126638</v>
      </c>
      <c r="AX18" s="39">
        <f t="shared" si="2"/>
        <v>122.03547376115039</v>
      </c>
      <c r="AY18" s="39">
        <f t="shared" si="2"/>
        <v>122.11325797166302</v>
      </c>
      <c r="AZ18" s="39">
        <f t="shared" si="2"/>
        <v>122.17184892823165</v>
      </c>
      <c r="BA18" s="39">
        <f t="shared" si="2"/>
        <v>122.21598256626699</v>
      </c>
    </row>
    <row r="19" spans="1:53">
      <c r="A19" s="9"/>
      <c r="D19" s="64"/>
      <c r="E19" s="64"/>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row>
    <row r="20" spans="1:53" ht="29">
      <c r="A20" s="9"/>
      <c r="B20" s="347" t="s">
        <v>2939</v>
      </c>
      <c r="C20" s="391">
        <f>'Control Assumptions'!C219*SUM('Control Assumptions'!C138:C139)</f>
        <v>6.9461077844311367E-2</v>
      </c>
      <c r="D20" s="538"/>
      <c r="E20" s="64"/>
      <c r="F20" s="64"/>
      <c r="G20" s="64"/>
      <c r="H20" s="64"/>
      <c r="I20" s="64"/>
      <c r="J20" s="64"/>
      <c r="K20" s="64"/>
      <c r="L20" s="64"/>
      <c r="M20" s="64"/>
      <c r="N20" s="64"/>
      <c r="O20" s="64"/>
      <c r="P20" s="64"/>
      <c r="Q20" s="64"/>
      <c r="R20" s="64"/>
      <c r="S20" s="64"/>
      <c r="T20" s="64"/>
      <c r="U20" s="64"/>
      <c r="V20" s="64"/>
      <c r="W20" s="64"/>
      <c r="X20" s="64"/>
      <c r="Y20" s="64"/>
      <c r="Z20" s="64"/>
      <c r="AA20" s="64"/>
      <c r="AB20" s="64"/>
      <c r="AC20" s="64"/>
      <c r="AD20" s="64"/>
      <c r="AE20" s="64"/>
      <c r="AF20" s="64"/>
      <c r="AG20" s="64"/>
      <c r="AH20" s="64"/>
      <c r="AI20" s="64"/>
      <c r="AJ20" s="64"/>
      <c r="AK20" s="64"/>
      <c r="AL20" s="64"/>
      <c r="AM20" s="64"/>
      <c r="AN20" s="64"/>
      <c r="AO20" s="64"/>
      <c r="AP20" s="64"/>
      <c r="AQ20" s="64"/>
      <c r="AR20" s="64"/>
      <c r="AS20" s="64"/>
      <c r="AT20" s="64"/>
      <c r="AU20" s="64"/>
      <c r="AV20" s="64"/>
      <c r="AW20" s="64"/>
      <c r="AX20" s="64"/>
      <c r="AY20" s="64"/>
      <c r="AZ20" s="64"/>
      <c r="BA20" s="64"/>
    </row>
    <row r="21" spans="1:53">
      <c r="A21" s="9"/>
      <c r="B21" s="63"/>
      <c r="C21" s="64"/>
      <c r="D21" s="64"/>
      <c r="E21" s="64"/>
      <c r="F21" s="64"/>
      <c r="G21" s="64"/>
      <c r="H21" s="64"/>
      <c r="I21" s="64"/>
      <c r="J21" s="64"/>
      <c r="K21" s="64"/>
      <c r="L21" s="64"/>
      <c r="M21" s="64"/>
      <c r="N21" s="64"/>
      <c r="O21" s="64"/>
      <c r="P21" s="64"/>
      <c r="Q21" s="64"/>
      <c r="R21" s="64"/>
      <c r="S21" s="64"/>
      <c r="T21" s="64"/>
      <c r="U21" s="64"/>
      <c r="V21" s="64"/>
      <c r="W21" s="64"/>
      <c r="X21" s="64"/>
      <c r="Y21" s="64"/>
      <c r="Z21" s="64"/>
      <c r="AA21" s="64"/>
      <c r="AB21" s="64"/>
      <c r="AC21" s="64"/>
      <c r="AD21" s="64"/>
      <c r="AE21" s="64"/>
      <c r="AF21" s="64"/>
      <c r="AG21" s="64"/>
      <c r="AH21" s="64"/>
      <c r="AI21" s="64"/>
      <c r="AJ21" s="64"/>
      <c r="AK21" s="64"/>
      <c r="AL21" s="64"/>
      <c r="AM21" s="64"/>
      <c r="AN21" s="64"/>
      <c r="AO21" s="64"/>
      <c r="AP21" s="64"/>
      <c r="AQ21" s="64"/>
      <c r="AR21" s="64"/>
      <c r="AS21" s="64"/>
      <c r="AT21" s="64"/>
      <c r="AU21" s="64"/>
      <c r="AV21" s="64"/>
      <c r="AW21" s="64"/>
      <c r="AX21" s="64"/>
      <c r="AY21" s="64"/>
      <c r="AZ21" s="64"/>
      <c r="BA21" s="64"/>
    </row>
    <row r="22" spans="1:53">
      <c r="A22" s="9"/>
      <c r="B22" s="4"/>
    </row>
    <row r="23" spans="1:53">
      <c r="B23" s="34"/>
      <c r="C23" s="386">
        <f>'Prevalence projection'!C$21</f>
        <v>2020</v>
      </c>
      <c r="D23" s="386">
        <f t="shared" ref="D23:AE23" si="3">C23+1</f>
        <v>2021</v>
      </c>
      <c r="E23" s="386">
        <f t="shared" si="3"/>
        <v>2022</v>
      </c>
      <c r="F23" s="386">
        <f t="shared" si="3"/>
        <v>2023</v>
      </c>
      <c r="G23" s="386">
        <f t="shared" si="3"/>
        <v>2024</v>
      </c>
      <c r="H23" s="386">
        <f t="shared" si="3"/>
        <v>2025</v>
      </c>
      <c r="I23" s="386">
        <f t="shared" si="3"/>
        <v>2026</v>
      </c>
      <c r="J23" s="386">
        <f t="shared" si="3"/>
        <v>2027</v>
      </c>
      <c r="K23" s="386">
        <f t="shared" si="3"/>
        <v>2028</v>
      </c>
      <c r="L23" s="386">
        <f t="shared" si="3"/>
        <v>2029</v>
      </c>
      <c r="M23" s="386">
        <f t="shared" si="3"/>
        <v>2030</v>
      </c>
      <c r="N23" s="386">
        <f t="shared" si="3"/>
        <v>2031</v>
      </c>
      <c r="O23" s="386">
        <f t="shared" si="3"/>
        <v>2032</v>
      </c>
      <c r="P23" s="386">
        <f t="shared" si="3"/>
        <v>2033</v>
      </c>
      <c r="Q23" s="386">
        <f t="shared" si="3"/>
        <v>2034</v>
      </c>
      <c r="R23" s="386">
        <f t="shared" si="3"/>
        <v>2035</v>
      </c>
      <c r="S23" s="386">
        <f t="shared" si="3"/>
        <v>2036</v>
      </c>
      <c r="T23" s="386">
        <f t="shared" si="3"/>
        <v>2037</v>
      </c>
      <c r="U23" s="386">
        <f t="shared" si="3"/>
        <v>2038</v>
      </c>
      <c r="V23" s="386">
        <f t="shared" si="3"/>
        <v>2039</v>
      </c>
      <c r="W23" s="386">
        <f t="shared" si="3"/>
        <v>2040</v>
      </c>
      <c r="X23" s="386">
        <f t="shared" si="3"/>
        <v>2041</v>
      </c>
      <c r="Y23" s="386">
        <f t="shared" si="3"/>
        <v>2042</v>
      </c>
      <c r="Z23" s="386">
        <f t="shared" si="3"/>
        <v>2043</v>
      </c>
      <c r="AA23" s="386">
        <f t="shared" si="3"/>
        <v>2044</v>
      </c>
      <c r="AB23" s="386">
        <f t="shared" si="3"/>
        <v>2045</v>
      </c>
      <c r="AC23" s="386">
        <f t="shared" si="3"/>
        <v>2046</v>
      </c>
      <c r="AD23" s="386">
        <f t="shared" si="3"/>
        <v>2047</v>
      </c>
      <c r="AE23" s="386">
        <f t="shared" si="3"/>
        <v>2048</v>
      </c>
      <c r="AF23" s="386">
        <f t="shared" ref="AF23" si="4">AE23+1</f>
        <v>2049</v>
      </c>
      <c r="AG23" s="386">
        <f t="shared" ref="AG23" si="5">AF23+1</f>
        <v>2050</v>
      </c>
      <c r="AH23" s="386">
        <f t="shared" ref="AH23" si="6">AG23+1</f>
        <v>2051</v>
      </c>
      <c r="AI23" s="386">
        <f t="shared" ref="AI23" si="7">AH23+1</f>
        <v>2052</v>
      </c>
      <c r="AJ23" s="386">
        <f t="shared" ref="AJ23" si="8">AI23+1</f>
        <v>2053</v>
      </c>
      <c r="AK23" s="386">
        <f t="shared" ref="AK23" si="9">AJ23+1</f>
        <v>2054</v>
      </c>
      <c r="AL23" s="386">
        <f t="shared" ref="AL23" si="10">AK23+1</f>
        <v>2055</v>
      </c>
      <c r="AM23" s="386">
        <f t="shared" ref="AM23" si="11">AL23+1</f>
        <v>2056</v>
      </c>
      <c r="AN23" s="386">
        <f t="shared" ref="AN23" si="12">AM23+1</f>
        <v>2057</v>
      </c>
      <c r="AO23" s="386">
        <f t="shared" ref="AO23" si="13">AN23+1</f>
        <v>2058</v>
      </c>
      <c r="AP23" s="386">
        <f t="shared" ref="AP23" si="14">AO23+1</f>
        <v>2059</v>
      </c>
      <c r="AQ23" s="386">
        <f t="shared" ref="AQ23" si="15">AP23+1</f>
        <v>2060</v>
      </c>
      <c r="AR23" s="386">
        <f t="shared" ref="AR23" si="16">AQ23+1</f>
        <v>2061</v>
      </c>
      <c r="AS23" s="386">
        <f t="shared" ref="AS23" si="17">AR23+1</f>
        <v>2062</v>
      </c>
      <c r="AT23" s="386">
        <f t="shared" ref="AT23" si="18">AS23+1</f>
        <v>2063</v>
      </c>
      <c r="AU23" s="386">
        <f t="shared" ref="AU23" si="19">AT23+1</f>
        <v>2064</v>
      </c>
      <c r="AV23" s="386">
        <f t="shared" ref="AV23" si="20">AU23+1</f>
        <v>2065</v>
      </c>
      <c r="AW23" s="386">
        <f t="shared" ref="AW23" si="21">AV23+1</f>
        <v>2066</v>
      </c>
      <c r="AX23" s="386">
        <f t="shared" ref="AX23" si="22">AW23+1</f>
        <v>2067</v>
      </c>
      <c r="AY23" s="386">
        <f t="shared" ref="AY23" si="23">AX23+1</f>
        <v>2068</v>
      </c>
      <c r="AZ23" s="386">
        <f t="shared" ref="AZ23:BA23" si="24">AY23+1</f>
        <v>2069</v>
      </c>
      <c r="BA23" s="386">
        <f t="shared" si="24"/>
        <v>2070</v>
      </c>
    </row>
    <row r="24" spans="1:53" ht="29">
      <c r="B24" s="6" t="s">
        <v>2935</v>
      </c>
      <c r="C24" s="394">
        <f>C18*$C$20</f>
        <v>4.8590541916167656</v>
      </c>
      <c r="D24" s="394">
        <f t="shared" ref="D24:AE24" si="25">D18*$C$20</f>
        <v>5.0251388770858183</v>
      </c>
      <c r="E24" s="394">
        <f t="shared" si="25"/>
        <v>5.1672869048196608</v>
      </c>
      <c r="F24" s="394">
        <f t="shared" si="25"/>
        <v>5.2933151907571911</v>
      </c>
      <c r="G24" s="394">
        <f t="shared" si="25"/>
        <v>5.4103188006605487</v>
      </c>
      <c r="H24" s="394">
        <f t="shared" si="25"/>
        <v>5.5222123108169381</v>
      </c>
      <c r="I24" s="394">
        <f t="shared" si="25"/>
        <v>5.6291215489661939</v>
      </c>
      <c r="J24" s="394">
        <f t="shared" si="25"/>
        <v>5.7328901539432335</v>
      </c>
      <c r="K24" s="394">
        <f t="shared" si="25"/>
        <v>5.8444920707687293</v>
      </c>
      <c r="L24" s="394">
        <f t="shared" si="25"/>
        <v>5.9567434839525255</v>
      </c>
      <c r="M24" s="394">
        <f t="shared" si="25"/>
        <v>6.0662515501867578</v>
      </c>
      <c r="N24" s="394">
        <f t="shared" si="25"/>
        <v>6.1716243757440408</v>
      </c>
      <c r="O24" s="394">
        <f t="shared" si="25"/>
        <v>6.2720832135885667</v>
      </c>
      <c r="P24" s="394">
        <f t="shared" si="25"/>
        <v>6.3696214052828193</v>
      </c>
      <c r="Q24" s="394">
        <f t="shared" si="25"/>
        <v>6.4664776896652985</v>
      </c>
      <c r="R24" s="394">
        <f t="shared" si="25"/>
        <v>6.5629153100307773</v>
      </c>
      <c r="S24" s="394">
        <f t="shared" si="25"/>
        <v>6.6571244900716042</v>
      </c>
      <c r="T24" s="394">
        <f t="shared" si="25"/>
        <v>6.7493955746420102</v>
      </c>
      <c r="U24" s="394">
        <f t="shared" si="25"/>
        <v>6.8439317155917267</v>
      </c>
      <c r="V24" s="394">
        <f t="shared" si="25"/>
        <v>6.9371297838131829</v>
      </c>
      <c r="W24" s="394">
        <f t="shared" si="25"/>
        <v>7.0279992508761175</v>
      </c>
      <c r="X24" s="394">
        <f t="shared" si="25"/>
        <v>7.1164103004525598</v>
      </c>
      <c r="Y24" s="394">
        <f t="shared" si="25"/>
        <v>7.2040746981389443</v>
      </c>
      <c r="Z24" s="394">
        <f t="shared" si="25"/>
        <v>7.2905941170132085</v>
      </c>
      <c r="AA24" s="394">
        <f t="shared" si="25"/>
        <v>7.3752678820384689</v>
      </c>
      <c r="AB24" s="394">
        <f t="shared" si="25"/>
        <v>7.4575684905102966</v>
      </c>
      <c r="AC24" s="394">
        <f t="shared" si="25"/>
        <v>7.5369786640133647</v>
      </c>
      <c r="AD24" s="394">
        <f t="shared" si="25"/>
        <v>7.6131300359207374</v>
      </c>
      <c r="AE24" s="394">
        <f t="shared" si="25"/>
        <v>7.6856937195779702</v>
      </c>
      <c r="AF24" s="394">
        <f t="shared" ref="AF24:AO24" si="26">AF18*$C$20</f>
        <v>7.7550106851407028</v>
      </c>
      <c r="AG24" s="394">
        <f t="shared" si="26"/>
        <v>7.8226659454869081</v>
      </c>
      <c r="AH24" s="394">
        <f t="shared" si="26"/>
        <v>7.8888093049261157</v>
      </c>
      <c r="AI24" s="394">
        <f t="shared" si="26"/>
        <v>7.9540041641320141</v>
      </c>
      <c r="AJ24" s="394">
        <f t="shared" si="26"/>
        <v>8.016467353527327</v>
      </c>
      <c r="AK24" s="394">
        <f t="shared" si="26"/>
        <v>8.0748796528809219</v>
      </c>
      <c r="AL24" s="394">
        <f t="shared" si="26"/>
        <v>8.1283810088838404</v>
      </c>
      <c r="AM24" s="394">
        <f t="shared" si="26"/>
        <v>8.1775714584962049</v>
      </c>
      <c r="AN24" s="394">
        <f t="shared" si="26"/>
        <v>8.2226036090463648</v>
      </c>
      <c r="AO24" s="394">
        <f t="shared" si="26"/>
        <v>8.2632776912754196</v>
      </c>
      <c r="AP24" s="394">
        <f t="shared" ref="AP24:BA24" si="27">AP18*$C$20</f>
        <v>8.3015268423845843</v>
      </c>
      <c r="AQ24" s="394">
        <f t="shared" si="27"/>
        <v>8.3394638648246389</v>
      </c>
      <c r="AR24" s="394">
        <f t="shared" si="27"/>
        <v>8.3787336914395603</v>
      </c>
      <c r="AS24" s="394">
        <f t="shared" si="27"/>
        <v>8.4083136883372518</v>
      </c>
      <c r="AT24" s="394">
        <f t="shared" si="27"/>
        <v>8.4305948210004367</v>
      </c>
      <c r="AU24" s="394">
        <f t="shared" si="27"/>
        <v>8.4473780841789807</v>
      </c>
      <c r="AV24" s="394">
        <f t="shared" si="27"/>
        <v>8.4600200771682204</v>
      </c>
      <c r="AW24" s="394">
        <f t="shared" si="27"/>
        <v>8.4695426583873648</v>
      </c>
      <c r="AX24" s="394">
        <f t="shared" si="27"/>
        <v>8.4767155426906839</v>
      </c>
      <c r="AY24" s="394">
        <f t="shared" si="27"/>
        <v>8.482118517792161</v>
      </c>
      <c r="AZ24" s="394">
        <f t="shared" si="27"/>
        <v>8.486188308787348</v>
      </c>
      <c r="BA24" s="394">
        <f t="shared" si="27"/>
        <v>8.4892538788544716</v>
      </c>
    </row>
    <row r="25" spans="1:53">
      <c r="B25" s="349" t="s">
        <v>2933</v>
      </c>
      <c r="C25" s="393"/>
      <c r="D25" s="393"/>
      <c r="E25" s="393"/>
      <c r="F25" s="393"/>
      <c r="G25" s="393"/>
      <c r="H25" s="393"/>
      <c r="I25" s="393"/>
      <c r="J25" s="393"/>
      <c r="K25" s="393"/>
      <c r="L25" s="393"/>
      <c r="M25" s="393"/>
      <c r="N25" s="393"/>
      <c r="O25" s="393"/>
      <c r="P25" s="393"/>
      <c r="Q25" s="393"/>
      <c r="R25" s="393"/>
      <c r="S25" s="393"/>
      <c r="T25" s="393"/>
      <c r="U25" s="393"/>
      <c r="V25" s="393"/>
      <c r="W25" s="393"/>
      <c r="X25" s="393"/>
      <c r="Y25" s="393"/>
      <c r="Z25" s="393"/>
      <c r="AA25" s="393"/>
      <c r="AB25" s="393"/>
      <c r="AC25" s="393"/>
      <c r="AD25" s="393"/>
      <c r="AE25" s="393"/>
      <c r="AF25" s="393"/>
      <c r="AG25" s="393"/>
      <c r="AH25" s="393"/>
      <c r="AI25" s="393"/>
      <c r="AJ25" s="393"/>
      <c r="AK25" s="393"/>
      <c r="AL25" s="393"/>
      <c r="AM25" s="393"/>
      <c r="AN25" s="393"/>
      <c r="AO25" s="393"/>
    </row>
    <row r="26" spans="1:53">
      <c r="B26" s="349"/>
      <c r="C26" s="393"/>
      <c r="D26" s="393"/>
      <c r="E26" s="393"/>
      <c r="F26" s="393"/>
      <c r="G26" s="393"/>
      <c r="H26" s="393"/>
      <c r="I26" s="393"/>
      <c r="J26" s="393"/>
      <c r="K26" s="393"/>
      <c r="L26" s="393"/>
      <c r="M26" s="393"/>
      <c r="N26" s="393"/>
      <c r="O26" s="393"/>
      <c r="P26" s="393"/>
      <c r="Q26" s="393"/>
      <c r="R26" s="393"/>
      <c r="S26" s="393"/>
      <c r="T26" s="393"/>
      <c r="U26" s="393"/>
      <c r="V26" s="393"/>
      <c r="W26" s="393"/>
      <c r="X26" s="393"/>
      <c r="Y26" s="393"/>
      <c r="Z26" s="393"/>
      <c r="AA26" s="393"/>
      <c r="AB26" s="393"/>
      <c r="AC26" s="393"/>
      <c r="AD26" s="393"/>
      <c r="AE26" s="393"/>
    </row>
    <row r="27" spans="1:53">
      <c r="B27" s="349"/>
      <c r="C27" s="393"/>
      <c r="D27" s="393"/>
      <c r="E27" s="393"/>
      <c r="F27" s="393"/>
      <c r="G27" s="393"/>
      <c r="H27" s="393"/>
      <c r="I27" s="393"/>
      <c r="J27" s="393"/>
      <c r="K27" s="393"/>
      <c r="L27" s="393"/>
      <c r="M27" s="393"/>
      <c r="N27" s="393"/>
      <c r="O27" s="393"/>
      <c r="P27" s="393"/>
      <c r="Q27" s="393"/>
      <c r="R27" s="393"/>
      <c r="S27" s="393"/>
      <c r="T27" s="393"/>
      <c r="U27" s="393"/>
      <c r="V27" s="393"/>
      <c r="W27" s="393"/>
      <c r="X27" s="393"/>
      <c r="Y27" s="393"/>
      <c r="Z27" s="393"/>
      <c r="AA27" s="393"/>
      <c r="AB27" s="393"/>
      <c r="AC27" s="393"/>
      <c r="AD27" s="393"/>
      <c r="AE27" s="393"/>
    </row>
    <row r="28" spans="1:53">
      <c r="A28" s="9"/>
      <c r="B28" s="9" t="s">
        <v>2981</v>
      </c>
      <c r="C28" s="393"/>
      <c r="D28" s="393"/>
      <c r="E28" s="393"/>
      <c r="F28" s="393"/>
      <c r="G28" s="393"/>
      <c r="H28" s="393"/>
      <c r="I28" s="393"/>
      <c r="J28" s="393"/>
      <c r="K28" s="393"/>
      <c r="L28" s="393"/>
      <c r="M28" s="393"/>
      <c r="N28" s="393"/>
      <c r="O28" s="393"/>
      <c r="P28" s="393"/>
      <c r="Q28" s="393"/>
      <c r="R28" s="393"/>
      <c r="S28" s="393"/>
      <c r="T28" s="393"/>
      <c r="U28" s="393"/>
      <c r="V28" s="393"/>
      <c r="W28" s="393"/>
      <c r="X28" s="393"/>
      <c r="Y28" s="393"/>
      <c r="Z28" s="393"/>
      <c r="AA28" s="393"/>
      <c r="AB28" s="393"/>
      <c r="AC28" s="393"/>
      <c r="AD28" s="393"/>
      <c r="AE28" s="393"/>
    </row>
    <row r="29" spans="1:53">
      <c r="A29" s="9"/>
      <c r="B29" s="9"/>
    </row>
    <row r="30" spans="1:53" s="95" customFormat="1">
      <c r="B30" s="345" t="s">
        <v>2898</v>
      </c>
      <c r="C30" s="345" t="s">
        <v>2898</v>
      </c>
      <c r="D30" s="345" t="s">
        <v>2937</v>
      </c>
      <c r="E30" s="96"/>
      <c r="F30" s="356"/>
      <c r="G30" s="342"/>
      <c r="H30" s="96"/>
      <c r="I30" s="342"/>
      <c r="J30" s="342"/>
      <c r="K30" s="96"/>
    </row>
    <row r="31" spans="1:53" s="95" customFormat="1">
      <c r="B31" s="347" t="s">
        <v>2899</v>
      </c>
      <c r="C31" s="304">
        <v>79.2</v>
      </c>
      <c r="D31" s="391">
        <f>1-D32</f>
        <v>0.43200000000000005</v>
      </c>
      <c r="E31" s="96"/>
      <c r="F31" s="356"/>
      <c r="G31" s="342"/>
      <c r="H31" s="96"/>
      <c r="I31" s="342"/>
      <c r="J31" s="342"/>
      <c r="K31" s="96"/>
    </row>
    <row r="32" spans="1:53" s="95" customFormat="1">
      <c r="B32" s="347" t="s">
        <v>2900</v>
      </c>
      <c r="C32" s="304">
        <v>82.9</v>
      </c>
      <c r="D32" s="390">
        <v>0.56799999999999995</v>
      </c>
      <c r="E32" s="96"/>
      <c r="F32" s="356"/>
      <c r="G32" s="342"/>
      <c r="H32" s="96"/>
      <c r="I32" s="342"/>
      <c r="J32" s="342"/>
      <c r="K32" s="96"/>
    </row>
    <row r="33" spans="1:53" s="95" customFormat="1">
      <c r="B33" s="347" t="s">
        <v>2530</v>
      </c>
      <c r="C33" s="309">
        <f>SUMPRODUCT(C31:C32,D31:D32)</f>
        <v>81.301600000000008</v>
      </c>
      <c r="D33" s="96"/>
      <c r="E33" s="96"/>
      <c r="F33" s="356"/>
      <c r="G33" s="342"/>
      <c r="H33" s="96"/>
      <c r="I33" s="342"/>
      <c r="J33" s="342"/>
      <c r="K33" s="96"/>
    </row>
    <row r="34" spans="1:53" s="95" customFormat="1">
      <c r="B34" s="359"/>
      <c r="C34" s="349" t="s">
        <v>2901</v>
      </c>
      <c r="D34" s="349" t="s">
        <v>2504</v>
      </c>
      <c r="E34" s="96"/>
      <c r="F34" s="356"/>
      <c r="G34" s="342"/>
      <c r="H34" s="96"/>
      <c r="I34" s="342"/>
      <c r="J34" s="342"/>
      <c r="K34" s="96"/>
    </row>
    <row r="35" spans="1:53" s="95" customFormat="1">
      <c r="B35" s="345" t="s">
        <v>2</v>
      </c>
      <c r="C35" s="345" t="s">
        <v>40</v>
      </c>
      <c r="D35" s="349"/>
      <c r="E35" s="96"/>
      <c r="F35" s="356"/>
      <c r="G35" s="342"/>
      <c r="H35" s="96"/>
      <c r="I35" s="342"/>
      <c r="J35" s="342"/>
      <c r="K35" s="96"/>
    </row>
    <row r="36" spans="1:53" s="95" customFormat="1">
      <c r="B36" s="347" t="s">
        <v>2902</v>
      </c>
      <c r="C36" s="304">
        <v>70.599999999999994</v>
      </c>
      <c r="D36" s="349" t="s">
        <v>2504</v>
      </c>
      <c r="E36" s="96"/>
      <c r="F36" s="356"/>
      <c r="G36" s="342"/>
      <c r="H36" s="96"/>
      <c r="I36" s="342"/>
      <c r="J36" s="342"/>
      <c r="K36" s="96"/>
    </row>
    <row r="37" spans="1:53" s="95" customFormat="1" ht="29">
      <c r="B37" s="347" t="s">
        <v>2903</v>
      </c>
      <c r="C37" s="309">
        <f>C33-C36-1</f>
        <v>9.7016000000000133</v>
      </c>
      <c r="D37" s="349"/>
      <c r="E37" s="96"/>
      <c r="F37" s="356"/>
      <c r="G37" s="342"/>
      <c r="H37" s="96"/>
      <c r="I37" s="342"/>
      <c r="J37" s="342"/>
      <c r="K37" s="96"/>
    </row>
    <row r="39" spans="1:53" ht="29">
      <c r="B39" s="347" t="s">
        <v>2905</v>
      </c>
      <c r="C39" s="309">
        <f>ROUNDUP('Wound maintenance vols'!C37, 0.1)</f>
        <v>10</v>
      </c>
      <c r="D39" s="116"/>
      <c r="E39" s="116"/>
      <c r="F39" s="116"/>
      <c r="G39" s="116"/>
      <c r="H39" s="116"/>
      <c r="I39" s="116"/>
      <c r="J39" s="116"/>
      <c r="K39" s="116"/>
      <c r="L39" s="116"/>
      <c r="M39" s="116"/>
      <c r="N39" s="116"/>
      <c r="O39" s="116"/>
      <c r="P39" s="116"/>
      <c r="Q39" s="116"/>
      <c r="R39" s="116"/>
      <c r="S39" s="116"/>
      <c r="T39" s="116"/>
      <c r="U39" s="116"/>
      <c r="V39" s="116"/>
      <c r="W39" s="116"/>
      <c r="X39" s="116"/>
      <c r="Y39" s="116"/>
      <c r="Z39" s="116"/>
      <c r="AA39" s="116"/>
      <c r="AB39" s="116"/>
      <c r="AC39" s="116"/>
      <c r="AD39" s="116"/>
      <c r="AE39" s="116"/>
      <c r="AF39" s="116"/>
    </row>
    <row r="40" spans="1:53">
      <c r="D40" s="116"/>
      <c r="E40" s="116"/>
      <c r="F40" s="116"/>
      <c r="G40" s="116"/>
      <c r="H40" s="116"/>
      <c r="I40" s="116"/>
      <c r="J40" s="116"/>
      <c r="K40" s="116"/>
      <c r="L40" s="116"/>
      <c r="M40" s="116"/>
      <c r="N40" s="116"/>
      <c r="O40" s="116"/>
      <c r="P40" s="116"/>
      <c r="Q40" s="116"/>
      <c r="R40" s="116"/>
      <c r="S40" s="116"/>
      <c r="T40" s="116"/>
      <c r="U40" s="116"/>
      <c r="V40" s="116"/>
      <c r="W40" s="116"/>
      <c r="X40" s="116"/>
      <c r="Y40" s="116"/>
      <c r="Z40" s="116"/>
      <c r="AA40" s="116"/>
      <c r="AB40" s="116"/>
      <c r="AC40" s="116"/>
      <c r="AD40" s="116"/>
      <c r="AE40" s="116"/>
      <c r="AF40" s="116"/>
    </row>
    <row r="41" spans="1:53">
      <c r="B41" s="359"/>
      <c r="C41" s="396"/>
      <c r="D41" s="116"/>
      <c r="E41" s="116"/>
      <c r="F41" s="116"/>
      <c r="G41" s="116"/>
      <c r="H41" s="116"/>
      <c r="I41" s="116"/>
      <c r="J41" s="116"/>
      <c r="K41" s="116"/>
      <c r="L41" s="116"/>
      <c r="M41" s="116"/>
      <c r="N41" s="116"/>
      <c r="O41" s="116"/>
      <c r="P41" s="116"/>
      <c r="Q41" s="116"/>
      <c r="R41" s="116"/>
      <c r="S41" s="116"/>
      <c r="T41" s="116"/>
      <c r="U41" s="116"/>
      <c r="V41" s="116"/>
      <c r="W41" s="116"/>
      <c r="X41" s="116"/>
      <c r="Y41" s="116"/>
      <c r="Z41" s="116"/>
      <c r="AA41" s="116"/>
      <c r="AB41" s="116"/>
      <c r="AC41" s="116"/>
      <c r="AD41" s="116"/>
      <c r="AE41" s="116"/>
      <c r="AF41" s="116"/>
    </row>
    <row r="43" spans="1:53">
      <c r="B43" s="52"/>
      <c r="C43" s="113"/>
      <c r="D43" s="393"/>
      <c r="E43" s="393"/>
      <c r="F43" s="393"/>
      <c r="G43" s="393"/>
      <c r="H43" s="393"/>
      <c r="I43" s="393"/>
      <c r="J43" s="393"/>
      <c r="K43" s="393"/>
      <c r="L43" s="393"/>
      <c r="M43" s="393"/>
      <c r="N43" s="393"/>
      <c r="O43" s="393"/>
      <c r="P43" s="393"/>
      <c r="Q43" s="393"/>
      <c r="R43" s="393"/>
      <c r="S43" s="393"/>
      <c r="T43" s="393"/>
      <c r="U43" s="393"/>
      <c r="V43" s="393"/>
      <c r="W43" s="393"/>
      <c r="X43" s="393"/>
      <c r="Y43" s="393"/>
      <c r="Z43" s="393"/>
      <c r="AA43" s="393"/>
      <c r="AB43" s="393"/>
      <c r="AC43" s="393"/>
      <c r="AD43" s="393"/>
      <c r="AE43" s="393"/>
      <c r="AF43" s="393"/>
    </row>
    <row r="44" spans="1:53">
      <c r="A44" t="s">
        <v>10</v>
      </c>
      <c r="B44" s="114" t="s">
        <v>2936</v>
      </c>
      <c r="C44" s="393"/>
      <c r="D44" s="393"/>
      <c r="E44" s="393"/>
      <c r="F44" s="393"/>
      <c r="G44" s="393"/>
      <c r="H44" s="393"/>
      <c r="I44" s="393"/>
      <c r="J44" s="393"/>
      <c r="K44" s="393"/>
      <c r="L44" s="393"/>
      <c r="M44" s="393"/>
      <c r="N44" s="393"/>
      <c r="O44" s="393"/>
      <c r="P44" s="393"/>
      <c r="Q44" s="393"/>
      <c r="R44" s="393"/>
      <c r="S44" s="393"/>
      <c r="T44" s="393"/>
      <c r="U44" s="393"/>
      <c r="V44" s="393"/>
      <c r="W44" s="393"/>
      <c r="X44" s="393"/>
      <c r="Y44" s="393"/>
      <c r="Z44" s="393"/>
      <c r="AA44" s="393"/>
      <c r="AB44" s="393"/>
      <c r="AC44" s="393"/>
      <c r="AD44" s="393"/>
      <c r="AE44" s="393"/>
    </row>
    <row r="45" spans="1:53">
      <c r="B45" s="349" t="s">
        <v>2938</v>
      </c>
      <c r="C45" s="393"/>
      <c r="D45" s="393"/>
      <c r="E45" s="393"/>
      <c r="F45" s="393"/>
      <c r="G45" s="393"/>
      <c r="H45" s="393"/>
      <c r="I45" s="393"/>
      <c r="J45" s="393"/>
      <c r="K45" s="393"/>
      <c r="L45" s="393"/>
      <c r="M45" s="393"/>
      <c r="N45" s="393"/>
      <c r="O45" s="393"/>
      <c r="P45" s="393"/>
      <c r="Q45" s="393"/>
      <c r="R45" s="393"/>
      <c r="S45" s="393"/>
      <c r="T45" s="393"/>
      <c r="U45" s="393"/>
      <c r="V45" s="393"/>
      <c r="W45" s="393"/>
      <c r="X45" s="393"/>
      <c r="Y45" s="393"/>
      <c r="Z45" s="393"/>
      <c r="AA45" s="393"/>
      <c r="AB45" s="393"/>
      <c r="AC45" s="393"/>
      <c r="AD45" s="393"/>
      <c r="AE45" s="393"/>
    </row>
    <row r="46" spans="1:53">
      <c r="B46" s="114"/>
      <c r="C46" s="393"/>
      <c r="D46" s="393"/>
      <c r="E46" s="393"/>
      <c r="F46" s="393"/>
      <c r="G46" s="393"/>
      <c r="H46" s="393"/>
      <c r="I46" s="393"/>
      <c r="J46" s="393"/>
      <c r="K46" s="393"/>
      <c r="L46" s="393"/>
      <c r="M46" s="393"/>
      <c r="N46" s="393"/>
      <c r="O46" s="393"/>
      <c r="P46" s="393"/>
      <c r="Q46" s="393"/>
      <c r="R46" s="393"/>
      <c r="S46" s="393"/>
      <c r="T46" s="393"/>
      <c r="U46" s="393"/>
      <c r="V46" s="393"/>
      <c r="W46" s="393"/>
      <c r="X46" s="393"/>
      <c r="Y46" s="393"/>
      <c r="Z46" s="393"/>
      <c r="AA46" s="393"/>
      <c r="AB46" s="393"/>
      <c r="AC46" s="393"/>
      <c r="AD46" s="393"/>
      <c r="AE46" s="393"/>
    </row>
    <row r="47" spans="1:53">
      <c r="B47" s="113"/>
      <c r="C47" s="393" t="s">
        <v>2906</v>
      </c>
      <c r="D47" s="393"/>
      <c r="E47" s="393"/>
      <c r="F47" s="393"/>
      <c r="G47" s="393"/>
      <c r="H47" s="393"/>
      <c r="I47" s="393"/>
      <c r="J47" s="393"/>
      <c r="K47" s="393"/>
      <c r="L47" s="393"/>
      <c r="M47" s="393"/>
      <c r="N47" s="393"/>
      <c r="O47" s="393"/>
      <c r="P47" s="393"/>
      <c r="Q47" s="393"/>
      <c r="R47" s="393"/>
      <c r="S47" s="393"/>
      <c r="T47" s="393"/>
      <c r="U47" s="393"/>
      <c r="V47" s="393"/>
      <c r="W47" s="393"/>
      <c r="X47" s="393"/>
      <c r="Y47" s="393"/>
      <c r="Z47" s="393"/>
      <c r="AA47" s="393"/>
      <c r="AB47" s="393"/>
      <c r="AC47" s="393"/>
      <c r="AD47" s="393"/>
      <c r="AE47" s="393"/>
    </row>
    <row r="48" spans="1:53">
      <c r="B48" s="399" t="s">
        <v>2907</v>
      </c>
      <c r="C48" s="386">
        <f>'Prevalence projection'!C$21</f>
        <v>2020</v>
      </c>
      <c r="D48" s="386">
        <f t="shared" ref="D48:AE48" si="28">C48+1</f>
        <v>2021</v>
      </c>
      <c r="E48" s="386">
        <f t="shared" si="28"/>
        <v>2022</v>
      </c>
      <c r="F48" s="386">
        <f t="shared" si="28"/>
        <v>2023</v>
      </c>
      <c r="G48" s="386">
        <f t="shared" si="28"/>
        <v>2024</v>
      </c>
      <c r="H48" s="386">
        <f t="shared" si="28"/>
        <v>2025</v>
      </c>
      <c r="I48" s="386">
        <f t="shared" si="28"/>
        <v>2026</v>
      </c>
      <c r="J48" s="386">
        <f t="shared" si="28"/>
        <v>2027</v>
      </c>
      <c r="K48" s="386">
        <f t="shared" si="28"/>
        <v>2028</v>
      </c>
      <c r="L48" s="386">
        <f t="shared" si="28"/>
        <v>2029</v>
      </c>
      <c r="M48" s="386">
        <f t="shared" si="28"/>
        <v>2030</v>
      </c>
      <c r="N48" s="386">
        <f t="shared" si="28"/>
        <v>2031</v>
      </c>
      <c r="O48" s="386">
        <f t="shared" si="28"/>
        <v>2032</v>
      </c>
      <c r="P48" s="386">
        <f t="shared" si="28"/>
        <v>2033</v>
      </c>
      <c r="Q48" s="386">
        <f t="shared" si="28"/>
        <v>2034</v>
      </c>
      <c r="R48" s="386">
        <f t="shared" si="28"/>
        <v>2035</v>
      </c>
      <c r="S48" s="386">
        <f t="shared" si="28"/>
        <v>2036</v>
      </c>
      <c r="T48" s="386">
        <f t="shared" si="28"/>
        <v>2037</v>
      </c>
      <c r="U48" s="386">
        <f t="shared" si="28"/>
        <v>2038</v>
      </c>
      <c r="V48" s="386">
        <f t="shared" si="28"/>
        <v>2039</v>
      </c>
      <c r="W48" s="386">
        <f t="shared" si="28"/>
        <v>2040</v>
      </c>
      <c r="X48" s="386">
        <f t="shared" si="28"/>
        <v>2041</v>
      </c>
      <c r="Y48" s="386">
        <f t="shared" si="28"/>
        <v>2042</v>
      </c>
      <c r="Z48" s="386">
        <f t="shared" si="28"/>
        <v>2043</v>
      </c>
      <c r="AA48" s="386">
        <f t="shared" si="28"/>
        <v>2044</v>
      </c>
      <c r="AB48" s="386">
        <f t="shared" si="28"/>
        <v>2045</v>
      </c>
      <c r="AC48" s="386">
        <f t="shared" si="28"/>
        <v>2046</v>
      </c>
      <c r="AD48" s="386">
        <f t="shared" si="28"/>
        <v>2047</v>
      </c>
      <c r="AE48" s="386">
        <f t="shared" si="28"/>
        <v>2048</v>
      </c>
      <c r="AF48" s="386">
        <f t="shared" ref="AF48" si="29">AE48+1</f>
        <v>2049</v>
      </c>
      <c r="AG48" s="386">
        <f t="shared" ref="AG48" si="30">AF48+1</f>
        <v>2050</v>
      </c>
      <c r="AH48" s="386">
        <f t="shared" ref="AH48" si="31">AG48+1</f>
        <v>2051</v>
      </c>
      <c r="AI48" s="386">
        <f t="shared" ref="AI48" si="32">AH48+1</f>
        <v>2052</v>
      </c>
      <c r="AJ48" s="386">
        <f t="shared" ref="AJ48" si="33">AI48+1</f>
        <v>2053</v>
      </c>
      <c r="AK48" s="386">
        <f t="shared" ref="AK48" si="34">AJ48+1</f>
        <v>2054</v>
      </c>
      <c r="AL48" s="386">
        <f t="shared" ref="AL48" si="35">AK48+1</f>
        <v>2055</v>
      </c>
      <c r="AM48" s="386">
        <f t="shared" ref="AM48" si="36">AL48+1</f>
        <v>2056</v>
      </c>
      <c r="AN48" s="386">
        <f t="shared" ref="AN48" si="37">AM48+1</f>
        <v>2057</v>
      </c>
      <c r="AO48" s="386">
        <f t="shared" ref="AO48" si="38">AN48+1</f>
        <v>2058</v>
      </c>
      <c r="AP48" s="386">
        <f t="shared" ref="AP48" si="39">AO48+1</f>
        <v>2059</v>
      </c>
      <c r="AQ48" s="386">
        <f t="shared" ref="AQ48" si="40">AP48+1</f>
        <v>2060</v>
      </c>
      <c r="AR48" s="386">
        <f t="shared" ref="AR48" si="41">AQ48+1</f>
        <v>2061</v>
      </c>
      <c r="AS48" s="386">
        <f t="shared" ref="AS48" si="42">AR48+1</f>
        <v>2062</v>
      </c>
      <c r="AT48" s="386">
        <f t="shared" ref="AT48" si="43">AS48+1</f>
        <v>2063</v>
      </c>
      <c r="AU48" s="386">
        <f t="shared" ref="AU48" si="44">AT48+1</f>
        <v>2064</v>
      </c>
      <c r="AV48" s="386">
        <f t="shared" ref="AV48" si="45">AU48+1</f>
        <v>2065</v>
      </c>
      <c r="AW48" s="386">
        <f t="shared" ref="AW48" si="46">AV48+1</f>
        <v>2066</v>
      </c>
      <c r="AX48" s="386">
        <f t="shared" ref="AX48" si="47">AW48+1</f>
        <v>2067</v>
      </c>
      <c r="AY48" s="386">
        <f t="shared" ref="AY48" si="48">AX48+1</f>
        <v>2068</v>
      </c>
      <c r="AZ48" s="386">
        <f t="shared" ref="AZ48:BA48" si="49">AY48+1</f>
        <v>2069</v>
      </c>
      <c r="BA48" s="386">
        <f t="shared" si="49"/>
        <v>2070</v>
      </c>
    </row>
    <row r="49" spans="2:53">
      <c r="B49" s="398">
        <f>C48</f>
        <v>2020</v>
      </c>
      <c r="C49" s="397">
        <f>IF($B49&gt;=C$48,0,        IF(C$48-$B49&lt;=$C$39,    INDEX($C$24:$BA$24, MATCH($B49, $C$23:$BA$23,0)),       0))</f>
        <v>0</v>
      </c>
      <c r="D49" s="397">
        <f t="shared" ref="D49:BA54" si="50">IF($B49&gt;=D$48,0,        IF(D$48-$B49&lt;=$C$39,    INDEX($C$24:$BA$24, MATCH($B49, $C$23:$BA$23,0)),       0))</f>
        <v>4.8590541916167656</v>
      </c>
      <c r="E49" s="397">
        <f t="shared" si="50"/>
        <v>4.8590541916167656</v>
      </c>
      <c r="F49" s="397">
        <f t="shared" si="50"/>
        <v>4.8590541916167656</v>
      </c>
      <c r="G49" s="397">
        <f t="shared" si="50"/>
        <v>4.8590541916167656</v>
      </c>
      <c r="H49" s="397">
        <f t="shared" si="50"/>
        <v>4.8590541916167656</v>
      </c>
      <c r="I49" s="397">
        <f t="shared" si="50"/>
        <v>4.8590541916167656</v>
      </c>
      <c r="J49" s="397">
        <f t="shared" si="50"/>
        <v>4.8590541916167656</v>
      </c>
      <c r="K49" s="397">
        <f t="shared" si="50"/>
        <v>4.8590541916167656</v>
      </c>
      <c r="L49" s="397">
        <f t="shared" si="50"/>
        <v>4.8590541916167656</v>
      </c>
      <c r="M49" s="397">
        <f t="shared" si="50"/>
        <v>4.8590541916167656</v>
      </c>
      <c r="N49" s="397">
        <f t="shared" si="50"/>
        <v>0</v>
      </c>
      <c r="O49" s="397">
        <f t="shared" si="50"/>
        <v>0</v>
      </c>
      <c r="P49" s="397">
        <f t="shared" si="50"/>
        <v>0</v>
      </c>
      <c r="Q49" s="397">
        <f t="shared" si="50"/>
        <v>0</v>
      </c>
      <c r="R49" s="397">
        <f t="shared" si="50"/>
        <v>0</v>
      </c>
      <c r="S49" s="397">
        <f t="shared" si="50"/>
        <v>0</v>
      </c>
      <c r="T49" s="397">
        <f t="shared" si="50"/>
        <v>0</v>
      </c>
      <c r="U49" s="397">
        <f t="shared" si="50"/>
        <v>0</v>
      </c>
      <c r="V49" s="397">
        <f t="shared" si="50"/>
        <v>0</v>
      </c>
      <c r="W49" s="397">
        <f t="shared" si="50"/>
        <v>0</v>
      </c>
      <c r="X49" s="397">
        <f t="shared" si="50"/>
        <v>0</v>
      </c>
      <c r="Y49" s="397">
        <f t="shared" si="50"/>
        <v>0</v>
      </c>
      <c r="Z49" s="397">
        <f t="shared" si="50"/>
        <v>0</v>
      </c>
      <c r="AA49" s="397">
        <f t="shared" si="50"/>
        <v>0</v>
      </c>
      <c r="AB49" s="397">
        <f t="shared" si="50"/>
        <v>0</v>
      </c>
      <c r="AC49" s="397">
        <f t="shared" si="50"/>
        <v>0</v>
      </c>
      <c r="AD49" s="397">
        <f t="shared" si="50"/>
        <v>0</v>
      </c>
      <c r="AE49" s="397">
        <f t="shared" si="50"/>
        <v>0</v>
      </c>
      <c r="AF49" s="397">
        <f t="shared" si="50"/>
        <v>0</v>
      </c>
      <c r="AG49" s="397">
        <f t="shared" si="50"/>
        <v>0</v>
      </c>
      <c r="AH49" s="397">
        <f t="shared" si="50"/>
        <v>0</v>
      </c>
      <c r="AI49" s="397">
        <f t="shared" si="50"/>
        <v>0</v>
      </c>
      <c r="AJ49" s="397">
        <f t="shared" si="50"/>
        <v>0</v>
      </c>
      <c r="AK49" s="397">
        <f t="shared" si="50"/>
        <v>0</v>
      </c>
      <c r="AL49" s="397">
        <f t="shared" si="50"/>
        <v>0</v>
      </c>
      <c r="AM49" s="397">
        <f t="shared" si="50"/>
        <v>0</v>
      </c>
      <c r="AN49" s="397">
        <f t="shared" si="50"/>
        <v>0</v>
      </c>
      <c r="AO49" s="397">
        <f t="shared" si="50"/>
        <v>0</v>
      </c>
      <c r="AP49" s="397">
        <f t="shared" si="50"/>
        <v>0</v>
      </c>
      <c r="AQ49" s="397">
        <f t="shared" si="50"/>
        <v>0</v>
      </c>
      <c r="AR49" s="397">
        <f t="shared" si="50"/>
        <v>0</v>
      </c>
      <c r="AS49" s="397">
        <f t="shared" si="50"/>
        <v>0</v>
      </c>
      <c r="AT49" s="397">
        <f t="shared" si="50"/>
        <v>0</v>
      </c>
      <c r="AU49" s="397">
        <f t="shared" si="50"/>
        <v>0</v>
      </c>
      <c r="AV49" s="397">
        <f t="shared" si="50"/>
        <v>0</v>
      </c>
      <c r="AW49" s="397">
        <f t="shared" si="50"/>
        <v>0</v>
      </c>
      <c r="AX49" s="397">
        <f t="shared" si="50"/>
        <v>0</v>
      </c>
      <c r="AY49" s="397">
        <f t="shared" si="50"/>
        <v>0</v>
      </c>
      <c r="AZ49" s="397">
        <f t="shared" si="50"/>
        <v>0</v>
      </c>
      <c r="BA49" s="397">
        <f t="shared" si="50"/>
        <v>0</v>
      </c>
    </row>
    <row r="50" spans="2:53">
      <c r="B50" s="398">
        <f>B49+1</f>
        <v>2021</v>
      </c>
      <c r="C50" s="397">
        <f t="shared" ref="C50:R70" si="51">IF($B50&gt;=C$48,0,        IF(C$48-$B50&lt;=$C$39,    INDEX($C$24:$BA$24, MATCH($B50, $C$23:$BA$23,0)),       0))</f>
        <v>0</v>
      </c>
      <c r="D50" s="397">
        <f t="shared" si="50"/>
        <v>0</v>
      </c>
      <c r="E50" s="397">
        <f t="shared" si="50"/>
        <v>5.0251388770858183</v>
      </c>
      <c r="F50" s="397">
        <f t="shared" si="50"/>
        <v>5.0251388770858183</v>
      </c>
      <c r="G50" s="397">
        <f t="shared" si="50"/>
        <v>5.0251388770858183</v>
      </c>
      <c r="H50" s="397">
        <f t="shared" si="50"/>
        <v>5.0251388770858183</v>
      </c>
      <c r="I50" s="397">
        <f t="shared" si="50"/>
        <v>5.0251388770858183</v>
      </c>
      <c r="J50" s="397">
        <f t="shared" si="50"/>
        <v>5.0251388770858183</v>
      </c>
      <c r="K50" s="397">
        <f t="shared" si="50"/>
        <v>5.0251388770858183</v>
      </c>
      <c r="L50" s="397">
        <f t="shared" si="50"/>
        <v>5.0251388770858183</v>
      </c>
      <c r="M50" s="397">
        <f t="shared" si="50"/>
        <v>5.0251388770858183</v>
      </c>
      <c r="N50" s="397">
        <f t="shared" si="50"/>
        <v>5.0251388770858183</v>
      </c>
      <c r="O50" s="397">
        <f t="shared" si="50"/>
        <v>0</v>
      </c>
      <c r="P50" s="397">
        <f t="shared" si="50"/>
        <v>0</v>
      </c>
      <c r="Q50" s="397">
        <f t="shared" si="50"/>
        <v>0</v>
      </c>
      <c r="R50" s="397">
        <f t="shared" si="50"/>
        <v>0</v>
      </c>
      <c r="S50" s="397">
        <f t="shared" si="50"/>
        <v>0</v>
      </c>
      <c r="T50" s="397">
        <f t="shared" si="50"/>
        <v>0</v>
      </c>
      <c r="U50" s="397">
        <f t="shared" si="50"/>
        <v>0</v>
      </c>
      <c r="V50" s="397">
        <f t="shared" si="50"/>
        <v>0</v>
      </c>
      <c r="W50" s="397">
        <f t="shared" si="50"/>
        <v>0</v>
      </c>
      <c r="X50" s="397">
        <f t="shared" si="50"/>
        <v>0</v>
      </c>
      <c r="Y50" s="397">
        <f t="shared" si="50"/>
        <v>0</v>
      </c>
      <c r="Z50" s="397">
        <f t="shared" si="50"/>
        <v>0</v>
      </c>
      <c r="AA50" s="397">
        <f t="shared" si="50"/>
        <v>0</v>
      </c>
      <c r="AB50" s="397">
        <f t="shared" si="50"/>
        <v>0</v>
      </c>
      <c r="AC50" s="397">
        <f t="shared" si="50"/>
        <v>0</v>
      </c>
      <c r="AD50" s="397">
        <f t="shared" si="50"/>
        <v>0</v>
      </c>
      <c r="AE50" s="397">
        <f t="shared" si="50"/>
        <v>0</v>
      </c>
      <c r="AF50" s="397">
        <f t="shared" si="50"/>
        <v>0</v>
      </c>
      <c r="AG50" s="397">
        <f t="shared" si="50"/>
        <v>0</v>
      </c>
      <c r="AH50" s="397">
        <f t="shared" si="50"/>
        <v>0</v>
      </c>
      <c r="AI50" s="397">
        <f t="shared" si="50"/>
        <v>0</v>
      </c>
      <c r="AJ50" s="397">
        <f t="shared" si="50"/>
        <v>0</v>
      </c>
      <c r="AK50" s="397">
        <f t="shared" si="50"/>
        <v>0</v>
      </c>
      <c r="AL50" s="397">
        <f t="shared" si="50"/>
        <v>0</v>
      </c>
      <c r="AM50" s="397">
        <f t="shared" si="50"/>
        <v>0</v>
      </c>
      <c r="AN50" s="397">
        <f t="shared" si="50"/>
        <v>0</v>
      </c>
      <c r="AO50" s="397">
        <f t="shared" si="50"/>
        <v>0</v>
      </c>
      <c r="AP50" s="397">
        <f t="shared" si="50"/>
        <v>0</v>
      </c>
      <c r="AQ50" s="397">
        <f t="shared" si="50"/>
        <v>0</v>
      </c>
      <c r="AR50" s="397">
        <f t="shared" si="50"/>
        <v>0</v>
      </c>
      <c r="AS50" s="397">
        <f t="shared" si="50"/>
        <v>0</v>
      </c>
      <c r="AT50" s="397">
        <f t="shared" si="50"/>
        <v>0</v>
      </c>
      <c r="AU50" s="397">
        <f t="shared" si="50"/>
        <v>0</v>
      </c>
      <c r="AV50" s="397">
        <f t="shared" si="50"/>
        <v>0</v>
      </c>
      <c r="AW50" s="397">
        <f t="shared" si="50"/>
        <v>0</v>
      </c>
      <c r="AX50" s="397">
        <f t="shared" si="50"/>
        <v>0</v>
      </c>
      <c r="AY50" s="397">
        <f t="shared" si="50"/>
        <v>0</v>
      </c>
      <c r="AZ50" s="397">
        <f t="shared" si="50"/>
        <v>0</v>
      </c>
      <c r="BA50" s="397">
        <f t="shared" si="50"/>
        <v>0</v>
      </c>
    </row>
    <row r="51" spans="2:53">
      <c r="B51" s="398">
        <f t="shared" ref="B51:B86" si="52">B50+1</f>
        <v>2022</v>
      </c>
      <c r="C51" s="397">
        <f t="shared" si="51"/>
        <v>0</v>
      </c>
      <c r="D51" s="397">
        <f t="shared" si="50"/>
        <v>0</v>
      </c>
      <c r="E51" s="397">
        <f t="shared" si="50"/>
        <v>0</v>
      </c>
      <c r="F51" s="397">
        <f t="shared" si="50"/>
        <v>5.1672869048196608</v>
      </c>
      <c r="G51" s="397">
        <f t="shared" si="50"/>
        <v>5.1672869048196608</v>
      </c>
      <c r="H51" s="397">
        <f t="shared" si="50"/>
        <v>5.1672869048196608</v>
      </c>
      <c r="I51" s="397">
        <f t="shared" si="50"/>
        <v>5.1672869048196608</v>
      </c>
      <c r="J51" s="397">
        <f t="shared" si="50"/>
        <v>5.1672869048196608</v>
      </c>
      <c r="K51" s="397">
        <f t="shared" si="50"/>
        <v>5.1672869048196608</v>
      </c>
      <c r="L51" s="397">
        <f t="shared" si="50"/>
        <v>5.1672869048196608</v>
      </c>
      <c r="M51" s="397">
        <f t="shared" si="50"/>
        <v>5.1672869048196608</v>
      </c>
      <c r="N51" s="397">
        <f t="shared" si="50"/>
        <v>5.1672869048196608</v>
      </c>
      <c r="O51" s="397">
        <f t="shared" si="50"/>
        <v>5.1672869048196608</v>
      </c>
      <c r="P51" s="397">
        <f t="shared" si="50"/>
        <v>0</v>
      </c>
      <c r="Q51" s="397">
        <f t="shared" si="50"/>
        <v>0</v>
      </c>
      <c r="R51" s="397">
        <f t="shared" si="50"/>
        <v>0</v>
      </c>
      <c r="S51" s="397">
        <f t="shared" si="50"/>
        <v>0</v>
      </c>
      <c r="T51" s="397">
        <f t="shared" si="50"/>
        <v>0</v>
      </c>
      <c r="U51" s="397">
        <f t="shared" si="50"/>
        <v>0</v>
      </c>
      <c r="V51" s="397">
        <f t="shared" si="50"/>
        <v>0</v>
      </c>
      <c r="W51" s="397">
        <f t="shared" si="50"/>
        <v>0</v>
      </c>
      <c r="X51" s="397">
        <f t="shared" si="50"/>
        <v>0</v>
      </c>
      <c r="Y51" s="397">
        <f t="shared" si="50"/>
        <v>0</v>
      </c>
      <c r="Z51" s="397">
        <f t="shared" si="50"/>
        <v>0</v>
      </c>
      <c r="AA51" s="397">
        <f t="shared" si="50"/>
        <v>0</v>
      </c>
      <c r="AB51" s="397">
        <f t="shared" si="50"/>
        <v>0</v>
      </c>
      <c r="AC51" s="397">
        <f t="shared" si="50"/>
        <v>0</v>
      </c>
      <c r="AD51" s="397">
        <f t="shared" si="50"/>
        <v>0</v>
      </c>
      <c r="AE51" s="397">
        <f t="shared" si="50"/>
        <v>0</v>
      </c>
      <c r="AF51" s="397">
        <f t="shared" si="50"/>
        <v>0</v>
      </c>
      <c r="AG51" s="397">
        <f t="shared" si="50"/>
        <v>0</v>
      </c>
      <c r="AH51" s="397">
        <f t="shared" si="50"/>
        <v>0</v>
      </c>
      <c r="AI51" s="397">
        <f t="shared" si="50"/>
        <v>0</v>
      </c>
      <c r="AJ51" s="397">
        <f t="shared" si="50"/>
        <v>0</v>
      </c>
      <c r="AK51" s="397">
        <f t="shared" si="50"/>
        <v>0</v>
      </c>
      <c r="AL51" s="397">
        <f t="shared" si="50"/>
        <v>0</v>
      </c>
      <c r="AM51" s="397">
        <f t="shared" si="50"/>
        <v>0</v>
      </c>
      <c r="AN51" s="397">
        <f t="shared" si="50"/>
        <v>0</v>
      </c>
      <c r="AO51" s="397">
        <f t="shared" si="50"/>
        <v>0</v>
      </c>
      <c r="AP51" s="397">
        <f t="shared" si="50"/>
        <v>0</v>
      </c>
      <c r="AQ51" s="397">
        <f t="shared" si="50"/>
        <v>0</v>
      </c>
      <c r="AR51" s="397">
        <f t="shared" si="50"/>
        <v>0</v>
      </c>
      <c r="AS51" s="397">
        <f t="shared" si="50"/>
        <v>0</v>
      </c>
      <c r="AT51" s="397">
        <f t="shared" si="50"/>
        <v>0</v>
      </c>
      <c r="AU51" s="397">
        <f t="shared" si="50"/>
        <v>0</v>
      </c>
      <c r="AV51" s="397">
        <f t="shared" si="50"/>
        <v>0</v>
      </c>
      <c r="AW51" s="397">
        <f t="shared" si="50"/>
        <v>0</v>
      </c>
      <c r="AX51" s="397">
        <f t="shared" si="50"/>
        <v>0</v>
      </c>
      <c r="AY51" s="397">
        <f t="shared" si="50"/>
        <v>0</v>
      </c>
      <c r="AZ51" s="397">
        <f t="shared" si="50"/>
        <v>0</v>
      </c>
      <c r="BA51" s="397">
        <f t="shared" si="50"/>
        <v>0</v>
      </c>
    </row>
    <row r="52" spans="2:53">
      <c r="B52" s="398">
        <f t="shared" si="52"/>
        <v>2023</v>
      </c>
      <c r="C52" s="397">
        <f t="shared" si="51"/>
        <v>0</v>
      </c>
      <c r="D52" s="397">
        <f t="shared" si="50"/>
        <v>0</v>
      </c>
      <c r="E52" s="397">
        <f t="shared" si="50"/>
        <v>0</v>
      </c>
      <c r="F52" s="397">
        <f t="shared" si="50"/>
        <v>0</v>
      </c>
      <c r="G52" s="397">
        <f t="shared" si="50"/>
        <v>5.2933151907571911</v>
      </c>
      <c r="H52" s="397">
        <f t="shared" si="50"/>
        <v>5.2933151907571911</v>
      </c>
      <c r="I52" s="397">
        <f t="shared" si="50"/>
        <v>5.2933151907571911</v>
      </c>
      <c r="J52" s="397">
        <f t="shared" si="50"/>
        <v>5.2933151907571911</v>
      </c>
      <c r="K52" s="397">
        <f t="shared" si="50"/>
        <v>5.2933151907571911</v>
      </c>
      <c r="L52" s="397">
        <f t="shared" si="50"/>
        <v>5.2933151907571911</v>
      </c>
      <c r="M52" s="397">
        <f t="shared" si="50"/>
        <v>5.2933151907571911</v>
      </c>
      <c r="N52" s="397">
        <f t="shared" si="50"/>
        <v>5.2933151907571911</v>
      </c>
      <c r="O52" s="397">
        <f t="shared" si="50"/>
        <v>5.2933151907571911</v>
      </c>
      <c r="P52" s="397">
        <f t="shared" si="50"/>
        <v>5.2933151907571911</v>
      </c>
      <c r="Q52" s="397">
        <f t="shared" si="50"/>
        <v>0</v>
      </c>
      <c r="R52" s="397">
        <f t="shared" si="50"/>
        <v>0</v>
      </c>
      <c r="S52" s="397">
        <f t="shared" si="50"/>
        <v>0</v>
      </c>
      <c r="T52" s="397">
        <f t="shared" si="50"/>
        <v>0</v>
      </c>
      <c r="U52" s="397">
        <f t="shared" si="50"/>
        <v>0</v>
      </c>
      <c r="V52" s="397">
        <f t="shared" si="50"/>
        <v>0</v>
      </c>
      <c r="W52" s="397">
        <f t="shared" si="50"/>
        <v>0</v>
      </c>
      <c r="X52" s="397">
        <f t="shared" si="50"/>
        <v>0</v>
      </c>
      <c r="Y52" s="397">
        <f t="shared" si="50"/>
        <v>0</v>
      </c>
      <c r="Z52" s="397">
        <f t="shared" si="50"/>
        <v>0</v>
      </c>
      <c r="AA52" s="397">
        <f t="shared" si="50"/>
        <v>0</v>
      </c>
      <c r="AB52" s="397">
        <f t="shared" si="50"/>
        <v>0</v>
      </c>
      <c r="AC52" s="397">
        <f t="shared" si="50"/>
        <v>0</v>
      </c>
      <c r="AD52" s="397">
        <f t="shared" si="50"/>
        <v>0</v>
      </c>
      <c r="AE52" s="397">
        <f t="shared" si="50"/>
        <v>0</v>
      </c>
      <c r="AF52" s="397">
        <f t="shared" si="50"/>
        <v>0</v>
      </c>
      <c r="AG52" s="397">
        <f t="shared" si="50"/>
        <v>0</v>
      </c>
      <c r="AH52" s="397">
        <f t="shared" si="50"/>
        <v>0</v>
      </c>
      <c r="AI52" s="397">
        <f t="shared" si="50"/>
        <v>0</v>
      </c>
      <c r="AJ52" s="397">
        <f t="shared" si="50"/>
        <v>0</v>
      </c>
      <c r="AK52" s="397">
        <f t="shared" si="50"/>
        <v>0</v>
      </c>
      <c r="AL52" s="397">
        <f t="shared" si="50"/>
        <v>0</v>
      </c>
      <c r="AM52" s="397">
        <f t="shared" si="50"/>
        <v>0</v>
      </c>
      <c r="AN52" s="397">
        <f t="shared" si="50"/>
        <v>0</v>
      </c>
      <c r="AO52" s="397">
        <f t="shared" si="50"/>
        <v>0</v>
      </c>
      <c r="AP52" s="397">
        <f t="shared" si="50"/>
        <v>0</v>
      </c>
      <c r="AQ52" s="397">
        <f t="shared" si="50"/>
        <v>0</v>
      </c>
      <c r="AR52" s="397">
        <f t="shared" si="50"/>
        <v>0</v>
      </c>
      <c r="AS52" s="397">
        <f t="shared" si="50"/>
        <v>0</v>
      </c>
      <c r="AT52" s="397">
        <f t="shared" si="50"/>
        <v>0</v>
      </c>
      <c r="AU52" s="397">
        <f t="shared" si="50"/>
        <v>0</v>
      </c>
      <c r="AV52" s="397">
        <f t="shared" si="50"/>
        <v>0</v>
      </c>
      <c r="AW52" s="397">
        <f t="shared" si="50"/>
        <v>0</v>
      </c>
      <c r="AX52" s="397">
        <f t="shared" si="50"/>
        <v>0</v>
      </c>
      <c r="AY52" s="397">
        <f t="shared" si="50"/>
        <v>0</v>
      </c>
      <c r="AZ52" s="397">
        <f t="shared" si="50"/>
        <v>0</v>
      </c>
      <c r="BA52" s="397">
        <f t="shared" si="50"/>
        <v>0</v>
      </c>
    </row>
    <row r="53" spans="2:53">
      <c r="B53" s="398">
        <f t="shared" si="52"/>
        <v>2024</v>
      </c>
      <c r="C53" s="397">
        <f t="shared" si="51"/>
        <v>0</v>
      </c>
      <c r="D53" s="397">
        <f t="shared" si="50"/>
        <v>0</v>
      </c>
      <c r="E53" s="397">
        <f t="shared" si="50"/>
        <v>0</v>
      </c>
      <c r="F53" s="397">
        <f t="shared" si="50"/>
        <v>0</v>
      </c>
      <c r="G53" s="397">
        <f t="shared" si="50"/>
        <v>0</v>
      </c>
      <c r="H53" s="397">
        <f t="shared" si="50"/>
        <v>5.4103188006605487</v>
      </c>
      <c r="I53" s="397">
        <f t="shared" si="50"/>
        <v>5.4103188006605487</v>
      </c>
      <c r="J53" s="397">
        <f t="shared" si="50"/>
        <v>5.4103188006605487</v>
      </c>
      <c r="K53" s="397">
        <f t="shared" si="50"/>
        <v>5.4103188006605487</v>
      </c>
      <c r="L53" s="397">
        <f t="shared" si="50"/>
        <v>5.4103188006605487</v>
      </c>
      <c r="M53" s="397">
        <f t="shared" si="50"/>
        <v>5.4103188006605487</v>
      </c>
      <c r="N53" s="397">
        <f t="shared" si="50"/>
        <v>5.4103188006605487</v>
      </c>
      <c r="O53" s="397">
        <f t="shared" si="50"/>
        <v>5.4103188006605487</v>
      </c>
      <c r="P53" s="397">
        <f t="shared" si="50"/>
        <v>5.4103188006605487</v>
      </c>
      <c r="Q53" s="397">
        <f t="shared" si="50"/>
        <v>5.4103188006605487</v>
      </c>
      <c r="R53" s="397">
        <f t="shared" si="50"/>
        <v>0</v>
      </c>
      <c r="S53" s="397">
        <f t="shared" si="50"/>
        <v>0</v>
      </c>
      <c r="T53" s="397">
        <f t="shared" si="50"/>
        <v>0</v>
      </c>
      <c r="U53" s="397">
        <f t="shared" si="50"/>
        <v>0</v>
      </c>
      <c r="V53" s="397">
        <f t="shared" si="50"/>
        <v>0</v>
      </c>
      <c r="W53" s="397">
        <f t="shared" si="50"/>
        <v>0</v>
      </c>
      <c r="X53" s="397">
        <f t="shared" si="50"/>
        <v>0</v>
      </c>
      <c r="Y53" s="397">
        <f t="shared" si="50"/>
        <v>0</v>
      </c>
      <c r="Z53" s="397">
        <f t="shared" si="50"/>
        <v>0</v>
      </c>
      <c r="AA53" s="397">
        <f t="shared" si="50"/>
        <v>0</v>
      </c>
      <c r="AB53" s="397">
        <f t="shared" si="50"/>
        <v>0</v>
      </c>
      <c r="AC53" s="397">
        <f t="shared" si="50"/>
        <v>0</v>
      </c>
      <c r="AD53" s="397">
        <f t="shared" si="50"/>
        <v>0</v>
      </c>
      <c r="AE53" s="397">
        <f t="shared" si="50"/>
        <v>0</v>
      </c>
      <c r="AF53" s="397">
        <f t="shared" si="50"/>
        <v>0</v>
      </c>
      <c r="AG53" s="397">
        <f t="shared" si="50"/>
        <v>0</v>
      </c>
      <c r="AH53" s="397">
        <f t="shared" si="50"/>
        <v>0</v>
      </c>
      <c r="AI53" s="397">
        <f t="shared" si="50"/>
        <v>0</v>
      </c>
      <c r="AJ53" s="397">
        <f t="shared" si="50"/>
        <v>0</v>
      </c>
      <c r="AK53" s="397">
        <f t="shared" si="50"/>
        <v>0</v>
      </c>
      <c r="AL53" s="397">
        <f t="shared" si="50"/>
        <v>0</v>
      </c>
      <c r="AM53" s="397">
        <f t="shared" si="50"/>
        <v>0</v>
      </c>
      <c r="AN53" s="397">
        <f t="shared" si="50"/>
        <v>0</v>
      </c>
      <c r="AO53" s="397">
        <f t="shared" si="50"/>
        <v>0</v>
      </c>
      <c r="AP53" s="397">
        <f t="shared" si="50"/>
        <v>0</v>
      </c>
      <c r="AQ53" s="397">
        <f t="shared" si="50"/>
        <v>0</v>
      </c>
      <c r="AR53" s="397">
        <f t="shared" si="50"/>
        <v>0</v>
      </c>
      <c r="AS53" s="397">
        <f t="shared" si="50"/>
        <v>0</v>
      </c>
      <c r="AT53" s="397">
        <f t="shared" si="50"/>
        <v>0</v>
      </c>
      <c r="AU53" s="397">
        <f t="shared" si="50"/>
        <v>0</v>
      </c>
      <c r="AV53" s="397">
        <f t="shared" si="50"/>
        <v>0</v>
      </c>
      <c r="AW53" s="397">
        <f t="shared" si="50"/>
        <v>0</v>
      </c>
      <c r="AX53" s="397">
        <f t="shared" si="50"/>
        <v>0</v>
      </c>
      <c r="AY53" s="397">
        <f t="shared" si="50"/>
        <v>0</v>
      </c>
      <c r="AZ53" s="397">
        <f t="shared" si="50"/>
        <v>0</v>
      </c>
      <c r="BA53" s="397">
        <f t="shared" si="50"/>
        <v>0</v>
      </c>
    </row>
    <row r="54" spans="2:53">
      <c r="B54" s="398">
        <f t="shared" si="52"/>
        <v>2025</v>
      </c>
      <c r="C54" s="397">
        <f t="shared" si="51"/>
        <v>0</v>
      </c>
      <c r="D54" s="397">
        <f t="shared" si="50"/>
        <v>0</v>
      </c>
      <c r="E54" s="397">
        <f t="shared" si="50"/>
        <v>0</v>
      </c>
      <c r="F54" s="397">
        <f t="shared" si="50"/>
        <v>0</v>
      </c>
      <c r="G54" s="397">
        <f t="shared" si="50"/>
        <v>0</v>
      </c>
      <c r="H54" s="397">
        <f t="shared" si="50"/>
        <v>0</v>
      </c>
      <c r="I54" s="397">
        <f t="shared" ref="I54:X69" si="53">IF($B54&gt;=I$48,0,        IF(I$48-$B54&lt;=$C$39,    INDEX($C$24:$BA$24, MATCH($B54, $C$23:$BA$23,0)),       0))</f>
        <v>5.5222123108169381</v>
      </c>
      <c r="J54" s="397">
        <f t="shared" si="53"/>
        <v>5.5222123108169381</v>
      </c>
      <c r="K54" s="397">
        <f t="shared" si="53"/>
        <v>5.5222123108169381</v>
      </c>
      <c r="L54" s="397">
        <f t="shared" si="53"/>
        <v>5.5222123108169381</v>
      </c>
      <c r="M54" s="397">
        <f t="shared" si="53"/>
        <v>5.5222123108169381</v>
      </c>
      <c r="N54" s="397">
        <f t="shared" si="53"/>
        <v>5.5222123108169381</v>
      </c>
      <c r="O54" s="397">
        <f t="shared" si="53"/>
        <v>5.5222123108169381</v>
      </c>
      <c r="P54" s="397">
        <f t="shared" si="53"/>
        <v>5.5222123108169381</v>
      </c>
      <c r="Q54" s="397">
        <f t="shared" si="53"/>
        <v>5.5222123108169381</v>
      </c>
      <c r="R54" s="397">
        <f t="shared" si="53"/>
        <v>5.5222123108169381</v>
      </c>
      <c r="S54" s="397">
        <f t="shared" si="53"/>
        <v>0</v>
      </c>
      <c r="T54" s="397">
        <f t="shared" si="53"/>
        <v>0</v>
      </c>
      <c r="U54" s="397">
        <f t="shared" si="53"/>
        <v>0</v>
      </c>
      <c r="V54" s="397">
        <f t="shared" si="53"/>
        <v>0</v>
      </c>
      <c r="W54" s="397">
        <f t="shared" si="53"/>
        <v>0</v>
      </c>
      <c r="X54" s="397">
        <f t="shared" si="53"/>
        <v>0</v>
      </c>
      <c r="Y54" s="397">
        <f t="shared" ref="Y54:AN69" si="54">IF($B54&gt;=Y$48,0,        IF(Y$48-$B54&lt;=$C$39,    INDEX($C$24:$BA$24, MATCH($B54, $C$23:$BA$23,0)),       0))</f>
        <v>0</v>
      </c>
      <c r="Z54" s="397">
        <f t="shared" si="54"/>
        <v>0</v>
      </c>
      <c r="AA54" s="397">
        <f t="shared" si="54"/>
        <v>0</v>
      </c>
      <c r="AB54" s="397">
        <f t="shared" si="54"/>
        <v>0</v>
      </c>
      <c r="AC54" s="397">
        <f t="shared" si="54"/>
        <v>0</v>
      </c>
      <c r="AD54" s="397">
        <f t="shared" si="54"/>
        <v>0</v>
      </c>
      <c r="AE54" s="397">
        <f t="shared" si="54"/>
        <v>0</v>
      </c>
      <c r="AF54" s="397">
        <f t="shared" si="54"/>
        <v>0</v>
      </c>
      <c r="AG54" s="397">
        <f t="shared" si="54"/>
        <v>0</v>
      </c>
      <c r="AH54" s="397">
        <f t="shared" si="54"/>
        <v>0</v>
      </c>
      <c r="AI54" s="397">
        <f t="shared" si="54"/>
        <v>0</v>
      </c>
      <c r="AJ54" s="397">
        <f t="shared" si="54"/>
        <v>0</v>
      </c>
      <c r="AK54" s="397">
        <f t="shared" si="54"/>
        <v>0</v>
      </c>
      <c r="AL54" s="397">
        <f t="shared" si="54"/>
        <v>0</v>
      </c>
      <c r="AM54" s="397">
        <f t="shared" si="54"/>
        <v>0</v>
      </c>
      <c r="AN54" s="397">
        <f t="shared" si="54"/>
        <v>0</v>
      </c>
      <c r="AO54" s="397">
        <f t="shared" ref="AO54:BA68" si="55">IF($B54&gt;=AO$48,0,        IF(AO$48-$B54&lt;=$C$39,    INDEX($C$24:$BA$24, MATCH($B54, $C$23:$BA$23,0)),       0))</f>
        <v>0</v>
      </c>
      <c r="AP54" s="397">
        <f t="shared" si="55"/>
        <v>0</v>
      </c>
      <c r="AQ54" s="397">
        <f t="shared" si="55"/>
        <v>0</v>
      </c>
      <c r="AR54" s="397">
        <f t="shared" si="55"/>
        <v>0</v>
      </c>
      <c r="AS54" s="397">
        <f t="shared" si="55"/>
        <v>0</v>
      </c>
      <c r="AT54" s="397">
        <f t="shared" si="55"/>
        <v>0</v>
      </c>
      <c r="AU54" s="397">
        <f t="shared" si="55"/>
        <v>0</v>
      </c>
      <c r="AV54" s="397">
        <f t="shared" si="55"/>
        <v>0</v>
      </c>
      <c r="AW54" s="397">
        <f t="shared" si="55"/>
        <v>0</v>
      </c>
      <c r="AX54" s="397">
        <f t="shared" si="55"/>
        <v>0</v>
      </c>
      <c r="AY54" s="397">
        <f t="shared" si="55"/>
        <v>0</v>
      </c>
      <c r="AZ54" s="397">
        <f t="shared" si="55"/>
        <v>0</v>
      </c>
      <c r="BA54" s="397">
        <f t="shared" si="55"/>
        <v>0</v>
      </c>
    </row>
    <row r="55" spans="2:53">
      <c r="B55" s="398">
        <f t="shared" si="52"/>
        <v>2026</v>
      </c>
      <c r="C55" s="397">
        <f t="shared" si="51"/>
        <v>0</v>
      </c>
      <c r="D55" s="397">
        <f t="shared" si="51"/>
        <v>0</v>
      </c>
      <c r="E55" s="397">
        <f t="shared" si="51"/>
        <v>0</v>
      </c>
      <c r="F55" s="397">
        <f t="shared" si="51"/>
        <v>0</v>
      </c>
      <c r="G55" s="397">
        <f t="shared" si="51"/>
        <v>0</v>
      </c>
      <c r="H55" s="397">
        <f t="shared" si="51"/>
        <v>0</v>
      </c>
      <c r="I55" s="397">
        <f t="shared" si="51"/>
        <v>0</v>
      </c>
      <c r="J55" s="397">
        <f t="shared" si="51"/>
        <v>5.6291215489661939</v>
      </c>
      <c r="K55" s="397">
        <f t="shared" si="51"/>
        <v>5.6291215489661939</v>
      </c>
      <c r="L55" s="397">
        <f t="shared" si="51"/>
        <v>5.6291215489661939</v>
      </c>
      <c r="M55" s="397">
        <f t="shared" si="51"/>
        <v>5.6291215489661939</v>
      </c>
      <c r="N55" s="397">
        <f t="shared" si="51"/>
        <v>5.6291215489661939</v>
      </c>
      <c r="O55" s="397">
        <f t="shared" si="51"/>
        <v>5.6291215489661939</v>
      </c>
      <c r="P55" s="397">
        <f t="shared" si="51"/>
        <v>5.6291215489661939</v>
      </c>
      <c r="Q55" s="397">
        <f t="shared" si="51"/>
        <v>5.6291215489661939</v>
      </c>
      <c r="R55" s="397">
        <f t="shared" si="51"/>
        <v>5.6291215489661939</v>
      </c>
      <c r="S55" s="397">
        <f t="shared" si="53"/>
        <v>5.6291215489661939</v>
      </c>
      <c r="T55" s="397">
        <f t="shared" si="53"/>
        <v>0</v>
      </c>
      <c r="U55" s="397">
        <f t="shared" si="53"/>
        <v>0</v>
      </c>
      <c r="V55" s="397">
        <f t="shared" si="53"/>
        <v>0</v>
      </c>
      <c r="W55" s="397">
        <f t="shared" si="53"/>
        <v>0</v>
      </c>
      <c r="X55" s="397">
        <f t="shared" si="53"/>
        <v>0</v>
      </c>
      <c r="Y55" s="397">
        <f t="shared" si="54"/>
        <v>0</v>
      </c>
      <c r="Z55" s="397">
        <f t="shared" si="54"/>
        <v>0</v>
      </c>
      <c r="AA55" s="397">
        <f t="shared" si="54"/>
        <v>0</v>
      </c>
      <c r="AB55" s="397">
        <f t="shared" si="54"/>
        <v>0</v>
      </c>
      <c r="AC55" s="397">
        <f t="shared" si="54"/>
        <v>0</v>
      </c>
      <c r="AD55" s="397">
        <f t="shared" si="54"/>
        <v>0</v>
      </c>
      <c r="AE55" s="397">
        <f t="shared" si="54"/>
        <v>0</v>
      </c>
      <c r="AF55" s="397">
        <f t="shared" si="54"/>
        <v>0</v>
      </c>
      <c r="AG55" s="397">
        <f t="shared" si="54"/>
        <v>0</v>
      </c>
      <c r="AH55" s="397">
        <f t="shared" si="54"/>
        <v>0</v>
      </c>
      <c r="AI55" s="397">
        <f t="shared" si="54"/>
        <v>0</v>
      </c>
      <c r="AJ55" s="397">
        <f t="shared" si="54"/>
        <v>0</v>
      </c>
      <c r="AK55" s="397">
        <f t="shared" si="54"/>
        <v>0</v>
      </c>
      <c r="AL55" s="397">
        <f t="shared" si="54"/>
        <v>0</v>
      </c>
      <c r="AM55" s="397">
        <f t="shared" si="54"/>
        <v>0</v>
      </c>
      <c r="AN55" s="397">
        <f t="shared" si="54"/>
        <v>0</v>
      </c>
      <c r="AO55" s="397">
        <f t="shared" si="55"/>
        <v>0</v>
      </c>
      <c r="AP55" s="397">
        <f t="shared" si="55"/>
        <v>0</v>
      </c>
      <c r="AQ55" s="397">
        <f t="shared" si="55"/>
        <v>0</v>
      </c>
      <c r="AR55" s="397">
        <f t="shared" si="55"/>
        <v>0</v>
      </c>
      <c r="AS55" s="397">
        <f t="shared" si="55"/>
        <v>0</v>
      </c>
      <c r="AT55" s="397">
        <f t="shared" si="55"/>
        <v>0</v>
      </c>
      <c r="AU55" s="397">
        <f t="shared" si="55"/>
        <v>0</v>
      </c>
      <c r="AV55" s="397">
        <f t="shared" si="55"/>
        <v>0</v>
      </c>
      <c r="AW55" s="397">
        <f t="shared" si="55"/>
        <v>0</v>
      </c>
      <c r="AX55" s="397">
        <f t="shared" si="55"/>
        <v>0</v>
      </c>
      <c r="AY55" s="397">
        <f t="shared" si="55"/>
        <v>0</v>
      </c>
      <c r="AZ55" s="397">
        <f t="shared" si="55"/>
        <v>0</v>
      </c>
      <c r="BA55" s="397">
        <f t="shared" si="55"/>
        <v>0</v>
      </c>
    </row>
    <row r="56" spans="2:53">
      <c r="B56" s="398">
        <f t="shared" si="52"/>
        <v>2027</v>
      </c>
      <c r="C56" s="397">
        <f t="shared" si="51"/>
        <v>0</v>
      </c>
      <c r="D56" s="397">
        <f t="shared" si="51"/>
        <v>0</v>
      </c>
      <c r="E56" s="397">
        <f t="shared" si="51"/>
        <v>0</v>
      </c>
      <c r="F56" s="397">
        <f t="shared" si="51"/>
        <v>0</v>
      </c>
      <c r="G56" s="397">
        <f t="shared" si="51"/>
        <v>0</v>
      </c>
      <c r="H56" s="397">
        <f t="shared" si="51"/>
        <v>0</v>
      </c>
      <c r="I56" s="397">
        <f t="shared" si="51"/>
        <v>0</v>
      </c>
      <c r="J56" s="397">
        <f t="shared" si="51"/>
        <v>0</v>
      </c>
      <c r="K56" s="397">
        <f t="shared" si="51"/>
        <v>5.7328901539432335</v>
      </c>
      <c r="L56" s="397">
        <f t="shared" si="51"/>
        <v>5.7328901539432335</v>
      </c>
      <c r="M56" s="397">
        <f t="shared" si="51"/>
        <v>5.7328901539432335</v>
      </c>
      <c r="N56" s="397">
        <f t="shared" si="51"/>
        <v>5.7328901539432335</v>
      </c>
      <c r="O56" s="397">
        <f t="shared" si="51"/>
        <v>5.7328901539432335</v>
      </c>
      <c r="P56" s="397">
        <f t="shared" si="51"/>
        <v>5.7328901539432335</v>
      </c>
      <c r="Q56" s="397">
        <f t="shared" si="51"/>
        <v>5.7328901539432335</v>
      </c>
      <c r="R56" s="397">
        <f t="shared" si="51"/>
        <v>5.7328901539432335</v>
      </c>
      <c r="S56" s="397">
        <f t="shared" si="53"/>
        <v>5.7328901539432335</v>
      </c>
      <c r="T56" s="397">
        <f t="shared" si="53"/>
        <v>5.7328901539432335</v>
      </c>
      <c r="U56" s="397">
        <f t="shared" si="53"/>
        <v>0</v>
      </c>
      <c r="V56" s="397">
        <f t="shared" si="53"/>
        <v>0</v>
      </c>
      <c r="W56" s="397">
        <f t="shared" si="53"/>
        <v>0</v>
      </c>
      <c r="X56" s="397">
        <f t="shared" si="53"/>
        <v>0</v>
      </c>
      <c r="Y56" s="397">
        <f t="shared" si="54"/>
        <v>0</v>
      </c>
      <c r="Z56" s="397">
        <f t="shared" si="54"/>
        <v>0</v>
      </c>
      <c r="AA56" s="397">
        <f t="shared" si="54"/>
        <v>0</v>
      </c>
      <c r="AB56" s="397">
        <f t="shared" si="54"/>
        <v>0</v>
      </c>
      <c r="AC56" s="397">
        <f t="shared" si="54"/>
        <v>0</v>
      </c>
      <c r="AD56" s="397">
        <f t="shared" si="54"/>
        <v>0</v>
      </c>
      <c r="AE56" s="397">
        <f t="shared" si="54"/>
        <v>0</v>
      </c>
      <c r="AF56" s="397">
        <f t="shared" si="54"/>
        <v>0</v>
      </c>
      <c r="AG56" s="397">
        <f t="shared" si="54"/>
        <v>0</v>
      </c>
      <c r="AH56" s="397">
        <f t="shared" si="54"/>
        <v>0</v>
      </c>
      <c r="AI56" s="397">
        <f t="shared" si="54"/>
        <v>0</v>
      </c>
      <c r="AJ56" s="397">
        <f t="shared" si="54"/>
        <v>0</v>
      </c>
      <c r="AK56" s="397">
        <f t="shared" si="54"/>
        <v>0</v>
      </c>
      <c r="AL56" s="397">
        <f t="shared" si="54"/>
        <v>0</v>
      </c>
      <c r="AM56" s="397">
        <f t="shared" si="54"/>
        <v>0</v>
      </c>
      <c r="AN56" s="397">
        <f t="shared" si="54"/>
        <v>0</v>
      </c>
      <c r="AO56" s="397">
        <f t="shared" si="55"/>
        <v>0</v>
      </c>
      <c r="AP56" s="397">
        <f t="shared" si="55"/>
        <v>0</v>
      </c>
      <c r="AQ56" s="397">
        <f t="shared" si="55"/>
        <v>0</v>
      </c>
      <c r="AR56" s="397">
        <f t="shared" si="55"/>
        <v>0</v>
      </c>
      <c r="AS56" s="397">
        <f t="shared" si="55"/>
        <v>0</v>
      </c>
      <c r="AT56" s="397">
        <f t="shared" si="55"/>
        <v>0</v>
      </c>
      <c r="AU56" s="397">
        <f t="shared" si="55"/>
        <v>0</v>
      </c>
      <c r="AV56" s="397">
        <f t="shared" si="55"/>
        <v>0</v>
      </c>
      <c r="AW56" s="397">
        <f t="shared" si="55"/>
        <v>0</v>
      </c>
      <c r="AX56" s="397">
        <f t="shared" si="55"/>
        <v>0</v>
      </c>
      <c r="AY56" s="397">
        <f t="shared" si="55"/>
        <v>0</v>
      </c>
      <c r="AZ56" s="397">
        <f t="shared" si="55"/>
        <v>0</v>
      </c>
      <c r="BA56" s="397">
        <f t="shared" si="55"/>
        <v>0</v>
      </c>
    </row>
    <row r="57" spans="2:53">
      <c r="B57" s="398">
        <f t="shared" si="52"/>
        <v>2028</v>
      </c>
      <c r="C57" s="397">
        <f t="shared" si="51"/>
        <v>0</v>
      </c>
      <c r="D57" s="397">
        <f t="shared" si="51"/>
        <v>0</v>
      </c>
      <c r="E57" s="397">
        <f t="shared" si="51"/>
        <v>0</v>
      </c>
      <c r="F57" s="397">
        <f t="shared" si="51"/>
        <v>0</v>
      </c>
      <c r="G57" s="397">
        <f t="shared" si="51"/>
        <v>0</v>
      </c>
      <c r="H57" s="397">
        <f t="shared" si="51"/>
        <v>0</v>
      </c>
      <c r="I57" s="397">
        <f t="shared" si="51"/>
        <v>0</v>
      </c>
      <c r="J57" s="397">
        <f t="shared" si="51"/>
        <v>0</v>
      </c>
      <c r="K57" s="397">
        <f t="shared" si="51"/>
        <v>0</v>
      </c>
      <c r="L57" s="397">
        <f t="shared" si="51"/>
        <v>5.8444920707687293</v>
      </c>
      <c r="M57" s="397">
        <f t="shared" si="51"/>
        <v>5.8444920707687293</v>
      </c>
      <c r="N57" s="397">
        <f t="shared" si="51"/>
        <v>5.8444920707687293</v>
      </c>
      <c r="O57" s="397">
        <f t="shared" si="51"/>
        <v>5.8444920707687293</v>
      </c>
      <c r="P57" s="397">
        <f t="shared" si="51"/>
        <v>5.8444920707687293</v>
      </c>
      <c r="Q57" s="397">
        <f t="shared" si="51"/>
        <v>5.8444920707687293</v>
      </c>
      <c r="R57" s="397">
        <f t="shared" si="51"/>
        <v>5.8444920707687293</v>
      </c>
      <c r="S57" s="397">
        <f t="shared" si="53"/>
        <v>5.8444920707687293</v>
      </c>
      <c r="T57" s="397">
        <f t="shared" si="53"/>
        <v>5.8444920707687293</v>
      </c>
      <c r="U57" s="397">
        <f t="shared" si="53"/>
        <v>5.8444920707687293</v>
      </c>
      <c r="V57" s="397">
        <f t="shared" si="53"/>
        <v>0</v>
      </c>
      <c r="W57" s="397">
        <f t="shared" si="53"/>
        <v>0</v>
      </c>
      <c r="X57" s="397">
        <f t="shared" si="53"/>
        <v>0</v>
      </c>
      <c r="Y57" s="397">
        <f t="shared" si="54"/>
        <v>0</v>
      </c>
      <c r="Z57" s="397">
        <f t="shared" si="54"/>
        <v>0</v>
      </c>
      <c r="AA57" s="397">
        <f t="shared" si="54"/>
        <v>0</v>
      </c>
      <c r="AB57" s="397">
        <f t="shared" si="54"/>
        <v>0</v>
      </c>
      <c r="AC57" s="397">
        <f t="shared" si="54"/>
        <v>0</v>
      </c>
      <c r="AD57" s="397">
        <f t="shared" si="54"/>
        <v>0</v>
      </c>
      <c r="AE57" s="397">
        <f t="shared" si="54"/>
        <v>0</v>
      </c>
      <c r="AF57" s="397">
        <f t="shared" si="54"/>
        <v>0</v>
      </c>
      <c r="AG57" s="397">
        <f t="shared" si="54"/>
        <v>0</v>
      </c>
      <c r="AH57" s="397">
        <f t="shared" si="54"/>
        <v>0</v>
      </c>
      <c r="AI57" s="397">
        <f t="shared" si="54"/>
        <v>0</v>
      </c>
      <c r="AJ57" s="397">
        <f t="shared" si="54"/>
        <v>0</v>
      </c>
      <c r="AK57" s="397">
        <f t="shared" si="54"/>
        <v>0</v>
      </c>
      <c r="AL57" s="397">
        <f t="shared" si="54"/>
        <v>0</v>
      </c>
      <c r="AM57" s="397">
        <f t="shared" si="54"/>
        <v>0</v>
      </c>
      <c r="AN57" s="397">
        <f t="shared" si="54"/>
        <v>0</v>
      </c>
      <c r="AO57" s="397">
        <f t="shared" si="55"/>
        <v>0</v>
      </c>
      <c r="AP57" s="397">
        <f t="shared" si="55"/>
        <v>0</v>
      </c>
      <c r="AQ57" s="397">
        <f t="shared" si="55"/>
        <v>0</v>
      </c>
      <c r="AR57" s="397">
        <f t="shared" si="55"/>
        <v>0</v>
      </c>
      <c r="AS57" s="397">
        <f t="shared" si="55"/>
        <v>0</v>
      </c>
      <c r="AT57" s="397">
        <f t="shared" si="55"/>
        <v>0</v>
      </c>
      <c r="AU57" s="397">
        <f t="shared" si="55"/>
        <v>0</v>
      </c>
      <c r="AV57" s="397">
        <f t="shared" si="55"/>
        <v>0</v>
      </c>
      <c r="AW57" s="397">
        <f t="shared" si="55"/>
        <v>0</v>
      </c>
      <c r="AX57" s="397">
        <f t="shared" si="55"/>
        <v>0</v>
      </c>
      <c r="AY57" s="397">
        <f t="shared" si="55"/>
        <v>0</v>
      </c>
      <c r="AZ57" s="397">
        <f t="shared" si="55"/>
        <v>0</v>
      </c>
      <c r="BA57" s="397">
        <f t="shared" si="55"/>
        <v>0</v>
      </c>
    </row>
    <row r="58" spans="2:53">
      <c r="B58" s="398">
        <f t="shared" si="52"/>
        <v>2029</v>
      </c>
      <c r="C58" s="397">
        <f t="shared" si="51"/>
        <v>0</v>
      </c>
      <c r="D58" s="397">
        <f t="shared" si="51"/>
        <v>0</v>
      </c>
      <c r="E58" s="397">
        <f t="shared" si="51"/>
        <v>0</v>
      </c>
      <c r="F58" s="397">
        <f t="shared" si="51"/>
        <v>0</v>
      </c>
      <c r="G58" s="397">
        <f t="shared" si="51"/>
        <v>0</v>
      </c>
      <c r="H58" s="397">
        <f t="shared" si="51"/>
        <v>0</v>
      </c>
      <c r="I58" s="397">
        <f t="shared" si="51"/>
        <v>0</v>
      </c>
      <c r="J58" s="397">
        <f t="shared" si="51"/>
        <v>0</v>
      </c>
      <c r="K58" s="397">
        <f t="shared" si="51"/>
        <v>0</v>
      </c>
      <c r="L58" s="397">
        <f t="shared" si="51"/>
        <v>0</v>
      </c>
      <c r="M58" s="397">
        <f t="shared" si="51"/>
        <v>5.9567434839525255</v>
      </c>
      <c r="N58" s="397">
        <f t="shared" si="51"/>
        <v>5.9567434839525255</v>
      </c>
      <c r="O58" s="397">
        <f t="shared" si="51"/>
        <v>5.9567434839525255</v>
      </c>
      <c r="P58" s="397">
        <f t="shared" si="51"/>
        <v>5.9567434839525255</v>
      </c>
      <c r="Q58" s="397">
        <f t="shared" si="51"/>
        <v>5.9567434839525255</v>
      </c>
      <c r="R58" s="397">
        <f t="shared" si="51"/>
        <v>5.9567434839525255</v>
      </c>
      <c r="S58" s="397">
        <f t="shared" si="53"/>
        <v>5.9567434839525255</v>
      </c>
      <c r="T58" s="397">
        <f t="shared" si="53"/>
        <v>5.9567434839525255</v>
      </c>
      <c r="U58" s="397">
        <f t="shared" si="53"/>
        <v>5.9567434839525255</v>
      </c>
      <c r="V58" s="397">
        <f t="shared" si="53"/>
        <v>5.9567434839525255</v>
      </c>
      <c r="W58" s="397">
        <f t="shared" si="53"/>
        <v>0</v>
      </c>
      <c r="X58" s="397">
        <f t="shared" si="53"/>
        <v>0</v>
      </c>
      <c r="Y58" s="397">
        <f t="shared" si="54"/>
        <v>0</v>
      </c>
      <c r="Z58" s="397">
        <f t="shared" si="54"/>
        <v>0</v>
      </c>
      <c r="AA58" s="397">
        <f t="shared" si="54"/>
        <v>0</v>
      </c>
      <c r="AB58" s="397">
        <f t="shared" si="54"/>
        <v>0</v>
      </c>
      <c r="AC58" s="397">
        <f t="shared" si="54"/>
        <v>0</v>
      </c>
      <c r="AD58" s="397">
        <f t="shared" si="54"/>
        <v>0</v>
      </c>
      <c r="AE58" s="397">
        <f t="shared" si="54"/>
        <v>0</v>
      </c>
      <c r="AF58" s="397">
        <f t="shared" si="54"/>
        <v>0</v>
      </c>
      <c r="AG58" s="397">
        <f t="shared" si="54"/>
        <v>0</v>
      </c>
      <c r="AH58" s="397">
        <f t="shared" si="54"/>
        <v>0</v>
      </c>
      <c r="AI58" s="397">
        <f t="shared" si="54"/>
        <v>0</v>
      </c>
      <c r="AJ58" s="397">
        <f t="shared" si="54"/>
        <v>0</v>
      </c>
      <c r="AK58" s="397">
        <f t="shared" si="54"/>
        <v>0</v>
      </c>
      <c r="AL58" s="397">
        <f t="shared" si="54"/>
        <v>0</v>
      </c>
      <c r="AM58" s="397">
        <f t="shared" si="54"/>
        <v>0</v>
      </c>
      <c r="AN58" s="397">
        <f t="shared" si="54"/>
        <v>0</v>
      </c>
      <c r="AO58" s="397">
        <f t="shared" si="55"/>
        <v>0</v>
      </c>
      <c r="AP58" s="397">
        <f t="shared" si="55"/>
        <v>0</v>
      </c>
      <c r="AQ58" s="397">
        <f t="shared" si="55"/>
        <v>0</v>
      </c>
      <c r="AR58" s="397">
        <f t="shared" si="55"/>
        <v>0</v>
      </c>
      <c r="AS58" s="397">
        <f t="shared" si="55"/>
        <v>0</v>
      </c>
      <c r="AT58" s="397">
        <f t="shared" si="55"/>
        <v>0</v>
      </c>
      <c r="AU58" s="397">
        <f t="shared" si="55"/>
        <v>0</v>
      </c>
      <c r="AV58" s="397">
        <f t="shared" si="55"/>
        <v>0</v>
      </c>
      <c r="AW58" s="397">
        <f t="shared" si="55"/>
        <v>0</v>
      </c>
      <c r="AX58" s="397">
        <f t="shared" si="55"/>
        <v>0</v>
      </c>
      <c r="AY58" s="397">
        <f t="shared" si="55"/>
        <v>0</v>
      </c>
      <c r="AZ58" s="397">
        <f t="shared" si="55"/>
        <v>0</v>
      </c>
      <c r="BA58" s="397">
        <f t="shared" si="55"/>
        <v>0</v>
      </c>
    </row>
    <row r="59" spans="2:53">
      <c r="B59" s="398">
        <f t="shared" si="52"/>
        <v>2030</v>
      </c>
      <c r="C59" s="397">
        <f t="shared" si="51"/>
        <v>0</v>
      </c>
      <c r="D59" s="397">
        <f t="shared" si="51"/>
        <v>0</v>
      </c>
      <c r="E59" s="397">
        <f t="shared" si="51"/>
        <v>0</v>
      </c>
      <c r="F59" s="397">
        <f t="shared" si="51"/>
        <v>0</v>
      </c>
      <c r="G59" s="397">
        <f t="shared" si="51"/>
        <v>0</v>
      </c>
      <c r="H59" s="397">
        <f t="shared" si="51"/>
        <v>0</v>
      </c>
      <c r="I59" s="397">
        <f t="shared" si="51"/>
        <v>0</v>
      </c>
      <c r="J59" s="397">
        <f t="shared" si="51"/>
        <v>0</v>
      </c>
      <c r="K59" s="397">
        <f t="shared" si="51"/>
        <v>0</v>
      </c>
      <c r="L59" s="397">
        <f t="shared" si="51"/>
        <v>0</v>
      </c>
      <c r="M59" s="397">
        <f t="shared" si="51"/>
        <v>0</v>
      </c>
      <c r="N59" s="397">
        <f t="shared" si="51"/>
        <v>6.0662515501867578</v>
      </c>
      <c r="O59" s="397">
        <f t="shared" si="51"/>
        <v>6.0662515501867578</v>
      </c>
      <c r="P59" s="397">
        <f t="shared" si="51"/>
        <v>6.0662515501867578</v>
      </c>
      <c r="Q59" s="397">
        <f t="shared" si="51"/>
        <v>6.0662515501867578</v>
      </c>
      <c r="R59" s="397">
        <f t="shared" si="51"/>
        <v>6.0662515501867578</v>
      </c>
      <c r="S59" s="397">
        <f t="shared" si="53"/>
        <v>6.0662515501867578</v>
      </c>
      <c r="T59" s="397">
        <f t="shared" si="53"/>
        <v>6.0662515501867578</v>
      </c>
      <c r="U59" s="397">
        <f t="shared" si="53"/>
        <v>6.0662515501867578</v>
      </c>
      <c r="V59" s="397">
        <f t="shared" si="53"/>
        <v>6.0662515501867578</v>
      </c>
      <c r="W59" s="397">
        <f t="shared" si="53"/>
        <v>6.0662515501867578</v>
      </c>
      <c r="X59" s="397">
        <f t="shared" si="53"/>
        <v>0</v>
      </c>
      <c r="Y59" s="397">
        <f t="shared" si="54"/>
        <v>0</v>
      </c>
      <c r="Z59" s="397">
        <f t="shared" si="54"/>
        <v>0</v>
      </c>
      <c r="AA59" s="397">
        <f t="shared" si="54"/>
        <v>0</v>
      </c>
      <c r="AB59" s="397">
        <f t="shared" si="54"/>
        <v>0</v>
      </c>
      <c r="AC59" s="397">
        <f t="shared" si="54"/>
        <v>0</v>
      </c>
      <c r="AD59" s="397">
        <f t="shared" si="54"/>
        <v>0</v>
      </c>
      <c r="AE59" s="397">
        <f t="shared" si="54"/>
        <v>0</v>
      </c>
      <c r="AF59" s="397">
        <f t="shared" si="54"/>
        <v>0</v>
      </c>
      <c r="AG59" s="397">
        <f t="shared" si="54"/>
        <v>0</v>
      </c>
      <c r="AH59" s="397">
        <f t="shared" si="54"/>
        <v>0</v>
      </c>
      <c r="AI59" s="397">
        <f t="shared" si="54"/>
        <v>0</v>
      </c>
      <c r="AJ59" s="397">
        <f t="shared" si="54"/>
        <v>0</v>
      </c>
      <c r="AK59" s="397">
        <f t="shared" si="54"/>
        <v>0</v>
      </c>
      <c r="AL59" s="397">
        <f t="shared" si="54"/>
        <v>0</v>
      </c>
      <c r="AM59" s="397">
        <f t="shared" si="54"/>
        <v>0</v>
      </c>
      <c r="AN59" s="397">
        <f t="shared" si="54"/>
        <v>0</v>
      </c>
      <c r="AO59" s="397">
        <f t="shared" si="55"/>
        <v>0</v>
      </c>
      <c r="AP59" s="397">
        <f t="shared" si="55"/>
        <v>0</v>
      </c>
      <c r="AQ59" s="397">
        <f t="shared" si="55"/>
        <v>0</v>
      </c>
      <c r="AR59" s="397">
        <f t="shared" si="55"/>
        <v>0</v>
      </c>
      <c r="AS59" s="397">
        <f t="shared" si="55"/>
        <v>0</v>
      </c>
      <c r="AT59" s="397">
        <f t="shared" si="55"/>
        <v>0</v>
      </c>
      <c r="AU59" s="397">
        <f t="shared" si="55"/>
        <v>0</v>
      </c>
      <c r="AV59" s="397">
        <f t="shared" si="55"/>
        <v>0</v>
      </c>
      <c r="AW59" s="397">
        <f t="shared" si="55"/>
        <v>0</v>
      </c>
      <c r="AX59" s="397">
        <f t="shared" si="55"/>
        <v>0</v>
      </c>
      <c r="AY59" s="397">
        <f t="shared" si="55"/>
        <v>0</v>
      </c>
      <c r="AZ59" s="397">
        <f t="shared" si="55"/>
        <v>0</v>
      </c>
      <c r="BA59" s="397">
        <f t="shared" si="55"/>
        <v>0</v>
      </c>
    </row>
    <row r="60" spans="2:53">
      <c r="B60" s="398">
        <f t="shared" si="52"/>
        <v>2031</v>
      </c>
      <c r="C60" s="397">
        <f t="shared" si="51"/>
        <v>0</v>
      </c>
      <c r="D60" s="397">
        <f t="shared" si="51"/>
        <v>0</v>
      </c>
      <c r="E60" s="397">
        <f t="shared" si="51"/>
        <v>0</v>
      </c>
      <c r="F60" s="397">
        <f t="shared" si="51"/>
        <v>0</v>
      </c>
      <c r="G60" s="397">
        <f t="shared" si="51"/>
        <v>0</v>
      </c>
      <c r="H60" s="397">
        <f t="shared" si="51"/>
        <v>0</v>
      </c>
      <c r="I60" s="397">
        <f t="shared" si="51"/>
        <v>0</v>
      </c>
      <c r="J60" s="397">
        <f t="shared" si="51"/>
        <v>0</v>
      </c>
      <c r="K60" s="397">
        <f t="shared" si="51"/>
        <v>0</v>
      </c>
      <c r="L60" s="397">
        <f t="shared" si="51"/>
        <v>0</v>
      </c>
      <c r="M60" s="397">
        <f t="shared" si="51"/>
        <v>0</v>
      </c>
      <c r="N60" s="397">
        <f t="shared" si="51"/>
        <v>0</v>
      </c>
      <c r="O60" s="397">
        <f t="shared" si="51"/>
        <v>6.1716243757440408</v>
      </c>
      <c r="P60" s="397">
        <f t="shared" si="51"/>
        <v>6.1716243757440408</v>
      </c>
      <c r="Q60" s="397">
        <f t="shared" si="51"/>
        <v>6.1716243757440408</v>
      </c>
      <c r="R60" s="397">
        <f t="shared" si="51"/>
        <v>6.1716243757440408</v>
      </c>
      <c r="S60" s="397">
        <f t="shared" si="53"/>
        <v>6.1716243757440408</v>
      </c>
      <c r="T60" s="397">
        <f t="shared" si="53"/>
        <v>6.1716243757440408</v>
      </c>
      <c r="U60" s="397">
        <f t="shared" si="53"/>
        <v>6.1716243757440408</v>
      </c>
      <c r="V60" s="397">
        <f t="shared" si="53"/>
        <v>6.1716243757440408</v>
      </c>
      <c r="W60" s="397">
        <f t="shared" si="53"/>
        <v>6.1716243757440408</v>
      </c>
      <c r="X60" s="397">
        <f t="shared" si="53"/>
        <v>6.1716243757440408</v>
      </c>
      <c r="Y60" s="397">
        <f t="shared" si="54"/>
        <v>0</v>
      </c>
      <c r="Z60" s="397">
        <f t="shared" si="54"/>
        <v>0</v>
      </c>
      <c r="AA60" s="397">
        <f t="shared" si="54"/>
        <v>0</v>
      </c>
      <c r="AB60" s="397">
        <f t="shared" si="54"/>
        <v>0</v>
      </c>
      <c r="AC60" s="397">
        <f t="shared" si="54"/>
        <v>0</v>
      </c>
      <c r="AD60" s="397">
        <f t="shared" si="54"/>
        <v>0</v>
      </c>
      <c r="AE60" s="397">
        <f t="shared" si="54"/>
        <v>0</v>
      </c>
      <c r="AF60" s="397">
        <f t="shared" si="54"/>
        <v>0</v>
      </c>
      <c r="AG60" s="397">
        <f t="shared" si="54"/>
        <v>0</v>
      </c>
      <c r="AH60" s="397">
        <f t="shared" si="54"/>
        <v>0</v>
      </c>
      <c r="AI60" s="397">
        <f t="shared" si="54"/>
        <v>0</v>
      </c>
      <c r="AJ60" s="397">
        <f t="shared" si="54"/>
        <v>0</v>
      </c>
      <c r="AK60" s="397">
        <f t="shared" si="54"/>
        <v>0</v>
      </c>
      <c r="AL60" s="397">
        <f t="shared" si="54"/>
        <v>0</v>
      </c>
      <c r="AM60" s="397">
        <f t="shared" si="54"/>
        <v>0</v>
      </c>
      <c r="AN60" s="397">
        <f t="shared" si="54"/>
        <v>0</v>
      </c>
      <c r="AO60" s="397">
        <f t="shared" si="55"/>
        <v>0</v>
      </c>
      <c r="AP60" s="397">
        <f t="shared" si="55"/>
        <v>0</v>
      </c>
      <c r="AQ60" s="397">
        <f t="shared" si="55"/>
        <v>0</v>
      </c>
      <c r="AR60" s="397">
        <f t="shared" si="55"/>
        <v>0</v>
      </c>
      <c r="AS60" s="397">
        <f t="shared" si="55"/>
        <v>0</v>
      </c>
      <c r="AT60" s="397">
        <f t="shared" si="55"/>
        <v>0</v>
      </c>
      <c r="AU60" s="397">
        <f t="shared" si="55"/>
        <v>0</v>
      </c>
      <c r="AV60" s="397">
        <f t="shared" si="55"/>
        <v>0</v>
      </c>
      <c r="AW60" s="397">
        <f t="shared" si="55"/>
        <v>0</v>
      </c>
      <c r="AX60" s="397">
        <f t="shared" si="55"/>
        <v>0</v>
      </c>
      <c r="AY60" s="397">
        <f t="shared" si="55"/>
        <v>0</v>
      </c>
      <c r="AZ60" s="397">
        <f t="shared" si="55"/>
        <v>0</v>
      </c>
      <c r="BA60" s="397">
        <f t="shared" si="55"/>
        <v>0</v>
      </c>
    </row>
    <row r="61" spans="2:53">
      <c r="B61" s="398">
        <f t="shared" si="52"/>
        <v>2032</v>
      </c>
      <c r="C61" s="397">
        <f t="shared" si="51"/>
        <v>0</v>
      </c>
      <c r="D61" s="397">
        <f t="shared" si="51"/>
        <v>0</v>
      </c>
      <c r="E61" s="397">
        <f t="shared" si="51"/>
        <v>0</v>
      </c>
      <c r="F61" s="397">
        <f t="shared" si="51"/>
        <v>0</v>
      </c>
      <c r="G61" s="397">
        <f t="shared" si="51"/>
        <v>0</v>
      </c>
      <c r="H61" s="397">
        <f t="shared" si="51"/>
        <v>0</v>
      </c>
      <c r="I61" s="397">
        <f t="shared" si="51"/>
        <v>0</v>
      </c>
      <c r="J61" s="397">
        <f t="shared" si="51"/>
        <v>0</v>
      </c>
      <c r="K61" s="397">
        <f t="shared" si="51"/>
        <v>0</v>
      </c>
      <c r="L61" s="397">
        <f t="shared" si="51"/>
        <v>0</v>
      </c>
      <c r="M61" s="397">
        <f t="shared" si="51"/>
        <v>0</v>
      </c>
      <c r="N61" s="397">
        <f t="shared" si="51"/>
        <v>0</v>
      </c>
      <c r="O61" s="397">
        <f t="shared" si="51"/>
        <v>0</v>
      </c>
      <c r="P61" s="397">
        <f t="shared" si="51"/>
        <v>6.2720832135885667</v>
      </c>
      <c r="Q61" s="397">
        <f t="shared" si="51"/>
        <v>6.2720832135885667</v>
      </c>
      <c r="R61" s="397">
        <f t="shared" si="51"/>
        <v>6.2720832135885667</v>
      </c>
      <c r="S61" s="397">
        <f t="shared" si="53"/>
        <v>6.2720832135885667</v>
      </c>
      <c r="T61" s="397">
        <f t="shared" si="53"/>
        <v>6.2720832135885667</v>
      </c>
      <c r="U61" s="397">
        <f t="shared" si="53"/>
        <v>6.2720832135885667</v>
      </c>
      <c r="V61" s="397">
        <f t="shared" si="53"/>
        <v>6.2720832135885667</v>
      </c>
      <c r="W61" s="397">
        <f t="shared" si="53"/>
        <v>6.2720832135885667</v>
      </c>
      <c r="X61" s="397">
        <f t="shared" si="53"/>
        <v>6.2720832135885667</v>
      </c>
      <c r="Y61" s="397">
        <f t="shared" si="54"/>
        <v>6.2720832135885667</v>
      </c>
      <c r="Z61" s="397">
        <f t="shared" si="54"/>
        <v>0</v>
      </c>
      <c r="AA61" s="397">
        <f t="shared" si="54"/>
        <v>0</v>
      </c>
      <c r="AB61" s="397">
        <f t="shared" si="54"/>
        <v>0</v>
      </c>
      <c r="AC61" s="397">
        <f t="shared" si="54"/>
        <v>0</v>
      </c>
      <c r="AD61" s="397">
        <f t="shared" si="54"/>
        <v>0</v>
      </c>
      <c r="AE61" s="397">
        <f t="shared" si="54"/>
        <v>0</v>
      </c>
      <c r="AF61" s="397">
        <f t="shared" si="54"/>
        <v>0</v>
      </c>
      <c r="AG61" s="397">
        <f t="shared" si="54"/>
        <v>0</v>
      </c>
      <c r="AH61" s="397">
        <f t="shared" si="54"/>
        <v>0</v>
      </c>
      <c r="AI61" s="397">
        <f t="shared" si="54"/>
        <v>0</v>
      </c>
      <c r="AJ61" s="397">
        <f t="shared" si="54"/>
        <v>0</v>
      </c>
      <c r="AK61" s="397">
        <f t="shared" si="54"/>
        <v>0</v>
      </c>
      <c r="AL61" s="397">
        <f t="shared" si="54"/>
        <v>0</v>
      </c>
      <c r="AM61" s="397">
        <f t="shared" si="54"/>
        <v>0</v>
      </c>
      <c r="AN61" s="397">
        <f t="shared" si="54"/>
        <v>0</v>
      </c>
      <c r="AO61" s="397">
        <f t="shared" si="55"/>
        <v>0</v>
      </c>
      <c r="AP61" s="397">
        <f t="shared" si="55"/>
        <v>0</v>
      </c>
      <c r="AQ61" s="397">
        <f t="shared" si="55"/>
        <v>0</v>
      </c>
      <c r="AR61" s="397">
        <f t="shared" si="55"/>
        <v>0</v>
      </c>
      <c r="AS61" s="397">
        <f t="shared" si="55"/>
        <v>0</v>
      </c>
      <c r="AT61" s="397">
        <f t="shared" si="55"/>
        <v>0</v>
      </c>
      <c r="AU61" s="397">
        <f t="shared" si="55"/>
        <v>0</v>
      </c>
      <c r="AV61" s="397">
        <f t="shared" si="55"/>
        <v>0</v>
      </c>
      <c r="AW61" s="397">
        <f t="shared" si="55"/>
        <v>0</v>
      </c>
      <c r="AX61" s="397">
        <f t="shared" si="55"/>
        <v>0</v>
      </c>
      <c r="AY61" s="397">
        <f t="shared" si="55"/>
        <v>0</v>
      </c>
      <c r="AZ61" s="397">
        <f t="shared" si="55"/>
        <v>0</v>
      </c>
      <c r="BA61" s="397">
        <f t="shared" si="55"/>
        <v>0</v>
      </c>
    </row>
    <row r="62" spans="2:53">
      <c r="B62" s="398">
        <f t="shared" si="52"/>
        <v>2033</v>
      </c>
      <c r="C62" s="397">
        <f t="shared" si="51"/>
        <v>0</v>
      </c>
      <c r="D62" s="397">
        <f t="shared" si="51"/>
        <v>0</v>
      </c>
      <c r="E62" s="397">
        <f t="shared" si="51"/>
        <v>0</v>
      </c>
      <c r="F62" s="397">
        <f t="shared" si="51"/>
        <v>0</v>
      </c>
      <c r="G62" s="397">
        <f t="shared" si="51"/>
        <v>0</v>
      </c>
      <c r="H62" s="397">
        <f t="shared" si="51"/>
        <v>0</v>
      </c>
      <c r="I62" s="397">
        <f t="shared" si="51"/>
        <v>0</v>
      </c>
      <c r="J62" s="397">
        <f t="shared" si="51"/>
        <v>0</v>
      </c>
      <c r="K62" s="397">
        <f t="shared" si="51"/>
        <v>0</v>
      </c>
      <c r="L62" s="397">
        <f t="shared" si="51"/>
        <v>0</v>
      </c>
      <c r="M62" s="397">
        <f t="shared" si="51"/>
        <v>0</v>
      </c>
      <c r="N62" s="397">
        <f t="shared" si="51"/>
        <v>0</v>
      </c>
      <c r="O62" s="397">
        <f t="shared" si="51"/>
        <v>0</v>
      </c>
      <c r="P62" s="397">
        <f t="shared" si="51"/>
        <v>0</v>
      </c>
      <c r="Q62" s="397">
        <f t="shared" si="51"/>
        <v>6.3696214052828193</v>
      </c>
      <c r="R62" s="397">
        <f t="shared" si="51"/>
        <v>6.3696214052828193</v>
      </c>
      <c r="S62" s="397">
        <f t="shared" si="53"/>
        <v>6.3696214052828193</v>
      </c>
      <c r="T62" s="397">
        <f t="shared" si="53"/>
        <v>6.3696214052828193</v>
      </c>
      <c r="U62" s="397">
        <f t="shared" si="53"/>
        <v>6.3696214052828193</v>
      </c>
      <c r="V62" s="397">
        <f t="shared" si="53"/>
        <v>6.3696214052828193</v>
      </c>
      <c r="W62" s="397">
        <f t="shared" si="53"/>
        <v>6.3696214052828193</v>
      </c>
      <c r="X62" s="397">
        <f t="shared" si="53"/>
        <v>6.3696214052828193</v>
      </c>
      <c r="Y62" s="397">
        <f t="shared" si="54"/>
        <v>6.3696214052828193</v>
      </c>
      <c r="Z62" s="397">
        <f t="shared" si="54"/>
        <v>6.3696214052828193</v>
      </c>
      <c r="AA62" s="397">
        <f t="shared" si="54"/>
        <v>0</v>
      </c>
      <c r="AB62" s="397">
        <f t="shared" si="54"/>
        <v>0</v>
      </c>
      <c r="AC62" s="397">
        <f t="shared" si="54"/>
        <v>0</v>
      </c>
      <c r="AD62" s="397">
        <f t="shared" si="54"/>
        <v>0</v>
      </c>
      <c r="AE62" s="397">
        <f t="shared" si="54"/>
        <v>0</v>
      </c>
      <c r="AF62" s="397">
        <f t="shared" si="54"/>
        <v>0</v>
      </c>
      <c r="AG62" s="397">
        <f t="shared" si="54"/>
        <v>0</v>
      </c>
      <c r="AH62" s="397">
        <f t="shared" si="54"/>
        <v>0</v>
      </c>
      <c r="AI62" s="397">
        <f t="shared" si="54"/>
        <v>0</v>
      </c>
      <c r="AJ62" s="397">
        <f t="shared" si="54"/>
        <v>0</v>
      </c>
      <c r="AK62" s="397">
        <f t="shared" si="54"/>
        <v>0</v>
      </c>
      <c r="AL62" s="397">
        <f t="shared" si="54"/>
        <v>0</v>
      </c>
      <c r="AM62" s="397">
        <f t="shared" si="54"/>
        <v>0</v>
      </c>
      <c r="AN62" s="397">
        <f t="shared" si="54"/>
        <v>0</v>
      </c>
      <c r="AO62" s="397">
        <f t="shared" si="55"/>
        <v>0</v>
      </c>
      <c r="AP62" s="397">
        <f t="shared" si="55"/>
        <v>0</v>
      </c>
      <c r="AQ62" s="397">
        <f t="shared" si="55"/>
        <v>0</v>
      </c>
      <c r="AR62" s="397">
        <f t="shared" si="55"/>
        <v>0</v>
      </c>
      <c r="AS62" s="397">
        <f t="shared" si="55"/>
        <v>0</v>
      </c>
      <c r="AT62" s="397">
        <f t="shared" si="55"/>
        <v>0</v>
      </c>
      <c r="AU62" s="397">
        <f t="shared" si="55"/>
        <v>0</v>
      </c>
      <c r="AV62" s="397">
        <f t="shared" si="55"/>
        <v>0</v>
      </c>
      <c r="AW62" s="397">
        <f t="shared" si="55"/>
        <v>0</v>
      </c>
      <c r="AX62" s="397">
        <f t="shared" si="55"/>
        <v>0</v>
      </c>
      <c r="AY62" s="397">
        <f t="shared" si="55"/>
        <v>0</v>
      </c>
      <c r="AZ62" s="397">
        <f t="shared" si="55"/>
        <v>0</v>
      </c>
      <c r="BA62" s="397">
        <f t="shared" si="55"/>
        <v>0</v>
      </c>
    </row>
    <row r="63" spans="2:53">
      <c r="B63" s="398">
        <f t="shared" si="52"/>
        <v>2034</v>
      </c>
      <c r="C63" s="397">
        <f t="shared" si="51"/>
        <v>0</v>
      </c>
      <c r="D63" s="397">
        <f t="shared" si="51"/>
        <v>0</v>
      </c>
      <c r="E63" s="397">
        <f t="shared" si="51"/>
        <v>0</v>
      </c>
      <c r="F63" s="397">
        <f t="shared" si="51"/>
        <v>0</v>
      </c>
      <c r="G63" s="397">
        <f t="shared" si="51"/>
        <v>0</v>
      </c>
      <c r="H63" s="397">
        <f t="shared" si="51"/>
        <v>0</v>
      </c>
      <c r="I63" s="397">
        <f t="shared" si="51"/>
        <v>0</v>
      </c>
      <c r="J63" s="397">
        <f t="shared" si="51"/>
        <v>0</v>
      </c>
      <c r="K63" s="397">
        <f t="shared" si="51"/>
        <v>0</v>
      </c>
      <c r="L63" s="397">
        <f t="shared" si="51"/>
        <v>0</v>
      </c>
      <c r="M63" s="397">
        <f t="shared" si="51"/>
        <v>0</v>
      </c>
      <c r="N63" s="397">
        <f t="shared" si="51"/>
        <v>0</v>
      </c>
      <c r="O63" s="397">
        <f t="shared" si="51"/>
        <v>0</v>
      </c>
      <c r="P63" s="397">
        <f t="shared" si="51"/>
        <v>0</v>
      </c>
      <c r="Q63" s="397">
        <f t="shared" si="51"/>
        <v>0</v>
      </c>
      <c r="R63" s="397">
        <f t="shared" si="51"/>
        <v>6.4664776896652985</v>
      </c>
      <c r="S63" s="397">
        <f t="shared" si="53"/>
        <v>6.4664776896652985</v>
      </c>
      <c r="T63" s="397">
        <f t="shared" si="53"/>
        <v>6.4664776896652985</v>
      </c>
      <c r="U63" s="397">
        <f t="shared" si="53"/>
        <v>6.4664776896652985</v>
      </c>
      <c r="V63" s="397">
        <f t="shared" si="53"/>
        <v>6.4664776896652985</v>
      </c>
      <c r="W63" s="397">
        <f t="shared" si="53"/>
        <v>6.4664776896652985</v>
      </c>
      <c r="X63" s="397">
        <f t="shared" si="53"/>
        <v>6.4664776896652985</v>
      </c>
      <c r="Y63" s="397">
        <f t="shared" si="54"/>
        <v>6.4664776896652985</v>
      </c>
      <c r="Z63" s="397">
        <f t="shared" si="54"/>
        <v>6.4664776896652985</v>
      </c>
      <c r="AA63" s="397">
        <f t="shared" si="54"/>
        <v>6.4664776896652985</v>
      </c>
      <c r="AB63" s="397">
        <f t="shared" si="54"/>
        <v>0</v>
      </c>
      <c r="AC63" s="397">
        <f t="shared" si="54"/>
        <v>0</v>
      </c>
      <c r="AD63" s="397">
        <f t="shared" si="54"/>
        <v>0</v>
      </c>
      <c r="AE63" s="397">
        <f t="shared" si="54"/>
        <v>0</v>
      </c>
      <c r="AF63" s="397">
        <f t="shared" si="54"/>
        <v>0</v>
      </c>
      <c r="AG63" s="397">
        <f t="shared" si="54"/>
        <v>0</v>
      </c>
      <c r="AH63" s="397">
        <f t="shared" si="54"/>
        <v>0</v>
      </c>
      <c r="AI63" s="397">
        <f t="shared" si="54"/>
        <v>0</v>
      </c>
      <c r="AJ63" s="397">
        <f t="shared" si="54"/>
        <v>0</v>
      </c>
      <c r="AK63" s="397">
        <f t="shared" si="54"/>
        <v>0</v>
      </c>
      <c r="AL63" s="397">
        <f t="shared" si="54"/>
        <v>0</v>
      </c>
      <c r="AM63" s="397">
        <f t="shared" si="54"/>
        <v>0</v>
      </c>
      <c r="AN63" s="397">
        <f t="shared" si="54"/>
        <v>0</v>
      </c>
      <c r="AO63" s="397">
        <f t="shared" si="55"/>
        <v>0</v>
      </c>
      <c r="AP63" s="397">
        <f t="shared" si="55"/>
        <v>0</v>
      </c>
      <c r="AQ63" s="397">
        <f t="shared" si="55"/>
        <v>0</v>
      </c>
      <c r="AR63" s="397">
        <f t="shared" si="55"/>
        <v>0</v>
      </c>
      <c r="AS63" s="397">
        <f t="shared" si="55"/>
        <v>0</v>
      </c>
      <c r="AT63" s="397">
        <f t="shared" si="55"/>
        <v>0</v>
      </c>
      <c r="AU63" s="397">
        <f t="shared" si="55"/>
        <v>0</v>
      </c>
      <c r="AV63" s="397">
        <f t="shared" si="55"/>
        <v>0</v>
      </c>
      <c r="AW63" s="397">
        <f t="shared" si="55"/>
        <v>0</v>
      </c>
      <c r="AX63" s="397">
        <f t="shared" si="55"/>
        <v>0</v>
      </c>
      <c r="AY63" s="397">
        <f t="shared" si="55"/>
        <v>0</v>
      </c>
      <c r="AZ63" s="397">
        <f t="shared" si="55"/>
        <v>0</v>
      </c>
      <c r="BA63" s="397">
        <f t="shared" si="55"/>
        <v>0</v>
      </c>
    </row>
    <row r="64" spans="2:53">
      <c r="B64" s="398">
        <f t="shared" si="52"/>
        <v>2035</v>
      </c>
      <c r="C64" s="397">
        <f t="shared" si="51"/>
        <v>0</v>
      </c>
      <c r="D64" s="397">
        <f t="shared" si="51"/>
        <v>0</v>
      </c>
      <c r="E64" s="397">
        <f t="shared" si="51"/>
        <v>0</v>
      </c>
      <c r="F64" s="397">
        <f t="shared" si="51"/>
        <v>0</v>
      </c>
      <c r="G64" s="397">
        <f t="shared" si="51"/>
        <v>0</v>
      </c>
      <c r="H64" s="397">
        <f t="shared" si="51"/>
        <v>0</v>
      </c>
      <c r="I64" s="397">
        <f t="shared" si="51"/>
        <v>0</v>
      </c>
      <c r="J64" s="397">
        <f t="shared" si="51"/>
        <v>0</v>
      </c>
      <c r="K64" s="397">
        <f t="shared" si="51"/>
        <v>0</v>
      </c>
      <c r="L64" s="397">
        <f t="shared" si="51"/>
        <v>0</v>
      </c>
      <c r="M64" s="397">
        <f t="shared" si="51"/>
        <v>0</v>
      </c>
      <c r="N64" s="397">
        <f t="shared" si="51"/>
        <v>0</v>
      </c>
      <c r="O64" s="397">
        <f t="shared" si="51"/>
        <v>0</v>
      </c>
      <c r="P64" s="397">
        <f t="shared" si="51"/>
        <v>0</v>
      </c>
      <c r="Q64" s="397">
        <f t="shared" si="51"/>
        <v>0</v>
      </c>
      <c r="R64" s="397">
        <f t="shared" si="51"/>
        <v>0</v>
      </c>
      <c r="S64" s="397">
        <f t="shared" si="53"/>
        <v>6.5629153100307773</v>
      </c>
      <c r="T64" s="397">
        <f t="shared" si="53"/>
        <v>6.5629153100307773</v>
      </c>
      <c r="U64" s="397">
        <f t="shared" si="53"/>
        <v>6.5629153100307773</v>
      </c>
      <c r="V64" s="397">
        <f t="shared" si="53"/>
        <v>6.5629153100307773</v>
      </c>
      <c r="W64" s="397">
        <f t="shared" si="53"/>
        <v>6.5629153100307773</v>
      </c>
      <c r="X64" s="397">
        <f t="shared" si="53"/>
        <v>6.5629153100307773</v>
      </c>
      <c r="Y64" s="397">
        <f t="shared" si="54"/>
        <v>6.5629153100307773</v>
      </c>
      <c r="Z64" s="397">
        <f t="shared" si="54"/>
        <v>6.5629153100307773</v>
      </c>
      <c r="AA64" s="397">
        <f t="shared" si="54"/>
        <v>6.5629153100307773</v>
      </c>
      <c r="AB64" s="397">
        <f t="shared" si="54"/>
        <v>6.5629153100307773</v>
      </c>
      <c r="AC64" s="397">
        <f t="shared" si="54"/>
        <v>0</v>
      </c>
      <c r="AD64" s="397">
        <f t="shared" si="54"/>
        <v>0</v>
      </c>
      <c r="AE64" s="397">
        <f t="shared" si="54"/>
        <v>0</v>
      </c>
      <c r="AF64" s="397">
        <f t="shared" si="54"/>
        <v>0</v>
      </c>
      <c r="AG64" s="397">
        <f t="shared" si="54"/>
        <v>0</v>
      </c>
      <c r="AH64" s="397">
        <f t="shared" si="54"/>
        <v>0</v>
      </c>
      <c r="AI64" s="397">
        <f t="shared" si="54"/>
        <v>0</v>
      </c>
      <c r="AJ64" s="397">
        <f t="shared" si="54"/>
        <v>0</v>
      </c>
      <c r="AK64" s="397">
        <f t="shared" si="54"/>
        <v>0</v>
      </c>
      <c r="AL64" s="397">
        <f t="shared" si="54"/>
        <v>0</v>
      </c>
      <c r="AM64" s="397">
        <f t="shared" si="54"/>
        <v>0</v>
      </c>
      <c r="AN64" s="397">
        <f t="shared" si="54"/>
        <v>0</v>
      </c>
      <c r="AO64" s="397">
        <f t="shared" si="55"/>
        <v>0</v>
      </c>
      <c r="AP64" s="397">
        <f t="shared" si="55"/>
        <v>0</v>
      </c>
      <c r="AQ64" s="397">
        <f t="shared" si="55"/>
        <v>0</v>
      </c>
      <c r="AR64" s="397">
        <f t="shared" si="55"/>
        <v>0</v>
      </c>
      <c r="AS64" s="397">
        <f t="shared" si="55"/>
        <v>0</v>
      </c>
      <c r="AT64" s="397">
        <f t="shared" si="55"/>
        <v>0</v>
      </c>
      <c r="AU64" s="397">
        <f t="shared" si="55"/>
        <v>0</v>
      </c>
      <c r="AV64" s="397">
        <f t="shared" si="55"/>
        <v>0</v>
      </c>
      <c r="AW64" s="397">
        <f t="shared" si="55"/>
        <v>0</v>
      </c>
      <c r="AX64" s="397">
        <f t="shared" si="55"/>
        <v>0</v>
      </c>
      <c r="AY64" s="397">
        <f t="shared" si="55"/>
        <v>0</v>
      </c>
      <c r="AZ64" s="397">
        <f t="shared" si="55"/>
        <v>0</v>
      </c>
      <c r="BA64" s="397">
        <f t="shared" si="55"/>
        <v>0</v>
      </c>
    </row>
    <row r="65" spans="2:53">
      <c r="B65" s="398">
        <f t="shared" si="52"/>
        <v>2036</v>
      </c>
      <c r="C65" s="397">
        <f t="shared" si="51"/>
        <v>0</v>
      </c>
      <c r="D65" s="397">
        <f t="shared" si="51"/>
        <v>0</v>
      </c>
      <c r="E65" s="397">
        <f t="shared" si="51"/>
        <v>0</v>
      </c>
      <c r="F65" s="397">
        <f t="shared" si="51"/>
        <v>0</v>
      </c>
      <c r="G65" s="397">
        <f t="shared" si="51"/>
        <v>0</v>
      </c>
      <c r="H65" s="397">
        <f t="shared" si="51"/>
        <v>0</v>
      </c>
      <c r="I65" s="397">
        <f t="shared" si="51"/>
        <v>0</v>
      </c>
      <c r="J65" s="397">
        <f t="shared" si="51"/>
        <v>0</v>
      </c>
      <c r="K65" s="397">
        <f t="shared" si="51"/>
        <v>0</v>
      </c>
      <c r="L65" s="397">
        <f t="shared" si="51"/>
        <v>0</v>
      </c>
      <c r="M65" s="397">
        <f t="shared" si="51"/>
        <v>0</v>
      </c>
      <c r="N65" s="397">
        <f t="shared" si="51"/>
        <v>0</v>
      </c>
      <c r="O65" s="397">
        <f t="shared" si="51"/>
        <v>0</v>
      </c>
      <c r="P65" s="397">
        <f t="shared" si="51"/>
        <v>0</v>
      </c>
      <c r="Q65" s="397">
        <f t="shared" si="51"/>
        <v>0</v>
      </c>
      <c r="R65" s="397">
        <f t="shared" si="51"/>
        <v>0</v>
      </c>
      <c r="S65" s="397">
        <f t="shared" si="53"/>
        <v>0</v>
      </c>
      <c r="T65" s="397">
        <f t="shared" si="53"/>
        <v>6.6571244900716042</v>
      </c>
      <c r="U65" s="397">
        <f t="shared" si="53"/>
        <v>6.6571244900716042</v>
      </c>
      <c r="V65" s="397">
        <f t="shared" si="53"/>
        <v>6.6571244900716042</v>
      </c>
      <c r="W65" s="397">
        <f t="shared" si="53"/>
        <v>6.6571244900716042</v>
      </c>
      <c r="X65" s="397">
        <f t="shared" si="53"/>
        <v>6.6571244900716042</v>
      </c>
      <c r="Y65" s="397">
        <f t="shared" si="54"/>
        <v>6.6571244900716042</v>
      </c>
      <c r="Z65" s="397">
        <f t="shared" si="54"/>
        <v>6.6571244900716042</v>
      </c>
      <c r="AA65" s="397">
        <f t="shared" si="54"/>
        <v>6.6571244900716042</v>
      </c>
      <c r="AB65" s="397">
        <f t="shared" si="54"/>
        <v>6.6571244900716042</v>
      </c>
      <c r="AC65" s="397">
        <f t="shared" si="54"/>
        <v>6.6571244900716042</v>
      </c>
      <c r="AD65" s="397">
        <f t="shared" si="54"/>
        <v>0</v>
      </c>
      <c r="AE65" s="397">
        <f t="shared" si="54"/>
        <v>0</v>
      </c>
      <c r="AF65" s="397">
        <f t="shared" si="54"/>
        <v>0</v>
      </c>
      <c r="AG65" s="397">
        <f t="shared" si="54"/>
        <v>0</v>
      </c>
      <c r="AH65" s="397">
        <f t="shared" si="54"/>
        <v>0</v>
      </c>
      <c r="AI65" s="397">
        <f t="shared" si="54"/>
        <v>0</v>
      </c>
      <c r="AJ65" s="397">
        <f t="shared" si="54"/>
        <v>0</v>
      </c>
      <c r="AK65" s="397">
        <f t="shared" si="54"/>
        <v>0</v>
      </c>
      <c r="AL65" s="397">
        <f t="shared" si="54"/>
        <v>0</v>
      </c>
      <c r="AM65" s="397">
        <f t="shared" si="54"/>
        <v>0</v>
      </c>
      <c r="AN65" s="397">
        <f t="shared" si="54"/>
        <v>0</v>
      </c>
      <c r="AO65" s="397">
        <f t="shared" si="55"/>
        <v>0</v>
      </c>
      <c r="AP65" s="397">
        <f t="shared" si="55"/>
        <v>0</v>
      </c>
      <c r="AQ65" s="397">
        <f t="shared" si="55"/>
        <v>0</v>
      </c>
      <c r="AR65" s="397">
        <f t="shared" si="55"/>
        <v>0</v>
      </c>
      <c r="AS65" s="397">
        <f t="shared" si="55"/>
        <v>0</v>
      </c>
      <c r="AT65" s="397">
        <f t="shared" si="55"/>
        <v>0</v>
      </c>
      <c r="AU65" s="397">
        <f t="shared" si="55"/>
        <v>0</v>
      </c>
      <c r="AV65" s="397">
        <f t="shared" si="55"/>
        <v>0</v>
      </c>
      <c r="AW65" s="397">
        <f t="shared" si="55"/>
        <v>0</v>
      </c>
      <c r="AX65" s="397">
        <f t="shared" si="55"/>
        <v>0</v>
      </c>
      <c r="AY65" s="397">
        <f t="shared" si="55"/>
        <v>0</v>
      </c>
      <c r="AZ65" s="397">
        <f t="shared" si="55"/>
        <v>0</v>
      </c>
      <c r="BA65" s="397">
        <f t="shared" si="55"/>
        <v>0</v>
      </c>
    </row>
    <row r="66" spans="2:53">
      <c r="B66" s="398">
        <f t="shared" si="52"/>
        <v>2037</v>
      </c>
      <c r="C66" s="397">
        <f t="shared" si="51"/>
        <v>0</v>
      </c>
      <c r="D66" s="397">
        <f t="shared" si="51"/>
        <v>0</v>
      </c>
      <c r="E66" s="397">
        <f t="shared" si="51"/>
        <v>0</v>
      </c>
      <c r="F66" s="397">
        <f t="shared" si="51"/>
        <v>0</v>
      </c>
      <c r="G66" s="397">
        <f t="shared" si="51"/>
        <v>0</v>
      </c>
      <c r="H66" s="397">
        <f t="shared" si="51"/>
        <v>0</v>
      </c>
      <c r="I66" s="397">
        <f t="shared" si="51"/>
        <v>0</v>
      </c>
      <c r="J66" s="397">
        <f t="shared" si="51"/>
        <v>0</v>
      </c>
      <c r="K66" s="397">
        <f t="shared" si="51"/>
        <v>0</v>
      </c>
      <c r="L66" s="397">
        <f t="shared" si="51"/>
        <v>0</v>
      </c>
      <c r="M66" s="397">
        <f t="shared" si="51"/>
        <v>0</v>
      </c>
      <c r="N66" s="397">
        <f t="shared" si="51"/>
        <v>0</v>
      </c>
      <c r="O66" s="397">
        <f t="shared" si="51"/>
        <v>0</v>
      </c>
      <c r="P66" s="397">
        <f t="shared" si="51"/>
        <v>0</v>
      </c>
      <c r="Q66" s="397">
        <f t="shared" si="51"/>
        <v>0</v>
      </c>
      <c r="R66" s="397">
        <f t="shared" si="51"/>
        <v>0</v>
      </c>
      <c r="S66" s="397">
        <f t="shared" si="53"/>
        <v>0</v>
      </c>
      <c r="T66" s="397">
        <f t="shared" si="53"/>
        <v>0</v>
      </c>
      <c r="U66" s="397">
        <f t="shared" si="53"/>
        <v>6.7493955746420102</v>
      </c>
      <c r="V66" s="397">
        <f t="shared" si="53"/>
        <v>6.7493955746420102</v>
      </c>
      <c r="W66" s="397">
        <f t="shared" si="53"/>
        <v>6.7493955746420102</v>
      </c>
      <c r="X66" s="397">
        <f t="shared" si="53"/>
        <v>6.7493955746420102</v>
      </c>
      <c r="Y66" s="397">
        <f t="shared" si="54"/>
        <v>6.7493955746420102</v>
      </c>
      <c r="Z66" s="397">
        <f t="shared" si="54"/>
        <v>6.7493955746420102</v>
      </c>
      <c r="AA66" s="397">
        <f t="shared" si="54"/>
        <v>6.7493955746420102</v>
      </c>
      <c r="AB66" s="397">
        <f t="shared" si="54"/>
        <v>6.7493955746420102</v>
      </c>
      <c r="AC66" s="397">
        <f t="shared" si="54"/>
        <v>6.7493955746420102</v>
      </c>
      <c r="AD66" s="397">
        <f t="shared" si="54"/>
        <v>6.7493955746420102</v>
      </c>
      <c r="AE66" s="397">
        <f t="shared" si="54"/>
        <v>0</v>
      </c>
      <c r="AF66" s="397">
        <f t="shared" si="54"/>
        <v>0</v>
      </c>
      <c r="AG66" s="397">
        <f t="shared" si="54"/>
        <v>0</v>
      </c>
      <c r="AH66" s="397">
        <f t="shared" si="54"/>
        <v>0</v>
      </c>
      <c r="AI66" s="397">
        <f t="shared" si="54"/>
        <v>0</v>
      </c>
      <c r="AJ66" s="397">
        <f t="shared" si="54"/>
        <v>0</v>
      </c>
      <c r="AK66" s="397">
        <f t="shared" si="54"/>
        <v>0</v>
      </c>
      <c r="AL66" s="397">
        <f t="shared" si="54"/>
        <v>0</v>
      </c>
      <c r="AM66" s="397">
        <f t="shared" si="54"/>
        <v>0</v>
      </c>
      <c r="AN66" s="397">
        <f t="shared" si="54"/>
        <v>0</v>
      </c>
      <c r="AO66" s="397">
        <f t="shared" si="55"/>
        <v>0</v>
      </c>
      <c r="AP66" s="397">
        <f t="shared" si="55"/>
        <v>0</v>
      </c>
      <c r="AQ66" s="397">
        <f t="shared" si="55"/>
        <v>0</v>
      </c>
      <c r="AR66" s="397">
        <f t="shared" si="55"/>
        <v>0</v>
      </c>
      <c r="AS66" s="397">
        <f t="shared" si="55"/>
        <v>0</v>
      </c>
      <c r="AT66" s="397">
        <f t="shared" si="55"/>
        <v>0</v>
      </c>
      <c r="AU66" s="397">
        <f t="shared" si="55"/>
        <v>0</v>
      </c>
      <c r="AV66" s="397">
        <f t="shared" si="55"/>
        <v>0</v>
      </c>
      <c r="AW66" s="397">
        <f t="shared" si="55"/>
        <v>0</v>
      </c>
      <c r="AX66" s="397">
        <f t="shared" si="55"/>
        <v>0</v>
      </c>
      <c r="AY66" s="397">
        <f t="shared" si="55"/>
        <v>0</v>
      </c>
      <c r="AZ66" s="397">
        <f t="shared" si="55"/>
        <v>0</v>
      </c>
      <c r="BA66" s="397">
        <f t="shared" si="55"/>
        <v>0</v>
      </c>
    </row>
    <row r="67" spans="2:53">
      <c r="B67" s="398">
        <f t="shared" si="52"/>
        <v>2038</v>
      </c>
      <c r="C67" s="397">
        <f t="shared" si="51"/>
        <v>0</v>
      </c>
      <c r="D67" s="397">
        <f t="shared" si="51"/>
        <v>0</v>
      </c>
      <c r="E67" s="397">
        <f t="shared" si="51"/>
        <v>0</v>
      </c>
      <c r="F67" s="397">
        <f t="shared" si="51"/>
        <v>0</v>
      </c>
      <c r="G67" s="397">
        <f t="shared" si="51"/>
        <v>0</v>
      </c>
      <c r="H67" s="397">
        <f t="shared" si="51"/>
        <v>0</v>
      </c>
      <c r="I67" s="397">
        <f t="shared" si="51"/>
        <v>0</v>
      </c>
      <c r="J67" s="397">
        <f t="shared" si="51"/>
        <v>0</v>
      </c>
      <c r="K67" s="397">
        <f t="shared" si="51"/>
        <v>0</v>
      </c>
      <c r="L67" s="397">
        <f t="shared" si="51"/>
        <v>0</v>
      </c>
      <c r="M67" s="397">
        <f t="shared" si="51"/>
        <v>0</v>
      </c>
      <c r="N67" s="397">
        <f t="shared" si="51"/>
        <v>0</v>
      </c>
      <c r="O67" s="397">
        <f t="shared" si="51"/>
        <v>0</v>
      </c>
      <c r="P67" s="397">
        <f t="shared" si="51"/>
        <v>0</v>
      </c>
      <c r="Q67" s="397">
        <f t="shared" si="51"/>
        <v>0</v>
      </c>
      <c r="R67" s="397">
        <f t="shared" si="51"/>
        <v>0</v>
      </c>
      <c r="S67" s="397">
        <f t="shared" si="53"/>
        <v>0</v>
      </c>
      <c r="T67" s="397">
        <f t="shared" si="53"/>
        <v>0</v>
      </c>
      <c r="U67" s="397">
        <f t="shared" si="53"/>
        <v>0</v>
      </c>
      <c r="V67" s="397">
        <f t="shared" si="53"/>
        <v>6.8439317155917267</v>
      </c>
      <c r="W67" s="397">
        <f t="shared" si="53"/>
        <v>6.8439317155917267</v>
      </c>
      <c r="X67" s="397">
        <f t="shared" si="53"/>
        <v>6.8439317155917267</v>
      </c>
      <c r="Y67" s="397">
        <f t="shared" si="54"/>
        <v>6.8439317155917267</v>
      </c>
      <c r="Z67" s="397">
        <f t="shared" si="54"/>
        <v>6.8439317155917267</v>
      </c>
      <c r="AA67" s="397">
        <f t="shared" si="54"/>
        <v>6.8439317155917267</v>
      </c>
      <c r="AB67" s="397">
        <f t="shared" si="54"/>
        <v>6.8439317155917267</v>
      </c>
      <c r="AC67" s="397">
        <f t="shared" si="54"/>
        <v>6.8439317155917267</v>
      </c>
      <c r="AD67" s="397">
        <f t="shared" si="54"/>
        <v>6.8439317155917267</v>
      </c>
      <c r="AE67" s="397">
        <f t="shared" si="54"/>
        <v>6.8439317155917267</v>
      </c>
      <c r="AF67" s="397">
        <f t="shared" si="54"/>
        <v>0</v>
      </c>
      <c r="AG67" s="397">
        <f t="shared" si="54"/>
        <v>0</v>
      </c>
      <c r="AH67" s="397">
        <f t="shared" si="54"/>
        <v>0</v>
      </c>
      <c r="AI67" s="397">
        <f t="shared" si="54"/>
        <v>0</v>
      </c>
      <c r="AJ67" s="397">
        <f t="shared" si="54"/>
        <v>0</v>
      </c>
      <c r="AK67" s="397">
        <f t="shared" si="54"/>
        <v>0</v>
      </c>
      <c r="AL67" s="397">
        <f t="shared" si="54"/>
        <v>0</v>
      </c>
      <c r="AM67" s="397">
        <f t="shared" si="54"/>
        <v>0</v>
      </c>
      <c r="AN67" s="397">
        <f t="shared" si="54"/>
        <v>0</v>
      </c>
      <c r="AO67" s="397">
        <f t="shared" si="55"/>
        <v>0</v>
      </c>
      <c r="AP67" s="397">
        <f t="shared" si="55"/>
        <v>0</v>
      </c>
      <c r="AQ67" s="397">
        <f t="shared" si="55"/>
        <v>0</v>
      </c>
      <c r="AR67" s="397">
        <f t="shared" si="55"/>
        <v>0</v>
      </c>
      <c r="AS67" s="397">
        <f t="shared" si="55"/>
        <v>0</v>
      </c>
      <c r="AT67" s="397">
        <f t="shared" si="55"/>
        <v>0</v>
      </c>
      <c r="AU67" s="397">
        <f t="shared" si="55"/>
        <v>0</v>
      </c>
      <c r="AV67" s="397">
        <f t="shared" si="55"/>
        <v>0</v>
      </c>
      <c r="AW67" s="397">
        <f t="shared" si="55"/>
        <v>0</v>
      </c>
      <c r="AX67" s="397">
        <f t="shared" si="55"/>
        <v>0</v>
      </c>
      <c r="AY67" s="397">
        <f t="shared" si="55"/>
        <v>0</v>
      </c>
      <c r="AZ67" s="397">
        <f t="shared" si="55"/>
        <v>0</v>
      </c>
      <c r="BA67" s="397">
        <f t="shared" si="55"/>
        <v>0</v>
      </c>
    </row>
    <row r="68" spans="2:53">
      <c r="B68" s="398">
        <f t="shared" si="52"/>
        <v>2039</v>
      </c>
      <c r="C68" s="397">
        <f t="shared" si="51"/>
        <v>0</v>
      </c>
      <c r="D68" s="397">
        <f t="shared" si="51"/>
        <v>0</v>
      </c>
      <c r="E68" s="397">
        <f t="shared" si="51"/>
        <v>0</v>
      </c>
      <c r="F68" s="397">
        <f t="shared" si="51"/>
        <v>0</v>
      </c>
      <c r="G68" s="397">
        <f t="shared" si="51"/>
        <v>0</v>
      </c>
      <c r="H68" s="397">
        <f t="shared" si="51"/>
        <v>0</v>
      </c>
      <c r="I68" s="397">
        <f t="shared" si="51"/>
        <v>0</v>
      </c>
      <c r="J68" s="397">
        <f t="shared" si="51"/>
        <v>0</v>
      </c>
      <c r="K68" s="397">
        <f t="shared" si="51"/>
        <v>0</v>
      </c>
      <c r="L68" s="397">
        <f t="shared" si="51"/>
        <v>0</v>
      </c>
      <c r="M68" s="397">
        <f t="shared" si="51"/>
        <v>0</v>
      </c>
      <c r="N68" s="397">
        <f t="shared" si="51"/>
        <v>0</v>
      </c>
      <c r="O68" s="397">
        <f t="shared" si="51"/>
        <v>0</v>
      </c>
      <c r="P68" s="397">
        <f t="shared" si="51"/>
        <v>0</v>
      </c>
      <c r="Q68" s="397">
        <f t="shared" si="51"/>
        <v>0</v>
      </c>
      <c r="R68" s="397">
        <f t="shared" si="51"/>
        <v>0</v>
      </c>
      <c r="S68" s="397">
        <f t="shared" si="53"/>
        <v>0</v>
      </c>
      <c r="T68" s="397">
        <f t="shared" si="53"/>
        <v>0</v>
      </c>
      <c r="U68" s="397">
        <f t="shared" si="53"/>
        <v>0</v>
      </c>
      <c r="V68" s="397">
        <f t="shared" si="53"/>
        <v>0</v>
      </c>
      <c r="W68" s="397">
        <f t="shared" si="53"/>
        <v>6.9371297838131829</v>
      </c>
      <c r="X68" s="397">
        <f t="shared" si="53"/>
        <v>6.9371297838131829</v>
      </c>
      <c r="Y68" s="397">
        <f t="shared" si="54"/>
        <v>6.9371297838131829</v>
      </c>
      <c r="Z68" s="397">
        <f t="shared" si="54"/>
        <v>6.9371297838131829</v>
      </c>
      <c r="AA68" s="397">
        <f t="shared" si="54"/>
        <v>6.9371297838131829</v>
      </c>
      <c r="AB68" s="397">
        <f t="shared" si="54"/>
        <v>6.9371297838131829</v>
      </c>
      <c r="AC68" s="397">
        <f t="shared" si="54"/>
        <v>6.9371297838131829</v>
      </c>
      <c r="AD68" s="397">
        <f t="shared" si="54"/>
        <v>6.9371297838131829</v>
      </c>
      <c r="AE68" s="397">
        <f t="shared" si="54"/>
        <v>6.9371297838131829</v>
      </c>
      <c r="AF68" s="397">
        <f t="shared" si="54"/>
        <v>6.9371297838131829</v>
      </c>
      <c r="AG68" s="397">
        <f t="shared" si="54"/>
        <v>0</v>
      </c>
      <c r="AH68" s="397">
        <f t="shared" si="54"/>
        <v>0</v>
      </c>
      <c r="AI68" s="397">
        <f t="shared" si="54"/>
        <v>0</v>
      </c>
      <c r="AJ68" s="397">
        <f t="shared" si="54"/>
        <v>0</v>
      </c>
      <c r="AK68" s="397">
        <f t="shared" si="54"/>
        <v>0</v>
      </c>
      <c r="AL68" s="397">
        <f t="shared" si="54"/>
        <v>0</v>
      </c>
      <c r="AM68" s="397">
        <f t="shared" si="54"/>
        <v>0</v>
      </c>
      <c r="AN68" s="397">
        <f t="shared" si="54"/>
        <v>0</v>
      </c>
      <c r="AO68" s="397">
        <f t="shared" si="55"/>
        <v>0</v>
      </c>
      <c r="AP68" s="397">
        <f t="shared" si="55"/>
        <v>0</v>
      </c>
      <c r="AQ68" s="397">
        <f t="shared" si="55"/>
        <v>0</v>
      </c>
      <c r="AR68" s="397">
        <f t="shared" si="55"/>
        <v>0</v>
      </c>
      <c r="AS68" s="397">
        <f t="shared" si="55"/>
        <v>0</v>
      </c>
      <c r="AT68" s="397">
        <f t="shared" si="55"/>
        <v>0</v>
      </c>
      <c r="AU68" s="397">
        <f t="shared" si="55"/>
        <v>0</v>
      </c>
      <c r="AV68" s="397">
        <f t="shared" si="55"/>
        <v>0</v>
      </c>
      <c r="AW68" s="397">
        <f t="shared" si="55"/>
        <v>0</v>
      </c>
      <c r="AX68" s="397">
        <f t="shared" si="55"/>
        <v>0</v>
      </c>
      <c r="AY68" s="397">
        <f t="shared" si="55"/>
        <v>0</v>
      </c>
      <c r="AZ68" s="397">
        <f t="shared" si="55"/>
        <v>0</v>
      </c>
      <c r="BA68" s="397">
        <f t="shared" si="55"/>
        <v>0</v>
      </c>
    </row>
    <row r="69" spans="2:53">
      <c r="B69" s="398">
        <f t="shared" si="52"/>
        <v>2040</v>
      </c>
      <c r="C69" s="397">
        <f t="shared" si="51"/>
        <v>0</v>
      </c>
      <c r="D69" s="397">
        <f t="shared" si="51"/>
        <v>0</v>
      </c>
      <c r="E69" s="397">
        <f t="shared" si="51"/>
        <v>0</v>
      </c>
      <c r="F69" s="397">
        <f t="shared" si="51"/>
        <v>0</v>
      </c>
      <c r="G69" s="397">
        <f t="shared" si="51"/>
        <v>0</v>
      </c>
      <c r="H69" s="397">
        <f t="shared" si="51"/>
        <v>0</v>
      </c>
      <c r="I69" s="397">
        <f t="shared" si="51"/>
        <v>0</v>
      </c>
      <c r="J69" s="397">
        <f t="shared" si="51"/>
        <v>0</v>
      </c>
      <c r="K69" s="397">
        <f t="shared" si="51"/>
        <v>0</v>
      </c>
      <c r="L69" s="397">
        <f t="shared" si="51"/>
        <v>0</v>
      </c>
      <c r="M69" s="397">
        <f t="shared" si="51"/>
        <v>0</v>
      </c>
      <c r="N69" s="397">
        <f t="shared" si="51"/>
        <v>0</v>
      </c>
      <c r="O69" s="397">
        <f t="shared" si="51"/>
        <v>0</v>
      </c>
      <c r="P69" s="397">
        <f t="shared" si="51"/>
        <v>0</v>
      </c>
      <c r="Q69" s="397">
        <f t="shared" si="51"/>
        <v>0</v>
      </c>
      <c r="R69" s="397">
        <f t="shared" si="51"/>
        <v>0</v>
      </c>
      <c r="S69" s="397">
        <f t="shared" si="53"/>
        <v>0</v>
      </c>
      <c r="T69" s="397">
        <f t="shared" si="53"/>
        <v>0</v>
      </c>
      <c r="U69" s="397">
        <f t="shared" si="53"/>
        <v>0</v>
      </c>
      <c r="V69" s="397">
        <f t="shared" si="53"/>
        <v>0</v>
      </c>
      <c r="W69" s="397">
        <f t="shared" si="53"/>
        <v>0</v>
      </c>
      <c r="X69" s="397">
        <f t="shared" si="53"/>
        <v>7.0279992508761175</v>
      </c>
      <c r="Y69" s="397">
        <f t="shared" si="54"/>
        <v>7.0279992508761175</v>
      </c>
      <c r="Z69" s="397">
        <f t="shared" si="54"/>
        <v>7.0279992508761175</v>
      </c>
      <c r="AA69" s="397">
        <f t="shared" si="54"/>
        <v>7.0279992508761175</v>
      </c>
      <c r="AB69" s="397">
        <f t="shared" si="54"/>
        <v>7.0279992508761175</v>
      </c>
      <c r="AC69" s="397">
        <f t="shared" si="54"/>
        <v>7.0279992508761175</v>
      </c>
      <c r="AD69" s="397">
        <f t="shared" si="54"/>
        <v>7.0279992508761175</v>
      </c>
      <c r="AE69" s="397">
        <f t="shared" si="54"/>
        <v>7.0279992508761175</v>
      </c>
      <c r="AF69" s="397">
        <f t="shared" si="54"/>
        <v>7.0279992508761175</v>
      </c>
      <c r="AG69" s="397">
        <f t="shared" si="54"/>
        <v>7.0279992508761175</v>
      </c>
      <c r="AH69" s="397">
        <f t="shared" si="54"/>
        <v>0</v>
      </c>
      <c r="AI69" s="397">
        <f t="shared" si="54"/>
        <v>0</v>
      </c>
      <c r="AJ69" s="397">
        <f t="shared" si="54"/>
        <v>0</v>
      </c>
      <c r="AK69" s="397">
        <f t="shared" si="54"/>
        <v>0</v>
      </c>
      <c r="AL69" s="397">
        <f t="shared" si="54"/>
        <v>0</v>
      </c>
      <c r="AM69" s="397">
        <f t="shared" si="54"/>
        <v>0</v>
      </c>
      <c r="AN69" s="397">
        <f t="shared" ref="AN69:BA84" si="56">IF($B69&gt;=AN$48,0,        IF(AN$48-$B69&lt;=$C$39,    INDEX($C$24:$BA$24, MATCH($B69, $C$23:$BA$23,0)),       0))</f>
        <v>0</v>
      </c>
      <c r="AO69" s="397">
        <f t="shared" si="56"/>
        <v>0</v>
      </c>
      <c r="AP69" s="397">
        <f t="shared" si="56"/>
        <v>0</v>
      </c>
      <c r="AQ69" s="397">
        <f t="shared" si="56"/>
        <v>0</v>
      </c>
      <c r="AR69" s="397">
        <f t="shared" si="56"/>
        <v>0</v>
      </c>
      <c r="AS69" s="397">
        <f t="shared" si="56"/>
        <v>0</v>
      </c>
      <c r="AT69" s="397">
        <f t="shared" si="56"/>
        <v>0</v>
      </c>
      <c r="AU69" s="397">
        <f t="shared" si="56"/>
        <v>0</v>
      </c>
      <c r="AV69" s="397">
        <f t="shared" si="56"/>
        <v>0</v>
      </c>
      <c r="AW69" s="397">
        <f t="shared" si="56"/>
        <v>0</v>
      </c>
      <c r="AX69" s="397">
        <f t="shared" si="56"/>
        <v>0</v>
      </c>
      <c r="AY69" s="397">
        <f t="shared" si="56"/>
        <v>0</v>
      </c>
      <c r="AZ69" s="397">
        <f t="shared" si="56"/>
        <v>0</v>
      </c>
      <c r="BA69" s="397">
        <f t="shared" si="56"/>
        <v>0</v>
      </c>
    </row>
    <row r="70" spans="2:53">
      <c r="B70" s="398">
        <f t="shared" si="52"/>
        <v>2041</v>
      </c>
      <c r="C70" s="397">
        <f t="shared" si="51"/>
        <v>0</v>
      </c>
      <c r="D70" s="397">
        <f t="shared" si="51"/>
        <v>0</v>
      </c>
      <c r="E70" s="397">
        <f t="shared" si="51"/>
        <v>0</v>
      </c>
      <c r="F70" s="397">
        <f t="shared" si="51"/>
        <v>0</v>
      </c>
      <c r="G70" s="397">
        <f t="shared" si="51"/>
        <v>0</v>
      </c>
      <c r="H70" s="397">
        <f t="shared" si="51"/>
        <v>0</v>
      </c>
      <c r="I70" s="397">
        <f t="shared" si="51"/>
        <v>0</v>
      </c>
      <c r="J70" s="397">
        <f t="shared" si="51"/>
        <v>0</v>
      </c>
      <c r="K70" s="397">
        <f t="shared" si="51"/>
        <v>0</v>
      </c>
      <c r="L70" s="397">
        <f t="shared" si="51"/>
        <v>0</v>
      </c>
      <c r="M70" s="397">
        <f t="shared" ref="M70:AB85" si="57">IF($B70&gt;=M$48,0,        IF(M$48-$B70&lt;=$C$39,    INDEX($C$24:$BA$24, MATCH($B70, $C$23:$BA$23,0)),       0))</f>
        <v>0</v>
      </c>
      <c r="N70" s="397">
        <f t="shared" si="57"/>
        <v>0</v>
      </c>
      <c r="O70" s="397">
        <f t="shared" si="57"/>
        <v>0</v>
      </c>
      <c r="P70" s="397">
        <f t="shared" si="57"/>
        <v>0</v>
      </c>
      <c r="Q70" s="397">
        <f t="shared" si="57"/>
        <v>0</v>
      </c>
      <c r="R70" s="397">
        <f t="shared" si="57"/>
        <v>0</v>
      </c>
      <c r="S70" s="397">
        <f t="shared" si="57"/>
        <v>0</v>
      </c>
      <c r="T70" s="397">
        <f t="shared" si="57"/>
        <v>0</v>
      </c>
      <c r="U70" s="397">
        <f t="shared" si="57"/>
        <v>0</v>
      </c>
      <c r="V70" s="397">
        <f t="shared" si="57"/>
        <v>0</v>
      </c>
      <c r="W70" s="397">
        <f t="shared" si="57"/>
        <v>0</v>
      </c>
      <c r="X70" s="397">
        <f t="shared" si="57"/>
        <v>0</v>
      </c>
      <c r="Y70" s="397">
        <f t="shared" si="57"/>
        <v>7.1164103004525598</v>
      </c>
      <c r="Z70" s="397">
        <f t="shared" si="57"/>
        <v>7.1164103004525598</v>
      </c>
      <c r="AA70" s="397">
        <f t="shared" si="57"/>
        <v>7.1164103004525598</v>
      </c>
      <c r="AB70" s="397">
        <f t="shared" si="57"/>
        <v>7.1164103004525598</v>
      </c>
      <c r="AC70" s="397">
        <f t="shared" ref="AC70:AR85" si="58">IF($B70&gt;=AC$48,0,        IF(AC$48-$B70&lt;=$C$39,    INDEX($C$24:$BA$24, MATCH($B70, $C$23:$BA$23,0)),       0))</f>
        <v>7.1164103004525598</v>
      </c>
      <c r="AD70" s="397">
        <f t="shared" si="58"/>
        <v>7.1164103004525598</v>
      </c>
      <c r="AE70" s="397">
        <f t="shared" si="58"/>
        <v>7.1164103004525598</v>
      </c>
      <c r="AF70" s="397">
        <f t="shared" si="58"/>
        <v>7.1164103004525598</v>
      </c>
      <c r="AG70" s="397">
        <f t="shared" si="58"/>
        <v>7.1164103004525598</v>
      </c>
      <c r="AH70" s="397">
        <f t="shared" si="58"/>
        <v>7.1164103004525598</v>
      </c>
      <c r="AI70" s="397">
        <f t="shared" si="58"/>
        <v>0</v>
      </c>
      <c r="AJ70" s="397">
        <f t="shared" si="58"/>
        <v>0</v>
      </c>
      <c r="AK70" s="397">
        <f t="shared" si="58"/>
        <v>0</v>
      </c>
      <c r="AL70" s="397">
        <f t="shared" si="58"/>
        <v>0</v>
      </c>
      <c r="AM70" s="397">
        <f t="shared" si="58"/>
        <v>0</v>
      </c>
      <c r="AN70" s="397">
        <f t="shared" si="58"/>
        <v>0</v>
      </c>
      <c r="AO70" s="397">
        <f t="shared" si="58"/>
        <v>0</v>
      </c>
      <c r="AP70" s="397">
        <f t="shared" si="58"/>
        <v>0</v>
      </c>
      <c r="AQ70" s="397">
        <f t="shared" si="58"/>
        <v>0</v>
      </c>
      <c r="AR70" s="397">
        <f t="shared" si="58"/>
        <v>0</v>
      </c>
      <c r="AS70" s="397">
        <f t="shared" si="56"/>
        <v>0</v>
      </c>
      <c r="AT70" s="397">
        <f t="shared" si="56"/>
        <v>0</v>
      </c>
      <c r="AU70" s="397">
        <f t="shared" si="56"/>
        <v>0</v>
      </c>
      <c r="AV70" s="397">
        <f t="shared" si="56"/>
        <v>0</v>
      </c>
      <c r="AW70" s="397">
        <f t="shared" si="56"/>
        <v>0</v>
      </c>
      <c r="AX70" s="397">
        <f t="shared" si="56"/>
        <v>0</v>
      </c>
      <c r="AY70" s="397">
        <f t="shared" si="56"/>
        <v>0</v>
      </c>
      <c r="AZ70" s="397">
        <f t="shared" si="56"/>
        <v>0</v>
      </c>
      <c r="BA70" s="397">
        <f t="shared" si="56"/>
        <v>0</v>
      </c>
    </row>
    <row r="71" spans="2:53">
      <c r="B71" s="398">
        <f t="shared" si="52"/>
        <v>2042</v>
      </c>
      <c r="C71" s="397">
        <f t="shared" ref="C71:R86" si="59">IF($B71&gt;=C$48,0,        IF(C$48-$B71&lt;=$C$39,    INDEX($C$24:$BA$24, MATCH($B71, $C$23:$BA$23,0)),       0))</f>
        <v>0</v>
      </c>
      <c r="D71" s="397">
        <f t="shared" si="59"/>
        <v>0</v>
      </c>
      <c r="E71" s="397">
        <f t="shared" si="59"/>
        <v>0</v>
      </c>
      <c r="F71" s="397">
        <f t="shared" si="59"/>
        <v>0</v>
      </c>
      <c r="G71" s="397">
        <f t="shared" si="59"/>
        <v>0</v>
      </c>
      <c r="H71" s="397">
        <f t="shared" si="59"/>
        <v>0</v>
      </c>
      <c r="I71" s="397">
        <f t="shared" si="59"/>
        <v>0</v>
      </c>
      <c r="J71" s="397">
        <f t="shared" si="59"/>
        <v>0</v>
      </c>
      <c r="K71" s="397">
        <f t="shared" si="59"/>
        <v>0</v>
      </c>
      <c r="L71" s="397">
        <f t="shared" si="59"/>
        <v>0</v>
      </c>
      <c r="M71" s="397">
        <f t="shared" si="59"/>
        <v>0</v>
      </c>
      <c r="N71" s="397">
        <f t="shared" si="59"/>
        <v>0</v>
      </c>
      <c r="O71" s="397">
        <f t="shared" si="59"/>
        <v>0</v>
      </c>
      <c r="P71" s="397">
        <f t="shared" si="59"/>
        <v>0</v>
      </c>
      <c r="Q71" s="397">
        <f t="shared" si="59"/>
        <v>0</v>
      </c>
      <c r="R71" s="397">
        <f t="shared" si="59"/>
        <v>0</v>
      </c>
      <c r="S71" s="397">
        <f t="shared" si="57"/>
        <v>0</v>
      </c>
      <c r="T71" s="397">
        <f t="shared" si="57"/>
        <v>0</v>
      </c>
      <c r="U71" s="397">
        <f t="shared" si="57"/>
        <v>0</v>
      </c>
      <c r="V71" s="397">
        <f t="shared" si="57"/>
        <v>0</v>
      </c>
      <c r="W71" s="397">
        <f t="shared" si="57"/>
        <v>0</v>
      </c>
      <c r="X71" s="397">
        <f t="shared" si="57"/>
        <v>0</v>
      </c>
      <c r="Y71" s="397">
        <f t="shared" si="57"/>
        <v>0</v>
      </c>
      <c r="Z71" s="397">
        <f t="shared" si="57"/>
        <v>7.2040746981389443</v>
      </c>
      <c r="AA71" s="397">
        <f t="shared" si="57"/>
        <v>7.2040746981389443</v>
      </c>
      <c r="AB71" s="397">
        <f t="shared" si="57"/>
        <v>7.2040746981389443</v>
      </c>
      <c r="AC71" s="397">
        <f t="shared" si="58"/>
        <v>7.2040746981389443</v>
      </c>
      <c r="AD71" s="397">
        <f t="shared" si="58"/>
        <v>7.2040746981389443</v>
      </c>
      <c r="AE71" s="397">
        <f t="shared" si="58"/>
        <v>7.2040746981389443</v>
      </c>
      <c r="AF71" s="397">
        <f t="shared" si="58"/>
        <v>7.2040746981389443</v>
      </c>
      <c r="AG71" s="397">
        <f t="shared" si="58"/>
        <v>7.2040746981389443</v>
      </c>
      <c r="AH71" s="397">
        <f t="shared" si="58"/>
        <v>7.2040746981389443</v>
      </c>
      <c r="AI71" s="397">
        <f t="shared" si="58"/>
        <v>7.2040746981389443</v>
      </c>
      <c r="AJ71" s="397">
        <f t="shared" si="58"/>
        <v>0</v>
      </c>
      <c r="AK71" s="397">
        <f t="shared" si="58"/>
        <v>0</v>
      </c>
      <c r="AL71" s="397">
        <f t="shared" si="58"/>
        <v>0</v>
      </c>
      <c r="AM71" s="397">
        <f t="shared" si="58"/>
        <v>0</v>
      </c>
      <c r="AN71" s="397">
        <f t="shared" si="58"/>
        <v>0</v>
      </c>
      <c r="AO71" s="397">
        <f t="shared" si="58"/>
        <v>0</v>
      </c>
      <c r="AP71" s="397">
        <f t="shared" si="58"/>
        <v>0</v>
      </c>
      <c r="AQ71" s="397">
        <f t="shared" si="58"/>
        <v>0</v>
      </c>
      <c r="AR71" s="397">
        <f t="shared" si="58"/>
        <v>0</v>
      </c>
      <c r="AS71" s="397">
        <f t="shared" si="56"/>
        <v>0</v>
      </c>
      <c r="AT71" s="397">
        <f t="shared" si="56"/>
        <v>0</v>
      </c>
      <c r="AU71" s="397">
        <f t="shared" si="56"/>
        <v>0</v>
      </c>
      <c r="AV71" s="397">
        <f t="shared" si="56"/>
        <v>0</v>
      </c>
      <c r="AW71" s="397">
        <f t="shared" si="56"/>
        <v>0</v>
      </c>
      <c r="AX71" s="397">
        <f t="shared" si="56"/>
        <v>0</v>
      </c>
      <c r="AY71" s="397">
        <f t="shared" si="56"/>
        <v>0</v>
      </c>
      <c r="AZ71" s="397">
        <f t="shared" si="56"/>
        <v>0</v>
      </c>
      <c r="BA71" s="397">
        <f t="shared" si="56"/>
        <v>0</v>
      </c>
    </row>
    <row r="72" spans="2:53">
      <c r="B72" s="398">
        <f t="shared" si="52"/>
        <v>2043</v>
      </c>
      <c r="C72" s="397">
        <f t="shared" si="59"/>
        <v>0</v>
      </c>
      <c r="D72" s="397">
        <f t="shared" si="59"/>
        <v>0</v>
      </c>
      <c r="E72" s="397">
        <f t="shared" si="59"/>
        <v>0</v>
      </c>
      <c r="F72" s="397">
        <f t="shared" si="59"/>
        <v>0</v>
      </c>
      <c r="G72" s="397">
        <f t="shared" si="59"/>
        <v>0</v>
      </c>
      <c r="H72" s="397">
        <f t="shared" si="59"/>
        <v>0</v>
      </c>
      <c r="I72" s="397">
        <f t="shared" si="59"/>
        <v>0</v>
      </c>
      <c r="J72" s="397">
        <f t="shared" si="59"/>
        <v>0</v>
      </c>
      <c r="K72" s="397">
        <f t="shared" si="59"/>
        <v>0</v>
      </c>
      <c r="L72" s="397">
        <f t="shared" si="59"/>
        <v>0</v>
      </c>
      <c r="M72" s="397">
        <f t="shared" si="59"/>
        <v>0</v>
      </c>
      <c r="N72" s="397">
        <f t="shared" si="59"/>
        <v>0</v>
      </c>
      <c r="O72" s="397">
        <f t="shared" si="59"/>
        <v>0</v>
      </c>
      <c r="P72" s="397">
        <f t="shared" si="59"/>
        <v>0</v>
      </c>
      <c r="Q72" s="397">
        <f t="shared" si="59"/>
        <v>0</v>
      </c>
      <c r="R72" s="397">
        <f t="shared" si="59"/>
        <v>0</v>
      </c>
      <c r="S72" s="397">
        <f t="shared" si="57"/>
        <v>0</v>
      </c>
      <c r="T72" s="397">
        <f t="shared" si="57"/>
        <v>0</v>
      </c>
      <c r="U72" s="397">
        <f t="shared" si="57"/>
        <v>0</v>
      </c>
      <c r="V72" s="397">
        <f t="shared" si="57"/>
        <v>0</v>
      </c>
      <c r="W72" s="397">
        <f t="shared" si="57"/>
        <v>0</v>
      </c>
      <c r="X72" s="397">
        <f t="shared" si="57"/>
        <v>0</v>
      </c>
      <c r="Y72" s="397">
        <f t="shared" si="57"/>
        <v>0</v>
      </c>
      <c r="Z72" s="397">
        <f t="shared" si="57"/>
        <v>0</v>
      </c>
      <c r="AA72" s="397">
        <f t="shared" si="57"/>
        <v>7.2905941170132085</v>
      </c>
      <c r="AB72" s="397">
        <f t="shared" si="57"/>
        <v>7.2905941170132085</v>
      </c>
      <c r="AC72" s="397">
        <f t="shared" si="58"/>
        <v>7.2905941170132085</v>
      </c>
      <c r="AD72" s="397">
        <f t="shared" si="58"/>
        <v>7.2905941170132085</v>
      </c>
      <c r="AE72" s="397">
        <f t="shared" si="58"/>
        <v>7.2905941170132085</v>
      </c>
      <c r="AF72" s="397">
        <f t="shared" si="58"/>
        <v>7.2905941170132085</v>
      </c>
      <c r="AG72" s="397">
        <f t="shared" si="58"/>
        <v>7.2905941170132085</v>
      </c>
      <c r="AH72" s="397">
        <f t="shared" si="58"/>
        <v>7.2905941170132085</v>
      </c>
      <c r="AI72" s="397">
        <f t="shared" si="58"/>
        <v>7.2905941170132085</v>
      </c>
      <c r="AJ72" s="397">
        <f t="shared" si="58"/>
        <v>7.2905941170132085</v>
      </c>
      <c r="AK72" s="397">
        <f t="shared" si="58"/>
        <v>0</v>
      </c>
      <c r="AL72" s="397">
        <f t="shared" si="58"/>
        <v>0</v>
      </c>
      <c r="AM72" s="397">
        <f t="shared" si="58"/>
        <v>0</v>
      </c>
      <c r="AN72" s="397">
        <f t="shared" si="58"/>
        <v>0</v>
      </c>
      <c r="AO72" s="397">
        <f t="shared" si="58"/>
        <v>0</v>
      </c>
      <c r="AP72" s="397">
        <f t="shared" si="58"/>
        <v>0</v>
      </c>
      <c r="AQ72" s="397">
        <f t="shared" si="58"/>
        <v>0</v>
      </c>
      <c r="AR72" s="397">
        <f t="shared" si="58"/>
        <v>0</v>
      </c>
      <c r="AS72" s="397">
        <f t="shared" si="56"/>
        <v>0</v>
      </c>
      <c r="AT72" s="397">
        <f t="shared" si="56"/>
        <v>0</v>
      </c>
      <c r="AU72" s="397">
        <f t="shared" si="56"/>
        <v>0</v>
      </c>
      <c r="AV72" s="397">
        <f t="shared" si="56"/>
        <v>0</v>
      </c>
      <c r="AW72" s="397">
        <f t="shared" si="56"/>
        <v>0</v>
      </c>
      <c r="AX72" s="397">
        <f t="shared" si="56"/>
        <v>0</v>
      </c>
      <c r="AY72" s="397">
        <f t="shared" si="56"/>
        <v>0</v>
      </c>
      <c r="AZ72" s="397">
        <f t="shared" si="56"/>
        <v>0</v>
      </c>
      <c r="BA72" s="397">
        <f t="shared" si="56"/>
        <v>0</v>
      </c>
    </row>
    <row r="73" spans="2:53">
      <c r="B73" s="398">
        <f t="shared" si="52"/>
        <v>2044</v>
      </c>
      <c r="C73" s="397">
        <f t="shared" si="59"/>
        <v>0</v>
      </c>
      <c r="D73" s="397">
        <f t="shared" si="59"/>
        <v>0</v>
      </c>
      <c r="E73" s="397">
        <f t="shared" si="59"/>
        <v>0</v>
      </c>
      <c r="F73" s="397">
        <f t="shared" si="59"/>
        <v>0</v>
      </c>
      <c r="G73" s="397">
        <f t="shared" si="59"/>
        <v>0</v>
      </c>
      <c r="H73" s="397">
        <f t="shared" si="59"/>
        <v>0</v>
      </c>
      <c r="I73" s="397">
        <f t="shared" si="59"/>
        <v>0</v>
      </c>
      <c r="J73" s="397">
        <f t="shared" si="59"/>
        <v>0</v>
      </c>
      <c r="K73" s="397">
        <f t="shared" si="59"/>
        <v>0</v>
      </c>
      <c r="L73" s="397">
        <f t="shared" si="59"/>
        <v>0</v>
      </c>
      <c r="M73" s="397">
        <f t="shared" si="59"/>
        <v>0</v>
      </c>
      <c r="N73" s="397">
        <f t="shared" si="59"/>
        <v>0</v>
      </c>
      <c r="O73" s="397">
        <f t="shared" si="59"/>
        <v>0</v>
      </c>
      <c r="P73" s="397">
        <f t="shared" si="59"/>
        <v>0</v>
      </c>
      <c r="Q73" s="397">
        <f t="shared" si="59"/>
        <v>0</v>
      </c>
      <c r="R73" s="397">
        <f t="shared" si="59"/>
        <v>0</v>
      </c>
      <c r="S73" s="397">
        <f t="shared" si="57"/>
        <v>0</v>
      </c>
      <c r="T73" s="397">
        <f t="shared" si="57"/>
        <v>0</v>
      </c>
      <c r="U73" s="397">
        <f t="shared" si="57"/>
        <v>0</v>
      </c>
      <c r="V73" s="397">
        <f t="shared" si="57"/>
        <v>0</v>
      </c>
      <c r="W73" s="397">
        <f t="shared" si="57"/>
        <v>0</v>
      </c>
      <c r="X73" s="397">
        <f t="shared" si="57"/>
        <v>0</v>
      </c>
      <c r="Y73" s="397">
        <f t="shared" si="57"/>
        <v>0</v>
      </c>
      <c r="Z73" s="397">
        <f t="shared" si="57"/>
        <v>0</v>
      </c>
      <c r="AA73" s="397">
        <f t="shared" si="57"/>
        <v>0</v>
      </c>
      <c r="AB73" s="397">
        <f t="shared" si="57"/>
        <v>7.3752678820384689</v>
      </c>
      <c r="AC73" s="397">
        <f t="shared" si="58"/>
        <v>7.3752678820384689</v>
      </c>
      <c r="AD73" s="397">
        <f t="shared" si="58"/>
        <v>7.3752678820384689</v>
      </c>
      <c r="AE73" s="397">
        <f t="shared" si="58"/>
        <v>7.3752678820384689</v>
      </c>
      <c r="AF73" s="397">
        <f t="shared" si="58"/>
        <v>7.3752678820384689</v>
      </c>
      <c r="AG73" s="397">
        <f t="shared" si="58"/>
        <v>7.3752678820384689</v>
      </c>
      <c r="AH73" s="397">
        <f t="shared" si="58"/>
        <v>7.3752678820384689</v>
      </c>
      <c r="AI73" s="397">
        <f t="shared" si="58"/>
        <v>7.3752678820384689</v>
      </c>
      <c r="AJ73" s="397">
        <f t="shared" si="58"/>
        <v>7.3752678820384689</v>
      </c>
      <c r="AK73" s="397">
        <f t="shared" si="58"/>
        <v>7.3752678820384689</v>
      </c>
      <c r="AL73" s="397">
        <f t="shared" si="58"/>
        <v>0</v>
      </c>
      <c r="AM73" s="397">
        <f t="shared" si="58"/>
        <v>0</v>
      </c>
      <c r="AN73" s="397">
        <f t="shared" si="58"/>
        <v>0</v>
      </c>
      <c r="AO73" s="397">
        <f t="shared" si="58"/>
        <v>0</v>
      </c>
      <c r="AP73" s="397">
        <f t="shared" si="58"/>
        <v>0</v>
      </c>
      <c r="AQ73" s="397">
        <f t="shared" si="58"/>
        <v>0</v>
      </c>
      <c r="AR73" s="397">
        <f t="shared" si="58"/>
        <v>0</v>
      </c>
      <c r="AS73" s="397">
        <f t="shared" si="56"/>
        <v>0</v>
      </c>
      <c r="AT73" s="397">
        <f t="shared" si="56"/>
        <v>0</v>
      </c>
      <c r="AU73" s="397">
        <f t="shared" si="56"/>
        <v>0</v>
      </c>
      <c r="AV73" s="397">
        <f t="shared" si="56"/>
        <v>0</v>
      </c>
      <c r="AW73" s="397">
        <f t="shared" si="56"/>
        <v>0</v>
      </c>
      <c r="AX73" s="397">
        <f t="shared" si="56"/>
        <v>0</v>
      </c>
      <c r="AY73" s="397">
        <f t="shared" si="56"/>
        <v>0</v>
      </c>
      <c r="AZ73" s="397">
        <f t="shared" si="56"/>
        <v>0</v>
      </c>
      <c r="BA73" s="397">
        <f t="shared" si="56"/>
        <v>0</v>
      </c>
    </row>
    <row r="74" spans="2:53">
      <c r="B74" s="398">
        <f t="shared" si="52"/>
        <v>2045</v>
      </c>
      <c r="C74" s="397">
        <f t="shared" si="59"/>
        <v>0</v>
      </c>
      <c r="D74" s="397">
        <f t="shared" si="59"/>
        <v>0</v>
      </c>
      <c r="E74" s="397">
        <f t="shared" si="59"/>
        <v>0</v>
      </c>
      <c r="F74" s="397">
        <f t="shared" si="59"/>
        <v>0</v>
      </c>
      <c r="G74" s="397">
        <f t="shared" si="59"/>
        <v>0</v>
      </c>
      <c r="H74" s="397">
        <f t="shared" si="59"/>
        <v>0</v>
      </c>
      <c r="I74" s="397">
        <f t="shared" si="59"/>
        <v>0</v>
      </c>
      <c r="J74" s="397">
        <f t="shared" si="59"/>
        <v>0</v>
      </c>
      <c r="K74" s="397">
        <f t="shared" si="59"/>
        <v>0</v>
      </c>
      <c r="L74" s="397">
        <f t="shared" si="59"/>
        <v>0</v>
      </c>
      <c r="M74" s="397">
        <f t="shared" si="59"/>
        <v>0</v>
      </c>
      <c r="N74" s="397">
        <f t="shared" si="59"/>
        <v>0</v>
      </c>
      <c r="O74" s="397">
        <f t="shared" si="59"/>
        <v>0</v>
      </c>
      <c r="P74" s="397">
        <f t="shared" si="59"/>
        <v>0</v>
      </c>
      <c r="Q74" s="397">
        <f t="shared" si="59"/>
        <v>0</v>
      </c>
      <c r="R74" s="397">
        <f t="shared" si="59"/>
        <v>0</v>
      </c>
      <c r="S74" s="397">
        <f t="shared" si="57"/>
        <v>0</v>
      </c>
      <c r="T74" s="397">
        <f t="shared" si="57"/>
        <v>0</v>
      </c>
      <c r="U74" s="397">
        <f t="shared" si="57"/>
        <v>0</v>
      </c>
      <c r="V74" s="397">
        <f t="shared" si="57"/>
        <v>0</v>
      </c>
      <c r="W74" s="397">
        <f t="shared" si="57"/>
        <v>0</v>
      </c>
      <c r="X74" s="397">
        <f t="shared" si="57"/>
        <v>0</v>
      </c>
      <c r="Y74" s="397">
        <f t="shared" si="57"/>
        <v>0</v>
      </c>
      <c r="Z74" s="397">
        <f t="shared" si="57"/>
        <v>0</v>
      </c>
      <c r="AA74" s="397">
        <f t="shared" si="57"/>
        <v>0</v>
      </c>
      <c r="AB74" s="397">
        <f t="shared" si="57"/>
        <v>0</v>
      </c>
      <c r="AC74" s="397">
        <f t="shared" si="58"/>
        <v>7.4575684905102966</v>
      </c>
      <c r="AD74" s="397">
        <f t="shared" si="58"/>
        <v>7.4575684905102966</v>
      </c>
      <c r="AE74" s="397">
        <f t="shared" si="58"/>
        <v>7.4575684905102966</v>
      </c>
      <c r="AF74" s="397">
        <f t="shared" si="58"/>
        <v>7.4575684905102966</v>
      </c>
      <c r="AG74" s="397">
        <f t="shared" si="58"/>
        <v>7.4575684905102966</v>
      </c>
      <c r="AH74" s="397">
        <f t="shared" si="58"/>
        <v>7.4575684905102966</v>
      </c>
      <c r="AI74" s="397">
        <f t="shared" si="58"/>
        <v>7.4575684905102966</v>
      </c>
      <c r="AJ74" s="397">
        <f t="shared" si="58"/>
        <v>7.4575684905102966</v>
      </c>
      <c r="AK74" s="397">
        <f t="shared" si="58"/>
        <v>7.4575684905102966</v>
      </c>
      <c r="AL74" s="397">
        <f t="shared" si="58"/>
        <v>7.4575684905102966</v>
      </c>
      <c r="AM74" s="397">
        <f t="shared" si="58"/>
        <v>0</v>
      </c>
      <c r="AN74" s="397">
        <f t="shared" si="58"/>
        <v>0</v>
      </c>
      <c r="AO74" s="397">
        <f t="shared" si="58"/>
        <v>0</v>
      </c>
      <c r="AP74" s="397">
        <f t="shared" si="58"/>
        <v>0</v>
      </c>
      <c r="AQ74" s="397">
        <f t="shared" si="58"/>
        <v>0</v>
      </c>
      <c r="AR74" s="397">
        <f t="shared" si="58"/>
        <v>0</v>
      </c>
      <c r="AS74" s="397">
        <f t="shared" si="56"/>
        <v>0</v>
      </c>
      <c r="AT74" s="397">
        <f t="shared" si="56"/>
        <v>0</v>
      </c>
      <c r="AU74" s="397">
        <f t="shared" si="56"/>
        <v>0</v>
      </c>
      <c r="AV74" s="397">
        <f t="shared" si="56"/>
        <v>0</v>
      </c>
      <c r="AW74" s="397">
        <f t="shared" si="56"/>
        <v>0</v>
      </c>
      <c r="AX74" s="397">
        <f t="shared" si="56"/>
        <v>0</v>
      </c>
      <c r="AY74" s="397">
        <f t="shared" si="56"/>
        <v>0</v>
      </c>
      <c r="AZ74" s="397">
        <f t="shared" si="56"/>
        <v>0</v>
      </c>
      <c r="BA74" s="397">
        <f t="shared" si="56"/>
        <v>0</v>
      </c>
    </row>
    <row r="75" spans="2:53">
      <c r="B75" s="398">
        <f t="shared" si="52"/>
        <v>2046</v>
      </c>
      <c r="C75" s="397">
        <f t="shared" si="59"/>
        <v>0</v>
      </c>
      <c r="D75" s="397">
        <f t="shared" si="59"/>
        <v>0</v>
      </c>
      <c r="E75" s="397">
        <f t="shared" si="59"/>
        <v>0</v>
      </c>
      <c r="F75" s="397">
        <f t="shared" si="59"/>
        <v>0</v>
      </c>
      <c r="G75" s="397">
        <f t="shared" si="59"/>
        <v>0</v>
      </c>
      <c r="H75" s="397">
        <f t="shared" si="59"/>
        <v>0</v>
      </c>
      <c r="I75" s="397">
        <f t="shared" si="59"/>
        <v>0</v>
      </c>
      <c r="J75" s="397">
        <f t="shared" si="59"/>
        <v>0</v>
      </c>
      <c r="K75" s="397">
        <f t="shared" si="59"/>
        <v>0</v>
      </c>
      <c r="L75" s="397">
        <f t="shared" si="59"/>
        <v>0</v>
      </c>
      <c r="M75" s="397">
        <f t="shared" si="59"/>
        <v>0</v>
      </c>
      <c r="N75" s="397">
        <f t="shared" si="59"/>
        <v>0</v>
      </c>
      <c r="O75" s="397">
        <f t="shared" si="59"/>
        <v>0</v>
      </c>
      <c r="P75" s="397">
        <f t="shared" si="59"/>
        <v>0</v>
      </c>
      <c r="Q75" s="397">
        <f t="shared" si="59"/>
        <v>0</v>
      </c>
      <c r="R75" s="397">
        <f t="shared" si="59"/>
        <v>0</v>
      </c>
      <c r="S75" s="397">
        <f t="shared" si="57"/>
        <v>0</v>
      </c>
      <c r="T75" s="397">
        <f t="shared" si="57"/>
        <v>0</v>
      </c>
      <c r="U75" s="397">
        <f t="shared" si="57"/>
        <v>0</v>
      </c>
      <c r="V75" s="397">
        <f t="shared" si="57"/>
        <v>0</v>
      </c>
      <c r="W75" s="397">
        <f t="shared" si="57"/>
        <v>0</v>
      </c>
      <c r="X75" s="397">
        <f t="shared" si="57"/>
        <v>0</v>
      </c>
      <c r="Y75" s="397">
        <f t="shared" si="57"/>
        <v>0</v>
      </c>
      <c r="Z75" s="397">
        <f t="shared" si="57"/>
        <v>0</v>
      </c>
      <c r="AA75" s="397">
        <f t="shared" si="57"/>
        <v>0</v>
      </c>
      <c r="AB75" s="397">
        <f t="shared" si="57"/>
        <v>0</v>
      </c>
      <c r="AC75" s="397">
        <f t="shared" si="58"/>
        <v>0</v>
      </c>
      <c r="AD75" s="397">
        <f t="shared" si="58"/>
        <v>7.5369786640133647</v>
      </c>
      <c r="AE75" s="397">
        <f t="shared" si="58"/>
        <v>7.5369786640133647</v>
      </c>
      <c r="AF75" s="397">
        <f t="shared" si="58"/>
        <v>7.5369786640133647</v>
      </c>
      <c r="AG75" s="397">
        <f t="shared" si="58"/>
        <v>7.5369786640133647</v>
      </c>
      <c r="AH75" s="397">
        <f t="shared" si="58"/>
        <v>7.5369786640133647</v>
      </c>
      <c r="AI75" s="397">
        <f t="shared" si="58"/>
        <v>7.5369786640133647</v>
      </c>
      <c r="AJ75" s="397">
        <f t="shared" si="58"/>
        <v>7.5369786640133647</v>
      </c>
      <c r="AK75" s="397">
        <f t="shared" si="58"/>
        <v>7.5369786640133647</v>
      </c>
      <c r="AL75" s="397">
        <f t="shared" si="58"/>
        <v>7.5369786640133647</v>
      </c>
      <c r="AM75" s="397">
        <f t="shared" si="58"/>
        <v>7.5369786640133647</v>
      </c>
      <c r="AN75" s="397">
        <f t="shared" si="58"/>
        <v>0</v>
      </c>
      <c r="AO75" s="397">
        <f t="shared" si="58"/>
        <v>0</v>
      </c>
      <c r="AP75" s="397">
        <f t="shared" si="58"/>
        <v>0</v>
      </c>
      <c r="AQ75" s="397">
        <f t="shared" si="58"/>
        <v>0</v>
      </c>
      <c r="AR75" s="397">
        <f t="shared" si="58"/>
        <v>0</v>
      </c>
      <c r="AS75" s="397">
        <f t="shared" si="56"/>
        <v>0</v>
      </c>
      <c r="AT75" s="397">
        <f t="shared" si="56"/>
        <v>0</v>
      </c>
      <c r="AU75" s="397">
        <f t="shared" si="56"/>
        <v>0</v>
      </c>
      <c r="AV75" s="397">
        <f t="shared" si="56"/>
        <v>0</v>
      </c>
      <c r="AW75" s="397">
        <f t="shared" si="56"/>
        <v>0</v>
      </c>
      <c r="AX75" s="397">
        <f t="shared" si="56"/>
        <v>0</v>
      </c>
      <c r="AY75" s="397">
        <f t="shared" si="56"/>
        <v>0</v>
      </c>
      <c r="AZ75" s="397">
        <f t="shared" si="56"/>
        <v>0</v>
      </c>
      <c r="BA75" s="397">
        <f t="shared" si="56"/>
        <v>0</v>
      </c>
    </row>
    <row r="76" spans="2:53">
      <c r="B76" s="398">
        <f t="shared" si="52"/>
        <v>2047</v>
      </c>
      <c r="C76" s="397">
        <f t="shared" si="59"/>
        <v>0</v>
      </c>
      <c r="D76" s="397">
        <f t="shared" si="59"/>
        <v>0</v>
      </c>
      <c r="E76" s="397">
        <f t="shared" si="59"/>
        <v>0</v>
      </c>
      <c r="F76" s="397">
        <f t="shared" si="59"/>
        <v>0</v>
      </c>
      <c r="G76" s="397">
        <f t="shared" si="59"/>
        <v>0</v>
      </c>
      <c r="H76" s="397">
        <f t="shared" si="59"/>
        <v>0</v>
      </c>
      <c r="I76" s="397">
        <f t="shared" si="59"/>
        <v>0</v>
      </c>
      <c r="J76" s="397">
        <f t="shared" si="59"/>
        <v>0</v>
      </c>
      <c r="K76" s="397">
        <f t="shared" si="59"/>
        <v>0</v>
      </c>
      <c r="L76" s="397">
        <f t="shared" si="59"/>
        <v>0</v>
      </c>
      <c r="M76" s="397">
        <f t="shared" si="59"/>
        <v>0</v>
      </c>
      <c r="N76" s="397">
        <f t="shared" si="59"/>
        <v>0</v>
      </c>
      <c r="O76" s="397">
        <f t="shared" si="59"/>
        <v>0</v>
      </c>
      <c r="P76" s="397">
        <f t="shared" si="59"/>
        <v>0</v>
      </c>
      <c r="Q76" s="397">
        <f t="shared" si="59"/>
        <v>0</v>
      </c>
      <c r="R76" s="397">
        <f t="shared" si="59"/>
        <v>0</v>
      </c>
      <c r="S76" s="397">
        <f t="shared" si="57"/>
        <v>0</v>
      </c>
      <c r="T76" s="397">
        <f t="shared" si="57"/>
        <v>0</v>
      </c>
      <c r="U76" s="397">
        <f t="shared" si="57"/>
        <v>0</v>
      </c>
      <c r="V76" s="397">
        <f t="shared" si="57"/>
        <v>0</v>
      </c>
      <c r="W76" s="397">
        <f t="shared" si="57"/>
        <v>0</v>
      </c>
      <c r="X76" s="397">
        <f t="shared" si="57"/>
        <v>0</v>
      </c>
      <c r="Y76" s="397">
        <f t="shared" si="57"/>
        <v>0</v>
      </c>
      <c r="Z76" s="397">
        <f t="shared" si="57"/>
        <v>0</v>
      </c>
      <c r="AA76" s="397">
        <f t="shared" si="57"/>
        <v>0</v>
      </c>
      <c r="AB76" s="397">
        <f t="shared" si="57"/>
        <v>0</v>
      </c>
      <c r="AC76" s="397">
        <f t="shared" si="58"/>
        <v>0</v>
      </c>
      <c r="AD76" s="397">
        <f t="shared" si="58"/>
        <v>0</v>
      </c>
      <c r="AE76" s="397">
        <f t="shared" si="58"/>
        <v>7.6131300359207374</v>
      </c>
      <c r="AF76" s="397">
        <f t="shared" si="58"/>
        <v>7.6131300359207374</v>
      </c>
      <c r="AG76" s="397">
        <f t="shared" si="58"/>
        <v>7.6131300359207374</v>
      </c>
      <c r="AH76" s="397">
        <f t="shared" si="58"/>
        <v>7.6131300359207374</v>
      </c>
      <c r="AI76" s="397">
        <f t="shared" si="58"/>
        <v>7.6131300359207374</v>
      </c>
      <c r="AJ76" s="397">
        <f t="shared" si="58"/>
        <v>7.6131300359207374</v>
      </c>
      <c r="AK76" s="397">
        <f t="shared" si="58"/>
        <v>7.6131300359207374</v>
      </c>
      <c r="AL76" s="397">
        <f t="shared" si="58"/>
        <v>7.6131300359207374</v>
      </c>
      <c r="AM76" s="397">
        <f t="shared" si="58"/>
        <v>7.6131300359207374</v>
      </c>
      <c r="AN76" s="397">
        <f t="shared" si="58"/>
        <v>7.6131300359207374</v>
      </c>
      <c r="AO76" s="397">
        <f t="shared" si="58"/>
        <v>0</v>
      </c>
      <c r="AP76" s="397">
        <f t="shared" si="58"/>
        <v>0</v>
      </c>
      <c r="AQ76" s="397">
        <f t="shared" si="58"/>
        <v>0</v>
      </c>
      <c r="AR76" s="397">
        <f t="shared" si="58"/>
        <v>0</v>
      </c>
      <c r="AS76" s="397">
        <f t="shared" si="56"/>
        <v>0</v>
      </c>
      <c r="AT76" s="397">
        <f t="shared" si="56"/>
        <v>0</v>
      </c>
      <c r="AU76" s="397">
        <f t="shared" si="56"/>
        <v>0</v>
      </c>
      <c r="AV76" s="397">
        <f t="shared" si="56"/>
        <v>0</v>
      </c>
      <c r="AW76" s="397">
        <f t="shared" si="56"/>
        <v>0</v>
      </c>
      <c r="AX76" s="397">
        <f t="shared" si="56"/>
        <v>0</v>
      </c>
      <c r="AY76" s="397">
        <f t="shared" si="56"/>
        <v>0</v>
      </c>
      <c r="AZ76" s="397">
        <f t="shared" si="56"/>
        <v>0</v>
      </c>
      <c r="BA76" s="397">
        <f t="shared" si="56"/>
        <v>0</v>
      </c>
    </row>
    <row r="77" spans="2:53">
      <c r="B77" s="398">
        <f t="shared" si="52"/>
        <v>2048</v>
      </c>
      <c r="C77" s="397">
        <f t="shared" si="59"/>
        <v>0</v>
      </c>
      <c r="D77" s="397">
        <f t="shared" si="59"/>
        <v>0</v>
      </c>
      <c r="E77" s="397">
        <f t="shared" si="59"/>
        <v>0</v>
      </c>
      <c r="F77" s="397">
        <f t="shared" si="59"/>
        <v>0</v>
      </c>
      <c r="G77" s="397">
        <f t="shared" si="59"/>
        <v>0</v>
      </c>
      <c r="H77" s="397">
        <f t="shared" si="59"/>
        <v>0</v>
      </c>
      <c r="I77" s="397">
        <f t="shared" si="59"/>
        <v>0</v>
      </c>
      <c r="J77" s="397">
        <f t="shared" si="59"/>
        <v>0</v>
      </c>
      <c r="K77" s="397">
        <f t="shared" si="59"/>
        <v>0</v>
      </c>
      <c r="L77" s="397">
        <f t="shared" si="59"/>
        <v>0</v>
      </c>
      <c r="M77" s="397">
        <f t="shared" si="59"/>
        <v>0</v>
      </c>
      <c r="N77" s="397">
        <f t="shared" si="59"/>
        <v>0</v>
      </c>
      <c r="O77" s="397">
        <f t="shared" si="59"/>
        <v>0</v>
      </c>
      <c r="P77" s="397">
        <f t="shared" si="59"/>
        <v>0</v>
      </c>
      <c r="Q77" s="397">
        <f t="shared" si="59"/>
        <v>0</v>
      </c>
      <c r="R77" s="397">
        <f t="shared" si="59"/>
        <v>0</v>
      </c>
      <c r="S77" s="397">
        <f t="shared" si="57"/>
        <v>0</v>
      </c>
      <c r="T77" s="397">
        <f t="shared" si="57"/>
        <v>0</v>
      </c>
      <c r="U77" s="397">
        <f t="shared" si="57"/>
        <v>0</v>
      </c>
      <c r="V77" s="397">
        <f t="shared" si="57"/>
        <v>0</v>
      </c>
      <c r="W77" s="397">
        <f t="shared" si="57"/>
        <v>0</v>
      </c>
      <c r="X77" s="397">
        <f t="shared" si="57"/>
        <v>0</v>
      </c>
      <c r="Y77" s="397">
        <f t="shared" si="57"/>
        <v>0</v>
      </c>
      <c r="Z77" s="397">
        <f t="shared" si="57"/>
        <v>0</v>
      </c>
      <c r="AA77" s="397">
        <f t="shared" si="57"/>
        <v>0</v>
      </c>
      <c r="AB77" s="397">
        <f t="shared" si="57"/>
        <v>0</v>
      </c>
      <c r="AC77" s="397">
        <f t="shared" si="58"/>
        <v>0</v>
      </c>
      <c r="AD77" s="397">
        <f t="shared" si="58"/>
        <v>0</v>
      </c>
      <c r="AE77" s="397">
        <f t="shared" si="58"/>
        <v>0</v>
      </c>
      <c r="AF77" s="397">
        <f t="shared" si="58"/>
        <v>7.6856937195779702</v>
      </c>
      <c r="AG77" s="397">
        <f t="shared" si="58"/>
        <v>7.6856937195779702</v>
      </c>
      <c r="AH77" s="397">
        <f t="shared" si="58"/>
        <v>7.6856937195779702</v>
      </c>
      <c r="AI77" s="397">
        <f t="shared" si="58"/>
        <v>7.6856937195779702</v>
      </c>
      <c r="AJ77" s="397">
        <f t="shared" si="58"/>
        <v>7.6856937195779702</v>
      </c>
      <c r="AK77" s="397">
        <f t="shared" si="58"/>
        <v>7.6856937195779702</v>
      </c>
      <c r="AL77" s="397">
        <f t="shared" si="58"/>
        <v>7.6856937195779702</v>
      </c>
      <c r="AM77" s="397">
        <f t="shared" si="58"/>
        <v>7.6856937195779702</v>
      </c>
      <c r="AN77" s="397">
        <f t="shared" si="58"/>
        <v>7.6856937195779702</v>
      </c>
      <c r="AO77" s="397">
        <f t="shared" si="58"/>
        <v>7.6856937195779702</v>
      </c>
      <c r="AP77" s="397">
        <f t="shared" si="58"/>
        <v>0</v>
      </c>
      <c r="AQ77" s="397">
        <f t="shared" si="58"/>
        <v>0</v>
      </c>
      <c r="AR77" s="397">
        <f t="shared" si="58"/>
        <v>0</v>
      </c>
      <c r="AS77" s="397">
        <f t="shared" si="56"/>
        <v>0</v>
      </c>
      <c r="AT77" s="397">
        <f t="shared" si="56"/>
        <v>0</v>
      </c>
      <c r="AU77" s="397">
        <f t="shared" si="56"/>
        <v>0</v>
      </c>
      <c r="AV77" s="397">
        <f t="shared" si="56"/>
        <v>0</v>
      </c>
      <c r="AW77" s="397">
        <f t="shared" si="56"/>
        <v>0</v>
      </c>
      <c r="AX77" s="397">
        <f t="shared" si="56"/>
        <v>0</v>
      </c>
      <c r="AY77" s="397">
        <f t="shared" si="56"/>
        <v>0</v>
      </c>
      <c r="AZ77" s="397">
        <f t="shared" si="56"/>
        <v>0</v>
      </c>
      <c r="BA77" s="397">
        <f t="shared" si="56"/>
        <v>0</v>
      </c>
    </row>
    <row r="78" spans="2:53">
      <c r="B78" s="398">
        <f t="shared" si="52"/>
        <v>2049</v>
      </c>
      <c r="C78" s="397">
        <f t="shared" si="59"/>
        <v>0</v>
      </c>
      <c r="D78" s="397">
        <f t="shared" si="59"/>
        <v>0</v>
      </c>
      <c r="E78" s="397">
        <f t="shared" si="59"/>
        <v>0</v>
      </c>
      <c r="F78" s="397">
        <f t="shared" si="59"/>
        <v>0</v>
      </c>
      <c r="G78" s="397">
        <f t="shared" si="59"/>
        <v>0</v>
      </c>
      <c r="H78" s="397">
        <f t="shared" si="59"/>
        <v>0</v>
      </c>
      <c r="I78" s="397">
        <f t="shared" si="59"/>
        <v>0</v>
      </c>
      <c r="J78" s="397">
        <f t="shared" si="59"/>
        <v>0</v>
      </c>
      <c r="K78" s="397">
        <f t="shared" si="59"/>
        <v>0</v>
      </c>
      <c r="L78" s="397">
        <f t="shared" si="59"/>
        <v>0</v>
      </c>
      <c r="M78" s="397">
        <f t="shared" si="59"/>
        <v>0</v>
      </c>
      <c r="N78" s="397">
        <f t="shared" si="59"/>
        <v>0</v>
      </c>
      <c r="O78" s="397">
        <f t="shared" si="59"/>
        <v>0</v>
      </c>
      <c r="P78" s="397">
        <f t="shared" si="59"/>
        <v>0</v>
      </c>
      <c r="Q78" s="397">
        <f t="shared" si="59"/>
        <v>0</v>
      </c>
      <c r="R78" s="397">
        <f t="shared" si="59"/>
        <v>0</v>
      </c>
      <c r="S78" s="397">
        <f t="shared" si="57"/>
        <v>0</v>
      </c>
      <c r="T78" s="397">
        <f t="shared" si="57"/>
        <v>0</v>
      </c>
      <c r="U78" s="397">
        <f t="shared" si="57"/>
        <v>0</v>
      </c>
      <c r="V78" s="397">
        <f t="shared" si="57"/>
        <v>0</v>
      </c>
      <c r="W78" s="397">
        <f t="shared" si="57"/>
        <v>0</v>
      </c>
      <c r="X78" s="397">
        <f t="shared" si="57"/>
        <v>0</v>
      </c>
      <c r="Y78" s="397">
        <f t="shared" si="57"/>
        <v>0</v>
      </c>
      <c r="Z78" s="397">
        <f t="shared" si="57"/>
        <v>0</v>
      </c>
      <c r="AA78" s="397">
        <f t="shared" si="57"/>
        <v>0</v>
      </c>
      <c r="AB78" s="397">
        <f t="shared" si="57"/>
        <v>0</v>
      </c>
      <c r="AC78" s="397">
        <f t="shared" si="58"/>
        <v>0</v>
      </c>
      <c r="AD78" s="397">
        <f t="shared" si="58"/>
        <v>0</v>
      </c>
      <c r="AE78" s="397">
        <f t="shared" si="58"/>
        <v>0</v>
      </c>
      <c r="AF78" s="397">
        <f t="shared" si="58"/>
        <v>0</v>
      </c>
      <c r="AG78" s="397">
        <f t="shared" si="58"/>
        <v>7.7550106851407028</v>
      </c>
      <c r="AH78" s="397">
        <f t="shared" si="58"/>
        <v>7.7550106851407028</v>
      </c>
      <c r="AI78" s="397">
        <f t="shared" si="58"/>
        <v>7.7550106851407028</v>
      </c>
      <c r="AJ78" s="397">
        <f t="shared" si="58"/>
        <v>7.7550106851407028</v>
      </c>
      <c r="AK78" s="397">
        <f t="shared" si="58"/>
        <v>7.7550106851407028</v>
      </c>
      <c r="AL78" s="397">
        <f t="shared" si="58"/>
        <v>7.7550106851407028</v>
      </c>
      <c r="AM78" s="397">
        <f t="shared" si="58"/>
        <v>7.7550106851407028</v>
      </c>
      <c r="AN78" s="397">
        <f t="shared" si="58"/>
        <v>7.7550106851407028</v>
      </c>
      <c r="AO78" s="397">
        <f t="shared" si="58"/>
        <v>7.7550106851407028</v>
      </c>
      <c r="AP78" s="397">
        <f t="shared" si="58"/>
        <v>7.7550106851407028</v>
      </c>
      <c r="AQ78" s="397">
        <f t="shared" si="58"/>
        <v>0</v>
      </c>
      <c r="AR78" s="397">
        <f t="shared" si="58"/>
        <v>0</v>
      </c>
      <c r="AS78" s="397">
        <f t="shared" si="56"/>
        <v>0</v>
      </c>
      <c r="AT78" s="397">
        <f t="shared" si="56"/>
        <v>0</v>
      </c>
      <c r="AU78" s="397">
        <f t="shared" si="56"/>
        <v>0</v>
      </c>
      <c r="AV78" s="397">
        <f t="shared" si="56"/>
        <v>0</v>
      </c>
      <c r="AW78" s="397">
        <f t="shared" si="56"/>
        <v>0</v>
      </c>
      <c r="AX78" s="397">
        <f t="shared" si="56"/>
        <v>0</v>
      </c>
      <c r="AY78" s="397">
        <f t="shared" si="56"/>
        <v>0</v>
      </c>
      <c r="AZ78" s="397">
        <f t="shared" si="56"/>
        <v>0</v>
      </c>
      <c r="BA78" s="397">
        <f t="shared" si="56"/>
        <v>0</v>
      </c>
    </row>
    <row r="79" spans="2:53">
      <c r="B79" s="398">
        <f t="shared" si="52"/>
        <v>2050</v>
      </c>
      <c r="C79" s="397">
        <f t="shared" si="59"/>
        <v>0</v>
      </c>
      <c r="D79" s="397">
        <f t="shared" si="59"/>
        <v>0</v>
      </c>
      <c r="E79" s="397">
        <f t="shared" si="59"/>
        <v>0</v>
      </c>
      <c r="F79" s="397">
        <f t="shared" si="59"/>
        <v>0</v>
      </c>
      <c r="G79" s="397">
        <f t="shared" si="59"/>
        <v>0</v>
      </c>
      <c r="H79" s="397">
        <f t="shared" si="59"/>
        <v>0</v>
      </c>
      <c r="I79" s="397">
        <f t="shared" si="59"/>
        <v>0</v>
      </c>
      <c r="J79" s="397">
        <f t="shared" si="59"/>
        <v>0</v>
      </c>
      <c r="K79" s="397">
        <f t="shared" si="59"/>
        <v>0</v>
      </c>
      <c r="L79" s="397">
        <f t="shared" si="59"/>
        <v>0</v>
      </c>
      <c r="M79" s="397">
        <f t="shared" si="59"/>
        <v>0</v>
      </c>
      <c r="N79" s="397">
        <f t="shared" si="59"/>
        <v>0</v>
      </c>
      <c r="O79" s="397">
        <f t="shared" si="59"/>
        <v>0</v>
      </c>
      <c r="P79" s="397">
        <f t="shared" si="59"/>
        <v>0</v>
      </c>
      <c r="Q79" s="397">
        <f t="shared" si="59"/>
        <v>0</v>
      </c>
      <c r="R79" s="397">
        <f t="shared" si="59"/>
        <v>0</v>
      </c>
      <c r="S79" s="397">
        <f t="shared" si="57"/>
        <v>0</v>
      </c>
      <c r="T79" s="397">
        <f t="shared" si="57"/>
        <v>0</v>
      </c>
      <c r="U79" s="397">
        <f t="shared" si="57"/>
        <v>0</v>
      </c>
      <c r="V79" s="397">
        <f t="shared" si="57"/>
        <v>0</v>
      </c>
      <c r="W79" s="397">
        <f t="shared" si="57"/>
        <v>0</v>
      </c>
      <c r="X79" s="397">
        <f t="shared" si="57"/>
        <v>0</v>
      </c>
      <c r="Y79" s="397">
        <f t="shared" si="57"/>
        <v>0</v>
      </c>
      <c r="Z79" s="397">
        <f t="shared" si="57"/>
        <v>0</v>
      </c>
      <c r="AA79" s="397">
        <f t="shared" si="57"/>
        <v>0</v>
      </c>
      <c r="AB79" s="397">
        <f t="shared" si="57"/>
        <v>0</v>
      </c>
      <c r="AC79" s="397">
        <f t="shared" si="58"/>
        <v>0</v>
      </c>
      <c r="AD79" s="397">
        <f t="shared" si="58"/>
        <v>0</v>
      </c>
      <c r="AE79" s="397">
        <f t="shared" si="58"/>
        <v>0</v>
      </c>
      <c r="AF79" s="397">
        <f t="shared" si="58"/>
        <v>0</v>
      </c>
      <c r="AG79" s="397">
        <f t="shared" si="58"/>
        <v>0</v>
      </c>
      <c r="AH79" s="397">
        <f t="shared" si="58"/>
        <v>7.8226659454869081</v>
      </c>
      <c r="AI79" s="397">
        <f t="shared" si="58"/>
        <v>7.8226659454869081</v>
      </c>
      <c r="AJ79" s="397">
        <f t="shared" si="58"/>
        <v>7.8226659454869081</v>
      </c>
      <c r="AK79" s="397">
        <f t="shared" si="58"/>
        <v>7.8226659454869081</v>
      </c>
      <c r="AL79" s="397">
        <f t="shared" si="58"/>
        <v>7.8226659454869081</v>
      </c>
      <c r="AM79" s="397">
        <f t="shared" si="58"/>
        <v>7.8226659454869081</v>
      </c>
      <c r="AN79" s="397">
        <f t="shared" si="58"/>
        <v>7.8226659454869081</v>
      </c>
      <c r="AO79" s="397">
        <f t="shared" si="58"/>
        <v>7.8226659454869081</v>
      </c>
      <c r="AP79" s="397">
        <f t="shared" si="58"/>
        <v>7.8226659454869081</v>
      </c>
      <c r="AQ79" s="397">
        <f t="shared" si="58"/>
        <v>7.8226659454869081</v>
      </c>
      <c r="AR79" s="397">
        <f t="shared" si="58"/>
        <v>0</v>
      </c>
      <c r="AS79" s="397">
        <f t="shared" si="56"/>
        <v>0</v>
      </c>
      <c r="AT79" s="397">
        <f t="shared" si="56"/>
        <v>0</v>
      </c>
      <c r="AU79" s="397">
        <f t="shared" si="56"/>
        <v>0</v>
      </c>
      <c r="AV79" s="397">
        <f t="shared" si="56"/>
        <v>0</v>
      </c>
      <c r="AW79" s="397">
        <f t="shared" si="56"/>
        <v>0</v>
      </c>
      <c r="AX79" s="397">
        <f t="shared" si="56"/>
        <v>0</v>
      </c>
      <c r="AY79" s="397">
        <f t="shared" si="56"/>
        <v>0</v>
      </c>
      <c r="AZ79" s="397">
        <f t="shared" si="56"/>
        <v>0</v>
      </c>
      <c r="BA79" s="397">
        <f t="shared" si="56"/>
        <v>0</v>
      </c>
    </row>
    <row r="80" spans="2:53">
      <c r="B80" s="398">
        <f t="shared" si="52"/>
        <v>2051</v>
      </c>
      <c r="C80" s="397">
        <f t="shared" si="59"/>
        <v>0</v>
      </c>
      <c r="D80" s="397">
        <f t="shared" si="59"/>
        <v>0</v>
      </c>
      <c r="E80" s="397">
        <f t="shared" si="59"/>
        <v>0</v>
      </c>
      <c r="F80" s="397">
        <f t="shared" si="59"/>
        <v>0</v>
      </c>
      <c r="G80" s="397">
        <f t="shared" si="59"/>
        <v>0</v>
      </c>
      <c r="H80" s="397">
        <f t="shared" si="59"/>
        <v>0</v>
      </c>
      <c r="I80" s="397">
        <f t="shared" si="59"/>
        <v>0</v>
      </c>
      <c r="J80" s="397">
        <f t="shared" si="59"/>
        <v>0</v>
      </c>
      <c r="K80" s="397">
        <f t="shared" si="59"/>
        <v>0</v>
      </c>
      <c r="L80" s="397">
        <f t="shared" si="59"/>
        <v>0</v>
      </c>
      <c r="M80" s="397">
        <f t="shared" si="59"/>
        <v>0</v>
      </c>
      <c r="N80" s="397">
        <f t="shared" si="59"/>
        <v>0</v>
      </c>
      <c r="O80" s="397">
        <f t="shared" si="59"/>
        <v>0</v>
      </c>
      <c r="P80" s="397">
        <f t="shared" si="59"/>
        <v>0</v>
      </c>
      <c r="Q80" s="397">
        <f t="shared" si="59"/>
        <v>0</v>
      </c>
      <c r="R80" s="397">
        <f t="shared" si="59"/>
        <v>0</v>
      </c>
      <c r="S80" s="397">
        <f t="shared" si="57"/>
        <v>0</v>
      </c>
      <c r="T80" s="397">
        <f t="shared" si="57"/>
        <v>0</v>
      </c>
      <c r="U80" s="397">
        <f t="shared" si="57"/>
        <v>0</v>
      </c>
      <c r="V80" s="397">
        <f t="shared" si="57"/>
        <v>0</v>
      </c>
      <c r="W80" s="397">
        <f t="shared" si="57"/>
        <v>0</v>
      </c>
      <c r="X80" s="397">
        <f t="shared" si="57"/>
        <v>0</v>
      </c>
      <c r="Y80" s="397">
        <f t="shared" si="57"/>
        <v>0</v>
      </c>
      <c r="Z80" s="397">
        <f t="shared" si="57"/>
        <v>0</v>
      </c>
      <c r="AA80" s="397">
        <f t="shared" si="57"/>
        <v>0</v>
      </c>
      <c r="AB80" s="397">
        <f t="shared" si="57"/>
        <v>0</v>
      </c>
      <c r="AC80" s="397">
        <f t="shared" si="58"/>
        <v>0</v>
      </c>
      <c r="AD80" s="397">
        <f t="shared" si="58"/>
        <v>0</v>
      </c>
      <c r="AE80" s="397">
        <f t="shared" si="58"/>
        <v>0</v>
      </c>
      <c r="AF80" s="397">
        <f t="shared" si="58"/>
        <v>0</v>
      </c>
      <c r="AG80" s="397">
        <f t="shared" si="58"/>
        <v>0</v>
      </c>
      <c r="AH80" s="397">
        <f t="shared" si="58"/>
        <v>0</v>
      </c>
      <c r="AI80" s="397">
        <f t="shared" si="58"/>
        <v>7.8888093049261157</v>
      </c>
      <c r="AJ80" s="397">
        <f t="shared" si="58"/>
        <v>7.8888093049261157</v>
      </c>
      <c r="AK80" s="397">
        <f t="shared" si="58"/>
        <v>7.8888093049261157</v>
      </c>
      <c r="AL80" s="397">
        <f t="shared" si="58"/>
        <v>7.8888093049261157</v>
      </c>
      <c r="AM80" s="397">
        <f t="shared" si="58"/>
        <v>7.8888093049261157</v>
      </c>
      <c r="AN80" s="397">
        <f t="shared" si="58"/>
        <v>7.8888093049261157</v>
      </c>
      <c r="AO80" s="397">
        <f t="shared" si="58"/>
        <v>7.8888093049261157</v>
      </c>
      <c r="AP80" s="397">
        <f t="shared" si="58"/>
        <v>7.8888093049261157</v>
      </c>
      <c r="AQ80" s="397">
        <f t="shared" si="58"/>
        <v>7.8888093049261157</v>
      </c>
      <c r="AR80" s="397">
        <f t="shared" si="58"/>
        <v>7.8888093049261157</v>
      </c>
      <c r="AS80" s="397">
        <f t="shared" si="56"/>
        <v>0</v>
      </c>
      <c r="AT80" s="397">
        <f t="shared" si="56"/>
        <v>0</v>
      </c>
      <c r="AU80" s="397">
        <f t="shared" si="56"/>
        <v>0</v>
      </c>
      <c r="AV80" s="397">
        <f t="shared" si="56"/>
        <v>0</v>
      </c>
      <c r="AW80" s="397">
        <f t="shared" si="56"/>
        <v>0</v>
      </c>
      <c r="AX80" s="397">
        <f t="shared" si="56"/>
        <v>0</v>
      </c>
      <c r="AY80" s="397">
        <f t="shared" si="56"/>
        <v>0</v>
      </c>
      <c r="AZ80" s="397">
        <f t="shared" si="56"/>
        <v>0</v>
      </c>
      <c r="BA80" s="397">
        <f t="shared" si="56"/>
        <v>0</v>
      </c>
    </row>
    <row r="81" spans="2:53">
      <c r="B81" s="398">
        <f t="shared" si="52"/>
        <v>2052</v>
      </c>
      <c r="C81" s="397">
        <f t="shared" si="59"/>
        <v>0</v>
      </c>
      <c r="D81" s="397">
        <f t="shared" si="59"/>
        <v>0</v>
      </c>
      <c r="E81" s="397">
        <f t="shared" si="59"/>
        <v>0</v>
      </c>
      <c r="F81" s="397">
        <f t="shared" si="59"/>
        <v>0</v>
      </c>
      <c r="G81" s="397">
        <f t="shared" si="59"/>
        <v>0</v>
      </c>
      <c r="H81" s="397">
        <f t="shared" si="59"/>
        <v>0</v>
      </c>
      <c r="I81" s="397">
        <f t="shared" si="59"/>
        <v>0</v>
      </c>
      <c r="J81" s="397">
        <f t="shared" si="59"/>
        <v>0</v>
      </c>
      <c r="K81" s="397">
        <f t="shared" si="59"/>
        <v>0</v>
      </c>
      <c r="L81" s="397">
        <f t="shared" si="59"/>
        <v>0</v>
      </c>
      <c r="M81" s="397">
        <f t="shared" si="59"/>
        <v>0</v>
      </c>
      <c r="N81" s="397">
        <f t="shared" si="59"/>
        <v>0</v>
      </c>
      <c r="O81" s="397">
        <f t="shared" si="59"/>
        <v>0</v>
      </c>
      <c r="P81" s="397">
        <f t="shared" si="59"/>
        <v>0</v>
      </c>
      <c r="Q81" s="397">
        <f t="shared" si="59"/>
        <v>0</v>
      </c>
      <c r="R81" s="397">
        <f t="shared" si="59"/>
        <v>0</v>
      </c>
      <c r="S81" s="397">
        <f t="shared" si="57"/>
        <v>0</v>
      </c>
      <c r="T81" s="397">
        <f t="shared" si="57"/>
        <v>0</v>
      </c>
      <c r="U81" s="397">
        <f t="shared" si="57"/>
        <v>0</v>
      </c>
      <c r="V81" s="397">
        <f t="shared" si="57"/>
        <v>0</v>
      </c>
      <c r="W81" s="397">
        <f t="shared" si="57"/>
        <v>0</v>
      </c>
      <c r="X81" s="397">
        <f t="shared" si="57"/>
        <v>0</v>
      </c>
      <c r="Y81" s="397">
        <f t="shared" si="57"/>
        <v>0</v>
      </c>
      <c r="Z81" s="397">
        <f t="shared" si="57"/>
        <v>0</v>
      </c>
      <c r="AA81" s="397">
        <f t="shared" si="57"/>
        <v>0</v>
      </c>
      <c r="AB81" s="397">
        <f t="shared" si="57"/>
        <v>0</v>
      </c>
      <c r="AC81" s="397">
        <f t="shared" si="58"/>
        <v>0</v>
      </c>
      <c r="AD81" s="397">
        <f t="shared" si="58"/>
        <v>0</v>
      </c>
      <c r="AE81" s="397">
        <f t="shared" si="58"/>
        <v>0</v>
      </c>
      <c r="AF81" s="397">
        <f t="shared" si="58"/>
        <v>0</v>
      </c>
      <c r="AG81" s="397">
        <f t="shared" si="58"/>
        <v>0</v>
      </c>
      <c r="AH81" s="397">
        <f t="shared" si="58"/>
        <v>0</v>
      </c>
      <c r="AI81" s="397">
        <f t="shared" si="58"/>
        <v>0</v>
      </c>
      <c r="AJ81" s="397">
        <f t="shared" si="58"/>
        <v>7.9540041641320141</v>
      </c>
      <c r="AK81" s="397">
        <f t="shared" si="58"/>
        <v>7.9540041641320141</v>
      </c>
      <c r="AL81" s="397">
        <f t="shared" si="58"/>
        <v>7.9540041641320141</v>
      </c>
      <c r="AM81" s="397">
        <f t="shared" si="58"/>
        <v>7.9540041641320141</v>
      </c>
      <c r="AN81" s="397">
        <f t="shared" si="58"/>
        <v>7.9540041641320141</v>
      </c>
      <c r="AO81" s="397">
        <f t="shared" si="58"/>
        <v>7.9540041641320141</v>
      </c>
      <c r="AP81" s="397">
        <f t="shared" si="58"/>
        <v>7.9540041641320141</v>
      </c>
      <c r="AQ81" s="397">
        <f t="shared" si="58"/>
        <v>7.9540041641320141</v>
      </c>
      <c r="AR81" s="397">
        <f t="shared" si="58"/>
        <v>7.9540041641320141</v>
      </c>
      <c r="AS81" s="397">
        <f t="shared" si="56"/>
        <v>7.9540041641320141</v>
      </c>
      <c r="AT81" s="397">
        <f t="shared" si="56"/>
        <v>0</v>
      </c>
      <c r="AU81" s="397">
        <f t="shared" si="56"/>
        <v>0</v>
      </c>
      <c r="AV81" s="397">
        <f t="shared" si="56"/>
        <v>0</v>
      </c>
      <c r="AW81" s="397">
        <f t="shared" si="56"/>
        <v>0</v>
      </c>
      <c r="AX81" s="397">
        <f t="shared" si="56"/>
        <v>0</v>
      </c>
      <c r="AY81" s="397">
        <f t="shared" si="56"/>
        <v>0</v>
      </c>
      <c r="AZ81" s="397">
        <f t="shared" si="56"/>
        <v>0</v>
      </c>
      <c r="BA81" s="397">
        <f t="shared" si="56"/>
        <v>0</v>
      </c>
    </row>
    <row r="82" spans="2:53">
      <c r="B82" s="398">
        <f t="shared" si="52"/>
        <v>2053</v>
      </c>
      <c r="C82" s="397">
        <f t="shared" si="59"/>
        <v>0</v>
      </c>
      <c r="D82" s="397">
        <f t="shared" si="59"/>
        <v>0</v>
      </c>
      <c r="E82" s="397">
        <f t="shared" si="59"/>
        <v>0</v>
      </c>
      <c r="F82" s="397">
        <f t="shared" si="59"/>
        <v>0</v>
      </c>
      <c r="G82" s="397">
        <f t="shared" si="59"/>
        <v>0</v>
      </c>
      <c r="H82" s="397">
        <f t="shared" si="59"/>
        <v>0</v>
      </c>
      <c r="I82" s="397">
        <f t="shared" si="59"/>
        <v>0</v>
      </c>
      <c r="J82" s="397">
        <f t="shared" si="59"/>
        <v>0</v>
      </c>
      <c r="K82" s="397">
        <f t="shared" si="59"/>
        <v>0</v>
      </c>
      <c r="L82" s="397">
        <f t="shared" si="59"/>
        <v>0</v>
      </c>
      <c r="M82" s="397">
        <f t="shared" si="59"/>
        <v>0</v>
      </c>
      <c r="N82" s="397">
        <f t="shared" si="59"/>
        <v>0</v>
      </c>
      <c r="O82" s="397">
        <f t="shared" si="59"/>
        <v>0</v>
      </c>
      <c r="P82" s="397">
        <f t="shared" si="59"/>
        <v>0</v>
      </c>
      <c r="Q82" s="397">
        <f t="shared" si="59"/>
        <v>0</v>
      </c>
      <c r="R82" s="397">
        <f t="shared" si="59"/>
        <v>0</v>
      </c>
      <c r="S82" s="397">
        <f t="shared" si="57"/>
        <v>0</v>
      </c>
      <c r="T82" s="397">
        <f t="shared" si="57"/>
        <v>0</v>
      </c>
      <c r="U82" s="397">
        <f t="shared" si="57"/>
        <v>0</v>
      </c>
      <c r="V82" s="397">
        <f t="shared" si="57"/>
        <v>0</v>
      </c>
      <c r="W82" s="397">
        <f t="shared" si="57"/>
        <v>0</v>
      </c>
      <c r="X82" s="397">
        <f t="shared" si="57"/>
        <v>0</v>
      </c>
      <c r="Y82" s="397">
        <f t="shared" si="57"/>
        <v>0</v>
      </c>
      <c r="Z82" s="397">
        <f t="shared" si="57"/>
        <v>0</v>
      </c>
      <c r="AA82" s="397">
        <f t="shared" si="57"/>
        <v>0</v>
      </c>
      <c r="AB82" s="397">
        <f t="shared" si="57"/>
        <v>0</v>
      </c>
      <c r="AC82" s="397">
        <f t="shared" si="58"/>
        <v>0</v>
      </c>
      <c r="AD82" s="397">
        <f t="shared" si="58"/>
        <v>0</v>
      </c>
      <c r="AE82" s="397">
        <f t="shared" si="58"/>
        <v>0</v>
      </c>
      <c r="AF82" s="397">
        <f t="shared" si="58"/>
        <v>0</v>
      </c>
      <c r="AG82" s="397">
        <f t="shared" si="58"/>
        <v>0</v>
      </c>
      <c r="AH82" s="397">
        <f t="shared" si="58"/>
        <v>0</v>
      </c>
      <c r="AI82" s="397">
        <f t="shared" si="58"/>
        <v>0</v>
      </c>
      <c r="AJ82" s="397">
        <f t="shared" si="58"/>
        <v>0</v>
      </c>
      <c r="AK82" s="397">
        <f t="shared" si="58"/>
        <v>8.016467353527327</v>
      </c>
      <c r="AL82" s="397">
        <f t="shared" si="58"/>
        <v>8.016467353527327</v>
      </c>
      <c r="AM82" s="397">
        <f t="shared" si="58"/>
        <v>8.016467353527327</v>
      </c>
      <c r="AN82" s="397">
        <f t="shared" si="58"/>
        <v>8.016467353527327</v>
      </c>
      <c r="AO82" s="397">
        <f t="shared" si="58"/>
        <v>8.016467353527327</v>
      </c>
      <c r="AP82" s="397">
        <f t="shared" si="58"/>
        <v>8.016467353527327</v>
      </c>
      <c r="AQ82" s="397">
        <f t="shared" si="58"/>
        <v>8.016467353527327</v>
      </c>
      <c r="AR82" s="397">
        <f t="shared" si="58"/>
        <v>8.016467353527327</v>
      </c>
      <c r="AS82" s="397">
        <f t="shared" si="56"/>
        <v>8.016467353527327</v>
      </c>
      <c r="AT82" s="397">
        <f t="shared" si="56"/>
        <v>8.016467353527327</v>
      </c>
      <c r="AU82" s="397">
        <f t="shared" si="56"/>
        <v>0</v>
      </c>
      <c r="AV82" s="397">
        <f t="shared" si="56"/>
        <v>0</v>
      </c>
      <c r="AW82" s="397">
        <f t="shared" si="56"/>
        <v>0</v>
      </c>
      <c r="AX82" s="397">
        <f t="shared" si="56"/>
        <v>0</v>
      </c>
      <c r="AY82" s="397">
        <f t="shared" si="56"/>
        <v>0</v>
      </c>
      <c r="AZ82" s="397">
        <f t="shared" si="56"/>
        <v>0</v>
      </c>
      <c r="BA82" s="397">
        <f t="shared" si="56"/>
        <v>0</v>
      </c>
    </row>
    <row r="83" spans="2:53">
      <c r="B83" s="398">
        <f t="shared" si="52"/>
        <v>2054</v>
      </c>
      <c r="C83" s="397">
        <f t="shared" si="59"/>
        <v>0</v>
      </c>
      <c r="D83" s="397">
        <f t="shared" si="59"/>
        <v>0</v>
      </c>
      <c r="E83" s="397">
        <f t="shared" si="59"/>
        <v>0</v>
      </c>
      <c r="F83" s="397">
        <f t="shared" si="59"/>
        <v>0</v>
      </c>
      <c r="G83" s="397">
        <f t="shared" si="59"/>
        <v>0</v>
      </c>
      <c r="H83" s="397">
        <f t="shared" si="59"/>
        <v>0</v>
      </c>
      <c r="I83" s="397">
        <f t="shared" si="59"/>
        <v>0</v>
      </c>
      <c r="J83" s="397">
        <f t="shared" si="59"/>
        <v>0</v>
      </c>
      <c r="K83" s="397">
        <f t="shared" si="59"/>
        <v>0</v>
      </c>
      <c r="L83" s="397">
        <f t="shared" si="59"/>
        <v>0</v>
      </c>
      <c r="M83" s="397">
        <f t="shared" si="59"/>
        <v>0</v>
      </c>
      <c r="N83" s="397">
        <f t="shared" si="59"/>
        <v>0</v>
      </c>
      <c r="O83" s="397">
        <f t="shared" si="59"/>
        <v>0</v>
      </c>
      <c r="P83" s="397">
        <f t="shared" si="59"/>
        <v>0</v>
      </c>
      <c r="Q83" s="397">
        <f t="shared" si="59"/>
        <v>0</v>
      </c>
      <c r="R83" s="397">
        <f t="shared" si="59"/>
        <v>0</v>
      </c>
      <c r="S83" s="397">
        <f t="shared" si="57"/>
        <v>0</v>
      </c>
      <c r="T83" s="397">
        <f t="shared" si="57"/>
        <v>0</v>
      </c>
      <c r="U83" s="397">
        <f t="shared" si="57"/>
        <v>0</v>
      </c>
      <c r="V83" s="397">
        <f t="shared" si="57"/>
        <v>0</v>
      </c>
      <c r="W83" s="397">
        <f t="shared" si="57"/>
        <v>0</v>
      </c>
      <c r="X83" s="397">
        <f t="shared" si="57"/>
        <v>0</v>
      </c>
      <c r="Y83" s="397">
        <f t="shared" si="57"/>
        <v>0</v>
      </c>
      <c r="Z83" s="397">
        <f t="shared" si="57"/>
        <v>0</v>
      </c>
      <c r="AA83" s="397">
        <f t="shared" si="57"/>
        <v>0</v>
      </c>
      <c r="AB83" s="397">
        <f t="shared" si="57"/>
        <v>0</v>
      </c>
      <c r="AC83" s="397">
        <f t="shared" si="58"/>
        <v>0</v>
      </c>
      <c r="AD83" s="397">
        <f t="shared" si="58"/>
        <v>0</v>
      </c>
      <c r="AE83" s="397">
        <f t="shared" si="58"/>
        <v>0</v>
      </c>
      <c r="AF83" s="397">
        <f t="shared" si="58"/>
        <v>0</v>
      </c>
      <c r="AG83" s="397">
        <f t="shared" si="58"/>
        <v>0</v>
      </c>
      <c r="AH83" s="397">
        <f t="shared" si="58"/>
        <v>0</v>
      </c>
      <c r="AI83" s="397">
        <f t="shared" si="58"/>
        <v>0</v>
      </c>
      <c r="AJ83" s="397">
        <f t="shared" si="58"/>
        <v>0</v>
      </c>
      <c r="AK83" s="397">
        <f t="shared" si="58"/>
        <v>0</v>
      </c>
      <c r="AL83" s="397">
        <f t="shared" si="58"/>
        <v>8.0748796528809219</v>
      </c>
      <c r="AM83" s="397">
        <f t="shared" si="58"/>
        <v>8.0748796528809219</v>
      </c>
      <c r="AN83" s="397">
        <f t="shared" si="58"/>
        <v>8.0748796528809219</v>
      </c>
      <c r="AO83" s="397">
        <f t="shared" si="58"/>
        <v>8.0748796528809219</v>
      </c>
      <c r="AP83" s="397">
        <f t="shared" si="58"/>
        <v>8.0748796528809219</v>
      </c>
      <c r="AQ83" s="397">
        <f t="shared" si="58"/>
        <v>8.0748796528809219</v>
      </c>
      <c r="AR83" s="397">
        <f t="shared" si="58"/>
        <v>8.0748796528809219</v>
      </c>
      <c r="AS83" s="397">
        <f t="shared" si="56"/>
        <v>8.0748796528809219</v>
      </c>
      <c r="AT83" s="397">
        <f t="shared" si="56"/>
        <v>8.0748796528809219</v>
      </c>
      <c r="AU83" s="397">
        <f t="shared" si="56"/>
        <v>8.0748796528809219</v>
      </c>
      <c r="AV83" s="397">
        <f t="shared" si="56"/>
        <v>0</v>
      </c>
      <c r="AW83" s="397">
        <f t="shared" si="56"/>
        <v>0</v>
      </c>
      <c r="AX83" s="397">
        <f t="shared" si="56"/>
        <v>0</v>
      </c>
      <c r="AY83" s="397">
        <f t="shared" si="56"/>
        <v>0</v>
      </c>
      <c r="AZ83" s="397">
        <f t="shared" si="56"/>
        <v>0</v>
      </c>
      <c r="BA83" s="397">
        <f t="shared" si="56"/>
        <v>0</v>
      </c>
    </row>
    <row r="84" spans="2:53">
      <c r="B84" s="398">
        <f t="shared" si="52"/>
        <v>2055</v>
      </c>
      <c r="C84" s="397">
        <f t="shared" si="59"/>
        <v>0</v>
      </c>
      <c r="D84" s="397">
        <f t="shared" si="59"/>
        <v>0</v>
      </c>
      <c r="E84" s="397">
        <f t="shared" si="59"/>
        <v>0</v>
      </c>
      <c r="F84" s="397">
        <f t="shared" si="59"/>
        <v>0</v>
      </c>
      <c r="G84" s="397">
        <f t="shared" si="59"/>
        <v>0</v>
      </c>
      <c r="H84" s="397">
        <f t="shared" si="59"/>
        <v>0</v>
      </c>
      <c r="I84" s="397">
        <f t="shared" si="59"/>
        <v>0</v>
      </c>
      <c r="J84" s="397">
        <f t="shared" si="59"/>
        <v>0</v>
      </c>
      <c r="K84" s="397">
        <f t="shared" si="59"/>
        <v>0</v>
      </c>
      <c r="L84" s="397">
        <f t="shared" si="59"/>
        <v>0</v>
      </c>
      <c r="M84" s="397">
        <f t="shared" si="59"/>
        <v>0</v>
      </c>
      <c r="N84" s="397">
        <f t="shared" si="59"/>
        <v>0</v>
      </c>
      <c r="O84" s="397">
        <f t="shared" si="59"/>
        <v>0</v>
      </c>
      <c r="P84" s="397">
        <f t="shared" si="59"/>
        <v>0</v>
      </c>
      <c r="Q84" s="397">
        <f t="shared" si="59"/>
        <v>0</v>
      </c>
      <c r="R84" s="397">
        <f t="shared" si="59"/>
        <v>0</v>
      </c>
      <c r="S84" s="397">
        <f t="shared" si="57"/>
        <v>0</v>
      </c>
      <c r="T84" s="397">
        <f t="shared" si="57"/>
        <v>0</v>
      </c>
      <c r="U84" s="397">
        <f t="shared" si="57"/>
        <v>0</v>
      </c>
      <c r="V84" s="397">
        <f t="shared" si="57"/>
        <v>0</v>
      </c>
      <c r="W84" s="397">
        <f t="shared" si="57"/>
        <v>0</v>
      </c>
      <c r="X84" s="397">
        <f t="shared" si="57"/>
        <v>0</v>
      </c>
      <c r="Y84" s="397">
        <f t="shared" si="57"/>
        <v>0</v>
      </c>
      <c r="Z84" s="397">
        <f t="shared" si="57"/>
        <v>0</v>
      </c>
      <c r="AA84" s="397">
        <f t="shared" si="57"/>
        <v>0</v>
      </c>
      <c r="AB84" s="397">
        <f t="shared" si="57"/>
        <v>0</v>
      </c>
      <c r="AC84" s="397">
        <f t="shared" si="58"/>
        <v>0</v>
      </c>
      <c r="AD84" s="397">
        <f t="shared" si="58"/>
        <v>0</v>
      </c>
      <c r="AE84" s="397">
        <f t="shared" si="58"/>
        <v>0</v>
      </c>
      <c r="AF84" s="397">
        <f t="shared" si="58"/>
        <v>0</v>
      </c>
      <c r="AG84" s="397">
        <f t="shared" si="58"/>
        <v>0</v>
      </c>
      <c r="AH84" s="397">
        <f t="shared" si="58"/>
        <v>0</v>
      </c>
      <c r="AI84" s="397">
        <f t="shared" si="58"/>
        <v>0</v>
      </c>
      <c r="AJ84" s="397">
        <f t="shared" si="58"/>
        <v>0</v>
      </c>
      <c r="AK84" s="397">
        <f t="shared" si="58"/>
        <v>0</v>
      </c>
      <c r="AL84" s="397">
        <f t="shared" si="58"/>
        <v>0</v>
      </c>
      <c r="AM84" s="397">
        <f t="shared" si="58"/>
        <v>8.1283810088838404</v>
      </c>
      <c r="AN84" s="397">
        <f t="shared" si="58"/>
        <v>8.1283810088838404</v>
      </c>
      <c r="AO84" s="397">
        <f t="shared" si="58"/>
        <v>8.1283810088838404</v>
      </c>
      <c r="AP84" s="397">
        <f t="shared" si="58"/>
        <v>8.1283810088838404</v>
      </c>
      <c r="AQ84" s="397">
        <f t="shared" si="58"/>
        <v>8.1283810088838404</v>
      </c>
      <c r="AR84" s="397">
        <f t="shared" si="58"/>
        <v>8.1283810088838404</v>
      </c>
      <c r="AS84" s="397">
        <f t="shared" si="56"/>
        <v>8.1283810088838404</v>
      </c>
      <c r="AT84" s="397">
        <f t="shared" si="56"/>
        <v>8.1283810088838404</v>
      </c>
      <c r="AU84" s="397">
        <f t="shared" si="56"/>
        <v>8.1283810088838404</v>
      </c>
      <c r="AV84" s="397">
        <f t="shared" si="56"/>
        <v>8.1283810088838404</v>
      </c>
      <c r="AW84" s="397">
        <f t="shared" si="56"/>
        <v>0</v>
      </c>
      <c r="AX84" s="397">
        <f t="shared" si="56"/>
        <v>0</v>
      </c>
      <c r="AY84" s="397">
        <f t="shared" si="56"/>
        <v>0</v>
      </c>
      <c r="AZ84" s="397">
        <f t="shared" si="56"/>
        <v>0</v>
      </c>
      <c r="BA84" s="397">
        <f t="shared" si="56"/>
        <v>0</v>
      </c>
    </row>
    <row r="85" spans="2:53">
      <c r="B85" s="398">
        <f t="shared" si="52"/>
        <v>2056</v>
      </c>
      <c r="C85" s="397">
        <f t="shared" si="59"/>
        <v>0</v>
      </c>
      <c r="D85" s="397">
        <f t="shared" si="59"/>
        <v>0</v>
      </c>
      <c r="E85" s="397">
        <f t="shared" si="59"/>
        <v>0</v>
      </c>
      <c r="F85" s="397">
        <f t="shared" si="59"/>
        <v>0</v>
      </c>
      <c r="G85" s="397">
        <f t="shared" si="59"/>
        <v>0</v>
      </c>
      <c r="H85" s="397">
        <f t="shared" si="59"/>
        <v>0</v>
      </c>
      <c r="I85" s="397">
        <f t="shared" si="59"/>
        <v>0</v>
      </c>
      <c r="J85" s="397">
        <f t="shared" si="59"/>
        <v>0</v>
      </c>
      <c r="K85" s="397">
        <f t="shared" si="59"/>
        <v>0</v>
      </c>
      <c r="L85" s="397">
        <f t="shared" si="59"/>
        <v>0</v>
      </c>
      <c r="M85" s="397">
        <f t="shared" si="59"/>
        <v>0</v>
      </c>
      <c r="N85" s="397">
        <f t="shared" si="59"/>
        <v>0</v>
      </c>
      <c r="O85" s="397">
        <f t="shared" si="59"/>
        <v>0</v>
      </c>
      <c r="P85" s="397">
        <f t="shared" si="59"/>
        <v>0</v>
      </c>
      <c r="Q85" s="397">
        <f t="shared" si="59"/>
        <v>0</v>
      </c>
      <c r="R85" s="397">
        <f t="shared" si="59"/>
        <v>0</v>
      </c>
      <c r="S85" s="397">
        <f t="shared" si="57"/>
        <v>0</v>
      </c>
      <c r="T85" s="397">
        <f t="shared" si="57"/>
        <v>0</v>
      </c>
      <c r="U85" s="397">
        <f t="shared" si="57"/>
        <v>0</v>
      </c>
      <c r="V85" s="397">
        <f t="shared" si="57"/>
        <v>0</v>
      </c>
      <c r="W85" s="397">
        <f t="shared" si="57"/>
        <v>0</v>
      </c>
      <c r="X85" s="397">
        <f t="shared" si="57"/>
        <v>0</v>
      </c>
      <c r="Y85" s="397">
        <f t="shared" si="57"/>
        <v>0</v>
      </c>
      <c r="Z85" s="397">
        <f t="shared" si="57"/>
        <v>0</v>
      </c>
      <c r="AA85" s="397">
        <f t="shared" si="57"/>
        <v>0</v>
      </c>
      <c r="AB85" s="397">
        <f t="shared" si="57"/>
        <v>0</v>
      </c>
      <c r="AC85" s="397">
        <f t="shared" si="58"/>
        <v>0</v>
      </c>
      <c r="AD85" s="397">
        <f t="shared" si="58"/>
        <v>0</v>
      </c>
      <c r="AE85" s="397">
        <f t="shared" si="58"/>
        <v>0</v>
      </c>
      <c r="AF85" s="397">
        <f t="shared" si="58"/>
        <v>0</v>
      </c>
      <c r="AG85" s="397">
        <f t="shared" si="58"/>
        <v>0</v>
      </c>
      <c r="AH85" s="397">
        <f t="shared" si="58"/>
        <v>0</v>
      </c>
      <c r="AI85" s="397">
        <f t="shared" si="58"/>
        <v>0</v>
      </c>
      <c r="AJ85" s="397">
        <f t="shared" si="58"/>
        <v>0</v>
      </c>
      <c r="AK85" s="397">
        <f t="shared" si="58"/>
        <v>0</v>
      </c>
      <c r="AL85" s="397">
        <f t="shared" si="58"/>
        <v>0</v>
      </c>
      <c r="AM85" s="397">
        <f t="shared" si="58"/>
        <v>0</v>
      </c>
      <c r="AN85" s="397">
        <f t="shared" si="58"/>
        <v>8.1775714584962049</v>
      </c>
      <c r="AO85" s="397">
        <f t="shared" si="58"/>
        <v>8.1775714584962049</v>
      </c>
      <c r="AP85" s="397">
        <f t="shared" si="58"/>
        <v>8.1775714584962049</v>
      </c>
      <c r="AQ85" s="397">
        <f t="shared" si="58"/>
        <v>8.1775714584962049</v>
      </c>
      <c r="AR85" s="397">
        <f t="shared" ref="AR85:BA99" si="60">IF($B85&gt;=AR$48,0,        IF(AR$48-$B85&lt;=$C$39,    INDEX($C$24:$BA$24, MATCH($B85, $C$23:$BA$23,0)),       0))</f>
        <v>8.1775714584962049</v>
      </c>
      <c r="AS85" s="397">
        <f t="shared" si="60"/>
        <v>8.1775714584962049</v>
      </c>
      <c r="AT85" s="397">
        <f t="shared" si="60"/>
        <v>8.1775714584962049</v>
      </c>
      <c r="AU85" s="397">
        <f t="shared" si="60"/>
        <v>8.1775714584962049</v>
      </c>
      <c r="AV85" s="397">
        <f t="shared" si="60"/>
        <v>8.1775714584962049</v>
      </c>
      <c r="AW85" s="397">
        <f t="shared" si="60"/>
        <v>8.1775714584962049</v>
      </c>
      <c r="AX85" s="397">
        <f t="shared" si="60"/>
        <v>0</v>
      </c>
      <c r="AY85" s="397">
        <f t="shared" si="60"/>
        <v>0</v>
      </c>
      <c r="AZ85" s="397">
        <f t="shared" si="60"/>
        <v>0</v>
      </c>
      <c r="BA85" s="397">
        <f t="shared" si="60"/>
        <v>0</v>
      </c>
    </row>
    <row r="86" spans="2:53">
      <c r="B86" s="398">
        <f t="shared" si="52"/>
        <v>2057</v>
      </c>
      <c r="C86" s="397">
        <f t="shared" si="59"/>
        <v>0</v>
      </c>
      <c r="D86" s="397">
        <f t="shared" si="59"/>
        <v>0</v>
      </c>
      <c r="E86" s="397">
        <f t="shared" si="59"/>
        <v>0</v>
      </c>
      <c r="F86" s="397">
        <f t="shared" si="59"/>
        <v>0</v>
      </c>
      <c r="G86" s="397">
        <f t="shared" si="59"/>
        <v>0</v>
      </c>
      <c r="H86" s="397">
        <f t="shared" si="59"/>
        <v>0</v>
      </c>
      <c r="I86" s="397">
        <f t="shared" si="59"/>
        <v>0</v>
      </c>
      <c r="J86" s="397">
        <f t="shared" si="59"/>
        <v>0</v>
      </c>
      <c r="K86" s="397">
        <f t="shared" si="59"/>
        <v>0</v>
      </c>
      <c r="L86" s="397">
        <f t="shared" si="59"/>
        <v>0</v>
      </c>
      <c r="M86" s="397">
        <f t="shared" si="59"/>
        <v>0</v>
      </c>
      <c r="N86" s="397">
        <f t="shared" si="59"/>
        <v>0</v>
      </c>
      <c r="O86" s="397">
        <f t="shared" si="59"/>
        <v>0</v>
      </c>
      <c r="P86" s="397">
        <f t="shared" si="59"/>
        <v>0</v>
      </c>
      <c r="Q86" s="397">
        <f t="shared" si="59"/>
        <v>0</v>
      </c>
      <c r="R86" s="397">
        <f t="shared" ref="R86:AG99" si="61">IF($B86&gt;=R$48,0,        IF(R$48-$B86&lt;=$C$39,    INDEX($C$24:$BA$24, MATCH($B86, $C$23:$BA$23,0)),       0))</f>
        <v>0</v>
      </c>
      <c r="S86" s="397">
        <f t="shared" si="61"/>
        <v>0</v>
      </c>
      <c r="T86" s="397">
        <f t="shared" si="61"/>
        <v>0</v>
      </c>
      <c r="U86" s="397">
        <f t="shared" si="61"/>
        <v>0</v>
      </c>
      <c r="V86" s="397">
        <f t="shared" si="61"/>
        <v>0</v>
      </c>
      <c r="W86" s="397">
        <f t="shared" si="61"/>
        <v>0</v>
      </c>
      <c r="X86" s="397">
        <f t="shared" si="61"/>
        <v>0</v>
      </c>
      <c r="Y86" s="397">
        <f t="shared" si="61"/>
        <v>0</v>
      </c>
      <c r="Z86" s="397">
        <f t="shared" si="61"/>
        <v>0</v>
      </c>
      <c r="AA86" s="397">
        <f t="shared" si="61"/>
        <v>0</v>
      </c>
      <c r="AB86" s="397">
        <f t="shared" si="61"/>
        <v>0</v>
      </c>
      <c r="AC86" s="397">
        <f t="shared" si="61"/>
        <v>0</v>
      </c>
      <c r="AD86" s="397">
        <f t="shared" si="61"/>
        <v>0</v>
      </c>
      <c r="AE86" s="397">
        <f t="shared" si="61"/>
        <v>0</v>
      </c>
      <c r="AF86" s="397">
        <f t="shared" si="61"/>
        <v>0</v>
      </c>
      <c r="AG86" s="397">
        <f t="shared" si="61"/>
        <v>0</v>
      </c>
      <c r="AH86" s="397">
        <f t="shared" ref="AH86:AW99" si="62">IF($B86&gt;=AH$48,0,        IF(AH$48-$B86&lt;=$C$39,    INDEX($C$24:$BA$24, MATCH($B86, $C$23:$BA$23,0)),       0))</f>
        <v>0</v>
      </c>
      <c r="AI86" s="397">
        <f t="shared" si="62"/>
        <v>0</v>
      </c>
      <c r="AJ86" s="397">
        <f t="shared" si="62"/>
        <v>0</v>
      </c>
      <c r="AK86" s="397">
        <f t="shared" si="62"/>
        <v>0</v>
      </c>
      <c r="AL86" s="397">
        <f t="shared" si="62"/>
        <v>0</v>
      </c>
      <c r="AM86" s="397">
        <f t="shared" si="62"/>
        <v>0</v>
      </c>
      <c r="AN86" s="397">
        <f t="shared" si="62"/>
        <v>0</v>
      </c>
      <c r="AO86" s="397">
        <f t="shared" si="62"/>
        <v>8.2226036090463648</v>
      </c>
      <c r="AP86" s="397">
        <f t="shared" si="62"/>
        <v>8.2226036090463648</v>
      </c>
      <c r="AQ86" s="397">
        <f t="shared" si="62"/>
        <v>8.2226036090463648</v>
      </c>
      <c r="AR86" s="397">
        <f t="shared" si="62"/>
        <v>8.2226036090463648</v>
      </c>
      <c r="AS86" s="397">
        <f t="shared" si="62"/>
        <v>8.2226036090463648</v>
      </c>
      <c r="AT86" s="397">
        <f t="shared" si="62"/>
        <v>8.2226036090463648</v>
      </c>
      <c r="AU86" s="397">
        <f t="shared" si="62"/>
        <v>8.2226036090463648</v>
      </c>
      <c r="AV86" s="397">
        <f t="shared" si="62"/>
        <v>8.2226036090463648</v>
      </c>
      <c r="AW86" s="397">
        <f t="shared" si="62"/>
        <v>8.2226036090463648</v>
      </c>
      <c r="AX86" s="397">
        <f t="shared" si="60"/>
        <v>8.2226036090463648</v>
      </c>
      <c r="AY86" s="397">
        <f t="shared" si="60"/>
        <v>0</v>
      </c>
      <c r="AZ86" s="397">
        <f t="shared" si="60"/>
        <v>0</v>
      </c>
      <c r="BA86" s="397">
        <f t="shared" si="60"/>
        <v>0</v>
      </c>
    </row>
    <row r="87" spans="2:53">
      <c r="B87" s="398">
        <f t="shared" ref="B87:B99" si="63">B86+1</f>
        <v>2058</v>
      </c>
      <c r="C87" s="397">
        <f t="shared" ref="C87:R99" si="64">IF($B87&gt;=C$48,0,        IF(C$48-$B87&lt;=$C$39,    INDEX($C$24:$BA$24, MATCH($B87, $C$23:$BA$23,0)),       0))</f>
        <v>0</v>
      </c>
      <c r="D87" s="397">
        <f t="shared" si="64"/>
        <v>0</v>
      </c>
      <c r="E87" s="397">
        <f t="shared" si="64"/>
        <v>0</v>
      </c>
      <c r="F87" s="397">
        <f t="shared" si="64"/>
        <v>0</v>
      </c>
      <c r="G87" s="397">
        <f t="shared" si="64"/>
        <v>0</v>
      </c>
      <c r="H87" s="397">
        <f t="shared" si="64"/>
        <v>0</v>
      </c>
      <c r="I87" s="397">
        <f t="shared" si="64"/>
        <v>0</v>
      </c>
      <c r="J87" s="397">
        <f t="shared" si="64"/>
        <v>0</v>
      </c>
      <c r="K87" s="397">
        <f t="shared" si="64"/>
        <v>0</v>
      </c>
      <c r="L87" s="397">
        <f t="shared" si="64"/>
        <v>0</v>
      </c>
      <c r="M87" s="397">
        <f t="shared" si="64"/>
        <v>0</v>
      </c>
      <c r="N87" s="397">
        <f t="shared" si="64"/>
        <v>0</v>
      </c>
      <c r="O87" s="397">
        <f t="shared" si="64"/>
        <v>0</v>
      </c>
      <c r="P87" s="397">
        <f t="shared" si="64"/>
        <v>0</v>
      </c>
      <c r="Q87" s="397">
        <f t="shared" si="64"/>
        <v>0</v>
      </c>
      <c r="R87" s="397">
        <f t="shared" si="64"/>
        <v>0</v>
      </c>
      <c r="S87" s="397">
        <f t="shared" si="61"/>
        <v>0</v>
      </c>
      <c r="T87" s="397">
        <f t="shared" si="61"/>
        <v>0</v>
      </c>
      <c r="U87" s="397">
        <f t="shared" si="61"/>
        <v>0</v>
      </c>
      <c r="V87" s="397">
        <f t="shared" si="61"/>
        <v>0</v>
      </c>
      <c r="W87" s="397">
        <f t="shared" si="61"/>
        <v>0</v>
      </c>
      <c r="X87" s="397">
        <f t="shared" si="61"/>
        <v>0</v>
      </c>
      <c r="Y87" s="397">
        <f t="shared" si="61"/>
        <v>0</v>
      </c>
      <c r="Z87" s="397">
        <f t="shared" si="61"/>
        <v>0</v>
      </c>
      <c r="AA87" s="397">
        <f t="shared" si="61"/>
        <v>0</v>
      </c>
      <c r="AB87" s="397">
        <f t="shared" si="61"/>
        <v>0</v>
      </c>
      <c r="AC87" s="397">
        <f t="shared" si="61"/>
        <v>0</v>
      </c>
      <c r="AD87" s="397">
        <f t="shared" si="61"/>
        <v>0</v>
      </c>
      <c r="AE87" s="397">
        <f t="shared" si="61"/>
        <v>0</v>
      </c>
      <c r="AF87" s="397">
        <f t="shared" si="61"/>
        <v>0</v>
      </c>
      <c r="AG87" s="397">
        <f t="shared" si="61"/>
        <v>0</v>
      </c>
      <c r="AH87" s="397">
        <f t="shared" si="62"/>
        <v>0</v>
      </c>
      <c r="AI87" s="397">
        <f t="shared" si="62"/>
        <v>0</v>
      </c>
      <c r="AJ87" s="397">
        <f t="shared" si="62"/>
        <v>0</v>
      </c>
      <c r="AK87" s="397">
        <f t="shared" si="62"/>
        <v>0</v>
      </c>
      <c r="AL87" s="397">
        <f t="shared" si="62"/>
        <v>0</v>
      </c>
      <c r="AM87" s="397">
        <f t="shared" si="62"/>
        <v>0</v>
      </c>
      <c r="AN87" s="397">
        <f t="shared" si="62"/>
        <v>0</v>
      </c>
      <c r="AO87" s="397">
        <f t="shared" si="62"/>
        <v>0</v>
      </c>
      <c r="AP87" s="397">
        <f t="shared" si="62"/>
        <v>8.2632776912754196</v>
      </c>
      <c r="AQ87" s="397">
        <f t="shared" si="62"/>
        <v>8.2632776912754196</v>
      </c>
      <c r="AR87" s="397">
        <f t="shared" si="62"/>
        <v>8.2632776912754196</v>
      </c>
      <c r="AS87" s="397">
        <f t="shared" si="62"/>
        <v>8.2632776912754196</v>
      </c>
      <c r="AT87" s="397">
        <f t="shared" si="62"/>
        <v>8.2632776912754196</v>
      </c>
      <c r="AU87" s="397">
        <f t="shared" si="62"/>
        <v>8.2632776912754196</v>
      </c>
      <c r="AV87" s="397">
        <f t="shared" si="62"/>
        <v>8.2632776912754196</v>
      </c>
      <c r="AW87" s="397">
        <f t="shared" si="62"/>
        <v>8.2632776912754196</v>
      </c>
      <c r="AX87" s="397">
        <f t="shared" si="60"/>
        <v>8.2632776912754196</v>
      </c>
      <c r="AY87" s="397">
        <f t="shared" si="60"/>
        <v>8.2632776912754196</v>
      </c>
      <c r="AZ87" s="397">
        <f t="shared" si="60"/>
        <v>0</v>
      </c>
      <c r="BA87" s="397">
        <f t="shared" si="60"/>
        <v>0</v>
      </c>
    </row>
    <row r="88" spans="2:53">
      <c r="B88" s="398">
        <f t="shared" si="63"/>
        <v>2059</v>
      </c>
      <c r="C88" s="397">
        <f t="shared" si="64"/>
        <v>0</v>
      </c>
      <c r="D88" s="397">
        <f t="shared" si="64"/>
        <v>0</v>
      </c>
      <c r="E88" s="397">
        <f t="shared" si="64"/>
        <v>0</v>
      </c>
      <c r="F88" s="397">
        <f t="shared" si="64"/>
        <v>0</v>
      </c>
      <c r="G88" s="397">
        <f t="shared" si="64"/>
        <v>0</v>
      </c>
      <c r="H88" s="397">
        <f t="shared" si="64"/>
        <v>0</v>
      </c>
      <c r="I88" s="397">
        <f t="shared" si="64"/>
        <v>0</v>
      </c>
      <c r="J88" s="397">
        <f t="shared" si="64"/>
        <v>0</v>
      </c>
      <c r="K88" s="397">
        <f t="shared" si="64"/>
        <v>0</v>
      </c>
      <c r="L88" s="397">
        <f t="shared" si="64"/>
        <v>0</v>
      </c>
      <c r="M88" s="397">
        <f t="shared" si="64"/>
        <v>0</v>
      </c>
      <c r="N88" s="397">
        <f t="shared" si="64"/>
        <v>0</v>
      </c>
      <c r="O88" s="397">
        <f t="shared" si="64"/>
        <v>0</v>
      </c>
      <c r="P88" s="397">
        <f t="shared" si="64"/>
        <v>0</v>
      </c>
      <c r="Q88" s="397">
        <f t="shared" si="64"/>
        <v>0</v>
      </c>
      <c r="R88" s="397">
        <f t="shared" si="64"/>
        <v>0</v>
      </c>
      <c r="S88" s="397">
        <f t="shared" si="61"/>
        <v>0</v>
      </c>
      <c r="T88" s="397">
        <f t="shared" si="61"/>
        <v>0</v>
      </c>
      <c r="U88" s="397">
        <f t="shared" si="61"/>
        <v>0</v>
      </c>
      <c r="V88" s="397">
        <f t="shared" si="61"/>
        <v>0</v>
      </c>
      <c r="W88" s="397">
        <f t="shared" si="61"/>
        <v>0</v>
      </c>
      <c r="X88" s="397">
        <f t="shared" si="61"/>
        <v>0</v>
      </c>
      <c r="Y88" s="397">
        <f t="shared" si="61"/>
        <v>0</v>
      </c>
      <c r="Z88" s="397">
        <f t="shared" si="61"/>
        <v>0</v>
      </c>
      <c r="AA88" s="397">
        <f t="shared" si="61"/>
        <v>0</v>
      </c>
      <c r="AB88" s="397">
        <f t="shared" si="61"/>
        <v>0</v>
      </c>
      <c r="AC88" s="397">
        <f t="shared" si="61"/>
        <v>0</v>
      </c>
      <c r="AD88" s="397">
        <f t="shared" si="61"/>
        <v>0</v>
      </c>
      <c r="AE88" s="397">
        <f t="shared" si="61"/>
        <v>0</v>
      </c>
      <c r="AF88" s="397">
        <f t="shared" si="61"/>
        <v>0</v>
      </c>
      <c r="AG88" s="397">
        <f t="shared" si="61"/>
        <v>0</v>
      </c>
      <c r="AH88" s="397">
        <f t="shared" si="62"/>
        <v>0</v>
      </c>
      <c r="AI88" s="397">
        <f t="shared" si="62"/>
        <v>0</v>
      </c>
      <c r="AJ88" s="397">
        <f t="shared" si="62"/>
        <v>0</v>
      </c>
      <c r="AK88" s="397">
        <f t="shared" si="62"/>
        <v>0</v>
      </c>
      <c r="AL88" s="397">
        <f t="shared" si="62"/>
        <v>0</v>
      </c>
      <c r="AM88" s="397">
        <f t="shared" si="62"/>
        <v>0</v>
      </c>
      <c r="AN88" s="397">
        <f t="shared" si="62"/>
        <v>0</v>
      </c>
      <c r="AO88" s="397">
        <f t="shared" si="62"/>
        <v>0</v>
      </c>
      <c r="AP88" s="397">
        <f t="shared" si="62"/>
        <v>0</v>
      </c>
      <c r="AQ88" s="397">
        <f t="shared" si="62"/>
        <v>8.3015268423845843</v>
      </c>
      <c r="AR88" s="397">
        <f t="shared" si="62"/>
        <v>8.3015268423845843</v>
      </c>
      <c r="AS88" s="397">
        <f t="shared" si="62"/>
        <v>8.3015268423845843</v>
      </c>
      <c r="AT88" s="397">
        <f t="shared" si="62"/>
        <v>8.3015268423845843</v>
      </c>
      <c r="AU88" s="397">
        <f t="shared" si="62"/>
        <v>8.3015268423845843</v>
      </c>
      <c r="AV88" s="397">
        <f t="shared" si="62"/>
        <v>8.3015268423845843</v>
      </c>
      <c r="AW88" s="397">
        <f t="shared" si="62"/>
        <v>8.3015268423845843</v>
      </c>
      <c r="AX88" s="397">
        <f t="shared" si="60"/>
        <v>8.3015268423845843</v>
      </c>
      <c r="AY88" s="397">
        <f t="shared" si="60"/>
        <v>8.3015268423845843</v>
      </c>
      <c r="AZ88" s="397">
        <f t="shared" si="60"/>
        <v>8.3015268423845843</v>
      </c>
      <c r="BA88" s="397">
        <f t="shared" si="60"/>
        <v>0</v>
      </c>
    </row>
    <row r="89" spans="2:53">
      <c r="B89" s="398">
        <f t="shared" si="63"/>
        <v>2060</v>
      </c>
      <c r="C89" s="397">
        <f t="shared" si="64"/>
        <v>0</v>
      </c>
      <c r="D89" s="397">
        <f t="shared" si="64"/>
        <v>0</v>
      </c>
      <c r="E89" s="397">
        <f t="shared" si="64"/>
        <v>0</v>
      </c>
      <c r="F89" s="397">
        <f t="shared" si="64"/>
        <v>0</v>
      </c>
      <c r="G89" s="397">
        <f t="shared" si="64"/>
        <v>0</v>
      </c>
      <c r="H89" s="397">
        <f t="shared" si="64"/>
        <v>0</v>
      </c>
      <c r="I89" s="397">
        <f t="shared" si="64"/>
        <v>0</v>
      </c>
      <c r="J89" s="397">
        <f t="shared" si="64"/>
        <v>0</v>
      </c>
      <c r="K89" s="397">
        <f t="shared" si="64"/>
        <v>0</v>
      </c>
      <c r="L89" s="397">
        <f t="shared" si="64"/>
        <v>0</v>
      </c>
      <c r="M89" s="397">
        <f t="shared" si="64"/>
        <v>0</v>
      </c>
      <c r="N89" s="397">
        <f t="shared" si="64"/>
        <v>0</v>
      </c>
      <c r="O89" s="397">
        <f t="shared" si="64"/>
        <v>0</v>
      </c>
      <c r="P89" s="397">
        <f t="shared" si="64"/>
        <v>0</v>
      </c>
      <c r="Q89" s="397">
        <f t="shared" si="64"/>
        <v>0</v>
      </c>
      <c r="R89" s="397">
        <f t="shared" si="64"/>
        <v>0</v>
      </c>
      <c r="S89" s="397">
        <f t="shared" si="61"/>
        <v>0</v>
      </c>
      <c r="T89" s="397">
        <f t="shared" si="61"/>
        <v>0</v>
      </c>
      <c r="U89" s="397">
        <f t="shared" si="61"/>
        <v>0</v>
      </c>
      <c r="V89" s="397">
        <f t="shared" si="61"/>
        <v>0</v>
      </c>
      <c r="W89" s="397">
        <f t="shared" si="61"/>
        <v>0</v>
      </c>
      <c r="X89" s="397">
        <f t="shared" si="61"/>
        <v>0</v>
      </c>
      <c r="Y89" s="397">
        <f t="shared" si="61"/>
        <v>0</v>
      </c>
      <c r="Z89" s="397">
        <f t="shared" si="61"/>
        <v>0</v>
      </c>
      <c r="AA89" s="397">
        <f t="shared" si="61"/>
        <v>0</v>
      </c>
      <c r="AB89" s="397">
        <f t="shared" si="61"/>
        <v>0</v>
      </c>
      <c r="AC89" s="397">
        <f t="shared" si="61"/>
        <v>0</v>
      </c>
      <c r="AD89" s="397">
        <f t="shared" si="61"/>
        <v>0</v>
      </c>
      <c r="AE89" s="397">
        <f t="shared" si="61"/>
        <v>0</v>
      </c>
      <c r="AF89" s="397">
        <f t="shared" si="61"/>
        <v>0</v>
      </c>
      <c r="AG89" s="397">
        <f t="shared" si="61"/>
        <v>0</v>
      </c>
      <c r="AH89" s="397">
        <f t="shared" si="62"/>
        <v>0</v>
      </c>
      <c r="AI89" s="397">
        <f t="shared" si="62"/>
        <v>0</v>
      </c>
      <c r="AJ89" s="397">
        <f t="shared" si="62"/>
        <v>0</v>
      </c>
      <c r="AK89" s="397">
        <f t="shared" si="62"/>
        <v>0</v>
      </c>
      <c r="AL89" s="397">
        <f t="shared" si="62"/>
        <v>0</v>
      </c>
      <c r="AM89" s="397">
        <f t="shared" si="62"/>
        <v>0</v>
      </c>
      <c r="AN89" s="397">
        <f t="shared" si="62"/>
        <v>0</v>
      </c>
      <c r="AO89" s="397">
        <f t="shared" si="62"/>
        <v>0</v>
      </c>
      <c r="AP89" s="397">
        <f t="shared" si="62"/>
        <v>0</v>
      </c>
      <c r="AQ89" s="397">
        <f t="shared" si="62"/>
        <v>0</v>
      </c>
      <c r="AR89" s="397">
        <f t="shared" si="62"/>
        <v>8.3394638648246389</v>
      </c>
      <c r="AS89" s="397">
        <f t="shared" si="62"/>
        <v>8.3394638648246389</v>
      </c>
      <c r="AT89" s="397">
        <f t="shared" si="62"/>
        <v>8.3394638648246389</v>
      </c>
      <c r="AU89" s="397">
        <f t="shared" si="62"/>
        <v>8.3394638648246389</v>
      </c>
      <c r="AV89" s="397">
        <f t="shared" si="62"/>
        <v>8.3394638648246389</v>
      </c>
      <c r="AW89" s="397">
        <f t="shared" si="62"/>
        <v>8.3394638648246389</v>
      </c>
      <c r="AX89" s="397">
        <f t="shared" si="60"/>
        <v>8.3394638648246389</v>
      </c>
      <c r="AY89" s="397">
        <f t="shared" si="60"/>
        <v>8.3394638648246389</v>
      </c>
      <c r="AZ89" s="397">
        <f t="shared" si="60"/>
        <v>8.3394638648246389</v>
      </c>
      <c r="BA89" s="397">
        <f t="shared" si="60"/>
        <v>8.3394638648246389</v>
      </c>
    </row>
    <row r="90" spans="2:53">
      <c r="B90" s="398">
        <f t="shared" si="63"/>
        <v>2061</v>
      </c>
      <c r="C90" s="397">
        <f t="shared" si="64"/>
        <v>0</v>
      </c>
      <c r="D90" s="397">
        <f t="shared" si="64"/>
        <v>0</v>
      </c>
      <c r="E90" s="397">
        <f t="shared" si="64"/>
        <v>0</v>
      </c>
      <c r="F90" s="397">
        <f t="shared" si="64"/>
        <v>0</v>
      </c>
      <c r="G90" s="397">
        <f t="shared" si="64"/>
        <v>0</v>
      </c>
      <c r="H90" s="397">
        <f t="shared" si="64"/>
        <v>0</v>
      </c>
      <c r="I90" s="397">
        <f t="shared" si="64"/>
        <v>0</v>
      </c>
      <c r="J90" s="397">
        <f t="shared" si="64"/>
        <v>0</v>
      </c>
      <c r="K90" s="397">
        <f t="shared" si="64"/>
        <v>0</v>
      </c>
      <c r="L90" s="397">
        <f t="shared" si="64"/>
        <v>0</v>
      </c>
      <c r="M90" s="397">
        <f t="shared" si="64"/>
        <v>0</v>
      </c>
      <c r="N90" s="397">
        <f t="shared" si="64"/>
        <v>0</v>
      </c>
      <c r="O90" s="397">
        <f t="shared" si="64"/>
        <v>0</v>
      </c>
      <c r="P90" s="397">
        <f t="shared" si="64"/>
        <v>0</v>
      </c>
      <c r="Q90" s="397">
        <f t="shared" si="64"/>
        <v>0</v>
      </c>
      <c r="R90" s="397">
        <f t="shared" si="64"/>
        <v>0</v>
      </c>
      <c r="S90" s="397">
        <f t="shared" si="61"/>
        <v>0</v>
      </c>
      <c r="T90" s="397">
        <f t="shared" si="61"/>
        <v>0</v>
      </c>
      <c r="U90" s="397">
        <f t="shared" si="61"/>
        <v>0</v>
      </c>
      <c r="V90" s="397">
        <f t="shared" si="61"/>
        <v>0</v>
      </c>
      <c r="W90" s="397">
        <f t="shared" si="61"/>
        <v>0</v>
      </c>
      <c r="X90" s="397">
        <f t="shared" si="61"/>
        <v>0</v>
      </c>
      <c r="Y90" s="397">
        <f t="shared" si="61"/>
        <v>0</v>
      </c>
      <c r="Z90" s="397">
        <f t="shared" si="61"/>
        <v>0</v>
      </c>
      <c r="AA90" s="397">
        <f t="shared" si="61"/>
        <v>0</v>
      </c>
      <c r="AB90" s="397">
        <f t="shared" si="61"/>
        <v>0</v>
      </c>
      <c r="AC90" s="397">
        <f t="shared" si="61"/>
        <v>0</v>
      </c>
      <c r="AD90" s="397">
        <f t="shared" si="61"/>
        <v>0</v>
      </c>
      <c r="AE90" s="397">
        <f t="shared" si="61"/>
        <v>0</v>
      </c>
      <c r="AF90" s="397">
        <f t="shared" si="61"/>
        <v>0</v>
      </c>
      <c r="AG90" s="397">
        <f t="shared" si="61"/>
        <v>0</v>
      </c>
      <c r="AH90" s="397">
        <f t="shared" si="62"/>
        <v>0</v>
      </c>
      <c r="AI90" s="397">
        <f t="shared" si="62"/>
        <v>0</v>
      </c>
      <c r="AJ90" s="397">
        <f t="shared" si="62"/>
        <v>0</v>
      </c>
      <c r="AK90" s="397">
        <f t="shared" si="62"/>
        <v>0</v>
      </c>
      <c r="AL90" s="397">
        <f t="shared" si="62"/>
        <v>0</v>
      </c>
      <c r="AM90" s="397">
        <f t="shared" si="62"/>
        <v>0</v>
      </c>
      <c r="AN90" s="397">
        <f t="shared" si="62"/>
        <v>0</v>
      </c>
      <c r="AO90" s="397">
        <f t="shared" si="62"/>
        <v>0</v>
      </c>
      <c r="AP90" s="397">
        <f t="shared" si="62"/>
        <v>0</v>
      </c>
      <c r="AQ90" s="397">
        <f t="shared" si="62"/>
        <v>0</v>
      </c>
      <c r="AR90" s="397">
        <f t="shared" si="62"/>
        <v>0</v>
      </c>
      <c r="AS90" s="397">
        <f t="shared" si="62"/>
        <v>8.3787336914395603</v>
      </c>
      <c r="AT90" s="397">
        <f t="shared" si="62"/>
        <v>8.3787336914395603</v>
      </c>
      <c r="AU90" s="397">
        <f t="shared" si="62"/>
        <v>8.3787336914395603</v>
      </c>
      <c r="AV90" s="397">
        <f t="shared" si="62"/>
        <v>8.3787336914395603</v>
      </c>
      <c r="AW90" s="397">
        <f t="shared" si="62"/>
        <v>8.3787336914395603</v>
      </c>
      <c r="AX90" s="397">
        <f t="shared" si="60"/>
        <v>8.3787336914395603</v>
      </c>
      <c r="AY90" s="397">
        <f t="shared" si="60"/>
        <v>8.3787336914395603</v>
      </c>
      <c r="AZ90" s="397">
        <f t="shared" si="60"/>
        <v>8.3787336914395603</v>
      </c>
      <c r="BA90" s="397">
        <f t="shared" si="60"/>
        <v>8.3787336914395603</v>
      </c>
    </row>
    <row r="91" spans="2:53">
      <c r="B91" s="398">
        <f t="shared" si="63"/>
        <v>2062</v>
      </c>
      <c r="C91" s="397">
        <f t="shared" si="64"/>
        <v>0</v>
      </c>
      <c r="D91" s="397">
        <f t="shared" si="64"/>
        <v>0</v>
      </c>
      <c r="E91" s="397">
        <f t="shared" si="64"/>
        <v>0</v>
      </c>
      <c r="F91" s="397">
        <f t="shared" si="64"/>
        <v>0</v>
      </c>
      <c r="G91" s="397">
        <f t="shared" si="64"/>
        <v>0</v>
      </c>
      <c r="H91" s="397">
        <f t="shared" si="64"/>
        <v>0</v>
      </c>
      <c r="I91" s="397">
        <f t="shared" si="64"/>
        <v>0</v>
      </c>
      <c r="J91" s="397">
        <f t="shared" si="64"/>
        <v>0</v>
      </c>
      <c r="K91" s="397">
        <f t="shared" si="64"/>
        <v>0</v>
      </c>
      <c r="L91" s="397">
        <f t="shared" si="64"/>
        <v>0</v>
      </c>
      <c r="M91" s="397">
        <f t="shared" si="64"/>
        <v>0</v>
      </c>
      <c r="N91" s="397">
        <f t="shared" si="64"/>
        <v>0</v>
      </c>
      <c r="O91" s="397">
        <f t="shared" si="64"/>
        <v>0</v>
      </c>
      <c r="P91" s="397">
        <f t="shared" si="64"/>
        <v>0</v>
      </c>
      <c r="Q91" s="397">
        <f t="shared" si="64"/>
        <v>0</v>
      </c>
      <c r="R91" s="397">
        <f t="shared" si="64"/>
        <v>0</v>
      </c>
      <c r="S91" s="397">
        <f t="shared" si="61"/>
        <v>0</v>
      </c>
      <c r="T91" s="397">
        <f t="shared" si="61"/>
        <v>0</v>
      </c>
      <c r="U91" s="397">
        <f t="shared" si="61"/>
        <v>0</v>
      </c>
      <c r="V91" s="397">
        <f t="shared" si="61"/>
        <v>0</v>
      </c>
      <c r="W91" s="397">
        <f t="shared" si="61"/>
        <v>0</v>
      </c>
      <c r="X91" s="397">
        <f t="shared" si="61"/>
        <v>0</v>
      </c>
      <c r="Y91" s="397">
        <f t="shared" si="61"/>
        <v>0</v>
      </c>
      <c r="Z91" s="397">
        <f t="shared" si="61"/>
        <v>0</v>
      </c>
      <c r="AA91" s="397">
        <f t="shared" si="61"/>
        <v>0</v>
      </c>
      <c r="AB91" s="397">
        <f t="shared" si="61"/>
        <v>0</v>
      </c>
      <c r="AC91" s="397">
        <f t="shared" si="61"/>
        <v>0</v>
      </c>
      <c r="AD91" s="397">
        <f t="shared" si="61"/>
        <v>0</v>
      </c>
      <c r="AE91" s="397">
        <f t="shared" si="61"/>
        <v>0</v>
      </c>
      <c r="AF91" s="397">
        <f t="shared" si="61"/>
        <v>0</v>
      </c>
      <c r="AG91" s="397">
        <f t="shared" si="61"/>
        <v>0</v>
      </c>
      <c r="AH91" s="397">
        <f t="shared" si="62"/>
        <v>0</v>
      </c>
      <c r="AI91" s="397">
        <f t="shared" si="62"/>
        <v>0</v>
      </c>
      <c r="AJ91" s="397">
        <f t="shared" si="62"/>
        <v>0</v>
      </c>
      <c r="AK91" s="397">
        <f t="shared" si="62"/>
        <v>0</v>
      </c>
      <c r="AL91" s="397">
        <f t="shared" si="62"/>
        <v>0</v>
      </c>
      <c r="AM91" s="397">
        <f t="shared" si="62"/>
        <v>0</v>
      </c>
      <c r="AN91" s="397">
        <f t="shared" si="62"/>
        <v>0</v>
      </c>
      <c r="AO91" s="397">
        <f t="shared" si="62"/>
        <v>0</v>
      </c>
      <c r="AP91" s="397">
        <f t="shared" si="62"/>
        <v>0</v>
      </c>
      <c r="AQ91" s="397">
        <f t="shared" si="62"/>
        <v>0</v>
      </c>
      <c r="AR91" s="397">
        <f t="shared" si="62"/>
        <v>0</v>
      </c>
      <c r="AS91" s="397">
        <f t="shared" si="62"/>
        <v>0</v>
      </c>
      <c r="AT91" s="397">
        <f t="shared" si="62"/>
        <v>8.4083136883372518</v>
      </c>
      <c r="AU91" s="397">
        <f t="shared" si="62"/>
        <v>8.4083136883372518</v>
      </c>
      <c r="AV91" s="397">
        <f t="shared" si="62"/>
        <v>8.4083136883372518</v>
      </c>
      <c r="AW91" s="397">
        <f t="shared" si="62"/>
        <v>8.4083136883372518</v>
      </c>
      <c r="AX91" s="397">
        <f t="shared" si="60"/>
        <v>8.4083136883372518</v>
      </c>
      <c r="AY91" s="397">
        <f t="shared" si="60"/>
        <v>8.4083136883372518</v>
      </c>
      <c r="AZ91" s="397">
        <f t="shared" si="60"/>
        <v>8.4083136883372518</v>
      </c>
      <c r="BA91" s="397">
        <f t="shared" si="60"/>
        <v>8.4083136883372518</v>
      </c>
    </row>
    <row r="92" spans="2:53">
      <c r="B92" s="398">
        <f t="shared" si="63"/>
        <v>2063</v>
      </c>
      <c r="C92" s="397">
        <f t="shared" si="64"/>
        <v>0</v>
      </c>
      <c r="D92" s="397">
        <f t="shared" si="64"/>
        <v>0</v>
      </c>
      <c r="E92" s="397">
        <f t="shared" si="64"/>
        <v>0</v>
      </c>
      <c r="F92" s="397">
        <f t="shared" si="64"/>
        <v>0</v>
      </c>
      <c r="G92" s="397">
        <f t="shared" si="64"/>
        <v>0</v>
      </c>
      <c r="H92" s="397">
        <f t="shared" si="64"/>
        <v>0</v>
      </c>
      <c r="I92" s="397">
        <f t="shared" si="64"/>
        <v>0</v>
      </c>
      <c r="J92" s="397">
        <f t="shared" si="64"/>
        <v>0</v>
      </c>
      <c r="K92" s="397">
        <f t="shared" si="64"/>
        <v>0</v>
      </c>
      <c r="L92" s="397">
        <f t="shared" si="64"/>
        <v>0</v>
      </c>
      <c r="M92" s="397">
        <f t="shared" si="64"/>
        <v>0</v>
      </c>
      <c r="N92" s="397">
        <f t="shared" si="64"/>
        <v>0</v>
      </c>
      <c r="O92" s="397">
        <f t="shared" si="64"/>
        <v>0</v>
      </c>
      <c r="P92" s="397">
        <f t="shared" si="64"/>
        <v>0</v>
      </c>
      <c r="Q92" s="397">
        <f t="shared" si="64"/>
        <v>0</v>
      </c>
      <c r="R92" s="397">
        <f t="shared" si="64"/>
        <v>0</v>
      </c>
      <c r="S92" s="397">
        <f t="shared" si="61"/>
        <v>0</v>
      </c>
      <c r="T92" s="397">
        <f t="shared" si="61"/>
        <v>0</v>
      </c>
      <c r="U92" s="397">
        <f t="shared" si="61"/>
        <v>0</v>
      </c>
      <c r="V92" s="397">
        <f t="shared" si="61"/>
        <v>0</v>
      </c>
      <c r="W92" s="397">
        <f t="shared" si="61"/>
        <v>0</v>
      </c>
      <c r="X92" s="397">
        <f t="shared" si="61"/>
        <v>0</v>
      </c>
      <c r="Y92" s="397">
        <f t="shared" si="61"/>
        <v>0</v>
      </c>
      <c r="Z92" s="397">
        <f t="shared" si="61"/>
        <v>0</v>
      </c>
      <c r="AA92" s="397">
        <f t="shared" si="61"/>
        <v>0</v>
      </c>
      <c r="AB92" s="397">
        <f t="shared" si="61"/>
        <v>0</v>
      </c>
      <c r="AC92" s="397">
        <f t="shared" si="61"/>
        <v>0</v>
      </c>
      <c r="AD92" s="397">
        <f t="shared" si="61"/>
        <v>0</v>
      </c>
      <c r="AE92" s="397">
        <f t="shared" si="61"/>
        <v>0</v>
      </c>
      <c r="AF92" s="397">
        <f t="shared" si="61"/>
        <v>0</v>
      </c>
      <c r="AG92" s="397">
        <f t="shared" si="61"/>
        <v>0</v>
      </c>
      <c r="AH92" s="397">
        <f t="shared" si="62"/>
        <v>0</v>
      </c>
      <c r="AI92" s="397">
        <f t="shared" si="62"/>
        <v>0</v>
      </c>
      <c r="AJ92" s="397">
        <f t="shared" si="62"/>
        <v>0</v>
      </c>
      <c r="AK92" s="397">
        <f t="shared" si="62"/>
        <v>0</v>
      </c>
      <c r="AL92" s="397">
        <f t="shared" si="62"/>
        <v>0</v>
      </c>
      <c r="AM92" s="397">
        <f t="shared" si="62"/>
        <v>0</v>
      </c>
      <c r="AN92" s="397">
        <f t="shared" si="62"/>
        <v>0</v>
      </c>
      <c r="AO92" s="397">
        <f t="shared" si="62"/>
        <v>0</v>
      </c>
      <c r="AP92" s="397">
        <f t="shared" si="62"/>
        <v>0</v>
      </c>
      <c r="AQ92" s="397">
        <f t="shared" si="62"/>
        <v>0</v>
      </c>
      <c r="AR92" s="397">
        <f t="shared" si="62"/>
        <v>0</v>
      </c>
      <c r="AS92" s="397">
        <f t="shared" si="62"/>
        <v>0</v>
      </c>
      <c r="AT92" s="397">
        <f t="shared" si="62"/>
        <v>0</v>
      </c>
      <c r="AU92" s="397">
        <f t="shared" si="62"/>
        <v>8.4305948210004367</v>
      </c>
      <c r="AV92" s="397">
        <f t="shared" si="62"/>
        <v>8.4305948210004367</v>
      </c>
      <c r="AW92" s="397">
        <f t="shared" si="62"/>
        <v>8.4305948210004367</v>
      </c>
      <c r="AX92" s="397">
        <f t="shared" si="60"/>
        <v>8.4305948210004367</v>
      </c>
      <c r="AY92" s="397">
        <f t="shared" si="60"/>
        <v>8.4305948210004367</v>
      </c>
      <c r="AZ92" s="397">
        <f t="shared" si="60"/>
        <v>8.4305948210004367</v>
      </c>
      <c r="BA92" s="397">
        <f t="shared" si="60"/>
        <v>8.4305948210004367</v>
      </c>
    </row>
    <row r="93" spans="2:53">
      <c r="B93" s="398">
        <f t="shared" si="63"/>
        <v>2064</v>
      </c>
      <c r="C93" s="397">
        <f t="shared" si="64"/>
        <v>0</v>
      </c>
      <c r="D93" s="397">
        <f t="shared" si="64"/>
        <v>0</v>
      </c>
      <c r="E93" s="397">
        <f t="shared" si="64"/>
        <v>0</v>
      </c>
      <c r="F93" s="397">
        <f t="shared" si="64"/>
        <v>0</v>
      </c>
      <c r="G93" s="397">
        <f t="shared" si="64"/>
        <v>0</v>
      </c>
      <c r="H93" s="397">
        <f t="shared" si="64"/>
        <v>0</v>
      </c>
      <c r="I93" s="397">
        <f t="shared" si="64"/>
        <v>0</v>
      </c>
      <c r="J93" s="397">
        <f t="shared" si="64"/>
        <v>0</v>
      </c>
      <c r="K93" s="397">
        <f t="shared" si="64"/>
        <v>0</v>
      </c>
      <c r="L93" s="397">
        <f t="shared" si="64"/>
        <v>0</v>
      </c>
      <c r="M93" s="397">
        <f t="shared" si="64"/>
        <v>0</v>
      </c>
      <c r="N93" s="397">
        <f t="shared" si="64"/>
        <v>0</v>
      </c>
      <c r="O93" s="397">
        <f t="shared" si="64"/>
        <v>0</v>
      </c>
      <c r="P93" s="397">
        <f t="shared" si="64"/>
        <v>0</v>
      </c>
      <c r="Q93" s="397">
        <f t="shared" si="64"/>
        <v>0</v>
      </c>
      <c r="R93" s="397">
        <f t="shared" si="64"/>
        <v>0</v>
      </c>
      <c r="S93" s="397">
        <f t="shared" si="61"/>
        <v>0</v>
      </c>
      <c r="T93" s="397">
        <f t="shared" si="61"/>
        <v>0</v>
      </c>
      <c r="U93" s="397">
        <f t="shared" si="61"/>
        <v>0</v>
      </c>
      <c r="V93" s="397">
        <f t="shared" si="61"/>
        <v>0</v>
      </c>
      <c r="W93" s="397">
        <f t="shared" si="61"/>
        <v>0</v>
      </c>
      <c r="X93" s="397">
        <f t="shared" si="61"/>
        <v>0</v>
      </c>
      <c r="Y93" s="397">
        <f t="shared" si="61"/>
        <v>0</v>
      </c>
      <c r="Z93" s="397">
        <f t="shared" si="61"/>
        <v>0</v>
      </c>
      <c r="AA93" s="397">
        <f t="shared" si="61"/>
        <v>0</v>
      </c>
      <c r="AB93" s="397">
        <f t="shared" si="61"/>
        <v>0</v>
      </c>
      <c r="AC93" s="397">
        <f t="shared" si="61"/>
        <v>0</v>
      </c>
      <c r="AD93" s="397">
        <f t="shared" si="61"/>
        <v>0</v>
      </c>
      <c r="AE93" s="397">
        <f t="shared" si="61"/>
        <v>0</v>
      </c>
      <c r="AF93" s="397">
        <f t="shared" si="61"/>
        <v>0</v>
      </c>
      <c r="AG93" s="397">
        <f t="shared" si="61"/>
        <v>0</v>
      </c>
      <c r="AH93" s="397">
        <f t="shared" si="62"/>
        <v>0</v>
      </c>
      <c r="AI93" s="397">
        <f t="shared" si="62"/>
        <v>0</v>
      </c>
      <c r="AJ93" s="397">
        <f t="shared" si="62"/>
        <v>0</v>
      </c>
      <c r="AK93" s="397">
        <f t="shared" si="62"/>
        <v>0</v>
      </c>
      <c r="AL93" s="397">
        <f t="shared" si="62"/>
        <v>0</v>
      </c>
      <c r="AM93" s="397">
        <f t="shared" si="62"/>
        <v>0</v>
      </c>
      <c r="AN93" s="397">
        <f t="shared" si="62"/>
        <v>0</v>
      </c>
      <c r="AO93" s="397">
        <f t="shared" si="62"/>
        <v>0</v>
      </c>
      <c r="AP93" s="397">
        <f t="shared" si="62"/>
        <v>0</v>
      </c>
      <c r="AQ93" s="397">
        <f t="shared" si="62"/>
        <v>0</v>
      </c>
      <c r="AR93" s="397">
        <f t="shared" si="62"/>
        <v>0</v>
      </c>
      <c r="AS93" s="397">
        <f t="shared" si="62"/>
        <v>0</v>
      </c>
      <c r="AT93" s="397">
        <f t="shared" si="62"/>
        <v>0</v>
      </c>
      <c r="AU93" s="397">
        <f t="shared" si="62"/>
        <v>0</v>
      </c>
      <c r="AV93" s="397">
        <f t="shared" si="62"/>
        <v>8.4473780841789807</v>
      </c>
      <c r="AW93" s="397">
        <f t="shared" si="62"/>
        <v>8.4473780841789807</v>
      </c>
      <c r="AX93" s="397">
        <f t="shared" si="60"/>
        <v>8.4473780841789807</v>
      </c>
      <c r="AY93" s="397">
        <f t="shared" si="60"/>
        <v>8.4473780841789807</v>
      </c>
      <c r="AZ93" s="397">
        <f t="shared" si="60"/>
        <v>8.4473780841789807</v>
      </c>
      <c r="BA93" s="397">
        <f t="shared" si="60"/>
        <v>8.4473780841789807</v>
      </c>
    </row>
    <row r="94" spans="2:53">
      <c r="B94" s="398">
        <f t="shared" si="63"/>
        <v>2065</v>
      </c>
      <c r="C94" s="397">
        <f t="shared" si="64"/>
        <v>0</v>
      </c>
      <c r="D94" s="397">
        <f t="shared" si="64"/>
        <v>0</v>
      </c>
      <c r="E94" s="397">
        <f t="shared" si="64"/>
        <v>0</v>
      </c>
      <c r="F94" s="397">
        <f t="shared" si="64"/>
        <v>0</v>
      </c>
      <c r="G94" s="397">
        <f t="shared" si="64"/>
        <v>0</v>
      </c>
      <c r="H94" s="397">
        <f t="shared" si="64"/>
        <v>0</v>
      </c>
      <c r="I94" s="397">
        <f t="shared" si="64"/>
        <v>0</v>
      </c>
      <c r="J94" s="397">
        <f t="shared" si="64"/>
        <v>0</v>
      </c>
      <c r="K94" s="397">
        <f t="shared" si="64"/>
        <v>0</v>
      </c>
      <c r="L94" s="397">
        <f t="shared" si="64"/>
        <v>0</v>
      </c>
      <c r="M94" s="397">
        <f t="shared" si="64"/>
        <v>0</v>
      </c>
      <c r="N94" s="397">
        <f t="shared" si="64"/>
        <v>0</v>
      </c>
      <c r="O94" s="397">
        <f t="shared" si="64"/>
        <v>0</v>
      </c>
      <c r="P94" s="397">
        <f t="shared" si="64"/>
        <v>0</v>
      </c>
      <c r="Q94" s="397">
        <f t="shared" si="64"/>
        <v>0</v>
      </c>
      <c r="R94" s="397">
        <f t="shared" si="64"/>
        <v>0</v>
      </c>
      <c r="S94" s="397">
        <f t="shared" si="61"/>
        <v>0</v>
      </c>
      <c r="T94" s="397">
        <f t="shared" si="61"/>
        <v>0</v>
      </c>
      <c r="U94" s="397">
        <f t="shared" si="61"/>
        <v>0</v>
      </c>
      <c r="V94" s="397">
        <f t="shared" si="61"/>
        <v>0</v>
      </c>
      <c r="W94" s="397">
        <f t="shared" si="61"/>
        <v>0</v>
      </c>
      <c r="X94" s="397">
        <f t="shared" si="61"/>
        <v>0</v>
      </c>
      <c r="Y94" s="397">
        <f t="shared" si="61"/>
        <v>0</v>
      </c>
      <c r="Z94" s="397">
        <f t="shared" si="61"/>
        <v>0</v>
      </c>
      <c r="AA94" s="397">
        <f t="shared" si="61"/>
        <v>0</v>
      </c>
      <c r="AB94" s="397">
        <f t="shared" si="61"/>
        <v>0</v>
      </c>
      <c r="AC94" s="397">
        <f t="shared" si="61"/>
        <v>0</v>
      </c>
      <c r="AD94" s="397">
        <f t="shared" si="61"/>
        <v>0</v>
      </c>
      <c r="AE94" s="397">
        <f t="shared" si="61"/>
        <v>0</v>
      </c>
      <c r="AF94" s="397">
        <f t="shared" si="61"/>
        <v>0</v>
      </c>
      <c r="AG94" s="397">
        <f t="shared" si="61"/>
        <v>0</v>
      </c>
      <c r="AH94" s="397">
        <f t="shared" si="62"/>
        <v>0</v>
      </c>
      <c r="AI94" s="397">
        <f t="shared" si="62"/>
        <v>0</v>
      </c>
      <c r="AJ94" s="397">
        <f t="shared" si="62"/>
        <v>0</v>
      </c>
      <c r="AK94" s="397">
        <f t="shared" si="62"/>
        <v>0</v>
      </c>
      <c r="AL94" s="397">
        <f t="shared" si="62"/>
        <v>0</v>
      </c>
      <c r="AM94" s="397">
        <f t="shared" si="62"/>
        <v>0</v>
      </c>
      <c r="AN94" s="397">
        <f t="shared" si="62"/>
        <v>0</v>
      </c>
      <c r="AO94" s="397">
        <f t="shared" si="62"/>
        <v>0</v>
      </c>
      <c r="AP94" s="397">
        <f t="shared" si="62"/>
        <v>0</v>
      </c>
      <c r="AQ94" s="397">
        <f t="shared" si="62"/>
        <v>0</v>
      </c>
      <c r="AR94" s="397">
        <f t="shared" si="62"/>
        <v>0</v>
      </c>
      <c r="AS94" s="397">
        <f t="shared" si="62"/>
        <v>0</v>
      </c>
      <c r="AT94" s="397">
        <f t="shared" si="62"/>
        <v>0</v>
      </c>
      <c r="AU94" s="397">
        <f t="shared" si="62"/>
        <v>0</v>
      </c>
      <c r="AV94" s="397">
        <f t="shared" si="62"/>
        <v>0</v>
      </c>
      <c r="AW94" s="397">
        <f t="shared" si="62"/>
        <v>8.4600200771682204</v>
      </c>
      <c r="AX94" s="397">
        <f t="shared" si="60"/>
        <v>8.4600200771682204</v>
      </c>
      <c r="AY94" s="397">
        <f t="shared" si="60"/>
        <v>8.4600200771682204</v>
      </c>
      <c r="AZ94" s="397">
        <f t="shared" si="60"/>
        <v>8.4600200771682204</v>
      </c>
      <c r="BA94" s="397">
        <f t="shared" si="60"/>
        <v>8.4600200771682204</v>
      </c>
    </row>
    <row r="95" spans="2:53">
      <c r="B95" s="398">
        <f t="shared" si="63"/>
        <v>2066</v>
      </c>
      <c r="C95" s="397">
        <f t="shared" si="64"/>
        <v>0</v>
      </c>
      <c r="D95" s="397">
        <f t="shared" si="64"/>
        <v>0</v>
      </c>
      <c r="E95" s="397">
        <f t="shared" si="64"/>
        <v>0</v>
      </c>
      <c r="F95" s="397">
        <f t="shared" si="64"/>
        <v>0</v>
      </c>
      <c r="G95" s="397">
        <f t="shared" si="64"/>
        <v>0</v>
      </c>
      <c r="H95" s="397">
        <f t="shared" si="64"/>
        <v>0</v>
      </c>
      <c r="I95" s="397">
        <f t="shared" si="64"/>
        <v>0</v>
      </c>
      <c r="J95" s="397">
        <f t="shared" si="64"/>
        <v>0</v>
      </c>
      <c r="K95" s="397">
        <f t="shared" si="64"/>
        <v>0</v>
      </c>
      <c r="L95" s="397">
        <f t="shared" si="64"/>
        <v>0</v>
      </c>
      <c r="M95" s="397">
        <f t="shared" si="64"/>
        <v>0</v>
      </c>
      <c r="N95" s="397">
        <f t="shared" si="64"/>
        <v>0</v>
      </c>
      <c r="O95" s="397">
        <f t="shared" si="64"/>
        <v>0</v>
      </c>
      <c r="P95" s="397">
        <f t="shared" si="64"/>
        <v>0</v>
      </c>
      <c r="Q95" s="397">
        <f t="shared" si="64"/>
        <v>0</v>
      </c>
      <c r="R95" s="397">
        <f t="shared" si="64"/>
        <v>0</v>
      </c>
      <c r="S95" s="397">
        <f t="shared" si="61"/>
        <v>0</v>
      </c>
      <c r="T95" s="397">
        <f t="shared" si="61"/>
        <v>0</v>
      </c>
      <c r="U95" s="397">
        <f t="shared" si="61"/>
        <v>0</v>
      </c>
      <c r="V95" s="397">
        <f t="shared" si="61"/>
        <v>0</v>
      </c>
      <c r="W95" s="397">
        <f t="shared" si="61"/>
        <v>0</v>
      </c>
      <c r="X95" s="397">
        <f t="shared" si="61"/>
        <v>0</v>
      </c>
      <c r="Y95" s="397">
        <f t="shared" si="61"/>
        <v>0</v>
      </c>
      <c r="Z95" s="397">
        <f t="shared" si="61"/>
        <v>0</v>
      </c>
      <c r="AA95" s="397">
        <f t="shared" si="61"/>
        <v>0</v>
      </c>
      <c r="AB95" s="397">
        <f t="shared" si="61"/>
        <v>0</v>
      </c>
      <c r="AC95" s="397">
        <f t="shared" si="61"/>
        <v>0</v>
      </c>
      <c r="AD95" s="397">
        <f t="shared" si="61"/>
        <v>0</v>
      </c>
      <c r="AE95" s="397">
        <f t="shared" si="61"/>
        <v>0</v>
      </c>
      <c r="AF95" s="397">
        <f t="shared" si="61"/>
        <v>0</v>
      </c>
      <c r="AG95" s="397">
        <f t="shared" si="61"/>
        <v>0</v>
      </c>
      <c r="AH95" s="397">
        <f t="shared" si="62"/>
        <v>0</v>
      </c>
      <c r="AI95" s="397">
        <f t="shared" si="62"/>
        <v>0</v>
      </c>
      <c r="AJ95" s="397">
        <f t="shared" si="62"/>
        <v>0</v>
      </c>
      <c r="AK95" s="397">
        <f t="shared" si="62"/>
        <v>0</v>
      </c>
      <c r="AL95" s="397">
        <f t="shared" si="62"/>
        <v>0</v>
      </c>
      <c r="AM95" s="397">
        <f t="shared" si="62"/>
        <v>0</v>
      </c>
      <c r="AN95" s="397">
        <f t="shared" si="62"/>
        <v>0</v>
      </c>
      <c r="AO95" s="397">
        <f t="shared" si="62"/>
        <v>0</v>
      </c>
      <c r="AP95" s="397">
        <f t="shared" si="62"/>
        <v>0</v>
      </c>
      <c r="AQ95" s="397">
        <f t="shared" si="62"/>
        <v>0</v>
      </c>
      <c r="AR95" s="397">
        <f t="shared" si="62"/>
        <v>0</v>
      </c>
      <c r="AS95" s="397">
        <f t="shared" si="62"/>
        <v>0</v>
      </c>
      <c r="AT95" s="397">
        <f t="shared" si="62"/>
        <v>0</v>
      </c>
      <c r="AU95" s="397">
        <f t="shared" si="62"/>
        <v>0</v>
      </c>
      <c r="AV95" s="397">
        <f t="shared" si="62"/>
        <v>0</v>
      </c>
      <c r="AW95" s="397">
        <f t="shared" si="62"/>
        <v>0</v>
      </c>
      <c r="AX95" s="397">
        <f t="shared" si="60"/>
        <v>8.4695426583873648</v>
      </c>
      <c r="AY95" s="397">
        <f t="shared" si="60"/>
        <v>8.4695426583873648</v>
      </c>
      <c r="AZ95" s="397">
        <f t="shared" si="60"/>
        <v>8.4695426583873648</v>
      </c>
      <c r="BA95" s="397">
        <f t="shared" si="60"/>
        <v>8.4695426583873648</v>
      </c>
    </row>
    <row r="96" spans="2:53">
      <c r="B96" s="398">
        <f t="shared" si="63"/>
        <v>2067</v>
      </c>
      <c r="C96" s="397">
        <f t="shared" si="64"/>
        <v>0</v>
      </c>
      <c r="D96" s="397">
        <f t="shared" si="64"/>
        <v>0</v>
      </c>
      <c r="E96" s="397">
        <f t="shared" si="64"/>
        <v>0</v>
      </c>
      <c r="F96" s="397">
        <f t="shared" si="64"/>
        <v>0</v>
      </c>
      <c r="G96" s="397">
        <f t="shared" si="64"/>
        <v>0</v>
      </c>
      <c r="H96" s="397">
        <f t="shared" si="64"/>
        <v>0</v>
      </c>
      <c r="I96" s="397">
        <f t="shared" si="64"/>
        <v>0</v>
      </c>
      <c r="J96" s="397">
        <f t="shared" si="64"/>
        <v>0</v>
      </c>
      <c r="K96" s="397">
        <f t="shared" si="64"/>
        <v>0</v>
      </c>
      <c r="L96" s="397">
        <f t="shared" si="64"/>
        <v>0</v>
      </c>
      <c r="M96" s="397">
        <f t="shared" si="64"/>
        <v>0</v>
      </c>
      <c r="N96" s="397">
        <f t="shared" si="64"/>
        <v>0</v>
      </c>
      <c r="O96" s="397">
        <f t="shared" si="64"/>
        <v>0</v>
      </c>
      <c r="P96" s="397">
        <f t="shared" si="64"/>
        <v>0</v>
      </c>
      <c r="Q96" s="397">
        <f t="shared" si="64"/>
        <v>0</v>
      </c>
      <c r="R96" s="397">
        <f t="shared" si="64"/>
        <v>0</v>
      </c>
      <c r="S96" s="397">
        <f t="shared" si="61"/>
        <v>0</v>
      </c>
      <c r="T96" s="397">
        <f t="shared" si="61"/>
        <v>0</v>
      </c>
      <c r="U96" s="397">
        <f t="shared" si="61"/>
        <v>0</v>
      </c>
      <c r="V96" s="397">
        <f t="shared" si="61"/>
        <v>0</v>
      </c>
      <c r="W96" s="397">
        <f t="shared" si="61"/>
        <v>0</v>
      </c>
      <c r="X96" s="397">
        <f t="shared" si="61"/>
        <v>0</v>
      </c>
      <c r="Y96" s="397">
        <f t="shared" si="61"/>
        <v>0</v>
      </c>
      <c r="Z96" s="397">
        <f t="shared" si="61"/>
        <v>0</v>
      </c>
      <c r="AA96" s="397">
        <f t="shared" si="61"/>
        <v>0</v>
      </c>
      <c r="AB96" s="397">
        <f t="shared" si="61"/>
        <v>0</v>
      </c>
      <c r="AC96" s="397">
        <f t="shared" si="61"/>
        <v>0</v>
      </c>
      <c r="AD96" s="397">
        <f t="shared" si="61"/>
        <v>0</v>
      </c>
      <c r="AE96" s="397">
        <f t="shared" si="61"/>
        <v>0</v>
      </c>
      <c r="AF96" s="397">
        <f t="shared" si="61"/>
        <v>0</v>
      </c>
      <c r="AG96" s="397">
        <f t="shared" si="61"/>
        <v>0</v>
      </c>
      <c r="AH96" s="397">
        <f t="shared" si="62"/>
        <v>0</v>
      </c>
      <c r="AI96" s="397">
        <f t="shared" si="62"/>
        <v>0</v>
      </c>
      <c r="AJ96" s="397">
        <f t="shared" si="62"/>
        <v>0</v>
      </c>
      <c r="AK96" s="397">
        <f t="shared" si="62"/>
        <v>0</v>
      </c>
      <c r="AL96" s="397">
        <f t="shared" si="62"/>
        <v>0</v>
      </c>
      <c r="AM96" s="397">
        <f t="shared" si="62"/>
        <v>0</v>
      </c>
      <c r="AN96" s="397">
        <f t="shared" si="62"/>
        <v>0</v>
      </c>
      <c r="AO96" s="397">
        <f t="shared" si="62"/>
        <v>0</v>
      </c>
      <c r="AP96" s="397">
        <f t="shared" si="62"/>
        <v>0</v>
      </c>
      <c r="AQ96" s="397">
        <f t="shared" si="62"/>
        <v>0</v>
      </c>
      <c r="AR96" s="397">
        <f t="shared" si="62"/>
        <v>0</v>
      </c>
      <c r="AS96" s="397">
        <f t="shared" si="62"/>
        <v>0</v>
      </c>
      <c r="AT96" s="397">
        <f t="shared" si="62"/>
        <v>0</v>
      </c>
      <c r="AU96" s="397">
        <f t="shared" si="62"/>
        <v>0</v>
      </c>
      <c r="AV96" s="397">
        <f t="shared" si="62"/>
        <v>0</v>
      </c>
      <c r="AW96" s="397">
        <f t="shared" si="62"/>
        <v>0</v>
      </c>
      <c r="AX96" s="397">
        <f t="shared" si="60"/>
        <v>0</v>
      </c>
      <c r="AY96" s="397">
        <f t="shared" si="60"/>
        <v>8.4767155426906839</v>
      </c>
      <c r="AZ96" s="397">
        <f t="shared" si="60"/>
        <v>8.4767155426906839</v>
      </c>
      <c r="BA96" s="397">
        <f t="shared" si="60"/>
        <v>8.4767155426906839</v>
      </c>
    </row>
    <row r="97" spans="1:53">
      <c r="B97" s="398">
        <f t="shared" si="63"/>
        <v>2068</v>
      </c>
      <c r="C97" s="397">
        <f t="shared" si="64"/>
        <v>0</v>
      </c>
      <c r="D97" s="397">
        <f t="shared" si="64"/>
        <v>0</v>
      </c>
      <c r="E97" s="397">
        <f t="shared" si="64"/>
        <v>0</v>
      </c>
      <c r="F97" s="397">
        <f t="shared" si="64"/>
        <v>0</v>
      </c>
      <c r="G97" s="397">
        <f t="shared" si="64"/>
        <v>0</v>
      </c>
      <c r="H97" s="397">
        <f t="shared" si="64"/>
        <v>0</v>
      </c>
      <c r="I97" s="397">
        <f t="shared" si="64"/>
        <v>0</v>
      </c>
      <c r="J97" s="397">
        <f t="shared" si="64"/>
        <v>0</v>
      </c>
      <c r="K97" s="397">
        <f t="shared" si="64"/>
        <v>0</v>
      </c>
      <c r="L97" s="397">
        <f t="shared" si="64"/>
        <v>0</v>
      </c>
      <c r="M97" s="397">
        <f t="shared" si="64"/>
        <v>0</v>
      </c>
      <c r="N97" s="397">
        <f t="shared" si="64"/>
        <v>0</v>
      </c>
      <c r="O97" s="397">
        <f t="shared" si="64"/>
        <v>0</v>
      </c>
      <c r="P97" s="397">
        <f t="shared" si="64"/>
        <v>0</v>
      </c>
      <c r="Q97" s="397">
        <f t="shared" si="64"/>
        <v>0</v>
      </c>
      <c r="R97" s="397">
        <f t="shared" si="64"/>
        <v>0</v>
      </c>
      <c r="S97" s="397">
        <f t="shared" si="61"/>
        <v>0</v>
      </c>
      <c r="T97" s="397">
        <f t="shared" si="61"/>
        <v>0</v>
      </c>
      <c r="U97" s="397">
        <f t="shared" si="61"/>
        <v>0</v>
      </c>
      <c r="V97" s="397">
        <f t="shared" si="61"/>
        <v>0</v>
      </c>
      <c r="W97" s="397">
        <f t="shared" si="61"/>
        <v>0</v>
      </c>
      <c r="X97" s="397">
        <f t="shared" si="61"/>
        <v>0</v>
      </c>
      <c r="Y97" s="397">
        <f t="shared" si="61"/>
        <v>0</v>
      </c>
      <c r="Z97" s="397">
        <f t="shared" si="61"/>
        <v>0</v>
      </c>
      <c r="AA97" s="397">
        <f t="shared" si="61"/>
        <v>0</v>
      </c>
      <c r="AB97" s="397">
        <f t="shared" si="61"/>
        <v>0</v>
      </c>
      <c r="AC97" s="397">
        <f t="shared" si="61"/>
        <v>0</v>
      </c>
      <c r="AD97" s="397">
        <f t="shared" si="61"/>
        <v>0</v>
      </c>
      <c r="AE97" s="397">
        <f t="shared" si="61"/>
        <v>0</v>
      </c>
      <c r="AF97" s="397">
        <f t="shared" si="61"/>
        <v>0</v>
      </c>
      <c r="AG97" s="397">
        <f t="shared" si="61"/>
        <v>0</v>
      </c>
      <c r="AH97" s="397">
        <f t="shared" si="62"/>
        <v>0</v>
      </c>
      <c r="AI97" s="397">
        <f t="shared" si="62"/>
        <v>0</v>
      </c>
      <c r="AJ97" s="397">
        <f t="shared" si="62"/>
        <v>0</v>
      </c>
      <c r="AK97" s="397">
        <f t="shared" si="62"/>
        <v>0</v>
      </c>
      <c r="AL97" s="397">
        <f t="shared" si="62"/>
        <v>0</v>
      </c>
      <c r="AM97" s="397">
        <f t="shared" si="62"/>
        <v>0</v>
      </c>
      <c r="AN97" s="397">
        <f t="shared" si="62"/>
        <v>0</v>
      </c>
      <c r="AO97" s="397">
        <f t="shared" si="62"/>
        <v>0</v>
      </c>
      <c r="AP97" s="397">
        <f t="shared" si="62"/>
        <v>0</v>
      </c>
      <c r="AQ97" s="397">
        <f t="shared" si="62"/>
        <v>0</v>
      </c>
      <c r="AR97" s="397">
        <f t="shared" si="62"/>
        <v>0</v>
      </c>
      <c r="AS97" s="397">
        <f t="shared" si="62"/>
        <v>0</v>
      </c>
      <c r="AT97" s="397">
        <f t="shared" si="62"/>
        <v>0</v>
      </c>
      <c r="AU97" s="397">
        <f t="shared" si="62"/>
        <v>0</v>
      </c>
      <c r="AV97" s="397">
        <f t="shared" si="62"/>
        <v>0</v>
      </c>
      <c r="AW97" s="397">
        <f t="shared" si="62"/>
        <v>0</v>
      </c>
      <c r="AX97" s="397">
        <f t="shared" si="60"/>
        <v>0</v>
      </c>
      <c r="AY97" s="397">
        <f t="shared" si="60"/>
        <v>0</v>
      </c>
      <c r="AZ97" s="397">
        <f t="shared" si="60"/>
        <v>8.482118517792161</v>
      </c>
      <c r="BA97" s="397">
        <f t="shared" si="60"/>
        <v>8.482118517792161</v>
      </c>
    </row>
    <row r="98" spans="1:53">
      <c r="B98" s="398">
        <f t="shared" si="63"/>
        <v>2069</v>
      </c>
      <c r="C98" s="397">
        <f t="shared" si="64"/>
        <v>0</v>
      </c>
      <c r="D98" s="397">
        <f t="shared" si="64"/>
        <v>0</v>
      </c>
      <c r="E98" s="397">
        <f t="shared" si="64"/>
        <v>0</v>
      </c>
      <c r="F98" s="397">
        <f t="shared" si="64"/>
        <v>0</v>
      </c>
      <c r="G98" s="397">
        <f t="shared" si="64"/>
        <v>0</v>
      </c>
      <c r="H98" s="397">
        <f t="shared" si="64"/>
        <v>0</v>
      </c>
      <c r="I98" s="397">
        <f t="shared" si="64"/>
        <v>0</v>
      </c>
      <c r="J98" s="397">
        <f t="shared" si="64"/>
        <v>0</v>
      </c>
      <c r="K98" s="397">
        <f t="shared" si="64"/>
        <v>0</v>
      </c>
      <c r="L98" s="397">
        <f t="shared" si="64"/>
        <v>0</v>
      </c>
      <c r="M98" s="397">
        <f t="shared" si="64"/>
        <v>0</v>
      </c>
      <c r="N98" s="397">
        <f t="shared" si="64"/>
        <v>0</v>
      </c>
      <c r="O98" s="397">
        <f t="shared" si="64"/>
        <v>0</v>
      </c>
      <c r="P98" s="397">
        <f t="shared" si="64"/>
        <v>0</v>
      </c>
      <c r="Q98" s="397">
        <f t="shared" si="64"/>
        <v>0</v>
      </c>
      <c r="R98" s="397">
        <f t="shared" si="64"/>
        <v>0</v>
      </c>
      <c r="S98" s="397">
        <f t="shared" si="61"/>
        <v>0</v>
      </c>
      <c r="T98" s="397">
        <f t="shared" si="61"/>
        <v>0</v>
      </c>
      <c r="U98" s="397">
        <f t="shared" si="61"/>
        <v>0</v>
      </c>
      <c r="V98" s="397">
        <f t="shared" si="61"/>
        <v>0</v>
      </c>
      <c r="W98" s="397">
        <f t="shared" si="61"/>
        <v>0</v>
      </c>
      <c r="X98" s="397">
        <f t="shared" si="61"/>
        <v>0</v>
      </c>
      <c r="Y98" s="397">
        <f t="shared" si="61"/>
        <v>0</v>
      </c>
      <c r="Z98" s="397">
        <f t="shared" si="61"/>
        <v>0</v>
      </c>
      <c r="AA98" s="397">
        <f t="shared" si="61"/>
        <v>0</v>
      </c>
      <c r="AB98" s="397">
        <f t="shared" si="61"/>
        <v>0</v>
      </c>
      <c r="AC98" s="397">
        <f t="shared" si="61"/>
        <v>0</v>
      </c>
      <c r="AD98" s="397">
        <f t="shared" si="61"/>
        <v>0</v>
      </c>
      <c r="AE98" s="397">
        <f t="shared" si="61"/>
        <v>0</v>
      </c>
      <c r="AF98" s="397">
        <f t="shared" si="61"/>
        <v>0</v>
      </c>
      <c r="AG98" s="397">
        <f t="shared" si="61"/>
        <v>0</v>
      </c>
      <c r="AH98" s="397">
        <f t="shared" si="62"/>
        <v>0</v>
      </c>
      <c r="AI98" s="397">
        <f t="shared" si="62"/>
        <v>0</v>
      </c>
      <c r="AJ98" s="397">
        <f t="shared" si="62"/>
        <v>0</v>
      </c>
      <c r="AK98" s="397">
        <f t="shared" si="62"/>
        <v>0</v>
      </c>
      <c r="AL98" s="397">
        <f t="shared" si="62"/>
        <v>0</v>
      </c>
      <c r="AM98" s="397">
        <f t="shared" si="62"/>
        <v>0</v>
      </c>
      <c r="AN98" s="397">
        <f t="shared" si="62"/>
        <v>0</v>
      </c>
      <c r="AO98" s="397">
        <f t="shared" si="62"/>
        <v>0</v>
      </c>
      <c r="AP98" s="397">
        <f t="shared" si="62"/>
        <v>0</v>
      </c>
      <c r="AQ98" s="397">
        <f t="shared" si="62"/>
        <v>0</v>
      </c>
      <c r="AR98" s="397">
        <f t="shared" si="62"/>
        <v>0</v>
      </c>
      <c r="AS98" s="397">
        <f t="shared" si="62"/>
        <v>0</v>
      </c>
      <c r="AT98" s="397">
        <f t="shared" si="62"/>
        <v>0</v>
      </c>
      <c r="AU98" s="397">
        <f t="shared" si="62"/>
        <v>0</v>
      </c>
      <c r="AV98" s="397">
        <f t="shared" si="62"/>
        <v>0</v>
      </c>
      <c r="AW98" s="397">
        <f t="shared" si="62"/>
        <v>0</v>
      </c>
      <c r="AX98" s="397">
        <f t="shared" si="60"/>
        <v>0</v>
      </c>
      <c r="AY98" s="397">
        <f t="shared" si="60"/>
        <v>0</v>
      </c>
      <c r="AZ98" s="397">
        <f t="shared" si="60"/>
        <v>0</v>
      </c>
      <c r="BA98" s="397">
        <f t="shared" si="60"/>
        <v>8.486188308787348</v>
      </c>
    </row>
    <row r="99" spans="1:53">
      <c r="B99" s="398">
        <f t="shared" si="63"/>
        <v>2070</v>
      </c>
      <c r="C99" s="397">
        <f t="shared" si="64"/>
        <v>0</v>
      </c>
      <c r="D99" s="397">
        <f t="shared" si="64"/>
        <v>0</v>
      </c>
      <c r="E99" s="397">
        <f t="shared" si="64"/>
        <v>0</v>
      </c>
      <c r="F99" s="397">
        <f t="shared" si="64"/>
        <v>0</v>
      </c>
      <c r="G99" s="397">
        <f t="shared" si="64"/>
        <v>0</v>
      </c>
      <c r="H99" s="397">
        <f t="shared" si="64"/>
        <v>0</v>
      </c>
      <c r="I99" s="397">
        <f t="shared" si="64"/>
        <v>0</v>
      </c>
      <c r="J99" s="397">
        <f t="shared" si="64"/>
        <v>0</v>
      </c>
      <c r="K99" s="397">
        <f t="shared" si="64"/>
        <v>0</v>
      </c>
      <c r="L99" s="397">
        <f t="shared" si="64"/>
        <v>0</v>
      </c>
      <c r="M99" s="397">
        <f t="shared" si="64"/>
        <v>0</v>
      </c>
      <c r="N99" s="397">
        <f t="shared" si="64"/>
        <v>0</v>
      </c>
      <c r="O99" s="397">
        <f t="shared" si="64"/>
        <v>0</v>
      </c>
      <c r="P99" s="397">
        <f t="shared" si="64"/>
        <v>0</v>
      </c>
      <c r="Q99" s="397">
        <f t="shared" si="64"/>
        <v>0</v>
      </c>
      <c r="R99" s="397">
        <f t="shared" si="64"/>
        <v>0</v>
      </c>
      <c r="S99" s="397">
        <f t="shared" si="61"/>
        <v>0</v>
      </c>
      <c r="T99" s="397">
        <f t="shared" si="61"/>
        <v>0</v>
      </c>
      <c r="U99" s="397">
        <f t="shared" si="61"/>
        <v>0</v>
      </c>
      <c r="V99" s="397">
        <f t="shared" si="61"/>
        <v>0</v>
      </c>
      <c r="W99" s="397">
        <f t="shared" si="61"/>
        <v>0</v>
      </c>
      <c r="X99" s="397">
        <f t="shared" si="61"/>
        <v>0</v>
      </c>
      <c r="Y99" s="397">
        <f t="shared" si="61"/>
        <v>0</v>
      </c>
      <c r="Z99" s="397">
        <f t="shared" si="61"/>
        <v>0</v>
      </c>
      <c r="AA99" s="397">
        <f t="shared" si="61"/>
        <v>0</v>
      </c>
      <c r="AB99" s="397">
        <f t="shared" si="61"/>
        <v>0</v>
      </c>
      <c r="AC99" s="397">
        <f t="shared" si="61"/>
        <v>0</v>
      </c>
      <c r="AD99" s="397">
        <f t="shared" si="61"/>
        <v>0</v>
      </c>
      <c r="AE99" s="397">
        <f t="shared" si="61"/>
        <v>0</v>
      </c>
      <c r="AF99" s="397">
        <f t="shared" si="61"/>
        <v>0</v>
      </c>
      <c r="AG99" s="397">
        <f t="shared" si="61"/>
        <v>0</v>
      </c>
      <c r="AH99" s="397">
        <f t="shared" si="62"/>
        <v>0</v>
      </c>
      <c r="AI99" s="397">
        <f t="shared" si="62"/>
        <v>0</v>
      </c>
      <c r="AJ99" s="397">
        <f t="shared" si="62"/>
        <v>0</v>
      </c>
      <c r="AK99" s="397">
        <f t="shared" si="62"/>
        <v>0</v>
      </c>
      <c r="AL99" s="397">
        <f t="shared" si="62"/>
        <v>0</v>
      </c>
      <c r="AM99" s="397">
        <f t="shared" si="62"/>
        <v>0</v>
      </c>
      <c r="AN99" s="397">
        <f t="shared" si="62"/>
        <v>0</v>
      </c>
      <c r="AO99" s="397">
        <f t="shared" si="62"/>
        <v>0</v>
      </c>
      <c r="AP99" s="397">
        <f t="shared" si="62"/>
        <v>0</v>
      </c>
      <c r="AQ99" s="397">
        <f t="shared" si="62"/>
        <v>0</v>
      </c>
      <c r="AR99" s="397">
        <f t="shared" si="62"/>
        <v>0</v>
      </c>
      <c r="AS99" s="397">
        <f t="shared" si="62"/>
        <v>0</v>
      </c>
      <c r="AT99" s="397">
        <f t="shared" si="62"/>
        <v>0</v>
      </c>
      <c r="AU99" s="397">
        <f t="shared" si="62"/>
        <v>0</v>
      </c>
      <c r="AV99" s="397">
        <f t="shared" si="62"/>
        <v>0</v>
      </c>
      <c r="AW99" s="397">
        <f t="shared" si="62"/>
        <v>0</v>
      </c>
      <c r="AX99" s="397">
        <f t="shared" si="60"/>
        <v>0</v>
      </c>
      <c r="AY99" s="397">
        <f t="shared" si="60"/>
        <v>0</v>
      </c>
      <c r="AZ99" s="397">
        <f t="shared" si="60"/>
        <v>0</v>
      </c>
      <c r="BA99" s="397">
        <f t="shared" si="60"/>
        <v>0</v>
      </c>
    </row>
    <row r="100" spans="1:53">
      <c r="D100" s="395"/>
      <c r="E100" s="395"/>
      <c r="F100" s="395"/>
      <c r="G100" s="395"/>
      <c r="H100" s="395"/>
      <c r="I100" s="395"/>
      <c r="J100" s="395"/>
      <c r="K100" s="395"/>
      <c r="L100" s="395"/>
      <c r="M100" s="395"/>
      <c r="N100" s="395"/>
      <c r="O100" s="395"/>
      <c r="P100" s="395"/>
      <c r="Q100" s="395"/>
      <c r="R100" s="395"/>
      <c r="S100" s="395"/>
      <c r="T100" s="395"/>
      <c r="U100" s="395"/>
      <c r="V100" s="395"/>
      <c r="W100" s="395"/>
      <c r="X100" s="395"/>
      <c r="Y100" s="395"/>
      <c r="Z100" s="395"/>
      <c r="AA100" s="395"/>
      <c r="AB100" s="395"/>
      <c r="AC100" s="395"/>
      <c r="AD100" s="395"/>
      <c r="AE100" s="395"/>
      <c r="AF100" s="395"/>
      <c r="AG100" s="395"/>
      <c r="AH100" s="395"/>
      <c r="AI100" s="395"/>
      <c r="AJ100" s="395"/>
      <c r="AK100" s="395"/>
      <c r="AL100" s="395"/>
      <c r="AM100" s="395"/>
      <c r="AN100" s="395"/>
      <c r="AO100" s="395"/>
      <c r="AP100" s="395"/>
      <c r="AQ100" s="395"/>
      <c r="AR100" s="395"/>
      <c r="AS100" s="395"/>
      <c r="AT100" s="395"/>
      <c r="AU100" s="395"/>
      <c r="AV100" s="395"/>
      <c r="AW100" s="395"/>
      <c r="AX100" s="395"/>
      <c r="AY100" s="395"/>
      <c r="AZ100" s="395"/>
      <c r="BA100" s="395"/>
    </row>
    <row r="101" spans="1:53" s="9" customFormat="1">
      <c r="B101" s="412" t="s">
        <v>2908</v>
      </c>
      <c r="C101" s="413">
        <f t="shared" ref="C101:AH101" si="65">SUM(C49:C99)</f>
        <v>0</v>
      </c>
      <c r="D101" s="413">
        <f t="shared" si="65"/>
        <v>4.8590541916167656</v>
      </c>
      <c r="E101" s="413">
        <f t="shared" si="65"/>
        <v>9.884193068702583</v>
      </c>
      <c r="F101" s="413">
        <f t="shared" si="65"/>
        <v>15.051479973522245</v>
      </c>
      <c r="G101" s="413">
        <f t="shared" si="65"/>
        <v>20.344795164279436</v>
      </c>
      <c r="H101" s="413">
        <f t="shared" si="65"/>
        <v>25.755113964939984</v>
      </c>
      <c r="I101" s="413">
        <f t="shared" si="65"/>
        <v>31.27732627575692</v>
      </c>
      <c r="J101" s="413">
        <f t="shared" si="65"/>
        <v>36.906447824723116</v>
      </c>
      <c r="K101" s="413">
        <f t="shared" si="65"/>
        <v>42.639337978666347</v>
      </c>
      <c r="L101" s="413">
        <f t="shared" si="65"/>
        <v>48.483830049435078</v>
      </c>
      <c r="M101" s="413">
        <f t="shared" si="65"/>
        <v>54.440573533387607</v>
      </c>
      <c r="N101" s="413">
        <f t="shared" si="65"/>
        <v>55.647770891957599</v>
      </c>
      <c r="O101" s="413">
        <f t="shared" si="65"/>
        <v>56.794256390615814</v>
      </c>
      <c r="P101" s="413">
        <f t="shared" si="65"/>
        <v>57.899052699384718</v>
      </c>
      <c r="Q101" s="413">
        <f t="shared" si="65"/>
        <v>58.975358913910355</v>
      </c>
      <c r="R101" s="413">
        <f t="shared" si="65"/>
        <v>60.031517802915104</v>
      </c>
      <c r="S101" s="413">
        <f t="shared" si="65"/>
        <v>61.072220802128939</v>
      </c>
      <c r="T101" s="413">
        <f t="shared" si="65"/>
        <v>62.100223743234352</v>
      </c>
      <c r="U101" s="413">
        <f t="shared" si="65"/>
        <v>63.116729163933122</v>
      </c>
      <c r="V101" s="413">
        <f t="shared" si="65"/>
        <v>64.116168808756115</v>
      </c>
      <c r="W101" s="413">
        <f t="shared" si="65"/>
        <v>65.096555108616769</v>
      </c>
      <c r="X101" s="413">
        <f t="shared" si="65"/>
        <v>66.058302809306142</v>
      </c>
      <c r="Y101" s="413">
        <f t="shared" si="65"/>
        <v>67.003088734014668</v>
      </c>
      <c r="Z101" s="413">
        <f t="shared" si="65"/>
        <v>67.935080218565034</v>
      </c>
      <c r="AA101" s="413">
        <f t="shared" si="65"/>
        <v>68.856052930295434</v>
      </c>
      <c r="AB101" s="413">
        <f t="shared" si="65"/>
        <v>69.764843122668594</v>
      </c>
      <c r="AC101" s="413">
        <f t="shared" si="65"/>
        <v>70.659496303148117</v>
      </c>
      <c r="AD101" s="413">
        <f t="shared" si="65"/>
        <v>71.539350477089883</v>
      </c>
      <c r="AE101" s="413">
        <f t="shared" si="65"/>
        <v>72.403084938368607</v>
      </c>
      <c r="AF101" s="413">
        <f t="shared" si="65"/>
        <v>73.244846942354854</v>
      </c>
      <c r="AG101" s="413">
        <f t="shared" si="65"/>
        <v>74.062727843682381</v>
      </c>
      <c r="AH101" s="413">
        <f t="shared" si="65"/>
        <v>74.85739453829315</v>
      </c>
      <c r="AI101" s="413">
        <f t="shared" ref="AI101:BA101" si="66">SUM(AI49:AI99)</f>
        <v>75.62979354276672</v>
      </c>
      <c r="AJ101" s="413">
        <f t="shared" si="66"/>
        <v>76.379723008759797</v>
      </c>
      <c r="AK101" s="413">
        <f t="shared" si="66"/>
        <v>77.105596245273915</v>
      </c>
      <c r="AL101" s="413">
        <f t="shared" si="66"/>
        <v>77.805208016116367</v>
      </c>
      <c r="AM101" s="413">
        <f t="shared" si="66"/>
        <v>78.476020534489891</v>
      </c>
      <c r="AN101" s="413">
        <f t="shared" si="66"/>
        <v>79.116613328972733</v>
      </c>
      <c r="AO101" s="413">
        <f t="shared" si="66"/>
        <v>79.726086902098373</v>
      </c>
      <c r="AP101" s="413">
        <f t="shared" si="66"/>
        <v>80.303670873795824</v>
      </c>
      <c r="AQ101" s="413">
        <f t="shared" si="66"/>
        <v>80.850187031039709</v>
      </c>
      <c r="AR101" s="413">
        <f t="shared" si="66"/>
        <v>81.366984950377429</v>
      </c>
      <c r="AS101" s="413">
        <f t="shared" si="66"/>
        <v>81.85690933689088</v>
      </c>
      <c r="AT101" s="413">
        <f t="shared" si="66"/>
        <v>82.311218861096108</v>
      </c>
      <c r="AU101" s="413">
        <f t="shared" si="66"/>
        <v>82.725346328569216</v>
      </c>
      <c r="AV101" s="413">
        <f t="shared" si="66"/>
        <v>83.097844759867272</v>
      </c>
      <c r="AW101" s="413">
        <f t="shared" si="66"/>
        <v>83.42948382815166</v>
      </c>
      <c r="AX101" s="413">
        <f t="shared" si="66"/>
        <v>83.721455028042826</v>
      </c>
      <c r="AY101" s="413">
        <f t="shared" si="66"/>
        <v>83.975566961687136</v>
      </c>
      <c r="AZ101" s="413">
        <f t="shared" si="66"/>
        <v>84.19440778820389</v>
      </c>
      <c r="BA101" s="413">
        <f t="shared" si="66"/>
        <v>84.379069254606648</v>
      </c>
    </row>
    <row r="102" spans="1:53">
      <c r="D102" s="395"/>
      <c r="E102" s="395"/>
      <c r="F102" s="395"/>
      <c r="G102" s="395"/>
      <c r="H102" s="395"/>
      <c r="I102" s="395"/>
      <c r="J102" s="395"/>
      <c r="K102" s="395"/>
      <c r="L102" s="395"/>
      <c r="M102" s="395"/>
      <c r="N102" s="395"/>
      <c r="O102" s="395"/>
      <c r="P102" s="395"/>
      <c r="Q102" s="395"/>
      <c r="R102" s="395"/>
      <c r="S102" s="395"/>
      <c r="T102" s="395"/>
      <c r="U102" s="395"/>
      <c r="V102" s="395"/>
      <c r="W102" s="395"/>
      <c r="X102" s="395"/>
      <c r="Y102" s="395"/>
      <c r="Z102" s="395"/>
      <c r="AA102" s="395"/>
      <c r="AB102" s="395"/>
      <c r="AC102" s="395"/>
      <c r="AD102" s="395"/>
      <c r="AE102" s="395"/>
      <c r="AF102" s="395"/>
    </row>
    <row r="103" spans="1:53">
      <c r="D103" s="395"/>
      <c r="E103" s="395"/>
      <c r="F103" s="395"/>
      <c r="G103" s="395"/>
      <c r="H103" s="395"/>
      <c r="I103" s="395"/>
      <c r="J103" s="395"/>
      <c r="K103" s="395"/>
      <c r="L103" s="395"/>
      <c r="M103" s="395"/>
      <c r="N103" s="395"/>
      <c r="O103" s="395"/>
      <c r="P103" s="395"/>
      <c r="Q103" s="395"/>
      <c r="R103" s="395"/>
      <c r="S103" s="395"/>
      <c r="T103" s="395"/>
      <c r="U103" s="395"/>
      <c r="V103" s="395"/>
      <c r="W103" s="395"/>
      <c r="X103" s="395"/>
      <c r="Y103" s="395"/>
      <c r="Z103" s="395"/>
      <c r="AA103" s="395"/>
      <c r="AB103" s="395"/>
      <c r="AC103" s="395"/>
      <c r="AD103" s="395"/>
      <c r="AE103" s="395"/>
      <c r="AF103" s="395"/>
    </row>
    <row r="104" spans="1:53">
      <c r="D104" s="395"/>
      <c r="E104" s="395"/>
      <c r="F104" s="395"/>
      <c r="G104" s="395"/>
      <c r="H104" s="395"/>
      <c r="I104" s="395"/>
      <c r="J104" s="395"/>
      <c r="K104" s="395"/>
      <c r="L104" s="395"/>
      <c r="M104" s="395"/>
      <c r="N104" s="395"/>
      <c r="O104" s="395"/>
      <c r="P104" s="395"/>
      <c r="Q104" s="395"/>
      <c r="R104" s="395"/>
      <c r="S104" s="395"/>
      <c r="T104" s="395"/>
      <c r="U104" s="395"/>
      <c r="V104" s="395"/>
      <c r="W104" s="395"/>
      <c r="X104" s="395"/>
      <c r="Y104" s="395"/>
      <c r="Z104" s="395"/>
      <c r="AA104" s="395"/>
      <c r="AB104" s="395"/>
      <c r="AC104" s="395"/>
      <c r="AD104" s="395"/>
      <c r="AE104" s="395"/>
      <c r="AF104" s="395"/>
    </row>
    <row r="105" spans="1:53">
      <c r="A105" s="9" t="s">
        <v>184</v>
      </c>
    </row>
    <row r="106" spans="1:53">
      <c r="A106" s="9"/>
      <c r="B106" s="9"/>
    </row>
    <row r="107" spans="1:53">
      <c r="A107" s="9" t="s">
        <v>10</v>
      </c>
      <c r="B107" s="9" t="s">
        <v>2934</v>
      </c>
    </row>
    <row r="108" spans="1:53">
      <c r="A108" s="9"/>
      <c r="B108" s="9"/>
    </row>
    <row r="109" spans="1:53">
      <c r="A109" s="9"/>
      <c r="B109" s="9"/>
    </row>
    <row r="110" spans="1:53">
      <c r="A110" s="9"/>
      <c r="B110" s="12" t="s">
        <v>2531</v>
      </c>
      <c r="C110" s="24">
        <f>Epidemiology!C120</f>
        <v>0.47499999999999998</v>
      </c>
    </row>
    <row r="111" spans="1:53">
      <c r="A111" s="9"/>
      <c r="B111" s="9"/>
    </row>
    <row r="112" spans="1:53">
      <c r="A112" s="9"/>
      <c r="B112" s="4"/>
      <c r="C112" s="34">
        <f>'Prevalence projection'!C65</f>
        <v>2020</v>
      </c>
      <c r="D112" s="34">
        <f>'Prevalence projection'!D65</f>
        <v>2021</v>
      </c>
      <c r="E112" s="34">
        <f>'Prevalence projection'!E65</f>
        <v>2022</v>
      </c>
      <c r="F112" s="34">
        <f>'Prevalence projection'!F65</f>
        <v>2023</v>
      </c>
      <c r="G112" s="34">
        <f>'Prevalence projection'!G65</f>
        <v>2024</v>
      </c>
      <c r="H112" s="34">
        <f>'Prevalence projection'!H65</f>
        <v>2025</v>
      </c>
      <c r="I112" s="34">
        <f>'Prevalence projection'!I65</f>
        <v>2026</v>
      </c>
      <c r="J112" s="34">
        <f>'Prevalence projection'!J65</f>
        <v>2027</v>
      </c>
      <c r="K112" s="34">
        <f>'Prevalence projection'!K65</f>
        <v>2028</v>
      </c>
      <c r="L112" s="34">
        <f>'Prevalence projection'!L65</f>
        <v>2029</v>
      </c>
      <c r="M112" s="34">
        <f>'Prevalence projection'!M65</f>
        <v>2030</v>
      </c>
      <c r="N112" s="34">
        <f>'Prevalence projection'!N65</f>
        <v>2031</v>
      </c>
      <c r="O112" s="34">
        <f>'Prevalence projection'!O65</f>
        <v>2032</v>
      </c>
      <c r="P112" s="34">
        <f>'Prevalence projection'!P65</f>
        <v>2033</v>
      </c>
      <c r="Q112" s="34">
        <f>'Prevalence projection'!Q65</f>
        <v>2034</v>
      </c>
      <c r="R112" s="34">
        <f>'Prevalence projection'!R65</f>
        <v>2035</v>
      </c>
      <c r="S112" s="34">
        <f>'Prevalence projection'!S65</f>
        <v>2036</v>
      </c>
      <c r="T112" s="34">
        <f>'Prevalence projection'!T65</f>
        <v>2037</v>
      </c>
      <c r="U112" s="34">
        <f>'Prevalence projection'!U65</f>
        <v>2038</v>
      </c>
      <c r="V112" s="34">
        <f>'Prevalence projection'!V65</f>
        <v>2039</v>
      </c>
      <c r="W112" s="34">
        <f>'Prevalence projection'!W65</f>
        <v>2040</v>
      </c>
      <c r="X112" s="34">
        <f>'Prevalence projection'!X65</f>
        <v>2041</v>
      </c>
      <c r="Y112" s="34">
        <f>'Prevalence projection'!Y65</f>
        <v>2042</v>
      </c>
      <c r="Z112" s="34">
        <f>'Prevalence projection'!Z65</f>
        <v>2043</v>
      </c>
      <c r="AA112" s="34">
        <f>'Prevalence projection'!AA65</f>
        <v>2044</v>
      </c>
      <c r="AB112" s="34">
        <f>'Prevalence projection'!AB65</f>
        <v>2045</v>
      </c>
      <c r="AC112" s="34">
        <f>'Prevalence projection'!AC65</f>
        <v>2046</v>
      </c>
      <c r="AD112" s="34">
        <f>'Prevalence projection'!AD65</f>
        <v>2047</v>
      </c>
      <c r="AE112" s="34">
        <f>'Prevalence projection'!AE65</f>
        <v>2048</v>
      </c>
      <c r="AF112" s="34">
        <f>'Prevalence projection'!AF65</f>
        <v>2049</v>
      </c>
      <c r="AG112" s="34">
        <f>'Prevalence projection'!AG65</f>
        <v>2050</v>
      </c>
      <c r="AH112" s="34">
        <f>'Prevalence projection'!AH65</f>
        <v>2051</v>
      </c>
      <c r="AI112" s="34">
        <f>'Prevalence projection'!AI65</f>
        <v>2052</v>
      </c>
      <c r="AJ112" s="34">
        <f>'Prevalence projection'!AJ65</f>
        <v>2053</v>
      </c>
      <c r="AK112" s="34">
        <f>'Prevalence projection'!AK65</f>
        <v>2054</v>
      </c>
      <c r="AL112" s="34">
        <f>'Prevalence projection'!AL65</f>
        <v>2055</v>
      </c>
      <c r="AM112" s="34">
        <f>'Prevalence projection'!AM65</f>
        <v>2056</v>
      </c>
      <c r="AN112" s="34">
        <f>'Prevalence projection'!AN65</f>
        <v>2057</v>
      </c>
      <c r="AO112" s="34">
        <f>'Prevalence projection'!AO65</f>
        <v>2058</v>
      </c>
      <c r="AP112" s="34">
        <f>'Prevalence projection'!AP65</f>
        <v>2059</v>
      </c>
      <c r="AQ112" s="34">
        <f>'Prevalence projection'!AQ65</f>
        <v>2060</v>
      </c>
      <c r="AR112" s="34">
        <f>'Prevalence projection'!AR65</f>
        <v>2061</v>
      </c>
      <c r="AS112" s="34">
        <f>'Prevalence projection'!AS65</f>
        <v>2062</v>
      </c>
      <c r="AT112" s="34">
        <f>'Prevalence projection'!AT65</f>
        <v>2063</v>
      </c>
      <c r="AU112" s="34">
        <f>'Prevalence projection'!AU65</f>
        <v>2064</v>
      </c>
      <c r="AV112" s="34">
        <f>'Prevalence projection'!AV65</f>
        <v>2065</v>
      </c>
      <c r="AW112" s="34">
        <f>'Prevalence projection'!AW65</f>
        <v>2066</v>
      </c>
      <c r="AX112" s="34">
        <f>'Prevalence projection'!AX65</f>
        <v>2067</v>
      </c>
      <c r="AY112" s="34">
        <f>'Prevalence projection'!AY65</f>
        <v>2068</v>
      </c>
      <c r="AZ112" s="34">
        <f>'Prevalence projection'!AZ65</f>
        <v>2069</v>
      </c>
      <c r="BA112" s="34">
        <f>'Prevalence projection'!BA65</f>
        <v>2070</v>
      </c>
    </row>
    <row r="113" spans="1:53">
      <c r="A113" s="9"/>
      <c r="B113" s="12" t="s">
        <v>2980</v>
      </c>
      <c r="C113" s="39">
        <f>'Prevalence projection'!C67</f>
        <v>34.65</v>
      </c>
      <c r="D113" s="39">
        <f>'Prevalence projection'!D67</f>
        <v>35.981926006754605</v>
      </c>
      <c r="E113" s="39">
        <f>'Prevalence projection'!E67</f>
        <v>37.132194096863678</v>
      </c>
      <c r="F113" s="39">
        <f>'Prevalence projection'!F67</f>
        <v>38.153417487819254</v>
      </c>
      <c r="G113" s="39">
        <f>'Prevalence projection'!G67</f>
        <v>39.094541388132477</v>
      </c>
      <c r="H113" s="39">
        <f>'Prevalence projection'!H67</f>
        <v>39.984320907387513</v>
      </c>
      <c r="I113" s="39">
        <f>'Prevalence projection'!I67</f>
        <v>40.826616758769269</v>
      </c>
      <c r="J113" s="39">
        <f>'Prevalence projection'!J67</f>
        <v>41.635933280647158</v>
      </c>
      <c r="K113" s="39">
        <f>'Prevalence projection'!K67</f>
        <v>42.486578428103947</v>
      </c>
      <c r="L113" s="39">
        <f>'Prevalence projection'!L67</f>
        <v>43.33492578842506</v>
      </c>
      <c r="M113" s="39">
        <f>'Prevalence projection'!M67</f>
        <v>44.160234900213737</v>
      </c>
      <c r="N113" s="39">
        <f>'Prevalence projection'!N67</f>
        <v>44.953987779248408</v>
      </c>
      <c r="O113" s="39">
        <f>'Prevalence projection'!O67</f>
        <v>45.711317322467472</v>
      </c>
      <c r="P113" s="39">
        <f>'Prevalence projection'!P67</f>
        <v>46.445387021967264</v>
      </c>
      <c r="Q113" s="39">
        <f>'Prevalence projection'!Q67</f>
        <v>47.171303649755529</v>
      </c>
      <c r="R113" s="39">
        <f>'Prevalence projection'!R67</f>
        <v>47.891489260829076</v>
      </c>
      <c r="S113" s="39">
        <f>'Prevalence projection'!S67</f>
        <v>48.594633228791373</v>
      </c>
      <c r="T113" s="39">
        <f>'Prevalence projection'!T67</f>
        <v>49.28278744282165</v>
      </c>
      <c r="U113" s="39">
        <f>'Prevalence projection'!U67</f>
        <v>49.983740366797655</v>
      </c>
      <c r="V113" s="39">
        <f>'Prevalence projection'!V67</f>
        <v>50.67466077372093</v>
      </c>
      <c r="W113" s="39">
        <f>'Prevalence projection'!W67</f>
        <v>51.349080141981602</v>
      </c>
      <c r="X113" s="39">
        <f>'Prevalence projection'!X67</f>
        <v>52.006007074469117</v>
      </c>
      <c r="Y113" s="39">
        <f>'Prevalence projection'!Y67</f>
        <v>52.656562597514792</v>
      </c>
      <c r="Z113" s="39">
        <f>'Prevalence projection'!Z67</f>
        <v>53.298322531197783</v>
      </c>
      <c r="AA113" s="39">
        <f>'Prevalence projection'!AA67</f>
        <v>53.926763929067597</v>
      </c>
      <c r="AB113" s="39">
        <f>'Prevalence projection'!AB67</f>
        <v>54.538362999793904</v>
      </c>
      <c r="AC113" s="39">
        <f>'Prevalence projection'!AC67</f>
        <v>55.129584625317108</v>
      </c>
      <c r="AD113" s="39">
        <f>'Prevalence projection'!AD67</f>
        <v>55.697813006653824</v>
      </c>
      <c r="AE113" s="39">
        <f>'Prevalence projection'!AE67</f>
        <v>56.240671190983321</v>
      </c>
      <c r="AF113" s="39">
        <f>'Prevalence projection'!AF67</f>
        <v>56.760175781260472</v>
      </c>
      <c r="AG113" s="39">
        <f>'Prevalence projection'!AG67</f>
        <v>57.266628570655385</v>
      </c>
      <c r="AH113" s="39">
        <f>'Prevalence projection'!AH67</f>
        <v>57.761197096000018</v>
      </c>
      <c r="AI113" s="39">
        <f>'Prevalence projection'!AI67</f>
        <v>58.247752899759931</v>
      </c>
      <c r="AJ113" s="39">
        <f>'Prevalence projection'!AJ67</f>
        <v>58.71480404277883</v>
      </c>
      <c r="AK113" s="39">
        <f>'Prevalence projection'!AK67</f>
        <v>59.153549992008898</v>
      </c>
      <c r="AL113" s="39">
        <f>'Prevalence projection'!AL67</f>
        <v>59.558009183128945</v>
      </c>
      <c r="AM113" s="39">
        <f>'Prevalence projection'!AM67</f>
        <v>59.931721008734229</v>
      </c>
      <c r="AN113" s="39">
        <f>'Prevalence projection'!AN67</f>
        <v>60.275476720898219</v>
      </c>
      <c r="AO113" s="39">
        <f>'Prevalence projection'!AO67</f>
        <v>60.587824502150404</v>
      </c>
      <c r="AP113" s="39">
        <f>'Prevalence projection'!AP67</f>
        <v>60.881327848499232</v>
      </c>
      <c r="AQ113" s="39">
        <f>'Prevalence projection'!AQ67</f>
        <v>61.170096149267394</v>
      </c>
      <c r="AR113" s="39">
        <f>'Prevalence projection'!AR67</f>
        <v>61.465479084575662</v>
      </c>
      <c r="AS113" s="39">
        <f>'Prevalence projection'!AS67</f>
        <v>61.695730082648446</v>
      </c>
      <c r="AT113" s="39">
        <f>'Prevalence projection'!AT67</f>
        <v>61.875210735646185</v>
      </c>
      <c r="AU113" s="39">
        <f>'Prevalence projection'!AU67</f>
        <v>62.015115904657925</v>
      </c>
      <c r="AV113" s="39">
        <f>'Prevalence projection'!AV67</f>
        <v>62.124171983902571</v>
      </c>
      <c r="AW113" s="39">
        <f>'Prevalence projection'!AW67</f>
        <v>62.209181197673772</v>
      </c>
      <c r="AX113" s="39">
        <f>'Prevalence projection'!AX67</f>
        <v>62.275445879808416</v>
      </c>
      <c r="AY113" s="39">
        <f>'Prevalence projection'!AY67</f>
        <v>62.327099199532377</v>
      </c>
      <c r="AZ113" s="39">
        <f>'Prevalence projection'!AZ67</f>
        <v>62.367362962257211</v>
      </c>
      <c r="BA113" s="39">
        <f>'Prevalence projection'!BA67</f>
        <v>62.398748565301211</v>
      </c>
    </row>
    <row r="114" spans="1:53">
      <c r="A114" s="9"/>
      <c r="B114" s="12" t="s">
        <v>2904</v>
      </c>
      <c r="C114" s="39">
        <f>C113*(1-$C$14)</f>
        <v>18.19125</v>
      </c>
      <c r="D114" s="39">
        <f t="shared" ref="D114:AE114" si="67">D113*(1-$C$14)</f>
        <v>18.890511153546168</v>
      </c>
      <c r="E114" s="39">
        <f t="shared" si="67"/>
        <v>19.494401900853433</v>
      </c>
      <c r="F114" s="39">
        <f t="shared" si="67"/>
        <v>20.03054418110511</v>
      </c>
      <c r="G114" s="39">
        <f t="shared" si="67"/>
        <v>20.52463422876955</v>
      </c>
      <c r="H114" s="39">
        <f t="shared" si="67"/>
        <v>20.991768476378446</v>
      </c>
      <c r="I114" s="39">
        <f t="shared" si="67"/>
        <v>21.433973798353868</v>
      </c>
      <c r="J114" s="39">
        <f t="shared" si="67"/>
        <v>21.858864972339759</v>
      </c>
      <c r="K114" s="39">
        <f t="shared" si="67"/>
        <v>22.305453674754574</v>
      </c>
      <c r="L114" s="39">
        <f t="shared" si="67"/>
        <v>22.750836038923158</v>
      </c>
      <c r="M114" s="39">
        <f t="shared" si="67"/>
        <v>23.184123322612212</v>
      </c>
      <c r="N114" s="39">
        <f t="shared" si="67"/>
        <v>23.600843584105416</v>
      </c>
      <c r="O114" s="39">
        <f t="shared" si="67"/>
        <v>23.998441594295425</v>
      </c>
      <c r="P114" s="39">
        <f t="shared" si="67"/>
        <v>24.383828186532813</v>
      </c>
      <c r="Q114" s="39">
        <f t="shared" si="67"/>
        <v>24.764934416121655</v>
      </c>
      <c r="R114" s="39">
        <f t="shared" si="67"/>
        <v>25.143031861935267</v>
      </c>
      <c r="S114" s="39">
        <f t="shared" si="67"/>
        <v>25.512182445115471</v>
      </c>
      <c r="T114" s="39">
        <f t="shared" si="67"/>
        <v>25.873463407481367</v>
      </c>
      <c r="U114" s="39">
        <f t="shared" si="67"/>
        <v>26.241463692568768</v>
      </c>
      <c r="V114" s="39">
        <f t="shared" si="67"/>
        <v>26.604196906203491</v>
      </c>
      <c r="W114" s="39">
        <f t="shared" si="67"/>
        <v>26.958267074540341</v>
      </c>
      <c r="X114" s="39">
        <f t="shared" si="67"/>
        <v>27.303153714096286</v>
      </c>
      <c r="Y114" s="39">
        <f t="shared" si="67"/>
        <v>27.644695363695266</v>
      </c>
      <c r="Z114" s="39">
        <f t="shared" si="67"/>
        <v>27.981619328878839</v>
      </c>
      <c r="AA114" s="39">
        <f t="shared" si="67"/>
        <v>28.31155106276049</v>
      </c>
      <c r="AB114" s="39">
        <f t="shared" si="67"/>
        <v>28.632640574891802</v>
      </c>
      <c r="AC114" s="39">
        <f t="shared" si="67"/>
        <v>28.943031928291482</v>
      </c>
      <c r="AD114" s="39">
        <f t="shared" si="67"/>
        <v>29.241351828493258</v>
      </c>
      <c r="AE114" s="39">
        <f t="shared" si="67"/>
        <v>29.526352375266246</v>
      </c>
      <c r="AF114" s="39">
        <f t="shared" ref="AF114:AO114" si="68">AF113*(1-$C$14)</f>
        <v>29.799092285161748</v>
      </c>
      <c r="AG114" s="39">
        <f t="shared" si="68"/>
        <v>30.06497999959408</v>
      </c>
      <c r="AH114" s="39">
        <f t="shared" si="68"/>
        <v>30.324628475400011</v>
      </c>
      <c r="AI114" s="39">
        <f t="shared" si="68"/>
        <v>30.580070272373966</v>
      </c>
      <c r="AJ114" s="39">
        <f t="shared" si="68"/>
        <v>30.825272122458887</v>
      </c>
      <c r="AK114" s="39">
        <f t="shared" si="68"/>
        <v>31.055613745804674</v>
      </c>
      <c r="AL114" s="39">
        <f t="shared" si="68"/>
        <v>31.267954821142698</v>
      </c>
      <c r="AM114" s="39">
        <f t="shared" si="68"/>
        <v>31.46415352958547</v>
      </c>
      <c r="AN114" s="39">
        <f t="shared" si="68"/>
        <v>31.644625278471565</v>
      </c>
      <c r="AO114" s="39">
        <f t="shared" si="68"/>
        <v>31.808607863628964</v>
      </c>
      <c r="AP114" s="39">
        <f t="shared" ref="AP114:AW114" si="69">AP113*(1-$C$14)</f>
        <v>31.962697120462099</v>
      </c>
      <c r="AQ114" s="39">
        <f t="shared" si="69"/>
        <v>32.114300478365386</v>
      </c>
      <c r="AR114" s="39">
        <f t="shared" si="69"/>
        <v>32.269376519402222</v>
      </c>
      <c r="AS114" s="39">
        <f t="shared" si="69"/>
        <v>32.390258293390438</v>
      </c>
      <c r="AT114" s="39">
        <f t="shared" si="69"/>
        <v>32.484485636214245</v>
      </c>
      <c r="AU114" s="39">
        <f t="shared" si="69"/>
        <v>32.557935849945409</v>
      </c>
      <c r="AV114" s="39">
        <f t="shared" si="69"/>
        <v>32.615190291548849</v>
      </c>
      <c r="AW114" s="39">
        <f t="shared" si="69"/>
        <v>32.659820128778733</v>
      </c>
      <c r="AX114" s="39">
        <f t="shared" ref="AX114:BA114" si="70">AX113*(1-$C$14)</f>
        <v>32.694609086899419</v>
      </c>
      <c r="AY114" s="39">
        <f t="shared" si="70"/>
        <v>32.721727079754501</v>
      </c>
      <c r="AZ114" s="39">
        <f t="shared" si="70"/>
        <v>32.742865555185034</v>
      </c>
      <c r="BA114" s="39">
        <f t="shared" si="70"/>
        <v>32.75934299678314</v>
      </c>
    </row>
    <row r="115" spans="1:53">
      <c r="A115" s="9"/>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AC115" s="64"/>
      <c r="AD115" s="64"/>
      <c r="AE115" s="64"/>
      <c r="AF115" s="64"/>
      <c r="AG115" s="64"/>
      <c r="AH115" s="64"/>
      <c r="AI115" s="64"/>
      <c r="AJ115" s="64"/>
      <c r="AK115" s="64"/>
      <c r="AL115" s="64"/>
      <c r="AM115" s="64"/>
      <c r="AN115" s="64"/>
      <c r="AO115" s="64"/>
      <c r="AP115" s="64"/>
      <c r="AQ115" s="64"/>
      <c r="AR115" s="64"/>
      <c r="AS115" s="64"/>
      <c r="AT115" s="64"/>
      <c r="AU115" s="64"/>
      <c r="AV115" s="64"/>
      <c r="AW115" s="64"/>
      <c r="AX115" s="64"/>
      <c r="AY115" s="64"/>
      <c r="AZ115" s="64"/>
      <c r="BA115" s="64"/>
    </row>
    <row r="116" spans="1:53" ht="29">
      <c r="A116" s="9"/>
      <c r="B116" s="347" t="s">
        <v>2939</v>
      </c>
      <c r="C116" s="391">
        <f>'Control Assumptions'!E219*'Control Assumptions'!C163</f>
        <v>3.6165803108808285E-2</v>
      </c>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AC116" s="64"/>
      <c r="AD116" s="64"/>
      <c r="AE116" s="64"/>
      <c r="AF116" s="64"/>
      <c r="AG116" s="64"/>
      <c r="AH116" s="64"/>
      <c r="AI116" s="64"/>
      <c r="AJ116" s="64"/>
      <c r="AK116" s="64"/>
      <c r="AL116" s="64"/>
      <c r="AM116" s="64"/>
      <c r="AN116" s="64"/>
      <c r="AO116" s="64"/>
      <c r="AP116" s="64"/>
      <c r="AQ116" s="64"/>
      <c r="AR116" s="64"/>
      <c r="AS116" s="64"/>
      <c r="AT116" s="64"/>
      <c r="AU116" s="64"/>
      <c r="AV116" s="64"/>
      <c r="AW116" s="64"/>
      <c r="AX116" s="64"/>
      <c r="AY116" s="64"/>
      <c r="AZ116" s="64"/>
      <c r="BA116" s="64"/>
    </row>
    <row r="117" spans="1:53">
      <c r="A117" s="9"/>
      <c r="B117" s="63"/>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AC117" s="64"/>
      <c r="AD117" s="64"/>
      <c r="AE117" s="64"/>
      <c r="AF117" s="64"/>
      <c r="AG117" s="64"/>
      <c r="AH117" s="64"/>
      <c r="AI117" s="64"/>
      <c r="AJ117" s="64"/>
      <c r="AK117" s="64"/>
      <c r="AL117" s="64"/>
      <c r="AM117" s="64"/>
      <c r="AN117" s="64"/>
      <c r="AO117" s="64"/>
      <c r="AP117" s="64"/>
      <c r="AQ117" s="64"/>
      <c r="AR117" s="64"/>
      <c r="AS117" s="64"/>
      <c r="AT117" s="64"/>
      <c r="AU117" s="64"/>
      <c r="AV117" s="64"/>
      <c r="AW117" s="64"/>
      <c r="AX117" s="64"/>
      <c r="AY117" s="64"/>
      <c r="AZ117" s="64"/>
      <c r="BA117" s="64"/>
    </row>
    <row r="118" spans="1:53">
      <c r="A118" s="9"/>
      <c r="B118" s="4"/>
    </row>
    <row r="119" spans="1:53">
      <c r="B119" s="34"/>
      <c r="C119" s="386">
        <f>'Prevalence projection'!C$21</f>
        <v>2020</v>
      </c>
      <c r="D119" s="386">
        <f t="shared" ref="D119:AE119" si="71">C119+1</f>
        <v>2021</v>
      </c>
      <c r="E119" s="386">
        <f t="shared" si="71"/>
        <v>2022</v>
      </c>
      <c r="F119" s="386">
        <f t="shared" si="71"/>
        <v>2023</v>
      </c>
      <c r="G119" s="386">
        <f t="shared" si="71"/>
        <v>2024</v>
      </c>
      <c r="H119" s="386">
        <f t="shared" si="71"/>
        <v>2025</v>
      </c>
      <c r="I119" s="386">
        <f t="shared" si="71"/>
        <v>2026</v>
      </c>
      <c r="J119" s="386">
        <f t="shared" si="71"/>
        <v>2027</v>
      </c>
      <c r="K119" s="386">
        <f t="shared" si="71"/>
        <v>2028</v>
      </c>
      <c r="L119" s="386">
        <f t="shared" si="71"/>
        <v>2029</v>
      </c>
      <c r="M119" s="386">
        <f t="shared" si="71"/>
        <v>2030</v>
      </c>
      <c r="N119" s="386">
        <f t="shared" si="71"/>
        <v>2031</v>
      </c>
      <c r="O119" s="386">
        <f t="shared" si="71"/>
        <v>2032</v>
      </c>
      <c r="P119" s="386">
        <f t="shared" si="71"/>
        <v>2033</v>
      </c>
      <c r="Q119" s="386">
        <f t="shared" si="71"/>
        <v>2034</v>
      </c>
      <c r="R119" s="386">
        <f t="shared" si="71"/>
        <v>2035</v>
      </c>
      <c r="S119" s="386">
        <f t="shared" si="71"/>
        <v>2036</v>
      </c>
      <c r="T119" s="386">
        <f t="shared" si="71"/>
        <v>2037</v>
      </c>
      <c r="U119" s="386">
        <f t="shared" si="71"/>
        <v>2038</v>
      </c>
      <c r="V119" s="386">
        <f t="shared" si="71"/>
        <v>2039</v>
      </c>
      <c r="W119" s="386">
        <f t="shared" si="71"/>
        <v>2040</v>
      </c>
      <c r="X119" s="386">
        <f t="shared" si="71"/>
        <v>2041</v>
      </c>
      <c r="Y119" s="386">
        <f t="shared" si="71"/>
        <v>2042</v>
      </c>
      <c r="Z119" s="386">
        <f t="shared" si="71"/>
        <v>2043</v>
      </c>
      <c r="AA119" s="386">
        <f t="shared" si="71"/>
        <v>2044</v>
      </c>
      <c r="AB119" s="386">
        <f t="shared" si="71"/>
        <v>2045</v>
      </c>
      <c r="AC119" s="386">
        <f t="shared" si="71"/>
        <v>2046</v>
      </c>
      <c r="AD119" s="386">
        <f t="shared" si="71"/>
        <v>2047</v>
      </c>
      <c r="AE119" s="386">
        <f t="shared" si="71"/>
        <v>2048</v>
      </c>
      <c r="AF119" s="386">
        <f t="shared" ref="AF119" si="72">AE119+1</f>
        <v>2049</v>
      </c>
      <c r="AG119" s="386">
        <f t="shared" ref="AG119" si="73">AF119+1</f>
        <v>2050</v>
      </c>
      <c r="AH119" s="386">
        <f t="shared" ref="AH119" si="74">AG119+1</f>
        <v>2051</v>
      </c>
      <c r="AI119" s="386">
        <f t="shared" ref="AI119" si="75">AH119+1</f>
        <v>2052</v>
      </c>
      <c r="AJ119" s="386">
        <f t="shared" ref="AJ119" si="76">AI119+1</f>
        <v>2053</v>
      </c>
      <c r="AK119" s="386">
        <f t="shared" ref="AK119" si="77">AJ119+1</f>
        <v>2054</v>
      </c>
      <c r="AL119" s="386">
        <f t="shared" ref="AL119" si="78">AK119+1</f>
        <v>2055</v>
      </c>
      <c r="AM119" s="386">
        <f t="shared" ref="AM119" si="79">AL119+1</f>
        <v>2056</v>
      </c>
      <c r="AN119" s="386">
        <f t="shared" ref="AN119" si="80">AM119+1</f>
        <v>2057</v>
      </c>
      <c r="AO119" s="386">
        <f t="shared" ref="AO119" si="81">AN119+1</f>
        <v>2058</v>
      </c>
      <c r="AP119" s="386">
        <f t="shared" ref="AP119" si="82">AO119+1</f>
        <v>2059</v>
      </c>
      <c r="AQ119" s="386">
        <f t="shared" ref="AQ119" si="83">AP119+1</f>
        <v>2060</v>
      </c>
      <c r="AR119" s="386">
        <f t="shared" ref="AR119" si="84">AQ119+1</f>
        <v>2061</v>
      </c>
      <c r="AS119" s="386">
        <f t="shared" ref="AS119" si="85">AR119+1</f>
        <v>2062</v>
      </c>
      <c r="AT119" s="386">
        <f t="shared" ref="AT119" si="86">AS119+1</f>
        <v>2063</v>
      </c>
      <c r="AU119" s="386">
        <f t="shared" ref="AU119" si="87">AT119+1</f>
        <v>2064</v>
      </c>
      <c r="AV119" s="386">
        <f t="shared" ref="AV119" si="88">AU119+1</f>
        <v>2065</v>
      </c>
      <c r="AW119" s="386">
        <f t="shared" ref="AW119" si="89">AV119+1</f>
        <v>2066</v>
      </c>
      <c r="AX119" s="386">
        <f t="shared" ref="AX119" si="90">AW119+1</f>
        <v>2067</v>
      </c>
      <c r="AY119" s="386">
        <f t="shared" ref="AY119" si="91">AX119+1</f>
        <v>2068</v>
      </c>
      <c r="AZ119" s="386">
        <f t="shared" ref="AZ119" si="92">AY119+1</f>
        <v>2069</v>
      </c>
      <c r="BA119" s="386">
        <f t="shared" ref="BA119" si="93">AZ119+1</f>
        <v>2070</v>
      </c>
    </row>
    <row r="120" spans="1:53" ht="29">
      <c r="B120" s="6" t="s">
        <v>2935</v>
      </c>
      <c r="C120" s="394">
        <f>C114*$C$116</f>
        <v>0.65790116580310876</v>
      </c>
      <c r="D120" s="394">
        <f t="shared" ref="D120:AE120" si="94">D114*$C$116</f>
        <v>0.68319050700389761</v>
      </c>
      <c r="E120" s="394">
        <f t="shared" si="94"/>
        <v>0.70503070087024322</v>
      </c>
      <c r="F120" s="394">
        <f t="shared" si="94"/>
        <v>0.72442071701613286</v>
      </c>
      <c r="G120" s="394">
        <f t="shared" si="94"/>
        <v>0.74228988039798671</v>
      </c>
      <c r="H120" s="394">
        <f t="shared" si="94"/>
        <v>0.75918416562239133</v>
      </c>
      <c r="I120" s="394">
        <f t="shared" si="94"/>
        <v>0.7751768762306217</v>
      </c>
      <c r="J120" s="394">
        <f t="shared" si="94"/>
        <v>0.79054340677166579</v>
      </c>
      <c r="K120" s="394">
        <f t="shared" si="94"/>
        <v>0.80669464585381812</v>
      </c>
      <c r="L120" s="394">
        <f t="shared" si="94"/>
        <v>0.82280225674447471</v>
      </c>
      <c r="M120" s="394">
        <f t="shared" si="94"/>
        <v>0.83847243933592341</v>
      </c>
      <c r="N120" s="394">
        <f t="shared" si="94"/>
        <v>0.8535434622645377</v>
      </c>
      <c r="O120" s="394">
        <f t="shared" si="94"/>
        <v>0.86792291361752349</v>
      </c>
      <c r="P120" s="394">
        <f t="shared" si="94"/>
        <v>0.8818607292331555</v>
      </c>
      <c r="Q120" s="394">
        <f t="shared" si="94"/>
        <v>0.89564374209600583</v>
      </c>
      <c r="R120" s="394">
        <f t="shared" si="94"/>
        <v>0.90931793987724419</v>
      </c>
      <c r="S120" s="394">
        <f t="shared" si="94"/>
        <v>0.92266856718604129</v>
      </c>
      <c r="T120" s="394">
        <f t="shared" si="94"/>
        <v>0.93573458333792703</v>
      </c>
      <c r="U120" s="394">
        <f t="shared" si="94"/>
        <v>0.94904360919238329</v>
      </c>
      <c r="V120" s="394">
        <f t="shared" si="94"/>
        <v>0.96216214717772197</v>
      </c>
      <c r="W120" s="394">
        <f t="shared" si="94"/>
        <v>0.9749673791724951</v>
      </c>
      <c r="X120" s="394">
        <f t="shared" si="94"/>
        <v>0.98744048147353392</v>
      </c>
      <c r="Y120" s="394">
        <f t="shared" si="94"/>
        <v>0.99979260952638827</v>
      </c>
      <c r="Z120" s="394">
        <f t="shared" si="94"/>
        <v>1.0119777353138564</v>
      </c>
      <c r="AA120" s="394">
        <f t="shared" si="94"/>
        <v>1.0239099814407677</v>
      </c>
      <c r="AB120" s="394">
        <f t="shared" si="94"/>
        <v>1.0355224415168123</v>
      </c>
      <c r="AC120" s="394">
        <f t="shared" si="94"/>
        <v>1.0467479940905415</v>
      </c>
      <c r="AD120" s="394">
        <f t="shared" si="94"/>
        <v>1.0575369728646784</v>
      </c>
      <c r="AE120" s="394">
        <f t="shared" si="94"/>
        <v>1.067844246525173</v>
      </c>
      <c r="AF120" s="394">
        <f t="shared" ref="AF120:AO120" si="95">AF114*$C$116</f>
        <v>1.0777081044063677</v>
      </c>
      <c r="AG120" s="394">
        <f t="shared" si="95"/>
        <v>1.0873241471355786</v>
      </c>
      <c r="AH120" s="394">
        <f t="shared" si="95"/>
        <v>1.0967145427890779</v>
      </c>
      <c r="AI120" s="394">
        <f t="shared" si="95"/>
        <v>1.1059528005241983</v>
      </c>
      <c r="AJ120" s="394">
        <f t="shared" si="95"/>
        <v>1.1148207223562849</v>
      </c>
      <c r="AK120" s="394">
        <f t="shared" si="95"/>
        <v>1.123151212153972</v>
      </c>
      <c r="AL120" s="394">
        <f t="shared" si="95"/>
        <v>1.1308306976765596</v>
      </c>
      <c r="AM120" s="394">
        <f t="shared" si="95"/>
        <v>1.1379263815363034</v>
      </c>
      <c r="AN120" s="394">
        <f t="shared" si="95"/>
        <v>1.1444532872732203</v>
      </c>
      <c r="AO120" s="394">
        <f t="shared" si="95"/>
        <v>1.1503838491612961</v>
      </c>
      <c r="AP120" s="394">
        <f t="shared" ref="AP120:AW120" si="96">AP114*$C$116</f>
        <v>1.1559566108851058</v>
      </c>
      <c r="AQ120" s="394">
        <f t="shared" si="96"/>
        <v>1.1614394680776703</v>
      </c>
      <c r="AR120" s="394">
        <f t="shared" si="96"/>
        <v>1.1670479176447019</v>
      </c>
      <c r="AS120" s="394">
        <f t="shared" si="96"/>
        <v>1.1714197040822032</v>
      </c>
      <c r="AT120" s="394">
        <f t="shared" si="96"/>
        <v>1.1748275116102351</v>
      </c>
      <c r="AU120" s="394">
        <f t="shared" si="96"/>
        <v>1.1774838975783364</v>
      </c>
      <c r="AV120" s="394">
        <f t="shared" si="96"/>
        <v>1.1795545504404712</v>
      </c>
      <c r="AW120" s="394">
        <f t="shared" si="96"/>
        <v>1.1811686243465054</v>
      </c>
      <c r="AX120" s="394">
        <f t="shared" ref="AX120:BA120" si="97">AX114*$C$116</f>
        <v>1.1824267949562586</v>
      </c>
      <c r="AY120" s="394">
        <f t="shared" si="97"/>
        <v>1.1834075389465617</v>
      </c>
      <c r="AZ120" s="394">
        <f t="shared" si="97"/>
        <v>1.1841720288870026</v>
      </c>
      <c r="BA120" s="394">
        <f t="shared" si="97"/>
        <v>1.1847679487955767</v>
      </c>
    </row>
    <row r="121" spans="1:53">
      <c r="B121" s="349" t="s">
        <v>2933</v>
      </c>
      <c r="C121" s="393"/>
      <c r="D121" s="393"/>
      <c r="E121" s="393"/>
      <c r="F121" s="393"/>
      <c r="G121" s="393"/>
      <c r="H121" s="393"/>
      <c r="I121" s="393"/>
      <c r="J121" s="393"/>
      <c r="K121" s="393"/>
      <c r="L121" s="393"/>
      <c r="M121" s="393"/>
      <c r="N121" s="393"/>
      <c r="O121" s="393"/>
      <c r="P121" s="393"/>
      <c r="Q121" s="393"/>
      <c r="R121" s="393"/>
      <c r="S121" s="393"/>
      <c r="T121" s="393"/>
      <c r="U121" s="393"/>
      <c r="V121" s="393"/>
      <c r="W121" s="393"/>
      <c r="X121" s="393"/>
      <c r="Y121" s="393"/>
      <c r="Z121" s="393"/>
      <c r="AA121" s="393"/>
      <c r="AB121" s="393"/>
      <c r="AC121" s="393"/>
      <c r="AD121" s="393"/>
      <c r="AE121" s="393"/>
    </row>
    <row r="122" spans="1:53">
      <c r="B122" s="349"/>
      <c r="C122" s="393"/>
      <c r="D122" s="393"/>
      <c r="E122" s="393"/>
      <c r="F122" s="393"/>
      <c r="G122" s="393"/>
      <c r="H122" s="393"/>
      <c r="I122" s="393"/>
      <c r="J122" s="393"/>
      <c r="K122" s="393"/>
      <c r="L122" s="393"/>
      <c r="M122" s="393"/>
      <c r="N122" s="393"/>
      <c r="O122" s="393"/>
      <c r="P122" s="393"/>
      <c r="Q122" s="393"/>
      <c r="R122" s="393"/>
      <c r="S122" s="393"/>
      <c r="T122" s="393"/>
      <c r="U122" s="393"/>
      <c r="V122" s="393"/>
      <c r="W122" s="393"/>
      <c r="X122" s="393"/>
      <c r="Y122" s="393"/>
      <c r="Z122" s="393"/>
      <c r="AA122" s="393"/>
      <c r="AB122" s="393"/>
      <c r="AC122" s="393"/>
      <c r="AD122" s="393"/>
      <c r="AE122" s="393"/>
    </row>
    <row r="123" spans="1:53">
      <c r="B123" s="349"/>
      <c r="C123" s="393"/>
      <c r="D123" s="393"/>
      <c r="E123" s="393"/>
      <c r="F123" s="393"/>
      <c r="G123" s="393"/>
      <c r="H123" s="393"/>
      <c r="I123" s="393"/>
      <c r="J123" s="393"/>
      <c r="K123" s="393"/>
      <c r="L123" s="393"/>
      <c r="M123" s="393"/>
      <c r="N123" s="393"/>
      <c r="O123" s="393"/>
      <c r="P123" s="393"/>
      <c r="Q123" s="393"/>
      <c r="R123" s="393"/>
      <c r="S123" s="393"/>
      <c r="T123" s="393"/>
      <c r="U123" s="393"/>
      <c r="V123" s="393"/>
      <c r="W123" s="393"/>
      <c r="X123" s="393"/>
      <c r="Y123" s="393"/>
      <c r="Z123" s="393"/>
      <c r="AA123" s="393"/>
      <c r="AB123" s="393"/>
      <c r="AC123" s="393"/>
      <c r="AD123" s="393"/>
      <c r="AE123" s="393"/>
    </row>
    <row r="124" spans="1:53">
      <c r="A124" s="9"/>
      <c r="B124" s="9" t="s">
        <v>2981</v>
      </c>
      <c r="C124" s="393"/>
      <c r="D124" s="393"/>
      <c r="E124" s="393"/>
      <c r="F124" s="393"/>
      <c r="G124" s="393"/>
      <c r="H124" s="393"/>
      <c r="I124" s="393"/>
      <c r="J124" s="393"/>
      <c r="K124" s="393"/>
      <c r="L124" s="393"/>
      <c r="M124" s="393"/>
      <c r="N124" s="393"/>
      <c r="O124" s="393"/>
      <c r="P124" s="393"/>
      <c r="Q124" s="393"/>
      <c r="R124" s="393"/>
      <c r="S124" s="393"/>
      <c r="T124" s="393"/>
      <c r="U124" s="393"/>
      <c r="V124" s="393"/>
      <c r="W124" s="393"/>
      <c r="X124" s="393"/>
      <c r="Y124" s="393"/>
      <c r="Z124" s="393"/>
      <c r="AA124" s="393"/>
      <c r="AB124" s="393"/>
      <c r="AC124" s="393"/>
      <c r="AD124" s="393"/>
      <c r="AE124" s="393"/>
    </row>
    <row r="125" spans="1:53">
      <c r="A125" s="9"/>
      <c r="B125" s="9"/>
    </row>
    <row r="126" spans="1:53" s="95" customFormat="1">
      <c r="B126" s="345" t="s">
        <v>2898</v>
      </c>
      <c r="C126" s="345" t="s">
        <v>2898</v>
      </c>
      <c r="D126" s="345" t="s">
        <v>2937</v>
      </c>
      <c r="E126" s="96"/>
      <c r="F126" s="356"/>
      <c r="G126" s="342"/>
      <c r="H126" s="96"/>
      <c r="I126" s="342"/>
      <c r="J126" s="342"/>
      <c r="K126" s="96"/>
    </row>
    <row r="127" spans="1:53" s="95" customFormat="1">
      <c r="B127" s="347" t="s">
        <v>2899</v>
      </c>
      <c r="C127" s="304">
        <v>79.2</v>
      </c>
      <c r="D127" s="391">
        <f>1-D128</f>
        <v>0.43200000000000005</v>
      </c>
      <c r="E127" s="96"/>
      <c r="F127" s="356"/>
      <c r="G127" s="342"/>
      <c r="H127" s="96"/>
      <c r="I127" s="342"/>
      <c r="J127" s="342"/>
      <c r="K127" s="96"/>
    </row>
    <row r="128" spans="1:53" s="95" customFormat="1">
      <c r="B128" s="347" t="s">
        <v>2900</v>
      </c>
      <c r="C128" s="304">
        <v>82.9</v>
      </c>
      <c r="D128" s="390">
        <v>0.56799999999999995</v>
      </c>
      <c r="E128" s="96"/>
      <c r="F128" s="356"/>
      <c r="G128" s="342"/>
      <c r="H128" s="96"/>
      <c r="I128" s="342"/>
      <c r="J128" s="342"/>
      <c r="K128" s="96"/>
    </row>
    <row r="129" spans="1:53" s="95" customFormat="1">
      <c r="B129" s="347" t="s">
        <v>2530</v>
      </c>
      <c r="C129" s="309">
        <f>SUMPRODUCT(C127:C128,D127:D128)</f>
        <v>81.301600000000008</v>
      </c>
      <c r="D129" s="96"/>
      <c r="E129" s="96"/>
      <c r="F129" s="356"/>
      <c r="G129" s="342"/>
      <c r="H129" s="96"/>
      <c r="I129" s="342"/>
      <c r="J129" s="342"/>
      <c r="K129" s="96"/>
    </row>
    <row r="130" spans="1:53" s="95" customFormat="1">
      <c r="B130" s="359"/>
      <c r="C130" s="349" t="s">
        <v>2901</v>
      </c>
      <c r="D130" s="349" t="s">
        <v>2504</v>
      </c>
      <c r="E130" s="96"/>
      <c r="F130" s="356"/>
      <c r="G130" s="342"/>
      <c r="H130" s="96"/>
      <c r="I130" s="342"/>
      <c r="J130" s="342"/>
      <c r="K130" s="96"/>
    </row>
    <row r="131" spans="1:53" s="95" customFormat="1">
      <c r="B131" s="345" t="s">
        <v>2</v>
      </c>
      <c r="C131" s="345" t="s">
        <v>40</v>
      </c>
      <c r="D131" s="349"/>
      <c r="E131" s="96"/>
      <c r="F131" s="356"/>
      <c r="G131" s="342"/>
      <c r="H131" s="96"/>
      <c r="I131" s="342"/>
      <c r="J131" s="342"/>
      <c r="K131" s="96"/>
    </row>
    <row r="132" spans="1:53" s="95" customFormat="1">
      <c r="B132" s="347" t="s">
        <v>2902</v>
      </c>
      <c r="C132" s="304">
        <v>70.599999999999994</v>
      </c>
      <c r="D132" s="349" t="s">
        <v>2504</v>
      </c>
      <c r="E132" s="96"/>
      <c r="F132" s="356"/>
      <c r="G132" s="342"/>
      <c r="H132" s="96"/>
      <c r="I132" s="342"/>
      <c r="J132" s="342"/>
      <c r="K132" s="96"/>
    </row>
    <row r="133" spans="1:53" s="95" customFormat="1" ht="29">
      <c r="B133" s="347" t="s">
        <v>2903</v>
      </c>
      <c r="C133" s="309">
        <f>C129-C132-1</f>
        <v>9.7016000000000133</v>
      </c>
      <c r="D133" s="349"/>
      <c r="E133" s="96"/>
      <c r="F133" s="356"/>
      <c r="G133" s="342"/>
      <c r="H133" s="96"/>
      <c r="I133" s="342"/>
      <c r="J133" s="342"/>
      <c r="K133" s="96"/>
    </row>
    <row r="135" spans="1:53" ht="29">
      <c r="B135" s="347" t="s">
        <v>2905</v>
      </c>
      <c r="C135" s="309">
        <f>ROUNDUP('Wound maintenance vols'!C133, 0.1)</f>
        <v>10</v>
      </c>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row>
    <row r="136" spans="1:53">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row>
    <row r="137" spans="1:53">
      <c r="B137" s="359"/>
      <c r="C137" s="39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row>
    <row r="139" spans="1:53">
      <c r="B139" s="52"/>
      <c r="C139" s="113"/>
      <c r="D139" s="393"/>
      <c r="E139" s="393"/>
      <c r="F139" s="393"/>
      <c r="G139" s="393"/>
      <c r="H139" s="393"/>
      <c r="I139" s="393"/>
      <c r="J139" s="393"/>
      <c r="K139" s="393"/>
      <c r="L139" s="393"/>
      <c r="M139" s="393"/>
      <c r="N139" s="393"/>
      <c r="O139" s="393"/>
      <c r="P139" s="393"/>
      <c r="Q139" s="393"/>
      <c r="R139" s="393"/>
      <c r="S139" s="393"/>
      <c r="T139" s="393"/>
      <c r="U139" s="393"/>
      <c r="V139" s="393"/>
      <c r="W139" s="393"/>
      <c r="X139" s="393"/>
      <c r="Y139" s="393"/>
      <c r="Z139" s="393"/>
      <c r="AA139" s="393"/>
      <c r="AB139" s="393"/>
      <c r="AC139" s="393"/>
      <c r="AD139" s="393"/>
      <c r="AE139" s="393"/>
      <c r="AF139" s="393"/>
    </row>
    <row r="140" spans="1:53">
      <c r="A140" t="s">
        <v>10</v>
      </c>
      <c r="B140" s="114" t="s">
        <v>2983</v>
      </c>
      <c r="C140" s="393"/>
      <c r="D140" s="393"/>
      <c r="E140" s="393"/>
      <c r="F140" s="393"/>
      <c r="G140" s="393"/>
      <c r="H140" s="393"/>
      <c r="I140" s="393"/>
      <c r="J140" s="393"/>
      <c r="K140" s="393"/>
      <c r="L140" s="393"/>
      <c r="M140" s="393"/>
      <c r="N140" s="393"/>
      <c r="O140" s="393"/>
      <c r="P140" s="393"/>
      <c r="Q140" s="393"/>
      <c r="R140" s="393"/>
      <c r="S140" s="393"/>
      <c r="T140" s="393"/>
      <c r="U140" s="393"/>
      <c r="V140" s="393"/>
      <c r="W140" s="393"/>
      <c r="X140" s="393"/>
      <c r="Y140" s="393"/>
      <c r="Z140" s="393"/>
      <c r="AA140" s="393"/>
      <c r="AB140" s="393"/>
      <c r="AC140" s="393"/>
      <c r="AD140" s="393"/>
      <c r="AE140" s="393"/>
    </row>
    <row r="141" spans="1:53">
      <c r="B141" s="349" t="s">
        <v>2938</v>
      </c>
      <c r="C141" s="393"/>
      <c r="D141" s="393"/>
      <c r="E141" s="393"/>
      <c r="F141" s="393"/>
      <c r="G141" s="393"/>
      <c r="H141" s="393"/>
      <c r="I141" s="393"/>
      <c r="J141" s="393"/>
      <c r="K141" s="393"/>
      <c r="L141" s="393"/>
      <c r="M141" s="393"/>
      <c r="N141" s="393"/>
      <c r="O141" s="393"/>
      <c r="P141" s="393"/>
      <c r="Q141" s="393"/>
      <c r="R141" s="393"/>
      <c r="S141" s="393"/>
      <c r="T141" s="393"/>
      <c r="U141" s="393"/>
      <c r="V141" s="393"/>
      <c r="W141" s="393"/>
      <c r="X141" s="393"/>
      <c r="Y141" s="393"/>
      <c r="Z141" s="393"/>
      <c r="AA141" s="393"/>
      <c r="AB141" s="393"/>
      <c r="AC141" s="393"/>
      <c r="AD141" s="393"/>
      <c r="AE141" s="393"/>
    </row>
    <row r="142" spans="1:53">
      <c r="B142" s="114"/>
      <c r="C142" s="393"/>
      <c r="D142" s="393"/>
      <c r="E142" s="393"/>
      <c r="F142" s="393"/>
      <c r="G142" s="393"/>
      <c r="H142" s="393"/>
      <c r="I142" s="393"/>
      <c r="J142" s="393"/>
      <c r="K142" s="393"/>
      <c r="L142" s="393"/>
      <c r="M142" s="393"/>
      <c r="N142" s="393"/>
      <c r="O142" s="393"/>
      <c r="P142" s="393"/>
      <c r="Q142" s="393"/>
      <c r="R142" s="393"/>
      <c r="S142" s="393"/>
      <c r="T142" s="393"/>
      <c r="U142" s="393"/>
      <c r="V142" s="393"/>
      <c r="W142" s="393"/>
      <c r="X142" s="393"/>
      <c r="Y142" s="393"/>
      <c r="Z142" s="393"/>
      <c r="AA142" s="393"/>
      <c r="AB142" s="393"/>
      <c r="AC142" s="393"/>
      <c r="AD142" s="393"/>
      <c r="AE142" s="393"/>
    </row>
    <row r="143" spans="1:53">
      <c r="B143" s="113"/>
      <c r="C143" s="393" t="s">
        <v>2906</v>
      </c>
      <c r="D143" s="393"/>
      <c r="E143" s="393"/>
      <c r="F143" s="393"/>
      <c r="G143" s="393"/>
      <c r="H143" s="393"/>
      <c r="I143" s="393"/>
      <c r="J143" s="393"/>
      <c r="K143" s="393"/>
      <c r="L143" s="393"/>
      <c r="M143" s="393"/>
      <c r="N143" s="393"/>
      <c r="O143" s="393"/>
      <c r="P143" s="393"/>
      <c r="Q143" s="393"/>
      <c r="R143" s="393"/>
      <c r="S143" s="393"/>
      <c r="T143" s="393"/>
      <c r="U143" s="393"/>
      <c r="V143" s="393"/>
      <c r="W143" s="393"/>
      <c r="X143" s="393"/>
      <c r="Y143" s="393"/>
      <c r="Z143" s="393"/>
      <c r="AA143" s="393"/>
      <c r="AB143" s="393"/>
      <c r="AC143" s="393"/>
      <c r="AD143" s="393"/>
      <c r="AE143" s="393"/>
    </row>
    <row r="144" spans="1:53">
      <c r="B144" s="399" t="s">
        <v>2907</v>
      </c>
      <c r="C144" s="386">
        <f>'Prevalence projection'!C$21</f>
        <v>2020</v>
      </c>
      <c r="D144" s="386">
        <f t="shared" ref="D144:AE144" si="98">C144+1</f>
        <v>2021</v>
      </c>
      <c r="E144" s="386">
        <f t="shared" si="98"/>
        <v>2022</v>
      </c>
      <c r="F144" s="386">
        <f t="shared" si="98"/>
        <v>2023</v>
      </c>
      <c r="G144" s="386">
        <f t="shared" si="98"/>
        <v>2024</v>
      </c>
      <c r="H144" s="386">
        <f t="shared" si="98"/>
        <v>2025</v>
      </c>
      <c r="I144" s="386">
        <f t="shared" si="98"/>
        <v>2026</v>
      </c>
      <c r="J144" s="386">
        <f t="shared" si="98"/>
        <v>2027</v>
      </c>
      <c r="K144" s="386">
        <f t="shared" si="98"/>
        <v>2028</v>
      </c>
      <c r="L144" s="386">
        <f t="shared" si="98"/>
        <v>2029</v>
      </c>
      <c r="M144" s="386">
        <f t="shared" si="98"/>
        <v>2030</v>
      </c>
      <c r="N144" s="386">
        <f t="shared" si="98"/>
        <v>2031</v>
      </c>
      <c r="O144" s="386">
        <f t="shared" si="98"/>
        <v>2032</v>
      </c>
      <c r="P144" s="386">
        <f t="shared" si="98"/>
        <v>2033</v>
      </c>
      <c r="Q144" s="386">
        <f t="shared" si="98"/>
        <v>2034</v>
      </c>
      <c r="R144" s="386">
        <f t="shared" si="98"/>
        <v>2035</v>
      </c>
      <c r="S144" s="386">
        <f t="shared" si="98"/>
        <v>2036</v>
      </c>
      <c r="T144" s="386">
        <f t="shared" si="98"/>
        <v>2037</v>
      </c>
      <c r="U144" s="386">
        <f t="shared" si="98"/>
        <v>2038</v>
      </c>
      <c r="V144" s="386">
        <f t="shared" si="98"/>
        <v>2039</v>
      </c>
      <c r="W144" s="386">
        <f t="shared" si="98"/>
        <v>2040</v>
      </c>
      <c r="X144" s="386">
        <f t="shared" si="98"/>
        <v>2041</v>
      </c>
      <c r="Y144" s="386">
        <f t="shared" si="98"/>
        <v>2042</v>
      </c>
      <c r="Z144" s="386">
        <f t="shared" si="98"/>
        <v>2043</v>
      </c>
      <c r="AA144" s="386">
        <f t="shared" si="98"/>
        <v>2044</v>
      </c>
      <c r="AB144" s="386">
        <f t="shared" si="98"/>
        <v>2045</v>
      </c>
      <c r="AC144" s="386">
        <f t="shared" si="98"/>
        <v>2046</v>
      </c>
      <c r="AD144" s="386">
        <f t="shared" si="98"/>
        <v>2047</v>
      </c>
      <c r="AE144" s="386">
        <f t="shared" si="98"/>
        <v>2048</v>
      </c>
      <c r="AF144" s="386">
        <f t="shared" ref="AF144" si="99">AE144+1</f>
        <v>2049</v>
      </c>
      <c r="AG144" s="386">
        <f t="shared" ref="AG144" si="100">AF144+1</f>
        <v>2050</v>
      </c>
      <c r="AH144" s="386">
        <f t="shared" ref="AH144" si="101">AG144+1</f>
        <v>2051</v>
      </c>
      <c r="AI144" s="386">
        <f t="shared" ref="AI144" si="102">AH144+1</f>
        <v>2052</v>
      </c>
      <c r="AJ144" s="386">
        <f t="shared" ref="AJ144" si="103">AI144+1</f>
        <v>2053</v>
      </c>
      <c r="AK144" s="386">
        <f t="shared" ref="AK144" si="104">AJ144+1</f>
        <v>2054</v>
      </c>
      <c r="AL144" s="386">
        <f t="shared" ref="AL144" si="105">AK144+1</f>
        <v>2055</v>
      </c>
      <c r="AM144" s="386">
        <f t="shared" ref="AM144" si="106">AL144+1</f>
        <v>2056</v>
      </c>
      <c r="AN144" s="386">
        <f t="shared" ref="AN144" si="107">AM144+1</f>
        <v>2057</v>
      </c>
      <c r="AO144" s="386">
        <f t="shared" ref="AO144" si="108">AN144+1</f>
        <v>2058</v>
      </c>
      <c r="AP144" s="386">
        <f t="shared" ref="AP144" si="109">AO144+1</f>
        <v>2059</v>
      </c>
      <c r="AQ144" s="386">
        <f t="shared" ref="AQ144" si="110">AP144+1</f>
        <v>2060</v>
      </c>
      <c r="AR144" s="386">
        <f t="shared" ref="AR144" si="111">AQ144+1</f>
        <v>2061</v>
      </c>
      <c r="AS144" s="386">
        <f t="shared" ref="AS144" si="112">AR144+1</f>
        <v>2062</v>
      </c>
      <c r="AT144" s="386">
        <f t="shared" ref="AT144" si="113">AS144+1</f>
        <v>2063</v>
      </c>
      <c r="AU144" s="386">
        <f t="shared" ref="AU144" si="114">AT144+1</f>
        <v>2064</v>
      </c>
      <c r="AV144" s="386">
        <f t="shared" ref="AV144" si="115">AU144+1</f>
        <v>2065</v>
      </c>
      <c r="AW144" s="386">
        <f t="shared" ref="AW144" si="116">AV144+1</f>
        <v>2066</v>
      </c>
      <c r="AX144" s="386">
        <f t="shared" ref="AX144" si="117">AW144+1</f>
        <v>2067</v>
      </c>
      <c r="AY144" s="386">
        <f t="shared" ref="AY144" si="118">AX144+1</f>
        <v>2068</v>
      </c>
      <c r="AZ144" s="386">
        <f t="shared" ref="AZ144" si="119">AY144+1</f>
        <v>2069</v>
      </c>
      <c r="BA144" s="386">
        <f t="shared" ref="BA144" si="120">AZ144+1</f>
        <v>2070</v>
      </c>
    </row>
    <row r="145" spans="2:53">
      <c r="B145" s="398">
        <f>C144</f>
        <v>2020</v>
      </c>
      <c r="C145" s="397">
        <f>IF($B145&gt;=C$144,0,        IF(C$144-$B145&lt;=$C$135,    INDEX($C$120:$BA$120, MATCH($B145, $C$119:$BA$119,0)),       0))</f>
        <v>0</v>
      </c>
      <c r="D145" s="397">
        <f t="shared" ref="D145:BA150" si="121">IF($B145&gt;=D$144,0,        IF(D$144-$B145&lt;=$C$135,    INDEX($C$120:$BA$120, MATCH($B145, $C$119:$BA$119,0)),       0))</f>
        <v>0.65790116580310876</v>
      </c>
      <c r="E145" s="397">
        <f t="shared" si="121"/>
        <v>0.65790116580310876</v>
      </c>
      <c r="F145" s="397">
        <f t="shared" si="121"/>
        <v>0.65790116580310876</v>
      </c>
      <c r="G145" s="397">
        <f t="shared" si="121"/>
        <v>0.65790116580310876</v>
      </c>
      <c r="H145" s="397">
        <f t="shared" si="121"/>
        <v>0.65790116580310876</v>
      </c>
      <c r="I145" s="397">
        <f t="shared" si="121"/>
        <v>0.65790116580310876</v>
      </c>
      <c r="J145" s="397">
        <f t="shared" si="121"/>
        <v>0.65790116580310876</v>
      </c>
      <c r="K145" s="397">
        <f t="shared" si="121"/>
        <v>0.65790116580310876</v>
      </c>
      <c r="L145" s="397">
        <f t="shared" si="121"/>
        <v>0.65790116580310876</v>
      </c>
      <c r="M145" s="397">
        <f t="shared" si="121"/>
        <v>0.65790116580310876</v>
      </c>
      <c r="N145" s="397">
        <f t="shared" si="121"/>
        <v>0</v>
      </c>
      <c r="O145" s="397">
        <f t="shared" si="121"/>
        <v>0</v>
      </c>
      <c r="P145" s="397">
        <f t="shared" si="121"/>
        <v>0</v>
      </c>
      <c r="Q145" s="397">
        <f t="shared" si="121"/>
        <v>0</v>
      </c>
      <c r="R145" s="397">
        <f t="shared" si="121"/>
        <v>0</v>
      </c>
      <c r="S145" s="397">
        <f t="shared" si="121"/>
        <v>0</v>
      </c>
      <c r="T145" s="397">
        <f t="shared" si="121"/>
        <v>0</v>
      </c>
      <c r="U145" s="397">
        <f t="shared" si="121"/>
        <v>0</v>
      </c>
      <c r="V145" s="397">
        <f t="shared" si="121"/>
        <v>0</v>
      </c>
      <c r="W145" s="397">
        <f t="shared" si="121"/>
        <v>0</v>
      </c>
      <c r="X145" s="397">
        <f t="shared" si="121"/>
        <v>0</v>
      </c>
      <c r="Y145" s="397">
        <f t="shared" si="121"/>
        <v>0</v>
      </c>
      <c r="Z145" s="397">
        <f t="shared" si="121"/>
        <v>0</v>
      </c>
      <c r="AA145" s="397">
        <f t="shared" si="121"/>
        <v>0</v>
      </c>
      <c r="AB145" s="397">
        <f t="shared" si="121"/>
        <v>0</v>
      </c>
      <c r="AC145" s="397">
        <f t="shared" si="121"/>
        <v>0</v>
      </c>
      <c r="AD145" s="397">
        <f t="shared" si="121"/>
        <v>0</v>
      </c>
      <c r="AE145" s="397">
        <f t="shared" si="121"/>
        <v>0</v>
      </c>
      <c r="AF145" s="397">
        <f t="shared" si="121"/>
        <v>0</v>
      </c>
      <c r="AG145" s="397">
        <f t="shared" si="121"/>
        <v>0</v>
      </c>
      <c r="AH145" s="397">
        <f t="shared" si="121"/>
        <v>0</v>
      </c>
      <c r="AI145" s="397">
        <f t="shared" si="121"/>
        <v>0</v>
      </c>
      <c r="AJ145" s="397">
        <f t="shared" si="121"/>
        <v>0</v>
      </c>
      <c r="AK145" s="397">
        <f t="shared" si="121"/>
        <v>0</v>
      </c>
      <c r="AL145" s="397">
        <f t="shared" si="121"/>
        <v>0</v>
      </c>
      <c r="AM145" s="397">
        <f t="shared" si="121"/>
        <v>0</v>
      </c>
      <c r="AN145" s="397">
        <f t="shared" si="121"/>
        <v>0</v>
      </c>
      <c r="AO145" s="397">
        <f t="shared" si="121"/>
        <v>0</v>
      </c>
      <c r="AP145" s="397">
        <f t="shared" si="121"/>
        <v>0</v>
      </c>
      <c r="AQ145" s="397">
        <f t="shared" si="121"/>
        <v>0</v>
      </c>
      <c r="AR145" s="397">
        <f t="shared" si="121"/>
        <v>0</v>
      </c>
      <c r="AS145" s="397">
        <f t="shared" si="121"/>
        <v>0</v>
      </c>
      <c r="AT145" s="397">
        <f t="shared" si="121"/>
        <v>0</v>
      </c>
      <c r="AU145" s="397">
        <f t="shared" si="121"/>
        <v>0</v>
      </c>
      <c r="AV145" s="397">
        <f t="shared" si="121"/>
        <v>0</v>
      </c>
      <c r="AW145" s="397">
        <f t="shared" si="121"/>
        <v>0</v>
      </c>
      <c r="AX145" s="397">
        <f t="shared" si="121"/>
        <v>0</v>
      </c>
      <c r="AY145" s="397">
        <f t="shared" si="121"/>
        <v>0</v>
      </c>
      <c r="AZ145" s="397">
        <f t="shared" si="121"/>
        <v>0</v>
      </c>
      <c r="BA145" s="397">
        <f t="shared" si="121"/>
        <v>0</v>
      </c>
    </row>
    <row r="146" spans="2:53">
      <c r="B146" s="398">
        <f>B145+1</f>
        <v>2021</v>
      </c>
      <c r="C146" s="397">
        <f t="shared" ref="C146:R166" si="122">IF($B146&gt;=C$144,0,        IF(C$144-$B146&lt;=$C$135,    INDEX($C$120:$BA$120, MATCH($B146, $C$119:$BA$119,0)),       0))</f>
        <v>0</v>
      </c>
      <c r="D146" s="397">
        <f t="shared" si="121"/>
        <v>0</v>
      </c>
      <c r="E146" s="397">
        <f t="shared" si="121"/>
        <v>0.68319050700389761</v>
      </c>
      <c r="F146" s="397">
        <f t="shared" si="121"/>
        <v>0.68319050700389761</v>
      </c>
      <c r="G146" s="397">
        <f t="shared" si="121"/>
        <v>0.68319050700389761</v>
      </c>
      <c r="H146" s="397">
        <f t="shared" si="121"/>
        <v>0.68319050700389761</v>
      </c>
      <c r="I146" s="397">
        <f t="shared" si="121"/>
        <v>0.68319050700389761</v>
      </c>
      <c r="J146" s="397">
        <f t="shared" si="121"/>
        <v>0.68319050700389761</v>
      </c>
      <c r="K146" s="397">
        <f t="shared" si="121"/>
        <v>0.68319050700389761</v>
      </c>
      <c r="L146" s="397">
        <f t="shared" si="121"/>
        <v>0.68319050700389761</v>
      </c>
      <c r="M146" s="397">
        <f t="shared" si="121"/>
        <v>0.68319050700389761</v>
      </c>
      <c r="N146" s="397">
        <f t="shared" si="121"/>
        <v>0.68319050700389761</v>
      </c>
      <c r="O146" s="397">
        <f t="shared" si="121"/>
        <v>0</v>
      </c>
      <c r="P146" s="397">
        <f t="shared" si="121"/>
        <v>0</v>
      </c>
      <c r="Q146" s="397">
        <f t="shared" si="121"/>
        <v>0</v>
      </c>
      <c r="R146" s="397">
        <f t="shared" si="121"/>
        <v>0</v>
      </c>
      <c r="S146" s="397">
        <f t="shared" si="121"/>
        <v>0</v>
      </c>
      <c r="T146" s="397">
        <f t="shared" si="121"/>
        <v>0</v>
      </c>
      <c r="U146" s="397">
        <f t="shared" si="121"/>
        <v>0</v>
      </c>
      <c r="V146" s="397">
        <f t="shared" si="121"/>
        <v>0</v>
      </c>
      <c r="W146" s="397">
        <f t="shared" si="121"/>
        <v>0</v>
      </c>
      <c r="X146" s="397">
        <f t="shared" si="121"/>
        <v>0</v>
      </c>
      <c r="Y146" s="397">
        <f t="shared" si="121"/>
        <v>0</v>
      </c>
      <c r="Z146" s="397">
        <f t="shared" si="121"/>
        <v>0</v>
      </c>
      <c r="AA146" s="397">
        <f t="shared" si="121"/>
        <v>0</v>
      </c>
      <c r="AB146" s="397">
        <f t="shared" si="121"/>
        <v>0</v>
      </c>
      <c r="AC146" s="397">
        <f t="shared" si="121"/>
        <v>0</v>
      </c>
      <c r="AD146" s="397">
        <f t="shared" si="121"/>
        <v>0</v>
      </c>
      <c r="AE146" s="397">
        <f t="shared" si="121"/>
        <v>0</v>
      </c>
      <c r="AF146" s="397">
        <f t="shared" si="121"/>
        <v>0</v>
      </c>
      <c r="AG146" s="397">
        <f t="shared" si="121"/>
        <v>0</v>
      </c>
      <c r="AH146" s="397">
        <f t="shared" si="121"/>
        <v>0</v>
      </c>
      <c r="AI146" s="397">
        <f t="shared" si="121"/>
        <v>0</v>
      </c>
      <c r="AJ146" s="397">
        <f t="shared" si="121"/>
        <v>0</v>
      </c>
      <c r="AK146" s="397">
        <f t="shared" si="121"/>
        <v>0</v>
      </c>
      <c r="AL146" s="397">
        <f t="shared" si="121"/>
        <v>0</v>
      </c>
      <c r="AM146" s="397">
        <f t="shared" si="121"/>
        <v>0</v>
      </c>
      <c r="AN146" s="397">
        <f t="shared" si="121"/>
        <v>0</v>
      </c>
      <c r="AO146" s="397">
        <f t="shared" si="121"/>
        <v>0</v>
      </c>
      <c r="AP146" s="397">
        <f t="shared" si="121"/>
        <v>0</v>
      </c>
      <c r="AQ146" s="397">
        <f t="shared" si="121"/>
        <v>0</v>
      </c>
      <c r="AR146" s="397">
        <f t="shared" si="121"/>
        <v>0</v>
      </c>
      <c r="AS146" s="397">
        <f t="shared" si="121"/>
        <v>0</v>
      </c>
      <c r="AT146" s="397">
        <f t="shared" si="121"/>
        <v>0</v>
      </c>
      <c r="AU146" s="397">
        <f t="shared" si="121"/>
        <v>0</v>
      </c>
      <c r="AV146" s="397">
        <f t="shared" si="121"/>
        <v>0</v>
      </c>
      <c r="AW146" s="397">
        <f t="shared" si="121"/>
        <v>0</v>
      </c>
      <c r="AX146" s="397">
        <f t="shared" si="121"/>
        <v>0</v>
      </c>
      <c r="AY146" s="397">
        <f t="shared" si="121"/>
        <v>0</v>
      </c>
      <c r="AZ146" s="397">
        <f t="shared" si="121"/>
        <v>0</v>
      </c>
      <c r="BA146" s="397">
        <f t="shared" si="121"/>
        <v>0</v>
      </c>
    </row>
    <row r="147" spans="2:53">
      <c r="B147" s="398">
        <f t="shared" ref="B147:B195" si="123">B146+1</f>
        <v>2022</v>
      </c>
      <c r="C147" s="397">
        <f t="shared" si="122"/>
        <v>0</v>
      </c>
      <c r="D147" s="397">
        <f t="shared" si="121"/>
        <v>0</v>
      </c>
      <c r="E147" s="397">
        <f t="shared" si="121"/>
        <v>0</v>
      </c>
      <c r="F147" s="397">
        <f t="shared" si="121"/>
        <v>0.70503070087024322</v>
      </c>
      <c r="G147" s="397">
        <f t="shared" si="121"/>
        <v>0.70503070087024322</v>
      </c>
      <c r="H147" s="397">
        <f t="shared" si="121"/>
        <v>0.70503070087024322</v>
      </c>
      <c r="I147" s="397">
        <f t="shared" si="121"/>
        <v>0.70503070087024322</v>
      </c>
      <c r="J147" s="397">
        <f t="shared" si="121"/>
        <v>0.70503070087024322</v>
      </c>
      <c r="K147" s="397">
        <f t="shared" si="121"/>
        <v>0.70503070087024322</v>
      </c>
      <c r="L147" s="397">
        <f t="shared" si="121"/>
        <v>0.70503070087024322</v>
      </c>
      <c r="M147" s="397">
        <f t="shared" si="121"/>
        <v>0.70503070087024322</v>
      </c>
      <c r="N147" s="397">
        <f t="shared" si="121"/>
        <v>0.70503070087024322</v>
      </c>
      <c r="O147" s="397">
        <f t="shared" si="121"/>
        <v>0.70503070087024322</v>
      </c>
      <c r="P147" s="397">
        <f t="shared" si="121"/>
        <v>0</v>
      </c>
      <c r="Q147" s="397">
        <f t="shared" si="121"/>
        <v>0</v>
      </c>
      <c r="R147" s="397">
        <f t="shared" si="121"/>
        <v>0</v>
      </c>
      <c r="S147" s="397">
        <f t="shared" si="121"/>
        <v>0</v>
      </c>
      <c r="T147" s="397">
        <f t="shared" si="121"/>
        <v>0</v>
      </c>
      <c r="U147" s="397">
        <f t="shared" si="121"/>
        <v>0</v>
      </c>
      <c r="V147" s="397">
        <f t="shared" si="121"/>
        <v>0</v>
      </c>
      <c r="W147" s="397">
        <f t="shared" si="121"/>
        <v>0</v>
      </c>
      <c r="X147" s="397">
        <f t="shared" si="121"/>
        <v>0</v>
      </c>
      <c r="Y147" s="397">
        <f t="shared" si="121"/>
        <v>0</v>
      </c>
      <c r="Z147" s="397">
        <f t="shared" si="121"/>
        <v>0</v>
      </c>
      <c r="AA147" s="397">
        <f t="shared" si="121"/>
        <v>0</v>
      </c>
      <c r="AB147" s="397">
        <f t="shared" si="121"/>
        <v>0</v>
      </c>
      <c r="AC147" s="397">
        <f t="shared" si="121"/>
        <v>0</v>
      </c>
      <c r="AD147" s="397">
        <f t="shared" si="121"/>
        <v>0</v>
      </c>
      <c r="AE147" s="397">
        <f t="shared" si="121"/>
        <v>0</v>
      </c>
      <c r="AF147" s="397">
        <f t="shared" si="121"/>
        <v>0</v>
      </c>
      <c r="AG147" s="397">
        <f t="shared" si="121"/>
        <v>0</v>
      </c>
      <c r="AH147" s="397">
        <f t="shared" si="121"/>
        <v>0</v>
      </c>
      <c r="AI147" s="397">
        <f t="shared" si="121"/>
        <v>0</v>
      </c>
      <c r="AJ147" s="397">
        <f t="shared" si="121"/>
        <v>0</v>
      </c>
      <c r="AK147" s="397">
        <f t="shared" si="121"/>
        <v>0</v>
      </c>
      <c r="AL147" s="397">
        <f t="shared" si="121"/>
        <v>0</v>
      </c>
      <c r="AM147" s="397">
        <f t="shared" si="121"/>
        <v>0</v>
      </c>
      <c r="AN147" s="397">
        <f t="shared" si="121"/>
        <v>0</v>
      </c>
      <c r="AO147" s="397">
        <f t="shared" si="121"/>
        <v>0</v>
      </c>
      <c r="AP147" s="397">
        <f t="shared" si="121"/>
        <v>0</v>
      </c>
      <c r="AQ147" s="397">
        <f t="shared" si="121"/>
        <v>0</v>
      </c>
      <c r="AR147" s="397">
        <f t="shared" si="121"/>
        <v>0</v>
      </c>
      <c r="AS147" s="397">
        <f t="shared" si="121"/>
        <v>0</v>
      </c>
      <c r="AT147" s="397">
        <f t="shared" si="121"/>
        <v>0</v>
      </c>
      <c r="AU147" s="397">
        <f t="shared" si="121"/>
        <v>0</v>
      </c>
      <c r="AV147" s="397">
        <f t="shared" si="121"/>
        <v>0</v>
      </c>
      <c r="AW147" s="397">
        <f t="shared" si="121"/>
        <v>0</v>
      </c>
      <c r="AX147" s="397">
        <f t="shared" si="121"/>
        <v>0</v>
      </c>
      <c r="AY147" s="397">
        <f t="shared" si="121"/>
        <v>0</v>
      </c>
      <c r="AZ147" s="397">
        <f t="shared" si="121"/>
        <v>0</v>
      </c>
      <c r="BA147" s="397">
        <f t="shared" si="121"/>
        <v>0</v>
      </c>
    </row>
    <row r="148" spans="2:53">
      <c r="B148" s="398">
        <f t="shared" si="123"/>
        <v>2023</v>
      </c>
      <c r="C148" s="397">
        <f t="shared" si="122"/>
        <v>0</v>
      </c>
      <c r="D148" s="397">
        <f t="shared" si="121"/>
        <v>0</v>
      </c>
      <c r="E148" s="397">
        <f t="shared" si="121"/>
        <v>0</v>
      </c>
      <c r="F148" s="397">
        <f t="shared" si="121"/>
        <v>0</v>
      </c>
      <c r="G148" s="397">
        <f t="shared" si="121"/>
        <v>0.72442071701613286</v>
      </c>
      <c r="H148" s="397">
        <f t="shared" si="121"/>
        <v>0.72442071701613286</v>
      </c>
      <c r="I148" s="397">
        <f t="shared" si="121"/>
        <v>0.72442071701613286</v>
      </c>
      <c r="J148" s="397">
        <f t="shared" si="121"/>
        <v>0.72442071701613286</v>
      </c>
      <c r="K148" s="397">
        <f t="shared" si="121"/>
        <v>0.72442071701613286</v>
      </c>
      <c r="L148" s="397">
        <f t="shared" si="121"/>
        <v>0.72442071701613286</v>
      </c>
      <c r="M148" s="397">
        <f t="shared" si="121"/>
        <v>0.72442071701613286</v>
      </c>
      <c r="N148" s="397">
        <f t="shared" si="121"/>
        <v>0.72442071701613286</v>
      </c>
      <c r="O148" s="397">
        <f t="shared" si="121"/>
        <v>0.72442071701613286</v>
      </c>
      <c r="P148" s="397">
        <f t="shared" si="121"/>
        <v>0.72442071701613286</v>
      </c>
      <c r="Q148" s="397">
        <f t="shared" si="121"/>
        <v>0</v>
      </c>
      <c r="R148" s="397">
        <f t="shared" si="121"/>
        <v>0</v>
      </c>
      <c r="S148" s="397">
        <f t="shared" si="121"/>
        <v>0</v>
      </c>
      <c r="T148" s="397">
        <f t="shared" si="121"/>
        <v>0</v>
      </c>
      <c r="U148" s="397">
        <f t="shared" si="121"/>
        <v>0</v>
      </c>
      <c r="V148" s="397">
        <f t="shared" si="121"/>
        <v>0</v>
      </c>
      <c r="W148" s="397">
        <f t="shared" si="121"/>
        <v>0</v>
      </c>
      <c r="X148" s="397">
        <f t="shared" si="121"/>
        <v>0</v>
      </c>
      <c r="Y148" s="397">
        <f t="shared" si="121"/>
        <v>0</v>
      </c>
      <c r="Z148" s="397">
        <f t="shared" si="121"/>
        <v>0</v>
      </c>
      <c r="AA148" s="397">
        <f t="shared" si="121"/>
        <v>0</v>
      </c>
      <c r="AB148" s="397">
        <f t="shared" si="121"/>
        <v>0</v>
      </c>
      <c r="AC148" s="397">
        <f t="shared" si="121"/>
        <v>0</v>
      </c>
      <c r="AD148" s="397">
        <f t="shared" si="121"/>
        <v>0</v>
      </c>
      <c r="AE148" s="397">
        <f t="shared" si="121"/>
        <v>0</v>
      </c>
      <c r="AF148" s="397">
        <f t="shared" si="121"/>
        <v>0</v>
      </c>
      <c r="AG148" s="397">
        <f t="shared" si="121"/>
        <v>0</v>
      </c>
      <c r="AH148" s="397">
        <f t="shared" si="121"/>
        <v>0</v>
      </c>
      <c r="AI148" s="397">
        <f t="shared" si="121"/>
        <v>0</v>
      </c>
      <c r="AJ148" s="397">
        <f t="shared" si="121"/>
        <v>0</v>
      </c>
      <c r="AK148" s="397">
        <f t="shared" si="121"/>
        <v>0</v>
      </c>
      <c r="AL148" s="397">
        <f t="shared" si="121"/>
        <v>0</v>
      </c>
      <c r="AM148" s="397">
        <f t="shared" si="121"/>
        <v>0</v>
      </c>
      <c r="AN148" s="397">
        <f t="shared" si="121"/>
        <v>0</v>
      </c>
      <c r="AO148" s="397">
        <f t="shared" si="121"/>
        <v>0</v>
      </c>
      <c r="AP148" s="397">
        <f t="shared" si="121"/>
        <v>0</v>
      </c>
      <c r="AQ148" s="397">
        <f t="shared" si="121"/>
        <v>0</v>
      </c>
      <c r="AR148" s="397">
        <f t="shared" si="121"/>
        <v>0</v>
      </c>
      <c r="AS148" s="397">
        <f t="shared" si="121"/>
        <v>0</v>
      </c>
      <c r="AT148" s="397">
        <f t="shared" si="121"/>
        <v>0</v>
      </c>
      <c r="AU148" s="397">
        <f t="shared" si="121"/>
        <v>0</v>
      </c>
      <c r="AV148" s="397">
        <f t="shared" si="121"/>
        <v>0</v>
      </c>
      <c r="AW148" s="397">
        <f t="shared" si="121"/>
        <v>0</v>
      </c>
      <c r="AX148" s="397">
        <f t="shared" si="121"/>
        <v>0</v>
      </c>
      <c r="AY148" s="397">
        <f t="shared" si="121"/>
        <v>0</v>
      </c>
      <c r="AZ148" s="397">
        <f t="shared" si="121"/>
        <v>0</v>
      </c>
      <c r="BA148" s="397">
        <f t="shared" si="121"/>
        <v>0</v>
      </c>
    </row>
    <row r="149" spans="2:53">
      <c r="B149" s="398">
        <f t="shared" si="123"/>
        <v>2024</v>
      </c>
      <c r="C149" s="397">
        <f t="shared" si="122"/>
        <v>0</v>
      </c>
      <c r="D149" s="397">
        <f t="shared" si="121"/>
        <v>0</v>
      </c>
      <c r="E149" s="397">
        <f t="shared" si="121"/>
        <v>0</v>
      </c>
      <c r="F149" s="397">
        <f t="shared" si="121"/>
        <v>0</v>
      </c>
      <c r="G149" s="397">
        <f t="shared" si="121"/>
        <v>0</v>
      </c>
      <c r="H149" s="397">
        <f t="shared" si="121"/>
        <v>0.74228988039798671</v>
      </c>
      <c r="I149" s="397">
        <f t="shared" si="121"/>
        <v>0.74228988039798671</v>
      </c>
      <c r="J149" s="397">
        <f t="shared" si="121"/>
        <v>0.74228988039798671</v>
      </c>
      <c r="K149" s="397">
        <f t="shared" si="121"/>
        <v>0.74228988039798671</v>
      </c>
      <c r="L149" s="397">
        <f t="shared" si="121"/>
        <v>0.74228988039798671</v>
      </c>
      <c r="M149" s="397">
        <f t="shared" si="121"/>
        <v>0.74228988039798671</v>
      </c>
      <c r="N149" s="397">
        <f t="shared" si="121"/>
        <v>0.74228988039798671</v>
      </c>
      <c r="O149" s="397">
        <f t="shared" si="121"/>
        <v>0.74228988039798671</v>
      </c>
      <c r="P149" s="397">
        <f t="shared" si="121"/>
        <v>0.74228988039798671</v>
      </c>
      <c r="Q149" s="397">
        <f t="shared" si="121"/>
        <v>0.74228988039798671</v>
      </c>
      <c r="R149" s="397">
        <f t="shared" si="121"/>
        <v>0</v>
      </c>
      <c r="S149" s="397">
        <f t="shared" si="121"/>
        <v>0</v>
      </c>
      <c r="T149" s="397">
        <f t="shared" si="121"/>
        <v>0</v>
      </c>
      <c r="U149" s="397">
        <f t="shared" si="121"/>
        <v>0</v>
      </c>
      <c r="V149" s="397">
        <f t="shared" si="121"/>
        <v>0</v>
      </c>
      <c r="W149" s="397">
        <f t="shared" si="121"/>
        <v>0</v>
      </c>
      <c r="X149" s="397">
        <f t="shared" si="121"/>
        <v>0</v>
      </c>
      <c r="Y149" s="397">
        <f t="shared" si="121"/>
        <v>0</v>
      </c>
      <c r="Z149" s="397">
        <f t="shared" si="121"/>
        <v>0</v>
      </c>
      <c r="AA149" s="397">
        <f t="shared" si="121"/>
        <v>0</v>
      </c>
      <c r="AB149" s="397">
        <f t="shared" si="121"/>
        <v>0</v>
      </c>
      <c r="AC149" s="397">
        <f t="shared" si="121"/>
        <v>0</v>
      </c>
      <c r="AD149" s="397">
        <f t="shared" si="121"/>
        <v>0</v>
      </c>
      <c r="AE149" s="397">
        <f t="shared" si="121"/>
        <v>0</v>
      </c>
      <c r="AF149" s="397">
        <f t="shared" si="121"/>
        <v>0</v>
      </c>
      <c r="AG149" s="397">
        <f t="shared" si="121"/>
        <v>0</v>
      </c>
      <c r="AH149" s="397">
        <f t="shared" si="121"/>
        <v>0</v>
      </c>
      <c r="AI149" s="397">
        <f t="shared" si="121"/>
        <v>0</v>
      </c>
      <c r="AJ149" s="397">
        <f t="shared" si="121"/>
        <v>0</v>
      </c>
      <c r="AK149" s="397">
        <f t="shared" si="121"/>
        <v>0</v>
      </c>
      <c r="AL149" s="397">
        <f t="shared" si="121"/>
        <v>0</v>
      </c>
      <c r="AM149" s="397">
        <f t="shared" si="121"/>
        <v>0</v>
      </c>
      <c r="AN149" s="397">
        <f t="shared" si="121"/>
        <v>0</v>
      </c>
      <c r="AO149" s="397">
        <f t="shared" si="121"/>
        <v>0</v>
      </c>
      <c r="AP149" s="397">
        <f t="shared" si="121"/>
        <v>0</v>
      </c>
      <c r="AQ149" s="397">
        <f t="shared" si="121"/>
        <v>0</v>
      </c>
      <c r="AR149" s="397">
        <f t="shared" si="121"/>
        <v>0</v>
      </c>
      <c r="AS149" s="397">
        <f t="shared" si="121"/>
        <v>0</v>
      </c>
      <c r="AT149" s="397">
        <f t="shared" si="121"/>
        <v>0</v>
      </c>
      <c r="AU149" s="397">
        <f t="shared" si="121"/>
        <v>0</v>
      </c>
      <c r="AV149" s="397">
        <f t="shared" si="121"/>
        <v>0</v>
      </c>
      <c r="AW149" s="397">
        <f t="shared" si="121"/>
        <v>0</v>
      </c>
      <c r="AX149" s="397">
        <f t="shared" si="121"/>
        <v>0</v>
      </c>
      <c r="AY149" s="397">
        <f t="shared" si="121"/>
        <v>0</v>
      </c>
      <c r="AZ149" s="397">
        <f t="shared" si="121"/>
        <v>0</v>
      </c>
      <c r="BA149" s="397">
        <f t="shared" si="121"/>
        <v>0</v>
      </c>
    </row>
    <row r="150" spans="2:53">
      <c r="B150" s="398">
        <f t="shared" si="123"/>
        <v>2025</v>
      </c>
      <c r="C150" s="397">
        <f t="shared" si="122"/>
        <v>0</v>
      </c>
      <c r="D150" s="397">
        <f t="shared" si="121"/>
        <v>0</v>
      </c>
      <c r="E150" s="397">
        <f t="shared" si="121"/>
        <v>0</v>
      </c>
      <c r="F150" s="397">
        <f t="shared" si="121"/>
        <v>0</v>
      </c>
      <c r="G150" s="397">
        <f t="shared" si="121"/>
        <v>0</v>
      </c>
      <c r="H150" s="397">
        <f t="shared" si="121"/>
        <v>0</v>
      </c>
      <c r="I150" s="397">
        <f t="shared" ref="I150:X165" si="124">IF($B150&gt;=I$144,0,        IF(I$144-$B150&lt;=$C$135,    INDEX($C$120:$BA$120, MATCH($B150, $C$119:$BA$119,0)),       0))</f>
        <v>0.75918416562239133</v>
      </c>
      <c r="J150" s="397">
        <f t="shared" si="124"/>
        <v>0.75918416562239133</v>
      </c>
      <c r="K150" s="397">
        <f t="shared" si="124"/>
        <v>0.75918416562239133</v>
      </c>
      <c r="L150" s="397">
        <f t="shared" si="124"/>
        <v>0.75918416562239133</v>
      </c>
      <c r="M150" s="397">
        <f t="shared" si="124"/>
        <v>0.75918416562239133</v>
      </c>
      <c r="N150" s="397">
        <f t="shared" si="124"/>
        <v>0.75918416562239133</v>
      </c>
      <c r="O150" s="397">
        <f t="shared" si="124"/>
        <v>0.75918416562239133</v>
      </c>
      <c r="P150" s="397">
        <f t="shared" si="124"/>
        <v>0.75918416562239133</v>
      </c>
      <c r="Q150" s="397">
        <f t="shared" si="124"/>
        <v>0.75918416562239133</v>
      </c>
      <c r="R150" s="397">
        <f t="shared" si="124"/>
        <v>0.75918416562239133</v>
      </c>
      <c r="S150" s="397">
        <f t="shared" si="124"/>
        <v>0</v>
      </c>
      <c r="T150" s="397">
        <f t="shared" si="124"/>
        <v>0</v>
      </c>
      <c r="U150" s="397">
        <f t="shared" si="124"/>
        <v>0</v>
      </c>
      <c r="V150" s="397">
        <f t="shared" si="124"/>
        <v>0</v>
      </c>
      <c r="W150" s="397">
        <f t="shared" si="124"/>
        <v>0</v>
      </c>
      <c r="X150" s="397">
        <f t="shared" si="124"/>
        <v>0</v>
      </c>
      <c r="Y150" s="397">
        <f t="shared" ref="Y150:AN165" si="125">IF($B150&gt;=Y$144,0,        IF(Y$144-$B150&lt;=$C$135,    INDEX($C$120:$BA$120, MATCH($B150, $C$119:$BA$119,0)),       0))</f>
        <v>0</v>
      </c>
      <c r="Z150" s="397">
        <f t="shared" si="125"/>
        <v>0</v>
      </c>
      <c r="AA150" s="397">
        <f t="shared" si="125"/>
        <v>0</v>
      </c>
      <c r="AB150" s="397">
        <f t="shared" si="125"/>
        <v>0</v>
      </c>
      <c r="AC150" s="397">
        <f t="shared" si="125"/>
        <v>0</v>
      </c>
      <c r="AD150" s="397">
        <f t="shared" si="125"/>
        <v>0</v>
      </c>
      <c r="AE150" s="397">
        <f t="shared" si="125"/>
        <v>0</v>
      </c>
      <c r="AF150" s="397">
        <f t="shared" si="125"/>
        <v>0</v>
      </c>
      <c r="AG150" s="397">
        <f t="shared" si="125"/>
        <v>0</v>
      </c>
      <c r="AH150" s="397">
        <f t="shared" si="125"/>
        <v>0</v>
      </c>
      <c r="AI150" s="397">
        <f t="shared" si="125"/>
        <v>0</v>
      </c>
      <c r="AJ150" s="397">
        <f t="shared" si="125"/>
        <v>0</v>
      </c>
      <c r="AK150" s="397">
        <f t="shared" si="125"/>
        <v>0</v>
      </c>
      <c r="AL150" s="397">
        <f t="shared" si="125"/>
        <v>0</v>
      </c>
      <c r="AM150" s="397">
        <f t="shared" si="125"/>
        <v>0</v>
      </c>
      <c r="AN150" s="397">
        <f t="shared" si="125"/>
        <v>0</v>
      </c>
      <c r="AO150" s="397">
        <f t="shared" ref="AO150:BA164" si="126">IF($B150&gt;=AO$144,0,        IF(AO$144-$B150&lt;=$C$135,    INDEX($C$120:$BA$120, MATCH($B150, $C$119:$BA$119,0)),       0))</f>
        <v>0</v>
      </c>
      <c r="AP150" s="397">
        <f t="shared" si="126"/>
        <v>0</v>
      </c>
      <c r="AQ150" s="397">
        <f t="shared" si="126"/>
        <v>0</v>
      </c>
      <c r="AR150" s="397">
        <f t="shared" si="126"/>
        <v>0</v>
      </c>
      <c r="AS150" s="397">
        <f t="shared" si="126"/>
        <v>0</v>
      </c>
      <c r="AT150" s="397">
        <f t="shared" si="126"/>
        <v>0</v>
      </c>
      <c r="AU150" s="397">
        <f t="shared" si="126"/>
        <v>0</v>
      </c>
      <c r="AV150" s="397">
        <f t="shared" si="126"/>
        <v>0</v>
      </c>
      <c r="AW150" s="397">
        <f t="shared" si="126"/>
        <v>0</v>
      </c>
      <c r="AX150" s="397">
        <f t="shared" si="126"/>
        <v>0</v>
      </c>
      <c r="AY150" s="397">
        <f t="shared" si="126"/>
        <v>0</v>
      </c>
      <c r="AZ150" s="397">
        <f t="shared" si="126"/>
        <v>0</v>
      </c>
      <c r="BA150" s="397">
        <f t="shared" si="126"/>
        <v>0</v>
      </c>
    </row>
    <row r="151" spans="2:53">
      <c r="B151" s="398">
        <f t="shared" si="123"/>
        <v>2026</v>
      </c>
      <c r="C151" s="397">
        <f t="shared" si="122"/>
        <v>0</v>
      </c>
      <c r="D151" s="397">
        <f t="shared" si="122"/>
        <v>0</v>
      </c>
      <c r="E151" s="397">
        <f t="shared" si="122"/>
        <v>0</v>
      </c>
      <c r="F151" s="397">
        <f t="shared" si="122"/>
        <v>0</v>
      </c>
      <c r="G151" s="397">
        <f t="shared" si="122"/>
        <v>0</v>
      </c>
      <c r="H151" s="397">
        <f t="shared" si="122"/>
        <v>0</v>
      </c>
      <c r="I151" s="397">
        <f t="shared" si="122"/>
        <v>0</v>
      </c>
      <c r="J151" s="397">
        <f t="shared" si="122"/>
        <v>0.7751768762306217</v>
      </c>
      <c r="K151" s="397">
        <f t="shared" si="122"/>
        <v>0.7751768762306217</v>
      </c>
      <c r="L151" s="397">
        <f t="shared" si="122"/>
        <v>0.7751768762306217</v>
      </c>
      <c r="M151" s="397">
        <f t="shared" si="122"/>
        <v>0.7751768762306217</v>
      </c>
      <c r="N151" s="397">
        <f t="shared" si="122"/>
        <v>0.7751768762306217</v>
      </c>
      <c r="O151" s="397">
        <f t="shared" si="122"/>
        <v>0.7751768762306217</v>
      </c>
      <c r="P151" s="397">
        <f t="shared" si="122"/>
        <v>0.7751768762306217</v>
      </c>
      <c r="Q151" s="397">
        <f t="shared" si="122"/>
        <v>0.7751768762306217</v>
      </c>
      <c r="R151" s="397">
        <f t="shared" si="122"/>
        <v>0.7751768762306217</v>
      </c>
      <c r="S151" s="397">
        <f t="shared" si="124"/>
        <v>0.7751768762306217</v>
      </c>
      <c r="T151" s="397">
        <f t="shared" si="124"/>
        <v>0</v>
      </c>
      <c r="U151" s="397">
        <f t="shared" si="124"/>
        <v>0</v>
      </c>
      <c r="V151" s="397">
        <f t="shared" si="124"/>
        <v>0</v>
      </c>
      <c r="W151" s="397">
        <f t="shared" si="124"/>
        <v>0</v>
      </c>
      <c r="X151" s="397">
        <f t="shared" si="124"/>
        <v>0</v>
      </c>
      <c r="Y151" s="397">
        <f t="shared" si="125"/>
        <v>0</v>
      </c>
      <c r="Z151" s="397">
        <f t="shared" si="125"/>
        <v>0</v>
      </c>
      <c r="AA151" s="397">
        <f t="shared" si="125"/>
        <v>0</v>
      </c>
      <c r="AB151" s="397">
        <f t="shared" si="125"/>
        <v>0</v>
      </c>
      <c r="AC151" s="397">
        <f t="shared" si="125"/>
        <v>0</v>
      </c>
      <c r="AD151" s="397">
        <f t="shared" si="125"/>
        <v>0</v>
      </c>
      <c r="AE151" s="397">
        <f t="shared" si="125"/>
        <v>0</v>
      </c>
      <c r="AF151" s="397">
        <f t="shared" si="125"/>
        <v>0</v>
      </c>
      <c r="AG151" s="397">
        <f t="shared" si="125"/>
        <v>0</v>
      </c>
      <c r="AH151" s="397">
        <f t="shared" si="125"/>
        <v>0</v>
      </c>
      <c r="AI151" s="397">
        <f t="shared" si="125"/>
        <v>0</v>
      </c>
      <c r="AJ151" s="397">
        <f t="shared" si="125"/>
        <v>0</v>
      </c>
      <c r="AK151" s="397">
        <f t="shared" si="125"/>
        <v>0</v>
      </c>
      <c r="AL151" s="397">
        <f t="shared" si="125"/>
        <v>0</v>
      </c>
      <c r="AM151" s="397">
        <f t="shared" si="125"/>
        <v>0</v>
      </c>
      <c r="AN151" s="397">
        <f t="shared" si="125"/>
        <v>0</v>
      </c>
      <c r="AO151" s="397">
        <f t="shared" si="126"/>
        <v>0</v>
      </c>
      <c r="AP151" s="397">
        <f t="shared" si="126"/>
        <v>0</v>
      </c>
      <c r="AQ151" s="397">
        <f t="shared" si="126"/>
        <v>0</v>
      </c>
      <c r="AR151" s="397">
        <f t="shared" si="126"/>
        <v>0</v>
      </c>
      <c r="AS151" s="397">
        <f t="shared" si="126"/>
        <v>0</v>
      </c>
      <c r="AT151" s="397">
        <f t="shared" si="126"/>
        <v>0</v>
      </c>
      <c r="AU151" s="397">
        <f t="shared" si="126"/>
        <v>0</v>
      </c>
      <c r="AV151" s="397">
        <f t="shared" si="126"/>
        <v>0</v>
      </c>
      <c r="AW151" s="397">
        <f t="shared" si="126"/>
        <v>0</v>
      </c>
      <c r="AX151" s="397">
        <f t="shared" si="126"/>
        <v>0</v>
      </c>
      <c r="AY151" s="397">
        <f t="shared" si="126"/>
        <v>0</v>
      </c>
      <c r="AZ151" s="397">
        <f t="shared" si="126"/>
        <v>0</v>
      </c>
      <c r="BA151" s="397">
        <f t="shared" si="126"/>
        <v>0</v>
      </c>
    </row>
    <row r="152" spans="2:53">
      <c r="B152" s="398">
        <f t="shared" si="123"/>
        <v>2027</v>
      </c>
      <c r="C152" s="397">
        <f t="shared" si="122"/>
        <v>0</v>
      </c>
      <c r="D152" s="397">
        <f t="shared" si="122"/>
        <v>0</v>
      </c>
      <c r="E152" s="397">
        <f t="shared" si="122"/>
        <v>0</v>
      </c>
      <c r="F152" s="397">
        <f t="shared" si="122"/>
        <v>0</v>
      </c>
      <c r="G152" s="397">
        <f t="shared" si="122"/>
        <v>0</v>
      </c>
      <c r="H152" s="397">
        <f t="shared" si="122"/>
        <v>0</v>
      </c>
      <c r="I152" s="397">
        <f t="shared" si="122"/>
        <v>0</v>
      </c>
      <c r="J152" s="397">
        <f t="shared" si="122"/>
        <v>0</v>
      </c>
      <c r="K152" s="397">
        <f t="shared" si="122"/>
        <v>0.79054340677166579</v>
      </c>
      <c r="L152" s="397">
        <f t="shared" si="122"/>
        <v>0.79054340677166579</v>
      </c>
      <c r="M152" s="397">
        <f t="shared" si="122"/>
        <v>0.79054340677166579</v>
      </c>
      <c r="N152" s="397">
        <f t="shared" si="122"/>
        <v>0.79054340677166579</v>
      </c>
      <c r="O152" s="397">
        <f t="shared" si="122"/>
        <v>0.79054340677166579</v>
      </c>
      <c r="P152" s="397">
        <f t="shared" si="122"/>
        <v>0.79054340677166579</v>
      </c>
      <c r="Q152" s="397">
        <f t="shared" si="122"/>
        <v>0.79054340677166579</v>
      </c>
      <c r="R152" s="397">
        <f t="shared" si="122"/>
        <v>0.79054340677166579</v>
      </c>
      <c r="S152" s="397">
        <f t="shared" si="124"/>
        <v>0.79054340677166579</v>
      </c>
      <c r="T152" s="397">
        <f t="shared" si="124"/>
        <v>0.79054340677166579</v>
      </c>
      <c r="U152" s="397">
        <f t="shared" si="124"/>
        <v>0</v>
      </c>
      <c r="V152" s="397">
        <f t="shared" si="124"/>
        <v>0</v>
      </c>
      <c r="W152" s="397">
        <f t="shared" si="124"/>
        <v>0</v>
      </c>
      <c r="X152" s="397">
        <f t="shared" si="124"/>
        <v>0</v>
      </c>
      <c r="Y152" s="397">
        <f t="shared" si="125"/>
        <v>0</v>
      </c>
      <c r="Z152" s="397">
        <f t="shared" si="125"/>
        <v>0</v>
      </c>
      <c r="AA152" s="397">
        <f t="shared" si="125"/>
        <v>0</v>
      </c>
      <c r="AB152" s="397">
        <f t="shared" si="125"/>
        <v>0</v>
      </c>
      <c r="AC152" s="397">
        <f t="shared" si="125"/>
        <v>0</v>
      </c>
      <c r="AD152" s="397">
        <f t="shared" si="125"/>
        <v>0</v>
      </c>
      <c r="AE152" s="397">
        <f t="shared" si="125"/>
        <v>0</v>
      </c>
      <c r="AF152" s="397">
        <f t="shared" si="125"/>
        <v>0</v>
      </c>
      <c r="AG152" s="397">
        <f t="shared" si="125"/>
        <v>0</v>
      </c>
      <c r="AH152" s="397">
        <f t="shared" si="125"/>
        <v>0</v>
      </c>
      <c r="AI152" s="397">
        <f t="shared" si="125"/>
        <v>0</v>
      </c>
      <c r="AJ152" s="397">
        <f t="shared" si="125"/>
        <v>0</v>
      </c>
      <c r="AK152" s="397">
        <f t="shared" si="125"/>
        <v>0</v>
      </c>
      <c r="AL152" s="397">
        <f t="shared" si="125"/>
        <v>0</v>
      </c>
      <c r="AM152" s="397">
        <f t="shared" si="125"/>
        <v>0</v>
      </c>
      <c r="AN152" s="397">
        <f t="shared" si="125"/>
        <v>0</v>
      </c>
      <c r="AO152" s="397">
        <f t="shared" si="126"/>
        <v>0</v>
      </c>
      <c r="AP152" s="397">
        <f t="shared" si="126"/>
        <v>0</v>
      </c>
      <c r="AQ152" s="397">
        <f t="shared" si="126"/>
        <v>0</v>
      </c>
      <c r="AR152" s="397">
        <f t="shared" si="126"/>
        <v>0</v>
      </c>
      <c r="AS152" s="397">
        <f t="shared" si="126"/>
        <v>0</v>
      </c>
      <c r="AT152" s="397">
        <f t="shared" si="126"/>
        <v>0</v>
      </c>
      <c r="AU152" s="397">
        <f t="shared" si="126"/>
        <v>0</v>
      </c>
      <c r="AV152" s="397">
        <f t="shared" si="126"/>
        <v>0</v>
      </c>
      <c r="AW152" s="397">
        <f t="shared" si="126"/>
        <v>0</v>
      </c>
      <c r="AX152" s="397">
        <f t="shared" si="126"/>
        <v>0</v>
      </c>
      <c r="AY152" s="397">
        <f t="shared" si="126"/>
        <v>0</v>
      </c>
      <c r="AZ152" s="397">
        <f t="shared" si="126"/>
        <v>0</v>
      </c>
      <c r="BA152" s="397">
        <f t="shared" si="126"/>
        <v>0</v>
      </c>
    </row>
    <row r="153" spans="2:53">
      <c r="B153" s="398">
        <f t="shared" si="123"/>
        <v>2028</v>
      </c>
      <c r="C153" s="397">
        <f t="shared" si="122"/>
        <v>0</v>
      </c>
      <c r="D153" s="397">
        <f t="shared" si="122"/>
        <v>0</v>
      </c>
      <c r="E153" s="397">
        <f t="shared" si="122"/>
        <v>0</v>
      </c>
      <c r="F153" s="397">
        <f t="shared" si="122"/>
        <v>0</v>
      </c>
      <c r="G153" s="397">
        <f t="shared" si="122"/>
        <v>0</v>
      </c>
      <c r="H153" s="397">
        <f t="shared" si="122"/>
        <v>0</v>
      </c>
      <c r="I153" s="397">
        <f t="shared" si="122"/>
        <v>0</v>
      </c>
      <c r="J153" s="397">
        <f t="shared" si="122"/>
        <v>0</v>
      </c>
      <c r="K153" s="397">
        <f t="shared" si="122"/>
        <v>0</v>
      </c>
      <c r="L153" s="397">
        <f t="shared" si="122"/>
        <v>0.80669464585381812</v>
      </c>
      <c r="M153" s="397">
        <f t="shared" si="122"/>
        <v>0.80669464585381812</v>
      </c>
      <c r="N153" s="397">
        <f t="shared" si="122"/>
        <v>0.80669464585381812</v>
      </c>
      <c r="O153" s="397">
        <f t="shared" si="122"/>
        <v>0.80669464585381812</v>
      </c>
      <c r="P153" s="397">
        <f t="shared" si="122"/>
        <v>0.80669464585381812</v>
      </c>
      <c r="Q153" s="397">
        <f t="shared" si="122"/>
        <v>0.80669464585381812</v>
      </c>
      <c r="R153" s="397">
        <f t="shared" si="122"/>
        <v>0.80669464585381812</v>
      </c>
      <c r="S153" s="397">
        <f t="shared" si="124"/>
        <v>0.80669464585381812</v>
      </c>
      <c r="T153" s="397">
        <f t="shared" si="124"/>
        <v>0.80669464585381812</v>
      </c>
      <c r="U153" s="397">
        <f t="shared" si="124"/>
        <v>0.80669464585381812</v>
      </c>
      <c r="V153" s="397">
        <f t="shared" si="124"/>
        <v>0</v>
      </c>
      <c r="W153" s="397">
        <f t="shared" si="124"/>
        <v>0</v>
      </c>
      <c r="X153" s="397">
        <f t="shared" si="124"/>
        <v>0</v>
      </c>
      <c r="Y153" s="397">
        <f t="shared" si="125"/>
        <v>0</v>
      </c>
      <c r="Z153" s="397">
        <f t="shared" si="125"/>
        <v>0</v>
      </c>
      <c r="AA153" s="397">
        <f t="shared" si="125"/>
        <v>0</v>
      </c>
      <c r="AB153" s="397">
        <f t="shared" si="125"/>
        <v>0</v>
      </c>
      <c r="AC153" s="397">
        <f t="shared" si="125"/>
        <v>0</v>
      </c>
      <c r="AD153" s="397">
        <f t="shared" si="125"/>
        <v>0</v>
      </c>
      <c r="AE153" s="397">
        <f t="shared" si="125"/>
        <v>0</v>
      </c>
      <c r="AF153" s="397">
        <f t="shared" si="125"/>
        <v>0</v>
      </c>
      <c r="AG153" s="397">
        <f t="shared" si="125"/>
        <v>0</v>
      </c>
      <c r="AH153" s="397">
        <f t="shared" si="125"/>
        <v>0</v>
      </c>
      <c r="AI153" s="397">
        <f t="shared" si="125"/>
        <v>0</v>
      </c>
      <c r="AJ153" s="397">
        <f t="shared" si="125"/>
        <v>0</v>
      </c>
      <c r="AK153" s="397">
        <f t="shared" si="125"/>
        <v>0</v>
      </c>
      <c r="AL153" s="397">
        <f t="shared" si="125"/>
        <v>0</v>
      </c>
      <c r="AM153" s="397">
        <f t="shared" si="125"/>
        <v>0</v>
      </c>
      <c r="AN153" s="397">
        <f t="shared" si="125"/>
        <v>0</v>
      </c>
      <c r="AO153" s="397">
        <f t="shared" si="126"/>
        <v>0</v>
      </c>
      <c r="AP153" s="397">
        <f t="shared" si="126"/>
        <v>0</v>
      </c>
      <c r="AQ153" s="397">
        <f t="shared" si="126"/>
        <v>0</v>
      </c>
      <c r="AR153" s="397">
        <f t="shared" si="126"/>
        <v>0</v>
      </c>
      <c r="AS153" s="397">
        <f t="shared" si="126"/>
        <v>0</v>
      </c>
      <c r="AT153" s="397">
        <f t="shared" si="126"/>
        <v>0</v>
      </c>
      <c r="AU153" s="397">
        <f t="shared" si="126"/>
        <v>0</v>
      </c>
      <c r="AV153" s="397">
        <f t="shared" si="126"/>
        <v>0</v>
      </c>
      <c r="AW153" s="397">
        <f t="shared" si="126"/>
        <v>0</v>
      </c>
      <c r="AX153" s="397">
        <f t="shared" si="126"/>
        <v>0</v>
      </c>
      <c r="AY153" s="397">
        <f t="shared" si="126"/>
        <v>0</v>
      </c>
      <c r="AZ153" s="397">
        <f t="shared" si="126"/>
        <v>0</v>
      </c>
      <c r="BA153" s="397">
        <f t="shared" si="126"/>
        <v>0</v>
      </c>
    </row>
    <row r="154" spans="2:53">
      <c r="B154" s="398">
        <f t="shared" si="123"/>
        <v>2029</v>
      </c>
      <c r="C154" s="397">
        <f t="shared" si="122"/>
        <v>0</v>
      </c>
      <c r="D154" s="397">
        <f t="shared" si="122"/>
        <v>0</v>
      </c>
      <c r="E154" s="397">
        <f t="shared" si="122"/>
        <v>0</v>
      </c>
      <c r="F154" s="397">
        <f t="shared" si="122"/>
        <v>0</v>
      </c>
      <c r="G154" s="397">
        <f t="shared" si="122"/>
        <v>0</v>
      </c>
      <c r="H154" s="397">
        <f t="shared" si="122"/>
        <v>0</v>
      </c>
      <c r="I154" s="397">
        <f t="shared" si="122"/>
        <v>0</v>
      </c>
      <c r="J154" s="397">
        <f t="shared" si="122"/>
        <v>0</v>
      </c>
      <c r="K154" s="397">
        <f t="shared" si="122"/>
        <v>0</v>
      </c>
      <c r="L154" s="397">
        <f t="shared" si="122"/>
        <v>0</v>
      </c>
      <c r="M154" s="397">
        <f t="shared" si="122"/>
        <v>0.82280225674447471</v>
      </c>
      <c r="N154" s="397">
        <f t="shared" si="122"/>
        <v>0.82280225674447471</v>
      </c>
      <c r="O154" s="397">
        <f t="shared" si="122"/>
        <v>0.82280225674447471</v>
      </c>
      <c r="P154" s="397">
        <f t="shared" si="122"/>
        <v>0.82280225674447471</v>
      </c>
      <c r="Q154" s="397">
        <f t="shared" si="122"/>
        <v>0.82280225674447471</v>
      </c>
      <c r="R154" s="397">
        <f t="shared" si="122"/>
        <v>0.82280225674447471</v>
      </c>
      <c r="S154" s="397">
        <f t="shared" si="124"/>
        <v>0.82280225674447471</v>
      </c>
      <c r="T154" s="397">
        <f t="shared" si="124"/>
        <v>0.82280225674447471</v>
      </c>
      <c r="U154" s="397">
        <f t="shared" si="124"/>
        <v>0.82280225674447471</v>
      </c>
      <c r="V154" s="397">
        <f t="shared" si="124"/>
        <v>0.82280225674447471</v>
      </c>
      <c r="W154" s="397">
        <f t="shared" si="124"/>
        <v>0</v>
      </c>
      <c r="X154" s="397">
        <f t="shared" si="124"/>
        <v>0</v>
      </c>
      <c r="Y154" s="397">
        <f t="shared" si="125"/>
        <v>0</v>
      </c>
      <c r="Z154" s="397">
        <f t="shared" si="125"/>
        <v>0</v>
      </c>
      <c r="AA154" s="397">
        <f t="shared" si="125"/>
        <v>0</v>
      </c>
      <c r="AB154" s="397">
        <f t="shared" si="125"/>
        <v>0</v>
      </c>
      <c r="AC154" s="397">
        <f t="shared" si="125"/>
        <v>0</v>
      </c>
      <c r="AD154" s="397">
        <f t="shared" si="125"/>
        <v>0</v>
      </c>
      <c r="AE154" s="397">
        <f t="shared" si="125"/>
        <v>0</v>
      </c>
      <c r="AF154" s="397">
        <f t="shared" si="125"/>
        <v>0</v>
      </c>
      <c r="AG154" s="397">
        <f t="shared" si="125"/>
        <v>0</v>
      </c>
      <c r="AH154" s="397">
        <f t="shared" si="125"/>
        <v>0</v>
      </c>
      <c r="AI154" s="397">
        <f t="shared" si="125"/>
        <v>0</v>
      </c>
      <c r="AJ154" s="397">
        <f t="shared" si="125"/>
        <v>0</v>
      </c>
      <c r="AK154" s="397">
        <f t="shared" si="125"/>
        <v>0</v>
      </c>
      <c r="AL154" s="397">
        <f t="shared" si="125"/>
        <v>0</v>
      </c>
      <c r="AM154" s="397">
        <f t="shared" si="125"/>
        <v>0</v>
      </c>
      <c r="AN154" s="397">
        <f t="shared" si="125"/>
        <v>0</v>
      </c>
      <c r="AO154" s="397">
        <f t="shared" si="126"/>
        <v>0</v>
      </c>
      <c r="AP154" s="397">
        <f t="shared" si="126"/>
        <v>0</v>
      </c>
      <c r="AQ154" s="397">
        <f t="shared" si="126"/>
        <v>0</v>
      </c>
      <c r="AR154" s="397">
        <f t="shared" si="126"/>
        <v>0</v>
      </c>
      <c r="AS154" s="397">
        <f t="shared" si="126"/>
        <v>0</v>
      </c>
      <c r="AT154" s="397">
        <f t="shared" si="126"/>
        <v>0</v>
      </c>
      <c r="AU154" s="397">
        <f t="shared" si="126"/>
        <v>0</v>
      </c>
      <c r="AV154" s="397">
        <f t="shared" si="126"/>
        <v>0</v>
      </c>
      <c r="AW154" s="397">
        <f t="shared" si="126"/>
        <v>0</v>
      </c>
      <c r="AX154" s="397">
        <f t="shared" si="126"/>
        <v>0</v>
      </c>
      <c r="AY154" s="397">
        <f t="shared" si="126"/>
        <v>0</v>
      </c>
      <c r="AZ154" s="397">
        <f t="shared" si="126"/>
        <v>0</v>
      </c>
      <c r="BA154" s="397">
        <f t="shared" si="126"/>
        <v>0</v>
      </c>
    </row>
    <row r="155" spans="2:53">
      <c r="B155" s="398">
        <f t="shared" si="123"/>
        <v>2030</v>
      </c>
      <c r="C155" s="397">
        <f t="shared" si="122"/>
        <v>0</v>
      </c>
      <c r="D155" s="397">
        <f t="shared" si="122"/>
        <v>0</v>
      </c>
      <c r="E155" s="397">
        <f t="shared" si="122"/>
        <v>0</v>
      </c>
      <c r="F155" s="397">
        <f t="shared" si="122"/>
        <v>0</v>
      </c>
      <c r="G155" s="397">
        <f t="shared" si="122"/>
        <v>0</v>
      </c>
      <c r="H155" s="397">
        <f t="shared" si="122"/>
        <v>0</v>
      </c>
      <c r="I155" s="397">
        <f t="shared" si="122"/>
        <v>0</v>
      </c>
      <c r="J155" s="397">
        <f t="shared" si="122"/>
        <v>0</v>
      </c>
      <c r="K155" s="397">
        <f t="shared" si="122"/>
        <v>0</v>
      </c>
      <c r="L155" s="397">
        <f t="shared" si="122"/>
        <v>0</v>
      </c>
      <c r="M155" s="397">
        <f t="shared" si="122"/>
        <v>0</v>
      </c>
      <c r="N155" s="397">
        <f t="shared" si="122"/>
        <v>0.83847243933592341</v>
      </c>
      <c r="O155" s="397">
        <f t="shared" si="122"/>
        <v>0.83847243933592341</v>
      </c>
      <c r="P155" s="397">
        <f t="shared" si="122"/>
        <v>0.83847243933592341</v>
      </c>
      <c r="Q155" s="397">
        <f t="shared" si="122"/>
        <v>0.83847243933592341</v>
      </c>
      <c r="R155" s="397">
        <f t="shared" si="122"/>
        <v>0.83847243933592341</v>
      </c>
      <c r="S155" s="397">
        <f t="shared" si="124"/>
        <v>0.83847243933592341</v>
      </c>
      <c r="T155" s="397">
        <f t="shared" si="124"/>
        <v>0.83847243933592341</v>
      </c>
      <c r="U155" s="397">
        <f t="shared" si="124"/>
        <v>0.83847243933592341</v>
      </c>
      <c r="V155" s="397">
        <f t="shared" si="124"/>
        <v>0.83847243933592341</v>
      </c>
      <c r="W155" s="397">
        <f t="shared" si="124"/>
        <v>0.83847243933592341</v>
      </c>
      <c r="X155" s="397">
        <f t="shared" si="124"/>
        <v>0</v>
      </c>
      <c r="Y155" s="397">
        <f t="shared" si="125"/>
        <v>0</v>
      </c>
      <c r="Z155" s="397">
        <f t="shared" si="125"/>
        <v>0</v>
      </c>
      <c r="AA155" s="397">
        <f t="shared" si="125"/>
        <v>0</v>
      </c>
      <c r="AB155" s="397">
        <f t="shared" si="125"/>
        <v>0</v>
      </c>
      <c r="AC155" s="397">
        <f t="shared" si="125"/>
        <v>0</v>
      </c>
      <c r="AD155" s="397">
        <f t="shared" si="125"/>
        <v>0</v>
      </c>
      <c r="AE155" s="397">
        <f t="shared" si="125"/>
        <v>0</v>
      </c>
      <c r="AF155" s="397">
        <f t="shared" si="125"/>
        <v>0</v>
      </c>
      <c r="AG155" s="397">
        <f t="shared" si="125"/>
        <v>0</v>
      </c>
      <c r="AH155" s="397">
        <f t="shared" si="125"/>
        <v>0</v>
      </c>
      <c r="AI155" s="397">
        <f t="shared" si="125"/>
        <v>0</v>
      </c>
      <c r="AJ155" s="397">
        <f t="shared" si="125"/>
        <v>0</v>
      </c>
      <c r="AK155" s="397">
        <f t="shared" si="125"/>
        <v>0</v>
      </c>
      <c r="AL155" s="397">
        <f t="shared" si="125"/>
        <v>0</v>
      </c>
      <c r="AM155" s="397">
        <f t="shared" si="125"/>
        <v>0</v>
      </c>
      <c r="AN155" s="397">
        <f t="shared" si="125"/>
        <v>0</v>
      </c>
      <c r="AO155" s="397">
        <f t="shared" si="126"/>
        <v>0</v>
      </c>
      <c r="AP155" s="397">
        <f t="shared" si="126"/>
        <v>0</v>
      </c>
      <c r="AQ155" s="397">
        <f t="shared" si="126"/>
        <v>0</v>
      </c>
      <c r="AR155" s="397">
        <f t="shared" si="126"/>
        <v>0</v>
      </c>
      <c r="AS155" s="397">
        <f t="shared" si="126"/>
        <v>0</v>
      </c>
      <c r="AT155" s="397">
        <f t="shared" si="126"/>
        <v>0</v>
      </c>
      <c r="AU155" s="397">
        <f t="shared" si="126"/>
        <v>0</v>
      </c>
      <c r="AV155" s="397">
        <f t="shared" si="126"/>
        <v>0</v>
      </c>
      <c r="AW155" s="397">
        <f t="shared" si="126"/>
        <v>0</v>
      </c>
      <c r="AX155" s="397">
        <f t="shared" si="126"/>
        <v>0</v>
      </c>
      <c r="AY155" s="397">
        <f t="shared" si="126"/>
        <v>0</v>
      </c>
      <c r="AZ155" s="397">
        <f t="shared" si="126"/>
        <v>0</v>
      </c>
      <c r="BA155" s="397">
        <f t="shared" si="126"/>
        <v>0</v>
      </c>
    </row>
    <row r="156" spans="2:53">
      <c r="B156" s="398">
        <f t="shared" si="123"/>
        <v>2031</v>
      </c>
      <c r="C156" s="397">
        <f t="shared" si="122"/>
        <v>0</v>
      </c>
      <c r="D156" s="397">
        <f t="shared" si="122"/>
        <v>0</v>
      </c>
      <c r="E156" s="397">
        <f t="shared" si="122"/>
        <v>0</v>
      </c>
      <c r="F156" s="397">
        <f t="shared" si="122"/>
        <v>0</v>
      </c>
      <c r="G156" s="397">
        <f t="shared" si="122"/>
        <v>0</v>
      </c>
      <c r="H156" s="397">
        <f t="shared" si="122"/>
        <v>0</v>
      </c>
      <c r="I156" s="397">
        <f t="shared" si="122"/>
        <v>0</v>
      </c>
      <c r="J156" s="397">
        <f t="shared" si="122"/>
        <v>0</v>
      </c>
      <c r="K156" s="397">
        <f t="shared" si="122"/>
        <v>0</v>
      </c>
      <c r="L156" s="397">
        <f t="shared" si="122"/>
        <v>0</v>
      </c>
      <c r="M156" s="397">
        <f t="shared" si="122"/>
        <v>0</v>
      </c>
      <c r="N156" s="397">
        <f t="shared" si="122"/>
        <v>0</v>
      </c>
      <c r="O156" s="397">
        <f t="shared" si="122"/>
        <v>0.8535434622645377</v>
      </c>
      <c r="P156" s="397">
        <f t="shared" si="122"/>
        <v>0.8535434622645377</v>
      </c>
      <c r="Q156" s="397">
        <f t="shared" si="122"/>
        <v>0.8535434622645377</v>
      </c>
      <c r="R156" s="397">
        <f t="shared" si="122"/>
        <v>0.8535434622645377</v>
      </c>
      <c r="S156" s="397">
        <f t="shared" si="124"/>
        <v>0.8535434622645377</v>
      </c>
      <c r="T156" s="397">
        <f t="shared" si="124"/>
        <v>0.8535434622645377</v>
      </c>
      <c r="U156" s="397">
        <f t="shared" si="124"/>
        <v>0.8535434622645377</v>
      </c>
      <c r="V156" s="397">
        <f t="shared" si="124"/>
        <v>0.8535434622645377</v>
      </c>
      <c r="W156" s="397">
        <f t="shared" si="124"/>
        <v>0.8535434622645377</v>
      </c>
      <c r="X156" s="397">
        <f t="shared" si="124"/>
        <v>0.8535434622645377</v>
      </c>
      <c r="Y156" s="397">
        <f t="shared" si="125"/>
        <v>0</v>
      </c>
      <c r="Z156" s="397">
        <f t="shared" si="125"/>
        <v>0</v>
      </c>
      <c r="AA156" s="397">
        <f t="shared" si="125"/>
        <v>0</v>
      </c>
      <c r="AB156" s="397">
        <f t="shared" si="125"/>
        <v>0</v>
      </c>
      <c r="AC156" s="397">
        <f t="shared" si="125"/>
        <v>0</v>
      </c>
      <c r="AD156" s="397">
        <f t="shared" si="125"/>
        <v>0</v>
      </c>
      <c r="AE156" s="397">
        <f t="shared" si="125"/>
        <v>0</v>
      </c>
      <c r="AF156" s="397">
        <f t="shared" si="125"/>
        <v>0</v>
      </c>
      <c r="AG156" s="397">
        <f t="shared" si="125"/>
        <v>0</v>
      </c>
      <c r="AH156" s="397">
        <f t="shared" si="125"/>
        <v>0</v>
      </c>
      <c r="AI156" s="397">
        <f t="shared" si="125"/>
        <v>0</v>
      </c>
      <c r="AJ156" s="397">
        <f t="shared" si="125"/>
        <v>0</v>
      </c>
      <c r="AK156" s="397">
        <f t="shared" si="125"/>
        <v>0</v>
      </c>
      <c r="AL156" s="397">
        <f t="shared" si="125"/>
        <v>0</v>
      </c>
      <c r="AM156" s="397">
        <f t="shared" si="125"/>
        <v>0</v>
      </c>
      <c r="AN156" s="397">
        <f t="shared" si="125"/>
        <v>0</v>
      </c>
      <c r="AO156" s="397">
        <f t="shared" si="126"/>
        <v>0</v>
      </c>
      <c r="AP156" s="397">
        <f t="shared" si="126"/>
        <v>0</v>
      </c>
      <c r="AQ156" s="397">
        <f t="shared" si="126"/>
        <v>0</v>
      </c>
      <c r="AR156" s="397">
        <f t="shared" si="126"/>
        <v>0</v>
      </c>
      <c r="AS156" s="397">
        <f t="shared" si="126"/>
        <v>0</v>
      </c>
      <c r="AT156" s="397">
        <f t="shared" si="126"/>
        <v>0</v>
      </c>
      <c r="AU156" s="397">
        <f t="shared" si="126"/>
        <v>0</v>
      </c>
      <c r="AV156" s="397">
        <f t="shared" si="126"/>
        <v>0</v>
      </c>
      <c r="AW156" s="397">
        <f t="shared" si="126"/>
        <v>0</v>
      </c>
      <c r="AX156" s="397">
        <f t="shared" si="126"/>
        <v>0</v>
      </c>
      <c r="AY156" s="397">
        <f t="shared" si="126"/>
        <v>0</v>
      </c>
      <c r="AZ156" s="397">
        <f t="shared" si="126"/>
        <v>0</v>
      </c>
      <c r="BA156" s="397">
        <f t="shared" si="126"/>
        <v>0</v>
      </c>
    </row>
    <row r="157" spans="2:53">
      <c r="B157" s="398">
        <f t="shared" si="123"/>
        <v>2032</v>
      </c>
      <c r="C157" s="397">
        <f t="shared" si="122"/>
        <v>0</v>
      </c>
      <c r="D157" s="397">
        <f t="shared" si="122"/>
        <v>0</v>
      </c>
      <c r="E157" s="397">
        <f t="shared" si="122"/>
        <v>0</v>
      </c>
      <c r="F157" s="397">
        <f t="shared" si="122"/>
        <v>0</v>
      </c>
      <c r="G157" s="397">
        <f t="shared" si="122"/>
        <v>0</v>
      </c>
      <c r="H157" s="397">
        <f t="shared" si="122"/>
        <v>0</v>
      </c>
      <c r="I157" s="397">
        <f t="shared" si="122"/>
        <v>0</v>
      </c>
      <c r="J157" s="397">
        <f t="shared" si="122"/>
        <v>0</v>
      </c>
      <c r="K157" s="397">
        <f t="shared" si="122"/>
        <v>0</v>
      </c>
      <c r="L157" s="397">
        <f t="shared" si="122"/>
        <v>0</v>
      </c>
      <c r="M157" s="397">
        <f t="shared" si="122"/>
        <v>0</v>
      </c>
      <c r="N157" s="397">
        <f t="shared" si="122"/>
        <v>0</v>
      </c>
      <c r="O157" s="397">
        <f t="shared" si="122"/>
        <v>0</v>
      </c>
      <c r="P157" s="397">
        <f t="shared" si="122"/>
        <v>0.86792291361752349</v>
      </c>
      <c r="Q157" s="397">
        <f t="shared" si="122"/>
        <v>0.86792291361752349</v>
      </c>
      <c r="R157" s="397">
        <f t="shared" si="122"/>
        <v>0.86792291361752349</v>
      </c>
      <c r="S157" s="397">
        <f t="shared" si="124"/>
        <v>0.86792291361752349</v>
      </c>
      <c r="T157" s="397">
        <f t="shared" si="124"/>
        <v>0.86792291361752349</v>
      </c>
      <c r="U157" s="397">
        <f t="shared" si="124"/>
        <v>0.86792291361752349</v>
      </c>
      <c r="V157" s="397">
        <f t="shared" si="124"/>
        <v>0.86792291361752349</v>
      </c>
      <c r="W157" s="397">
        <f t="shared" si="124"/>
        <v>0.86792291361752349</v>
      </c>
      <c r="X157" s="397">
        <f t="shared" si="124"/>
        <v>0.86792291361752349</v>
      </c>
      <c r="Y157" s="397">
        <f t="shared" si="125"/>
        <v>0.86792291361752349</v>
      </c>
      <c r="Z157" s="397">
        <f t="shared" si="125"/>
        <v>0</v>
      </c>
      <c r="AA157" s="397">
        <f t="shared" si="125"/>
        <v>0</v>
      </c>
      <c r="AB157" s="397">
        <f t="shared" si="125"/>
        <v>0</v>
      </c>
      <c r="AC157" s="397">
        <f t="shared" si="125"/>
        <v>0</v>
      </c>
      <c r="AD157" s="397">
        <f t="shared" si="125"/>
        <v>0</v>
      </c>
      <c r="AE157" s="397">
        <f t="shared" si="125"/>
        <v>0</v>
      </c>
      <c r="AF157" s="397">
        <f t="shared" si="125"/>
        <v>0</v>
      </c>
      <c r="AG157" s="397">
        <f t="shared" si="125"/>
        <v>0</v>
      </c>
      <c r="AH157" s="397">
        <f t="shared" si="125"/>
        <v>0</v>
      </c>
      <c r="AI157" s="397">
        <f t="shared" si="125"/>
        <v>0</v>
      </c>
      <c r="AJ157" s="397">
        <f t="shared" si="125"/>
        <v>0</v>
      </c>
      <c r="AK157" s="397">
        <f t="shared" si="125"/>
        <v>0</v>
      </c>
      <c r="AL157" s="397">
        <f t="shared" si="125"/>
        <v>0</v>
      </c>
      <c r="AM157" s="397">
        <f t="shared" si="125"/>
        <v>0</v>
      </c>
      <c r="AN157" s="397">
        <f t="shared" si="125"/>
        <v>0</v>
      </c>
      <c r="AO157" s="397">
        <f t="shared" si="126"/>
        <v>0</v>
      </c>
      <c r="AP157" s="397">
        <f t="shared" si="126"/>
        <v>0</v>
      </c>
      <c r="AQ157" s="397">
        <f t="shared" si="126"/>
        <v>0</v>
      </c>
      <c r="AR157" s="397">
        <f t="shared" si="126"/>
        <v>0</v>
      </c>
      <c r="AS157" s="397">
        <f t="shared" si="126"/>
        <v>0</v>
      </c>
      <c r="AT157" s="397">
        <f t="shared" si="126"/>
        <v>0</v>
      </c>
      <c r="AU157" s="397">
        <f t="shared" si="126"/>
        <v>0</v>
      </c>
      <c r="AV157" s="397">
        <f t="shared" si="126"/>
        <v>0</v>
      </c>
      <c r="AW157" s="397">
        <f t="shared" si="126"/>
        <v>0</v>
      </c>
      <c r="AX157" s="397">
        <f t="shared" si="126"/>
        <v>0</v>
      </c>
      <c r="AY157" s="397">
        <f t="shared" si="126"/>
        <v>0</v>
      </c>
      <c r="AZ157" s="397">
        <f t="shared" si="126"/>
        <v>0</v>
      </c>
      <c r="BA157" s="397">
        <f t="shared" si="126"/>
        <v>0</v>
      </c>
    </row>
    <row r="158" spans="2:53">
      <c r="B158" s="398">
        <f t="shared" si="123"/>
        <v>2033</v>
      </c>
      <c r="C158" s="397">
        <f t="shared" si="122"/>
        <v>0</v>
      </c>
      <c r="D158" s="397">
        <f t="shared" si="122"/>
        <v>0</v>
      </c>
      <c r="E158" s="397">
        <f t="shared" si="122"/>
        <v>0</v>
      </c>
      <c r="F158" s="397">
        <f t="shared" si="122"/>
        <v>0</v>
      </c>
      <c r="G158" s="397">
        <f t="shared" si="122"/>
        <v>0</v>
      </c>
      <c r="H158" s="397">
        <f t="shared" si="122"/>
        <v>0</v>
      </c>
      <c r="I158" s="397">
        <f t="shared" si="122"/>
        <v>0</v>
      </c>
      <c r="J158" s="397">
        <f t="shared" si="122"/>
        <v>0</v>
      </c>
      <c r="K158" s="397">
        <f t="shared" si="122"/>
        <v>0</v>
      </c>
      <c r="L158" s="397">
        <f t="shared" si="122"/>
        <v>0</v>
      </c>
      <c r="M158" s="397">
        <f t="shared" si="122"/>
        <v>0</v>
      </c>
      <c r="N158" s="397">
        <f t="shared" si="122"/>
        <v>0</v>
      </c>
      <c r="O158" s="397">
        <f t="shared" si="122"/>
        <v>0</v>
      </c>
      <c r="P158" s="397">
        <f t="shared" si="122"/>
        <v>0</v>
      </c>
      <c r="Q158" s="397">
        <f t="shared" si="122"/>
        <v>0.8818607292331555</v>
      </c>
      <c r="R158" s="397">
        <f t="shared" si="122"/>
        <v>0.8818607292331555</v>
      </c>
      <c r="S158" s="397">
        <f t="shared" si="124"/>
        <v>0.8818607292331555</v>
      </c>
      <c r="T158" s="397">
        <f t="shared" si="124"/>
        <v>0.8818607292331555</v>
      </c>
      <c r="U158" s="397">
        <f t="shared" si="124"/>
        <v>0.8818607292331555</v>
      </c>
      <c r="V158" s="397">
        <f t="shared" si="124"/>
        <v>0.8818607292331555</v>
      </c>
      <c r="W158" s="397">
        <f t="shared" si="124"/>
        <v>0.8818607292331555</v>
      </c>
      <c r="X158" s="397">
        <f t="shared" si="124"/>
        <v>0.8818607292331555</v>
      </c>
      <c r="Y158" s="397">
        <f t="shared" si="125"/>
        <v>0.8818607292331555</v>
      </c>
      <c r="Z158" s="397">
        <f t="shared" si="125"/>
        <v>0.8818607292331555</v>
      </c>
      <c r="AA158" s="397">
        <f t="shared" si="125"/>
        <v>0</v>
      </c>
      <c r="AB158" s="397">
        <f t="shared" si="125"/>
        <v>0</v>
      </c>
      <c r="AC158" s="397">
        <f t="shared" si="125"/>
        <v>0</v>
      </c>
      <c r="AD158" s="397">
        <f t="shared" si="125"/>
        <v>0</v>
      </c>
      <c r="AE158" s="397">
        <f t="shared" si="125"/>
        <v>0</v>
      </c>
      <c r="AF158" s="397">
        <f t="shared" si="125"/>
        <v>0</v>
      </c>
      <c r="AG158" s="397">
        <f t="shared" si="125"/>
        <v>0</v>
      </c>
      <c r="AH158" s="397">
        <f t="shared" si="125"/>
        <v>0</v>
      </c>
      <c r="AI158" s="397">
        <f t="shared" si="125"/>
        <v>0</v>
      </c>
      <c r="AJ158" s="397">
        <f t="shared" si="125"/>
        <v>0</v>
      </c>
      <c r="AK158" s="397">
        <f t="shared" si="125"/>
        <v>0</v>
      </c>
      <c r="AL158" s="397">
        <f t="shared" si="125"/>
        <v>0</v>
      </c>
      <c r="AM158" s="397">
        <f t="shared" si="125"/>
        <v>0</v>
      </c>
      <c r="AN158" s="397">
        <f t="shared" si="125"/>
        <v>0</v>
      </c>
      <c r="AO158" s="397">
        <f t="shared" si="126"/>
        <v>0</v>
      </c>
      <c r="AP158" s="397">
        <f t="shared" si="126"/>
        <v>0</v>
      </c>
      <c r="AQ158" s="397">
        <f t="shared" si="126"/>
        <v>0</v>
      </c>
      <c r="AR158" s="397">
        <f t="shared" si="126"/>
        <v>0</v>
      </c>
      <c r="AS158" s="397">
        <f t="shared" si="126"/>
        <v>0</v>
      </c>
      <c r="AT158" s="397">
        <f t="shared" si="126"/>
        <v>0</v>
      </c>
      <c r="AU158" s="397">
        <f t="shared" si="126"/>
        <v>0</v>
      </c>
      <c r="AV158" s="397">
        <f t="shared" si="126"/>
        <v>0</v>
      </c>
      <c r="AW158" s="397">
        <f t="shared" si="126"/>
        <v>0</v>
      </c>
      <c r="AX158" s="397">
        <f t="shared" si="126"/>
        <v>0</v>
      </c>
      <c r="AY158" s="397">
        <f t="shared" si="126"/>
        <v>0</v>
      </c>
      <c r="AZ158" s="397">
        <f t="shared" si="126"/>
        <v>0</v>
      </c>
      <c r="BA158" s="397">
        <f t="shared" si="126"/>
        <v>0</v>
      </c>
    </row>
    <row r="159" spans="2:53">
      <c r="B159" s="398">
        <f t="shared" si="123"/>
        <v>2034</v>
      </c>
      <c r="C159" s="397">
        <f t="shared" si="122"/>
        <v>0</v>
      </c>
      <c r="D159" s="397">
        <f t="shared" si="122"/>
        <v>0</v>
      </c>
      <c r="E159" s="397">
        <f t="shared" si="122"/>
        <v>0</v>
      </c>
      <c r="F159" s="397">
        <f t="shared" si="122"/>
        <v>0</v>
      </c>
      <c r="G159" s="397">
        <f t="shared" si="122"/>
        <v>0</v>
      </c>
      <c r="H159" s="397">
        <f t="shared" si="122"/>
        <v>0</v>
      </c>
      <c r="I159" s="397">
        <f t="shared" si="122"/>
        <v>0</v>
      </c>
      <c r="J159" s="397">
        <f t="shared" si="122"/>
        <v>0</v>
      </c>
      <c r="K159" s="397">
        <f t="shared" si="122"/>
        <v>0</v>
      </c>
      <c r="L159" s="397">
        <f t="shared" si="122"/>
        <v>0</v>
      </c>
      <c r="M159" s="397">
        <f t="shared" si="122"/>
        <v>0</v>
      </c>
      <c r="N159" s="397">
        <f t="shared" si="122"/>
        <v>0</v>
      </c>
      <c r="O159" s="397">
        <f t="shared" si="122"/>
        <v>0</v>
      </c>
      <c r="P159" s="397">
        <f t="shared" si="122"/>
        <v>0</v>
      </c>
      <c r="Q159" s="397">
        <f t="shared" si="122"/>
        <v>0</v>
      </c>
      <c r="R159" s="397">
        <f t="shared" si="122"/>
        <v>0.89564374209600583</v>
      </c>
      <c r="S159" s="397">
        <f t="shared" si="124"/>
        <v>0.89564374209600583</v>
      </c>
      <c r="T159" s="397">
        <f t="shared" si="124"/>
        <v>0.89564374209600583</v>
      </c>
      <c r="U159" s="397">
        <f t="shared" si="124"/>
        <v>0.89564374209600583</v>
      </c>
      <c r="V159" s="397">
        <f t="shared" si="124"/>
        <v>0.89564374209600583</v>
      </c>
      <c r="W159" s="397">
        <f t="shared" si="124"/>
        <v>0.89564374209600583</v>
      </c>
      <c r="X159" s="397">
        <f t="shared" si="124"/>
        <v>0.89564374209600583</v>
      </c>
      <c r="Y159" s="397">
        <f t="shared" si="125"/>
        <v>0.89564374209600583</v>
      </c>
      <c r="Z159" s="397">
        <f t="shared" si="125"/>
        <v>0.89564374209600583</v>
      </c>
      <c r="AA159" s="397">
        <f t="shared" si="125"/>
        <v>0.89564374209600583</v>
      </c>
      <c r="AB159" s="397">
        <f t="shared" si="125"/>
        <v>0</v>
      </c>
      <c r="AC159" s="397">
        <f t="shared" si="125"/>
        <v>0</v>
      </c>
      <c r="AD159" s="397">
        <f t="shared" si="125"/>
        <v>0</v>
      </c>
      <c r="AE159" s="397">
        <f t="shared" si="125"/>
        <v>0</v>
      </c>
      <c r="AF159" s="397">
        <f t="shared" si="125"/>
        <v>0</v>
      </c>
      <c r="AG159" s="397">
        <f t="shared" si="125"/>
        <v>0</v>
      </c>
      <c r="AH159" s="397">
        <f t="shared" si="125"/>
        <v>0</v>
      </c>
      <c r="AI159" s="397">
        <f t="shared" si="125"/>
        <v>0</v>
      </c>
      <c r="AJ159" s="397">
        <f t="shared" si="125"/>
        <v>0</v>
      </c>
      <c r="AK159" s="397">
        <f t="shared" si="125"/>
        <v>0</v>
      </c>
      <c r="AL159" s="397">
        <f t="shared" si="125"/>
        <v>0</v>
      </c>
      <c r="AM159" s="397">
        <f t="shared" si="125"/>
        <v>0</v>
      </c>
      <c r="AN159" s="397">
        <f t="shared" si="125"/>
        <v>0</v>
      </c>
      <c r="AO159" s="397">
        <f t="shared" si="126"/>
        <v>0</v>
      </c>
      <c r="AP159" s="397">
        <f t="shared" si="126"/>
        <v>0</v>
      </c>
      <c r="AQ159" s="397">
        <f t="shared" si="126"/>
        <v>0</v>
      </c>
      <c r="AR159" s="397">
        <f t="shared" si="126"/>
        <v>0</v>
      </c>
      <c r="AS159" s="397">
        <f t="shared" si="126"/>
        <v>0</v>
      </c>
      <c r="AT159" s="397">
        <f t="shared" si="126"/>
        <v>0</v>
      </c>
      <c r="AU159" s="397">
        <f t="shared" si="126"/>
        <v>0</v>
      </c>
      <c r="AV159" s="397">
        <f t="shared" si="126"/>
        <v>0</v>
      </c>
      <c r="AW159" s="397">
        <f t="shared" si="126"/>
        <v>0</v>
      </c>
      <c r="AX159" s="397">
        <f t="shared" si="126"/>
        <v>0</v>
      </c>
      <c r="AY159" s="397">
        <f t="shared" si="126"/>
        <v>0</v>
      </c>
      <c r="AZ159" s="397">
        <f t="shared" si="126"/>
        <v>0</v>
      </c>
      <c r="BA159" s="397">
        <f t="shared" si="126"/>
        <v>0</v>
      </c>
    </row>
    <row r="160" spans="2:53">
      <c r="B160" s="398">
        <f t="shared" si="123"/>
        <v>2035</v>
      </c>
      <c r="C160" s="397">
        <f t="shared" si="122"/>
        <v>0</v>
      </c>
      <c r="D160" s="397">
        <f t="shared" si="122"/>
        <v>0</v>
      </c>
      <c r="E160" s="397">
        <f t="shared" si="122"/>
        <v>0</v>
      </c>
      <c r="F160" s="397">
        <f t="shared" si="122"/>
        <v>0</v>
      </c>
      <c r="G160" s="397">
        <f t="shared" si="122"/>
        <v>0</v>
      </c>
      <c r="H160" s="397">
        <f t="shared" si="122"/>
        <v>0</v>
      </c>
      <c r="I160" s="397">
        <f t="shared" si="122"/>
        <v>0</v>
      </c>
      <c r="J160" s="397">
        <f t="shared" si="122"/>
        <v>0</v>
      </c>
      <c r="K160" s="397">
        <f t="shared" si="122"/>
        <v>0</v>
      </c>
      <c r="L160" s="397">
        <f t="shared" si="122"/>
        <v>0</v>
      </c>
      <c r="M160" s="397">
        <f t="shared" si="122"/>
        <v>0</v>
      </c>
      <c r="N160" s="397">
        <f t="shared" si="122"/>
        <v>0</v>
      </c>
      <c r="O160" s="397">
        <f t="shared" si="122"/>
        <v>0</v>
      </c>
      <c r="P160" s="397">
        <f t="shared" si="122"/>
        <v>0</v>
      </c>
      <c r="Q160" s="397">
        <f t="shared" si="122"/>
        <v>0</v>
      </c>
      <c r="R160" s="397">
        <f t="shared" si="122"/>
        <v>0</v>
      </c>
      <c r="S160" s="397">
        <f t="shared" si="124"/>
        <v>0.90931793987724419</v>
      </c>
      <c r="T160" s="397">
        <f t="shared" si="124"/>
        <v>0.90931793987724419</v>
      </c>
      <c r="U160" s="397">
        <f t="shared" si="124"/>
        <v>0.90931793987724419</v>
      </c>
      <c r="V160" s="397">
        <f t="shared" si="124"/>
        <v>0.90931793987724419</v>
      </c>
      <c r="W160" s="397">
        <f t="shared" si="124"/>
        <v>0.90931793987724419</v>
      </c>
      <c r="X160" s="397">
        <f t="shared" si="124"/>
        <v>0.90931793987724419</v>
      </c>
      <c r="Y160" s="397">
        <f t="shared" si="125"/>
        <v>0.90931793987724419</v>
      </c>
      <c r="Z160" s="397">
        <f t="shared" si="125"/>
        <v>0.90931793987724419</v>
      </c>
      <c r="AA160" s="397">
        <f t="shared" si="125"/>
        <v>0.90931793987724419</v>
      </c>
      <c r="AB160" s="397">
        <f t="shared" si="125"/>
        <v>0.90931793987724419</v>
      </c>
      <c r="AC160" s="397">
        <f t="shared" si="125"/>
        <v>0</v>
      </c>
      <c r="AD160" s="397">
        <f t="shared" si="125"/>
        <v>0</v>
      </c>
      <c r="AE160" s="397">
        <f t="shared" si="125"/>
        <v>0</v>
      </c>
      <c r="AF160" s="397">
        <f t="shared" si="125"/>
        <v>0</v>
      </c>
      <c r="AG160" s="397">
        <f t="shared" si="125"/>
        <v>0</v>
      </c>
      <c r="AH160" s="397">
        <f t="shared" si="125"/>
        <v>0</v>
      </c>
      <c r="AI160" s="397">
        <f t="shared" si="125"/>
        <v>0</v>
      </c>
      <c r="AJ160" s="397">
        <f t="shared" si="125"/>
        <v>0</v>
      </c>
      <c r="AK160" s="397">
        <f t="shared" si="125"/>
        <v>0</v>
      </c>
      <c r="AL160" s="397">
        <f t="shared" si="125"/>
        <v>0</v>
      </c>
      <c r="AM160" s="397">
        <f t="shared" si="125"/>
        <v>0</v>
      </c>
      <c r="AN160" s="397">
        <f t="shared" si="125"/>
        <v>0</v>
      </c>
      <c r="AO160" s="397">
        <f t="shared" si="126"/>
        <v>0</v>
      </c>
      <c r="AP160" s="397">
        <f t="shared" si="126"/>
        <v>0</v>
      </c>
      <c r="AQ160" s="397">
        <f t="shared" si="126"/>
        <v>0</v>
      </c>
      <c r="AR160" s="397">
        <f t="shared" si="126"/>
        <v>0</v>
      </c>
      <c r="AS160" s="397">
        <f t="shared" si="126"/>
        <v>0</v>
      </c>
      <c r="AT160" s="397">
        <f t="shared" si="126"/>
        <v>0</v>
      </c>
      <c r="AU160" s="397">
        <f t="shared" si="126"/>
        <v>0</v>
      </c>
      <c r="AV160" s="397">
        <f t="shared" si="126"/>
        <v>0</v>
      </c>
      <c r="AW160" s="397">
        <f t="shared" si="126"/>
        <v>0</v>
      </c>
      <c r="AX160" s="397">
        <f t="shared" si="126"/>
        <v>0</v>
      </c>
      <c r="AY160" s="397">
        <f t="shared" si="126"/>
        <v>0</v>
      </c>
      <c r="AZ160" s="397">
        <f t="shared" si="126"/>
        <v>0</v>
      </c>
      <c r="BA160" s="397">
        <f t="shared" si="126"/>
        <v>0</v>
      </c>
    </row>
    <row r="161" spans="2:53">
      <c r="B161" s="398">
        <f t="shared" si="123"/>
        <v>2036</v>
      </c>
      <c r="C161" s="397">
        <f t="shared" si="122"/>
        <v>0</v>
      </c>
      <c r="D161" s="397">
        <f t="shared" si="122"/>
        <v>0</v>
      </c>
      <c r="E161" s="397">
        <f t="shared" si="122"/>
        <v>0</v>
      </c>
      <c r="F161" s="397">
        <f t="shared" si="122"/>
        <v>0</v>
      </c>
      <c r="G161" s="397">
        <f t="shared" si="122"/>
        <v>0</v>
      </c>
      <c r="H161" s="397">
        <f t="shared" si="122"/>
        <v>0</v>
      </c>
      <c r="I161" s="397">
        <f t="shared" si="122"/>
        <v>0</v>
      </c>
      <c r="J161" s="397">
        <f t="shared" si="122"/>
        <v>0</v>
      </c>
      <c r="K161" s="397">
        <f t="shared" si="122"/>
        <v>0</v>
      </c>
      <c r="L161" s="397">
        <f t="shared" si="122"/>
        <v>0</v>
      </c>
      <c r="M161" s="397">
        <f t="shared" si="122"/>
        <v>0</v>
      </c>
      <c r="N161" s="397">
        <f t="shared" si="122"/>
        <v>0</v>
      </c>
      <c r="O161" s="397">
        <f t="shared" si="122"/>
        <v>0</v>
      </c>
      <c r="P161" s="397">
        <f t="shared" si="122"/>
        <v>0</v>
      </c>
      <c r="Q161" s="397">
        <f t="shared" si="122"/>
        <v>0</v>
      </c>
      <c r="R161" s="397">
        <f t="shared" si="122"/>
        <v>0</v>
      </c>
      <c r="S161" s="397">
        <f t="shared" si="124"/>
        <v>0</v>
      </c>
      <c r="T161" s="397">
        <f t="shared" si="124"/>
        <v>0.92266856718604129</v>
      </c>
      <c r="U161" s="397">
        <f t="shared" si="124"/>
        <v>0.92266856718604129</v>
      </c>
      <c r="V161" s="397">
        <f t="shared" si="124"/>
        <v>0.92266856718604129</v>
      </c>
      <c r="W161" s="397">
        <f t="shared" si="124"/>
        <v>0.92266856718604129</v>
      </c>
      <c r="X161" s="397">
        <f t="shared" si="124"/>
        <v>0.92266856718604129</v>
      </c>
      <c r="Y161" s="397">
        <f t="shared" si="125"/>
        <v>0.92266856718604129</v>
      </c>
      <c r="Z161" s="397">
        <f t="shared" si="125"/>
        <v>0.92266856718604129</v>
      </c>
      <c r="AA161" s="397">
        <f t="shared" si="125"/>
        <v>0.92266856718604129</v>
      </c>
      <c r="AB161" s="397">
        <f t="shared" si="125"/>
        <v>0.92266856718604129</v>
      </c>
      <c r="AC161" s="397">
        <f t="shared" si="125"/>
        <v>0.92266856718604129</v>
      </c>
      <c r="AD161" s="397">
        <f t="shared" si="125"/>
        <v>0</v>
      </c>
      <c r="AE161" s="397">
        <f t="shared" si="125"/>
        <v>0</v>
      </c>
      <c r="AF161" s="397">
        <f t="shared" si="125"/>
        <v>0</v>
      </c>
      <c r="AG161" s="397">
        <f t="shared" si="125"/>
        <v>0</v>
      </c>
      <c r="AH161" s="397">
        <f t="shared" si="125"/>
        <v>0</v>
      </c>
      <c r="AI161" s="397">
        <f t="shared" si="125"/>
        <v>0</v>
      </c>
      <c r="AJ161" s="397">
        <f t="shared" si="125"/>
        <v>0</v>
      </c>
      <c r="AK161" s="397">
        <f t="shared" si="125"/>
        <v>0</v>
      </c>
      <c r="AL161" s="397">
        <f t="shared" si="125"/>
        <v>0</v>
      </c>
      <c r="AM161" s="397">
        <f t="shared" si="125"/>
        <v>0</v>
      </c>
      <c r="AN161" s="397">
        <f t="shared" si="125"/>
        <v>0</v>
      </c>
      <c r="AO161" s="397">
        <f t="shared" si="126"/>
        <v>0</v>
      </c>
      <c r="AP161" s="397">
        <f t="shared" si="126"/>
        <v>0</v>
      </c>
      <c r="AQ161" s="397">
        <f t="shared" si="126"/>
        <v>0</v>
      </c>
      <c r="AR161" s="397">
        <f t="shared" si="126"/>
        <v>0</v>
      </c>
      <c r="AS161" s="397">
        <f t="shared" si="126"/>
        <v>0</v>
      </c>
      <c r="AT161" s="397">
        <f t="shared" si="126"/>
        <v>0</v>
      </c>
      <c r="AU161" s="397">
        <f t="shared" si="126"/>
        <v>0</v>
      </c>
      <c r="AV161" s="397">
        <f t="shared" si="126"/>
        <v>0</v>
      </c>
      <c r="AW161" s="397">
        <f t="shared" si="126"/>
        <v>0</v>
      </c>
      <c r="AX161" s="397">
        <f t="shared" si="126"/>
        <v>0</v>
      </c>
      <c r="AY161" s="397">
        <f t="shared" si="126"/>
        <v>0</v>
      </c>
      <c r="AZ161" s="397">
        <f t="shared" si="126"/>
        <v>0</v>
      </c>
      <c r="BA161" s="397">
        <f t="shared" si="126"/>
        <v>0</v>
      </c>
    </row>
    <row r="162" spans="2:53">
      <c r="B162" s="398">
        <f t="shared" si="123"/>
        <v>2037</v>
      </c>
      <c r="C162" s="397">
        <f t="shared" si="122"/>
        <v>0</v>
      </c>
      <c r="D162" s="397">
        <f t="shared" si="122"/>
        <v>0</v>
      </c>
      <c r="E162" s="397">
        <f t="shared" si="122"/>
        <v>0</v>
      </c>
      <c r="F162" s="397">
        <f t="shared" si="122"/>
        <v>0</v>
      </c>
      <c r="G162" s="397">
        <f t="shared" si="122"/>
        <v>0</v>
      </c>
      <c r="H162" s="397">
        <f t="shared" si="122"/>
        <v>0</v>
      </c>
      <c r="I162" s="397">
        <f t="shared" si="122"/>
        <v>0</v>
      </c>
      <c r="J162" s="397">
        <f t="shared" si="122"/>
        <v>0</v>
      </c>
      <c r="K162" s="397">
        <f t="shared" si="122"/>
        <v>0</v>
      </c>
      <c r="L162" s="397">
        <f t="shared" si="122"/>
        <v>0</v>
      </c>
      <c r="M162" s="397">
        <f t="shared" si="122"/>
        <v>0</v>
      </c>
      <c r="N162" s="397">
        <f t="shared" si="122"/>
        <v>0</v>
      </c>
      <c r="O162" s="397">
        <f t="shared" si="122"/>
        <v>0</v>
      </c>
      <c r="P162" s="397">
        <f t="shared" si="122"/>
        <v>0</v>
      </c>
      <c r="Q162" s="397">
        <f t="shared" si="122"/>
        <v>0</v>
      </c>
      <c r="R162" s="397">
        <f t="shared" si="122"/>
        <v>0</v>
      </c>
      <c r="S162" s="397">
        <f t="shared" si="124"/>
        <v>0</v>
      </c>
      <c r="T162" s="397">
        <f t="shared" si="124"/>
        <v>0</v>
      </c>
      <c r="U162" s="397">
        <f t="shared" si="124"/>
        <v>0.93573458333792703</v>
      </c>
      <c r="V162" s="397">
        <f t="shared" si="124"/>
        <v>0.93573458333792703</v>
      </c>
      <c r="W162" s="397">
        <f t="shared" si="124"/>
        <v>0.93573458333792703</v>
      </c>
      <c r="X162" s="397">
        <f t="shared" si="124"/>
        <v>0.93573458333792703</v>
      </c>
      <c r="Y162" s="397">
        <f t="shared" si="125"/>
        <v>0.93573458333792703</v>
      </c>
      <c r="Z162" s="397">
        <f t="shared" si="125"/>
        <v>0.93573458333792703</v>
      </c>
      <c r="AA162" s="397">
        <f t="shared" si="125"/>
        <v>0.93573458333792703</v>
      </c>
      <c r="AB162" s="397">
        <f t="shared" si="125"/>
        <v>0.93573458333792703</v>
      </c>
      <c r="AC162" s="397">
        <f t="shared" si="125"/>
        <v>0.93573458333792703</v>
      </c>
      <c r="AD162" s="397">
        <f t="shared" si="125"/>
        <v>0.93573458333792703</v>
      </c>
      <c r="AE162" s="397">
        <f t="shared" si="125"/>
        <v>0</v>
      </c>
      <c r="AF162" s="397">
        <f t="shared" si="125"/>
        <v>0</v>
      </c>
      <c r="AG162" s="397">
        <f t="shared" si="125"/>
        <v>0</v>
      </c>
      <c r="AH162" s="397">
        <f t="shared" si="125"/>
        <v>0</v>
      </c>
      <c r="AI162" s="397">
        <f t="shared" si="125"/>
        <v>0</v>
      </c>
      <c r="AJ162" s="397">
        <f t="shared" si="125"/>
        <v>0</v>
      </c>
      <c r="AK162" s="397">
        <f t="shared" si="125"/>
        <v>0</v>
      </c>
      <c r="AL162" s="397">
        <f t="shared" si="125"/>
        <v>0</v>
      </c>
      <c r="AM162" s="397">
        <f t="shared" si="125"/>
        <v>0</v>
      </c>
      <c r="AN162" s="397">
        <f t="shared" si="125"/>
        <v>0</v>
      </c>
      <c r="AO162" s="397">
        <f t="shared" si="126"/>
        <v>0</v>
      </c>
      <c r="AP162" s="397">
        <f t="shared" si="126"/>
        <v>0</v>
      </c>
      <c r="AQ162" s="397">
        <f t="shared" si="126"/>
        <v>0</v>
      </c>
      <c r="AR162" s="397">
        <f t="shared" si="126"/>
        <v>0</v>
      </c>
      <c r="AS162" s="397">
        <f t="shared" si="126"/>
        <v>0</v>
      </c>
      <c r="AT162" s="397">
        <f t="shared" si="126"/>
        <v>0</v>
      </c>
      <c r="AU162" s="397">
        <f t="shared" si="126"/>
        <v>0</v>
      </c>
      <c r="AV162" s="397">
        <f t="shared" si="126"/>
        <v>0</v>
      </c>
      <c r="AW162" s="397">
        <f t="shared" si="126"/>
        <v>0</v>
      </c>
      <c r="AX162" s="397">
        <f t="shared" si="126"/>
        <v>0</v>
      </c>
      <c r="AY162" s="397">
        <f t="shared" si="126"/>
        <v>0</v>
      </c>
      <c r="AZ162" s="397">
        <f t="shared" si="126"/>
        <v>0</v>
      </c>
      <c r="BA162" s="397">
        <f t="shared" si="126"/>
        <v>0</v>
      </c>
    </row>
    <row r="163" spans="2:53">
      <c r="B163" s="398">
        <f t="shared" si="123"/>
        <v>2038</v>
      </c>
      <c r="C163" s="397">
        <f t="shared" si="122"/>
        <v>0</v>
      </c>
      <c r="D163" s="397">
        <f t="shared" si="122"/>
        <v>0</v>
      </c>
      <c r="E163" s="397">
        <f t="shared" si="122"/>
        <v>0</v>
      </c>
      <c r="F163" s="397">
        <f t="shared" si="122"/>
        <v>0</v>
      </c>
      <c r="G163" s="397">
        <f t="shared" si="122"/>
        <v>0</v>
      </c>
      <c r="H163" s="397">
        <f t="shared" si="122"/>
        <v>0</v>
      </c>
      <c r="I163" s="397">
        <f t="shared" si="122"/>
        <v>0</v>
      </c>
      <c r="J163" s="397">
        <f t="shared" si="122"/>
        <v>0</v>
      </c>
      <c r="K163" s="397">
        <f t="shared" si="122"/>
        <v>0</v>
      </c>
      <c r="L163" s="397">
        <f t="shared" si="122"/>
        <v>0</v>
      </c>
      <c r="M163" s="397">
        <f t="shared" si="122"/>
        <v>0</v>
      </c>
      <c r="N163" s="397">
        <f t="shared" si="122"/>
        <v>0</v>
      </c>
      <c r="O163" s="397">
        <f t="shared" si="122"/>
        <v>0</v>
      </c>
      <c r="P163" s="397">
        <f t="shared" si="122"/>
        <v>0</v>
      </c>
      <c r="Q163" s="397">
        <f t="shared" si="122"/>
        <v>0</v>
      </c>
      <c r="R163" s="397">
        <f t="shared" si="122"/>
        <v>0</v>
      </c>
      <c r="S163" s="397">
        <f t="shared" si="124"/>
        <v>0</v>
      </c>
      <c r="T163" s="397">
        <f t="shared" si="124"/>
        <v>0</v>
      </c>
      <c r="U163" s="397">
        <f t="shared" si="124"/>
        <v>0</v>
      </c>
      <c r="V163" s="397">
        <f t="shared" si="124"/>
        <v>0.94904360919238329</v>
      </c>
      <c r="W163" s="397">
        <f t="shared" si="124"/>
        <v>0.94904360919238329</v>
      </c>
      <c r="X163" s="397">
        <f t="shared" si="124"/>
        <v>0.94904360919238329</v>
      </c>
      <c r="Y163" s="397">
        <f t="shared" si="125"/>
        <v>0.94904360919238329</v>
      </c>
      <c r="Z163" s="397">
        <f t="shared" si="125"/>
        <v>0.94904360919238329</v>
      </c>
      <c r="AA163" s="397">
        <f t="shared" si="125"/>
        <v>0.94904360919238329</v>
      </c>
      <c r="AB163" s="397">
        <f t="shared" si="125"/>
        <v>0.94904360919238329</v>
      </c>
      <c r="AC163" s="397">
        <f t="shared" si="125"/>
        <v>0.94904360919238329</v>
      </c>
      <c r="AD163" s="397">
        <f t="shared" si="125"/>
        <v>0.94904360919238329</v>
      </c>
      <c r="AE163" s="397">
        <f t="shared" si="125"/>
        <v>0.94904360919238329</v>
      </c>
      <c r="AF163" s="397">
        <f t="shared" si="125"/>
        <v>0</v>
      </c>
      <c r="AG163" s="397">
        <f t="shared" si="125"/>
        <v>0</v>
      </c>
      <c r="AH163" s="397">
        <f t="shared" si="125"/>
        <v>0</v>
      </c>
      <c r="AI163" s="397">
        <f t="shared" si="125"/>
        <v>0</v>
      </c>
      <c r="AJ163" s="397">
        <f t="shared" si="125"/>
        <v>0</v>
      </c>
      <c r="AK163" s="397">
        <f t="shared" si="125"/>
        <v>0</v>
      </c>
      <c r="AL163" s="397">
        <f t="shared" si="125"/>
        <v>0</v>
      </c>
      <c r="AM163" s="397">
        <f t="shared" si="125"/>
        <v>0</v>
      </c>
      <c r="AN163" s="397">
        <f t="shared" si="125"/>
        <v>0</v>
      </c>
      <c r="AO163" s="397">
        <f t="shared" si="126"/>
        <v>0</v>
      </c>
      <c r="AP163" s="397">
        <f t="shared" si="126"/>
        <v>0</v>
      </c>
      <c r="AQ163" s="397">
        <f t="shared" si="126"/>
        <v>0</v>
      </c>
      <c r="AR163" s="397">
        <f t="shared" si="126"/>
        <v>0</v>
      </c>
      <c r="AS163" s="397">
        <f t="shared" si="126"/>
        <v>0</v>
      </c>
      <c r="AT163" s="397">
        <f t="shared" si="126"/>
        <v>0</v>
      </c>
      <c r="AU163" s="397">
        <f t="shared" si="126"/>
        <v>0</v>
      </c>
      <c r="AV163" s="397">
        <f t="shared" si="126"/>
        <v>0</v>
      </c>
      <c r="AW163" s="397">
        <f t="shared" si="126"/>
        <v>0</v>
      </c>
      <c r="AX163" s="397">
        <f t="shared" si="126"/>
        <v>0</v>
      </c>
      <c r="AY163" s="397">
        <f t="shared" si="126"/>
        <v>0</v>
      </c>
      <c r="AZ163" s="397">
        <f t="shared" si="126"/>
        <v>0</v>
      </c>
      <c r="BA163" s="397">
        <f t="shared" si="126"/>
        <v>0</v>
      </c>
    </row>
    <row r="164" spans="2:53">
      <c r="B164" s="398">
        <f t="shared" si="123"/>
        <v>2039</v>
      </c>
      <c r="C164" s="397">
        <f t="shared" si="122"/>
        <v>0</v>
      </c>
      <c r="D164" s="397">
        <f t="shared" si="122"/>
        <v>0</v>
      </c>
      <c r="E164" s="397">
        <f t="shared" si="122"/>
        <v>0</v>
      </c>
      <c r="F164" s="397">
        <f t="shared" si="122"/>
        <v>0</v>
      </c>
      <c r="G164" s="397">
        <f t="shared" si="122"/>
        <v>0</v>
      </c>
      <c r="H164" s="397">
        <f t="shared" si="122"/>
        <v>0</v>
      </c>
      <c r="I164" s="397">
        <f t="shared" si="122"/>
        <v>0</v>
      </c>
      <c r="J164" s="397">
        <f t="shared" si="122"/>
        <v>0</v>
      </c>
      <c r="K164" s="397">
        <f t="shared" si="122"/>
        <v>0</v>
      </c>
      <c r="L164" s="397">
        <f t="shared" si="122"/>
        <v>0</v>
      </c>
      <c r="M164" s="397">
        <f t="shared" si="122"/>
        <v>0</v>
      </c>
      <c r="N164" s="397">
        <f t="shared" si="122"/>
        <v>0</v>
      </c>
      <c r="O164" s="397">
        <f t="shared" si="122"/>
        <v>0</v>
      </c>
      <c r="P164" s="397">
        <f t="shared" si="122"/>
        <v>0</v>
      </c>
      <c r="Q164" s="397">
        <f t="shared" si="122"/>
        <v>0</v>
      </c>
      <c r="R164" s="397">
        <f t="shared" si="122"/>
        <v>0</v>
      </c>
      <c r="S164" s="397">
        <f t="shared" si="124"/>
        <v>0</v>
      </c>
      <c r="T164" s="397">
        <f t="shared" si="124"/>
        <v>0</v>
      </c>
      <c r="U164" s="397">
        <f t="shared" si="124"/>
        <v>0</v>
      </c>
      <c r="V164" s="397">
        <f t="shared" si="124"/>
        <v>0</v>
      </c>
      <c r="W164" s="397">
        <f t="shared" si="124"/>
        <v>0.96216214717772197</v>
      </c>
      <c r="X164" s="397">
        <f t="shared" si="124"/>
        <v>0.96216214717772197</v>
      </c>
      <c r="Y164" s="397">
        <f t="shared" si="125"/>
        <v>0.96216214717772197</v>
      </c>
      <c r="Z164" s="397">
        <f t="shared" si="125"/>
        <v>0.96216214717772197</v>
      </c>
      <c r="AA164" s="397">
        <f t="shared" si="125"/>
        <v>0.96216214717772197</v>
      </c>
      <c r="AB164" s="397">
        <f t="shared" si="125"/>
        <v>0.96216214717772197</v>
      </c>
      <c r="AC164" s="397">
        <f t="shared" si="125"/>
        <v>0.96216214717772197</v>
      </c>
      <c r="AD164" s="397">
        <f t="shared" si="125"/>
        <v>0.96216214717772197</v>
      </c>
      <c r="AE164" s="397">
        <f t="shared" si="125"/>
        <v>0.96216214717772197</v>
      </c>
      <c r="AF164" s="397">
        <f t="shared" si="125"/>
        <v>0.96216214717772197</v>
      </c>
      <c r="AG164" s="397">
        <f t="shared" si="125"/>
        <v>0</v>
      </c>
      <c r="AH164" s="397">
        <f t="shared" si="125"/>
        <v>0</v>
      </c>
      <c r="AI164" s="397">
        <f t="shared" si="125"/>
        <v>0</v>
      </c>
      <c r="AJ164" s="397">
        <f t="shared" si="125"/>
        <v>0</v>
      </c>
      <c r="AK164" s="397">
        <f t="shared" si="125"/>
        <v>0</v>
      </c>
      <c r="AL164" s="397">
        <f t="shared" si="125"/>
        <v>0</v>
      </c>
      <c r="AM164" s="397">
        <f t="shared" si="125"/>
        <v>0</v>
      </c>
      <c r="AN164" s="397">
        <f t="shared" si="125"/>
        <v>0</v>
      </c>
      <c r="AO164" s="397">
        <f t="shared" si="126"/>
        <v>0</v>
      </c>
      <c r="AP164" s="397">
        <f t="shared" si="126"/>
        <v>0</v>
      </c>
      <c r="AQ164" s="397">
        <f t="shared" si="126"/>
        <v>0</v>
      </c>
      <c r="AR164" s="397">
        <f t="shared" si="126"/>
        <v>0</v>
      </c>
      <c r="AS164" s="397">
        <f t="shared" si="126"/>
        <v>0</v>
      </c>
      <c r="AT164" s="397">
        <f t="shared" si="126"/>
        <v>0</v>
      </c>
      <c r="AU164" s="397">
        <f t="shared" si="126"/>
        <v>0</v>
      </c>
      <c r="AV164" s="397">
        <f t="shared" si="126"/>
        <v>0</v>
      </c>
      <c r="AW164" s="397">
        <f t="shared" si="126"/>
        <v>0</v>
      </c>
      <c r="AX164" s="397">
        <f t="shared" si="126"/>
        <v>0</v>
      </c>
      <c r="AY164" s="397">
        <f t="shared" si="126"/>
        <v>0</v>
      </c>
      <c r="AZ164" s="397">
        <f t="shared" si="126"/>
        <v>0</v>
      </c>
      <c r="BA164" s="397">
        <f t="shared" si="126"/>
        <v>0</v>
      </c>
    </row>
    <row r="165" spans="2:53">
      <c r="B165" s="398">
        <f t="shared" si="123"/>
        <v>2040</v>
      </c>
      <c r="C165" s="397">
        <f t="shared" si="122"/>
        <v>0</v>
      </c>
      <c r="D165" s="397">
        <f t="shared" si="122"/>
        <v>0</v>
      </c>
      <c r="E165" s="397">
        <f t="shared" si="122"/>
        <v>0</v>
      </c>
      <c r="F165" s="397">
        <f t="shared" si="122"/>
        <v>0</v>
      </c>
      <c r="G165" s="397">
        <f t="shared" si="122"/>
        <v>0</v>
      </c>
      <c r="H165" s="397">
        <f t="shared" si="122"/>
        <v>0</v>
      </c>
      <c r="I165" s="397">
        <f t="shared" si="122"/>
        <v>0</v>
      </c>
      <c r="J165" s="397">
        <f t="shared" si="122"/>
        <v>0</v>
      </c>
      <c r="K165" s="397">
        <f t="shared" si="122"/>
        <v>0</v>
      </c>
      <c r="L165" s="397">
        <f t="shared" si="122"/>
        <v>0</v>
      </c>
      <c r="M165" s="397">
        <f t="shared" si="122"/>
        <v>0</v>
      </c>
      <c r="N165" s="397">
        <f t="shared" si="122"/>
        <v>0</v>
      </c>
      <c r="O165" s="397">
        <f t="shared" si="122"/>
        <v>0</v>
      </c>
      <c r="P165" s="397">
        <f t="shared" si="122"/>
        <v>0</v>
      </c>
      <c r="Q165" s="397">
        <f t="shared" si="122"/>
        <v>0</v>
      </c>
      <c r="R165" s="397">
        <f t="shared" si="122"/>
        <v>0</v>
      </c>
      <c r="S165" s="397">
        <f t="shared" si="124"/>
        <v>0</v>
      </c>
      <c r="T165" s="397">
        <f t="shared" si="124"/>
        <v>0</v>
      </c>
      <c r="U165" s="397">
        <f t="shared" si="124"/>
        <v>0</v>
      </c>
      <c r="V165" s="397">
        <f t="shared" si="124"/>
        <v>0</v>
      </c>
      <c r="W165" s="397">
        <f t="shared" si="124"/>
        <v>0</v>
      </c>
      <c r="X165" s="397">
        <f t="shared" si="124"/>
        <v>0.9749673791724951</v>
      </c>
      <c r="Y165" s="397">
        <f t="shared" si="125"/>
        <v>0.9749673791724951</v>
      </c>
      <c r="Z165" s="397">
        <f t="shared" si="125"/>
        <v>0.9749673791724951</v>
      </c>
      <c r="AA165" s="397">
        <f t="shared" si="125"/>
        <v>0.9749673791724951</v>
      </c>
      <c r="AB165" s="397">
        <f t="shared" si="125"/>
        <v>0.9749673791724951</v>
      </c>
      <c r="AC165" s="397">
        <f t="shared" si="125"/>
        <v>0.9749673791724951</v>
      </c>
      <c r="AD165" s="397">
        <f t="shared" si="125"/>
        <v>0.9749673791724951</v>
      </c>
      <c r="AE165" s="397">
        <f t="shared" si="125"/>
        <v>0.9749673791724951</v>
      </c>
      <c r="AF165" s="397">
        <f t="shared" si="125"/>
        <v>0.9749673791724951</v>
      </c>
      <c r="AG165" s="397">
        <f t="shared" si="125"/>
        <v>0.9749673791724951</v>
      </c>
      <c r="AH165" s="397">
        <f t="shared" si="125"/>
        <v>0</v>
      </c>
      <c r="AI165" s="397">
        <f t="shared" si="125"/>
        <v>0</v>
      </c>
      <c r="AJ165" s="397">
        <f t="shared" si="125"/>
        <v>0</v>
      </c>
      <c r="AK165" s="397">
        <f t="shared" si="125"/>
        <v>0</v>
      </c>
      <c r="AL165" s="397">
        <f t="shared" si="125"/>
        <v>0</v>
      </c>
      <c r="AM165" s="397">
        <f t="shared" si="125"/>
        <v>0</v>
      </c>
      <c r="AN165" s="397">
        <f t="shared" ref="AN165:BA180" si="127">IF($B165&gt;=AN$144,0,        IF(AN$144-$B165&lt;=$C$135,    INDEX($C$120:$BA$120, MATCH($B165, $C$119:$BA$119,0)),       0))</f>
        <v>0</v>
      </c>
      <c r="AO165" s="397">
        <f t="shared" si="127"/>
        <v>0</v>
      </c>
      <c r="AP165" s="397">
        <f t="shared" si="127"/>
        <v>0</v>
      </c>
      <c r="AQ165" s="397">
        <f t="shared" si="127"/>
        <v>0</v>
      </c>
      <c r="AR165" s="397">
        <f t="shared" si="127"/>
        <v>0</v>
      </c>
      <c r="AS165" s="397">
        <f t="shared" si="127"/>
        <v>0</v>
      </c>
      <c r="AT165" s="397">
        <f t="shared" si="127"/>
        <v>0</v>
      </c>
      <c r="AU165" s="397">
        <f t="shared" si="127"/>
        <v>0</v>
      </c>
      <c r="AV165" s="397">
        <f t="shared" si="127"/>
        <v>0</v>
      </c>
      <c r="AW165" s="397">
        <f t="shared" si="127"/>
        <v>0</v>
      </c>
      <c r="AX165" s="397">
        <f t="shared" si="127"/>
        <v>0</v>
      </c>
      <c r="AY165" s="397">
        <f t="shared" si="127"/>
        <v>0</v>
      </c>
      <c r="AZ165" s="397">
        <f t="shared" si="127"/>
        <v>0</v>
      </c>
      <c r="BA165" s="397">
        <f t="shared" si="127"/>
        <v>0</v>
      </c>
    </row>
    <row r="166" spans="2:53">
      <c r="B166" s="398">
        <f t="shared" si="123"/>
        <v>2041</v>
      </c>
      <c r="C166" s="397">
        <f t="shared" si="122"/>
        <v>0</v>
      </c>
      <c r="D166" s="397">
        <f t="shared" si="122"/>
        <v>0</v>
      </c>
      <c r="E166" s="397">
        <f t="shared" si="122"/>
        <v>0</v>
      </c>
      <c r="F166" s="397">
        <f t="shared" si="122"/>
        <v>0</v>
      </c>
      <c r="G166" s="397">
        <f t="shared" si="122"/>
        <v>0</v>
      </c>
      <c r="H166" s="397">
        <f t="shared" si="122"/>
        <v>0</v>
      </c>
      <c r="I166" s="397">
        <f t="shared" si="122"/>
        <v>0</v>
      </c>
      <c r="J166" s="397">
        <f t="shared" si="122"/>
        <v>0</v>
      </c>
      <c r="K166" s="397">
        <f t="shared" si="122"/>
        <v>0</v>
      </c>
      <c r="L166" s="397">
        <f t="shared" si="122"/>
        <v>0</v>
      </c>
      <c r="M166" s="397">
        <f t="shared" ref="M166:AB181" si="128">IF($B166&gt;=M$144,0,        IF(M$144-$B166&lt;=$C$135,    INDEX($C$120:$BA$120, MATCH($B166, $C$119:$BA$119,0)),       0))</f>
        <v>0</v>
      </c>
      <c r="N166" s="397">
        <f t="shared" si="128"/>
        <v>0</v>
      </c>
      <c r="O166" s="397">
        <f t="shared" si="128"/>
        <v>0</v>
      </c>
      <c r="P166" s="397">
        <f t="shared" si="128"/>
        <v>0</v>
      </c>
      <c r="Q166" s="397">
        <f t="shared" si="128"/>
        <v>0</v>
      </c>
      <c r="R166" s="397">
        <f t="shared" si="128"/>
        <v>0</v>
      </c>
      <c r="S166" s="397">
        <f t="shared" si="128"/>
        <v>0</v>
      </c>
      <c r="T166" s="397">
        <f t="shared" si="128"/>
        <v>0</v>
      </c>
      <c r="U166" s="397">
        <f t="shared" si="128"/>
        <v>0</v>
      </c>
      <c r="V166" s="397">
        <f t="shared" si="128"/>
        <v>0</v>
      </c>
      <c r="W166" s="397">
        <f t="shared" si="128"/>
        <v>0</v>
      </c>
      <c r="X166" s="397">
        <f t="shared" si="128"/>
        <v>0</v>
      </c>
      <c r="Y166" s="397">
        <f t="shared" si="128"/>
        <v>0.98744048147353392</v>
      </c>
      <c r="Z166" s="397">
        <f t="shared" si="128"/>
        <v>0.98744048147353392</v>
      </c>
      <c r="AA166" s="397">
        <f t="shared" si="128"/>
        <v>0.98744048147353392</v>
      </c>
      <c r="AB166" s="397">
        <f t="shared" si="128"/>
        <v>0.98744048147353392</v>
      </c>
      <c r="AC166" s="397">
        <f t="shared" ref="AC166:AR181" si="129">IF($B166&gt;=AC$144,0,        IF(AC$144-$B166&lt;=$C$135,    INDEX($C$120:$BA$120, MATCH($B166, $C$119:$BA$119,0)),       0))</f>
        <v>0.98744048147353392</v>
      </c>
      <c r="AD166" s="397">
        <f t="shared" si="129"/>
        <v>0.98744048147353392</v>
      </c>
      <c r="AE166" s="397">
        <f t="shared" si="129"/>
        <v>0.98744048147353392</v>
      </c>
      <c r="AF166" s="397">
        <f t="shared" si="129"/>
        <v>0.98744048147353392</v>
      </c>
      <c r="AG166" s="397">
        <f t="shared" si="129"/>
        <v>0.98744048147353392</v>
      </c>
      <c r="AH166" s="397">
        <f t="shared" si="129"/>
        <v>0.98744048147353392</v>
      </c>
      <c r="AI166" s="397">
        <f t="shared" si="129"/>
        <v>0</v>
      </c>
      <c r="AJ166" s="397">
        <f t="shared" si="129"/>
        <v>0</v>
      </c>
      <c r="AK166" s="397">
        <f t="shared" si="129"/>
        <v>0</v>
      </c>
      <c r="AL166" s="397">
        <f t="shared" si="129"/>
        <v>0</v>
      </c>
      <c r="AM166" s="397">
        <f t="shared" si="129"/>
        <v>0</v>
      </c>
      <c r="AN166" s="397">
        <f t="shared" si="129"/>
        <v>0</v>
      </c>
      <c r="AO166" s="397">
        <f t="shared" si="129"/>
        <v>0</v>
      </c>
      <c r="AP166" s="397">
        <f t="shared" si="129"/>
        <v>0</v>
      </c>
      <c r="AQ166" s="397">
        <f t="shared" si="129"/>
        <v>0</v>
      </c>
      <c r="AR166" s="397">
        <f t="shared" si="129"/>
        <v>0</v>
      </c>
      <c r="AS166" s="397">
        <f t="shared" si="127"/>
        <v>0</v>
      </c>
      <c r="AT166" s="397">
        <f t="shared" si="127"/>
        <v>0</v>
      </c>
      <c r="AU166" s="397">
        <f t="shared" si="127"/>
        <v>0</v>
      </c>
      <c r="AV166" s="397">
        <f t="shared" si="127"/>
        <v>0</v>
      </c>
      <c r="AW166" s="397">
        <f t="shared" si="127"/>
        <v>0</v>
      </c>
      <c r="AX166" s="397">
        <f t="shared" si="127"/>
        <v>0</v>
      </c>
      <c r="AY166" s="397">
        <f t="shared" si="127"/>
        <v>0</v>
      </c>
      <c r="AZ166" s="397">
        <f t="shared" si="127"/>
        <v>0</v>
      </c>
      <c r="BA166" s="397">
        <f t="shared" si="127"/>
        <v>0</v>
      </c>
    </row>
    <row r="167" spans="2:53">
      <c r="B167" s="398">
        <f t="shared" si="123"/>
        <v>2042</v>
      </c>
      <c r="C167" s="397">
        <f t="shared" ref="C167:R182" si="130">IF($B167&gt;=C$144,0,        IF(C$144-$B167&lt;=$C$135,    INDEX($C$120:$BA$120, MATCH($B167, $C$119:$BA$119,0)),       0))</f>
        <v>0</v>
      </c>
      <c r="D167" s="397">
        <f t="shared" si="130"/>
        <v>0</v>
      </c>
      <c r="E167" s="397">
        <f t="shared" si="130"/>
        <v>0</v>
      </c>
      <c r="F167" s="397">
        <f t="shared" si="130"/>
        <v>0</v>
      </c>
      <c r="G167" s="397">
        <f t="shared" si="130"/>
        <v>0</v>
      </c>
      <c r="H167" s="397">
        <f t="shared" si="130"/>
        <v>0</v>
      </c>
      <c r="I167" s="397">
        <f t="shared" si="130"/>
        <v>0</v>
      </c>
      <c r="J167" s="397">
        <f t="shared" si="130"/>
        <v>0</v>
      </c>
      <c r="K167" s="397">
        <f t="shared" si="130"/>
        <v>0</v>
      </c>
      <c r="L167" s="397">
        <f t="shared" si="130"/>
        <v>0</v>
      </c>
      <c r="M167" s="397">
        <f t="shared" si="130"/>
        <v>0</v>
      </c>
      <c r="N167" s="397">
        <f t="shared" si="130"/>
        <v>0</v>
      </c>
      <c r="O167" s="397">
        <f t="shared" si="130"/>
        <v>0</v>
      </c>
      <c r="P167" s="397">
        <f t="shared" si="130"/>
        <v>0</v>
      </c>
      <c r="Q167" s="397">
        <f t="shared" si="130"/>
        <v>0</v>
      </c>
      <c r="R167" s="397">
        <f t="shared" si="130"/>
        <v>0</v>
      </c>
      <c r="S167" s="397">
        <f t="shared" si="128"/>
        <v>0</v>
      </c>
      <c r="T167" s="397">
        <f t="shared" si="128"/>
        <v>0</v>
      </c>
      <c r="U167" s="397">
        <f t="shared" si="128"/>
        <v>0</v>
      </c>
      <c r="V167" s="397">
        <f t="shared" si="128"/>
        <v>0</v>
      </c>
      <c r="W167" s="397">
        <f t="shared" si="128"/>
        <v>0</v>
      </c>
      <c r="X167" s="397">
        <f t="shared" si="128"/>
        <v>0</v>
      </c>
      <c r="Y167" s="397">
        <f t="shared" si="128"/>
        <v>0</v>
      </c>
      <c r="Z167" s="397">
        <f t="shared" si="128"/>
        <v>0.99979260952638827</v>
      </c>
      <c r="AA167" s="397">
        <f t="shared" si="128"/>
        <v>0.99979260952638827</v>
      </c>
      <c r="AB167" s="397">
        <f t="shared" si="128"/>
        <v>0.99979260952638827</v>
      </c>
      <c r="AC167" s="397">
        <f t="shared" si="129"/>
        <v>0.99979260952638827</v>
      </c>
      <c r="AD167" s="397">
        <f t="shared" si="129"/>
        <v>0.99979260952638827</v>
      </c>
      <c r="AE167" s="397">
        <f t="shared" si="129"/>
        <v>0.99979260952638827</v>
      </c>
      <c r="AF167" s="397">
        <f t="shared" si="129"/>
        <v>0.99979260952638827</v>
      </c>
      <c r="AG167" s="397">
        <f t="shared" si="129"/>
        <v>0.99979260952638827</v>
      </c>
      <c r="AH167" s="397">
        <f t="shared" si="129"/>
        <v>0.99979260952638827</v>
      </c>
      <c r="AI167" s="397">
        <f t="shared" si="129"/>
        <v>0.99979260952638827</v>
      </c>
      <c r="AJ167" s="397">
        <f t="shared" si="129"/>
        <v>0</v>
      </c>
      <c r="AK167" s="397">
        <f t="shared" si="129"/>
        <v>0</v>
      </c>
      <c r="AL167" s="397">
        <f t="shared" si="129"/>
        <v>0</v>
      </c>
      <c r="AM167" s="397">
        <f t="shared" si="129"/>
        <v>0</v>
      </c>
      <c r="AN167" s="397">
        <f t="shared" si="129"/>
        <v>0</v>
      </c>
      <c r="AO167" s="397">
        <f t="shared" si="129"/>
        <v>0</v>
      </c>
      <c r="AP167" s="397">
        <f t="shared" si="129"/>
        <v>0</v>
      </c>
      <c r="AQ167" s="397">
        <f t="shared" si="129"/>
        <v>0</v>
      </c>
      <c r="AR167" s="397">
        <f t="shared" si="129"/>
        <v>0</v>
      </c>
      <c r="AS167" s="397">
        <f t="shared" si="127"/>
        <v>0</v>
      </c>
      <c r="AT167" s="397">
        <f t="shared" si="127"/>
        <v>0</v>
      </c>
      <c r="AU167" s="397">
        <f t="shared" si="127"/>
        <v>0</v>
      </c>
      <c r="AV167" s="397">
        <f t="shared" si="127"/>
        <v>0</v>
      </c>
      <c r="AW167" s="397">
        <f t="shared" si="127"/>
        <v>0</v>
      </c>
      <c r="AX167" s="397">
        <f t="shared" si="127"/>
        <v>0</v>
      </c>
      <c r="AY167" s="397">
        <f t="shared" si="127"/>
        <v>0</v>
      </c>
      <c r="AZ167" s="397">
        <f t="shared" si="127"/>
        <v>0</v>
      </c>
      <c r="BA167" s="397">
        <f t="shared" si="127"/>
        <v>0</v>
      </c>
    </row>
    <row r="168" spans="2:53">
      <c r="B168" s="398">
        <f t="shared" si="123"/>
        <v>2043</v>
      </c>
      <c r="C168" s="397">
        <f t="shared" si="130"/>
        <v>0</v>
      </c>
      <c r="D168" s="397">
        <f t="shared" si="130"/>
        <v>0</v>
      </c>
      <c r="E168" s="397">
        <f t="shared" si="130"/>
        <v>0</v>
      </c>
      <c r="F168" s="397">
        <f t="shared" si="130"/>
        <v>0</v>
      </c>
      <c r="G168" s="397">
        <f t="shared" si="130"/>
        <v>0</v>
      </c>
      <c r="H168" s="397">
        <f t="shared" si="130"/>
        <v>0</v>
      </c>
      <c r="I168" s="397">
        <f t="shared" si="130"/>
        <v>0</v>
      </c>
      <c r="J168" s="397">
        <f t="shared" si="130"/>
        <v>0</v>
      </c>
      <c r="K168" s="397">
        <f t="shared" si="130"/>
        <v>0</v>
      </c>
      <c r="L168" s="397">
        <f t="shared" si="130"/>
        <v>0</v>
      </c>
      <c r="M168" s="397">
        <f t="shared" si="130"/>
        <v>0</v>
      </c>
      <c r="N168" s="397">
        <f t="shared" si="130"/>
        <v>0</v>
      </c>
      <c r="O168" s="397">
        <f t="shared" si="130"/>
        <v>0</v>
      </c>
      <c r="P168" s="397">
        <f t="shared" si="130"/>
        <v>0</v>
      </c>
      <c r="Q168" s="397">
        <f t="shared" si="130"/>
        <v>0</v>
      </c>
      <c r="R168" s="397">
        <f t="shared" si="130"/>
        <v>0</v>
      </c>
      <c r="S168" s="397">
        <f t="shared" si="128"/>
        <v>0</v>
      </c>
      <c r="T168" s="397">
        <f t="shared" si="128"/>
        <v>0</v>
      </c>
      <c r="U168" s="397">
        <f t="shared" si="128"/>
        <v>0</v>
      </c>
      <c r="V168" s="397">
        <f t="shared" si="128"/>
        <v>0</v>
      </c>
      <c r="W168" s="397">
        <f t="shared" si="128"/>
        <v>0</v>
      </c>
      <c r="X168" s="397">
        <f t="shared" si="128"/>
        <v>0</v>
      </c>
      <c r="Y168" s="397">
        <f t="shared" si="128"/>
        <v>0</v>
      </c>
      <c r="Z168" s="397">
        <f t="shared" si="128"/>
        <v>0</v>
      </c>
      <c r="AA168" s="397">
        <f t="shared" si="128"/>
        <v>1.0119777353138564</v>
      </c>
      <c r="AB168" s="397">
        <f t="shared" si="128"/>
        <v>1.0119777353138564</v>
      </c>
      <c r="AC168" s="397">
        <f t="shared" si="129"/>
        <v>1.0119777353138564</v>
      </c>
      <c r="AD168" s="397">
        <f t="shared" si="129"/>
        <v>1.0119777353138564</v>
      </c>
      <c r="AE168" s="397">
        <f t="shared" si="129"/>
        <v>1.0119777353138564</v>
      </c>
      <c r="AF168" s="397">
        <f t="shared" si="129"/>
        <v>1.0119777353138564</v>
      </c>
      <c r="AG168" s="397">
        <f t="shared" si="129"/>
        <v>1.0119777353138564</v>
      </c>
      <c r="AH168" s="397">
        <f t="shared" si="129"/>
        <v>1.0119777353138564</v>
      </c>
      <c r="AI168" s="397">
        <f t="shared" si="129"/>
        <v>1.0119777353138564</v>
      </c>
      <c r="AJ168" s="397">
        <f t="shared" si="129"/>
        <v>1.0119777353138564</v>
      </c>
      <c r="AK168" s="397">
        <f t="shared" si="129"/>
        <v>0</v>
      </c>
      <c r="AL168" s="397">
        <f t="shared" si="129"/>
        <v>0</v>
      </c>
      <c r="AM168" s="397">
        <f t="shared" si="129"/>
        <v>0</v>
      </c>
      <c r="AN168" s="397">
        <f t="shared" si="129"/>
        <v>0</v>
      </c>
      <c r="AO168" s="397">
        <f t="shared" si="129"/>
        <v>0</v>
      </c>
      <c r="AP168" s="397">
        <f t="shared" si="129"/>
        <v>0</v>
      </c>
      <c r="AQ168" s="397">
        <f t="shared" si="129"/>
        <v>0</v>
      </c>
      <c r="AR168" s="397">
        <f t="shared" si="129"/>
        <v>0</v>
      </c>
      <c r="AS168" s="397">
        <f t="shared" si="127"/>
        <v>0</v>
      </c>
      <c r="AT168" s="397">
        <f t="shared" si="127"/>
        <v>0</v>
      </c>
      <c r="AU168" s="397">
        <f t="shared" si="127"/>
        <v>0</v>
      </c>
      <c r="AV168" s="397">
        <f t="shared" si="127"/>
        <v>0</v>
      </c>
      <c r="AW168" s="397">
        <f t="shared" si="127"/>
        <v>0</v>
      </c>
      <c r="AX168" s="397">
        <f t="shared" si="127"/>
        <v>0</v>
      </c>
      <c r="AY168" s="397">
        <f t="shared" si="127"/>
        <v>0</v>
      </c>
      <c r="AZ168" s="397">
        <f t="shared" si="127"/>
        <v>0</v>
      </c>
      <c r="BA168" s="397">
        <f t="shared" si="127"/>
        <v>0</v>
      </c>
    </row>
    <row r="169" spans="2:53">
      <c r="B169" s="398">
        <f t="shared" si="123"/>
        <v>2044</v>
      </c>
      <c r="C169" s="397">
        <f t="shared" si="130"/>
        <v>0</v>
      </c>
      <c r="D169" s="397">
        <f t="shared" si="130"/>
        <v>0</v>
      </c>
      <c r="E169" s="397">
        <f t="shared" si="130"/>
        <v>0</v>
      </c>
      <c r="F169" s="397">
        <f t="shared" si="130"/>
        <v>0</v>
      </c>
      <c r="G169" s="397">
        <f t="shared" si="130"/>
        <v>0</v>
      </c>
      <c r="H169" s="397">
        <f t="shared" si="130"/>
        <v>0</v>
      </c>
      <c r="I169" s="397">
        <f t="shared" si="130"/>
        <v>0</v>
      </c>
      <c r="J169" s="397">
        <f t="shared" si="130"/>
        <v>0</v>
      </c>
      <c r="K169" s="397">
        <f t="shared" si="130"/>
        <v>0</v>
      </c>
      <c r="L169" s="397">
        <f t="shared" si="130"/>
        <v>0</v>
      </c>
      <c r="M169" s="397">
        <f t="shared" si="130"/>
        <v>0</v>
      </c>
      <c r="N169" s="397">
        <f t="shared" si="130"/>
        <v>0</v>
      </c>
      <c r="O169" s="397">
        <f t="shared" si="130"/>
        <v>0</v>
      </c>
      <c r="P169" s="397">
        <f t="shared" si="130"/>
        <v>0</v>
      </c>
      <c r="Q169" s="397">
        <f t="shared" si="130"/>
        <v>0</v>
      </c>
      <c r="R169" s="397">
        <f t="shared" si="130"/>
        <v>0</v>
      </c>
      <c r="S169" s="397">
        <f t="shared" si="128"/>
        <v>0</v>
      </c>
      <c r="T169" s="397">
        <f t="shared" si="128"/>
        <v>0</v>
      </c>
      <c r="U169" s="397">
        <f t="shared" si="128"/>
        <v>0</v>
      </c>
      <c r="V169" s="397">
        <f t="shared" si="128"/>
        <v>0</v>
      </c>
      <c r="W169" s="397">
        <f t="shared" si="128"/>
        <v>0</v>
      </c>
      <c r="X169" s="397">
        <f t="shared" si="128"/>
        <v>0</v>
      </c>
      <c r="Y169" s="397">
        <f t="shared" si="128"/>
        <v>0</v>
      </c>
      <c r="Z169" s="397">
        <f t="shared" si="128"/>
        <v>0</v>
      </c>
      <c r="AA169" s="397">
        <f t="shared" si="128"/>
        <v>0</v>
      </c>
      <c r="AB169" s="397">
        <f t="shared" si="128"/>
        <v>1.0239099814407677</v>
      </c>
      <c r="AC169" s="397">
        <f t="shared" si="129"/>
        <v>1.0239099814407677</v>
      </c>
      <c r="AD169" s="397">
        <f t="shared" si="129"/>
        <v>1.0239099814407677</v>
      </c>
      <c r="AE169" s="397">
        <f t="shared" si="129"/>
        <v>1.0239099814407677</v>
      </c>
      <c r="AF169" s="397">
        <f t="shared" si="129"/>
        <v>1.0239099814407677</v>
      </c>
      <c r="AG169" s="397">
        <f t="shared" si="129"/>
        <v>1.0239099814407677</v>
      </c>
      <c r="AH169" s="397">
        <f t="shared" si="129"/>
        <v>1.0239099814407677</v>
      </c>
      <c r="AI169" s="397">
        <f t="shared" si="129"/>
        <v>1.0239099814407677</v>
      </c>
      <c r="AJ169" s="397">
        <f t="shared" si="129"/>
        <v>1.0239099814407677</v>
      </c>
      <c r="AK169" s="397">
        <f t="shared" si="129"/>
        <v>1.0239099814407677</v>
      </c>
      <c r="AL169" s="397">
        <f t="shared" si="129"/>
        <v>0</v>
      </c>
      <c r="AM169" s="397">
        <f t="shared" si="129"/>
        <v>0</v>
      </c>
      <c r="AN169" s="397">
        <f t="shared" si="129"/>
        <v>0</v>
      </c>
      <c r="AO169" s="397">
        <f t="shared" si="129"/>
        <v>0</v>
      </c>
      <c r="AP169" s="397">
        <f t="shared" si="129"/>
        <v>0</v>
      </c>
      <c r="AQ169" s="397">
        <f t="shared" si="129"/>
        <v>0</v>
      </c>
      <c r="AR169" s="397">
        <f t="shared" si="129"/>
        <v>0</v>
      </c>
      <c r="AS169" s="397">
        <f t="shared" si="127"/>
        <v>0</v>
      </c>
      <c r="AT169" s="397">
        <f t="shared" si="127"/>
        <v>0</v>
      </c>
      <c r="AU169" s="397">
        <f t="shared" si="127"/>
        <v>0</v>
      </c>
      <c r="AV169" s="397">
        <f t="shared" si="127"/>
        <v>0</v>
      </c>
      <c r="AW169" s="397">
        <f t="shared" si="127"/>
        <v>0</v>
      </c>
      <c r="AX169" s="397">
        <f t="shared" si="127"/>
        <v>0</v>
      </c>
      <c r="AY169" s="397">
        <f t="shared" si="127"/>
        <v>0</v>
      </c>
      <c r="AZ169" s="397">
        <f t="shared" si="127"/>
        <v>0</v>
      </c>
      <c r="BA169" s="397">
        <f t="shared" si="127"/>
        <v>0</v>
      </c>
    </row>
    <row r="170" spans="2:53">
      <c r="B170" s="398">
        <f t="shared" si="123"/>
        <v>2045</v>
      </c>
      <c r="C170" s="397">
        <f t="shared" si="130"/>
        <v>0</v>
      </c>
      <c r="D170" s="397">
        <f t="shared" si="130"/>
        <v>0</v>
      </c>
      <c r="E170" s="397">
        <f t="shared" si="130"/>
        <v>0</v>
      </c>
      <c r="F170" s="397">
        <f t="shared" si="130"/>
        <v>0</v>
      </c>
      <c r="G170" s="397">
        <f t="shared" si="130"/>
        <v>0</v>
      </c>
      <c r="H170" s="397">
        <f t="shared" si="130"/>
        <v>0</v>
      </c>
      <c r="I170" s="397">
        <f t="shared" si="130"/>
        <v>0</v>
      </c>
      <c r="J170" s="397">
        <f t="shared" si="130"/>
        <v>0</v>
      </c>
      <c r="K170" s="397">
        <f t="shared" si="130"/>
        <v>0</v>
      </c>
      <c r="L170" s="397">
        <f t="shared" si="130"/>
        <v>0</v>
      </c>
      <c r="M170" s="397">
        <f t="shared" si="130"/>
        <v>0</v>
      </c>
      <c r="N170" s="397">
        <f t="shared" si="130"/>
        <v>0</v>
      </c>
      <c r="O170" s="397">
        <f t="shared" si="130"/>
        <v>0</v>
      </c>
      <c r="P170" s="397">
        <f t="shared" si="130"/>
        <v>0</v>
      </c>
      <c r="Q170" s="397">
        <f t="shared" si="130"/>
        <v>0</v>
      </c>
      <c r="R170" s="397">
        <f t="shared" si="130"/>
        <v>0</v>
      </c>
      <c r="S170" s="397">
        <f t="shared" si="128"/>
        <v>0</v>
      </c>
      <c r="T170" s="397">
        <f t="shared" si="128"/>
        <v>0</v>
      </c>
      <c r="U170" s="397">
        <f t="shared" si="128"/>
        <v>0</v>
      </c>
      <c r="V170" s="397">
        <f t="shared" si="128"/>
        <v>0</v>
      </c>
      <c r="W170" s="397">
        <f t="shared" si="128"/>
        <v>0</v>
      </c>
      <c r="X170" s="397">
        <f t="shared" si="128"/>
        <v>0</v>
      </c>
      <c r="Y170" s="397">
        <f t="shared" si="128"/>
        <v>0</v>
      </c>
      <c r="Z170" s="397">
        <f t="shared" si="128"/>
        <v>0</v>
      </c>
      <c r="AA170" s="397">
        <f t="shared" si="128"/>
        <v>0</v>
      </c>
      <c r="AB170" s="397">
        <f t="shared" si="128"/>
        <v>0</v>
      </c>
      <c r="AC170" s="397">
        <f t="shared" si="129"/>
        <v>1.0355224415168123</v>
      </c>
      <c r="AD170" s="397">
        <f t="shared" si="129"/>
        <v>1.0355224415168123</v>
      </c>
      <c r="AE170" s="397">
        <f t="shared" si="129"/>
        <v>1.0355224415168123</v>
      </c>
      <c r="AF170" s="397">
        <f t="shared" si="129"/>
        <v>1.0355224415168123</v>
      </c>
      <c r="AG170" s="397">
        <f t="shared" si="129"/>
        <v>1.0355224415168123</v>
      </c>
      <c r="AH170" s="397">
        <f t="shared" si="129"/>
        <v>1.0355224415168123</v>
      </c>
      <c r="AI170" s="397">
        <f t="shared" si="129"/>
        <v>1.0355224415168123</v>
      </c>
      <c r="AJ170" s="397">
        <f t="shared" si="129"/>
        <v>1.0355224415168123</v>
      </c>
      <c r="AK170" s="397">
        <f t="shared" si="129"/>
        <v>1.0355224415168123</v>
      </c>
      <c r="AL170" s="397">
        <f t="shared" si="129"/>
        <v>1.0355224415168123</v>
      </c>
      <c r="AM170" s="397">
        <f t="shared" si="129"/>
        <v>0</v>
      </c>
      <c r="AN170" s="397">
        <f t="shared" si="129"/>
        <v>0</v>
      </c>
      <c r="AO170" s="397">
        <f t="shared" si="129"/>
        <v>0</v>
      </c>
      <c r="AP170" s="397">
        <f t="shared" si="129"/>
        <v>0</v>
      </c>
      <c r="AQ170" s="397">
        <f t="shared" si="129"/>
        <v>0</v>
      </c>
      <c r="AR170" s="397">
        <f t="shared" si="129"/>
        <v>0</v>
      </c>
      <c r="AS170" s="397">
        <f t="shared" si="127"/>
        <v>0</v>
      </c>
      <c r="AT170" s="397">
        <f t="shared" si="127"/>
        <v>0</v>
      </c>
      <c r="AU170" s="397">
        <f t="shared" si="127"/>
        <v>0</v>
      </c>
      <c r="AV170" s="397">
        <f t="shared" si="127"/>
        <v>0</v>
      </c>
      <c r="AW170" s="397">
        <f t="shared" si="127"/>
        <v>0</v>
      </c>
      <c r="AX170" s="397">
        <f t="shared" si="127"/>
        <v>0</v>
      </c>
      <c r="AY170" s="397">
        <f t="shared" si="127"/>
        <v>0</v>
      </c>
      <c r="AZ170" s="397">
        <f t="shared" si="127"/>
        <v>0</v>
      </c>
      <c r="BA170" s="397">
        <f t="shared" si="127"/>
        <v>0</v>
      </c>
    </row>
    <row r="171" spans="2:53">
      <c r="B171" s="398">
        <f t="shared" si="123"/>
        <v>2046</v>
      </c>
      <c r="C171" s="397">
        <f t="shared" si="130"/>
        <v>0</v>
      </c>
      <c r="D171" s="397">
        <f t="shared" si="130"/>
        <v>0</v>
      </c>
      <c r="E171" s="397">
        <f t="shared" si="130"/>
        <v>0</v>
      </c>
      <c r="F171" s="397">
        <f t="shared" si="130"/>
        <v>0</v>
      </c>
      <c r="G171" s="397">
        <f t="shared" si="130"/>
        <v>0</v>
      </c>
      <c r="H171" s="397">
        <f t="shared" si="130"/>
        <v>0</v>
      </c>
      <c r="I171" s="397">
        <f t="shared" si="130"/>
        <v>0</v>
      </c>
      <c r="J171" s="397">
        <f t="shared" si="130"/>
        <v>0</v>
      </c>
      <c r="K171" s="397">
        <f t="shared" si="130"/>
        <v>0</v>
      </c>
      <c r="L171" s="397">
        <f t="shared" si="130"/>
        <v>0</v>
      </c>
      <c r="M171" s="397">
        <f t="shared" si="130"/>
        <v>0</v>
      </c>
      <c r="N171" s="397">
        <f t="shared" si="130"/>
        <v>0</v>
      </c>
      <c r="O171" s="397">
        <f t="shared" si="130"/>
        <v>0</v>
      </c>
      <c r="P171" s="397">
        <f t="shared" si="130"/>
        <v>0</v>
      </c>
      <c r="Q171" s="397">
        <f t="shared" si="130"/>
        <v>0</v>
      </c>
      <c r="R171" s="397">
        <f t="shared" si="130"/>
        <v>0</v>
      </c>
      <c r="S171" s="397">
        <f t="shared" si="128"/>
        <v>0</v>
      </c>
      <c r="T171" s="397">
        <f t="shared" si="128"/>
        <v>0</v>
      </c>
      <c r="U171" s="397">
        <f t="shared" si="128"/>
        <v>0</v>
      </c>
      <c r="V171" s="397">
        <f t="shared" si="128"/>
        <v>0</v>
      </c>
      <c r="W171" s="397">
        <f t="shared" si="128"/>
        <v>0</v>
      </c>
      <c r="X171" s="397">
        <f t="shared" si="128"/>
        <v>0</v>
      </c>
      <c r="Y171" s="397">
        <f t="shared" si="128"/>
        <v>0</v>
      </c>
      <c r="Z171" s="397">
        <f t="shared" si="128"/>
        <v>0</v>
      </c>
      <c r="AA171" s="397">
        <f t="shared" si="128"/>
        <v>0</v>
      </c>
      <c r="AB171" s="397">
        <f t="shared" si="128"/>
        <v>0</v>
      </c>
      <c r="AC171" s="397">
        <f t="shared" si="129"/>
        <v>0</v>
      </c>
      <c r="AD171" s="397">
        <f t="shared" si="129"/>
        <v>1.0467479940905415</v>
      </c>
      <c r="AE171" s="397">
        <f t="shared" si="129"/>
        <v>1.0467479940905415</v>
      </c>
      <c r="AF171" s="397">
        <f t="shared" si="129"/>
        <v>1.0467479940905415</v>
      </c>
      <c r="AG171" s="397">
        <f t="shared" si="129"/>
        <v>1.0467479940905415</v>
      </c>
      <c r="AH171" s="397">
        <f t="shared" si="129"/>
        <v>1.0467479940905415</v>
      </c>
      <c r="AI171" s="397">
        <f t="shared" si="129"/>
        <v>1.0467479940905415</v>
      </c>
      <c r="AJ171" s="397">
        <f t="shared" si="129"/>
        <v>1.0467479940905415</v>
      </c>
      <c r="AK171" s="397">
        <f t="shared" si="129"/>
        <v>1.0467479940905415</v>
      </c>
      <c r="AL171" s="397">
        <f t="shared" si="129"/>
        <v>1.0467479940905415</v>
      </c>
      <c r="AM171" s="397">
        <f t="shared" si="129"/>
        <v>1.0467479940905415</v>
      </c>
      <c r="AN171" s="397">
        <f t="shared" si="129"/>
        <v>0</v>
      </c>
      <c r="AO171" s="397">
        <f t="shared" si="129"/>
        <v>0</v>
      </c>
      <c r="AP171" s="397">
        <f t="shared" si="129"/>
        <v>0</v>
      </c>
      <c r="AQ171" s="397">
        <f t="shared" si="129"/>
        <v>0</v>
      </c>
      <c r="AR171" s="397">
        <f t="shared" si="129"/>
        <v>0</v>
      </c>
      <c r="AS171" s="397">
        <f t="shared" si="127"/>
        <v>0</v>
      </c>
      <c r="AT171" s="397">
        <f t="shared" si="127"/>
        <v>0</v>
      </c>
      <c r="AU171" s="397">
        <f t="shared" si="127"/>
        <v>0</v>
      </c>
      <c r="AV171" s="397">
        <f t="shared" si="127"/>
        <v>0</v>
      </c>
      <c r="AW171" s="397">
        <f t="shared" si="127"/>
        <v>0</v>
      </c>
      <c r="AX171" s="397">
        <f t="shared" si="127"/>
        <v>0</v>
      </c>
      <c r="AY171" s="397">
        <f t="shared" si="127"/>
        <v>0</v>
      </c>
      <c r="AZ171" s="397">
        <f t="shared" si="127"/>
        <v>0</v>
      </c>
      <c r="BA171" s="397">
        <f t="shared" si="127"/>
        <v>0</v>
      </c>
    </row>
    <row r="172" spans="2:53">
      <c r="B172" s="398">
        <f t="shared" si="123"/>
        <v>2047</v>
      </c>
      <c r="C172" s="397">
        <f t="shared" si="130"/>
        <v>0</v>
      </c>
      <c r="D172" s="397">
        <f t="shared" si="130"/>
        <v>0</v>
      </c>
      <c r="E172" s="397">
        <f t="shared" si="130"/>
        <v>0</v>
      </c>
      <c r="F172" s="397">
        <f t="shared" si="130"/>
        <v>0</v>
      </c>
      <c r="G172" s="397">
        <f t="shared" si="130"/>
        <v>0</v>
      </c>
      <c r="H172" s="397">
        <f t="shared" si="130"/>
        <v>0</v>
      </c>
      <c r="I172" s="397">
        <f t="shared" si="130"/>
        <v>0</v>
      </c>
      <c r="J172" s="397">
        <f t="shared" si="130"/>
        <v>0</v>
      </c>
      <c r="K172" s="397">
        <f t="shared" si="130"/>
        <v>0</v>
      </c>
      <c r="L172" s="397">
        <f t="shared" si="130"/>
        <v>0</v>
      </c>
      <c r="M172" s="397">
        <f t="shared" si="130"/>
        <v>0</v>
      </c>
      <c r="N172" s="397">
        <f t="shared" si="130"/>
        <v>0</v>
      </c>
      <c r="O172" s="397">
        <f t="shared" si="130"/>
        <v>0</v>
      </c>
      <c r="P172" s="397">
        <f t="shared" si="130"/>
        <v>0</v>
      </c>
      <c r="Q172" s="397">
        <f t="shared" si="130"/>
        <v>0</v>
      </c>
      <c r="R172" s="397">
        <f t="shared" si="130"/>
        <v>0</v>
      </c>
      <c r="S172" s="397">
        <f t="shared" si="128"/>
        <v>0</v>
      </c>
      <c r="T172" s="397">
        <f t="shared" si="128"/>
        <v>0</v>
      </c>
      <c r="U172" s="397">
        <f t="shared" si="128"/>
        <v>0</v>
      </c>
      <c r="V172" s="397">
        <f t="shared" si="128"/>
        <v>0</v>
      </c>
      <c r="W172" s="397">
        <f t="shared" si="128"/>
        <v>0</v>
      </c>
      <c r="X172" s="397">
        <f t="shared" si="128"/>
        <v>0</v>
      </c>
      <c r="Y172" s="397">
        <f t="shared" si="128"/>
        <v>0</v>
      </c>
      <c r="Z172" s="397">
        <f t="shared" si="128"/>
        <v>0</v>
      </c>
      <c r="AA172" s="397">
        <f t="shared" si="128"/>
        <v>0</v>
      </c>
      <c r="AB172" s="397">
        <f t="shared" si="128"/>
        <v>0</v>
      </c>
      <c r="AC172" s="397">
        <f t="shared" si="129"/>
        <v>0</v>
      </c>
      <c r="AD172" s="397">
        <f t="shared" si="129"/>
        <v>0</v>
      </c>
      <c r="AE172" s="397">
        <f t="shared" si="129"/>
        <v>1.0575369728646784</v>
      </c>
      <c r="AF172" s="397">
        <f t="shared" si="129"/>
        <v>1.0575369728646784</v>
      </c>
      <c r="AG172" s="397">
        <f t="shared" si="129"/>
        <v>1.0575369728646784</v>
      </c>
      <c r="AH172" s="397">
        <f t="shared" si="129"/>
        <v>1.0575369728646784</v>
      </c>
      <c r="AI172" s="397">
        <f t="shared" si="129"/>
        <v>1.0575369728646784</v>
      </c>
      <c r="AJ172" s="397">
        <f t="shared" si="129"/>
        <v>1.0575369728646784</v>
      </c>
      <c r="AK172" s="397">
        <f t="shared" si="129"/>
        <v>1.0575369728646784</v>
      </c>
      <c r="AL172" s="397">
        <f t="shared" si="129"/>
        <v>1.0575369728646784</v>
      </c>
      <c r="AM172" s="397">
        <f t="shared" si="129"/>
        <v>1.0575369728646784</v>
      </c>
      <c r="AN172" s="397">
        <f t="shared" si="129"/>
        <v>1.0575369728646784</v>
      </c>
      <c r="AO172" s="397">
        <f t="shared" si="129"/>
        <v>0</v>
      </c>
      <c r="AP172" s="397">
        <f t="shared" si="129"/>
        <v>0</v>
      </c>
      <c r="AQ172" s="397">
        <f t="shared" si="129"/>
        <v>0</v>
      </c>
      <c r="AR172" s="397">
        <f t="shared" si="129"/>
        <v>0</v>
      </c>
      <c r="AS172" s="397">
        <f t="shared" si="127"/>
        <v>0</v>
      </c>
      <c r="AT172" s="397">
        <f t="shared" si="127"/>
        <v>0</v>
      </c>
      <c r="AU172" s="397">
        <f t="shared" si="127"/>
        <v>0</v>
      </c>
      <c r="AV172" s="397">
        <f t="shared" si="127"/>
        <v>0</v>
      </c>
      <c r="AW172" s="397">
        <f t="shared" si="127"/>
        <v>0</v>
      </c>
      <c r="AX172" s="397">
        <f t="shared" si="127"/>
        <v>0</v>
      </c>
      <c r="AY172" s="397">
        <f t="shared" si="127"/>
        <v>0</v>
      </c>
      <c r="AZ172" s="397">
        <f t="shared" si="127"/>
        <v>0</v>
      </c>
      <c r="BA172" s="397">
        <f t="shared" si="127"/>
        <v>0</v>
      </c>
    </row>
    <row r="173" spans="2:53">
      <c r="B173" s="398">
        <f t="shared" si="123"/>
        <v>2048</v>
      </c>
      <c r="C173" s="397">
        <f t="shared" si="130"/>
        <v>0</v>
      </c>
      <c r="D173" s="397">
        <f t="shared" si="130"/>
        <v>0</v>
      </c>
      <c r="E173" s="397">
        <f t="shared" si="130"/>
        <v>0</v>
      </c>
      <c r="F173" s="397">
        <f t="shared" si="130"/>
        <v>0</v>
      </c>
      <c r="G173" s="397">
        <f t="shared" si="130"/>
        <v>0</v>
      </c>
      <c r="H173" s="397">
        <f t="shared" si="130"/>
        <v>0</v>
      </c>
      <c r="I173" s="397">
        <f t="shared" si="130"/>
        <v>0</v>
      </c>
      <c r="J173" s="397">
        <f t="shared" si="130"/>
        <v>0</v>
      </c>
      <c r="K173" s="397">
        <f t="shared" si="130"/>
        <v>0</v>
      </c>
      <c r="L173" s="397">
        <f t="shared" si="130"/>
        <v>0</v>
      </c>
      <c r="M173" s="397">
        <f t="shared" si="130"/>
        <v>0</v>
      </c>
      <c r="N173" s="397">
        <f t="shared" si="130"/>
        <v>0</v>
      </c>
      <c r="O173" s="397">
        <f t="shared" si="130"/>
        <v>0</v>
      </c>
      <c r="P173" s="397">
        <f t="shared" si="130"/>
        <v>0</v>
      </c>
      <c r="Q173" s="397">
        <f t="shared" si="130"/>
        <v>0</v>
      </c>
      <c r="R173" s="397">
        <f t="shared" si="130"/>
        <v>0</v>
      </c>
      <c r="S173" s="397">
        <f t="shared" si="128"/>
        <v>0</v>
      </c>
      <c r="T173" s="397">
        <f t="shared" si="128"/>
        <v>0</v>
      </c>
      <c r="U173" s="397">
        <f t="shared" si="128"/>
        <v>0</v>
      </c>
      <c r="V173" s="397">
        <f t="shared" si="128"/>
        <v>0</v>
      </c>
      <c r="W173" s="397">
        <f t="shared" si="128"/>
        <v>0</v>
      </c>
      <c r="X173" s="397">
        <f t="shared" si="128"/>
        <v>0</v>
      </c>
      <c r="Y173" s="397">
        <f t="shared" si="128"/>
        <v>0</v>
      </c>
      <c r="Z173" s="397">
        <f t="shared" si="128"/>
        <v>0</v>
      </c>
      <c r="AA173" s="397">
        <f t="shared" si="128"/>
        <v>0</v>
      </c>
      <c r="AB173" s="397">
        <f t="shared" si="128"/>
        <v>0</v>
      </c>
      <c r="AC173" s="397">
        <f t="shared" si="129"/>
        <v>0</v>
      </c>
      <c r="AD173" s="397">
        <f t="shared" si="129"/>
        <v>0</v>
      </c>
      <c r="AE173" s="397">
        <f t="shared" si="129"/>
        <v>0</v>
      </c>
      <c r="AF173" s="397">
        <f t="shared" si="129"/>
        <v>1.067844246525173</v>
      </c>
      <c r="AG173" s="397">
        <f t="shared" si="129"/>
        <v>1.067844246525173</v>
      </c>
      <c r="AH173" s="397">
        <f t="shared" si="129"/>
        <v>1.067844246525173</v>
      </c>
      <c r="AI173" s="397">
        <f t="shared" si="129"/>
        <v>1.067844246525173</v>
      </c>
      <c r="AJ173" s="397">
        <f t="shared" si="129"/>
        <v>1.067844246525173</v>
      </c>
      <c r="AK173" s="397">
        <f t="shared" si="129"/>
        <v>1.067844246525173</v>
      </c>
      <c r="AL173" s="397">
        <f t="shared" si="129"/>
        <v>1.067844246525173</v>
      </c>
      <c r="AM173" s="397">
        <f t="shared" si="129"/>
        <v>1.067844246525173</v>
      </c>
      <c r="AN173" s="397">
        <f t="shared" si="129"/>
        <v>1.067844246525173</v>
      </c>
      <c r="AO173" s="397">
        <f t="shared" si="129"/>
        <v>1.067844246525173</v>
      </c>
      <c r="AP173" s="397">
        <f t="shared" si="129"/>
        <v>0</v>
      </c>
      <c r="AQ173" s="397">
        <f t="shared" si="129"/>
        <v>0</v>
      </c>
      <c r="AR173" s="397">
        <f t="shared" si="129"/>
        <v>0</v>
      </c>
      <c r="AS173" s="397">
        <f t="shared" si="127"/>
        <v>0</v>
      </c>
      <c r="AT173" s="397">
        <f t="shared" si="127"/>
        <v>0</v>
      </c>
      <c r="AU173" s="397">
        <f t="shared" si="127"/>
        <v>0</v>
      </c>
      <c r="AV173" s="397">
        <f t="shared" si="127"/>
        <v>0</v>
      </c>
      <c r="AW173" s="397">
        <f t="shared" si="127"/>
        <v>0</v>
      </c>
      <c r="AX173" s="397">
        <f t="shared" si="127"/>
        <v>0</v>
      </c>
      <c r="AY173" s="397">
        <f t="shared" si="127"/>
        <v>0</v>
      </c>
      <c r="AZ173" s="397">
        <f t="shared" si="127"/>
        <v>0</v>
      </c>
      <c r="BA173" s="397">
        <f t="shared" si="127"/>
        <v>0</v>
      </c>
    </row>
    <row r="174" spans="2:53">
      <c r="B174" s="398">
        <f t="shared" si="123"/>
        <v>2049</v>
      </c>
      <c r="C174" s="397">
        <f t="shared" si="130"/>
        <v>0</v>
      </c>
      <c r="D174" s="397">
        <f t="shared" si="130"/>
        <v>0</v>
      </c>
      <c r="E174" s="397">
        <f t="shared" si="130"/>
        <v>0</v>
      </c>
      <c r="F174" s="397">
        <f t="shared" si="130"/>
        <v>0</v>
      </c>
      <c r="G174" s="397">
        <f t="shared" si="130"/>
        <v>0</v>
      </c>
      <c r="H174" s="397">
        <f t="shared" si="130"/>
        <v>0</v>
      </c>
      <c r="I174" s="397">
        <f t="shared" si="130"/>
        <v>0</v>
      </c>
      <c r="J174" s="397">
        <f t="shared" si="130"/>
        <v>0</v>
      </c>
      <c r="K174" s="397">
        <f t="shared" si="130"/>
        <v>0</v>
      </c>
      <c r="L174" s="397">
        <f t="shared" si="130"/>
        <v>0</v>
      </c>
      <c r="M174" s="397">
        <f t="shared" si="130"/>
        <v>0</v>
      </c>
      <c r="N174" s="397">
        <f t="shared" si="130"/>
        <v>0</v>
      </c>
      <c r="O174" s="397">
        <f t="shared" si="130"/>
        <v>0</v>
      </c>
      <c r="P174" s="397">
        <f t="shared" si="130"/>
        <v>0</v>
      </c>
      <c r="Q174" s="397">
        <f t="shared" si="130"/>
        <v>0</v>
      </c>
      <c r="R174" s="397">
        <f t="shared" si="130"/>
        <v>0</v>
      </c>
      <c r="S174" s="397">
        <f t="shared" si="128"/>
        <v>0</v>
      </c>
      <c r="T174" s="397">
        <f t="shared" si="128"/>
        <v>0</v>
      </c>
      <c r="U174" s="397">
        <f t="shared" si="128"/>
        <v>0</v>
      </c>
      <c r="V174" s="397">
        <f t="shared" si="128"/>
        <v>0</v>
      </c>
      <c r="W174" s="397">
        <f t="shared" si="128"/>
        <v>0</v>
      </c>
      <c r="X174" s="397">
        <f t="shared" si="128"/>
        <v>0</v>
      </c>
      <c r="Y174" s="397">
        <f t="shared" si="128"/>
        <v>0</v>
      </c>
      <c r="Z174" s="397">
        <f t="shared" si="128"/>
        <v>0</v>
      </c>
      <c r="AA174" s="397">
        <f t="shared" si="128"/>
        <v>0</v>
      </c>
      <c r="AB174" s="397">
        <f t="shared" si="128"/>
        <v>0</v>
      </c>
      <c r="AC174" s="397">
        <f t="shared" si="129"/>
        <v>0</v>
      </c>
      <c r="AD174" s="397">
        <f t="shared" si="129"/>
        <v>0</v>
      </c>
      <c r="AE174" s="397">
        <f t="shared" si="129"/>
        <v>0</v>
      </c>
      <c r="AF174" s="397">
        <f t="shared" si="129"/>
        <v>0</v>
      </c>
      <c r="AG174" s="397">
        <f t="shared" si="129"/>
        <v>1.0777081044063677</v>
      </c>
      <c r="AH174" s="397">
        <f t="shared" si="129"/>
        <v>1.0777081044063677</v>
      </c>
      <c r="AI174" s="397">
        <f t="shared" si="129"/>
        <v>1.0777081044063677</v>
      </c>
      <c r="AJ174" s="397">
        <f t="shared" si="129"/>
        <v>1.0777081044063677</v>
      </c>
      <c r="AK174" s="397">
        <f t="shared" si="129"/>
        <v>1.0777081044063677</v>
      </c>
      <c r="AL174" s="397">
        <f t="shared" si="129"/>
        <v>1.0777081044063677</v>
      </c>
      <c r="AM174" s="397">
        <f t="shared" si="129"/>
        <v>1.0777081044063677</v>
      </c>
      <c r="AN174" s="397">
        <f t="shared" si="129"/>
        <v>1.0777081044063677</v>
      </c>
      <c r="AO174" s="397">
        <f t="shared" si="129"/>
        <v>1.0777081044063677</v>
      </c>
      <c r="AP174" s="397">
        <f t="shared" si="129"/>
        <v>1.0777081044063677</v>
      </c>
      <c r="AQ174" s="397">
        <f t="shared" si="129"/>
        <v>0</v>
      </c>
      <c r="AR174" s="397">
        <f t="shared" si="129"/>
        <v>0</v>
      </c>
      <c r="AS174" s="397">
        <f t="shared" si="127"/>
        <v>0</v>
      </c>
      <c r="AT174" s="397">
        <f t="shared" si="127"/>
        <v>0</v>
      </c>
      <c r="AU174" s="397">
        <f t="shared" si="127"/>
        <v>0</v>
      </c>
      <c r="AV174" s="397">
        <f t="shared" si="127"/>
        <v>0</v>
      </c>
      <c r="AW174" s="397">
        <f t="shared" si="127"/>
        <v>0</v>
      </c>
      <c r="AX174" s="397">
        <f t="shared" si="127"/>
        <v>0</v>
      </c>
      <c r="AY174" s="397">
        <f t="shared" si="127"/>
        <v>0</v>
      </c>
      <c r="AZ174" s="397">
        <f t="shared" si="127"/>
        <v>0</v>
      </c>
      <c r="BA174" s="397">
        <f t="shared" si="127"/>
        <v>0</v>
      </c>
    </row>
    <row r="175" spans="2:53">
      <c r="B175" s="398">
        <f t="shared" si="123"/>
        <v>2050</v>
      </c>
      <c r="C175" s="397">
        <f t="shared" si="130"/>
        <v>0</v>
      </c>
      <c r="D175" s="397">
        <f t="shared" si="130"/>
        <v>0</v>
      </c>
      <c r="E175" s="397">
        <f t="shared" si="130"/>
        <v>0</v>
      </c>
      <c r="F175" s="397">
        <f t="shared" si="130"/>
        <v>0</v>
      </c>
      <c r="G175" s="397">
        <f t="shared" si="130"/>
        <v>0</v>
      </c>
      <c r="H175" s="397">
        <f t="shared" si="130"/>
        <v>0</v>
      </c>
      <c r="I175" s="397">
        <f t="shared" si="130"/>
        <v>0</v>
      </c>
      <c r="J175" s="397">
        <f t="shared" si="130"/>
        <v>0</v>
      </c>
      <c r="K175" s="397">
        <f t="shared" si="130"/>
        <v>0</v>
      </c>
      <c r="L175" s="397">
        <f t="shared" si="130"/>
        <v>0</v>
      </c>
      <c r="M175" s="397">
        <f t="shared" si="130"/>
        <v>0</v>
      </c>
      <c r="N175" s="397">
        <f t="shared" si="130"/>
        <v>0</v>
      </c>
      <c r="O175" s="397">
        <f t="shared" si="130"/>
        <v>0</v>
      </c>
      <c r="P175" s="397">
        <f t="shared" si="130"/>
        <v>0</v>
      </c>
      <c r="Q175" s="397">
        <f t="shared" si="130"/>
        <v>0</v>
      </c>
      <c r="R175" s="397">
        <f t="shared" si="130"/>
        <v>0</v>
      </c>
      <c r="S175" s="397">
        <f t="shared" si="128"/>
        <v>0</v>
      </c>
      <c r="T175" s="397">
        <f t="shared" si="128"/>
        <v>0</v>
      </c>
      <c r="U175" s="397">
        <f t="shared" si="128"/>
        <v>0</v>
      </c>
      <c r="V175" s="397">
        <f t="shared" si="128"/>
        <v>0</v>
      </c>
      <c r="W175" s="397">
        <f t="shared" si="128"/>
        <v>0</v>
      </c>
      <c r="X175" s="397">
        <f t="shared" si="128"/>
        <v>0</v>
      </c>
      <c r="Y175" s="397">
        <f t="shared" si="128"/>
        <v>0</v>
      </c>
      <c r="Z175" s="397">
        <f t="shared" si="128"/>
        <v>0</v>
      </c>
      <c r="AA175" s="397">
        <f t="shared" si="128"/>
        <v>0</v>
      </c>
      <c r="AB175" s="397">
        <f t="shared" si="128"/>
        <v>0</v>
      </c>
      <c r="AC175" s="397">
        <f t="shared" si="129"/>
        <v>0</v>
      </c>
      <c r="AD175" s="397">
        <f t="shared" si="129"/>
        <v>0</v>
      </c>
      <c r="AE175" s="397">
        <f t="shared" si="129"/>
        <v>0</v>
      </c>
      <c r="AF175" s="397">
        <f t="shared" si="129"/>
        <v>0</v>
      </c>
      <c r="AG175" s="397">
        <f t="shared" si="129"/>
        <v>0</v>
      </c>
      <c r="AH175" s="397">
        <f t="shared" si="129"/>
        <v>1.0873241471355786</v>
      </c>
      <c r="AI175" s="397">
        <f t="shared" si="129"/>
        <v>1.0873241471355786</v>
      </c>
      <c r="AJ175" s="397">
        <f t="shared" si="129"/>
        <v>1.0873241471355786</v>
      </c>
      <c r="AK175" s="397">
        <f t="shared" si="129"/>
        <v>1.0873241471355786</v>
      </c>
      <c r="AL175" s="397">
        <f t="shared" si="129"/>
        <v>1.0873241471355786</v>
      </c>
      <c r="AM175" s="397">
        <f t="shared" si="129"/>
        <v>1.0873241471355786</v>
      </c>
      <c r="AN175" s="397">
        <f t="shared" si="129"/>
        <v>1.0873241471355786</v>
      </c>
      <c r="AO175" s="397">
        <f t="shared" si="129"/>
        <v>1.0873241471355786</v>
      </c>
      <c r="AP175" s="397">
        <f t="shared" si="129"/>
        <v>1.0873241471355786</v>
      </c>
      <c r="AQ175" s="397">
        <f t="shared" si="129"/>
        <v>1.0873241471355786</v>
      </c>
      <c r="AR175" s="397">
        <f t="shared" si="129"/>
        <v>0</v>
      </c>
      <c r="AS175" s="397">
        <f t="shared" si="127"/>
        <v>0</v>
      </c>
      <c r="AT175" s="397">
        <f t="shared" si="127"/>
        <v>0</v>
      </c>
      <c r="AU175" s="397">
        <f t="shared" si="127"/>
        <v>0</v>
      </c>
      <c r="AV175" s="397">
        <f t="shared" si="127"/>
        <v>0</v>
      </c>
      <c r="AW175" s="397">
        <f t="shared" si="127"/>
        <v>0</v>
      </c>
      <c r="AX175" s="397">
        <f t="shared" si="127"/>
        <v>0</v>
      </c>
      <c r="AY175" s="397">
        <f t="shared" si="127"/>
        <v>0</v>
      </c>
      <c r="AZ175" s="397">
        <f t="shared" si="127"/>
        <v>0</v>
      </c>
      <c r="BA175" s="397">
        <f t="shared" si="127"/>
        <v>0</v>
      </c>
    </row>
    <row r="176" spans="2:53">
      <c r="B176" s="398">
        <f t="shared" si="123"/>
        <v>2051</v>
      </c>
      <c r="C176" s="397">
        <f t="shared" si="130"/>
        <v>0</v>
      </c>
      <c r="D176" s="397">
        <f t="shared" si="130"/>
        <v>0</v>
      </c>
      <c r="E176" s="397">
        <f t="shared" si="130"/>
        <v>0</v>
      </c>
      <c r="F176" s="397">
        <f t="shared" si="130"/>
        <v>0</v>
      </c>
      <c r="G176" s="397">
        <f t="shared" si="130"/>
        <v>0</v>
      </c>
      <c r="H176" s="397">
        <f t="shared" si="130"/>
        <v>0</v>
      </c>
      <c r="I176" s="397">
        <f t="shared" si="130"/>
        <v>0</v>
      </c>
      <c r="J176" s="397">
        <f t="shared" si="130"/>
        <v>0</v>
      </c>
      <c r="K176" s="397">
        <f t="shared" si="130"/>
        <v>0</v>
      </c>
      <c r="L176" s="397">
        <f t="shared" si="130"/>
        <v>0</v>
      </c>
      <c r="M176" s="397">
        <f t="shared" si="130"/>
        <v>0</v>
      </c>
      <c r="N176" s="397">
        <f t="shared" si="130"/>
        <v>0</v>
      </c>
      <c r="O176" s="397">
        <f t="shared" si="130"/>
        <v>0</v>
      </c>
      <c r="P176" s="397">
        <f t="shared" si="130"/>
        <v>0</v>
      </c>
      <c r="Q176" s="397">
        <f t="shared" si="130"/>
        <v>0</v>
      </c>
      <c r="R176" s="397">
        <f t="shared" si="130"/>
        <v>0</v>
      </c>
      <c r="S176" s="397">
        <f t="shared" si="128"/>
        <v>0</v>
      </c>
      <c r="T176" s="397">
        <f t="shared" si="128"/>
        <v>0</v>
      </c>
      <c r="U176" s="397">
        <f t="shared" si="128"/>
        <v>0</v>
      </c>
      <c r="V176" s="397">
        <f t="shared" si="128"/>
        <v>0</v>
      </c>
      <c r="W176" s="397">
        <f t="shared" si="128"/>
        <v>0</v>
      </c>
      <c r="X176" s="397">
        <f t="shared" si="128"/>
        <v>0</v>
      </c>
      <c r="Y176" s="397">
        <f t="shared" si="128"/>
        <v>0</v>
      </c>
      <c r="Z176" s="397">
        <f t="shared" si="128"/>
        <v>0</v>
      </c>
      <c r="AA176" s="397">
        <f t="shared" si="128"/>
        <v>0</v>
      </c>
      <c r="AB176" s="397">
        <f t="shared" si="128"/>
        <v>0</v>
      </c>
      <c r="AC176" s="397">
        <f t="shared" si="129"/>
        <v>0</v>
      </c>
      <c r="AD176" s="397">
        <f t="shared" si="129"/>
        <v>0</v>
      </c>
      <c r="AE176" s="397">
        <f t="shared" si="129"/>
        <v>0</v>
      </c>
      <c r="AF176" s="397">
        <f t="shared" si="129"/>
        <v>0</v>
      </c>
      <c r="AG176" s="397">
        <f t="shared" si="129"/>
        <v>0</v>
      </c>
      <c r="AH176" s="397">
        <f t="shared" si="129"/>
        <v>0</v>
      </c>
      <c r="AI176" s="397">
        <f t="shared" si="129"/>
        <v>1.0967145427890779</v>
      </c>
      <c r="AJ176" s="397">
        <f t="shared" si="129"/>
        <v>1.0967145427890779</v>
      </c>
      <c r="AK176" s="397">
        <f t="shared" si="129"/>
        <v>1.0967145427890779</v>
      </c>
      <c r="AL176" s="397">
        <f t="shared" si="129"/>
        <v>1.0967145427890779</v>
      </c>
      <c r="AM176" s="397">
        <f t="shared" si="129"/>
        <v>1.0967145427890779</v>
      </c>
      <c r="AN176" s="397">
        <f t="shared" si="129"/>
        <v>1.0967145427890779</v>
      </c>
      <c r="AO176" s="397">
        <f t="shared" si="129"/>
        <v>1.0967145427890779</v>
      </c>
      <c r="AP176" s="397">
        <f t="shared" si="129"/>
        <v>1.0967145427890779</v>
      </c>
      <c r="AQ176" s="397">
        <f t="shared" si="129"/>
        <v>1.0967145427890779</v>
      </c>
      <c r="AR176" s="397">
        <f t="shared" si="129"/>
        <v>1.0967145427890779</v>
      </c>
      <c r="AS176" s="397">
        <f t="shared" si="127"/>
        <v>0</v>
      </c>
      <c r="AT176" s="397">
        <f t="shared" si="127"/>
        <v>0</v>
      </c>
      <c r="AU176" s="397">
        <f t="shared" si="127"/>
        <v>0</v>
      </c>
      <c r="AV176" s="397">
        <f t="shared" si="127"/>
        <v>0</v>
      </c>
      <c r="AW176" s="397">
        <f t="shared" si="127"/>
        <v>0</v>
      </c>
      <c r="AX176" s="397">
        <f t="shared" si="127"/>
        <v>0</v>
      </c>
      <c r="AY176" s="397">
        <f t="shared" si="127"/>
        <v>0</v>
      </c>
      <c r="AZ176" s="397">
        <f t="shared" si="127"/>
        <v>0</v>
      </c>
      <c r="BA176" s="397">
        <f t="shared" si="127"/>
        <v>0</v>
      </c>
    </row>
    <row r="177" spans="2:53">
      <c r="B177" s="398">
        <f t="shared" si="123"/>
        <v>2052</v>
      </c>
      <c r="C177" s="397">
        <f t="shared" si="130"/>
        <v>0</v>
      </c>
      <c r="D177" s="397">
        <f t="shared" si="130"/>
        <v>0</v>
      </c>
      <c r="E177" s="397">
        <f t="shared" si="130"/>
        <v>0</v>
      </c>
      <c r="F177" s="397">
        <f t="shared" si="130"/>
        <v>0</v>
      </c>
      <c r="G177" s="397">
        <f t="shared" si="130"/>
        <v>0</v>
      </c>
      <c r="H177" s="397">
        <f t="shared" si="130"/>
        <v>0</v>
      </c>
      <c r="I177" s="397">
        <f t="shared" si="130"/>
        <v>0</v>
      </c>
      <c r="J177" s="397">
        <f t="shared" si="130"/>
        <v>0</v>
      </c>
      <c r="K177" s="397">
        <f t="shared" si="130"/>
        <v>0</v>
      </c>
      <c r="L177" s="397">
        <f t="shared" si="130"/>
        <v>0</v>
      </c>
      <c r="M177" s="397">
        <f t="shared" si="130"/>
        <v>0</v>
      </c>
      <c r="N177" s="397">
        <f t="shared" si="130"/>
        <v>0</v>
      </c>
      <c r="O177" s="397">
        <f t="shared" si="130"/>
        <v>0</v>
      </c>
      <c r="P177" s="397">
        <f t="shared" si="130"/>
        <v>0</v>
      </c>
      <c r="Q177" s="397">
        <f t="shared" si="130"/>
        <v>0</v>
      </c>
      <c r="R177" s="397">
        <f t="shared" si="130"/>
        <v>0</v>
      </c>
      <c r="S177" s="397">
        <f t="shared" si="128"/>
        <v>0</v>
      </c>
      <c r="T177" s="397">
        <f t="shared" si="128"/>
        <v>0</v>
      </c>
      <c r="U177" s="397">
        <f t="shared" si="128"/>
        <v>0</v>
      </c>
      <c r="V177" s="397">
        <f t="shared" si="128"/>
        <v>0</v>
      </c>
      <c r="W177" s="397">
        <f t="shared" si="128"/>
        <v>0</v>
      </c>
      <c r="X177" s="397">
        <f t="shared" si="128"/>
        <v>0</v>
      </c>
      <c r="Y177" s="397">
        <f t="shared" si="128"/>
        <v>0</v>
      </c>
      <c r="Z177" s="397">
        <f t="shared" si="128"/>
        <v>0</v>
      </c>
      <c r="AA177" s="397">
        <f t="shared" si="128"/>
        <v>0</v>
      </c>
      <c r="AB177" s="397">
        <f t="shared" si="128"/>
        <v>0</v>
      </c>
      <c r="AC177" s="397">
        <f t="shared" si="129"/>
        <v>0</v>
      </c>
      <c r="AD177" s="397">
        <f t="shared" si="129"/>
        <v>0</v>
      </c>
      <c r="AE177" s="397">
        <f t="shared" si="129"/>
        <v>0</v>
      </c>
      <c r="AF177" s="397">
        <f t="shared" si="129"/>
        <v>0</v>
      </c>
      <c r="AG177" s="397">
        <f t="shared" si="129"/>
        <v>0</v>
      </c>
      <c r="AH177" s="397">
        <f t="shared" si="129"/>
        <v>0</v>
      </c>
      <c r="AI177" s="397">
        <f t="shared" si="129"/>
        <v>0</v>
      </c>
      <c r="AJ177" s="397">
        <f t="shared" si="129"/>
        <v>1.1059528005241983</v>
      </c>
      <c r="AK177" s="397">
        <f t="shared" si="129"/>
        <v>1.1059528005241983</v>
      </c>
      <c r="AL177" s="397">
        <f t="shared" si="129"/>
        <v>1.1059528005241983</v>
      </c>
      <c r="AM177" s="397">
        <f t="shared" si="129"/>
        <v>1.1059528005241983</v>
      </c>
      <c r="AN177" s="397">
        <f t="shared" si="129"/>
        <v>1.1059528005241983</v>
      </c>
      <c r="AO177" s="397">
        <f t="shared" si="129"/>
        <v>1.1059528005241983</v>
      </c>
      <c r="AP177" s="397">
        <f t="shared" si="129"/>
        <v>1.1059528005241983</v>
      </c>
      <c r="AQ177" s="397">
        <f t="shared" si="129"/>
        <v>1.1059528005241983</v>
      </c>
      <c r="AR177" s="397">
        <f t="shared" si="129"/>
        <v>1.1059528005241983</v>
      </c>
      <c r="AS177" s="397">
        <f t="shared" si="127"/>
        <v>1.1059528005241983</v>
      </c>
      <c r="AT177" s="397">
        <f t="shared" si="127"/>
        <v>0</v>
      </c>
      <c r="AU177" s="397">
        <f t="shared" si="127"/>
        <v>0</v>
      </c>
      <c r="AV177" s="397">
        <f t="shared" si="127"/>
        <v>0</v>
      </c>
      <c r="AW177" s="397">
        <f t="shared" si="127"/>
        <v>0</v>
      </c>
      <c r="AX177" s="397">
        <f t="shared" si="127"/>
        <v>0</v>
      </c>
      <c r="AY177" s="397">
        <f t="shared" si="127"/>
        <v>0</v>
      </c>
      <c r="AZ177" s="397">
        <f t="shared" si="127"/>
        <v>0</v>
      </c>
      <c r="BA177" s="397">
        <f t="shared" si="127"/>
        <v>0</v>
      </c>
    </row>
    <row r="178" spans="2:53">
      <c r="B178" s="398">
        <f t="shared" si="123"/>
        <v>2053</v>
      </c>
      <c r="C178" s="397">
        <f t="shared" si="130"/>
        <v>0</v>
      </c>
      <c r="D178" s="397">
        <f t="shared" si="130"/>
        <v>0</v>
      </c>
      <c r="E178" s="397">
        <f t="shared" si="130"/>
        <v>0</v>
      </c>
      <c r="F178" s="397">
        <f t="shared" si="130"/>
        <v>0</v>
      </c>
      <c r="G178" s="397">
        <f t="shared" si="130"/>
        <v>0</v>
      </c>
      <c r="H178" s="397">
        <f t="shared" si="130"/>
        <v>0</v>
      </c>
      <c r="I178" s="397">
        <f t="shared" si="130"/>
        <v>0</v>
      </c>
      <c r="J178" s="397">
        <f t="shared" si="130"/>
        <v>0</v>
      </c>
      <c r="K178" s="397">
        <f t="shared" si="130"/>
        <v>0</v>
      </c>
      <c r="L178" s="397">
        <f t="shared" si="130"/>
        <v>0</v>
      </c>
      <c r="M178" s="397">
        <f t="shared" si="130"/>
        <v>0</v>
      </c>
      <c r="N178" s="397">
        <f t="shared" si="130"/>
        <v>0</v>
      </c>
      <c r="O178" s="397">
        <f t="shared" si="130"/>
        <v>0</v>
      </c>
      <c r="P178" s="397">
        <f t="shared" si="130"/>
        <v>0</v>
      </c>
      <c r="Q178" s="397">
        <f t="shared" si="130"/>
        <v>0</v>
      </c>
      <c r="R178" s="397">
        <f t="shared" si="130"/>
        <v>0</v>
      </c>
      <c r="S178" s="397">
        <f t="shared" si="128"/>
        <v>0</v>
      </c>
      <c r="T178" s="397">
        <f t="shared" si="128"/>
        <v>0</v>
      </c>
      <c r="U178" s="397">
        <f t="shared" si="128"/>
        <v>0</v>
      </c>
      <c r="V178" s="397">
        <f t="shared" si="128"/>
        <v>0</v>
      </c>
      <c r="W178" s="397">
        <f t="shared" si="128"/>
        <v>0</v>
      </c>
      <c r="X178" s="397">
        <f t="shared" si="128"/>
        <v>0</v>
      </c>
      <c r="Y178" s="397">
        <f t="shared" si="128"/>
        <v>0</v>
      </c>
      <c r="Z178" s="397">
        <f t="shared" si="128"/>
        <v>0</v>
      </c>
      <c r="AA178" s="397">
        <f t="shared" si="128"/>
        <v>0</v>
      </c>
      <c r="AB178" s="397">
        <f t="shared" si="128"/>
        <v>0</v>
      </c>
      <c r="AC178" s="397">
        <f t="shared" si="129"/>
        <v>0</v>
      </c>
      <c r="AD178" s="397">
        <f t="shared" si="129"/>
        <v>0</v>
      </c>
      <c r="AE178" s="397">
        <f t="shared" si="129"/>
        <v>0</v>
      </c>
      <c r="AF178" s="397">
        <f t="shared" si="129"/>
        <v>0</v>
      </c>
      <c r="AG178" s="397">
        <f t="shared" si="129"/>
        <v>0</v>
      </c>
      <c r="AH178" s="397">
        <f t="shared" si="129"/>
        <v>0</v>
      </c>
      <c r="AI178" s="397">
        <f t="shared" si="129"/>
        <v>0</v>
      </c>
      <c r="AJ178" s="397">
        <f t="shared" si="129"/>
        <v>0</v>
      </c>
      <c r="AK178" s="397">
        <f t="shared" si="129"/>
        <v>1.1148207223562849</v>
      </c>
      <c r="AL178" s="397">
        <f t="shared" si="129"/>
        <v>1.1148207223562849</v>
      </c>
      <c r="AM178" s="397">
        <f t="shared" si="129"/>
        <v>1.1148207223562849</v>
      </c>
      <c r="AN178" s="397">
        <f t="shared" si="129"/>
        <v>1.1148207223562849</v>
      </c>
      <c r="AO178" s="397">
        <f t="shared" si="129"/>
        <v>1.1148207223562849</v>
      </c>
      <c r="AP178" s="397">
        <f t="shared" si="129"/>
        <v>1.1148207223562849</v>
      </c>
      <c r="AQ178" s="397">
        <f t="shared" si="129"/>
        <v>1.1148207223562849</v>
      </c>
      <c r="AR178" s="397">
        <f t="shared" si="129"/>
        <v>1.1148207223562849</v>
      </c>
      <c r="AS178" s="397">
        <f t="shared" si="127"/>
        <v>1.1148207223562849</v>
      </c>
      <c r="AT178" s="397">
        <f t="shared" si="127"/>
        <v>1.1148207223562849</v>
      </c>
      <c r="AU178" s="397">
        <f t="shared" si="127"/>
        <v>0</v>
      </c>
      <c r="AV178" s="397">
        <f t="shared" si="127"/>
        <v>0</v>
      </c>
      <c r="AW178" s="397">
        <f t="shared" si="127"/>
        <v>0</v>
      </c>
      <c r="AX178" s="397">
        <f t="shared" si="127"/>
        <v>0</v>
      </c>
      <c r="AY178" s="397">
        <f t="shared" si="127"/>
        <v>0</v>
      </c>
      <c r="AZ178" s="397">
        <f t="shared" si="127"/>
        <v>0</v>
      </c>
      <c r="BA178" s="397">
        <f t="shared" si="127"/>
        <v>0</v>
      </c>
    </row>
    <row r="179" spans="2:53">
      <c r="B179" s="398">
        <f t="shared" si="123"/>
        <v>2054</v>
      </c>
      <c r="C179" s="397">
        <f t="shared" si="130"/>
        <v>0</v>
      </c>
      <c r="D179" s="397">
        <f t="shared" si="130"/>
        <v>0</v>
      </c>
      <c r="E179" s="397">
        <f t="shared" si="130"/>
        <v>0</v>
      </c>
      <c r="F179" s="397">
        <f t="shared" si="130"/>
        <v>0</v>
      </c>
      <c r="G179" s="397">
        <f t="shared" si="130"/>
        <v>0</v>
      </c>
      <c r="H179" s="397">
        <f t="shared" si="130"/>
        <v>0</v>
      </c>
      <c r="I179" s="397">
        <f t="shared" si="130"/>
        <v>0</v>
      </c>
      <c r="J179" s="397">
        <f t="shared" si="130"/>
        <v>0</v>
      </c>
      <c r="K179" s="397">
        <f t="shared" si="130"/>
        <v>0</v>
      </c>
      <c r="L179" s="397">
        <f t="shared" si="130"/>
        <v>0</v>
      </c>
      <c r="M179" s="397">
        <f t="shared" si="130"/>
        <v>0</v>
      </c>
      <c r="N179" s="397">
        <f t="shared" si="130"/>
        <v>0</v>
      </c>
      <c r="O179" s="397">
        <f t="shared" si="130"/>
        <v>0</v>
      </c>
      <c r="P179" s="397">
        <f t="shared" si="130"/>
        <v>0</v>
      </c>
      <c r="Q179" s="397">
        <f t="shared" si="130"/>
        <v>0</v>
      </c>
      <c r="R179" s="397">
        <f t="shared" si="130"/>
        <v>0</v>
      </c>
      <c r="S179" s="397">
        <f t="shared" si="128"/>
        <v>0</v>
      </c>
      <c r="T179" s="397">
        <f t="shared" si="128"/>
        <v>0</v>
      </c>
      <c r="U179" s="397">
        <f t="shared" si="128"/>
        <v>0</v>
      </c>
      <c r="V179" s="397">
        <f t="shared" si="128"/>
        <v>0</v>
      </c>
      <c r="W179" s="397">
        <f t="shared" si="128"/>
        <v>0</v>
      </c>
      <c r="X179" s="397">
        <f t="shared" si="128"/>
        <v>0</v>
      </c>
      <c r="Y179" s="397">
        <f t="shared" si="128"/>
        <v>0</v>
      </c>
      <c r="Z179" s="397">
        <f t="shared" si="128"/>
        <v>0</v>
      </c>
      <c r="AA179" s="397">
        <f t="shared" si="128"/>
        <v>0</v>
      </c>
      <c r="AB179" s="397">
        <f t="shared" si="128"/>
        <v>0</v>
      </c>
      <c r="AC179" s="397">
        <f t="shared" si="129"/>
        <v>0</v>
      </c>
      <c r="AD179" s="397">
        <f t="shared" si="129"/>
        <v>0</v>
      </c>
      <c r="AE179" s="397">
        <f t="shared" si="129"/>
        <v>0</v>
      </c>
      <c r="AF179" s="397">
        <f t="shared" si="129"/>
        <v>0</v>
      </c>
      <c r="AG179" s="397">
        <f t="shared" si="129"/>
        <v>0</v>
      </c>
      <c r="AH179" s="397">
        <f t="shared" si="129"/>
        <v>0</v>
      </c>
      <c r="AI179" s="397">
        <f t="shared" si="129"/>
        <v>0</v>
      </c>
      <c r="AJ179" s="397">
        <f t="shared" si="129"/>
        <v>0</v>
      </c>
      <c r="AK179" s="397">
        <f t="shared" si="129"/>
        <v>0</v>
      </c>
      <c r="AL179" s="397">
        <f t="shared" si="129"/>
        <v>1.123151212153972</v>
      </c>
      <c r="AM179" s="397">
        <f t="shared" si="129"/>
        <v>1.123151212153972</v>
      </c>
      <c r="AN179" s="397">
        <f t="shared" si="129"/>
        <v>1.123151212153972</v>
      </c>
      <c r="AO179" s="397">
        <f t="shared" si="129"/>
        <v>1.123151212153972</v>
      </c>
      <c r="AP179" s="397">
        <f t="shared" si="129"/>
        <v>1.123151212153972</v>
      </c>
      <c r="AQ179" s="397">
        <f t="shared" si="129"/>
        <v>1.123151212153972</v>
      </c>
      <c r="AR179" s="397">
        <f t="shared" si="129"/>
        <v>1.123151212153972</v>
      </c>
      <c r="AS179" s="397">
        <f t="shared" si="127"/>
        <v>1.123151212153972</v>
      </c>
      <c r="AT179" s="397">
        <f t="shared" si="127"/>
        <v>1.123151212153972</v>
      </c>
      <c r="AU179" s="397">
        <f t="shared" si="127"/>
        <v>1.123151212153972</v>
      </c>
      <c r="AV179" s="397">
        <f t="shared" si="127"/>
        <v>0</v>
      </c>
      <c r="AW179" s="397">
        <f t="shared" si="127"/>
        <v>0</v>
      </c>
      <c r="AX179" s="397">
        <f t="shared" si="127"/>
        <v>0</v>
      </c>
      <c r="AY179" s="397">
        <f t="shared" si="127"/>
        <v>0</v>
      </c>
      <c r="AZ179" s="397">
        <f t="shared" si="127"/>
        <v>0</v>
      </c>
      <c r="BA179" s="397">
        <f t="shared" si="127"/>
        <v>0</v>
      </c>
    </row>
    <row r="180" spans="2:53">
      <c r="B180" s="398">
        <f t="shared" si="123"/>
        <v>2055</v>
      </c>
      <c r="C180" s="397">
        <f t="shared" si="130"/>
        <v>0</v>
      </c>
      <c r="D180" s="397">
        <f t="shared" si="130"/>
        <v>0</v>
      </c>
      <c r="E180" s="397">
        <f t="shared" si="130"/>
        <v>0</v>
      </c>
      <c r="F180" s="397">
        <f t="shared" si="130"/>
        <v>0</v>
      </c>
      <c r="G180" s="397">
        <f t="shared" si="130"/>
        <v>0</v>
      </c>
      <c r="H180" s="397">
        <f t="shared" si="130"/>
        <v>0</v>
      </c>
      <c r="I180" s="397">
        <f t="shared" si="130"/>
        <v>0</v>
      </c>
      <c r="J180" s="397">
        <f t="shared" si="130"/>
        <v>0</v>
      </c>
      <c r="K180" s="397">
        <f t="shared" si="130"/>
        <v>0</v>
      </c>
      <c r="L180" s="397">
        <f t="shared" si="130"/>
        <v>0</v>
      </c>
      <c r="M180" s="397">
        <f t="shared" si="130"/>
        <v>0</v>
      </c>
      <c r="N180" s="397">
        <f t="shared" si="130"/>
        <v>0</v>
      </c>
      <c r="O180" s="397">
        <f t="shared" si="130"/>
        <v>0</v>
      </c>
      <c r="P180" s="397">
        <f t="shared" si="130"/>
        <v>0</v>
      </c>
      <c r="Q180" s="397">
        <f t="shared" si="130"/>
        <v>0</v>
      </c>
      <c r="R180" s="397">
        <f t="shared" si="130"/>
        <v>0</v>
      </c>
      <c r="S180" s="397">
        <f t="shared" si="128"/>
        <v>0</v>
      </c>
      <c r="T180" s="397">
        <f t="shared" si="128"/>
        <v>0</v>
      </c>
      <c r="U180" s="397">
        <f t="shared" si="128"/>
        <v>0</v>
      </c>
      <c r="V180" s="397">
        <f t="shared" si="128"/>
        <v>0</v>
      </c>
      <c r="W180" s="397">
        <f t="shared" si="128"/>
        <v>0</v>
      </c>
      <c r="X180" s="397">
        <f t="shared" si="128"/>
        <v>0</v>
      </c>
      <c r="Y180" s="397">
        <f t="shared" si="128"/>
        <v>0</v>
      </c>
      <c r="Z180" s="397">
        <f t="shared" si="128"/>
        <v>0</v>
      </c>
      <c r="AA180" s="397">
        <f t="shared" si="128"/>
        <v>0</v>
      </c>
      <c r="AB180" s="397">
        <f t="shared" si="128"/>
        <v>0</v>
      </c>
      <c r="AC180" s="397">
        <f t="shared" si="129"/>
        <v>0</v>
      </c>
      <c r="AD180" s="397">
        <f t="shared" si="129"/>
        <v>0</v>
      </c>
      <c r="AE180" s="397">
        <f t="shared" si="129"/>
        <v>0</v>
      </c>
      <c r="AF180" s="397">
        <f t="shared" si="129"/>
        <v>0</v>
      </c>
      <c r="AG180" s="397">
        <f t="shared" si="129"/>
        <v>0</v>
      </c>
      <c r="AH180" s="397">
        <f t="shared" si="129"/>
        <v>0</v>
      </c>
      <c r="AI180" s="397">
        <f t="shared" si="129"/>
        <v>0</v>
      </c>
      <c r="AJ180" s="397">
        <f t="shared" si="129"/>
        <v>0</v>
      </c>
      <c r="AK180" s="397">
        <f t="shared" si="129"/>
        <v>0</v>
      </c>
      <c r="AL180" s="397">
        <f t="shared" si="129"/>
        <v>0</v>
      </c>
      <c r="AM180" s="397">
        <f t="shared" si="129"/>
        <v>1.1308306976765596</v>
      </c>
      <c r="AN180" s="397">
        <f t="shared" si="129"/>
        <v>1.1308306976765596</v>
      </c>
      <c r="AO180" s="397">
        <f t="shared" si="129"/>
        <v>1.1308306976765596</v>
      </c>
      <c r="AP180" s="397">
        <f t="shared" si="129"/>
        <v>1.1308306976765596</v>
      </c>
      <c r="AQ180" s="397">
        <f t="shared" si="129"/>
        <v>1.1308306976765596</v>
      </c>
      <c r="AR180" s="397">
        <f t="shared" si="129"/>
        <v>1.1308306976765596</v>
      </c>
      <c r="AS180" s="397">
        <f t="shared" si="127"/>
        <v>1.1308306976765596</v>
      </c>
      <c r="AT180" s="397">
        <f t="shared" si="127"/>
        <v>1.1308306976765596</v>
      </c>
      <c r="AU180" s="397">
        <f t="shared" si="127"/>
        <v>1.1308306976765596</v>
      </c>
      <c r="AV180" s="397">
        <f t="shared" si="127"/>
        <v>1.1308306976765596</v>
      </c>
      <c r="AW180" s="397">
        <f t="shared" si="127"/>
        <v>0</v>
      </c>
      <c r="AX180" s="397">
        <f t="shared" si="127"/>
        <v>0</v>
      </c>
      <c r="AY180" s="397">
        <f t="shared" si="127"/>
        <v>0</v>
      </c>
      <c r="AZ180" s="397">
        <f t="shared" si="127"/>
        <v>0</v>
      </c>
      <c r="BA180" s="397">
        <f t="shared" si="127"/>
        <v>0</v>
      </c>
    </row>
    <row r="181" spans="2:53">
      <c r="B181" s="398">
        <f t="shared" si="123"/>
        <v>2056</v>
      </c>
      <c r="C181" s="397">
        <f t="shared" si="130"/>
        <v>0</v>
      </c>
      <c r="D181" s="397">
        <f t="shared" si="130"/>
        <v>0</v>
      </c>
      <c r="E181" s="397">
        <f t="shared" si="130"/>
        <v>0</v>
      </c>
      <c r="F181" s="397">
        <f t="shared" si="130"/>
        <v>0</v>
      </c>
      <c r="G181" s="397">
        <f t="shared" si="130"/>
        <v>0</v>
      </c>
      <c r="H181" s="397">
        <f t="shared" si="130"/>
        <v>0</v>
      </c>
      <c r="I181" s="397">
        <f t="shared" si="130"/>
        <v>0</v>
      </c>
      <c r="J181" s="397">
        <f t="shared" si="130"/>
        <v>0</v>
      </c>
      <c r="K181" s="397">
        <f t="shared" si="130"/>
        <v>0</v>
      </c>
      <c r="L181" s="397">
        <f t="shared" si="130"/>
        <v>0</v>
      </c>
      <c r="M181" s="397">
        <f t="shared" si="130"/>
        <v>0</v>
      </c>
      <c r="N181" s="397">
        <f t="shared" si="130"/>
        <v>0</v>
      </c>
      <c r="O181" s="397">
        <f t="shared" si="130"/>
        <v>0</v>
      </c>
      <c r="P181" s="397">
        <f t="shared" si="130"/>
        <v>0</v>
      </c>
      <c r="Q181" s="397">
        <f t="shared" si="130"/>
        <v>0</v>
      </c>
      <c r="R181" s="397">
        <f t="shared" si="130"/>
        <v>0</v>
      </c>
      <c r="S181" s="397">
        <f t="shared" si="128"/>
        <v>0</v>
      </c>
      <c r="T181" s="397">
        <f t="shared" si="128"/>
        <v>0</v>
      </c>
      <c r="U181" s="397">
        <f t="shared" si="128"/>
        <v>0</v>
      </c>
      <c r="V181" s="397">
        <f t="shared" si="128"/>
        <v>0</v>
      </c>
      <c r="W181" s="397">
        <f t="shared" si="128"/>
        <v>0</v>
      </c>
      <c r="X181" s="397">
        <f t="shared" si="128"/>
        <v>0</v>
      </c>
      <c r="Y181" s="397">
        <f t="shared" si="128"/>
        <v>0</v>
      </c>
      <c r="Z181" s="397">
        <f t="shared" si="128"/>
        <v>0</v>
      </c>
      <c r="AA181" s="397">
        <f t="shared" si="128"/>
        <v>0</v>
      </c>
      <c r="AB181" s="397">
        <f t="shared" si="128"/>
        <v>0</v>
      </c>
      <c r="AC181" s="397">
        <f t="shared" si="129"/>
        <v>0</v>
      </c>
      <c r="AD181" s="397">
        <f t="shared" si="129"/>
        <v>0</v>
      </c>
      <c r="AE181" s="397">
        <f t="shared" si="129"/>
        <v>0</v>
      </c>
      <c r="AF181" s="397">
        <f t="shared" si="129"/>
        <v>0</v>
      </c>
      <c r="AG181" s="397">
        <f t="shared" si="129"/>
        <v>0</v>
      </c>
      <c r="AH181" s="397">
        <f t="shared" si="129"/>
        <v>0</v>
      </c>
      <c r="AI181" s="397">
        <f t="shared" si="129"/>
        <v>0</v>
      </c>
      <c r="AJ181" s="397">
        <f t="shared" si="129"/>
        <v>0</v>
      </c>
      <c r="AK181" s="397">
        <f t="shared" si="129"/>
        <v>0</v>
      </c>
      <c r="AL181" s="397">
        <f t="shared" si="129"/>
        <v>0</v>
      </c>
      <c r="AM181" s="397">
        <f t="shared" si="129"/>
        <v>0</v>
      </c>
      <c r="AN181" s="397">
        <f t="shared" si="129"/>
        <v>1.1379263815363034</v>
      </c>
      <c r="AO181" s="397">
        <f t="shared" si="129"/>
        <v>1.1379263815363034</v>
      </c>
      <c r="AP181" s="397">
        <f t="shared" si="129"/>
        <v>1.1379263815363034</v>
      </c>
      <c r="AQ181" s="397">
        <f t="shared" si="129"/>
        <v>1.1379263815363034</v>
      </c>
      <c r="AR181" s="397">
        <f t="shared" ref="AR181:BA195" si="131">IF($B181&gt;=AR$144,0,        IF(AR$144-$B181&lt;=$C$135,    INDEX($C$120:$BA$120, MATCH($B181, $C$119:$BA$119,0)),       0))</f>
        <v>1.1379263815363034</v>
      </c>
      <c r="AS181" s="397">
        <f t="shared" si="131"/>
        <v>1.1379263815363034</v>
      </c>
      <c r="AT181" s="397">
        <f t="shared" si="131"/>
        <v>1.1379263815363034</v>
      </c>
      <c r="AU181" s="397">
        <f t="shared" si="131"/>
        <v>1.1379263815363034</v>
      </c>
      <c r="AV181" s="397">
        <f t="shared" si="131"/>
        <v>1.1379263815363034</v>
      </c>
      <c r="AW181" s="397">
        <f t="shared" si="131"/>
        <v>1.1379263815363034</v>
      </c>
      <c r="AX181" s="397">
        <f t="shared" si="131"/>
        <v>0</v>
      </c>
      <c r="AY181" s="397">
        <f t="shared" si="131"/>
        <v>0</v>
      </c>
      <c r="AZ181" s="397">
        <f t="shared" si="131"/>
        <v>0</v>
      </c>
      <c r="BA181" s="397">
        <f t="shared" si="131"/>
        <v>0</v>
      </c>
    </row>
    <row r="182" spans="2:53">
      <c r="B182" s="398">
        <f t="shared" si="123"/>
        <v>2057</v>
      </c>
      <c r="C182" s="397">
        <f t="shared" si="130"/>
        <v>0</v>
      </c>
      <c r="D182" s="397">
        <f t="shared" si="130"/>
        <v>0</v>
      </c>
      <c r="E182" s="397">
        <f t="shared" si="130"/>
        <v>0</v>
      </c>
      <c r="F182" s="397">
        <f t="shared" si="130"/>
        <v>0</v>
      </c>
      <c r="G182" s="397">
        <f t="shared" si="130"/>
        <v>0</v>
      </c>
      <c r="H182" s="397">
        <f t="shared" si="130"/>
        <v>0</v>
      </c>
      <c r="I182" s="397">
        <f t="shared" si="130"/>
        <v>0</v>
      </c>
      <c r="J182" s="397">
        <f t="shared" si="130"/>
        <v>0</v>
      </c>
      <c r="K182" s="397">
        <f t="shared" si="130"/>
        <v>0</v>
      </c>
      <c r="L182" s="397">
        <f t="shared" si="130"/>
        <v>0</v>
      </c>
      <c r="M182" s="397">
        <f t="shared" si="130"/>
        <v>0</v>
      </c>
      <c r="N182" s="397">
        <f t="shared" si="130"/>
        <v>0</v>
      </c>
      <c r="O182" s="397">
        <f t="shared" si="130"/>
        <v>0</v>
      </c>
      <c r="P182" s="397">
        <f t="shared" si="130"/>
        <v>0</v>
      </c>
      <c r="Q182" s="397">
        <f t="shared" si="130"/>
        <v>0</v>
      </c>
      <c r="R182" s="397">
        <f t="shared" ref="R182:AG195" si="132">IF($B182&gt;=R$144,0,        IF(R$144-$B182&lt;=$C$135,    INDEX($C$120:$BA$120, MATCH($B182, $C$119:$BA$119,0)),       0))</f>
        <v>0</v>
      </c>
      <c r="S182" s="397">
        <f t="shared" si="132"/>
        <v>0</v>
      </c>
      <c r="T182" s="397">
        <f t="shared" si="132"/>
        <v>0</v>
      </c>
      <c r="U182" s="397">
        <f t="shared" si="132"/>
        <v>0</v>
      </c>
      <c r="V182" s="397">
        <f t="shared" si="132"/>
        <v>0</v>
      </c>
      <c r="W182" s="397">
        <f t="shared" si="132"/>
        <v>0</v>
      </c>
      <c r="X182" s="397">
        <f t="shared" si="132"/>
        <v>0</v>
      </c>
      <c r="Y182" s="397">
        <f t="shared" si="132"/>
        <v>0</v>
      </c>
      <c r="Z182" s="397">
        <f t="shared" si="132"/>
        <v>0</v>
      </c>
      <c r="AA182" s="397">
        <f t="shared" si="132"/>
        <v>0</v>
      </c>
      <c r="AB182" s="397">
        <f t="shared" si="132"/>
        <v>0</v>
      </c>
      <c r="AC182" s="397">
        <f t="shared" si="132"/>
        <v>0</v>
      </c>
      <c r="AD182" s="397">
        <f t="shared" si="132"/>
        <v>0</v>
      </c>
      <c r="AE182" s="397">
        <f t="shared" si="132"/>
        <v>0</v>
      </c>
      <c r="AF182" s="397">
        <f t="shared" si="132"/>
        <v>0</v>
      </c>
      <c r="AG182" s="397">
        <f t="shared" si="132"/>
        <v>0</v>
      </c>
      <c r="AH182" s="397">
        <f t="shared" ref="AH182:AW195" si="133">IF($B182&gt;=AH$144,0,        IF(AH$144-$B182&lt;=$C$135,    INDEX($C$120:$BA$120, MATCH($B182, $C$119:$BA$119,0)),       0))</f>
        <v>0</v>
      </c>
      <c r="AI182" s="397">
        <f t="shared" si="133"/>
        <v>0</v>
      </c>
      <c r="AJ182" s="397">
        <f t="shared" si="133"/>
        <v>0</v>
      </c>
      <c r="AK182" s="397">
        <f t="shared" si="133"/>
        <v>0</v>
      </c>
      <c r="AL182" s="397">
        <f t="shared" si="133"/>
        <v>0</v>
      </c>
      <c r="AM182" s="397">
        <f t="shared" si="133"/>
        <v>0</v>
      </c>
      <c r="AN182" s="397">
        <f t="shared" si="133"/>
        <v>0</v>
      </c>
      <c r="AO182" s="397">
        <f t="shared" si="133"/>
        <v>1.1444532872732203</v>
      </c>
      <c r="AP182" s="397">
        <f t="shared" si="133"/>
        <v>1.1444532872732203</v>
      </c>
      <c r="AQ182" s="397">
        <f t="shared" si="133"/>
        <v>1.1444532872732203</v>
      </c>
      <c r="AR182" s="397">
        <f t="shared" si="133"/>
        <v>1.1444532872732203</v>
      </c>
      <c r="AS182" s="397">
        <f t="shared" si="133"/>
        <v>1.1444532872732203</v>
      </c>
      <c r="AT182" s="397">
        <f t="shared" si="133"/>
        <v>1.1444532872732203</v>
      </c>
      <c r="AU182" s="397">
        <f t="shared" si="133"/>
        <v>1.1444532872732203</v>
      </c>
      <c r="AV182" s="397">
        <f t="shared" si="133"/>
        <v>1.1444532872732203</v>
      </c>
      <c r="AW182" s="397">
        <f t="shared" si="133"/>
        <v>1.1444532872732203</v>
      </c>
      <c r="AX182" s="397">
        <f t="shared" si="131"/>
        <v>1.1444532872732203</v>
      </c>
      <c r="AY182" s="397">
        <f t="shared" si="131"/>
        <v>0</v>
      </c>
      <c r="AZ182" s="397">
        <f t="shared" si="131"/>
        <v>0</v>
      </c>
      <c r="BA182" s="397">
        <f t="shared" si="131"/>
        <v>0</v>
      </c>
    </row>
    <row r="183" spans="2:53">
      <c r="B183" s="398">
        <f t="shared" si="123"/>
        <v>2058</v>
      </c>
      <c r="C183" s="397">
        <f t="shared" ref="C183:R195" si="134">IF($B183&gt;=C$144,0,        IF(C$144-$B183&lt;=$C$135,    INDEX($C$120:$BA$120, MATCH($B183, $C$119:$BA$119,0)),       0))</f>
        <v>0</v>
      </c>
      <c r="D183" s="397">
        <f t="shared" si="134"/>
        <v>0</v>
      </c>
      <c r="E183" s="397">
        <f t="shared" si="134"/>
        <v>0</v>
      </c>
      <c r="F183" s="397">
        <f t="shared" si="134"/>
        <v>0</v>
      </c>
      <c r="G183" s="397">
        <f t="shared" si="134"/>
        <v>0</v>
      </c>
      <c r="H183" s="397">
        <f t="shared" si="134"/>
        <v>0</v>
      </c>
      <c r="I183" s="397">
        <f t="shared" si="134"/>
        <v>0</v>
      </c>
      <c r="J183" s="397">
        <f t="shared" si="134"/>
        <v>0</v>
      </c>
      <c r="K183" s="397">
        <f t="shared" si="134"/>
        <v>0</v>
      </c>
      <c r="L183" s="397">
        <f t="shared" si="134"/>
        <v>0</v>
      </c>
      <c r="M183" s="397">
        <f t="shared" si="134"/>
        <v>0</v>
      </c>
      <c r="N183" s="397">
        <f t="shared" si="134"/>
        <v>0</v>
      </c>
      <c r="O183" s="397">
        <f t="shared" si="134"/>
        <v>0</v>
      </c>
      <c r="P183" s="397">
        <f t="shared" si="134"/>
        <v>0</v>
      </c>
      <c r="Q183" s="397">
        <f t="shared" si="134"/>
        <v>0</v>
      </c>
      <c r="R183" s="397">
        <f t="shared" si="134"/>
        <v>0</v>
      </c>
      <c r="S183" s="397">
        <f t="shared" si="132"/>
        <v>0</v>
      </c>
      <c r="T183" s="397">
        <f t="shared" si="132"/>
        <v>0</v>
      </c>
      <c r="U183" s="397">
        <f t="shared" si="132"/>
        <v>0</v>
      </c>
      <c r="V183" s="397">
        <f t="shared" si="132"/>
        <v>0</v>
      </c>
      <c r="W183" s="397">
        <f t="shared" si="132"/>
        <v>0</v>
      </c>
      <c r="X183" s="397">
        <f t="shared" si="132"/>
        <v>0</v>
      </c>
      <c r="Y183" s="397">
        <f t="shared" si="132"/>
        <v>0</v>
      </c>
      <c r="Z183" s="397">
        <f t="shared" si="132"/>
        <v>0</v>
      </c>
      <c r="AA183" s="397">
        <f t="shared" si="132"/>
        <v>0</v>
      </c>
      <c r="AB183" s="397">
        <f t="shared" si="132"/>
        <v>0</v>
      </c>
      <c r="AC183" s="397">
        <f t="shared" si="132"/>
        <v>0</v>
      </c>
      <c r="AD183" s="397">
        <f t="shared" si="132"/>
        <v>0</v>
      </c>
      <c r="AE183" s="397">
        <f t="shared" si="132"/>
        <v>0</v>
      </c>
      <c r="AF183" s="397">
        <f t="shared" si="132"/>
        <v>0</v>
      </c>
      <c r="AG183" s="397">
        <f t="shared" si="132"/>
        <v>0</v>
      </c>
      <c r="AH183" s="397">
        <f t="shared" si="133"/>
        <v>0</v>
      </c>
      <c r="AI183" s="397">
        <f t="shared" si="133"/>
        <v>0</v>
      </c>
      <c r="AJ183" s="397">
        <f t="shared" si="133"/>
        <v>0</v>
      </c>
      <c r="AK183" s="397">
        <f t="shared" si="133"/>
        <v>0</v>
      </c>
      <c r="AL183" s="397">
        <f t="shared" si="133"/>
        <v>0</v>
      </c>
      <c r="AM183" s="397">
        <f t="shared" si="133"/>
        <v>0</v>
      </c>
      <c r="AN183" s="397">
        <f t="shared" si="133"/>
        <v>0</v>
      </c>
      <c r="AO183" s="397">
        <f t="shared" si="133"/>
        <v>0</v>
      </c>
      <c r="AP183" s="397">
        <f t="shared" si="133"/>
        <v>1.1503838491612961</v>
      </c>
      <c r="AQ183" s="397">
        <f t="shared" si="133"/>
        <v>1.1503838491612961</v>
      </c>
      <c r="AR183" s="397">
        <f t="shared" si="133"/>
        <v>1.1503838491612961</v>
      </c>
      <c r="AS183" s="397">
        <f t="shared" si="133"/>
        <v>1.1503838491612961</v>
      </c>
      <c r="AT183" s="397">
        <f t="shared" si="133"/>
        <v>1.1503838491612961</v>
      </c>
      <c r="AU183" s="397">
        <f t="shared" si="133"/>
        <v>1.1503838491612961</v>
      </c>
      <c r="AV183" s="397">
        <f t="shared" si="133"/>
        <v>1.1503838491612961</v>
      </c>
      <c r="AW183" s="397">
        <f t="shared" si="133"/>
        <v>1.1503838491612961</v>
      </c>
      <c r="AX183" s="397">
        <f t="shared" si="131"/>
        <v>1.1503838491612961</v>
      </c>
      <c r="AY183" s="397">
        <f t="shared" si="131"/>
        <v>1.1503838491612961</v>
      </c>
      <c r="AZ183" s="397">
        <f t="shared" si="131"/>
        <v>0</v>
      </c>
      <c r="BA183" s="397">
        <f t="shared" si="131"/>
        <v>0</v>
      </c>
    </row>
    <row r="184" spans="2:53">
      <c r="B184" s="398">
        <f t="shared" si="123"/>
        <v>2059</v>
      </c>
      <c r="C184" s="397">
        <f t="shared" si="134"/>
        <v>0</v>
      </c>
      <c r="D184" s="397">
        <f t="shared" si="134"/>
        <v>0</v>
      </c>
      <c r="E184" s="397">
        <f t="shared" si="134"/>
        <v>0</v>
      </c>
      <c r="F184" s="397">
        <f t="shared" si="134"/>
        <v>0</v>
      </c>
      <c r="G184" s="397">
        <f t="shared" si="134"/>
        <v>0</v>
      </c>
      <c r="H184" s="397">
        <f t="shared" si="134"/>
        <v>0</v>
      </c>
      <c r="I184" s="397">
        <f t="shared" si="134"/>
        <v>0</v>
      </c>
      <c r="J184" s="397">
        <f t="shared" si="134"/>
        <v>0</v>
      </c>
      <c r="K184" s="397">
        <f t="shared" si="134"/>
        <v>0</v>
      </c>
      <c r="L184" s="397">
        <f t="shared" si="134"/>
        <v>0</v>
      </c>
      <c r="M184" s="397">
        <f t="shared" si="134"/>
        <v>0</v>
      </c>
      <c r="N184" s="397">
        <f t="shared" si="134"/>
        <v>0</v>
      </c>
      <c r="O184" s="397">
        <f t="shared" si="134"/>
        <v>0</v>
      </c>
      <c r="P184" s="397">
        <f t="shared" si="134"/>
        <v>0</v>
      </c>
      <c r="Q184" s="397">
        <f t="shared" si="134"/>
        <v>0</v>
      </c>
      <c r="R184" s="397">
        <f t="shared" si="134"/>
        <v>0</v>
      </c>
      <c r="S184" s="397">
        <f t="shared" si="132"/>
        <v>0</v>
      </c>
      <c r="T184" s="397">
        <f t="shared" si="132"/>
        <v>0</v>
      </c>
      <c r="U184" s="397">
        <f t="shared" si="132"/>
        <v>0</v>
      </c>
      <c r="V184" s="397">
        <f t="shared" si="132"/>
        <v>0</v>
      </c>
      <c r="W184" s="397">
        <f t="shared" si="132"/>
        <v>0</v>
      </c>
      <c r="X184" s="397">
        <f t="shared" si="132"/>
        <v>0</v>
      </c>
      <c r="Y184" s="397">
        <f t="shared" si="132"/>
        <v>0</v>
      </c>
      <c r="Z184" s="397">
        <f t="shared" si="132"/>
        <v>0</v>
      </c>
      <c r="AA184" s="397">
        <f t="shared" si="132"/>
        <v>0</v>
      </c>
      <c r="AB184" s="397">
        <f t="shared" si="132"/>
        <v>0</v>
      </c>
      <c r="AC184" s="397">
        <f t="shared" si="132"/>
        <v>0</v>
      </c>
      <c r="AD184" s="397">
        <f t="shared" si="132"/>
        <v>0</v>
      </c>
      <c r="AE184" s="397">
        <f t="shared" si="132"/>
        <v>0</v>
      </c>
      <c r="AF184" s="397">
        <f t="shared" si="132"/>
        <v>0</v>
      </c>
      <c r="AG184" s="397">
        <f t="shared" si="132"/>
        <v>0</v>
      </c>
      <c r="AH184" s="397">
        <f t="shared" si="133"/>
        <v>0</v>
      </c>
      <c r="AI184" s="397">
        <f t="shared" si="133"/>
        <v>0</v>
      </c>
      <c r="AJ184" s="397">
        <f t="shared" si="133"/>
        <v>0</v>
      </c>
      <c r="AK184" s="397">
        <f t="shared" si="133"/>
        <v>0</v>
      </c>
      <c r="AL184" s="397">
        <f t="shared" si="133"/>
        <v>0</v>
      </c>
      <c r="AM184" s="397">
        <f t="shared" si="133"/>
        <v>0</v>
      </c>
      <c r="AN184" s="397">
        <f t="shared" si="133"/>
        <v>0</v>
      </c>
      <c r="AO184" s="397">
        <f t="shared" si="133"/>
        <v>0</v>
      </c>
      <c r="AP184" s="397">
        <f t="shared" si="133"/>
        <v>0</v>
      </c>
      <c r="AQ184" s="397">
        <f t="shared" si="133"/>
        <v>1.1559566108851058</v>
      </c>
      <c r="AR184" s="397">
        <f t="shared" si="133"/>
        <v>1.1559566108851058</v>
      </c>
      <c r="AS184" s="397">
        <f t="shared" si="133"/>
        <v>1.1559566108851058</v>
      </c>
      <c r="AT184" s="397">
        <f t="shared" si="133"/>
        <v>1.1559566108851058</v>
      </c>
      <c r="AU184" s="397">
        <f t="shared" si="133"/>
        <v>1.1559566108851058</v>
      </c>
      <c r="AV184" s="397">
        <f t="shared" si="133"/>
        <v>1.1559566108851058</v>
      </c>
      <c r="AW184" s="397">
        <f t="shared" si="133"/>
        <v>1.1559566108851058</v>
      </c>
      <c r="AX184" s="397">
        <f t="shared" si="131"/>
        <v>1.1559566108851058</v>
      </c>
      <c r="AY184" s="397">
        <f t="shared" si="131"/>
        <v>1.1559566108851058</v>
      </c>
      <c r="AZ184" s="397">
        <f t="shared" si="131"/>
        <v>1.1559566108851058</v>
      </c>
      <c r="BA184" s="397">
        <f t="shared" si="131"/>
        <v>0</v>
      </c>
    </row>
    <row r="185" spans="2:53">
      <c r="B185" s="398">
        <f t="shared" si="123"/>
        <v>2060</v>
      </c>
      <c r="C185" s="397">
        <f t="shared" si="134"/>
        <v>0</v>
      </c>
      <c r="D185" s="397">
        <f t="shared" si="134"/>
        <v>0</v>
      </c>
      <c r="E185" s="397">
        <f t="shared" si="134"/>
        <v>0</v>
      </c>
      <c r="F185" s="397">
        <f t="shared" si="134"/>
        <v>0</v>
      </c>
      <c r="G185" s="397">
        <f t="shared" si="134"/>
        <v>0</v>
      </c>
      <c r="H185" s="397">
        <f t="shared" si="134"/>
        <v>0</v>
      </c>
      <c r="I185" s="397">
        <f t="shared" si="134"/>
        <v>0</v>
      </c>
      <c r="J185" s="397">
        <f t="shared" si="134"/>
        <v>0</v>
      </c>
      <c r="K185" s="397">
        <f t="shared" si="134"/>
        <v>0</v>
      </c>
      <c r="L185" s="397">
        <f t="shared" si="134"/>
        <v>0</v>
      </c>
      <c r="M185" s="397">
        <f t="shared" si="134"/>
        <v>0</v>
      </c>
      <c r="N185" s="397">
        <f t="shared" si="134"/>
        <v>0</v>
      </c>
      <c r="O185" s="397">
        <f t="shared" si="134"/>
        <v>0</v>
      </c>
      <c r="P185" s="397">
        <f t="shared" si="134"/>
        <v>0</v>
      </c>
      <c r="Q185" s="397">
        <f t="shared" si="134"/>
        <v>0</v>
      </c>
      <c r="R185" s="397">
        <f t="shared" si="134"/>
        <v>0</v>
      </c>
      <c r="S185" s="397">
        <f t="shared" si="132"/>
        <v>0</v>
      </c>
      <c r="T185" s="397">
        <f t="shared" si="132"/>
        <v>0</v>
      </c>
      <c r="U185" s="397">
        <f t="shared" si="132"/>
        <v>0</v>
      </c>
      <c r="V185" s="397">
        <f t="shared" si="132"/>
        <v>0</v>
      </c>
      <c r="W185" s="397">
        <f t="shared" si="132"/>
        <v>0</v>
      </c>
      <c r="X185" s="397">
        <f t="shared" si="132"/>
        <v>0</v>
      </c>
      <c r="Y185" s="397">
        <f t="shared" si="132"/>
        <v>0</v>
      </c>
      <c r="Z185" s="397">
        <f t="shared" si="132"/>
        <v>0</v>
      </c>
      <c r="AA185" s="397">
        <f t="shared" si="132"/>
        <v>0</v>
      </c>
      <c r="AB185" s="397">
        <f t="shared" si="132"/>
        <v>0</v>
      </c>
      <c r="AC185" s="397">
        <f t="shared" si="132"/>
        <v>0</v>
      </c>
      <c r="AD185" s="397">
        <f t="shared" si="132"/>
        <v>0</v>
      </c>
      <c r="AE185" s="397">
        <f t="shared" si="132"/>
        <v>0</v>
      </c>
      <c r="AF185" s="397">
        <f t="shared" si="132"/>
        <v>0</v>
      </c>
      <c r="AG185" s="397">
        <f t="shared" si="132"/>
        <v>0</v>
      </c>
      <c r="AH185" s="397">
        <f t="shared" si="133"/>
        <v>0</v>
      </c>
      <c r="AI185" s="397">
        <f t="shared" si="133"/>
        <v>0</v>
      </c>
      <c r="AJ185" s="397">
        <f t="shared" si="133"/>
        <v>0</v>
      </c>
      <c r="AK185" s="397">
        <f t="shared" si="133"/>
        <v>0</v>
      </c>
      <c r="AL185" s="397">
        <f t="shared" si="133"/>
        <v>0</v>
      </c>
      <c r="AM185" s="397">
        <f t="shared" si="133"/>
        <v>0</v>
      </c>
      <c r="AN185" s="397">
        <f t="shared" si="133"/>
        <v>0</v>
      </c>
      <c r="AO185" s="397">
        <f t="shared" si="133"/>
        <v>0</v>
      </c>
      <c r="AP185" s="397">
        <f t="shared" si="133"/>
        <v>0</v>
      </c>
      <c r="AQ185" s="397">
        <f t="shared" si="133"/>
        <v>0</v>
      </c>
      <c r="AR185" s="397">
        <f t="shared" si="133"/>
        <v>1.1614394680776703</v>
      </c>
      <c r="AS185" s="397">
        <f t="shared" si="133"/>
        <v>1.1614394680776703</v>
      </c>
      <c r="AT185" s="397">
        <f t="shared" si="133"/>
        <v>1.1614394680776703</v>
      </c>
      <c r="AU185" s="397">
        <f t="shared" si="133"/>
        <v>1.1614394680776703</v>
      </c>
      <c r="AV185" s="397">
        <f t="shared" si="133"/>
        <v>1.1614394680776703</v>
      </c>
      <c r="AW185" s="397">
        <f t="shared" si="133"/>
        <v>1.1614394680776703</v>
      </c>
      <c r="AX185" s="397">
        <f t="shared" si="131"/>
        <v>1.1614394680776703</v>
      </c>
      <c r="AY185" s="397">
        <f t="shared" si="131"/>
        <v>1.1614394680776703</v>
      </c>
      <c r="AZ185" s="397">
        <f t="shared" si="131"/>
        <v>1.1614394680776703</v>
      </c>
      <c r="BA185" s="397">
        <f t="shared" si="131"/>
        <v>1.1614394680776703</v>
      </c>
    </row>
    <row r="186" spans="2:53">
      <c r="B186" s="398">
        <f t="shared" si="123"/>
        <v>2061</v>
      </c>
      <c r="C186" s="397">
        <f t="shared" si="134"/>
        <v>0</v>
      </c>
      <c r="D186" s="397">
        <f t="shared" si="134"/>
        <v>0</v>
      </c>
      <c r="E186" s="397">
        <f t="shared" si="134"/>
        <v>0</v>
      </c>
      <c r="F186" s="397">
        <f t="shared" si="134"/>
        <v>0</v>
      </c>
      <c r="G186" s="397">
        <f t="shared" si="134"/>
        <v>0</v>
      </c>
      <c r="H186" s="397">
        <f t="shared" si="134"/>
        <v>0</v>
      </c>
      <c r="I186" s="397">
        <f t="shared" si="134"/>
        <v>0</v>
      </c>
      <c r="J186" s="397">
        <f t="shared" si="134"/>
        <v>0</v>
      </c>
      <c r="K186" s="397">
        <f t="shared" si="134"/>
        <v>0</v>
      </c>
      <c r="L186" s="397">
        <f t="shared" si="134"/>
        <v>0</v>
      </c>
      <c r="M186" s="397">
        <f t="shared" si="134"/>
        <v>0</v>
      </c>
      <c r="N186" s="397">
        <f t="shared" si="134"/>
        <v>0</v>
      </c>
      <c r="O186" s="397">
        <f t="shared" si="134"/>
        <v>0</v>
      </c>
      <c r="P186" s="397">
        <f t="shared" si="134"/>
        <v>0</v>
      </c>
      <c r="Q186" s="397">
        <f t="shared" si="134"/>
        <v>0</v>
      </c>
      <c r="R186" s="397">
        <f t="shared" si="134"/>
        <v>0</v>
      </c>
      <c r="S186" s="397">
        <f t="shared" si="132"/>
        <v>0</v>
      </c>
      <c r="T186" s="397">
        <f t="shared" si="132"/>
        <v>0</v>
      </c>
      <c r="U186" s="397">
        <f t="shared" si="132"/>
        <v>0</v>
      </c>
      <c r="V186" s="397">
        <f t="shared" si="132"/>
        <v>0</v>
      </c>
      <c r="W186" s="397">
        <f t="shared" si="132"/>
        <v>0</v>
      </c>
      <c r="X186" s="397">
        <f t="shared" si="132"/>
        <v>0</v>
      </c>
      <c r="Y186" s="397">
        <f t="shared" si="132"/>
        <v>0</v>
      </c>
      <c r="Z186" s="397">
        <f t="shared" si="132"/>
        <v>0</v>
      </c>
      <c r="AA186" s="397">
        <f t="shared" si="132"/>
        <v>0</v>
      </c>
      <c r="AB186" s="397">
        <f t="shared" si="132"/>
        <v>0</v>
      </c>
      <c r="AC186" s="397">
        <f t="shared" si="132"/>
        <v>0</v>
      </c>
      <c r="AD186" s="397">
        <f t="shared" si="132"/>
        <v>0</v>
      </c>
      <c r="AE186" s="397">
        <f t="shared" si="132"/>
        <v>0</v>
      </c>
      <c r="AF186" s="397">
        <f t="shared" si="132"/>
        <v>0</v>
      </c>
      <c r="AG186" s="397">
        <f t="shared" si="132"/>
        <v>0</v>
      </c>
      <c r="AH186" s="397">
        <f t="shared" si="133"/>
        <v>0</v>
      </c>
      <c r="AI186" s="397">
        <f t="shared" si="133"/>
        <v>0</v>
      </c>
      <c r="AJ186" s="397">
        <f t="shared" si="133"/>
        <v>0</v>
      </c>
      <c r="AK186" s="397">
        <f t="shared" si="133"/>
        <v>0</v>
      </c>
      <c r="AL186" s="397">
        <f t="shared" si="133"/>
        <v>0</v>
      </c>
      <c r="AM186" s="397">
        <f t="shared" si="133"/>
        <v>0</v>
      </c>
      <c r="AN186" s="397">
        <f t="shared" si="133"/>
        <v>0</v>
      </c>
      <c r="AO186" s="397">
        <f t="shared" si="133"/>
        <v>0</v>
      </c>
      <c r="AP186" s="397">
        <f t="shared" si="133"/>
        <v>0</v>
      </c>
      <c r="AQ186" s="397">
        <f t="shared" si="133"/>
        <v>0</v>
      </c>
      <c r="AR186" s="397">
        <f t="shared" si="133"/>
        <v>0</v>
      </c>
      <c r="AS186" s="397">
        <f t="shared" si="133"/>
        <v>1.1670479176447019</v>
      </c>
      <c r="AT186" s="397">
        <f t="shared" si="133"/>
        <v>1.1670479176447019</v>
      </c>
      <c r="AU186" s="397">
        <f t="shared" si="133"/>
        <v>1.1670479176447019</v>
      </c>
      <c r="AV186" s="397">
        <f t="shared" si="133"/>
        <v>1.1670479176447019</v>
      </c>
      <c r="AW186" s="397">
        <f t="shared" si="133"/>
        <v>1.1670479176447019</v>
      </c>
      <c r="AX186" s="397">
        <f t="shared" si="131"/>
        <v>1.1670479176447019</v>
      </c>
      <c r="AY186" s="397">
        <f t="shared" si="131"/>
        <v>1.1670479176447019</v>
      </c>
      <c r="AZ186" s="397">
        <f t="shared" si="131"/>
        <v>1.1670479176447019</v>
      </c>
      <c r="BA186" s="397">
        <f t="shared" si="131"/>
        <v>1.1670479176447019</v>
      </c>
    </row>
    <row r="187" spans="2:53">
      <c r="B187" s="398">
        <f t="shared" si="123"/>
        <v>2062</v>
      </c>
      <c r="C187" s="397">
        <f t="shared" si="134"/>
        <v>0</v>
      </c>
      <c r="D187" s="397">
        <f t="shared" si="134"/>
        <v>0</v>
      </c>
      <c r="E187" s="397">
        <f t="shared" si="134"/>
        <v>0</v>
      </c>
      <c r="F187" s="397">
        <f t="shared" si="134"/>
        <v>0</v>
      </c>
      <c r="G187" s="397">
        <f t="shared" si="134"/>
        <v>0</v>
      </c>
      <c r="H187" s="397">
        <f t="shared" si="134"/>
        <v>0</v>
      </c>
      <c r="I187" s="397">
        <f t="shared" si="134"/>
        <v>0</v>
      </c>
      <c r="J187" s="397">
        <f t="shared" si="134"/>
        <v>0</v>
      </c>
      <c r="K187" s="397">
        <f t="shared" si="134"/>
        <v>0</v>
      </c>
      <c r="L187" s="397">
        <f t="shared" si="134"/>
        <v>0</v>
      </c>
      <c r="M187" s="397">
        <f t="shared" si="134"/>
        <v>0</v>
      </c>
      <c r="N187" s="397">
        <f t="shared" si="134"/>
        <v>0</v>
      </c>
      <c r="O187" s="397">
        <f t="shared" si="134"/>
        <v>0</v>
      </c>
      <c r="P187" s="397">
        <f t="shared" si="134"/>
        <v>0</v>
      </c>
      <c r="Q187" s="397">
        <f t="shared" si="134"/>
        <v>0</v>
      </c>
      <c r="R187" s="397">
        <f t="shared" si="134"/>
        <v>0</v>
      </c>
      <c r="S187" s="397">
        <f t="shared" si="132"/>
        <v>0</v>
      </c>
      <c r="T187" s="397">
        <f t="shared" si="132"/>
        <v>0</v>
      </c>
      <c r="U187" s="397">
        <f t="shared" si="132"/>
        <v>0</v>
      </c>
      <c r="V187" s="397">
        <f t="shared" si="132"/>
        <v>0</v>
      </c>
      <c r="W187" s="397">
        <f t="shared" si="132"/>
        <v>0</v>
      </c>
      <c r="X187" s="397">
        <f t="shared" si="132"/>
        <v>0</v>
      </c>
      <c r="Y187" s="397">
        <f t="shared" si="132"/>
        <v>0</v>
      </c>
      <c r="Z187" s="397">
        <f t="shared" si="132"/>
        <v>0</v>
      </c>
      <c r="AA187" s="397">
        <f t="shared" si="132"/>
        <v>0</v>
      </c>
      <c r="AB187" s="397">
        <f t="shared" si="132"/>
        <v>0</v>
      </c>
      <c r="AC187" s="397">
        <f t="shared" si="132"/>
        <v>0</v>
      </c>
      <c r="AD187" s="397">
        <f t="shared" si="132"/>
        <v>0</v>
      </c>
      <c r="AE187" s="397">
        <f t="shared" si="132"/>
        <v>0</v>
      </c>
      <c r="AF187" s="397">
        <f t="shared" si="132"/>
        <v>0</v>
      </c>
      <c r="AG187" s="397">
        <f t="shared" si="132"/>
        <v>0</v>
      </c>
      <c r="AH187" s="397">
        <f t="shared" si="133"/>
        <v>0</v>
      </c>
      <c r="AI187" s="397">
        <f t="shared" si="133"/>
        <v>0</v>
      </c>
      <c r="AJ187" s="397">
        <f t="shared" si="133"/>
        <v>0</v>
      </c>
      <c r="AK187" s="397">
        <f t="shared" si="133"/>
        <v>0</v>
      </c>
      <c r="AL187" s="397">
        <f t="shared" si="133"/>
        <v>0</v>
      </c>
      <c r="AM187" s="397">
        <f t="shared" si="133"/>
        <v>0</v>
      </c>
      <c r="AN187" s="397">
        <f t="shared" si="133"/>
        <v>0</v>
      </c>
      <c r="AO187" s="397">
        <f t="shared" si="133"/>
        <v>0</v>
      </c>
      <c r="AP187" s="397">
        <f t="shared" si="133"/>
        <v>0</v>
      </c>
      <c r="AQ187" s="397">
        <f t="shared" si="133"/>
        <v>0</v>
      </c>
      <c r="AR187" s="397">
        <f t="shared" si="133"/>
        <v>0</v>
      </c>
      <c r="AS187" s="397">
        <f t="shared" si="133"/>
        <v>0</v>
      </c>
      <c r="AT187" s="397">
        <f t="shared" si="133"/>
        <v>1.1714197040822032</v>
      </c>
      <c r="AU187" s="397">
        <f t="shared" si="133"/>
        <v>1.1714197040822032</v>
      </c>
      <c r="AV187" s="397">
        <f t="shared" si="133"/>
        <v>1.1714197040822032</v>
      </c>
      <c r="AW187" s="397">
        <f t="shared" si="133"/>
        <v>1.1714197040822032</v>
      </c>
      <c r="AX187" s="397">
        <f t="shared" si="131"/>
        <v>1.1714197040822032</v>
      </c>
      <c r="AY187" s="397">
        <f t="shared" si="131"/>
        <v>1.1714197040822032</v>
      </c>
      <c r="AZ187" s="397">
        <f t="shared" si="131"/>
        <v>1.1714197040822032</v>
      </c>
      <c r="BA187" s="397">
        <f t="shared" si="131"/>
        <v>1.1714197040822032</v>
      </c>
    </row>
    <row r="188" spans="2:53">
      <c r="B188" s="398">
        <f t="shared" si="123"/>
        <v>2063</v>
      </c>
      <c r="C188" s="397">
        <f t="shared" si="134"/>
        <v>0</v>
      </c>
      <c r="D188" s="397">
        <f t="shared" si="134"/>
        <v>0</v>
      </c>
      <c r="E188" s="397">
        <f t="shared" si="134"/>
        <v>0</v>
      </c>
      <c r="F188" s="397">
        <f t="shared" si="134"/>
        <v>0</v>
      </c>
      <c r="G188" s="397">
        <f t="shared" si="134"/>
        <v>0</v>
      </c>
      <c r="H188" s="397">
        <f t="shared" si="134"/>
        <v>0</v>
      </c>
      <c r="I188" s="397">
        <f t="shared" si="134"/>
        <v>0</v>
      </c>
      <c r="J188" s="397">
        <f t="shared" si="134"/>
        <v>0</v>
      </c>
      <c r="K188" s="397">
        <f t="shared" si="134"/>
        <v>0</v>
      </c>
      <c r="L188" s="397">
        <f t="shared" si="134"/>
        <v>0</v>
      </c>
      <c r="M188" s="397">
        <f t="shared" si="134"/>
        <v>0</v>
      </c>
      <c r="N188" s="397">
        <f t="shared" si="134"/>
        <v>0</v>
      </c>
      <c r="O188" s="397">
        <f t="shared" si="134"/>
        <v>0</v>
      </c>
      <c r="P188" s="397">
        <f t="shared" si="134"/>
        <v>0</v>
      </c>
      <c r="Q188" s="397">
        <f t="shared" si="134"/>
        <v>0</v>
      </c>
      <c r="R188" s="397">
        <f t="shared" si="134"/>
        <v>0</v>
      </c>
      <c r="S188" s="397">
        <f t="shared" si="132"/>
        <v>0</v>
      </c>
      <c r="T188" s="397">
        <f t="shared" si="132"/>
        <v>0</v>
      </c>
      <c r="U188" s="397">
        <f t="shared" si="132"/>
        <v>0</v>
      </c>
      <c r="V188" s="397">
        <f t="shared" si="132"/>
        <v>0</v>
      </c>
      <c r="W188" s="397">
        <f t="shared" si="132"/>
        <v>0</v>
      </c>
      <c r="X188" s="397">
        <f t="shared" si="132"/>
        <v>0</v>
      </c>
      <c r="Y188" s="397">
        <f t="shared" si="132"/>
        <v>0</v>
      </c>
      <c r="Z188" s="397">
        <f t="shared" si="132"/>
        <v>0</v>
      </c>
      <c r="AA188" s="397">
        <f t="shared" si="132"/>
        <v>0</v>
      </c>
      <c r="AB188" s="397">
        <f t="shared" si="132"/>
        <v>0</v>
      </c>
      <c r="AC188" s="397">
        <f t="shared" si="132"/>
        <v>0</v>
      </c>
      <c r="AD188" s="397">
        <f t="shared" si="132"/>
        <v>0</v>
      </c>
      <c r="AE188" s="397">
        <f t="shared" si="132"/>
        <v>0</v>
      </c>
      <c r="AF188" s="397">
        <f t="shared" si="132"/>
        <v>0</v>
      </c>
      <c r="AG188" s="397">
        <f t="shared" si="132"/>
        <v>0</v>
      </c>
      <c r="AH188" s="397">
        <f t="shared" si="133"/>
        <v>0</v>
      </c>
      <c r="AI188" s="397">
        <f t="shared" si="133"/>
        <v>0</v>
      </c>
      <c r="AJ188" s="397">
        <f t="shared" si="133"/>
        <v>0</v>
      </c>
      <c r="AK188" s="397">
        <f t="shared" si="133"/>
        <v>0</v>
      </c>
      <c r="AL188" s="397">
        <f t="shared" si="133"/>
        <v>0</v>
      </c>
      <c r="AM188" s="397">
        <f t="shared" si="133"/>
        <v>0</v>
      </c>
      <c r="AN188" s="397">
        <f t="shared" si="133"/>
        <v>0</v>
      </c>
      <c r="AO188" s="397">
        <f t="shared" si="133"/>
        <v>0</v>
      </c>
      <c r="AP188" s="397">
        <f t="shared" si="133"/>
        <v>0</v>
      </c>
      <c r="AQ188" s="397">
        <f t="shared" si="133"/>
        <v>0</v>
      </c>
      <c r="AR188" s="397">
        <f t="shared" si="133"/>
        <v>0</v>
      </c>
      <c r="AS188" s="397">
        <f t="shared" si="133"/>
        <v>0</v>
      </c>
      <c r="AT188" s="397">
        <f t="shared" si="133"/>
        <v>0</v>
      </c>
      <c r="AU188" s="397">
        <f t="shared" si="133"/>
        <v>1.1748275116102351</v>
      </c>
      <c r="AV188" s="397">
        <f t="shared" si="133"/>
        <v>1.1748275116102351</v>
      </c>
      <c r="AW188" s="397">
        <f t="shared" si="133"/>
        <v>1.1748275116102351</v>
      </c>
      <c r="AX188" s="397">
        <f t="shared" si="131"/>
        <v>1.1748275116102351</v>
      </c>
      <c r="AY188" s="397">
        <f t="shared" si="131"/>
        <v>1.1748275116102351</v>
      </c>
      <c r="AZ188" s="397">
        <f t="shared" si="131"/>
        <v>1.1748275116102351</v>
      </c>
      <c r="BA188" s="397">
        <f t="shared" si="131"/>
        <v>1.1748275116102351</v>
      </c>
    </row>
    <row r="189" spans="2:53">
      <c r="B189" s="398">
        <f t="shared" si="123"/>
        <v>2064</v>
      </c>
      <c r="C189" s="397">
        <f t="shared" si="134"/>
        <v>0</v>
      </c>
      <c r="D189" s="397">
        <f t="shared" si="134"/>
        <v>0</v>
      </c>
      <c r="E189" s="397">
        <f t="shared" si="134"/>
        <v>0</v>
      </c>
      <c r="F189" s="397">
        <f t="shared" si="134"/>
        <v>0</v>
      </c>
      <c r="G189" s="397">
        <f t="shared" si="134"/>
        <v>0</v>
      </c>
      <c r="H189" s="397">
        <f t="shared" si="134"/>
        <v>0</v>
      </c>
      <c r="I189" s="397">
        <f t="shared" si="134"/>
        <v>0</v>
      </c>
      <c r="J189" s="397">
        <f t="shared" si="134"/>
        <v>0</v>
      </c>
      <c r="K189" s="397">
        <f t="shared" si="134"/>
        <v>0</v>
      </c>
      <c r="L189" s="397">
        <f t="shared" si="134"/>
        <v>0</v>
      </c>
      <c r="M189" s="397">
        <f t="shared" si="134"/>
        <v>0</v>
      </c>
      <c r="N189" s="397">
        <f t="shared" si="134"/>
        <v>0</v>
      </c>
      <c r="O189" s="397">
        <f t="shared" si="134"/>
        <v>0</v>
      </c>
      <c r="P189" s="397">
        <f t="shared" si="134"/>
        <v>0</v>
      </c>
      <c r="Q189" s="397">
        <f t="shared" si="134"/>
        <v>0</v>
      </c>
      <c r="R189" s="397">
        <f t="shared" si="134"/>
        <v>0</v>
      </c>
      <c r="S189" s="397">
        <f t="shared" si="132"/>
        <v>0</v>
      </c>
      <c r="T189" s="397">
        <f t="shared" si="132"/>
        <v>0</v>
      </c>
      <c r="U189" s="397">
        <f t="shared" si="132"/>
        <v>0</v>
      </c>
      <c r="V189" s="397">
        <f t="shared" si="132"/>
        <v>0</v>
      </c>
      <c r="W189" s="397">
        <f t="shared" si="132"/>
        <v>0</v>
      </c>
      <c r="X189" s="397">
        <f t="shared" si="132"/>
        <v>0</v>
      </c>
      <c r="Y189" s="397">
        <f t="shared" si="132"/>
        <v>0</v>
      </c>
      <c r="Z189" s="397">
        <f t="shared" si="132"/>
        <v>0</v>
      </c>
      <c r="AA189" s="397">
        <f t="shared" si="132"/>
        <v>0</v>
      </c>
      <c r="AB189" s="397">
        <f t="shared" si="132"/>
        <v>0</v>
      </c>
      <c r="AC189" s="397">
        <f t="shared" si="132"/>
        <v>0</v>
      </c>
      <c r="AD189" s="397">
        <f t="shared" si="132"/>
        <v>0</v>
      </c>
      <c r="AE189" s="397">
        <f t="shared" si="132"/>
        <v>0</v>
      </c>
      <c r="AF189" s="397">
        <f t="shared" si="132"/>
        <v>0</v>
      </c>
      <c r="AG189" s="397">
        <f t="shared" si="132"/>
        <v>0</v>
      </c>
      <c r="AH189" s="397">
        <f t="shared" si="133"/>
        <v>0</v>
      </c>
      <c r="AI189" s="397">
        <f t="shared" si="133"/>
        <v>0</v>
      </c>
      <c r="AJ189" s="397">
        <f t="shared" si="133"/>
        <v>0</v>
      </c>
      <c r="AK189" s="397">
        <f t="shared" si="133"/>
        <v>0</v>
      </c>
      <c r="AL189" s="397">
        <f t="shared" si="133"/>
        <v>0</v>
      </c>
      <c r="AM189" s="397">
        <f t="shared" si="133"/>
        <v>0</v>
      </c>
      <c r="AN189" s="397">
        <f t="shared" si="133"/>
        <v>0</v>
      </c>
      <c r="AO189" s="397">
        <f t="shared" si="133"/>
        <v>0</v>
      </c>
      <c r="AP189" s="397">
        <f t="shared" si="133"/>
        <v>0</v>
      </c>
      <c r="AQ189" s="397">
        <f t="shared" si="133"/>
        <v>0</v>
      </c>
      <c r="AR189" s="397">
        <f t="shared" si="133"/>
        <v>0</v>
      </c>
      <c r="AS189" s="397">
        <f t="shared" si="133"/>
        <v>0</v>
      </c>
      <c r="AT189" s="397">
        <f t="shared" si="133"/>
        <v>0</v>
      </c>
      <c r="AU189" s="397">
        <f t="shared" si="133"/>
        <v>0</v>
      </c>
      <c r="AV189" s="397">
        <f t="shared" si="133"/>
        <v>1.1774838975783364</v>
      </c>
      <c r="AW189" s="397">
        <f t="shared" si="133"/>
        <v>1.1774838975783364</v>
      </c>
      <c r="AX189" s="397">
        <f t="shared" si="131"/>
        <v>1.1774838975783364</v>
      </c>
      <c r="AY189" s="397">
        <f t="shared" si="131"/>
        <v>1.1774838975783364</v>
      </c>
      <c r="AZ189" s="397">
        <f t="shared" si="131"/>
        <v>1.1774838975783364</v>
      </c>
      <c r="BA189" s="397">
        <f t="shared" si="131"/>
        <v>1.1774838975783364</v>
      </c>
    </row>
    <row r="190" spans="2:53">
      <c r="B190" s="398">
        <f t="shared" si="123"/>
        <v>2065</v>
      </c>
      <c r="C190" s="397">
        <f t="shared" si="134"/>
        <v>0</v>
      </c>
      <c r="D190" s="397">
        <f t="shared" si="134"/>
        <v>0</v>
      </c>
      <c r="E190" s="397">
        <f t="shared" si="134"/>
        <v>0</v>
      </c>
      <c r="F190" s="397">
        <f t="shared" si="134"/>
        <v>0</v>
      </c>
      <c r="G190" s="397">
        <f t="shared" si="134"/>
        <v>0</v>
      </c>
      <c r="H190" s="397">
        <f t="shared" si="134"/>
        <v>0</v>
      </c>
      <c r="I190" s="397">
        <f t="shared" si="134"/>
        <v>0</v>
      </c>
      <c r="J190" s="397">
        <f t="shared" si="134"/>
        <v>0</v>
      </c>
      <c r="K190" s="397">
        <f t="shared" si="134"/>
        <v>0</v>
      </c>
      <c r="L190" s="397">
        <f t="shared" si="134"/>
        <v>0</v>
      </c>
      <c r="M190" s="397">
        <f t="shared" si="134"/>
        <v>0</v>
      </c>
      <c r="N190" s="397">
        <f t="shared" si="134"/>
        <v>0</v>
      </c>
      <c r="O190" s="397">
        <f t="shared" si="134"/>
        <v>0</v>
      </c>
      <c r="P190" s="397">
        <f t="shared" si="134"/>
        <v>0</v>
      </c>
      <c r="Q190" s="397">
        <f t="shared" si="134"/>
        <v>0</v>
      </c>
      <c r="R190" s="397">
        <f t="shared" si="134"/>
        <v>0</v>
      </c>
      <c r="S190" s="397">
        <f t="shared" si="132"/>
        <v>0</v>
      </c>
      <c r="T190" s="397">
        <f t="shared" si="132"/>
        <v>0</v>
      </c>
      <c r="U190" s="397">
        <f t="shared" si="132"/>
        <v>0</v>
      </c>
      <c r="V190" s="397">
        <f t="shared" si="132"/>
        <v>0</v>
      </c>
      <c r="W190" s="397">
        <f t="shared" si="132"/>
        <v>0</v>
      </c>
      <c r="X190" s="397">
        <f t="shared" si="132"/>
        <v>0</v>
      </c>
      <c r="Y190" s="397">
        <f t="shared" si="132"/>
        <v>0</v>
      </c>
      <c r="Z190" s="397">
        <f t="shared" si="132"/>
        <v>0</v>
      </c>
      <c r="AA190" s="397">
        <f t="shared" si="132"/>
        <v>0</v>
      </c>
      <c r="AB190" s="397">
        <f t="shared" si="132"/>
        <v>0</v>
      </c>
      <c r="AC190" s="397">
        <f t="shared" si="132"/>
        <v>0</v>
      </c>
      <c r="AD190" s="397">
        <f t="shared" si="132"/>
        <v>0</v>
      </c>
      <c r="AE190" s="397">
        <f t="shared" si="132"/>
        <v>0</v>
      </c>
      <c r="AF190" s="397">
        <f t="shared" si="132"/>
        <v>0</v>
      </c>
      <c r="AG190" s="397">
        <f t="shared" si="132"/>
        <v>0</v>
      </c>
      <c r="AH190" s="397">
        <f t="shared" si="133"/>
        <v>0</v>
      </c>
      <c r="AI190" s="397">
        <f t="shared" si="133"/>
        <v>0</v>
      </c>
      <c r="AJ190" s="397">
        <f t="shared" si="133"/>
        <v>0</v>
      </c>
      <c r="AK190" s="397">
        <f t="shared" si="133"/>
        <v>0</v>
      </c>
      <c r="AL190" s="397">
        <f t="shared" si="133"/>
        <v>0</v>
      </c>
      <c r="AM190" s="397">
        <f t="shared" si="133"/>
        <v>0</v>
      </c>
      <c r="AN190" s="397">
        <f t="shared" si="133"/>
        <v>0</v>
      </c>
      <c r="AO190" s="397">
        <f t="shared" si="133"/>
        <v>0</v>
      </c>
      <c r="AP190" s="397">
        <f t="shared" si="133"/>
        <v>0</v>
      </c>
      <c r="AQ190" s="397">
        <f t="shared" si="133"/>
        <v>0</v>
      </c>
      <c r="AR190" s="397">
        <f t="shared" si="133"/>
        <v>0</v>
      </c>
      <c r="AS190" s="397">
        <f t="shared" si="133"/>
        <v>0</v>
      </c>
      <c r="AT190" s="397">
        <f t="shared" si="133"/>
        <v>0</v>
      </c>
      <c r="AU190" s="397">
        <f t="shared" si="133"/>
        <v>0</v>
      </c>
      <c r="AV190" s="397">
        <f t="shared" si="133"/>
        <v>0</v>
      </c>
      <c r="AW190" s="397">
        <f t="shared" si="133"/>
        <v>1.1795545504404712</v>
      </c>
      <c r="AX190" s="397">
        <f t="shared" si="131"/>
        <v>1.1795545504404712</v>
      </c>
      <c r="AY190" s="397">
        <f t="shared" si="131"/>
        <v>1.1795545504404712</v>
      </c>
      <c r="AZ190" s="397">
        <f t="shared" si="131"/>
        <v>1.1795545504404712</v>
      </c>
      <c r="BA190" s="397">
        <f t="shared" si="131"/>
        <v>1.1795545504404712</v>
      </c>
    </row>
    <row r="191" spans="2:53">
      <c r="B191" s="398">
        <f t="shared" si="123"/>
        <v>2066</v>
      </c>
      <c r="C191" s="397">
        <f t="shared" si="134"/>
        <v>0</v>
      </c>
      <c r="D191" s="397">
        <f t="shared" si="134"/>
        <v>0</v>
      </c>
      <c r="E191" s="397">
        <f t="shared" si="134"/>
        <v>0</v>
      </c>
      <c r="F191" s="397">
        <f t="shared" si="134"/>
        <v>0</v>
      </c>
      <c r="G191" s="397">
        <f t="shared" si="134"/>
        <v>0</v>
      </c>
      <c r="H191" s="397">
        <f t="shared" si="134"/>
        <v>0</v>
      </c>
      <c r="I191" s="397">
        <f t="shared" si="134"/>
        <v>0</v>
      </c>
      <c r="J191" s="397">
        <f t="shared" si="134"/>
        <v>0</v>
      </c>
      <c r="K191" s="397">
        <f t="shared" si="134"/>
        <v>0</v>
      </c>
      <c r="L191" s="397">
        <f t="shared" si="134"/>
        <v>0</v>
      </c>
      <c r="M191" s="397">
        <f t="shared" si="134"/>
        <v>0</v>
      </c>
      <c r="N191" s="397">
        <f t="shared" si="134"/>
        <v>0</v>
      </c>
      <c r="O191" s="397">
        <f t="shared" si="134"/>
        <v>0</v>
      </c>
      <c r="P191" s="397">
        <f t="shared" si="134"/>
        <v>0</v>
      </c>
      <c r="Q191" s="397">
        <f t="shared" si="134"/>
        <v>0</v>
      </c>
      <c r="R191" s="397">
        <f t="shared" si="134"/>
        <v>0</v>
      </c>
      <c r="S191" s="397">
        <f t="shared" si="132"/>
        <v>0</v>
      </c>
      <c r="T191" s="397">
        <f t="shared" si="132"/>
        <v>0</v>
      </c>
      <c r="U191" s="397">
        <f t="shared" si="132"/>
        <v>0</v>
      </c>
      <c r="V191" s="397">
        <f t="shared" si="132"/>
        <v>0</v>
      </c>
      <c r="W191" s="397">
        <f t="shared" si="132"/>
        <v>0</v>
      </c>
      <c r="X191" s="397">
        <f t="shared" si="132"/>
        <v>0</v>
      </c>
      <c r="Y191" s="397">
        <f t="shared" si="132"/>
        <v>0</v>
      </c>
      <c r="Z191" s="397">
        <f t="shared" si="132"/>
        <v>0</v>
      </c>
      <c r="AA191" s="397">
        <f t="shared" si="132"/>
        <v>0</v>
      </c>
      <c r="AB191" s="397">
        <f t="shared" si="132"/>
        <v>0</v>
      </c>
      <c r="AC191" s="397">
        <f t="shared" si="132"/>
        <v>0</v>
      </c>
      <c r="AD191" s="397">
        <f t="shared" si="132"/>
        <v>0</v>
      </c>
      <c r="AE191" s="397">
        <f t="shared" si="132"/>
        <v>0</v>
      </c>
      <c r="AF191" s="397">
        <f t="shared" si="132"/>
        <v>0</v>
      </c>
      <c r="AG191" s="397">
        <f t="shared" si="132"/>
        <v>0</v>
      </c>
      <c r="AH191" s="397">
        <f t="shared" si="133"/>
        <v>0</v>
      </c>
      <c r="AI191" s="397">
        <f t="shared" si="133"/>
        <v>0</v>
      </c>
      <c r="AJ191" s="397">
        <f t="shared" si="133"/>
        <v>0</v>
      </c>
      <c r="AK191" s="397">
        <f t="shared" si="133"/>
        <v>0</v>
      </c>
      <c r="AL191" s="397">
        <f t="shared" si="133"/>
        <v>0</v>
      </c>
      <c r="AM191" s="397">
        <f t="shared" si="133"/>
        <v>0</v>
      </c>
      <c r="AN191" s="397">
        <f t="shared" si="133"/>
        <v>0</v>
      </c>
      <c r="AO191" s="397">
        <f t="shared" si="133"/>
        <v>0</v>
      </c>
      <c r="AP191" s="397">
        <f t="shared" si="133"/>
        <v>0</v>
      </c>
      <c r="AQ191" s="397">
        <f t="shared" si="133"/>
        <v>0</v>
      </c>
      <c r="AR191" s="397">
        <f t="shared" si="133"/>
        <v>0</v>
      </c>
      <c r="AS191" s="397">
        <f t="shared" si="133"/>
        <v>0</v>
      </c>
      <c r="AT191" s="397">
        <f t="shared" si="133"/>
        <v>0</v>
      </c>
      <c r="AU191" s="397">
        <f t="shared" si="133"/>
        <v>0</v>
      </c>
      <c r="AV191" s="397">
        <f t="shared" si="133"/>
        <v>0</v>
      </c>
      <c r="AW191" s="397">
        <f t="shared" si="133"/>
        <v>0</v>
      </c>
      <c r="AX191" s="397">
        <f t="shared" si="131"/>
        <v>1.1811686243465054</v>
      </c>
      <c r="AY191" s="397">
        <f t="shared" si="131"/>
        <v>1.1811686243465054</v>
      </c>
      <c r="AZ191" s="397">
        <f t="shared" si="131"/>
        <v>1.1811686243465054</v>
      </c>
      <c r="BA191" s="397">
        <f t="shared" si="131"/>
        <v>1.1811686243465054</v>
      </c>
    </row>
    <row r="192" spans="2:53">
      <c r="B192" s="398">
        <f t="shared" si="123"/>
        <v>2067</v>
      </c>
      <c r="C192" s="397">
        <f t="shared" si="134"/>
        <v>0</v>
      </c>
      <c r="D192" s="397">
        <f t="shared" si="134"/>
        <v>0</v>
      </c>
      <c r="E192" s="397">
        <f t="shared" si="134"/>
        <v>0</v>
      </c>
      <c r="F192" s="397">
        <f t="shared" si="134"/>
        <v>0</v>
      </c>
      <c r="G192" s="397">
        <f t="shared" si="134"/>
        <v>0</v>
      </c>
      <c r="H192" s="397">
        <f t="shared" si="134"/>
        <v>0</v>
      </c>
      <c r="I192" s="397">
        <f t="shared" si="134"/>
        <v>0</v>
      </c>
      <c r="J192" s="397">
        <f t="shared" si="134"/>
        <v>0</v>
      </c>
      <c r="K192" s="397">
        <f t="shared" si="134"/>
        <v>0</v>
      </c>
      <c r="L192" s="397">
        <f t="shared" si="134"/>
        <v>0</v>
      </c>
      <c r="M192" s="397">
        <f t="shared" si="134"/>
        <v>0</v>
      </c>
      <c r="N192" s="397">
        <f t="shared" si="134"/>
        <v>0</v>
      </c>
      <c r="O192" s="397">
        <f t="shared" si="134"/>
        <v>0</v>
      </c>
      <c r="P192" s="397">
        <f t="shared" si="134"/>
        <v>0</v>
      </c>
      <c r="Q192" s="397">
        <f t="shared" si="134"/>
        <v>0</v>
      </c>
      <c r="R192" s="397">
        <f t="shared" si="134"/>
        <v>0</v>
      </c>
      <c r="S192" s="397">
        <f t="shared" si="132"/>
        <v>0</v>
      </c>
      <c r="T192" s="397">
        <f t="shared" si="132"/>
        <v>0</v>
      </c>
      <c r="U192" s="397">
        <f t="shared" si="132"/>
        <v>0</v>
      </c>
      <c r="V192" s="397">
        <f t="shared" si="132"/>
        <v>0</v>
      </c>
      <c r="W192" s="397">
        <f t="shared" si="132"/>
        <v>0</v>
      </c>
      <c r="X192" s="397">
        <f t="shared" si="132"/>
        <v>0</v>
      </c>
      <c r="Y192" s="397">
        <f t="shared" si="132"/>
        <v>0</v>
      </c>
      <c r="Z192" s="397">
        <f t="shared" si="132"/>
        <v>0</v>
      </c>
      <c r="AA192" s="397">
        <f t="shared" si="132"/>
        <v>0</v>
      </c>
      <c r="AB192" s="397">
        <f t="shared" si="132"/>
        <v>0</v>
      </c>
      <c r="AC192" s="397">
        <f t="shared" si="132"/>
        <v>0</v>
      </c>
      <c r="AD192" s="397">
        <f t="shared" si="132"/>
        <v>0</v>
      </c>
      <c r="AE192" s="397">
        <f t="shared" si="132"/>
        <v>0</v>
      </c>
      <c r="AF192" s="397">
        <f t="shared" si="132"/>
        <v>0</v>
      </c>
      <c r="AG192" s="397">
        <f t="shared" si="132"/>
        <v>0</v>
      </c>
      <c r="AH192" s="397">
        <f t="shared" si="133"/>
        <v>0</v>
      </c>
      <c r="AI192" s="397">
        <f t="shared" si="133"/>
        <v>0</v>
      </c>
      <c r="AJ192" s="397">
        <f t="shared" si="133"/>
        <v>0</v>
      </c>
      <c r="AK192" s="397">
        <f t="shared" si="133"/>
        <v>0</v>
      </c>
      <c r="AL192" s="397">
        <f t="shared" si="133"/>
        <v>0</v>
      </c>
      <c r="AM192" s="397">
        <f t="shared" si="133"/>
        <v>0</v>
      </c>
      <c r="AN192" s="397">
        <f t="shared" si="133"/>
        <v>0</v>
      </c>
      <c r="AO192" s="397">
        <f t="shared" si="133"/>
        <v>0</v>
      </c>
      <c r="AP192" s="397">
        <f t="shared" si="133"/>
        <v>0</v>
      </c>
      <c r="AQ192" s="397">
        <f t="shared" si="133"/>
        <v>0</v>
      </c>
      <c r="AR192" s="397">
        <f t="shared" si="133"/>
        <v>0</v>
      </c>
      <c r="AS192" s="397">
        <f t="shared" si="133"/>
        <v>0</v>
      </c>
      <c r="AT192" s="397">
        <f t="shared" si="133"/>
        <v>0</v>
      </c>
      <c r="AU192" s="397">
        <f t="shared" si="133"/>
        <v>0</v>
      </c>
      <c r="AV192" s="397">
        <f t="shared" si="133"/>
        <v>0</v>
      </c>
      <c r="AW192" s="397">
        <f t="shared" si="133"/>
        <v>0</v>
      </c>
      <c r="AX192" s="397">
        <f t="shared" si="131"/>
        <v>0</v>
      </c>
      <c r="AY192" s="397">
        <f t="shared" si="131"/>
        <v>1.1824267949562586</v>
      </c>
      <c r="AZ192" s="397">
        <f t="shared" si="131"/>
        <v>1.1824267949562586</v>
      </c>
      <c r="BA192" s="397">
        <f t="shared" si="131"/>
        <v>1.1824267949562586</v>
      </c>
    </row>
    <row r="193" spans="2:53">
      <c r="B193" s="398">
        <f t="shared" si="123"/>
        <v>2068</v>
      </c>
      <c r="C193" s="397">
        <f t="shared" si="134"/>
        <v>0</v>
      </c>
      <c r="D193" s="397">
        <f t="shared" si="134"/>
        <v>0</v>
      </c>
      <c r="E193" s="397">
        <f t="shared" si="134"/>
        <v>0</v>
      </c>
      <c r="F193" s="397">
        <f t="shared" si="134"/>
        <v>0</v>
      </c>
      <c r="G193" s="397">
        <f t="shared" si="134"/>
        <v>0</v>
      </c>
      <c r="H193" s="397">
        <f t="shared" si="134"/>
        <v>0</v>
      </c>
      <c r="I193" s="397">
        <f t="shared" si="134"/>
        <v>0</v>
      </c>
      <c r="J193" s="397">
        <f t="shared" si="134"/>
        <v>0</v>
      </c>
      <c r="K193" s="397">
        <f t="shared" si="134"/>
        <v>0</v>
      </c>
      <c r="L193" s="397">
        <f t="shared" si="134"/>
        <v>0</v>
      </c>
      <c r="M193" s="397">
        <f t="shared" si="134"/>
        <v>0</v>
      </c>
      <c r="N193" s="397">
        <f t="shared" si="134"/>
        <v>0</v>
      </c>
      <c r="O193" s="397">
        <f t="shared" si="134"/>
        <v>0</v>
      </c>
      <c r="P193" s="397">
        <f t="shared" si="134"/>
        <v>0</v>
      </c>
      <c r="Q193" s="397">
        <f t="shared" si="134"/>
        <v>0</v>
      </c>
      <c r="R193" s="397">
        <f t="shared" si="134"/>
        <v>0</v>
      </c>
      <c r="S193" s="397">
        <f t="shared" si="132"/>
        <v>0</v>
      </c>
      <c r="T193" s="397">
        <f t="shared" si="132"/>
        <v>0</v>
      </c>
      <c r="U193" s="397">
        <f t="shared" si="132"/>
        <v>0</v>
      </c>
      <c r="V193" s="397">
        <f t="shared" si="132"/>
        <v>0</v>
      </c>
      <c r="W193" s="397">
        <f t="shared" si="132"/>
        <v>0</v>
      </c>
      <c r="X193" s="397">
        <f t="shared" si="132"/>
        <v>0</v>
      </c>
      <c r="Y193" s="397">
        <f t="shared" si="132"/>
        <v>0</v>
      </c>
      <c r="Z193" s="397">
        <f t="shared" si="132"/>
        <v>0</v>
      </c>
      <c r="AA193" s="397">
        <f t="shared" si="132"/>
        <v>0</v>
      </c>
      <c r="AB193" s="397">
        <f t="shared" si="132"/>
        <v>0</v>
      </c>
      <c r="AC193" s="397">
        <f t="shared" si="132"/>
        <v>0</v>
      </c>
      <c r="AD193" s="397">
        <f t="shared" si="132"/>
        <v>0</v>
      </c>
      <c r="AE193" s="397">
        <f t="shared" si="132"/>
        <v>0</v>
      </c>
      <c r="AF193" s="397">
        <f t="shared" si="132"/>
        <v>0</v>
      </c>
      <c r="AG193" s="397">
        <f t="shared" si="132"/>
        <v>0</v>
      </c>
      <c r="AH193" s="397">
        <f t="shared" si="133"/>
        <v>0</v>
      </c>
      <c r="AI193" s="397">
        <f t="shared" si="133"/>
        <v>0</v>
      </c>
      <c r="AJ193" s="397">
        <f t="shared" si="133"/>
        <v>0</v>
      </c>
      <c r="AK193" s="397">
        <f t="shared" si="133"/>
        <v>0</v>
      </c>
      <c r="AL193" s="397">
        <f t="shared" si="133"/>
        <v>0</v>
      </c>
      <c r="AM193" s="397">
        <f t="shared" si="133"/>
        <v>0</v>
      </c>
      <c r="AN193" s="397">
        <f t="shared" si="133"/>
        <v>0</v>
      </c>
      <c r="AO193" s="397">
        <f t="shared" si="133"/>
        <v>0</v>
      </c>
      <c r="AP193" s="397">
        <f t="shared" si="133"/>
        <v>0</v>
      </c>
      <c r="AQ193" s="397">
        <f t="shared" si="133"/>
        <v>0</v>
      </c>
      <c r="AR193" s="397">
        <f t="shared" si="133"/>
        <v>0</v>
      </c>
      <c r="AS193" s="397">
        <f t="shared" si="133"/>
        <v>0</v>
      </c>
      <c r="AT193" s="397">
        <f t="shared" si="133"/>
        <v>0</v>
      </c>
      <c r="AU193" s="397">
        <f t="shared" si="133"/>
        <v>0</v>
      </c>
      <c r="AV193" s="397">
        <f t="shared" si="133"/>
        <v>0</v>
      </c>
      <c r="AW193" s="397">
        <f t="shared" si="133"/>
        <v>0</v>
      </c>
      <c r="AX193" s="397">
        <f t="shared" si="131"/>
        <v>0</v>
      </c>
      <c r="AY193" s="397">
        <f t="shared" si="131"/>
        <v>0</v>
      </c>
      <c r="AZ193" s="397">
        <f t="shared" si="131"/>
        <v>1.1834075389465617</v>
      </c>
      <c r="BA193" s="397">
        <f t="shared" si="131"/>
        <v>1.1834075389465617</v>
      </c>
    </row>
    <row r="194" spans="2:53">
      <c r="B194" s="398">
        <f t="shared" si="123"/>
        <v>2069</v>
      </c>
      <c r="C194" s="397">
        <f t="shared" si="134"/>
        <v>0</v>
      </c>
      <c r="D194" s="397">
        <f t="shared" si="134"/>
        <v>0</v>
      </c>
      <c r="E194" s="397">
        <f t="shared" si="134"/>
        <v>0</v>
      </c>
      <c r="F194" s="397">
        <f t="shared" si="134"/>
        <v>0</v>
      </c>
      <c r="G194" s="397">
        <f t="shared" si="134"/>
        <v>0</v>
      </c>
      <c r="H194" s="397">
        <f t="shared" si="134"/>
        <v>0</v>
      </c>
      <c r="I194" s="397">
        <f t="shared" si="134"/>
        <v>0</v>
      </c>
      <c r="J194" s="397">
        <f t="shared" si="134"/>
        <v>0</v>
      </c>
      <c r="K194" s="397">
        <f t="shared" si="134"/>
        <v>0</v>
      </c>
      <c r="L194" s="397">
        <f t="shared" si="134"/>
        <v>0</v>
      </c>
      <c r="M194" s="397">
        <f t="shared" si="134"/>
        <v>0</v>
      </c>
      <c r="N194" s="397">
        <f t="shared" si="134"/>
        <v>0</v>
      </c>
      <c r="O194" s="397">
        <f t="shared" si="134"/>
        <v>0</v>
      </c>
      <c r="P194" s="397">
        <f t="shared" si="134"/>
        <v>0</v>
      </c>
      <c r="Q194" s="397">
        <f t="shared" si="134"/>
        <v>0</v>
      </c>
      <c r="R194" s="397">
        <f t="shared" si="134"/>
        <v>0</v>
      </c>
      <c r="S194" s="397">
        <f t="shared" si="132"/>
        <v>0</v>
      </c>
      <c r="T194" s="397">
        <f t="shared" si="132"/>
        <v>0</v>
      </c>
      <c r="U194" s="397">
        <f t="shared" si="132"/>
        <v>0</v>
      </c>
      <c r="V194" s="397">
        <f t="shared" si="132"/>
        <v>0</v>
      </c>
      <c r="W194" s="397">
        <f t="shared" si="132"/>
        <v>0</v>
      </c>
      <c r="X194" s="397">
        <f t="shared" si="132"/>
        <v>0</v>
      </c>
      <c r="Y194" s="397">
        <f t="shared" si="132"/>
        <v>0</v>
      </c>
      <c r="Z194" s="397">
        <f t="shared" si="132"/>
        <v>0</v>
      </c>
      <c r="AA194" s="397">
        <f t="shared" si="132"/>
        <v>0</v>
      </c>
      <c r="AB194" s="397">
        <f t="shared" si="132"/>
        <v>0</v>
      </c>
      <c r="AC194" s="397">
        <f t="shared" si="132"/>
        <v>0</v>
      </c>
      <c r="AD194" s="397">
        <f t="shared" si="132"/>
        <v>0</v>
      </c>
      <c r="AE194" s="397">
        <f t="shared" si="132"/>
        <v>0</v>
      </c>
      <c r="AF194" s="397">
        <f t="shared" si="132"/>
        <v>0</v>
      </c>
      <c r="AG194" s="397">
        <f t="shared" si="132"/>
        <v>0</v>
      </c>
      <c r="AH194" s="397">
        <f t="shared" si="133"/>
        <v>0</v>
      </c>
      <c r="AI194" s="397">
        <f t="shared" si="133"/>
        <v>0</v>
      </c>
      <c r="AJ194" s="397">
        <f t="shared" si="133"/>
        <v>0</v>
      </c>
      <c r="AK194" s="397">
        <f t="shared" si="133"/>
        <v>0</v>
      </c>
      <c r="AL194" s="397">
        <f t="shared" si="133"/>
        <v>0</v>
      </c>
      <c r="AM194" s="397">
        <f t="shared" si="133"/>
        <v>0</v>
      </c>
      <c r="AN194" s="397">
        <f t="shared" si="133"/>
        <v>0</v>
      </c>
      <c r="AO194" s="397">
        <f t="shared" si="133"/>
        <v>0</v>
      </c>
      <c r="AP194" s="397">
        <f t="shared" si="133"/>
        <v>0</v>
      </c>
      <c r="AQ194" s="397">
        <f t="shared" si="133"/>
        <v>0</v>
      </c>
      <c r="AR194" s="397">
        <f t="shared" si="133"/>
        <v>0</v>
      </c>
      <c r="AS194" s="397">
        <f t="shared" si="133"/>
        <v>0</v>
      </c>
      <c r="AT194" s="397">
        <f t="shared" si="133"/>
        <v>0</v>
      </c>
      <c r="AU194" s="397">
        <f t="shared" si="133"/>
        <v>0</v>
      </c>
      <c r="AV194" s="397">
        <f t="shared" si="133"/>
        <v>0</v>
      </c>
      <c r="AW194" s="397">
        <f t="shared" si="133"/>
        <v>0</v>
      </c>
      <c r="AX194" s="397">
        <f t="shared" si="131"/>
        <v>0</v>
      </c>
      <c r="AY194" s="397">
        <f t="shared" si="131"/>
        <v>0</v>
      </c>
      <c r="AZ194" s="397">
        <f t="shared" si="131"/>
        <v>0</v>
      </c>
      <c r="BA194" s="397">
        <f t="shared" si="131"/>
        <v>1.1841720288870026</v>
      </c>
    </row>
    <row r="195" spans="2:53">
      <c r="B195" s="398">
        <f t="shared" si="123"/>
        <v>2070</v>
      </c>
      <c r="C195" s="397">
        <f t="shared" si="134"/>
        <v>0</v>
      </c>
      <c r="D195" s="397">
        <f t="shared" si="134"/>
        <v>0</v>
      </c>
      <c r="E195" s="397">
        <f t="shared" si="134"/>
        <v>0</v>
      </c>
      <c r="F195" s="397">
        <f t="shared" si="134"/>
        <v>0</v>
      </c>
      <c r="G195" s="397">
        <f t="shared" si="134"/>
        <v>0</v>
      </c>
      <c r="H195" s="397">
        <f t="shared" si="134"/>
        <v>0</v>
      </c>
      <c r="I195" s="397">
        <f t="shared" si="134"/>
        <v>0</v>
      </c>
      <c r="J195" s="397">
        <f t="shared" si="134"/>
        <v>0</v>
      </c>
      <c r="K195" s="397">
        <f t="shared" si="134"/>
        <v>0</v>
      </c>
      <c r="L195" s="397">
        <f t="shared" si="134"/>
        <v>0</v>
      </c>
      <c r="M195" s="397">
        <f t="shared" si="134"/>
        <v>0</v>
      </c>
      <c r="N195" s="397">
        <f t="shared" si="134"/>
        <v>0</v>
      </c>
      <c r="O195" s="397">
        <f t="shared" si="134"/>
        <v>0</v>
      </c>
      <c r="P195" s="397">
        <f t="shared" si="134"/>
        <v>0</v>
      </c>
      <c r="Q195" s="397">
        <f t="shared" si="134"/>
        <v>0</v>
      </c>
      <c r="R195" s="397">
        <f t="shared" si="134"/>
        <v>0</v>
      </c>
      <c r="S195" s="397">
        <f t="shared" si="132"/>
        <v>0</v>
      </c>
      <c r="T195" s="397">
        <f t="shared" si="132"/>
        <v>0</v>
      </c>
      <c r="U195" s="397">
        <f t="shared" si="132"/>
        <v>0</v>
      </c>
      <c r="V195" s="397">
        <f t="shared" si="132"/>
        <v>0</v>
      </c>
      <c r="W195" s="397">
        <f t="shared" si="132"/>
        <v>0</v>
      </c>
      <c r="X195" s="397">
        <f t="shared" si="132"/>
        <v>0</v>
      </c>
      <c r="Y195" s="397">
        <f t="shared" si="132"/>
        <v>0</v>
      </c>
      <c r="Z195" s="397">
        <f t="shared" si="132"/>
        <v>0</v>
      </c>
      <c r="AA195" s="397">
        <f t="shared" si="132"/>
        <v>0</v>
      </c>
      <c r="AB195" s="397">
        <f t="shared" si="132"/>
        <v>0</v>
      </c>
      <c r="AC195" s="397">
        <f t="shared" si="132"/>
        <v>0</v>
      </c>
      <c r="AD195" s="397">
        <f t="shared" si="132"/>
        <v>0</v>
      </c>
      <c r="AE195" s="397">
        <f t="shared" si="132"/>
        <v>0</v>
      </c>
      <c r="AF195" s="397">
        <f t="shared" si="132"/>
        <v>0</v>
      </c>
      <c r="AG195" s="397">
        <f t="shared" si="132"/>
        <v>0</v>
      </c>
      <c r="AH195" s="397">
        <f t="shared" si="133"/>
        <v>0</v>
      </c>
      <c r="AI195" s="397">
        <f t="shared" si="133"/>
        <v>0</v>
      </c>
      <c r="AJ195" s="397">
        <f t="shared" si="133"/>
        <v>0</v>
      </c>
      <c r="AK195" s="397">
        <f t="shared" si="133"/>
        <v>0</v>
      </c>
      <c r="AL195" s="397">
        <f t="shared" si="133"/>
        <v>0</v>
      </c>
      <c r="AM195" s="397">
        <f t="shared" si="133"/>
        <v>0</v>
      </c>
      <c r="AN195" s="397">
        <f t="shared" si="133"/>
        <v>0</v>
      </c>
      <c r="AO195" s="397">
        <f t="shared" si="133"/>
        <v>0</v>
      </c>
      <c r="AP195" s="397">
        <f t="shared" si="133"/>
        <v>0</v>
      </c>
      <c r="AQ195" s="397">
        <f t="shared" si="133"/>
        <v>0</v>
      </c>
      <c r="AR195" s="397">
        <f t="shared" si="133"/>
        <v>0</v>
      </c>
      <c r="AS195" s="397">
        <f t="shared" si="133"/>
        <v>0</v>
      </c>
      <c r="AT195" s="397">
        <f t="shared" si="133"/>
        <v>0</v>
      </c>
      <c r="AU195" s="397">
        <f t="shared" si="133"/>
        <v>0</v>
      </c>
      <c r="AV195" s="397">
        <f t="shared" si="133"/>
        <v>0</v>
      </c>
      <c r="AW195" s="397">
        <f t="shared" si="133"/>
        <v>0</v>
      </c>
      <c r="AX195" s="397">
        <f t="shared" si="131"/>
        <v>0</v>
      </c>
      <c r="AY195" s="397">
        <f t="shared" si="131"/>
        <v>0</v>
      </c>
      <c r="AZ195" s="397">
        <f t="shared" si="131"/>
        <v>0</v>
      </c>
      <c r="BA195" s="397">
        <f t="shared" si="131"/>
        <v>0</v>
      </c>
    </row>
    <row r="196" spans="2:53">
      <c r="D196" s="395"/>
      <c r="E196" s="395"/>
      <c r="F196" s="395"/>
      <c r="G196" s="395"/>
      <c r="H196" s="395"/>
      <c r="I196" s="395"/>
      <c r="J196" s="395"/>
      <c r="K196" s="395"/>
      <c r="L196" s="395"/>
      <c r="M196" s="395"/>
      <c r="N196" s="395"/>
      <c r="O196" s="395"/>
      <c r="P196" s="395"/>
      <c r="Q196" s="395"/>
      <c r="R196" s="395"/>
      <c r="S196" s="395"/>
      <c r="T196" s="395"/>
      <c r="U196" s="395"/>
      <c r="V196" s="395"/>
      <c r="W196" s="395"/>
      <c r="X196" s="395"/>
      <c r="Y196" s="395"/>
      <c r="Z196" s="395"/>
      <c r="AA196" s="395"/>
      <c r="AB196" s="395"/>
      <c r="AC196" s="395"/>
      <c r="AD196" s="395"/>
      <c r="AE196" s="395"/>
      <c r="AF196" s="395"/>
      <c r="AG196" s="395"/>
      <c r="AH196" s="395"/>
      <c r="AI196" s="395"/>
      <c r="AJ196" s="395"/>
      <c r="AK196" s="395"/>
      <c r="AL196" s="395"/>
      <c r="AM196" s="395"/>
      <c r="AN196" s="395"/>
      <c r="AO196" s="395"/>
      <c r="AP196" s="395"/>
      <c r="AQ196" s="395"/>
      <c r="AR196" s="395"/>
      <c r="AS196" s="395"/>
      <c r="AT196" s="395"/>
      <c r="AU196" s="395"/>
      <c r="AV196" s="395"/>
      <c r="AW196" s="395"/>
      <c r="AX196" s="395"/>
      <c r="AY196" s="395"/>
      <c r="AZ196" s="395"/>
      <c r="BA196" s="395"/>
    </row>
    <row r="197" spans="2:53" s="9" customFormat="1">
      <c r="B197" s="412" t="s">
        <v>2982</v>
      </c>
      <c r="C197" s="413">
        <f>SUM(C145:C195)</f>
        <v>0</v>
      </c>
      <c r="D197" s="413">
        <f t="shared" ref="D197:AO197" si="135">SUM(D145:D195)</f>
        <v>0.65790116580310876</v>
      </c>
      <c r="E197" s="413">
        <f t="shared" si="135"/>
        <v>1.3410916728070064</v>
      </c>
      <c r="F197" s="413">
        <f t="shared" si="135"/>
        <v>2.0461223736772496</v>
      </c>
      <c r="G197" s="413">
        <f t="shared" si="135"/>
        <v>2.7705430906933826</v>
      </c>
      <c r="H197" s="413">
        <f t="shared" si="135"/>
        <v>3.5128329710913695</v>
      </c>
      <c r="I197" s="413">
        <f t="shared" si="135"/>
        <v>4.2720171367137612</v>
      </c>
      <c r="J197" s="413">
        <f t="shared" si="135"/>
        <v>5.0471940129443826</v>
      </c>
      <c r="K197" s="413">
        <f t="shared" si="135"/>
        <v>5.8377374197160483</v>
      </c>
      <c r="L197" s="413">
        <f t="shared" si="135"/>
        <v>6.6444320655698661</v>
      </c>
      <c r="M197" s="413">
        <f t="shared" si="135"/>
        <v>7.4672343223143409</v>
      </c>
      <c r="N197" s="413">
        <f t="shared" si="135"/>
        <v>7.6478055958471556</v>
      </c>
      <c r="O197" s="413">
        <f t="shared" si="135"/>
        <v>7.8181585511077953</v>
      </c>
      <c r="P197" s="413">
        <f t="shared" si="135"/>
        <v>7.9810507638550749</v>
      </c>
      <c r="Q197" s="413">
        <f t="shared" si="135"/>
        <v>8.1384907760720981</v>
      </c>
      <c r="R197" s="413">
        <f t="shared" si="135"/>
        <v>8.2918446377701169</v>
      </c>
      <c r="S197" s="413">
        <f t="shared" si="135"/>
        <v>8.4419784120249712</v>
      </c>
      <c r="T197" s="413">
        <f t="shared" si="135"/>
        <v>8.5894701029803908</v>
      </c>
      <c r="U197" s="413">
        <f t="shared" si="135"/>
        <v>8.7346612795466498</v>
      </c>
      <c r="V197" s="413">
        <f t="shared" si="135"/>
        <v>8.8770102428852162</v>
      </c>
      <c r="W197" s="413">
        <f t="shared" si="135"/>
        <v>9.016370133318464</v>
      </c>
      <c r="X197" s="413">
        <f t="shared" si="135"/>
        <v>9.1528650731550361</v>
      </c>
      <c r="Y197" s="413">
        <f t="shared" si="135"/>
        <v>9.2867620923640324</v>
      </c>
      <c r="Z197" s="413">
        <f t="shared" si="135"/>
        <v>9.4186317882728972</v>
      </c>
      <c r="AA197" s="413">
        <f t="shared" si="135"/>
        <v>9.548748794353596</v>
      </c>
      <c r="AB197" s="413">
        <f t="shared" si="135"/>
        <v>9.6770150336983587</v>
      </c>
      <c r="AC197" s="413">
        <f t="shared" si="135"/>
        <v>9.8032195353379272</v>
      </c>
      <c r="AD197" s="413">
        <f t="shared" si="135"/>
        <v>9.9272989622424266</v>
      </c>
      <c r="AE197" s="413">
        <f t="shared" si="135"/>
        <v>10.049101351769178</v>
      </c>
      <c r="AF197" s="413">
        <f t="shared" si="135"/>
        <v>10.167901989101967</v>
      </c>
      <c r="AG197" s="413">
        <f t="shared" si="135"/>
        <v>10.283447946330613</v>
      </c>
      <c r="AH197" s="413">
        <f t="shared" si="135"/>
        <v>10.395804714293698</v>
      </c>
      <c r="AI197" s="413">
        <f t="shared" si="135"/>
        <v>10.505078775609242</v>
      </c>
      <c r="AJ197" s="413">
        <f t="shared" si="135"/>
        <v>10.611238966607052</v>
      </c>
      <c r="AK197" s="413">
        <f t="shared" si="135"/>
        <v>10.71408195364948</v>
      </c>
      <c r="AL197" s="413">
        <f t="shared" si="135"/>
        <v>10.813323184362686</v>
      </c>
      <c r="AM197" s="413">
        <f t="shared" si="135"/>
        <v>10.908631440522432</v>
      </c>
      <c r="AN197" s="413">
        <f t="shared" si="135"/>
        <v>10.999809827968194</v>
      </c>
      <c r="AO197" s="413">
        <f t="shared" si="135"/>
        <v>11.086726142376735</v>
      </c>
      <c r="AP197" s="413">
        <f t="shared" ref="AP197:BA197" si="136">SUM(AP145:AP195)</f>
        <v>11.16926574501286</v>
      </c>
      <c r="AQ197" s="413">
        <f t="shared" si="136"/>
        <v>11.247514251491596</v>
      </c>
      <c r="AR197" s="413">
        <f t="shared" si="136"/>
        <v>11.321629572433688</v>
      </c>
      <c r="AS197" s="413">
        <f t="shared" si="136"/>
        <v>11.391962947289311</v>
      </c>
      <c r="AT197" s="413">
        <f t="shared" si="136"/>
        <v>11.457429850847316</v>
      </c>
      <c r="AU197" s="413">
        <f t="shared" si="136"/>
        <v>11.517436640101266</v>
      </c>
      <c r="AV197" s="413">
        <f t="shared" si="136"/>
        <v>11.571769325525631</v>
      </c>
      <c r="AW197" s="413">
        <f t="shared" si="136"/>
        <v>11.620493178289543</v>
      </c>
      <c r="AX197" s="413">
        <f t="shared" si="136"/>
        <v>11.663735421099744</v>
      </c>
      <c r="AY197" s="413">
        <f t="shared" si="136"/>
        <v>11.701708928782782</v>
      </c>
      <c r="AZ197" s="413">
        <f t="shared" si="136"/>
        <v>11.734732618568048</v>
      </c>
      <c r="BA197" s="413">
        <f t="shared" si="136"/>
        <v>11.762948036569947</v>
      </c>
    </row>
    <row r="198" spans="2:53">
      <c r="D198" s="395"/>
      <c r="E198" s="395"/>
      <c r="F198" s="395"/>
      <c r="G198" s="395"/>
      <c r="H198" s="395"/>
      <c r="I198" s="395"/>
      <c r="J198" s="395"/>
      <c r="K198" s="395"/>
      <c r="L198" s="395"/>
      <c r="M198" s="395"/>
      <c r="N198" s="395"/>
      <c r="O198" s="395"/>
      <c r="P198" s="395"/>
      <c r="Q198" s="395"/>
      <c r="R198" s="395"/>
      <c r="S198" s="395"/>
      <c r="T198" s="395"/>
      <c r="U198" s="395"/>
      <c r="V198" s="395"/>
      <c r="W198" s="395"/>
      <c r="X198" s="395"/>
      <c r="Y198" s="395"/>
      <c r="Z198" s="395"/>
      <c r="AA198" s="395"/>
      <c r="AB198" s="395"/>
      <c r="AC198" s="395"/>
      <c r="AD198" s="395"/>
      <c r="AE198" s="395"/>
      <c r="AF198" s="395"/>
    </row>
    <row r="199" spans="2:53">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row>
  </sheetData>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4" tint="0.59999389629810485"/>
  </sheetPr>
  <dimension ref="A1:BA104"/>
  <sheetViews>
    <sheetView showGridLines="0" workbookViewId="0"/>
  </sheetViews>
  <sheetFormatPr defaultRowHeight="14.5"/>
  <cols>
    <col min="1" max="1" width="5.08984375" customWidth="1"/>
    <col min="2" max="2" width="34.6328125" customWidth="1"/>
    <col min="3" max="3" width="13.36328125" customWidth="1"/>
    <col min="4" max="4" width="16" customWidth="1"/>
    <col min="11" max="11" width="8.90625" customWidth="1"/>
    <col min="31" max="31" width="10.36328125" customWidth="1"/>
    <col min="40" max="40" width="11.36328125" customWidth="1"/>
  </cols>
  <sheetData>
    <row r="1" spans="1:3" s="782" customFormat="1" ht="18.5">
      <c r="A1" s="780" t="s">
        <v>2957</v>
      </c>
    </row>
    <row r="2" spans="1:3" s="782" customFormat="1">
      <c r="A2" s="782" t="s">
        <v>3514</v>
      </c>
    </row>
    <row r="3" spans="1:3" s="782" customFormat="1"/>
    <row r="4" spans="1:3" s="783" customFormat="1"/>
    <row r="5" spans="1:3">
      <c r="A5" s="9"/>
      <c r="B5" s="9"/>
    </row>
    <row r="6" spans="1:3">
      <c r="A6" s="9"/>
      <c r="B6" s="29"/>
    </row>
    <row r="7" spans="1:3">
      <c r="A7" s="9"/>
      <c r="B7" s="29"/>
    </row>
    <row r="8" spans="1:3" s="588" customFormat="1">
      <c r="A8" s="593" t="s">
        <v>2941</v>
      </c>
    </row>
    <row r="9" spans="1:3">
      <c r="A9" s="9"/>
    </row>
    <row r="10" spans="1:3">
      <c r="A10" s="9"/>
    </row>
    <row r="11" spans="1:3">
      <c r="A11" s="9" t="s">
        <v>10</v>
      </c>
      <c r="B11" s="9" t="s">
        <v>2957</v>
      </c>
    </row>
    <row r="13" spans="1:3" ht="47" customHeight="1">
      <c r="C13" s="62" t="s">
        <v>3678</v>
      </c>
    </row>
    <row r="14" spans="1:3" ht="23" customHeight="1">
      <c r="B14" s="12" t="s">
        <v>5</v>
      </c>
      <c r="C14" s="42">
        <f>Epidemiology!C87</f>
        <v>1.89E-3</v>
      </c>
    </row>
    <row r="15" spans="1:3" ht="23" customHeight="1">
      <c r="B15" s="12" t="s">
        <v>3679</v>
      </c>
      <c r="C15" s="12">
        <f>'Control Assumptions'!C47</f>
        <v>150000</v>
      </c>
    </row>
    <row r="16" spans="1:3" ht="23" customHeight="1">
      <c r="B16" s="12" t="s">
        <v>2517</v>
      </c>
      <c r="C16" s="12">
        <f>C15*C14</f>
        <v>283.5</v>
      </c>
    </row>
    <row r="19" spans="1:53">
      <c r="A19" s="9" t="s">
        <v>10</v>
      </c>
      <c r="B19" s="9" t="s">
        <v>2945</v>
      </c>
    </row>
    <row r="21" spans="1:53">
      <c r="C21" s="59">
        <f>'Wound growth'!C81</f>
        <v>2020</v>
      </c>
      <c r="D21" s="59">
        <f>'Wound growth'!D81</f>
        <v>2021</v>
      </c>
      <c r="E21" s="59">
        <f>'Wound growth'!E81</f>
        <v>2022</v>
      </c>
      <c r="F21" s="59">
        <f>'Wound growth'!F81</f>
        <v>2023</v>
      </c>
      <c r="G21" s="59">
        <f>'Wound growth'!G81</f>
        <v>2024</v>
      </c>
      <c r="H21" s="59">
        <f>'Wound growth'!H81</f>
        <v>2025</v>
      </c>
      <c r="I21" s="59">
        <f>'Wound growth'!I81</f>
        <v>2026</v>
      </c>
      <c r="J21" s="59">
        <f>'Wound growth'!J81</f>
        <v>2027</v>
      </c>
      <c r="K21" s="59">
        <f>'Wound growth'!K81</f>
        <v>2028</v>
      </c>
      <c r="L21" s="59">
        <f>'Wound growth'!L81</f>
        <v>2029</v>
      </c>
      <c r="M21" s="59">
        <f>'Wound growth'!M81</f>
        <v>2030</v>
      </c>
      <c r="N21" s="59">
        <f>'Wound growth'!N81</f>
        <v>2031</v>
      </c>
      <c r="O21" s="59">
        <f>'Wound growth'!O81</f>
        <v>2032</v>
      </c>
      <c r="P21" s="59">
        <f>'Wound growth'!P81</f>
        <v>2033</v>
      </c>
      <c r="Q21" s="59">
        <f>'Wound growth'!Q81</f>
        <v>2034</v>
      </c>
      <c r="R21" s="59">
        <f>'Wound growth'!R81</f>
        <v>2035</v>
      </c>
      <c r="S21" s="59">
        <f>'Wound growth'!S81</f>
        <v>2036</v>
      </c>
      <c r="T21" s="59">
        <f>'Wound growth'!T81</f>
        <v>2037</v>
      </c>
      <c r="U21" s="59">
        <f>'Wound growth'!U81</f>
        <v>2038</v>
      </c>
      <c r="V21" s="59">
        <f>'Wound growth'!V81</f>
        <v>2039</v>
      </c>
      <c r="W21" s="59">
        <f>'Wound growth'!W81</f>
        <v>2040</v>
      </c>
      <c r="X21" s="59">
        <f>'Wound growth'!X81</f>
        <v>2041</v>
      </c>
      <c r="Y21" s="59">
        <f>'Wound growth'!Y81</f>
        <v>2042</v>
      </c>
      <c r="Z21" s="59">
        <f>'Wound growth'!Z81</f>
        <v>2043</v>
      </c>
      <c r="AA21" s="59">
        <f>'Wound growth'!AA81</f>
        <v>2044</v>
      </c>
      <c r="AB21" s="59">
        <f>'Wound growth'!AB81</f>
        <v>2045</v>
      </c>
      <c r="AC21" s="59">
        <f>'Wound growth'!AC81</f>
        <v>2046</v>
      </c>
      <c r="AD21" s="59">
        <f>'Wound growth'!AD81</f>
        <v>2047</v>
      </c>
      <c r="AE21" s="59">
        <f>'Wound growth'!AE81</f>
        <v>2048</v>
      </c>
      <c r="AF21" s="59">
        <f>'Wound growth'!AF81</f>
        <v>2049</v>
      </c>
      <c r="AG21" s="59">
        <f>'Wound growth'!AG81</f>
        <v>2050</v>
      </c>
      <c r="AH21" s="59">
        <f>'Wound growth'!AH81</f>
        <v>2051</v>
      </c>
      <c r="AI21" s="59">
        <f>'Wound growth'!AI81</f>
        <v>2052</v>
      </c>
      <c r="AJ21" s="59">
        <f>'Wound growth'!AJ81</f>
        <v>2053</v>
      </c>
      <c r="AK21" s="59">
        <f>'Wound growth'!AK81</f>
        <v>2054</v>
      </c>
      <c r="AL21" s="59">
        <f>'Wound growth'!AL81</f>
        <v>2055</v>
      </c>
      <c r="AM21" s="59">
        <f>'Wound growth'!AM81</f>
        <v>2056</v>
      </c>
      <c r="AN21" s="59">
        <f>'Wound growth'!AN81</f>
        <v>2057</v>
      </c>
      <c r="AO21" s="59">
        <f>'Wound growth'!AO81</f>
        <v>2058</v>
      </c>
      <c r="AP21" s="59">
        <f>'Wound growth'!AP81</f>
        <v>2059</v>
      </c>
      <c r="AQ21" s="59">
        <f>'Wound growth'!AQ81</f>
        <v>2060</v>
      </c>
      <c r="AR21" s="59">
        <f>'Wound growth'!AR81</f>
        <v>2061</v>
      </c>
      <c r="AS21" s="59">
        <f>'Wound growth'!AS81</f>
        <v>2062</v>
      </c>
      <c r="AT21" s="59">
        <f>'Wound growth'!AT81</f>
        <v>2063</v>
      </c>
      <c r="AU21" s="59">
        <f>'Wound growth'!AU81</f>
        <v>2064</v>
      </c>
      <c r="AV21" s="59">
        <f>'Wound growth'!AV81</f>
        <v>2065</v>
      </c>
      <c r="AW21" s="59">
        <f>'Wound growth'!AW81</f>
        <v>2066</v>
      </c>
      <c r="AX21" s="59">
        <f>'Wound growth'!AX81</f>
        <v>2067</v>
      </c>
      <c r="AY21" s="59">
        <f>'Wound growth'!AY81</f>
        <v>2068</v>
      </c>
      <c r="AZ21" s="59">
        <f>'Wound growth'!AZ81</f>
        <v>2069</v>
      </c>
      <c r="BA21" s="59">
        <f>'Wound growth'!BA81</f>
        <v>2070</v>
      </c>
    </row>
    <row r="22" spans="1:53">
      <c r="B22" s="12" t="s">
        <v>86</v>
      </c>
      <c r="C22" s="153">
        <f>'Wound growth'!C82</f>
        <v>0</v>
      </c>
      <c r="D22" s="153">
        <f>'Wound growth'!D82</f>
        <v>3.4180455479503546E-2</v>
      </c>
      <c r="E22" s="153">
        <f>'Wound growth'!E82</f>
        <v>2.8287382938216199E-2</v>
      </c>
      <c r="F22" s="153">
        <f>'Wound growth'!F82</f>
        <v>2.438964359032969E-2</v>
      </c>
      <c r="G22" s="153">
        <f>'Wound growth'!G82</f>
        <v>2.2104032291079267E-2</v>
      </c>
      <c r="H22" s="153">
        <f>'Wound growth'!H82</f>
        <v>2.0681500347581983E-2</v>
      </c>
      <c r="I22" s="153">
        <f>'Wound growth'!I82</f>
        <v>1.9359856545146048E-2</v>
      </c>
      <c r="J22" s="153">
        <f>'Wound growth'!J82</f>
        <v>1.8434244859413029E-2</v>
      </c>
      <c r="K22" s="153">
        <f>'Wound growth'!K82</f>
        <v>1.946695538004195E-2</v>
      </c>
      <c r="L22" s="153">
        <f>'Wound growth'!L82</f>
        <v>1.9206359051323396E-2</v>
      </c>
      <c r="M22" s="153">
        <f>'Wound growth'!M82</f>
        <v>1.8383881483103437E-2</v>
      </c>
      <c r="N22" s="153">
        <f>'Wound growth'!N82</f>
        <v>1.7370335648879909E-2</v>
      </c>
      <c r="O22" s="153">
        <f>'Wound growth'!O82</f>
        <v>1.627753598215631E-2</v>
      </c>
      <c r="P22" s="153">
        <f>'Wound growth'!P82</f>
        <v>1.5551163524574196E-2</v>
      </c>
      <c r="Q22" s="153">
        <f>'Wound growth'!Q82</f>
        <v>1.5205971943975882E-2</v>
      </c>
      <c r="R22" s="153">
        <f>'Wound growth'!R82</f>
        <v>1.4913469897159803E-2</v>
      </c>
      <c r="S22" s="153">
        <f>'Wound growth'!S82</f>
        <v>1.4354776130790281E-2</v>
      </c>
      <c r="T22" s="153">
        <f>'Wound growth'!T82</f>
        <v>1.3860501588639051E-2</v>
      </c>
      <c r="U22" s="153">
        <f>'Wound growth'!U82</f>
        <v>1.4006608429486089E-2</v>
      </c>
      <c r="V22" s="153">
        <f>'Wound growth'!V82</f>
        <v>1.3617620995418855E-2</v>
      </c>
      <c r="W22" s="153">
        <f>'Wound growth'!W82</f>
        <v>1.3099000580177433E-2</v>
      </c>
      <c r="X22" s="153">
        <f>'Wound growth'!X82</f>
        <v>1.257983195792467E-2</v>
      </c>
      <c r="Y22" s="153">
        <f>'Wound growth'!Y82</f>
        <v>1.2318626102939989E-2</v>
      </c>
      <c r="Z22" s="153">
        <f>'Wound growth'!Z82</f>
        <v>1.2009789251160141E-2</v>
      </c>
      <c r="AA22" s="153">
        <f>'Wound growth'!AA82</f>
        <v>1.1614110409420064E-2</v>
      </c>
      <c r="AB22" s="153">
        <f>'Wound growth'!AB82</f>
        <v>1.1158999210355569E-2</v>
      </c>
      <c r="AC22" s="153">
        <f>'Wound growth'!AC82</f>
        <v>1.064826606743452E-2</v>
      </c>
      <c r="AD22" s="153">
        <f>'Wound growth'!AD82</f>
        <v>1.0103700076924627E-2</v>
      </c>
      <c r="AE22" s="153">
        <f>'Wound growth'!AE82</f>
        <v>9.5313863437060942E-3</v>
      </c>
      <c r="AF22" s="153">
        <f>'Wound growth'!AF82</f>
        <v>9.0189601735179981E-3</v>
      </c>
      <c r="AG22" s="153">
        <f>'Wound growth'!AG82</f>
        <v>8.7240705516806738E-3</v>
      </c>
      <c r="AH22" s="153">
        <f>'Wound growth'!AH82</f>
        <v>8.4553475631115038E-3</v>
      </c>
      <c r="AI22" s="153">
        <f>'Wound growth'!AI82</f>
        <v>8.2642204527860752E-3</v>
      </c>
      <c r="AJ22" s="153">
        <f>'Wound growth'!AJ82</f>
        <v>7.8530496220994284E-3</v>
      </c>
      <c r="AK22" s="153">
        <f>'Wound growth'!AK82</f>
        <v>7.2865386681693067E-3</v>
      </c>
      <c r="AL22" s="153">
        <f>'Wound growth'!AL82</f>
        <v>6.6256536695044055E-3</v>
      </c>
      <c r="AM22" s="153">
        <f>'Wound growth'!AM82</f>
        <v>6.0516909281937981E-3</v>
      </c>
      <c r="AN22" s="153">
        <f>'Wound growth'!AN82</f>
        <v>5.5067877766292739E-3</v>
      </c>
      <c r="AO22" s="153">
        <f>'Wound growth'!AO82</f>
        <v>4.9466183903486005E-3</v>
      </c>
      <c r="AP22" s="153">
        <f>'Wound growth'!AP82</f>
        <v>4.6288110527314963E-3</v>
      </c>
      <c r="AQ22" s="153">
        <f>'Wound growth'!AQ82</f>
        <v>4.5698849332584945E-3</v>
      </c>
      <c r="AR22" s="153">
        <f>'Wound growth'!AR82</f>
        <v>4.7089150155754655E-3</v>
      </c>
      <c r="AS22" s="153">
        <f>'Wound growth'!AS82</f>
        <v>3.5303660418175564E-3</v>
      </c>
      <c r="AT22" s="153">
        <f>'Wound growth'!AT82</f>
        <v>2.6498931282845639E-3</v>
      </c>
      <c r="AU22" s="153">
        <f>'Wound growth'!AU82</f>
        <v>1.9907567063639497E-3</v>
      </c>
      <c r="AV22" s="153">
        <f>'Wound growth'!AV82</f>
        <v>1.4965582057842042E-3</v>
      </c>
      <c r="AW22" s="153">
        <f>'Wound growth'!AW82</f>
        <v>1.1255979456648024E-3</v>
      </c>
      <c r="AX22" s="153">
        <f>'Wound growth'!AX82</f>
        <v>8.4690337986748077E-4</v>
      </c>
      <c r="AY22" s="153">
        <f>'Wound growth'!AY82</f>
        <v>6.3739016300190521E-4</v>
      </c>
      <c r="AZ22" s="153">
        <f>'Wound growth'!AZ82</f>
        <v>4.7980831518090739E-4</v>
      </c>
      <c r="BA22" s="153">
        <f>'Wound growth'!BA82</f>
        <v>3.6124228635725508E-4</v>
      </c>
    </row>
    <row r="23" spans="1:53">
      <c r="B23" s="12" t="s">
        <v>122</v>
      </c>
      <c r="C23" s="39">
        <f>C16</f>
        <v>283.5</v>
      </c>
      <c r="D23" s="39">
        <f t="shared" ref="D23:AE23" si="0">C23*(1+D22)</f>
        <v>293.19015912843923</v>
      </c>
      <c r="E23" s="39">
        <f t="shared" si="0"/>
        <v>301.48374143342193</v>
      </c>
      <c r="F23" s="39">
        <f t="shared" si="0"/>
        <v>308.83682243526221</v>
      </c>
      <c r="G23" s="39">
        <f t="shared" si="0"/>
        <v>315.66336153104555</v>
      </c>
      <c r="H23" s="39">
        <f t="shared" si="0"/>
        <v>322.19175345226876</v>
      </c>
      <c r="I23" s="39">
        <f t="shared" si="0"/>
        <v>328.42933957913374</v>
      </c>
      <c r="J23" s="39">
        <f t="shared" si="0"/>
        <v>334.48368644395077</v>
      </c>
      <c r="K23" s="39">
        <f t="shared" si="0"/>
        <v>340.99506544330711</v>
      </c>
      <c r="L23" s="39">
        <f t="shared" si="0"/>
        <v>347.54433910494078</v>
      </c>
      <c r="M23" s="39">
        <f t="shared" si="0"/>
        <v>353.9335530451695</v>
      </c>
      <c r="N23" s="39">
        <f t="shared" si="0"/>
        <v>360.08149765896474</v>
      </c>
      <c r="O23" s="39">
        <f t="shared" si="0"/>
        <v>365.94273719361729</v>
      </c>
      <c r="P23" s="39">
        <f t="shared" si="0"/>
        <v>371.63357254034554</v>
      </c>
      <c r="Q23" s="39">
        <f t="shared" si="0"/>
        <v>377.28462221783354</v>
      </c>
      <c r="R23" s="39">
        <f t="shared" si="0"/>
        <v>382.91124507394051</v>
      </c>
      <c r="S23" s="39">
        <f t="shared" si="0"/>
        <v>388.40785027493911</v>
      </c>
      <c r="T23" s="39">
        <f t="shared" si="0"/>
        <v>393.79137790071479</v>
      </c>
      <c r="U23" s="39">
        <f t="shared" si="0"/>
        <v>399.30705953387786</v>
      </c>
      <c r="V23" s="39">
        <f t="shared" si="0"/>
        <v>404.74467173140539</v>
      </c>
      <c r="W23" s="39">
        <f t="shared" si="0"/>
        <v>410.04642242123879</v>
      </c>
      <c r="X23" s="39">
        <f t="shared" si="0"/>
        <v>415.20473751024616</v>
      </c>
      <c r="Y23" s="39">
        <f t="shared" si="0"/>
        <v>420.31948942780423</v>
      </c>
      <c r="Z23" s="39">
        <f t="shared" si="0"/>
        <v>425.36743791398737</v>
      </c>
      <c r="AA23" s="39">
        <f t="shared" si="0"/>
        <v>430.30770230249254</v>
      </c>
      <c r="AB23" s="39">
        <f t="shared" si="0"/>
        <v>435.10950561269595</v>
      </c>
      <c r="AC23" s="39">
        <f t="shared" si="0"/>
        <v>439.74266739692985</v>
      </c>
      <c r="AD23" s="39">
        <f t="shared" si="0"/>
        <v>444.18569541933527</v>
      </c>
      <c r="AE23" s="39">
        <f t="shared" si="0"/>
        <v>448.41940089072472</v>
      </c>
      <c r="AF23" s="39">
        <f t="shared" ref="AF23" si="1">AE23*(1+AF22)</f>
        <v>452.46367760839098</v>
      </c>
      <c r="AG23" s="39">
        <f t="shared" ref="AG23" si="2">AF23*(1+AG22)</f>
        <v>456.41100265391947</v>
      </c>
      <c r="AH23" s="39">
        <f t="shared" ref="AH23" si="3">AG23*(1+AH22)</f>
        <v>460.27011631298654</v>
      </c>
      <c r="AI23" s="39">
        <f t="shared" ref="AI23" si="4">AH23*(1+AI22)</f>
        <v>464.07389002202655</v>
      </c>
      <c r="AJ23" s="39">
        <f t="shared" ref="AJ23" si="5">AI23*(1+AJ22)</f>
        <v>467.71828530869021</v>
      </c>
      <c r="AK23" s="39">
        <f t="shared" ref="AK23" si="6">AJ23*(1+AK22)</f>
        <v>471.12633268040184</v>
      </c>
      <c r="AL23" s="39">
        <f t="shared" ref="AL23" si="7">AK23*(1+AL22)</f>
        <v>474.24785259532592</v>
      </c>
      <c r="AM23" s="39">
        <f t="shared" ref="AM23" si="8">AL23*(1+AM22)</f>
        <v>477.11785402259244</v>
      </c>
      <c r="AN23" s="39">
        <f t="shared" ref="AN23" si="9">AM23*(1+AN22)</f>
        <v>479.74524078913566</v>
      </c>
      <c r="AO23" s="39">
        <f t="shared" ref="AO23" si="10">AN23*(1+AO22)</f>
        <v>482.11835741990541</v>
      </c>
      <c r="AP23" s="39">
        <f t="shared" ref="AP23" si="11">AO23*(1+AP22)</f>
        <v>484.34999220145539</v>
      </c>
      <c r="AQ23" s="39">
        <f t="shared" ref="AQ23" si="12">AP23*(1+AQ22)</f>
        <v>486.56341593324072</v>
      </c>
      <c r="AR23" s="39">
        <f t="shared" ref="AR23" si="13">AQ23*(1+AR22)</f>
        <v>488.85460170855845</v>
      </c>
      <c r="AS23" s="39">
        <f t="shared" ref="AS23" si="14">AR23*(1+AS22)</f>
        <v>490.58043739381657</v>
      </c>
      <c r="AT23" s="39">
        <f t="shared" ref="AT23" si="15">AS23*(1+AT22)</f>
        <v>491.88042312373727</v>
      </c>
      <c r="AU23" s="39">
        <f t="shared" ref="AU23" si="16">AT23*(1+AU22)</f>
        <v>492.8596373748</v>
      </c>
      <c r="AV23" s="39">
        <f t="shared" ref="AV23" si="17">AU23*(1+AV22)</f>
        <v>493.59723050941307</v>
      </c>
      <c r="AW23" s="39">
        <f t="shared" ref="AW23" si="18">AV23*(1+AW22)</f>
        <v>494.15282253806032</v>
      </c>
      <c r="AX23" s="39">
        <f t="shared" ref="AX23" si="19">AW23*(1+AX22)</f>
        <v>494.57132223363885</v>
      </c>
      <c r="AY23" s="39">
        <f t="shared" ref="AY23" si="20">AX23*(1+AY22)</f>
        <v>494.88655712933343</v>
      </c>
      <c r="AZ23" s="39">
        <f t="shared" ref="AZ23:BA23" si="21">AY23*(1+AZ22)</f>
        <v>495.12400781451532</v>
      </c>
      <c r="BA23" s="39">
        <f t="shared" si="21"/>
        <v>495.30286754312863</v>
      </c>
    </row>
    <row r="24" spans="1:53">
      <c r="B24" s="63"/>
      <c r="C24" s="64" t="b">
        <f>C23=C16</f>
        <v>1</v>
      </c>
      <c r="D24" s="64"/>
      <c r="E24" s="64"/>
      <c r="F24" s="64"/>
      <c r="G24" s="64"/>
      <c r="H24" s="64"/>
      <c r="I24" s="64"/>
      <c r="J24" s="64"/>
      <c r="K24" s="64"/>
      <c r="L24" s="64"/>
      <c r="M24" s="64"/>
      <c r="N24" s="64"/>
      <c r="O24" s="64"/>
      <c r="P24" s="64"/>
      <c r="Q24" s="64"/>
      <c r="R24" s="64"/>
      <c r="S24" s="64"/>
      <c r="T24" s="64"/>
      <c r="U24" s="64"/>
      <c r="V24" s="64"/>
      <c r="W24" s="64"/>
      <c r="X24" s="64"/>
      <c r="Y24" s="64"/>
      <c r="Z24" s="64"/>
      <c r="AA24" s="64"/>
      <c r="AB24" s="64"/>
      <c r="AC24" s="64"/>
      <c r="AD24" s="64"/>
      <c r="AE24" s="64"/>
    </row>
    <row r="25" spans="1:53">
      <c r="C25" s="395"/>
      <c r="D25" s="395"/>
      <c r="E25" s="395"/>
      <c r="F25" s="395"/>
      <c r="G25" s="395"/>
      <c r="H25" s="395"/>
      <c r="I25" s="395"/>
      <c r="J25" s="395"/>
      <c r="K25" s="395"/>
      <c r="L25" s="395"/>
      <c r="M25" s="395"/>
    </row>
    <row r="26" spans="1:53">
      <c r="C26" s="47"/>
      <c r="D26" s="47"/>
      <c r="E26" s="47"/>
      <c r="F26" s="47"/>
      <c r="G26" s="47"/>
      <c r="H26" s="47"/>
      <c r="I26" s="47"/>
      <c r="J26" s="47"/>
      <c r="K26" s="47"/>
      <c r="L26" s="47"/>
      <c r="M26" s="47"/>
      <c r="N26" s="47"/>
      <c r="O26" s="47"/>
      <c r="P26" s="47"/>
      <c r="Q26" s="47"/>
      <c r="R26" s="47"/>
      <c r="S26" s="47"/>
      <c r="T26" s="47"/>
      <c r="U26" s="47"/>
      <c r="V26" s="47"/>
      <c r="W26" s="47"/>
      <c r="X26" s="47"/>
      <c r="Y26" s="47"/>
      <c r="Z26" s="47"/>
      <c r="AA26" s="47"/>
    </row>
    <row r="27" spans="1:53">
      <c r="A27" s="9" t="s">
        <v>10</v>
      </c>
      <c r="B27" s="66" t="s">
        <v>2944</v>
      </c>
      <c r="C27" s="395"/>
      <c r="D27" s="395"/>
      <c r="E27" s="395"/>
      <c r="F27" s="395"/>
      <c r="G27" s="395"/>
      <c r="H27" s="395"/>
      <c r="I27" s="395"/>
      <c r="J27" s="395"/>
      <c r="K27" s="395"/>
      <c r="L27" s="395"/>
      <c r="M27" s="395"/>
      <c r="N27" s="395"/>
      <c r="O27" s="395"/>
      <c r="P27" s="395"/>
      <c r="Q27" s="38"/>
      <c r="R27" s="38"/>
      <c r="S27" s="38"/>
      <c r="T27" s="38"/>
      <c r="U27" s="38"/>
      <c r="V27" s="38"/>
      <c r="W27" s="38"/>
      <c r="X27" s="38"/>
      <c r="Y27" s="38"/>
      <c r="Z27" s="38"/>
      <c r="AA27" s="38"/>
      <c r="AB27" s="38"/>
      <c r="AC27" s="38"/>
      <c r="AD27" s="38"/>
      <c r="AE27" s="38"/>
    </row>
    <row r="28" spans="1:53">
      <c r="B28" s="65"/>
      <c r="C28" s="38"/>
      <c r="D28" s="38"/>
      <c r="E28" s="75"/>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53" ht="21.65" customHeight="1">
      <c r="B29" s="65"/>
      <c r="C29" s="59" t="s">
        <v>152</v>
      </c>
      <c r="D29" s="98" t="s">
        <v>153</v>
      </c>
      <c r="E29" s="75"/>
      <c r="G29" s="38"/>
      <c r="H29" s="38"/>
      <c r="I29" s="73"/>
      <c r="J29" s="74"/>
      <c r="K29" s="38"/>
      <c r="L29" s="38"/>
      <c r="M29" s="38"/>
      <c r="N29" s="38"/>
      <c r="O29" s="38"/>
      <c r="P29" s="38"/>
      <c r="Q29" s="38"/>
      <c r="R29" s="38"/>
      <c r="S29" s="38"/>
      <c r="T29" s="38"/>
      <c r="U29" s="38"/>
      <c r="V29" s="38"/>
      <c r="W29" s="38"/>
      <c r="X29" s="38"/>
      <c r="Y29" s="38">
        <f>2000*3500/10^6</f>
        <v>7</v>
      </c>
      <c r="Z29" s="38"/>
      <c r="AA29" s="38"/>
      <c r="AB29" s="38"/>
      <c r="AC29" s="38"/>
      <c r="AD29" s="38"/>
      <c r="AE29" s="38"/>
    </row>
    <row r="30" spans="1:53">
      <c r="B30" s="12" t="s">
        <v>2518</v>
      </c>
      <c r="C30" s="24">
        <f>Epidemiology!C104</f>
        <v>0.47</v>
      </c>
      <c r="D30" s="24">
        <f>1-C30</f>
        <v>0.53</v>
      </c>
      <c r="E30" s="75"/>
      <c r="G30" s="38"/>
      <c r="H30" s="71"/>
      <c r="I30" s="71"/>
      <c r="J30" s="70"/>
      <c r="K30" s="38"/>
      <c r="L30" s="38"/>
      <c r="M30" s="38"/>
      <c r="N30" s="38"/>
      <c r="O30" s="38"/>
      <c r="P30" s="38"/>
      <c r="Q30" s="38"/>
      <c r="R30" s="38"/>
      <c r="S30" s="38"/>
      <c r="T30" s="38"/>
      <c r="U30" s="38"/>
      <c r="V30" s="38"/>
      <c r="W30" s="38"/>
      <c r="X30" s="38"/>
      <c r="Y30" s="38"/>
      <c r="Z30" s="38"/>
      <c r="AA30" s="38"/>
      <c r="AB30" s="38"/>
      <c r="AC30" s="38"/>
      <c r="AD30" s="38"/>
      <c r="AE30" s="38"/>
    </row>
    <row r="31" spans="1:53">
      <c r="E31" s="75"/>
      <c r="G31" s="38"/>
      <c r="H31" s="71"/>
      <c r="I31" s="71"/>
      <c r="J31" s="38"/>
      <c r="K31" s="38"/>
      <c r="L31" s="38"/>
      <c r="M31" s="38"/>
      <c r="N31" s="38"/>
      <c r="O31" s="38"/>
      <c r="P31" s="38"/>
      <c r="Q31" s="38"/>
      <c r="R31" s="38"/>
      <c r="S31" s="38"/>
      <c r="T31" s="38"/>
      <c r="U31" s="38"/>
      <c r="V31" s="38"/>
      <c r="W31" s="38"/>
      <c r="X31" s="38"/>
      <c r="Y31" s="38"/>
      <c r="Z31" s="38"/>
      <c r="AA31" s="38"/>
      <c r="AB31" s="38"/>
      <c r="AC31" s="38"/>
      <c r="AD31" s="38"/>
      <c r="AE31" s="38"/>
    </row>
    <row r="32" spans="1:53" s="4" customFormat="1">
      <c r="B32" s="67"/>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53" s="4" customFormat="1">
      <c r="C33" s="34">
        <f>'Prevalence projection'!C$21</f>
        <v>2020</v>
      </c>
      <c r="D33" s="34">
        <f>'Prevalence projection'!D$21</f>
        <v>2021</v>
      </c>
      <c r="E33" s="34">
        <f>'Prevalence projection'!E$21</f>
        <v>2022</v>
      </c>
      <c r="F33" s="34">
        <f>'Prevalence projection'!F$21</f>
        <v>2023</v>
      </c>
      <c r="G33" s="34">
        <f>'Prevalence projection'!G$21</f>
        <v>2024</v>
      </c>
      <c r="H33" s="34">
        <f>'Prevalence projection'!H$21</f>
        <v>2025</v>
      </c>
      <c r="I33" s="34">
        <f>'Prevalence projection'!I$21</f>
        <v>2026</v>
      </c>
      <c r="J33" s="34">
        <f>'Prevalence projection'!J$21</f>
        <v>2027</v>
      </c>
      <c r="K33" s="34">
        <f>'Prevalence projection'!K$21</f>
        <v>2028</v>
      </c>
      <c r="L33" s="34">
        <f>'Prevalence projection'!L$21</f>
        <v>2029</v>
      </c>
      <c r="M33" s="34">
        <f>'Prevalence projection'!M$21</f>
        <v>2030</v>
      </c>
      <c r="N33" s="34">
        <f>'Prevalence projection'!N$21</f>
        <v>2031</v>
      </c>
      <c r="O33" s="34">
        <f>'Prevalence projection'!O$21</f>
        <v>2032</v>
      </c>
      <c r="P33" s="34">
        <f>'Prevalence projection'!P$21</f>
        <v>2033</v>
      </c>
      <c r="Q33" s="34">
        <f>'Prevalence projection'!Q$21</f>
        <v>2034</v>
      </c>
      <c r="R33" s="34">
        <f>'Prevalence projection'!R$21</f>
        <v>2035</v>
      </c>
      <c r="S33" s="34">
        <f>'Prevalence projection'!S$21</f>
        <v>2036</v>
      </c>
      <c r="T33" s="34">
        <f>'Prevalence projection'!T$21</f>
        <v>2037</v>
      </c>
      <c r="U33" s="34">
        <f>'Prevalence projection'!U$21</f>
        <v>2038</v>
      </c>
      <c r="V33" s="34">
        <f>'Prevalence projection'!V$21</f>
        <v>2039</v>
      </c>
      <c r="W33" s="34">
        <f>'Prevalence projection'!W$21</f>
        <v>2040</v>
      </c>
      <c r="X33" s="34">
        <f>'Prevalence projection'!X$21</f>
        <v>2041</v>
      </c>
      <c r="Y33" s="34">
        <f>'Prevalence projection'!Y$21</f>
        <v>2042</v>
      </c>
      <c r="Z33" s="34">
        <f>'Prevalence projection'!Z$21</f>
        <v>2043</v>
      </c>
      <c r="AA33" s="34">
        <f>'Prevalence projection'!AA$21</f>
        <v>2044</v>
      </c>
      <c r="AB33" s="34">
        <f>'Prevalence projection'!AB$21</f>
        <v>2045</v>
      </c>
      <c r="AC33" s="34">
        <f>'Prevalence projection'!AC$21</f>
        <v>2046</v>
      </c>
      <c r="AD33" s="34">
        <f>'Prevalence projection'!AD$21</f>
        <v>2047</v>
      </c>
      <c r="AE33" s="34">
        <f>'Prevalence projection'!AE$21</f>
        <v>2048</v>
      </c>
      <c r="AF33" s="34">
        <f>'Prevalence projection'!AF$21</f>
        <v>2049</v>
      </c>
      <c r="AG33" s="34">
        <f>'Prevalence projection'!AG$21</f>
        <v>2050</v>
      </c>
      <c r="AH33" s="34">
        <f>'Prevalence projection'!AH$21</f>
        <v>2051</v>
      </c>
      <c r="AI33" s="34">
        <f>'Prevalence projection'!AI$21</f>
        <v>2052</v>
      </c>
      <c r="AJ33" s="34">
        <f>'Prevalence projection'!AJ$21</f>
        <v>2053</v>
      </c>
      <c r="AK33" s="34">
        <f>'Prevalence projection'!AK$21</f>
        <v>2054</v>
      </c>
      <c r="AL33" s="34">
        <f>'Prevalence projection'!AL$21</f>
        <v>2055</v>
      </c>
      <c r="AM33" s="34">
        <f>'Prevalence projection'!AM$21</f>
        <v>2056</v>
      </c>
      <c r="AN33" s="34">
        <f>'Prevalence projection'!AN$21</f>
        <v>2057</v>
      </c>
      <c r="AO33" s="34">
        <f>'Prevalence projection'!AO$21</f>
        <v>2058</v>
      </c>
      <c r="AP33" s="34">
        <f>'Prevalence projection'!AP$21</f>
        <v>2059</v>
      </c>
      <c r="AQ33" s="34">
        <f>'Prevalence projection'!AQ$21</f>
        <v>2060</v>
      </c>
      <c r="AR33" s="34">
        <f>'Prevalence projection'!AR$21</f>
        <v>2061</v>
      </c>
      <c r="AS33" s="34">
        <f>'Prevalence projection'!AS$21</f>
        <v>2062</v>
      </c>
      <c r="AT33" s="34">
        <f>'Prevalence projection'!AT$21</f>
        <v>2063</v>
      </c>
      <c r="AU33" s="34">
        <f>'Prevalence projection'!AU$21</f>
        <v>2064</v>
      </c>
      <c r="AV33" s="34">
        <f>'Prevalence projection'!AV$21</f>
        <v>2065</v>
      </c>
      <c r="AW33" s="34">
        <f>'Prevalence projection'!AW$21</f>
        <v>2066</v>
      </c>
      <c r="AX33" s="34">
        <f>'Prevalence projection'!AX$21</f>
        <v>2067</v>
      </c>
      <c r="AY33" s="34">
        <f>'Prevalence projection'!AY$21</f>
        <v>2068</v>
      </c>
      <c r="AZ33" s="34">
        <f>'Prevalence projection'!AZ$21</f>
        <v>2069</v>
      </c>
      <c r="BA33" s="34">
        <f>'Prevalence projection'!BA$21</f>
        <v>2070</v>
      </c>
    </row>
    <row r="34" spans="1:53" s="9" customFormat="1" ht="18.649999999999999" customHeight="1">
      <c r="B34" s="14" t="s">
        <v>2519</v>
      </c>
      <c r="C34" s="40">
        <f t="shared" ref="C34:AE34" si="22">C23</f>
        <v>283.5</v>
      </c>
      <c r="D34" s="40">
        <f t="shared" si="22"/>
        <v>293.19015912843923</v>
      </c>
      <c r="E34" s="40">
        <f t="shared" si="22"/>
        <v>301.48374143342193</v>
      </c>
      <c r="F34" s="40">
        <f t="shared" si="22"/>
        <v>308.83682243526221</v>
      </c>
      <c r="G34" s="40">
        <f t="shared" si="22"/>
        <v>315.66336153104555</v>
      </c>
      <c r="H34" s="40">
        <f t="shared" si="22"/>
        <v>322.19175345226876</v>
      </c>
      <c r="I34" s="40">
        <f t="shared" si="22"/>
        <v>328.42933957913374</v>
      </c>
      <c r="J34" s="40">
        <f t="shared" si="22"/>
        <v>334.48368644395077</v>
      </c>
      <c r="K34" s="40">
        <f t="shared" si="22"/>
        <v>340.99506544330711</v>
      </c>
      <c r="L34" s="40">
        <f t="shared" si="22"/>
        <v>347.54433910494078</v>
      </c>
      <c r="M34" s="40">
        <f t="shared" si="22"/>
        <v>353.9335530451695</v>
      </c>
      <c r="N34" s="40">
        <f t="shared" si="22"/>
        <v>360.08149765896474</v>
      </c>
      <c r="O34" s="40">
        <f t="shared" si="22"/>
        <v>365.94273719361729</v>
      </c>
      <c r="P34" s="40">
        <f t="shared" si="22"/>
        <v>371.63357254034554</v>
      </c>
      <c r="Q34" s="40">
        <f t="shared" si="22"/>
        <v>377.28462221783354</v>
      </c>
      <c r="R34" s="40">
        <f t="shared" si="22"/>
        <v>382.91124507394051</v>
      </c>
      <c r="S34" s="40">
        <f t="shared" si="22"/>
        <v>388.40785027493911</v>
      </c>
      <c r="T34" s="40">
        <f t="shared" si="22"/>
        <v>393.79137790071479</v>
      </c>
      <c r="U34" s="40">
        <f t="shared" si="22"/>
        <v>399.30705953387786</v>
      </c>
      <c r="V34" s="40">
        <f t="shared" si="22"/>
        <v>404.74467173140539</v>
      </c>
      <c r="W34" s="40">
        <f t="shared" si="22"/>
        <v>410.04642242123879</v>
      </c>
      <c r="X34" s="40">
        <f t="shared" si="22"/>
        <v>415.20473751024616</v>
      </c>
      <c r="Y34" s="40">
        <f t="shared" si="22"/>
        <v>420.31948942780423</v>
      </c>
      <c r="Z34" s="40">
        <f t="shared" si="22"/>
        <v>425.36743791398737</v>
      </c>
      <c r="AA34" s="40">
        <f t="shared" si="22"/>
        <v>430.30770230249254</v>
      </c>
      <c r="AB34" s="40">
        <f t="shared" si="22"/>
        <v>435.10950561269595</v>
      </c>
      <c r="AC34" s="40">
        <f t="shared" si="22"/>
        <v>439.74266739692985</v>
      </c>
      <c r="AD34" s="40">
        <f t="shared" si="22"/>
        <v>444.18569541933527</v>
      </c>
      <c r="AE34" s="40">
        <f t="shared" si="22"/>
        <v>448.41940089072472</v>
      </c>
      <c r="AF34" s="40">
        <f t="shared" ref="AF34:AO34" si="23">AF23</f>
        <v>452.46367760839098</v>
      </c>
      <c r="AG34" s="40">
        <f t="shared" si="23"/>
        <v>456.41100265391947</v>
      </c>
      <c r="AH34" s="40">
        <f t="shared" si="23"/>
        <v>460.27011631298654</v>
      </c>
      <c r="AI34" s="40">
        <f t="shared" si="23"/>
        <v>464.07389002202655</v>
      </c>
      <c r="AJ34" s="40">
        <f t="shared" si="23"/>
        <v>467.71828530869021</v>
      </c>
      <c r="AK34" s="40">
        <f t="shared" si="23"/>
        <v>471.12633268040184</v>
      </c>
      <c r="AL34" s="40">
        <f t="shared" si="23"/>
        <v>474.24785259532592</v>
      </c>
      <c r="AM34" s="40">
        <f t="shared" si="23"/>
        <v>477.11785402259244</v>
      </c>
      <c r="AN34" s="40">
        <f t="shared" si="23"/>
        <v>479.74524078913566</v>
      </c>
      <c r="AO34" s="40">
        <f t="shared" si="23"/>
        <v>482.11835741990541</v>
      </c>
      <c r="AP34" s="40">
        <f t="shared" ref="AP34:AY34" si="24">AP23</f>
        <v>484.34999220145539</v>
      </c>
      <c r="AQ34" s="40">
        <f t="shared" si="24"/>
        <v>486.56341593324072</v>
      </c>
      <c r="AR34" s="40">
        <f t="shared" si="24"/>
        <v>488.85460170855845</v>
      </c>
      <c r="AS34" s="40">
        <f t="shared" si="24"/>
        <v>490.58043739381657</v>
      </c>
      <c r="AT34" s="40">
        <f t="shared" si="24"/>
        <v>491.88042312373727</v>
      </c>
      <c r="AU34" s="40">
        <f t="shared" si="24"/>
        <v>492.8596373748</v>
      </c>
      <c r="AV34" s="40">
        <f t="shared" si="24"/>
        <v>493.59723050941307</v>
      </c>
      <c r="AW34" s="40">
        <f t="shared" si="24"/>
        <v>494.15282253806032</v>
      </c>
      <c r="AX34" s="40">
        <f t="shared" si="24"/>
        <v>494.57132223363885</v>
      </c>
      <c r="AY34" s="40">
        <f t="shared" si="24"/>
        <v>494.88655712933343</v>
      </c>
      <c r="AZ34" s="40">
        <f t="shared" ref="AZ34:BA34" si="25">AZ23</f>
        <v>495.12400781451532</v>
      </c>
      <c r="BA34" s="40">
        <f t="shared" si="25"/>
        <v>495.30286754312863</v>
      </c>
    </row>
    <row r="35" spans="1:53" s="9" customFormat="1" ht="15.65" customHeight="1">
      <c r="B35" s="14" t="s">
        <v>97</v>
      </c>
      <c r="C35" s="40">
        <f>C34*$C$30</f>
        <v>133.245</v>
      </c>
      <c r="D35" s="40">
        <f t="shared" ref="D35:AE35" si="26">D34*$C$30</f>
        <v>137.79937479036644</v>
      </c>
      <c r="E35" s="40">
        <f t="shared" si="26"/>
        <v>141.69735847370831</v>
      </c>
      <c r="F35" s="40">
        <f t="shared" si="26"/>
        <v>145.15330654457324</v>
      </c>
      <c r="G35" s="40">
        <f t="shared" si="26"/>
        <v>148.36177991959141</v>
      </c>
      <c r="H35" s="40">
        <f t="shared" si="26"/>
        <v>151.4301241225663</v>
      </c>
      <c r="I35" s="40">
        <f t="shared" si="26"/>
        <v>154.36178960219286</v>
      </c>
      <c r="J35" s="40">
        <f t="shared" si="26"/>
        <v>157.20733262865684</v>
      </c>
      <c r="K35" s="40">
        <f t="shared" si="26"/>
        <v>160.26768075835435</v>
      </c>
      <c r="L35" s="40">
        <f t="shared" si="26"/>
        <v>163.34583937932214</v>
      </c>
      <c r="M35" s="40">
        <f t="shared" si="26"/>
        <v>166.34876993122967</v>
      </c>
      <c r="N35" s="40">
        <f t="shared" si="26"/>
        <v>169.23830389971343</v>
      </c>
      <c r="O35" s="40">
        <f t="shared" si="26"/>
        <v>171.99308648100012</v>
      </c>
      <c r="P35" s="40">
        <f t="shared" si="26"/>
        <v>174.66777909396239</v>
      </c>
      <c r="Q35" s="40">
        <f t="shared" si="26"/>
        <v>177.32377244238177</v>
      </c>
      <c r="R35" s="40">
        <f t="shared" si="26"/>
        <v>179.96828518475203</v>
      </c>
      <c r="S35" s="40">
        <f t="shared" si="26"/>
        <v>182.55168962922136</v>
      </c>
      <c r="T35" s="40">
        <f t="shared" si="26"/>
        <v>185.08194761333596</v>
      </c>
      <c r="U35" s="40">
        <f t="shared" si="26"/>
        <v>187.67431798092258</v>
      </c>
      <c r="V35" s="40">
        <f t="shared" si="26"/>
        <v>190.22999571376053</v>
      </c>
      <c r="W35" s="40">
        <f t="shared" si="26"/>
        <v>192.72181853798222</v>
      </c>
      <c r="X35" s="40">
        <f t="shared" si="26"/>
        <v>195.14622662981569</v>
      </c>
      <c r="Y35" s="40">
        <f t="shared" si="26"/>
        <v>197.55016003106797</v>
      </c>
      <c r="Z35" s="40">
        <f t="shared" si="26"/>
        <v>199.92269581957405</v>
      </c>
      <c r="AA35" s="40">
        <f t="shared" si="26"/>
        <v>202.24462008217148</v>
      </c>
      <c r="AB35" s="40">
        <f t="shared" si="26"/>
        <v>204.5014676379671</v>
      </c>
      <c r="AC35" s="40">
        <f t="shared" si="26"/>
        <v>206.679053676557</v>
      </c>
      <c r="AD35" s="40">
        <f t="shared" si="26"/>
        <v>208.76727684708757</v>
      </c>
      <c r="AE35" s="40">
        <f t="shared" si="26"/>
        <v>210.7571184186406</v>
      </c>
      <c r="AF35" s="40">
        <f t="shared" ref="AF35:AO35" si="27">AF34*$C$30</f>
        <v>212.65792847594375</v>
      </c>
      <c r="AG35" s="40">
        <f t="shared" si="27"/>
        <v>214.51317124734214</v>
      </c>
      <c r="AH35" s="40">
        <f t="shared" si="27"/>
        <v>216.32695466710368</v>
      </c>
      <c r="AI35" s="40">
        <f t="shared" si="27"/>
        <v>218.11472831035246</v>
      </c>
      <c r="AJ35" s="40">
        <f t="shared" si="27"/>
        <v>219.82759409508438</v>
      </c>
      <c r="AK35" s="40">
        <f t="shared" si="27"/>
        <v>221.42937635978885</v>
      </c>
      <c r="AL35" s="40">
        <f t="shared" si="27"/>
        <v>222.89649071980318</v>
      </c>
      <c r="AM35" s="40">
        <f t="shared" si="27"/>
        <v>224.24539139061844</v>
      </c>
      <c r="AN35" s="40">
        <f t="shared" si="27"/>
        <v>225.48026317089375</v>
      </c>
      <c r="AO35" s="40">
        <f t="shared" si="27"/>
        <v>226.59562798735553</v>
      </c>
      <c r="AP35" s="40">
        <f t="shared" ref="AP35:AY35" si="28">AP34*$C$30</f>
        <v>227.64449633468402</v>
      </c>
      <c r="AQ35" s="40">
        <f t="shared" si="28"/>
        <v>228.68480548862311</v>
      </c>
      <c r="AR35" s="40">
        <f t="shared" si="28"/>
        <v>229.76166280302246</v>
      </c>
      <c r="AS35" s="40">
        <f t="shared" si="28"/>
        <v>230.57280557509378</v>
      </c>
      <c r="AT35" s="40">
        <f t="shared" si="28"/>
        <v>231.18379886815652</v>
      </c>
      <c r="AU35" s="40">
        <f t="shared" si="28"/>
        <v>231.64402956615598</v>
      </c>
      <c r="AV35" s="40">
        <f t="shared" si="28"/>
        <v>231.99069833942411</v>
      </c>
      <c r="AW35" s="40">
        <f t="shared" si="28"/>
        <v>232.25182659288834</v>
      </c>
      <c r="AX35" s="40">
        <f t="shared" si="28"/>
        <v>232.44852144981024</v>
      </c>
      <c r="AY35" s="40">
        <f t="shared" si="28"/>
        <v>232.59668185078669</v>
      </c>
      <c r="AZ35" s="40">
        <f t="shared" ref="AZ35:BA35" si="29">AZ34*$C$30</f>
        <v>232.70828367282218</v>
      </c>
      <c r="BA35" s="40">
        <f t="shared" si="29"/>
        <v>232.79234774527043</v>
      </c>
    </row>
    <row r="36" spans="1:53" s="9" customFormat="1" ht="21" customHeight="1">
      <c r="B36" s="14" t="s">
        <v>98</v>
      </c>
      <c r="C36" s="40">
        <f>C34-C35</f>
        <v>150.255</v>
      </c>
      <c r="D36" s="40">
        <f t="shared" ref="D36:AE36" si="30">D34-D35</f>
        <v>155.39078433807279</v>
      </c>
      <c r="E36" s="40">
        <f t="shared" si="30"/>
        <v>159.78638295971362</v>
      </c>
      <c r="F36" s="40">
        <f t="shared" si="30"/>
        <v>163.68351589068897</v>
      </c>
      <c r="G36" s="40">
        <f t="shared" si="30"/>
        <v>167.30158161145414</v>
      </c>
      <c r="H36" s="40">
        <f t="shared" si="30"/>
        <v>170.76162932970246</v>
      </c>
      <c r="I36" s="40">
        <f t="shared" si="30"/>
        <v>174.06754997694088</v>
      </c>
      <c r="J36" s="40">
        <f t="shared" si="30"/>
        <v>177.27635381529393</v>
      </c>
      <c r="K36" s="40">
        <f t="shared" si="30"/>
        <v>180.72738468495277</v>
      </c>
      <c r="L36" s="40">
        <f t="shared" si="30"/>
        <v>184.19849972561863</v>
      </c>
      <c r="M36" s="40">
        <f t="shared" si="30"/>
        <v>187.58478311393984</v>
      </c>
      <c r="N36" s="40">
        <f t="shared" si="30"/>
        <v>190.84319375925131</v>
      </c>
      <c r="O36" s="40">
        <f t="shared" si="30"/>
        <v>193.94965071261717</v>
      </c>
      <c r="P36" s="40">
        <f t="shared" si="30"/>
        <v>196.96579344638315</v>
      </c>
      <c r="Q36" s="40">
        <f t="shared" si="30"/>
        <v>199.96084977545178</v>
      </c>
      <c r="R36" s="40">
        <f t="shared" si="30"/>
        <v>202.94295988918847</v>
      </c>
      <c r="S36" s="40">
        <f t="shared" si="30"/>
        <v>205.85616064571775</v>
      </c>
      <c r="T36" s="40">
        <f t="shared" si="30"/>
        <v>208.70943028737884</v>
      </c>
      <c r="U36" s="40">
        <f t="shared" si="30"/>
        <v>211.63274155295528</v>
      </c>
      <c r="V36" s="40">
        <f t="shared" si="30"/>
        <v>214.51467601764486</v>
      </c>
      <c r="W36" s="40">
        <f t="shared" si="30"/>
        <v>217.32460388325657</v>
      </c>
      <c r="X36" s="40">
        <f t="shared" si="30"/>
        <v>220.05851088043048</v>
      </c>
      <c r="Y36" s="40">
        <f t="shared" si="30"/>
        <v>222.76932939673625</v>
      </c>
      <c r="Z36" s="40">
        <f t="shared" si="30"/>
        <v>225.44474209441333</v>
      </c>
      <c r="AA36" s="40">
        <f t="shared" si="30"/>
        <v>228.06308222032106</v>
      </c>
      <c r="AB36" s="40">
        <f t="shared" si="30"/>
        <v>230.60803797472886</v>
      </c>
      <c r="AC36" s="40">
        <f t="shared" si="30"/>
        <v>233.06361372037284</v>
      </c>
      <c r="AD36" s="40">
        <f t="shared" si="30"/>
        <v>235.4184185722477</v>
      </c>
      <c r="AE36" s="40">
        <f t="shared" si="30"/>
        <v>237.66228247208412</v>
      </c>
      <c r="AF36" s="40">
        <f t="shared" ref="AF36:AO36" si="31">AF34-AF35</f>
        <v>239.80574913244723</v>
      </c>
      <c r="AG36" s="40">
        <f t="shared" si="31"/>
        <v>241.89783140657732</v>
      </c>
      <c r="AH36" s="40">
        <f t="shared" si="31"/>
        <v>243.94316164588287</v>
      </c>
      <c r="AI36" s="40">
        <f t="shared" si="31"/>
        <v>245.95916171167408</v>
      </c>
      <c r="AJ36" s="40">
        <f t="shared" si="31"/>
        <v>247.89069121360583</v>
      </c>
      <c r="AK36" s="40">
        <f t="shared" si="31"/>
        <v>249.696956320613</v>
      </c>
      <c r="AL36" s="40">
        <f t="shared" si="31"/>
        <v>251.35136187552274</v>
      </c>
      <c r="AM36" s="40">
        <f t="shared" si="31"/>
        <v>252.872462631974</v>
      </c>
      <c r="AN36" s="40">
        <f t="shared" si="31"/>
        <v>254.26497761824191</v>
      </c>
      <c r="AO36" s="40">
        <f t="shared" si="31"/>
        <v>255.52272943254988</v>
      </c>
      <c r="AP36" s="40">
        <f t="shared" ref="AP36:AY36" si="32">AP34-AP35</f>
        <v>256.70549586677134</v>
      </c>
      <c r="AQ36" s="40">
        <f t="shared" si="32"/>
        <v>257.87861044461761</v>
      </c>
      <c r="AR36" s="40">
        <f t="shared" si="32"/>
        <v>259.09293890553602</v>
      </c>
      <c r="AS36" s="40">
        <f t="shared" si="32"/>
        <v>260.00763181872276</v>
      </c>
      <c r="AT36" s="40">
        <f t="shared" si="32"/>
        <v>260.69662425558079</v>
      </c>
      <c r="AU36" s="40">
        <f t="shared" si="32"/>
        <v>261.21560780864399</v>
      </c>
      <c r="AV36" s="40">
        <f t="shared" si="32"/>
        <v>261.60653216998895</v>
      </c>
      <c r="AW36" s="40">
        <f t="shared" si="32"/>
        <v>261.90099594517199</v>
      </c>
      <c r="AX36" s="40">
        <f t="shared" si="32"/>
        <v>262.12280078382861</v>
      </c>
      <c r="AY36" s="40">
        <f t="shared" si="32"/>
        <v>262.28987527854673</v>
      </c>
      <c r="AZ36" s="40">
        <f t="shared" ref="AZ36:BA36" si="33">AZ34-AZ35</f>
        <v>262.41572414169315</v>
      </c>
      <c r="BA36" s="40">
        <f t="shared" si="33"/>
        <v>262.51051979785819</v>
      </c>
    </row>
    <row r="37" spans="1:53">
      <c r="C37" s="75" t="b">
        <f>C36/C34=$D$30</f>
        <v>1</v>
      </c>
      <c r="D37" s="75" t="b">
        <f t="shared" ref="D37:AE37" si="34">D36/D34=$D$30</f>
        <v>1</v>
      </c>
      <c r="E37" s="75" t="b">
        <f t="shared" si="34"/>
        <v>1</v>
      </c>
      <c r="F37" s="75" t="b">
        <f t="shared" si="34"/>
        <v>1</v>
      </c>
      <c r="G37" s="75" t="b">
        <f t="shared" si="34"/>
        <v>1</v>
      </c>
      <c r="H37" s="75" t="b">
        <f t="shared" si="34"/>
        <v>1</v>
      </c>
      <c r="I37" s="75" t="b">
        <f t="shared" si="34"/>
        <v>1</v>
      </c>
      <c r="J37" s="75" t="b">
        <f t="shared" si="34"/>
        <v>1</v>
      </c>
      <c r="K37" s="75" t="b">
        <f t="shared" si="34"/>
        <v>1</v>
      </c>
      <c r="L37" s="75" t="b">
        <f t="shared" si="34"/>
        <v>1</v>
      </c>
      <c r="M37" s="75" t="b">
        <f t="shared" si="34"/>
        <v>1</v>
      </c>
      <c r="N37" s="75" t="b">
        <f t="shared" si="34"/>
        <v>1</v>
      </c>
      <c r="O37" s="75" t="b">
        <f t="shared" si="34"/>
        <v>1</v>
      </c>
      <c r="P37" s="75" t="b">
        <f t="shared" si="34"/>
        <v>1</v>
      </c>
      <c r="Q37" s="75" t="b">
        <f t="shared" si="34"/>
        <v>1</v>
      </c>
      <c r="R37" s="75" t="b">
        <f t="shared" si="34"/>
        <v>1</v>
      </c>
      <c r="S37" s="75" t="b">
        <f t="shared" si="34"/>
        <v>1</v>
      </c>
      <c r="T37" s="75" t="b">
        <f t="shared" si="34"/>
        <v>1</v>
      </c>
      <c r="U37" s="75" t="b">
        <f t="shared" si="34"/>
        <v>1</v>
      </c>
      <c r="V37" s="75" t="b">
        <f t="shared" si="34"/>
        <v>1</v>
      </c>
      <c r="W37" s="75" t="b">
        <f t="shared" si="34"/>
        <v>1</v>
      </c>
      <c r="X37" s="75" t="b">
        <f t="shared" si="34"/>
        <v>1</v>
      </c>
      <c r="Y37" s="75" t="b">
        <f t="shared" si="34"/>
        <v>1</v>
      </c>
      <c r="Z37" s="75" t="b">
        <f t="shared" si="34"/>
        <v>1</v>
      </c>
      <c r="AA37" s="75" t="b">
        <f t="shared" si="34"/>
        <v>1</v>
      </c>
      <c r="AB37" s="75" t="b">
        <f t="shared" si="34"/>
        <v>1</v>
      </c>
      <c r="AC37" s="75" t="b">
        <f t="shared" si="34"/>
        <v>1</v>
      </c>
      <c r="AD37" s="75" t="b">
        <f t="shared" si="34"/>
        <v>1</v>
      </c>
      <c r="AE37" s="75" t="b">
        <f t="shared" si="34"/>
        <v>1</v>
      </c>
    </row>
    <row r="40" spans="1:53">
      <c r="L40">
        <f>L35/L34</f>
        <v>0.46999999999999992</v>
      </c>
    </row>
    <row r="41" spans="1:53" s="588" customFormat="1">
      <c r="A41" s="593" t="s">
        <v>2942</v>
      </c>
    </row>
    <row r="42" spans="1:53">
      <c r="A42" s="9"/>
    </row>
    <row r="43" spans="1:53">
      <c r="A43" s="9" t="s">
        <v>10</v>
      </c>
      <c r="B43" s="9" t="s">
        <v>2957</v>
      </c>
    </row>
    <row r="45" spans="1:53" ht="32" customHeight="1">
      <c r="C45" s="62" t="s">
        <v>3678</v>
      </c>
    </row>
    <row r="46" spans="1:53" ht="23" customHeight="1">
      <c r="B46" s="12" t="s">
        <v>5</v>
      </c>
      <c r="C46" s="42">
        <f>Epidemiology!C86</f>
        <v>5.5000000000000003E-4</v>
      </c>
    </row>
    <row r="47" spans="1:53" ht="23" customHeight="1">
      <c r="B47" s="12" t="s">
        <v>3679</v>
      </c>
      <c r="C47" s="12">
        <f>'Control Assumptions'!C47</f>
        <v>150000</v>
      </c>
    </row>
    <row r="48" spans="1:53" ht="23" customHeight="1">
      <c r="B48" s="12" t="s">
        <v>2947</v>
      </c>
      <c r="C48" s="12">
        <f>C46*C47</f>
        <v>82.5</v>
      </c>
    </row>
    <row r="51" spans="1:53">
      <c r="A51" s="9" t="s">
        <v>10</v>
      </c>
      <c r="B51" s="9" t="s">
        <v>2946</v>
      </c>
    </row>
    <row r="53" spans="1:53">
      <c r="C53" s="59">
        <f>C33</f>
        <v>2020</v>
      </c>
      <c r="D53" s="59">
        <f t="shared" ref="D53:AE53" si="35">D33</f>
        <v>2021</v>
      </c>
      <c r="E53" s="59">
        <f t="shared" si="35"/>
        <v>2022</v>
      </c>
      <c r="F53" s="59">
        <f t="shared" si="35"/>
        <v>2023</v>
      </c>
      <c r="G53" s="59">
        <f t="shared" si="35"/>
        <v>2024</v>
      </c>
      <c r="H53" s="59">
        <f t="shared" si="35"/>
        <v>2025</v>
      </c>
      <c r="I53" s="59">
        <f t="shared" si="35"/>
        <v>2026</v>
      </c>
      <c r="J53" s="59">
        <f t="shared" si="35"/>
        <v>2027</v>
      </c>
      <c r="K53" s="59">
        <f t="shared" si="35"/>
        <v>2028</v>
      </c>
      <c r="L53" s="59">
        <f t="shared" si="35"/>
        <v>2029</v>
      </c>
      <c r="M53" s="59">
        <f t="shared" si="35"/>
        <v>2030</v>
      </c>
      <c r="N53" s="59">
        <f t="shared" si="35"/>
        <v>2031</v>
      </c>
      <c r="O53" s="59">
        <f t="shared" si="35"/>
        <v>2032</v>
      </c>
      <c r="P53" s="59">
        <f t="shared" si="35"/>
        <v>2033</v>
      </c>
      <c r="Q53" s="59">
        <f t="shared" si="35"/>
        <v>2034</v>
      </c>
      <c r="R53" s="59">
        <f t="shared" si="35"/>
        <v>2035</v>
      </c>
      <c r="S53" s="59">
        <f t="shared" si="35"/>
        <v>2036</v>
      </c>
      <c r="T53" s="59">
        <f t="shared" si="35"/>
        <v>2037</v>
      </c>
      <c r="U53" s="59">
        <f t="shared" si="35"/>
        <v>2038</v>
      </c>
      <c r="V53" s="59">
        <f t="shared" si="35"/>
        <v>2039</v>
      </c>
      <c r="W53" s="59">
        <f t="shared" si="35"/>
        <v>2040</v>
      </c>
      <c r="X53" s="59">
        <f t="shared" si="35"/>
        <v>2041</v>
      </c>
      <c r="Y53" s="59">
        <f t="shared" si="35"/>
        <v>2042</v>
      </c>
      <c r="Z53" s="59">
        <f t="shared" si="35"/>
        <v>2043</v>
      </c>
      <c r="AA53" s="59">
        <f t="shared" si="35"/>
        <v>2044</v>
      </c>
      <c r="AB53" s="59">
        <f t="shared" si="35"/>
        <v>2045</v>
      </c>
      <c r="AC53" s="59">
        <f t="shared" si="35"/>
        <v>2046</v>
      </c>
      <c r="AD53" s="59">
        <f t="shared" si="35"/>
        <v>2047</v>
      </c>
      <c r="AE53" s="59">
        <f t="shared" si="35"/>
        <v>2048</v>
      </c>
      <c r="AF53" s="59">
        <f t="shared" ref="AF53:AO53" si="36">AF33</f>
        <v>2049</v>
      </c>
      <c r="AG53" s="59">
        <f t="shared" si="36"/>
        <v>2050</v>
      </c>
      <c r="AH53" s="59">
        <f t="shared" si="36"/>
        <v>2051</v>
      </c>
      <c r="AI53" s="59">
        <f t="shared" si="36"/>
        <v>2052</v>
      </c>
      <c r="AJ53" s="59">
        <f t="shared" si="36"/>
        <v>2053</v>
      </c>
      <c r="AK53" s="59">
        <f t="shared" si="36"/>
        <v>2054</v>
      </c>
      <c r="AL53" s="59">
        <f t="shared" si="36"/>
        <v>2055</v>
      </c>
      <c r="AM53" s="59">
        <f t="shared" si="36"/>
        <v>2056</v>
      </c>
      <c r="AN53" s="59">
        <f t="shared" si="36"/>
        <v>2057</v>
      </c>
      <c r="AO53" s="59">
        <f t="shared" si="36"/>
        <v>2058</v>
      </c>
      <c r="AP53" s="59">
        <f t="shared" ref="AP53:AY53" si="37">AP33</f>
        <v>2059</v>
      </c>
      <c r="AQ53" s="59">
        <f t="shared" si="37"/>
        <v>2060</v>
      </c>
      <c r="AR53" s="59">
        <f t="shared" si="37"/>
        <v>2061</v>
      </c>
      <c r="AS53" s="59">
        <f t="shared" si="37"/>
        <v>2062</v>
      </c>
      <c r="AT53" s="59">
        <f t="shared" si="37"/>
        <v>2063</v>
      </c>
      <c r="AU53" s="59">
        <f t="shared" si="37"/>
        <v>2064</v>
      </c>
      <c r="AV53" s="59">
        <f t="shared" si="37"/>
        <v>2065</v>
      </c>
      <c r="AW53" s="59">
        <f t="shared" si="37"/>
        <v>2066</v>
      </c>
      <c r="AX53" s="59">
        <f t="shared" si="37"/>
        <v>2067</v>
      </c>
      <c r="AY53" s="59">
        <f t="shared" si="37"/>
        <v>2068</v>
      </c>
      <c r="AZ53" s="59">
        <f t="shared" ref="AZ53:BA53" si="38">AZ33</f>
        <v>2069</v>
      </c>
      <c r="BA53" s="59">
        <f t="shared" si="38"/>
        <v>2070</v>
      </c>
    </row>
    <row r="54" spans="1:53">
      <c r="B54" s="12" t="s">
        <v>86</v>
      </c>
      <c r="C54" s="153">
        <f>'Wound growth'!C103</f>
        <v>0</v>
      </c>
      <c r="D54" s="153">
        <f>'Wound growth'!D103</f>
        <v>3.8439422994360983E-2</v>
      </c>
      <c r="E54" s="153">
        <f>'Wound growth'!E103</f>
        <v>3.1967941068333561E-2</v>
      </c>
      <c r="F54" s="153">
        <f>'Wound growth'!F103</f>
        <v>2.7502371346320054E-2</v>
      </c>
      <c r="G54" s="153">
        <f>'Wound growth'!G103</f>
        <v>2.4666830975591747E-2</v>
      </c>
      <c r="H54" s="153">
        <f>'Wound growth'!H103</f>
        <v>2.2759686842755533E-2</v>
      </c>
      <c r="I54" s="153">
        <f>'Wound growth'!I103</f>
        <v>2.1065653542864826E-2</v>
      </c>
      <c r="J54" s="153">
        <f>'Wound growth'!J103</f>
        <v>1.9823257132959737E-2</v>
      </c>
      <c r="K54" s="153">
        <f>'Wound growth'!K103</f>
        <v>2.0430553140793339E-2</v>
      </c>
      <c r="L54" s="153">
        <f>'Wound growth'!L103</f>
        <v>1.996742010554442E-2</v>
      </c>
      <c r="M54" s="153">
        <f>'Wound growth'!M103</f>
        <v>1.9044895007276574E-2</v>
      </c>
      <c r="N54" s="153">
        <f>'Wound growth'!N103</f>
        <v>1.7974380816321966E-2</v>
      </c>
      <c r="O54" s="153">
        <f>'Wound growth'!O103</f>
        <v>1.6846771123799176E-2</v>
      </c>
      <c r="P54" s="153">
        <f>'Wound growth'!P103</f>
        <v>1.6058817432920369E-2</v>
      </c>
      <c r="Q54" s="153">
        <f>'Wound growth'!Q103</f>
        <v>1.5629466656073454E-2</v>
      </c>
      <c r="R54" s="153">
        <f>'Wound growth'!R103</f>
        <v>1.5267451932659881E-2</v>
      </c>
      <c r="S54" s="153">
        <f>'Wound growth'!S103</f>
        <v>1.4682023441217273E-2</v>
      </c>
      <c r="T54" s="153">
        <f>'Wound growth'!T103</f>
        <v>1.416111550405863E-2</v>
      </c>
      <c r="U54" s="153">
        <f>'Wound growth'!U103</f>
        <v>1.4223077880675117E-2</v>
      </c>
      <c r="V54" s="153">
        <f>'Wound growth'!V103</f>
        <v>1.3822903245196638E-2</v>
      </c>
      <c r="W54" s="153">
        <f>'Wound growth'!W103</f>
        <v>1.3308808741161027E-2</v>
      </c>
      <c r="X54" s="153">
        <f>'Wound growth'!X103</f>
        <v>1.2793353467503099E-2</v>
      </c>
      <c r="Y54" s="153">
        <f>'Wound growth'!Y103</f>
        <v>1.2509238060021133E-2</v>
      </c>
      <c r="Z54" s="153">
        <f>'Wound growth'!Z103</f>
        <v>1.2187653390676845E-2</v>
      </c>
      <c r="AA54" s="153">
        <f>'Wound growth'!AA103</f>
        <v>1.179101645275904E-2</v>
      </c>
      <c r="AB54" s="153">
        <f>'Wound growth'!AB103</f>
        <v>1.1341290041634533E-2</v>
      </c>
      <c r="AC54" s="153">
        <f>'Wound growth'!AC103</f>
        <v>1.0840472522533062E-2</v>
      </c>
      <c r="AD54" s="153">
        <f>'Wound growth'!AD103</f>
        <v>1.0307140625104072E-2</v>
      </c>
      <c r="AE54" s="153">
        <f>'Wound growth'!AE103</f>
        <v>9.7464901227746203E-3</v>
      </c>
      <c r="AF54" s="153">
        <f>'Wound growth'!AF103</f>
        <v>9.2371691033523717E-3</v>
      </c>
      <c r="AG54" s="153">
        <f>'Wound growth'!AG103</f>
        <v>8.9226783114038088E-3</v>
      </c>
      <c r="AH54" s="153">
        <f>'Wound growth'!AH103</f>
        <v>8.6362430911124388E-3</v>
      </c>
      <c r="AI54" s="153">
        <f>'Wound growth'!AI103</f>
        <v>8.4235754835768617E-3</v>
      </c>
      <c r="AJ54" s="153">
        <f>'Wound growth'!AJ103</f>
        <v>8.0183546964063268E-3</v>
      </c>
      <c r="AK54" s="153">
        <f>'Wound growth'!AK103</f>
        <v>7.4724927789999729E-3</v>
      </c>
      <c r="AL54" s="153">
        <f>'Wound growth'!AL103</f>
        <v>6.8374457860040927E-3</v>
      </c>
      <c r="AM54" s="153">
        <f>'Wound growth'!AM103</f>
        <v>6.2747534837204189E-3</v>
      </c>
      <c r="AN54" s="153">
        <f>'Wound growth'!AN103</f>
        <v>5.7357891009652828E-3</v>
      </c>
      <c r="AO54" s="153">
        <f>'Wound growth'!AO103</f>
        <v>5.1820043282029271E-3</v>
      </c>
      <c r="AP54" s="153">
        <f>'Wound growth'!AP103</f>
        <v>4.8442628326819115E-3</v>
      </c>
      <c r="AQ54" s="153">
        <f>'Wound growth'!AQ103</f>
        <v>4.7431340769497066E-3</v>
      </c>
      <c r="AR54" s="153">
        <f>'Wound growth'!AR103</f>
        <v>4.8288780613892079E-3</v>
      </c>
      <c r="AS54" s="153">
        <f>'Wound growth'!AS103</f>
        <v>3.7460213684492594E-3</v>
      </c>
      <c r="AT54" s="153">
        <f>'Wound growth'!AT103</f>
        <v>2.9091260085147841E-3</v>
      </c>
      <c r="AU54" s="153">
        <f>'Wound growth'!AU103</f>
        <v>2.261085939722518E-3</v>
      </c>
      <c r="AV54" s="153">
        <f>'Wound growth'!AV103</f>
        <v>1.7585402793136584E-3</v>
      </c>
      <c r="AW54" s="153">
        <f>'Wound growth'!AW103</f>
        <v>1.3683758037568161E-3</v>
      </c>
      <c r="AX54" s="153">
        <f>'Wound growth'!AX103</f>
        <v>1.0651913569492688E-3</v>
      </c>
      <c r="AY54" s="153">
        <f>'Wound growth'!AY103</f>
        <v>8.294331577112235E-4</v>
      </c>
      <c r="AZ54" s="153">
        <f>'Wound growth'!AZ103</f>
        <v>6.4600732653907755E-4</v>
      </c>
      <c r="BA54" s="153">
        <f>'Wound growth'!BA103</f>
        <v>5.0323761585047144E-4</v>
      </c>
    </row>
    <row r="55" spans="1:53">
      <c r="B55" s="12" t="s">
        <v>2948</v>
      </c>
      <c r="C55" s="39">
        <f>C48</f>
        <v>82.5</v>
      </c>
      <c r="D55" s="39">
        <f>C55*(1+D54)</f>
        <v>85.671252397034777</v>
      </c>
      <c r="E55" s="39">
        <f t="shared" ref="E55:AE55" si="39">D55*(1+E54)</f>
        <v>88.409985944913515</v>
      </c>
      <c r="F55" s="39">
        <f t="shared" si="39"/>
        <v>90.841470209093458</v>
      </c>
      <c r="G55" s="39">
        <f t="shared" si="39"/>
        <v>93.082241400315425</v>
      </c>
      <c r="H55" s="39">
        <f t="shared" si="39"/>
        <v>95.200764065208375</v>
      </c>
      <c r="I55" s="39">
        <f t="shared" si="39"/>
        <v>97.20623037802207</v>
      </c>
      <c r="J55" s="39">
        <f t="shared" si="39"/>
        <v>99.13317447773133</v>
      </c>
      <c r="K55" s="39">
        <f t="shared" si="39"/>
        <v>101.15852006691416</v>
      </c>
      <c r="L55" s="39">
        <f t="shared" si="39"/>
        <v>103.17839473434539</v>
      </c>
      <c r="M55" s="39">
        <f t="shared" si="39"/>
        <v>105.14341642908033</v>
      </c>
      <c r="N55" s="39">
        <f t="shared" si="39"/>
        <v>107.03330423630574</v>
      </c>
      <c r="O55" s="39">
        <f t="shared" si="39"/>
        <v>108.83646981539874</v>
      </c>
      <c r="P55" s="39">
        <f t="shared" si="39"/>
        <v>110.58425481420778</v>
      </c>
      <c r="Q55" s="39">
        <f t="shared" si="39"/>
        <v>112.31262773751317</v>
      </c>
      <c r="R55" s="39">
        <f t="shared" si="39"/>
        <v>114.02735538292637</v>
      </c>
      <c r="S55" s="39">
        <f t="shared" si="39"/>
        <v>115.70150768759851</v>
      </c>
      <c r="T55" s="39">
        <f t="shared" si="39"/>
        <v>117.33997010195631</v>
      </c>
      <c r="U55" s="39">
        <f t="shared" si="39"/>
        <v>119.00890563523252</v>
      </c>
      <c r="V55" s="39">
        <f t="shared" si="39"/>
        <v>120.65395422314508</v>
      </c>
      <c r="W55" s="39">
        <f t="shared" si="39"/>
        <v>122.25971462376572</v>
      </c>
      <c r="X55" s="39">
        <f t="shared" si="39"/>
        <v>123.82382636778361</v>
      </c>
      <c r="Y55" s="39">
        <f t="shared" si="39"/>
        <v>125.37276808932094</v>
      </c>
      <c r="Z55" s="39">
        <f t="shared" si="39"/>
        <v>126.9007679314233</v>
      </c>
      <c r="AA55" s="39">
        <f t="shared" si="39"/>
        <v>128.39705697397048</v>
      </c>
      <c r="AB55" s="39">
        <f t="shared" si="39"/>
        <v>129.85324523760454</v>
      </c>
      <c r="AC55" s="39">
        <f t="shared" si="39"/>
        <v>131.26091577456455</v>
      </c>
      <c r="AD55" s="39">
        <f t="shared" si="39"/>
        <v>132.61384049203292</v>
      </c>
      <c r="AE55" s="39">
        <f t="shared" si="39"/>
        <v>133.90635997853173</v>
      </c>
      <c r="AF55" s="39">
        <f t="shared" ref="AF55" si="40">AE55*(1+AF54)</f>
        <v>135.14327566966779</v>
      </c>
      <c r="AG55" s="39">
        <f t="shared" ref="AG55" si="41">AF55*(1+AG54)</f>
        <v>136.34911564441759</v>
      </c>
      <c r="AH55" s="39">
        <f t="shared" ref="AH55" si="42">AG55*(1+AH54)</f>
        <v>137.52665975238099</v>
      </c>
      <c r="AI55" s="39">
        <f t="shared" ref="AI55" si="43">AH55*(1+AI54)</f>
        <v>138.68512595180937</v>
      </c>
      <c r="AJ55" s="39">
        <f t="shared" ref="AJ55" si="44">AI55*(1+AJ54)</f>
        <v>139.79715248280675</v>
      </c>
      <c r="AK55" s="39">
        <f t="shared" ref="AK55" si="45">AJ55*(1+AK54)</f>
        <v>140.84178569525929</v>
      </c>
      <c r="AL55" s="39">
        <f t="shared" ref="AL55" si="46">AK55*(1+AL54)</f>
        <v>141.80478376935463</v>
      </c>
      <c r="AM55" s="39">
        <f t="shared" ref="AM55" si="47">AL55*(1+AM54)</f>
        <v>142.6945738303196</v>
      </c>
      <c r="AN55" s="39">
        <f t="shared" ref="AN55" si="48">AM55*(1+AN54)</f>
        <v>143.51303981166242</v>
      </c>
      <c r="AO55" s="39">
        <f t="shared" ref="AO55" si="49">AN55*(1+AO54)</f>
        <v>144.25672500512002</v>
      </c>
      <c r="AP55" s="39">
        <f t="shared" ref="AP55" si="50">AO55*(1+AP54)</f>
        <v>144.95554249642674</v>
      </c>
      <c r="AQ55" s="39">
        <f t="shared" ref="AQ55" si="51">AP55*(1+AQ54)</f>
        <v>145.64308606968427</v>
      </c>
      <c r="AR55" s="39">
        <f t="shared" ref="AR55" si="52">AQ55*(1+AR54)</f>
        <v>146.3463787727992</v>
      </c>
      <c r="AS55" s="39">
        <f t="shared" ref="AS55" si="53">AR55*(1+AS54)</f>
        <v>146.89459543487726</v>
      </c>
      <c r="AT55" s="39">
        <f t="shared" ref="AT55" si="54">AS55*(1+AT54)</f>
        <v>147.32193032296712</v>
      </c>
      <c r="AU55" s="39">
        <f t="shared" ref="AU55" si="55">AT55*(1+AU54)</f>
        <v>147.65503786823317</v>
      </c>
      <c r="AV55" s="39">
        <f t="shared" ref="AV55" si="56">AU55*(1+AV54)</f>
        <v>147.91469519976803</v>
      </c>
      <c r="AW55" s="39">
        <f t="shared" ref="AW55" si="57">AV55*(1+AW54)</f>
        <v>148.11709808969945</v>
      </c>
      <c r="AX55" s="39">
        <f t="shared" ref="AX55" si="58">AW55*(1+AX54)</f>
        <v>148.274871142401</v>
      </c>
      <c r="AY55" s="39">
        <f t="shared" ref="AY55" si="59">AX55*(1+AY54)</f>
        <v>148.39785523698185</v>
      </c>
      <c r="AZ55" s="39">
        <f t="shared" ref="AZ55:BA55" si="60">AY55*(1+AZ54)</f>
        <v>148.49372133870764</v>
      </c>
      <c r="BA55" s="39">
        <f t="shared" si="60"/>
        <v>148.56844896500289</v>
      </c>
    </row>
    <row r="56" spans="1:53">
      <c r="B56" s="63"/>
      <c r="C56" s="64" t="b">
        <f>C55=C48</f>
        <v>1</v>
      </c>
      <c r="D56" s="64"/>
      <c r="E56" s="64"/>
      <c r="F56" s="64"/>
      <c r="G56" s="64"/>
      <c r="H56" s="64"/>
      <c r="I56" s="64"/>
      <c r="J56" s="64"/>
      <c r="K56" s="64"/>
      <c r="L56" s="64"/>
      <c r="M56" s="64"/>
      <c r="N56" s="64"/>
      <c r="O56" s="64"/>
      <c r="P56" s="64"/>
      <c r="Q56" s="64"/>
      <c r="R56" s="64"/>
      <c r="S56" s="64"/>
      <c r="T56" s="64"/>
      <c r="U56" s="64"/>
      <c r="V56" s="64"/>
      <c r="W56" s="64"/>
      <c r="X56" s="64"/>
      <c r="Y56" s="64"/>
      <c r="Z56" s="64"/>
      <c r="AA56" s="64"/>
      <c r="AB56" s="64"/>
      <c r="AC56" s="64"/>
      <c r="AD56" s="64"/>
      <c r="AE56" s="64"/>
      <c r="AF56" s="64"/>
      <c r="AG56" s="64"/>
      <c r="AH56" s="64"/>
      <c r="AI56" s="64"/>
      <c r="AJ56" s="64"/>
      <c r="AK56" s="64"/>
      <c r="AL56" s="64"/>
      <c r="AM56" s="64"/>
      <c r="AN56" s="64"/>
      <c r="AO56" s="64"/>
      <c r="AP56" s="64"/>
      <c r="AQ56" s="64"/>
      <c r="AR56" s="64"/>
      <c r="AS56" s="64"/>
      <c r="AT56" s="64"/>
      <c r="AU56" s="64"/>
      <c r="AV56" s="64"/>
      <c r="AW56" s="64"/>
      <c r="AX56" s="64"/>
      <c r="AY56" s="64"/>
      <c r="AZ56" s="64"/>
      <c r="BA56" s="64"/>
    </row>
    <row r="57" spans="1:53">
      <c r="B57" s="63"/>
      <c r="C57" s="395"/>
      <c r="D57" s="395"/>
      <c r="E57" s="395"/>
      <c r="F57" s="395"/>
      <c r="G57" s="395"/>
      <c r="H57" s="395"/>
      <c r="I57" s="395"/>
      <c r="J57" s="395"/>
      <c r="K57" s="395"/>
      <c r="L57" s="395"/>
      <c r="M57" s="395"/>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row>
    <row r="58" spans="1:53">
      <c r="C58" s="47"/>
      <c r="D58" s="47"/>
      <c r="E58" s="47"/>
      <c r="F58" s="47"/>
      <c r="G58" s="47"/>
      <c r="H58" s="47"/>
      <c r="I58" s="47"/>
      <c r="J58" s="47"/>
      <c r="K58" s="47"/>
      <c r="L58" s="47"/>
      <c r="M58" s="47"/>
    </row>
    <row r="59" spans="1:53">
      <c r="A59" s="9" t="s">
        <v>10</v>
      </c>
      <c r="B59" s="66" t="s">
        <v>2943</v>
      </c>
      <c r="C59" s="395"/>
      <c r="D59" s="395"/>
      <c r="E59" s="395"/>
      <c r="F59" s="395"/>
      <c r="G59" s="395"/>
      <c r="H59" s="395"/>
      <c r="I59" s="395"/>
      <c r="J59" s="395"/>
      <c r="K59" s="395"/>
      <c r="L59" s="395"/>
      <c r="M59" s="395"/>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row>
    <row r="60" spans="1:53">
      <c r="B60" s="65"/>
      <c r="C60" s="38"/>
      <c r="D60" s="38"/>
      <c r="E60" s="75"/>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row>
    <row r="61" spans="1:53" ht="21.65" customHeight="1">
      <c r="B61" s="65"/>
      <c r="C61" s="59" t="s">
        <v>152</v>
      </c>
      <c r="D61" s="98" t="s">
        <v>153</v>
      </c>
      <c r="E61" s="75"/>
      <c r="G61" s="38"/>
      <c r="H61" s="38"/>
      <c r="I61" s="73"/>
      <c r="J61" s="74"/>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row>
    <row r="62" spans="1:53">
      <c r="B62" s="12" t="s">
        <v>2949</v>
      </c>
      <c r="C62" s="24">
        <f>Epidemiology!C102</f>
        <v>0.42</v>
      </c>
      <c r="D62" s="24">
        <f>1-C62</f>
        <v>0.58000000000000007</v>
      </c>
      <c r="E62" s="75"/>
      <c r="G62" s="38"/>
      <c r="H62" s="71"/>
      <c r="I62" s="71"/>
      <c r="J62" s="70"/>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row>
    <row r="63" spans="1:53">
      <c r="E63" s="75"/>
      <c r="G63" s="38"/>
      <c r="H63" s="71"/>
      <c r="I63" s="71"/>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row>
    <row r="64" spans="1:53" s="4" customFormat="1">
      <c r="B64" s="67"/>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row>
    <row r="65" spans="1:53" s="4" customFormat="1">
      <c r="C65" s="34">
        <f>'Prevalence projection'!C$21</f>
        <v>2020</v>
      </c>
      <c r="D65" s="34">
        <f>'Prevalence projection'!D$21</f>
        <v>2021</v>
      </c>
      <c r="E65" s="34">
        <f>'Prevalence projection'!E$21</f>
        <v>2022</v>
      </c>
      <c r="F65" s="34">
        <f>'Prevalence projection'!F$21</f>
        <v>2023</v>
      </c>
      <c r="G65" s="34">
        <f>'Prevalence projection'!G$21</f>
        <v>2024</v>
      </c>
      <c r="H65" s="34">
        <f>'Prevalence projection'!H$21</f>
        <v>2025</v>
      </c>
      <c r="I65" s="34">
        <f>'Prevalence projection'!I$21</f>
        <v>2026</v>
      </c>
      <c r="J65" s="34">
        <f>'Prevalence projection'!J$21</f>
        <v>2027</v>
      </c>
      <c r="K65" s="34">
        <f>'Prevalence projection'!K$21</f>
        <v>2028</v>
      </c>
      <c r="L65" s="34">
        <f>'Prevalence projection'!L$21</f>
        <v>2029</v>
      </c>
      <c r="M65" s="34">
        <f>'Prevalence projection'!M$21</f>
        <v>2030</v>
      </c>
      <c r="N65" s="34">
        <f>'Prevalence projection'!N$21</f>
        <v>2031</v>
      </c>
      <c r="O65" s="34">
        <f>'Prevalence projection'!O$21</f>
        <v>2032</v>
      </c>
      <c r="P65" s="34">
        <f>'Prevalence projection'!P$21</f>
        <v>2033</v>
      </c>
      <c r="Q65" s="34">
        <f>'Prevalence projection'!Q$21</f>
        <v>2034</v>
      </c>
      <c r="R65" s="34">
        <f>'Prevalence projection'!R$21</f>
        <v>2035</v>
      </c>
      <c r="S65" s="34">
        <f>'Prevalence projection'!S$21</f>
        <v>2036</v>
      </c>
      <c r="T65" s="34">
        <f>'Prevalence projection'!T$21</f>
        <v>2037</v>
      </c>
      <c r="U65" s="34">
        <f>'Prevalence projection'!U$21</f>
        <v>2038</v>
      </c>
      <c r="V65" s="34">
        <f>'Prevalence projection'!V$21</f>
        <v>2039</v>
      </c>
      <c r="W65" s="34">
        <f>'Prevalence projection'!W$21</f>
        <v>2040</v>
      </c>
      <c r="X65" s="34">
        <f>'Prevalence projection'!X$21</f>
        <v>2041</v>
      </c>
      <c r="Y65" s="34">
        <f>'Prevalence projection'!Y$21</f>
        <v>2042</v>
      </c>
      <c r="Z65" s="34">
        <f>'Prevalence projection'!Z$21</f>
        <v>2043</v>
      </c>
      <c r="AA65" s="34">
        <f>'Prevalence projection'!AA$21</f>
        <v>2044</v>
      </c>
      <c r="AB65" s="34">
        <f>'Prevalence projection'!AB$21</f>
        <v>2045</v>
      </c>
      <c r="AC65" s="34">
        <f>'Prevalence projection'!AC$21</f>
        <v>2046</v>
      </c>
      <c r="AD65" s="34">
        <f>'Prevalence projection'!AD$21</f>
        <v>2047</v>
      </c>
      <c r="AE65" s="34">
        <f>'Prevalence projection'!AE$21</f>
        <v>2048</v>
      </c>
      <c r="AF65" s="34">
        <f>'Prevalence projection'!AF$21</f>
        <v>2049</v>
      </c>
      <c r="AG65" s="34">
        <f>'Prevalence projection'!AG$21</f>
        <v>2050</v>
      </c>
      <c r="AH65" s="34">
        <f>'Prevalence projection'!AH$21</f>
        <v>2051</v>
      </c>
      <c r="AI65" s="34">
        <f>'Prevalence projection'!AI$21</f>
        <v>2052</v>
      </c>
      <c r="AJ65" s="34">
        <f>'Prevalence projection'!AJ$21</f>
        <v>2053</v>
      </c>
      <c r="AK65" s="34">
        <f>'Prevalence projection'!AK$21</f>
        <v>2054</v>
      </c>
      <c r="AL65" s="34">
        <f>'Prevalence projection'!AL$21</f>
        <v>2055</v>
      </c>
      <c r="AM65" s="34">
        <f>'Prevalence projection'!AM$21</f>
        <v>2056</v>
      </c>
      <c r="AN65" s="34">
        <f>'Prevalence projection'!AN$21</f>
        <v>2057</v>
      </c>
      <c r="AO65" s="34">
        <f>'Prevalence projection'!AO$21</f>
        <v>2058</v>
      </c>
      <c r="AP65" s="34">
        <f>'Prevalence projection'!AP$21</f>
        <v>2059</v>
      </c>
      <c r="AQ65" s="34">
        <f>'Prevalence projection'!AQ$21</f>
        <v>2060</v>
      </c>
      <c r="AR65" s="34">
        <f>'Prevalence projection'!AR$21</f>
        <v>2061</v>
      </c>
      <c r="AS65" s="34">
        <f>'Prevalence projection'!AS$21</f>
        <v>2062</v>
      </c>
      <c r="AT65" s="34">
        <f>'Prevalence projection'!AT$21</f>
        <v>2063</v>
      </c>
      <c r="AU65" s="34">
        <f>'Prevalence projection'!AU$21</f>
        <v>2064</v>
      </c>
      <c r="AV65" s="34">
        <f>'Prevalence projection'!AV$21</f>
        <v>2065</v>
      </c>
      <c r="AW65" s="34">
        <f>'Prevalence projection'!AW$21</f>
        <v>2066</v>
      </c>
      <c r="AX65" s="34">
        <f>'Prevalence projection'!AX$21</f>
        <v>2067</v>
      </c>
      <c r="AY65" s="34">
        <f>'Prevalence projection'!AY$21</f>
        <v>2068</v>
      </c>
      <c r="AZ65" s="34">
        <f>'Prevalence projection'!AZ$21</f>
        <v>2069</v>
      </c>
      <c r="BA65" s="34">
        <f>'Prevalence projection'!BA$21</f>
        <v>2070</v>
      </c>
    </row>
    <row r="66" spans="1:53" s="9" customFormat="1" ht="18.649999999999999" customHeight="1">
      <c r="B66" s="14" t="s">
        <v>2950</v>
      </c>
      <c r="C66" s="40">
        <f t="shared" ref="C66:AE66" si="61">C55</f>
        <v>82.5</v>
      </c>
      <c r="D66" s="40">
        <f t="shared" si="61"/>
        <v>85.671252397034777</v>
      </c>
      <c r="E66" s="40">
        <f t="shared" si="61"/>
        <v>88.409985944913515</v>
      </c>
      <c r="F66" s="40">
        <f t="shared" si="61"/>
        <v>90.841470209093458</v>
      </c>
      <c r="G66" s="40">
        <f t="shared" si="61"/>
        <v>93.082241400315425</v>
      </c>
      <c r="H66" s="40">
        <f t="shared" si="61"/>
        <v>95.200764065208375</v>
      </c>
      <c r="I66" s="40">
        <f t="shared" si="61"/>
        <v>97.20623037802207</v>
      </c>
      <c r="J66" s="40">
        <f t="shared" si="61"/>
        <v>99.13317447773133</v>
      </c>
      <c r="K66" s="40">
        <f t="shared" si="61"/>
        <v>101.15852006691416</v>
      </c>
      <c r="L66" s="40">
        <f t="shared" si="61"/>
        <v>103.17839473434539</v>
      </c>
      <c r="M66" s="40">
        <f t="shared" si="61"/>
        <v>105.14341642908033</v>
      </c>
      <c r="N66" s="40">
        <f t="shared" si="61"/>
        <v>107.03330423630574</v>
      </c>
      <c r="O66" s="40">
        <f t="shared" si="61"/>
        <v>108.83646981539874</v>
      </c>
      <c r="P66" s="40">
        <f t="shared" si="61"/>
        <v>110.58425481420778</v>
      </c>
      <c r="Q66" s="40">
        <f t="shared" si="61"/>
        <v>112.31262773751317</v>
      </c>
      <c r="R66" s="40">
        <f t="shared" si="61"/>
        <v>114.02735538292637</v>
      </c>
      <c r="S66" s="40">
        <f t="shared" si="61"/>
        <v>115.70150768759851</v>
      </c>
      <c r="T66" s="40">
        <f t="shared" si="61"/>
        <v>117.33997010195631</v>
      </c>
      <c r="U66" s="40">
        <f t="shared" si="61"/>
        <v>119.00890563523252</v>
      </c>
      <c r="V66" s="40">
        <f t="shared" si="61"/>
        <v>120.65395422314508</v>
      </c>
      <c r="W66" s="40">
        <f t="shared" si="61"/>
        <v>122.25971462376572</v>
      </c>
      <c r="X66" s="40">
        <f t="shared" si="61"/>
        <v>123.82382636778361</v>
      </c>
      <c r="Y66" s="40">
        <f t="shared" si="61"/>
        <v>125.37276808932094</v>
      </c>
      <c r="Z66" s="40">
        <f t="shared" si="61"/>
        <v>126.9007679314233</v>
      </c>
      <c r="AA66" s="40">
        <f t="shared" si="61"/>
        <v>128.39705697397048</v>
      </c>
      <c r="AB66" s="40">
        <f t="shared" si="61"/>
        <v>129.85324523760454</v>
      </c>
      <c r="AC66" s="40">
        <f t="shared" si="61"/>
        <v>131.26091577456455</v>
      </c>
      <c r="AD66" s="40">
        <f t="shared" si="61"/>
        <v>132.61384049203292</v>
      </c>
      <c r="AE66" s="40">
        <f t="shared" si="61"/>
        <v>133.90635997853173</v>
      </c>
      <c r="AF66" s="40">
        <f t="shared" ref="AF66:AO66" si="62">AF55</f>
        <v>135.14327566966779</v>
      </c>
      <c r="AG66" s="40">
        <f t="shared" si="62"/>
        <v>136.34911564441759</v>
      </c>
      <c r="AH66" s="40">
        <f t="shared" si="62"/>
        <v>137.52665975238099</v>
      </c>
      <c r="AI66" s="40">
        <f t="shared" si="62"/>
        <v>138.68512595180937</v>
      </c>
      <c r="AJ66" s="40">
        <f t="shared" si="62"/>
        <v>139.79715248280675</v>
      </c>
      <c r="AK66" s="40">
        <f t="shared" si="62"/>
        <v>140.84178569525929</v>
      </c>
      <c r="AL66" s="40">
        <f t="shared" si="62"/>
        <v>141.80478376935463</v>
      </c>
      <c r="AM66" s="40">
        <f t="shared" si="62"/>
        <v>142.6945738303196</v>
      </c>
      <c r="AN66" s="40">
        <f t="shared" si="62"/>
        <v>143.51303981166242</v>
      </c>
      <c r="AO66" s="40">
        <f t="shared" si="62"/>
        <v>144.25672500512002</v>
      </c>
      <c r="AP66" s="40">
        <f t="shared" ref="AP66:AY66" si="63">AP55</f>
        <v>144.95554249642674</v>
      </c>
      <c r="AQ66" s="40">
        <f t="shared" si="63"/>
        <v>145.64308606968427</v>
      </c>
      <c r="AR66" s="40">
        <f t="shared" si="63"/>
        <v>146.3463787727992</v>
      </c>
      <c r="AS66" s="40">
        <f t="shared" si="63"/>
        <v>146.89459543487726</v>
      </c>
      <c r="AT66" s="40">
        <f t="shared" si="63"/>
        <v>147.32193032296712</v>
      </c>
      <c r="AU66" s="40">
        <f t="shared" si="63"/>
        <v>147.65503786823317</v>
      </c>
      <c r="AV66" s="40">
        <f t="shared" si="63"/>
        <v>147.91469519976803</v>
      </c>
      <c r="AW66" s="40">
        <f t="shared" si="63"/>
        <v>148.11709808969945</v>
      </c>
      <c r="AX66" s="40">
        <f t="shared" si="63"/>
        <v>148.274871142401</v>
      </c>
      <c r="AY66" s="40">
        <f t="shared" si="63"/>
        <v>148.39785523698185</v>
      </c>
      <c r="AZ66" s="40">
        <f t="shared" ref="AZ66:BA66" si="64">AZ55</f>
        <v>148.49372133870764</v>
      </c>
      <c r="BA66" s="40">
        <f t="shared" si="64"/>
        <v>148.56844896500289</v>
      </c>
    </row>
    <row r="67" spans="1:53" s="9" customFormat="1" ht="15.65" customHeight="1">
      <c r="B67" s="14" t="s">
        <v>97</v>
      </c>
      <c r="C67" s="40">
        <f>C66*$C$62</f>
        <v>34.65</v>
      </c>
      <c r="D67" s="40">
        <f t="shared" ref="D67:AE67" si="65">D66*$C$62</f>
        <v>35.981926006754605</v>
      </c>
      <c r="E67" s="40">
        <f t="shared" si="65"/>
        <v>37.132194096863678</v>
      </c>
      <c r="F67" s="40">
        <f t="shared" si="65"/>
        <v>38.153417487819254</v>
      </c>
      <c r="G67" s="40">
        <f t="shared" si="65"/>
        <v>39.094541388132477</v>
      </c>
      <c r="H67" s="40">
        <f t="shared" si="65"/>
        <v>39.984320907387513</v>
      </c>
      <c r="I67" s="40">
        <f t="shared" si="65"/>
        <v>40.826616758769269</v>
      </c>
      <c r="J67" s="40">
        <f t="shared" si="65"/>
        <v>41.635933280647158</v>
      </c>
      <c r="K67" s="40">
        <f t="shared" si="65"/>
        <v>42.486578428103947</v>
      </c>
      <c r="L67" s="40">
        <f t="shared" si="65"/>
        <v>43.33492578842506</v>
      </c>
      <c r="M67" s="40">
        <f t="shared" si="65"/>
        <v>44.160234900213737</v>
      </c>
      <c r="N67" s="40">
        <f t="shared" si="65"/>
        <v>44.953987779248408</v>
      </c>
      <c r="O67" s="40">
        <f t="shared" si="65"/>
        <v>45.711317322467472</v>
      </c>
      <c r="P67" s="40">
        <f t="shared" si="65"/>
        <v>46.445387021967264</v>
      </c>
      <c r="Q67" s="40">
        <f t="shared" si="65"/>
        <v>47.171303649755529</v>
      </c>
      <c r="R67" s="40">
        <f t="shared" si="65"/>
        <v>47.891489260829076</v>
      </c>
      <c r="S67" s="40">
        <f t="shared" si="65"/>
        <v>48.594633228791373</v>
      </c>
      <c r="T67" s="40">
        <f t="shared" si="65"/>
        <v>49.28278744282165</v>
      </c>
      <c r="U67" s="40">
        <f t="shared" si="65"/>
        <v>49.983740366797655</v>
      </c>
      <c r="V67" s="40">
        <f t="shared" si="65"/>
        <v>50.67466077372093</v>
      </c>
      <c r="W67" s="40">
        <f t="shared" si="65"/>
        <v>51.349080141981602</v>
      </c>
      <c r="X67" s="40">
        <f t="shared" si="65"/>
        <v>52.006007074469117</v>
      </c>
      <c r="Y67" s="40">
        <f t="shared" si="65"/>
        <v>52.656562597514792</v>
      </c>
      <c r="Z67" s="40">
        <f t="shared" si="65"/>
        <v>53.298322531197783</v>
      </c>
      <c r="AA67" s="40">
        <f t="shared" si="65"/>
        <v>53.926763929067597</v>
      </c>
      <c r="AB67" s="40">
        <f t="shared" si="65"/>
        <v>54.538362999793904</v>
      </c>
      <c r="AC67" s="40">
        <f t="shared" si="65"/>
        <v>55.129584625317108</v>
      </c>
      <c r="AD67" s="40">
        <f t="shared" si="65"/>
        <v>55.697813006653824</v>
      </c>
      <c r="AE67" s="40">
        <f t="shared" si="65"/>
        <v>56.240671190983321</v>
      </c>
      <c r="AF67" s="40">
        <f t="shared" ref="AF67:AO67" si="66">AF66*$C$62</f>
        <v>56.760175781260472</v>
      </c>
      <c r="AG67" s="40">
        <f t="shared" si="66"/>
        <v>57.266628570655385</v>
      </c>
      <c r="AH67" s="40">
        <f t="shared" si="66"/>
        <v>57.761197096000018</v>
      </c>
      <c r="AI67" s="40">
        <f t="shared" si="66"/>
        <v>58.247752899759931</v>
      </c>
      <c r="AJ67" s="40">
        <f t="shared" si="66"/>
        <v>58.71480404277883</v>
      </c>
      <c r="AK67" s="40">
        <f t="shared" si="66"/>
        <v>59.153549992008898</v>
      </c>
      <c r="AL67" s="40">
        <f t="shared" si="66"/>
        <v>59.558009183128945</v>
      </c>
      <c r="AM67" s="40">
        <f t="shared" si="66"/>
        <v>59.931721008734229</v>
      </c>
      <c r="AN67" s="40">
        <f t="shared" si="66"/>
        <v>60.275476720898219</v>
      </c>
      <c r="AO67" s="40">
        <f t="shared" si="66"/>
        <v>60.587824502150404</v>
      </c>
      <c r="AP67" s="40">
        <f t="shared" ref="AP67:AY67" si="67">AP66*$C$62</f>
        <v>60.881327848499232</v>
      </c>
      <c r="AQ67" s="40">
        <f t="shared" si="67"/>
        <v>61.170096149267394</v>
      </c>
      <c r="AR67" s="40">
        <f t="shared" si="67"/>
        <v>61.465479084575662</v>
      </c>
      <c r="AS67" s="40">
        <f t="shared" si="67"/>
        <v>61.695730082648446</v>
      </c>
      <c r="AT67" s="40">
        <f t="shared" si="67"/>
        <v>61.875210735646185</v>
      </c>
      <c r="AU67" s="40">
        <f t="shared" si="67"/>
        <v>62.015115904657925</v>
      </c>
      <c r="AV67" s="40">
        <f t="shared" si="67"/>
        <v>62.124171983902571</v>
      </c>
      <c r="AW67" s="40">
        <f t="shared" si="67"/>
        <v>62.209181197673772</v>
      </c>
      <c r="AX67" s="40">
        <f t="shared" si="67"/>
        <v>62.275445879808416</v>
      </c>
      <c r="AY67" s="40">
        <f t="shared" si="67"/>
        <v>62.327099199532377</v>
      </c>
      <c r="AZ67" s="40">
        <f t="shared" ref="AZ67:BA67" si="68">AZ66*$C$62</f>
        <v>62.367362962257211</v>
      </c>
      <c r="BA67" s="40">
        <f t="shared" si="68"/>
        <v>62.398748565301211</v>
      </c>
    </row>
    <row r="68" spans="1:53" s="9" customFormat="1" ht="21" customHeight="1">
      <c r="B68" s="14" t="s">
        <v>98</v>
      </c>
      <c r="C68" s="40">
        <f>C66-C67</f>
        <v>47.85</v>
      </c>
      <c r="D68" s="40">
        <f t="shared" ref="D68:AE68" si="69">D66-D67</f>
        <v>49.689326390280172</v>
      </c>
      <c r="E68" s="40">
        <f t="shared" si="69"/>
        <v>51.277791848049837</v>
      </c>
      <c r="F68" s="40">
        <f t="shared" si="69"/>
        <v>52.688052721274204</v>
      </c>
      <c r="G68" s="40">
        <f t="shared" si="69"/>
        <v>53.987700012182948</v>
      </c>
      <c r="H68" s="40">
        <f t="shared" si="69"/>
        <v>55.216443157820862</v>
      </c>
      <c r="I68" s="40">
        <f t="shared" si="69"/>
        <v>56.379613619252801</v>
      </c>
      <c r="J68" s="40">
        <f t="shared" si="69"/>
        <v>57.497241197084172</v>
      </c>
      <c r="K68" s="40">
        <f t="shared" si="69"/>
        <v>58.671941638810218</v>
      </c>
      <c r="L68" s="40">
        <f t="shared" si="69"/>
        <v>59.843468945920328</v>
      </c>
      <c r="M68" s="40">
        <f t="shared" si="69"/>
        <v>60.983181528866595</v>
      </c>
      <c r="N68" s="40">
        <f t="shared" si="69"/>
        <v>62.079316457057331</v>
      </c>
      <c r="O68" s="40">
        <f t="shared" si="69"/>
        <v>63.125152492931271</v>
      </c>
      <c r="P68" s="40">
        <f t="shared" si="69"/>
        <v>64.138867792240518</v>
      </c>
      <c r="Q68" s="40">
        <f t="shared" si="69"/>
        <v>65.141324087757638</v>
      </c>
      <c r="R68" s="40">
        <f t="shared" si="69"/>
        <v>66.135866122097298</v>
      </c>
      <c r="S68" s="40">
        <f t="shared" si="69"/>
        <v>67.106874458807141</v>
      </c>
      <c r="T68" s="40">
        <f t="shared" si="69"/>
        <v>68.057182659134668</v>
      </c>
      <c r="U68" s="40">
        <f t="shared" si="69"/>
        <v>69.025165268434876</v>
      </c>
      <c r="V68" s="40">
        <f t="shared" si="69"/>
        <v>69.979293449424148</v>
      </c>
      <c r="W68" s="40">
        <f t="shared" si="69"/>
        <v>70.910634481784115</v>
      </c>
      <c r="X68" s="40">
        <f t="shared" si="69"/>
        <v>71.8178192933145</v>
      </c>
      <c r="Y68" s="40">
        <f t="shared" si="69"/>
        <v>72.71620549180615</v>
      </c>
      <c r="Z68" s="40">
        <f t="shared" si="69"/>
        <v>73.60244540022552</v>
      </c>
      <c r="AA68" s="40">
        <f t="shared" si="69"/>
        <v>74.470293044902888</v>
      </c>
      <c r="AB68" s="40">
        <f t="shared" si="69"/>
        <v>75.314882237810636</v>
      </c>
      <c r="AC68" s="40">
        <f t="shared" si="69"/>
        <v>76.131331149247444</v>
      </c>
      <c r="AD68" s="40">
        <f t="shared" si="69"/>
        <v>76.91602748537909</v>
      </c>
      <c r="AE68" s="40">
        <f t="shared" si="69"/>
        <v>77.665688787548405</v>
      </c>
      <c r="AF68" s="40">
        <f t="shared" ref="AF68:AO68" si="70">AF66-AF67</f>
        <v>78.383099888407315</v>
      </c>
      <c r="AG68" s="40">
        <f t="shared" si="70"/>
        <v>79.082487073762209</v>
      </c>
      <c r="AH68" s="40">
        <f t="shared" si="70"/>
        <v>79.765462656380976</v>
      </c>
      <c r="AI68" s="40">
        <f t="shared" si="70"/>
        <v>80.437373052049438</v>
      </c>
      <c r="AJ68" s="40">
        <f t="shared" si="70"/>
        <v>81.082348440027914</v>
      </c>
      <c r="AK68" s="40">
        <f t="shared" si="70"/>
        <v>81.688235703250399</v>
      </c>
      <c r="AL68" s="40">
        <f t="shared" si="70"/>
        <v>82.246774586225683</v>
      </c>
      <c r="AM68" s="40">
        <f t="shared" si="70"/>
        <v>82.762852821585369</v>
      </c>
      <c r="AN68" s="40">
        <f t="shared" si="70"/>
        <v>83.237563090764212</v>
      </c>
      <c r="AO68" s="40">
        <f t="shared" si="70"/>
        <v>83.66890050296962</v>
      </c>
      <c r="AP68" s="40">
        <f t="shared" ref="AP68:AY68" si="71">AP66-AP67</f>
        <v>84.074214647927505</v>
      </c>
      <c r="AQ68" s="40">
        <f t="shared" si="71"/>
        <v>84.472989920416879</v>
      </c>
      <c r="AR68" s="40">
        <f t="shared" si="71"/>
        <v>84.880899688223536</v>
      </c>
      <c r="AS68" s="40">
        <f t="shared" si="71"/>
        <v>85.198865352228808</v>
      </c>
      <c r="AT68" s="40">
        <f t="shared" si="71"/>
        <v>85.446719587320928</v>
      </c>
      <c r="AU68" s="40">
        <f t="shared" si="71"/>
        <v>85.639921963575233</v>
      </c>
      <c r="AV68" s="40">
        <f t="shared" si="71"/>
        <v>85.790523215865463</v>
      </c>
      <c r="AW68" s="40">
        <f t="shared" si="71"/>
        <v>85.907916892025682</v>
      </c>
      <c r="AX68" s="40">
        <f t="shared" si="71"/>
        <v>85.999425262592581</v>
      </c>
      <c r="AY68" s="40">
        <f t="shared" si="71"/>
        <v>86.070756037449485</v>
      </c>
      <c r="AZ68" s="40">
        <f t="shared" ref="AZ68:BA68" si="72">AZ66-AZ67</f>
        <v>86.12635837645044</v>
      </c>
      <c r="BA68" s="40">
        <f t="shared" si="72"/>
        <v>86.169700399701668</v>
      </c>
    </row>
    <row r="69" spans="1:53">
      <c r="C69" s="75" t="b">
        <f>C68/C66=$D$62</f>
        <v>1</v>
      </c>
      <c r="D69" s="75" t="b">
        <f t="shared" ref="D69:AE69" si="73">D68/D66=$D$62</f>
        <v>1</v>
      </c>
      <c r="E69" s="75" t="b">
        <f t="shared" si="73"/>
        <v>1</v>
      </c>
      <c r="F69" s="75" t="b">
        <f t="shared" si="73"/>
        <v>1</v>
      </c>
      <c r="G69" s="75" t="b">
        <f t="shared" si="73"/>
        <v>1</v>
      </c>
      <c r="H69" s="75" t="b">
        <f t="shared" si="73"/>
        <v>1</v>
      </c>
      <c r="I69" s="75" t="b">
        <f t="shared" si="73"/>
        <v>1</v>
      </c>
      <c r="J69" s="75" t="b">
        <f t="shared" si="73"/>
        <v>1</v>
      </c>
      <c r="K69" s="75" t="b">
        <f t="shared" si="73"/>
        <v>1</v>
      </c>
      <c r="L69" s="75" t="b">
        <f t="shared" si="73"/>
        <v>1</v>
      </c>
      <c r="M69" s="75" t="b">
        <f t="shared" si="73"/>
        <v>1</v>
      </c>
      <c r="N69" s="75" t="b">
        <f t="shared" si="73"/>
        <v>1</v>
      </c>
      <c r="O69" s="75" t="b">
        <f t="shared" si="73"/>
        <v>1</v>
      </c>
      <c r="P69" s="75" t="b">
        <f t="shared" si="73"/>
        <v>1</v>
      </c>
      <c r="Q69" s="75" t="b">
        <f t="shared" si="73"/>
        <v>1</v>
      </c>
      <c r="R69" s="75" t="b">
        <f t="shared" si="73"/>
        <v>1</v>
      </c>
      <c r="S69" s="75" t="b">
        <f t="shared" si="73"/>
        <v>1</v>
      </c>
      <c r="T69" s="75" t="b">
        <f t="shared" si="73"/>
        <v>1</v>
      </c>
      <c r="U69" s="75" t="b">
        <f t="shared" si="73"/>
        <v>1</v>
      </c>
      <c r="V69" s="75" t="b">
        <f t="shared" si="73"/>
        <v>1</v>
      </c>
      <c r="W69" s="75" t="b">
        <f t="shared" si="73"/>
        <v>1</v>
      </c>
      <c r="X69" s="75" t="b">
        <f t="shared" si="73"/>
        <v>1</v>
      </c>
      <c r="Y69" s="75" t="b">
        <f t="shared" si="73"/>
        <v>1</v>
      </c>
      <c r="Z69" s="75" t="b">
        <f t="shared" si="73"/>
        <v>1</v>
      </c>
      <c r="AA69" s="75" t="b">
        <f t="shared" si="73"/>
        <v>1</v>
      </c>
      <c r="AB69" s="75" t="b">
        <f t="shared" si="73"/>
        <v>1</v>
      </c>
      <c r="AC69" s="75" t="b">
        <f t="shared" si="73"/>
        <v>1</v>
      </c>
      <c r="AD69" s="75" t="b">
        <f t="shared" si="73"/>
        <v>1</v>
      </c>
      <c r="AE69" s="75" t="b">
        <f t="shared" si="73"/>
        <v>1</v>
      </c>
      <c r="AF69" s="75" t="b">
        <f t="shared" ref="AF69:AO69" si="74">AF68/AF66=$D$62</f>
        <v>1</v>
      </c>
      <c r="AG69" s="75" t="b">
        <f t="shared" si="74"/>
        <v>1</v>
      </c>
      <c r="AH69" s="75" t="b">
        <f t="shared" si="74"/>
        <v>1</v>
      </c>
      <c r="AI69" s="75" t="b">
        <f t="shared" si="74"/>
        <v>1</v>
      </c>
      <c r="AJ69" s="75" t="b">
        <f t="shared" si="74"/>
        <v>1</v>
      </c>
      <c r="AK69" s="75" t="b">
        <f t="shared" si="74"/>
        <v>1</v>
      </c>
      <c r="AL69" s="75" t="b">
        <f t="shared" si="74"/>
        <v>1</v>
      </c>
      <c r="AM69" s="75" t="b">
        <f t="shared" si="74"/>
        <v>1</v>
      </c>
      <c r="AN69" s="75" t="b">
        <f t="shared" si="74"/>
        <v>1</v>
      </c>
      <c r="AO69" s="75" t="b">
        <f t="shared" si="74"/>
        <v>1</v>
      </c>
      <c r="AP69" s="75" t="b">
        <f t="shared" ref="AP69:AY69" si="75">AP68/AP66=$D$62</f>
        <v>1</v>
      </c>
      <c r="AQ69" s="75" t="b">
        <f t="shared" si="75"/>
        <v>1</v>
      </c>
      <c r="AR69" s="75" t="b">
        <f t="shared" si="75"/>
        <v>1</v>
      </c>
      <c r="AS69" s="75" t="b">
        <f t="shared" si="75"/>
        <v>1</v>
      </c>
      <c r="AT69" s="75" t="b">
        <f t="shared" si="75"/>
        <v>1</v>
      </c>
      <c r="AU69" s="75" t="b">
        <f t="shared" si="75"/>
        <v>1</v>
      </c>
      <c r="AV69" s="75" t="b">
        <f t="shared" si="75"/>
        <v>1</v>
      </c>
      <c r="AW69" s="75" t="b">
        <f t="shared" si="75"/>
        <v>1</v>
      </c>
      <c r="AX69" s="75" t="b">
        <f t="shared" si="75"/>
        <v>1</v>
      </c>
      <c r="AY69" s="75" t="b">
        <f t="shared" si="75"/>
        <v>1</v>
      </c>
      <c r="AZ69" s="75" t="b">
        <f t="shared" ref="AZ69:BA69" si="76">AZ68/AZ66=$D$62</f>
        <v>1</v>
      </c>
      <c r="BA69" s="75" t="b">
        <f t="shared" si="76"/>
        <v>1</v>
      </c>
    </row>
    <row r="74" spans="1:53" s="588" customFormat="1">
      <c r="A74" s="593" t="s">
        <v>2951</v>
      </c>
    </row>
    <row r="75" spans="1:53">
      <c r="A75" s="9"/>
    </row>
    <row r="76" spans="1:53">
      <c r="A76" s="9"/>
    </row>
    <row r="77" spans="1:53">
      <c r="A77" s="9" t="s">
        <v>10</v>
      </c>
      <c r="B77" s="9" t="s">
        <v>2957</v>
      </c>
    </row>
    <row r="79" spans="1:53" ht="32" customHeight="1">
      <c r="C79" s="62" t="s">
        <v>3678</v>
      </c>
    </row>
    <row r="80" spans="1:53" ht="23" customHeight="1">
      <c r="B80" s="12" t="s">
        <v>5</v>
      </c>
      <c r="C80" s="42">
        <f>Epidemiology!C85</f>
        <v>2.3000000000000001E-4</v>
      </c>
    </row>
    <row r="81" spans="1:53" ht="23" customHeight="1">
      <c r="B81" s="12" t="s">
        <v>3679</v>
      </c>
      <c r="C81" s="12">
        <f>'Control Assumptions'!C47</f>
        <v>150000</v>
      </c>
    </row>
    <row r="82" spans="1:53" ht="23" customHeight="1">
      <c r="B82" s="12" t="s">
        <v>2952</v>
      </c>
      <c r="C82" s="12">
        <f>C80*C81</f>
        <v>34.5</v>
      </c>
    </row>
    <row r="85" spans="1:53">
      <c r="A85" s="9" t="s">
        <v>10</v>
      </c>
      <c r="B85" s="9" t="s">
        <v>2953</v>
      </c>
    </row>
    <row r="87" spans="1:53">
      <c r="C87" s="59">
        <f>'Wound growth'!C124</f>
        <v>2020</v>
      </c>
      <c r="D87" s="59">
        <f>'Wound growth'!D124</f>
        <v>2021</v>
      </c>
      <c r="E87" s="59">
        <f>'Wound growth'!E124</f>
        <v>2022</v>
      </c>
      <c r="F87" s="59">
        <f>'Wound growth'!F124</f>
        <v>2023</v>
      </c>
      <c r="G87" s="59">
        <f>'Wound growth'!G124</f>
        <v>2024</v>
      </c>
      <c r="H87" s="59">
        <f>'Wound growth'!H124</f>
        <v>2025</v>
      </c>
      <c r="I87" s="59">
        <f>'Wound growth'!I124</f>
        <v>2026</v>
      </c>
      <c r="J87" s="59">
        <f>'Wound growth'!J124</f>
        <v>2027</v>
      </c>
      <c r="K87" s="59">
        <f>'Wound growth'!K124</f>
        <v>2028</v>
      </c>
      <c r="L87" s="59">
        <f>'Wound growth'!L124</f>
        <v>2029</v>
      </c>
      <c r="M87" s="59">
        <f>'Wound growth'!M124</f>
        <v>2030</v>
      </c>
      <c r="N87" s="59">
        <f>'Wound growth'!N124</f>
        <v>2031</v>
      </c>
      <c r="O87" s="59">
        <f>'Wound growth'!O124</f>
        <v>2032</v>
      </c>
      <c r="P87" s="59">
        <f>'Wound growth'!P124</f>
        <v>2033</v>
      </c>
      <c r="Q87" s="59">
        <f>'Wound growth'!Q124</f>
        <v>2034</v>
      </c>
      <c r="R87" s="59">
        <f>'Wound growth'!R124</f>
        <v>2035</v>
      </c>
      <c r="S87" s="59">
        <f>'Wound growth'!S124</f>
        <v>2036</v>
      </c>
      <c r="T87" s="59">
        <f>'Wound growth'!T124</f>
        <v>2037</v>
      </c>
      <c r="U87" s="59">
        <f>'Wound growth'!U124</f>
        <v>2038</v>
      </c>
      <c r="V87" s="59">
        <f>'Wound growth'!V124</f>
        <v>2039</v>
      </c>
      <c r="W87" s="59">
        <f>'Wound growth'!W124</f>
        <v>2040</v>
      </c>
      <c r="X87" s="59">
        <f>'Wound growth'!X124</f>
        <v>2041</v>
      </c>
      <c r="Y87" s="59">
        <f>'Wound growth'!Y124</f>
        <v>2042</v>
      </c>
      <c r="Z87" s="59">
        <f>'Wound growth'!Z124</f>
        <v>2043</v>
      </c>
      <c r="AA87" s="59">
        <f>'Wound growth'!AA124</f>
        <v>2044</v>
      </c>
      <c r="AB87" s="59">
        <f>'Wound growth'!AB124</f>
        <v>2045</v>
      </c>
      <c r="AC87" s="59">
        <f>'Wound growth'!AC124</f>
        <v>2046</v>
      </c>
      <c r="AD87" s="59">
        <f>'Wound growth'!AD124</f>
        <v>2047</v>
      </c>
      <c r="AE87" s="59">
        <f>'Wound growth'!AE124</f>
        <v>2048</v>
      </c>
      <c r="AF87" s="59">
        <f>'Wound growth'!AF124</f>
        <v>2049</v>
      </c>
      <c r="AG87" s="59">
        <f>'Wound growth'!AG124</f>
        <v>2050</v>
      </c>
      <c r="AH87" s="59">
        <f>'Wound growth'!AH124</f>
        <v>2051</v>
      </c>
      <c r="AI87" s="59">
        <f>'Wound growth'!AI124</f>
        <v>2052</v>
      </c>
      <c r="AJ87" s="59">
        <f>'Wound growth'!AJ124</f>
        <v>2053</v>
      </c>
      <c r="AK87" s="59">
        <f>'Wound growth'!AK124</f>
        <v>2054</v>
      </c>
      <c r="AL87" s="59">
        <f>'Wound growth'!AL124</f>
        <v>2055</v>
      </c>
      <c r="AM87" s="59">
        <f>'Wound growth'!AM124</f>
        <v>2056</v>
      </c>
      <c r="AN87" s="59">
        <f>'Wound growth'!AN124</f>
        <v>2057</v>
      </c>
      <c r="AO87" s="59">
        <f>'Wound growth'!AO124</f>
        <v>2058</v>
      </c>
      <c r="AP87" s="59">
        <f>'Wound growth'!AP124</f>
        <v>2059</v>
      </c>
      <c r="AQ87" s="59">
        <f>'Wound growth'!AQ124</f>
        <v>2060</v>
      </c>
      <c r="AR87" s="59">
        <f>'Wound growth'!AR124</f>
        <v>2061</v>
      </c>
      <c r="AS87" s="59">
        <f>'Wound growth'!AS124</f>
        <v>2062</v>
      </c>
      <c r="AT87" s="59">
        <f>'Wound growth'!AT124</f>
        <v>2063</v>
      </c>
      <c r="AU87" s="59">
        <f>'Wound growth'!AU124</f>
        <v>2064</v>
      </c>
      <c r="AV87" s="59">
        <f>'Wound growth'!AV124</f>
        <v>2065</v>
      </c>
      <c r="AW87" s="59">
        <f>'Wound growth'!AW124</f>
        <v>2066</v>
      </c>
      <c r="AX87" s="59">
        <f>'Wound growth'!AX124</f>
        <v>2067</v>
      </c>
      <c r="AY87" s="59">
        <f>'Wound growth'!AY124</f>
        <v>2068</v>
      </c>
      <c r="AZ87" s="59">
        <f>'Wound growth'!AZ124</f>
        <v>2069</v>
      </c>
      <c r="BA87" s="59">
        <f>'Wound growth'!BA124</f>
        <v>2070</v>
      </c>
    </row>
    <row r="88" spans="1:53">
      <c r="B88" s="12" t="s">
        <v>86</v>
      </c>
      <c r="C88" s="153">
        <f>'Wound growth'!C125</f>
        <v>0</v>
      </c>
      <c r="D88" s="153">
        <f>'Wound growth'!D125</f>
        <v>0.11461243240161556</v>
      </c>
      <c r="E88" s="153">
        <f>'Wound growth'!E125</f>
        <v>0.10411110987465544</v>
      </c>
      <c r="F88" s="153">
        <f>'Wound growth'!F125</f>
        <v>9.5587278619037264E-2</v>
      </c>
      <c r="G88" s="153">
        <f>'Wound growth'!G125</f>
        <v>8.862205764047637E-2</v>
      </c>
      <c r="H88" s="153">
        <f>'Wound growth'!H125</f>
        <v>8.2766731988820785E-2</v>
      </c>
      <c r="I88" s="153">
        <f>'Wound growth'!I125</f>
        <v>7.7635355738549627E-2</v>
      </c>
      <c r="J88" s="153">
        <f>'Wound growth'!J125</f>
        <v>7.3181616737374666E-2</v>
      </c>
      <c r="K88" s="153">
        <f>'Wound growth'!K125</f>
        <v>6.9718777481673433E-2</v>
      </c>
      <c r="L88" s="153">
        <f>'Wound growth'!L125</f>
        <v>6.6378580932833886E-2</v>
      </c>
      <c r="M88" s="153">
        <f>'Wound growth'!M125</f>
        <v>6.3246067317024091E-2</v>
      </c>
      <c r="N88" s="153">
        <f>'Wound growth'!N125</f>
        <v>6.0345913861058476E-2</v>
      </c>
      <c r="O88" s="153">
        <f>'Wound growth'!O125</f>
        <v>5.7660545640972893E-2</v>
      </c>
      <c r="P88" s="153">
        <f>'Wound growth'!P125</f>
        <v>5.5251461485580577E-2</v>
      </c>
      <c r="Q88" s="153">
        <f>'Wound growth'!Q125</f>
        <v>5.3102834429009649E-2</v>
      </c>
      <c r="R88" s="153">
        <f>'Wound growth'!R125</f>
        <v>5.1134719429368092E-2</v>
      </c>
      <c r="S88" s="153">
        <f>'Wound growth'!S125</f>
        <v>4.926723988950088E-2</v>
      </c>
      <c r="T88" s="153">
        <f>'Wound growth'!T125</f>
        <v>4.7537801550303405E-2</v>
      </c>
      <c r="U88" s="153">
        <f>'Wound growth'!U125</f>
        <v>4.6035302890048646E-2</v>
      </c>
      <c r="V88" s="153">
        <f>'Wound growth'!V125</f>
        <v>4.455917071619786E-2</v>
      </c>
      <c r="W88" s="153">
        <f>'Wound growth'!W125</f>
        <v>4.3153127956988335E-2</v>
      </c>
      <c r="X88" s="153">
        <f>'Wound growth'!X125</f>
        <v>4.1826115380129814E-2</v>
      </c>
      <c r="Y88" s="153">
        <f>'Wound growth'!Y125</f>
        <v>4.0611020971842215E-2</v>
      </c>
      <c r="Z88" s="153">
        <f>'Wound growth'!Z125</f>
        <v>3.9459781968150143E-2</v>
      </c>
      <c r="AA88" s="153">
        <f>'Wound growth'!AA125</f>
        <v>3.8358984444851085E-2</v>
      </c>
      <c r="AB88" s="153">
        <f>'Wound growth'!AB125</f>
        <v>3.730514780855132E-2</v>
      </c>
      <c r="AC88" s="153">
        <f>'Wound growth'!AC125</f>
        <v>3.6292827463114685E-2</v>
      </c>
      <c r="AD88" s="153">
        <f>'Wound growth'!AD125</f>
        <v>3.5319826074910354E-2</v>
      </c>
      <c r="AE88" s="153">
        <f>'Wound growth'!AE125</f>
        <v>3.4382798803569425E-2</v>
      </c>
      <c r="AF88" s="153">
        <f>'Wound growth'!AF125</f>
        <v>3.3489644312379774E-2</v>
      </c>
      <c r="AG88" s="153">
        <f>'Wound growth'!AG125</f>
        <v>3.2658987960212604E-2</v>
      </c>
      <c r="AH88" s="153">
        <f>'Wound growth'!AH125</f>
        <v>3.18684631388364E-2</v>
      </c>
      <c r="AI88" s="153">
        <f>'Wound growth'!AI125</f>
        <v>3.1122041855706106E-2</v>
      </c>
      <c r="AJ88" s="153">
        <f>'Wound growth'!AJ125</f>
        <v>3.0383064123356673E-2</v>
      </c>
      <c r="AK88" s="153">
        <f>'Wound growth'!AK125</f>
        <v>2.9652591730158218E-2</v>
      </c>
      <c r="AL88" s="153">
        <f>'Wound growth'!AL125</f>
        <v>2.8933013294301091E-2</v>
      </c>
      <c r="AM88" s="153">
        <f>'Wound growth'!AM125</f>
        <v>2.8241623002036365E-2</v>
      </c>
      <c r="AN88" s="153">
        <f>'Wound growth'!AN125</f>
        <v>2.7572595732227922E-2</v>
      </c>
      <c r="AO88" s="153">
        <f>'Wound growth'!AO125</f>
        <v>2.6920595713611606E-2</v>
      </c>
      <c r="AP88" s="153">
        <f>'Wound growth'!AP125</f>
        <v>2.6311286411420554E-2</v>
      </c>
      <c r="AQ88" s="153">
        <f>'Wound growth'!AQ125</f>
        <v>2.574938083003997E-2</v>
      </c>
      <c r="AR88" s="153">
        <f>'Wound growth'!AR125</f>
        <v>2.523166249637443E-2</v>
      </c>
      <c r="AS88" s="153">
        <f>'Wound growth'!AS125</f>
        <v>2.4610693777186832E-2</v>
      </c>
      <c r="AT88" s="153">
        <f>'Wound growth'!AT125</f>
        <v>2.4019555843654672E-2</v>
      </c>
      <c r="AU88" s="153">
        <f>'Wound growth'!AU125</f>
        <v>2.3456149549669236E-2</v>
      </c>
      <c r="AV88" s="153">
        <f>'Wound growth'!AV125</f>
        <v>2.2918568186814925E-2</v>
      </c>
      <c r="AW88" s="153">
        <f>'Wound growth'!AW125</f>
        <v>2.2405075926463569E-2</v>
      </c>
      <c r="AX88" s="153">
        <f>'Wound growth'!AX125</f>
        <v>2.1914089096399358E-2</v>
      </c>
      <c r="AY88" s="153">
        <f>'Wound growth'!AY125</f>
        <v>2.1444159866487844E-2</v>
      </c>
      <c r="AZ88" s="153">
        <f>'Wound growth'!AZ125</f>
        <v>2.0993961989357102E-2</v>
      </c>
      <c r="BA88" s="153">
        <f>'Wound growth'!BA125</f>
        <v>2.0562278300305881E-2</v>
      </c>
    </row>
    <row r="89" spans="1:53">
      <c r="B89" s="12" t="s">
        <v>2955</v>
      </c>
      <c r="C89" s="39">
        <f>C82</f>
        <v>34.5</v>
      </c>
      <c r="D89" s="39">
        <f>C89*(1+D88)</f>
        <v>38.454128917855734</v>
      </c>
      <c r="E89" s="39">
        <f t="shared" ref="E89:AE89" si="77">D89*(1+E88)</f>
        <v>42.457630958756774</v>
      </c>
      <c r="F89" s="39">
        <f t="shared" si="77"/>
        <v>46.516040358715721</v>
      </c>
      <c r="G89" s="39">
        <f t="shared" si="77"/>
        <v>50.638387568592549</v>
      </c>
      <c r="H89" s="39">
        <f t="shared" si="77"/>
        <v>54.829561420828284</v>
      </c>
      <c r="I89" s="39">
        <f t="shared" si="77"/>
        <v>59.086273926722946</v>
      </c>
      <c r="J89" s="39">
        <f t="shared" si="77"/>
        <v>63.410302979667918</v>
      </c>
      <c r="K89" s="39">
        <f t="shared" si="77"/>
        <v>67.831191783152875</v>
      </c>
      <c r="L89" s="39">
        <f t="shared" si="77"/>
        <v>72.333730036701468</v>
      </c>
      <c r="M89" s="39">
        <f t="shared" si="77"/>
        <v>76.908553995894138</v>
      </c>
      <c r="N89" s="39">
        <f t="shared" si="77"/>
        <v>81.549670970508927</v>
      </c>
      <c r="O89" s="39">
        <f t="shared" si="77"/>
        <v>86.251869495510277</v>
      </c>
      <c r="P89" s="39">
        <f t="shared" si="77"/>
        <v>91.017411341000781</v>
      </c>
      <c r="Q89" s="39">
        <f t="shared" si="77"/>
        <v>95.850693865599013</v>
      </c>
      <c r="R89" s="39">
        <f t="shared" si="77"/>
        <v>100.75199220352667</v>
      </c>
      <c r="S89" s="39">
        <f t="shared" si="77"/>
        <v>105.71576477276294</v>
      </c>
      <c r="T89" s="39">
        <f t="shared" si="77"/>
        <v>110.7412598192691</v>
      </c>
      <c r="U89" s="39">
        <f t="shared" si="77"/>
        <v>115.83926725747473</v>
      </c>
      <c r="V89" s="39">
        <f t="shared" si="77"/>
        <v>121.00096894283982</v>
      </c>
      <c r="W89" s="39">
        <f t="shared" si="77"/>
        <v>126.22253923854976</v>
      </c>
      <c r="X89" s="39">
        <f t="shared" si="77"/>
        <v>131.50193772831429</v>
      </c>
      <c r="Y89" s="39">
        <f t="shared" si="77"/>
        <v>136.84236567923674</v>
      </c>
      <c r="Z89" s="39">
        <f t="shared" si="77"/>
        <v>142.24213559294529</v>
      </c>
      <c r="AA89" s="39">
        <f t="shared" si="77"/>
        <v>147.69839945955746</v>
      </c>
      <c r="AB89" s="39">
        <f t="shared" si="77"/>
        <v>153.20831008248271</v>
      </c>
      <c r="AC89" s="39">
        <f t="shared" si="77"/>
        <v>158.76867284622162</v>
      </c>
      <c r="AD89" s="39">
        <f t="shared" si="77"/>
        <v>164.37635475729451</v>
      </c>
      <c r="AE89" s="39">
        <f t="shared" si="77"/>
        <v>170.0280738909787</v>
      </c>
      <c r="AF89" s="39">
        <f t="shared" ref="AF89" si="78">AE89*(1+AF88)</f>
        <v>175.72225360870661</v>
      </c>
      <c r="AG89" s="39">
        <f t="shared" ref="AG89" si="79">AF89*(1+AG88)</f>
        <v>181.46116457365477</v>
      </c>
      <c r="AH89" s="39">
        <f t="shared" ref="AH89" si="80">AG89*(1+AH88)</f>
        <v>187.24405300800061</v>
      </c>
      <c r="AI89" s="39">
        <f t="shared" ref="AI89" si="81">AH89*(1+AI88)</f>
        <v>193.07147026294766</v>
      </c>
      <c r="AJ89" s="39">
        <f t="shared" ref="AJ89" si="82">AI89*(1+AJ88)</f>
        <v>198.93757312433755</v>
      </c>
      <c r="AK89" s="39">
        <f t="shared" ref="AK89" si="83">AJ89*(1+AK88)</f>
        <v>204.83658775998202</v>
      </c>
      <c r="AL89" s="39">
        <f t="shared" ref="AL89" si="84">AK89*(1+AL88)</f>
        <v>210.76312747680086</v>
      </c>
      <c r="AM89" s="39">
        <f t="shared" ref="AM89" si="85">AL89*(1+AM88)</f>
        <v>216.71542026573081</v>
      </c>
      <c r="AN89" s="39">
        <f t="shared" ref="AN89" si="86">AM89*(1+AN88)</f>
        <v>222.69082693765768</v>
      </c>
      <c r="AO89" s="39">
        <f t="shared" ref="AO89" si="87">AN89*(1+AO88)</f>
        <v>228.68579665877621</v>
      </c>
      <c r="AP89" s="39">
        <f t="shared" ref="AP89" si="88">AO89*(1+AP88)</f>
        <v>234.70281415288915</v>
      </c>
      <c r="AQ89" s="39">
        <f t="shared" ref="AQ89" si="89">AP89*(1+AQ88)</f>
        <v>240.746266296394</v>
      </c>
      <c r="AR89" s="39">
        <f t="shared" ref="AR89" si="90">AQ89*(1+AR88)</f>
        <v>246.8206948348469</v>
      </c>
      <c r="AS89" s="39">
        <f t="shared" ref="AS89" si="91">AR89*(1+AS88)</f>
        <v>252.89512337329981</v>
      </c>
      <c r="AT89" s="39">
        <f t="shared" ref="AT89" si="92">AS89*(1+AT88)</f>
        <v>258.96955191175272</v>
      </c>
      <c r="AU89" s="39">
        <f t="shared" ref="AU89" si="93">AT89*(1+AU88)</f>
        <v>265.04398045020559</v>
      </c>
      <c r="AV89" s="39">
        <f t="shared" ref="AV89" si="94">AU89*(1+AV88)</f>
        <v>271.11840898865847</v>
      </c>
      <c r="AW89" s="39">
        <f t="shared" ref="AW89" si="95">AV89*(1+AW88)</f>
        <v>277.19283752711135</v>
      </c>
      <c r="AX89" s="39">
        <f t="shared" ref="AX89" si="96">AW89*(1+AX88)</f>
        <v>283.26726606556423</v>
      </c>
      <c r="AY89" s="39">
        <f t="shared" ref="AY89" si="97">AX89*(1+AY88)</f>
        <v>289.34169460401711</v>
      </c>
      <c r="AZ89" s="39">
        <f t="shared" ref="AZ89:BA89" si="98">AY89*(1+AZ88)</f>
        <v>295.41612314246998</v>
      </c>
      <c r="BA89" s="39">
        <f t="shared" si="98"/>
        <v>301.49055168092286</v>
      </c>
    </row>
    <row r="90" spans="1:53">
      <c r="B90" s="63"/>
      <c r="C90" s="64" t="b">
        <f>C89=C82</f>
        <v>1</v>
      </c>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AC90" s="64"/>
      <c r="AD90" s="64"/>
      <c r="AE90" s="64"/>
      <c r="AF90" s="64"/>
      <c r="AG90" s="64"/>
      <c r="AH90" s="64"/>
      <c r="AI90" s="64"/>
      <c r="AJ90" s="64"/>
      <c r="AK90" s="64"/>
      <c r="AL90" s="64"/>
      <c r="AM90" s="64"/>
      <c r="AN90" s="64"/>
      <c r="AO90" s="64"/>
      <c r="AP90" s="64"/>
      <c r="AQ90" s="64"/>
      <c r="AR90" s="64"/>
      <c r="AS90" s="64"/>
      <c r="AT90" s="64"/>
      <c r="AU90" s="64"/>
      <c r="AV90" s="64"/>
      <c r="AW90" s="64"/>
      <c r="AX90" s="64"/>
      <c r="AY90" s="64"/>
      <c r="AZ90" s="64"/>
      <c r="BA90" s="64"/>
    </row>
    <row r="91" spans="1:53">
      <c r="B91" s="63"/>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row>
    <row r="92" spans="1:53">
      <c r="C92" s="658"/>
      <c r="D92" s="658"/>
      <c r="E92" s="658"/>
      <c r="F92" s="658"/>
      <c r="G92" s="658"/>
      <c r="H92" s="658"/>
      <c r="I92" s="658"/>
      <c r="J92" s="658"/>
      <c r="K92" s="658"/>
      <c r="L92" s="658"/>
      <c r="M92" s="658"/>
    </row>
    <row r="93" spans="1:53">
      <c r="C93" s="395"/>
      <c r="D93" s="395"/>
      <c r="E93" s="395"/>
      <c r="F93" s="395"/>
      <c r="G93" s="395"/>
      <c r="H93" s="395"/>
      <c r="I93" s="395"/>
      <c r="J93" s="395"/>
      <c r="K93" s="395"/>
      <c r="L93" s="395"/>
      <c r="M93" s="395"/>
    </row>
    <row r="94" spans="1:53">
      <c r="A94" s="9" t="s">
        <v>10</v>
      </c>
      <c r="B94" s="66" t="s">
        <v>2958</v>
      </c>
      <c r="C94" s="38"/>
      <c r="D94" s="38"/>
      <c r="E94" s="75"/>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row>
    <row r="95" spans="1:53">
      <c r="B95" s="65"/>
      <c r="C95" s="38"/>
      <c r="D95" s="38"/>
      <c r="E95" s="75"/>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row>
    <row r="96" spans="1:53" ht="21.65" customHeight="1">
      <c r="B96" s="65"/>
      <c r="C96" s="59" t="s">
        <v>152</v>
      </c>
      <c r="D96" s="98" t="s">
        <v>153</v>
      </c>
      <c r="E96" s="75"/>
      <c r="G96" s="38"/>
      <c r="H96" s="38"/>
      <c r="I96" s="73"/>
      <c r="J96" s="74"/>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row>
    <row r="97" spans="2:53">
      <c r="B97" s="12" t="s">
        <v>2954</v>
      </c>
      <c r="C97" s="24">
        <f>Epidemiology!C101</f>
        <v>0</v>
      </c>
      <c r="D97" s="24">
        <f>1-C97</f>
        <v>1</v>
      </c>
      <c r="E97" s="75"/>
      <c r="G97" s="38"/>
      <c r="H97" s="71"/>
      <c r="I97" s="71"/>
      <c r="J97" s="70"/>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row>
    <row r="98" spans="2:53">
      <c r="E98" s="75"/>
      <c r="G98" s="38"/>
      <c r="H98" s="71"/>
      <c r="I98" s="71"/>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row>
    <row r="99" spans="2:53" s="4" customFormat="1">
      <c r="B99" s="67"/>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row>
    <row r="100" spans="2:53" s="4" customFormat="1">
      <c r="C100" s="34">
        <f>'Prevalence projection'!C$21</f>
        <v>2020</v>
      </c>
      <c r="D100" s="34">
        <f>'Prevalence projection'!D$21</f>
        <v>2021</v>
      </c>
      <c r="E100" s="34">
        <f>'Prevalence projection'!E$21</f>
        <v>2022</v>
      </c>
      <c r="F100" s="34">
        <f>'Prevalence projection'!F$21</f>
        <v>2023</v>
      </c>
      <c r="G100" s="34">
        <f>'Prevalence projection'!G$21</f>
        <v>2024</v>
      </c>
      <c r="H100" s="34">
        <f>'Prevalence projection'!H$21</f>
        <v>2025</v>
      </c>
      <c r="I100" s="34">
        <f>'Prevalence projection'!I$21</f>
        <v>2026</v>
      </c>
      <c r="J100" s="34">
        <f>'Prevalence projection'!J$21</f>
        <v>2027</v>
      </c>
      <c r="K100" s="34">
        <f>'Prevalence projection'!K$21</f>
        <v>2028</v>
      </c>
      <c r="L100" s="34">
        <f>'Prevalence projection'!L$21</f>
        <v>2029</v>
      </c>
      <c r="M100" s="34">
        <f>'Prevalence projection'!M$21</f>
        <v>2030</v>
      </c>
      <c r="N100" s="34">
        <f>'Prevalence projection'!N$21</f>
        <v>2031</v>
      </c>
      <c r="O100" s="34">
        <f>'Prevalence projection'!O$21</f>
        <v>2032</v>
      </c>
      <c r="P100" s="34">
        <f>'Prevalence projection'!P$21</f>
        <v>2033</v>
      </c>
      <c r="Q100" s="34">
        <f>'Prevalence projection'!Q$21</f>
        <v>2034</v>
      </c>
      <c r="R100" s="34">
        <f>'Prevalence projection'!R$21</f>
        <v>2035</v>
      </c>
      <c r="S100" s="34">
        <f>'Prevalence projection'!S$21</f>
        <v>2036</v>
      </c>
      <c r="T100" s="34">
        <f>'Prevalence projection'!T$21</f>
        <v>2037</v>
      </c>
      <c r="U100" s="34">
        <f>'Prevalence projection'!U$21</f>
        <v>2038</v>
      </c>
      <c r="V100" s="34">
        <f>'Prevalence projection'!V$21</f>
        <v>2039</v>
      </c>
      <c r="W100" s="34">
        <f>'Prevalence projection'!W$21</f>
        <v>2040</v>
      </c>
      <c r="X100" s="34">
        <f>'Prevalence projection'!X$21</f>
        <v>2041</v>
      </c>
      <c r="Y100" s="34">
        <f>'Prevalence projection'!Y$21</f>
        <v>2042</v>
      </c>
      <c r="Z100" s="34">
        <f>'Prevalence projection'!Z$21</f>
        <v>2043</v>
      </c>
      <c r="AA100" s="34">
        <f>'Prevalence projection'!AA$21</f>
        <v>2044</v>
      </c>
      <c r="AB100" s="34">
        <f>'Prevalence projection'!AB$21</f>
        <v>2045</v>
      </c>
      <c r="AC100" s="34">
        <f>'Prevalence projection'!AC$21</f>
        <v>2046</v>
      </c>
      <c r="AD100" s="34">
        <f>'Prevalence projection'!AD$21</f>
        <v>2047</v>
      </c>
      <c r="AE100" s="34">
        <f>'Prevalence projection'!AE$21</f>
        <v>2048</v>
      </c>
      <c r="AF100" s="34">
        <f>'Prevalence projection'!AF$21</f>
        <v>2049</v>
      </c>
      <c r="AG100" s="34">
        <f>'Prevalence projection'!AG$21</f>
        <v>2050</v>
      </c>
      <c r="AH100" s="34">
        <f>'Prevalence projection'!AH$21</f>
        <v>2051</v>
      </c>
      <c r="AI100" s="34">
        <f>'Prevalence projection'!AI$21</f>
        <v>2052</v>
      </c>
      <c r="AJ100" s="34">
        <f>'Prevalence projection'!AJ$21</f>
        <v>2053</v>
      </c>
      <c r="AK100" s="34">
        <f>'Prevalence projection'!AK$21</f>
        <v>2054</v>
      </c>
      <c r="AL100" s="34">
        <f>'Prevalence projection'!AL$21</f>
        <v>2055</v>
      </c>
      <c r="AM100" s="34">
        <f>'Prevalence projection'!AM$21</f>
        <v>2056</v>
      </c>
      <c r="AN100" s="34">
        <f>'Prevalence projection'!AN$21</f>
        <v>2057</v>
      </c>
      <c r="AO100" s="34">
        <f>'Prevalence projection'!AO$21</f>
        <v>2058</v>
      </c>
      <c r="AP100" s="34">
        <f>'Prevalence projection'!AP$21</f>
        <v>2059</v>
      </c>
      <c r="AQ100" s="34">
        <f>'Prevalence projection'!AQ$21</f>
        <v>2060</v>
      </c>
      <c r="AR100" s="34">
        <f>'Prevalence projection'!AR$21</f>
        <v>2061</v>
      </c>
      <c r="AS100" s="34">
        <f>'Prevalence projection'!AS$21</f>
        <v>2062</v>
      </c>
      <c r="AT100" s="34">
        <f>'Prevalence projection'!AT$21</f>
        <v>2063</v>
      </c>
      <c r="AU100" s="34">
        <f>'Prevalence projection'!AU$21</f>
        <v>2064</v>
      </c>
      <c r="AV100" s="34">
        <f>'Prevalence projection'!AV$21</f>
        <v>2065</v>
      </c>
      <c r="AW100" s="34">
        <f>'Prevalence projection'!AW$21</f>
        <v>2066</v>
      </c>
      <c r="AX100" s="34">
        <f>'Prevalence projection'!AX$21</f>
        <v>2067</v>
      </c>
      <c r="AY100" s="34">
        <f>'Prevalence projection'!AY$21</f>
        <v>2068</v>
      </c>
      <c r="AZ100" s="34">
        <f>'Prevalence projection'!AZ$21</f>
        <v>2069</v>
      </c>
      <c r="BA100" s="34">
        <f>'Prevalence projection'!BA$21</f>
        <v>2070</v>
      </c>
    </row>
    <row r="101" spans="2:53" s="9" customFormat="1" ht="18.649999999999999" customHeight="1">
      <c r="B101" s="14" t="s">
        <v>2956</v>
      </c>
      <c r="C101" s="40">
        <f>C89</f>
        <v>34.5</v>
      </c>
      <c r="D101" s="40">
        <f t="shared" ref="D101:AE101" si="99">D89</f>
        <v>38.454128917855734</v>
      </c>
      <c r="E101" s="40">
        <f t="shared" si="99"/>
        <v>42.457630958756774</v>
      </c>
      <c r="F101" s="40">
        <f t="shared" si="99"/>
        <v>46.516040358715721</v>
      </c>
      <c r="G101" s="40">
        <f t="shared" si="99"/>
        <v>50.638387568592549</v>
      </c>
      <c r="H101" s="40">
        <f t="shared" si="99"/>
        <v>54.829561420828284</v>
      </c>
      <c r="I101" s="40">
        <f t="shared" si="99"/>
        <v>59.086273926722946</v>
      </c>
      <c r="J101" s="40">
        <f t="shared" si="99"/>
        <v>63.410302979667918</v>
      </c>
      <c r="K101" s="40">
        <f t="shared" si="99"/>
        <v>67.831191783152875</v>
      </c>
      <c r="L101" s="40">
        <f t="shared" si="99"/>
        <v>72.333730036701468</v>
      </c>
      <c r="M101" s="40">
        <f t="shared" si="99"/>
        <v>76.908553995894138</v>
      </c>
      <c r="N101" s="40">
        <f t="shared" si="99"/>
        <v>81.549670970508927</v>
      </c>
      <c r="O101" s="40">
        <f t="shared" si="99"/>
        <v>86.251869495510277</v>
      </c>
      <c r="P101" s="40">
        <f t="shared" si="99"/>
        <v>91.017411341000781</v>
      </c>
      <c r="Q101" s="40">
        <f t="shared" si="99"/>
        <v>95.850693865599013</v>
      </c>
      <c r="R101" s="40">
        <f t="shared" si="99"/>
        <v>100.75199220352667</v>
      </c>
      <c r="S101" s="40">
        <f t="shared" si="99"/>
        <v>105.71576477276294</v>
      </c>
      <c r="T101" s="40">
        <f t="shared" si="99"/>
        <v>110.7412598192691</v>
      </c>
      <c r="U101" s="40">
        <f t="shared" si="99"/>
        <v>115.83926725747473</v>
      </c>
      <c r="V101" s="40">
        <f t="shared" si="99"/>
        <v>121.00096894283982</v>
      </c>
      <c r="W101" s="40">
        <f t="shared" si="99"/>
        <v>126.22253923854976</v>
      </c>
      <c r="X101" s="40">
        <f t="shared" si="99"/>
        <v>131.50193772831429</v>
      </c>
      <c r="Y101" s="40">
        <f t="shared" si="99"/>
        <v>136.84236567923674</v>
      </c>
      <c r="Z101" s="40">
        <f t="shared" si="99"/>
        <v>142.24213559294529</v>
      </c>
      <c r="AA101" s="40">
        <f t="shared" si="99"/>
        <v>147.69839945955746</v>
      </c>
      <c r="AB101" s="40">
        <f t="shared" si="99"/>
        <v>153.20831008248271</v>
      </c>
      <c r="AC101" s="40">
        <f t="shared" si="99"/>
        <v>158.76867284622162</v>
      </c>
      <c r="AD101" s="40">
        <f t="shared" si="99"/>
        <v>164.37635475729451</v>
      </c>
      <c r="AE101" s="40">
        <f t="shared" si="99"/>
        <v>170.0280738909787</v>
      </c>
      <c r="AF101" s="40">
        <f t="shared" ref="AF101:AO101" si="100">AF89</f>
        <v>175.72225360870661</v>
      </c>
      <c r="AG101" s="40">
        <f t="shared" si="100"/>
        <v>181.46116457365477</v>
      </c>
      <c r="AH101" s="40">
        <f t="shared" si="100"/>
        <v>187.24405300800061</v>
      </c>
      <c r="AI101" s="40">
        <f t="shared" si="100"/>
        <v>193.07147026294766</v>
      </c>
      <c r="AJ101" s="40">
        <f t="shared" si="100"/>
        <v>198.93757312433755</v>
      </c>
      <c r="AK101" s="40">
        <f t="shared" si="100"/>
        <v>204.83658775998202</v>
      </c>
      <c r="AL101" s="40">
        <f t="shared" si="100"/>
        <v>210.76312747680086</v>
      </c>
      <c r="AM101" s="40">
        <f t="shared" si="100"/>
        <v>216.71542026573081</v>
      </c>
      <c r="AN101" s="40">
        <f t="shared" si="100"/>
        <v>222.69082693765768</v>
      </c>
      <c r="AO101" s="40">
        <f t="shared" si="100"/>
        <v>228.68579665877621</v>
      </c>
      <c r="AP101" s="40">
        <f t="shared" ref="AP101:AY101" si="101">AP89</f>
        <v>234.70281415288915</v>
      </c>
      <c r="AQ101" s="40">
        <f t="shared" si="101"/>
        <v>240.746266296394</v>
      </c>
      <c r="AR101" s="40">
        <f t="shared" si="101"/>
        <v>246.8206948348469</v>
      </c>
      <c r="AS101" s="40">
        <f t="shared" si="101"/>
        <v>252.89512337329981</v>
      </c>
      <c r="AT101" s="40">
        <f t="shared" si="101"/>
        <v>258.96955191175272</v>
      </c>
      <c r="AU101" s="40">
        <f t="shared" si="101"/>
        <v>265.04398045020559</v>
      </c>
      <c r="AV101" s="40">
        <f t="shared" si="101"/>
        <v>271.11840898865847</v>
      </c>
      <c r="AW101" s="40">
        <f t="shared" si="101"/>
        <v>277.19283752711135</v>
      </c>
      <c r="AX101" s="40">
        <f t="shared" si="101"/>
        <v>283.26726606556423</v>
      </c>
      <c r="AY101" s="40">
        <f t="shared" si="101"/>
        <v>289.34169460401711</v>
      </c>
      <c r="AZ101" s="40">
        <f t="shared" ref="AZ101:BA101" si="102">AZ89</f>
        <v>295.41612314246998</v>
      </c>
      <c r="BA101" s="40">
        <f t="shared" si="102"/>
        <v>301.49055168092286</v>
      </c>
    </row>
    <row r="102" spans="2:53" s="9" customFormat="1" ht="15.65" customHeight="1">
      <c r="B102" s="14" t="s">
        <v>97</v>
      </c>
      <c r="C102" s="40">
        <f>C101*$C$97</f>
        <v>0</v>
      </c>
      <c r="D102" s="40">
        <f t="shared" ref="D102:AE102" si="103">D101*$C$97</f>
        <v>0</v>
      </c>
      <c r="E102" s="40">
        <f t="shared" si="103"/>
        <v>0</v>
      </c>
      <c r="F102" s="40">
        <f t="shared" si="103"/>
        <v>0</v>
      </c>
      <c r="G102" s="40">
        <f t="shared" si="103"/>
        <v>0</v>
      </c>
      <c r="H102" s="40">
        <f t="shared" si="103"/>
        <v>0</v>
      </c>
      <c r="I102" s="40">
        <f t="shared" si="103"/>
        <v>0</v>
      </c>
      <c r="J102" s="40">
        <f t="shared" si="103"/>
        <v>0</v>
      </c>
      <c r="K102" s="40">
        <f t="shared" si="103"/>
        <v>0</v>
      </c>
      <c r="L102" s="40">
        <f t="shared" si="103"/>
        <v>0</v>
      </c>
      <c r="M102" s="40">
        <f t="shared" si="103"/>
        <v>0</v>
      </c>
      <c r="N102" s="40">
        <f t="shared" si="103"/>
        <v>0</v>
      </c>
      <c r="O102" s="40">
        <f t="shared" si="103"/>
        <v>0</v>
      </c>
      <c r="P102" s="40">
        <f t="shared" si="103"/>
        <v>0</v>
      </c>
      <c r="Q102" s="40">
        <f t="shared" si="103"/>
        <v>0</v>
      </c>
      <c r="R102" s="40">
        <f t="shared" si="103"/>
        <v>0</v>
      </c>
      <c r="S102" s="40">
        <f t="shared" si="103"/>
        <v>0</v>
      </c>
      <c r="T102" s="40">
        <f t="shared" si="103"/>
        <v>0</v>
      </c>
      <c r="U102" s="40">
        <f t="shared" si="103"/>
        <v>0</v>
      </c>
      <c r="V102" s="40">
        <f t="shared" si="103"/>
        <v>0</v>
      </c>
      <c r="W102" s="40">
        <f t="shared" si="103"/>
        <v>0</v>
      </c>
      <c r="X102" s="40">
        <f t="shared" si="103"/>
        <v>0</v>
      </c>
      <c r="Y102" s="40">
        <f t="shared" si="103"/>
        <v>0</v>
      </c>
      <c r="Z102" s="40">
        <f t="shared" si="103"/>
        <v>0</v>
      </c>
      <c r="AA102" s="40">
        <f t="shared" si="103"/>
        <v>0</v>
      </c>
      <c r="AB102" s="40">
        <f t="shared" si="103"/>
        <v>0</v>
      </c>
      <c r="AC102" s="40">
        <f t="shared" si="103"/>
        <v>0</v>
      </c>
      <c r="AD102" s="40">
        <f t="shared" si="103"/>
        <v>0</v>
      </c>
      <c r="AE102" s="40">
        <f t="shared" si="103"/>
        <v>0</v>
      </c>
      <c r="AF102" s="40">
        <f t="shared" ref="AF102:AO102" si="104">AF101*$C$97</f>
        <v>0</v>
      </c>
      <c r="AG102" s="40">
        <f t="shared" si="104"/>
        <v>0</v>
      </c>
      <c r="AH102" s="40">
        <f t="shared" si="104"/>
        <v>0</v>
      </c>
      <c r="AI102" s="40">
        <f t="shared" si="104"/>
        <v>0</v>
      </c>
      <c r="AJ102" s="40">
        <f t="shared" si="104"/>
        <v>0</v>
      </c>
      <c r="AK102" s="40">
        <f t="shared" si="104"/>
        <v>0</v>
      </c>
      <c r="AL102" s="40">
        <f t="shared" si="104"/>
        <v>0</v>
      </c>
      <c r="AM102" s="40">
        <f t="shared" si="104"/>
        <v>0</v>
      </c>
      <c r="AN102" s="40">
        <f t="shared" si="104"/>
        <v>0</v>
      </c>
      <c r="AO102" s="40">
        <f t="shared" si="104"/>
        <v>0</v>
      </c>
      <c r="AP102" s="40">
        <f t="shared" ref="AP102:AY102" si="105">AP101*$C$97</f>
        <v>0</v>
      </c>
      <c r="AQ102" s="40">
        <f t="shared" si="105"/>
        <v>0</v>
      </c>
      <c r="AR102" s="40">
        <f t="shared" si="105"/>
        <v>0</v>
      </c>
      <c r="AS102" s="40">
        <f t="shared" si="105"/>
        <v>0</v>
      </c>
      <c r="AT102" s="40">
        <f t="shared" si="105"/>
        <v>0</v>
      </c>
      <c r="AU102" s="40">
        <f t="shared" si="105"/>
        <v>0</v>
      </c>
      <c r="AV102" s="40">
        <f t="shared" si="105"/>
        <v>0</v>
      </c>
      <c r="AW102" s="40">
        <f t="shared" si="105"/>
        <v>0</v>
      </c>
      <c r="AX102" s="40">
        <f t="shared" si="105"/>
        <v>0</v>
      </c>
      <c r="AY102" s="40">
        <f t="shared" si="105"/>
        <v>0</v>
      </c>
      <c r="AZ102" s="40">
        <f t="shared" ref="AZ102:BA102" si="106">AZ101*$C$97</f>
        <v>0</v>
      </c>
      <c r="BA102" s="40">
        <f t="shared" si="106"/>
        <v>0</v>
      </c>
    </row>
    <row r="103" spans="2:53" s="9" customFormat="1" ht="21" customHeight="1">
      <c r="B103" s="14" t="s">
        <v>98</v>
      </c>
      <c r="C103" s="40">
        <f>C101-C102</f>
        <v>34.5</v>
      </c>
      <c r="D103" s="40">
        <f t="shared" ref="D103:AE103" si="107">D101-D102</f>
        <v>38.454128917855734</v>
      </c>
      <c r="E103" s="40">
        <f t="shared" si="107"/>
        <v>42.457630958756774</v>
      </c>
      <c r="F103" s="40">
        <f t="shared" si="107"/>
        <v>46.516040358715721</v>
      </c>
      <c r="G103" s="40">
        <f t="shared" si="107"/>
        <v>50.638387568592549</v>
      </c>
      <c r="H103" s="40">
        <f t="shared" si="107"/>
        <v>54.829561420828284</v>
      </c>
      <c r="I103" s="40">
        <f t="shared" si="107"/>
        <v>59.086273926722946</v>
      </c>
      <c r="J103" s="40">
        <f t="shared" si="107"/>
        <v>63.410302979667918</v>
      </c>
      <c r="K103" s="40">
        <f t="shared" si="107"/>
        <v>67.831191783152875</v>
      </c>
      <c r="L103" s="40">
        <f t="shared" si="107"/>
        <v>72.333730036701468</v>
      </c>
      <c r="M103" s="40">
        <f t="shared" si="107"/>
        <v>76.908553995894138</v>
      </c>
      <c r="N103" s="40">
        <f t="shared" si="107"/>
        <v>81.549670970508927</v>
      </c>
      <c r="O103" s="40">
        <f t="shared" si="107"/>
        <v>86.251869495510277</v>
      </c>
      <c r="P103" s="40">
        <f t="shared" si="107"/>
        <v>91.017411341000781</v>
      </c>
      <c r="Q103" s="40">
        <f t="shared" si="107"/>
        <v>95.850693865599013</v>
      </c>
      <c r="R103" s="40">
        <f t="shared" si="107"/>
        <v>100.75199220352667</v>
      </c>
      <c r="S103" s="40">
        <f t="shared" si="107"/>
        <v>105.71576477276294</v>
      </c>
      <c r="T103" s="40">
        <f t="shared" si="107"/>
        <v>110.7412598192691</v>
      </c>
      <c r="U103" s="40">
        <f t="shared" si="107"/>
        <v>115.83926725747473</v>
      </c>
      <c r="V103" s="40">
        <f t="shared" si="107"/>
        <v>121.00096894283982</v>
      </c>
      <c r="W103" s="40">
        <f t="shared" si="107"/>
        <v>126.22253923854976</v>
      </c>
      <c r="X103" s="40">
        <f t="shared" si="107"/>
        <v>131.50193772831429</v>
      </c>
      <c r="Y103" s="40">
        <f t="shared" si="107"/>
        <v>136.84236567923674</v>
      </c>
      <c r="Z103" s="40">
        <f t="shared" si="107"/>
        <v>142.24213559294529</v>
      </c>
      <c r="AA103" s="40">
        <f t="shared" si="107"/>
        <v>147.69839945955746</v>
      </c>
      <c r="AB103" s="40">
        <f t="shared" si="107"/>
        <v>153.20831008248271</v>
      </c>
      <c r="AC103" s="40">
        <f t="shared" si="107"/>
        <v>158.76867284622162</v>
      </c>
      <c r="AD103" s="40">
        <f t="shared" si="107"/>
        <v>164.37635475729451</v>
      </c>
      <c r="AE103" s="40">
        <f t="shared" si="107"/>
        <v>170.0280738909787</v>
      </c>
      <c r="AF103" s="40">
        <f t="shared" ref="AF103:AO103" si="108">AF101-AF102</f>
        <v>175.72225360870661</v>
      </c>
      <c r="AG103" s="40">
        <f t="shared" si="108"/>
        <v>181.46116457365477</v>
      </c>
      <c r="AH103" s="40">
        <f t="shared" si="108"/>
        <v>187.24405300800061</v>
      </c>
      <c r="AI103" s="40">
        <f t="shared" si="108"/>
        <v>193.07147026294766</v>
      </c>
      <c r="AJ103" s="40">
        <f t="shared" si="108"/>
        <v>198.93757312433755</v>
      </c>
      <c r="AK103" s="40">
        <f t="shared" si="108"/>
        <v>204.83658775998202</v>
      </c>
      <c r="AL103" s="40">
        <f t="shared" si="108"/>
        <v>210.76312747680086</v>
      </c>
      <c r="AM103" s="40">
        <f t="shared" si="108"/>
        <v>216.71542026573081</v>
      </c>
      <c r="AN103" s="40">
        <f t="shared" si="108"/>
        <v>222.69082693765768</v>
      </c>
      <c r="AO103" s="40">
        <f t="shared" si="108"/>
        <v>228.68579665877621</v>
      </c>
      <c r="AP103" s="40">
        <f t="shared" ref="AP103:AY103" si="109">AP101-AP102</f>
        <v>234.70281415288915</v>
      </c>
      <c r="AQ103" s="40">
        <f t="shared" si="109"/>
        <v>240.746266296394</v>
      </c>
      <c r="AR103" s="40">
        <f t="shared" si="109"/>
        <v>246.8206948348469</v>
      </c>
      <c r="AS103" s="40">
        <f t="shared" si="109"/>
        <v>252.89512337329981</v>
      </c>
      <c r="AT103" s="40">
        <f t="shared" si="109"/>
        <v>258.96955191175272</v>
      </c>
      <c r="AU103" s="40">
        <f t="shared" si="109"/>
        <v>265.04398045020559</v>
      </c>
      <c r="AV103" s="40">
        <f t="shared" si="109"/>
        <v>271.11840898865847</v>
      </c>
      <c r="AW103" s="40">
        <f t="shared" si="109"/>
        <v>277.19283752711135</v>
      </c>
      <c r="AX103" s="40">
        <f t="shared" si="109"/>
        <v>283.26726606556423</v>
      </c>
      <c r="AY103" s="40">
        <f t="shared" si="109"/>
        <v>289.34169460401711</v>
      </c>
      <c r="AZ103" s="40">
        <f t="shared" ref="AZ103:BA103" si="110">AZ101-AZ102</f>
        <v>295.41612314246998</v>
      </c>
      <c r="BA103" s="40">
        <f t="shared" si="110"/>
        <v>301.49055168092286</v>
      </c>
    </row>
    <row r="104" spans="2:53">
      <c r="C104" s="75" t="b">
        <f>C103/C101=$D$97</f>
        <v>1</v>
      </c>
      <c r="D104" s="75" t="b">
        <f t="shared" ref="D104:AE104" si="111">D103/D101=$D$97</f>
        <v>1</v>
      </c>
      <c r="E104" s="75" t="b">
        <f t="shared" si="111"/>
        <v>1</v>
      </c>
      <c r="F104" s="75" t="b">
        <f t="shared" si="111"/>
        <v>1</v>
      </c>
      <c r="G104" s="75" t="b">
        <f t="shared" si="111"/>
        <v>1</v>
      </c>
      <c r="H104" s="75" t="b">
        <f t="shared" si="111"/>
        <v>1</v>
      </c>
      <c r="I104" s="75" t="b">
        <f t="shared" si="111"/>
        <v>1</v>
      </c>
      <c r="J104" s="75" t="b">
        <f t="shared" si="111"/>
        <v>1</v>
      </c>
      <c r="K104" s="75" t="b">
        <f t="shared" si="111"/>
        <v>1</v>
      </c>
      <c r="L104" s="75" t="b">
        <f t="shared" si="111"/>
        <v>1</v>
      </c>
      <c r="M104" s="75" t="b">
        <f t="shared" si="111"/>
        <v>1</v>
      </c>
      <c r="N104" s="75" t="b">
        <f t="shared" si="111"/>
        <v>1</v>
      </c>
      <c r="O104" s="75" t="b">
        <f t="shared" si="111"/>
        <v>1</v>
      </c>
      <c r="P104" s="75" t="b">
        <f t="shared" si="111"/>
        <v>1</v>
      </c>
      <c r="Q104" s="75" t="b">
        <f t="shared" si="111"/>
        <v>1</v>
      </c>
      <c r="R104" s="75" t="b">
        <f t="shared" si="111"/>
        <v>1</v>
      </c>
      <c r="S104" s="75" t="b">
        <f t="shared" si="111"/>
        <v>1</v>
      </c>
      <c r="T104" s="75" t="b">
        <f t="shared" si="111"/>
        <v>1</v>
      </c>
      <c r="U104" s="75" t="b">
        <f t="shared" si="111"/>
        <v>1</v>
      </c>
      <c r="V104" s="75" t="b">
        <f t="shared" si="111"/>
        <v>1</v>
      </c>
      <c r="W104" s="75" t="b">
        <f t="shared" si="111"/>
        <v>1</v>
      </c>
      <c r="X104" s="75" t="b">
        <f t="shared" si="111"/>
        <v>1</v>
      </c>
      <c r="Y104" s="75" t="b">
        <f t="shared" si="111"/>
        <v>1</v>
      </c>
      <c r="Z104" s="75" t="b">
        <f t="shared" si="111"/>
        <v>1</v>
      </c>
      <c r="AA104" s="75" t="b">
        <f t="shared" si="111"/>
        <v>1</v>
      </c>
      <c r="AB104" s="75" t="b">
        <f t="shared" si="111"/>
        <v>1</v>
      </c>
      <c r="AC104" s="75" t="b">
        <f t="shared" si="111"/>
        <v>1</v>
      </c>
      <c r="AD104" s="75" t="b">
        <f t="shared" si="111"/>
        <v>1</v>
      </c>
      <c r="AE104" s="75" t="b">
        <f t="shared" si="111"/>
        <v>1</v>
      </c>
      <c r="AF104" s="75" t="b">
        <f t="shared" ref="AF104:AO104" si="112">AF103/AF101=$D$97</f>
        <v>1</v>
      </c>
      <c r="AG104" s="75" t="b">
        <f t="shared" si="112"/>
        <v>1</v>
      </c>
      <c r="AH104" s="75" t="b">
        <f t="shared" si="112"/>
        <v>1</v>
      </c>
      <c r="AI104" s="75" t="b">
        <f t="shared" si="112"/>
        <v>1</v>
      </c>
      <c r="AJ104" s="75" t="b">
        <f t="shared" si="112"/>
        <v>1</v>
      </c>
      <c r="AK104" s="75" t="b">
        <f t="shared" si="112"/>
        <v>1</v>
      </c>
      <c r="AL104" s="75" t="b">
        <f t="shared" si="112"/>
        <v>1</v>
      </c>
      <c r="AM104" s="75" t="b">
        <f t="shared" si="112"/>
        <v>1</v>
      </c>
      <c r="AN104" s="75" t="b">
        <f t="shared" si="112"/>
        <v>1</v>
      </c>
      <c r="AO104" s="75" t="b">
        <f t="shared" si="112"/>
        <v>1</v>
      </c>
      <c r="AP104" s="75" t="b">
        <f t="shared" ref="AP104:AY104" si="113">AP103/AP101=$D$97</f>
        <v>1</v>
      </c>
      <c r="AQ104" s="75" t="b">
        <f t="shared" si="113"/>
        <v>1</v>
      </c>
      <c r="AR104" s="75" t="b">
        <f t="shared" si="113"/>
        <v>1</v>
      </c>
      <c r="AS104" s="75" t="b">
        <f t="shared" si="113"/>
        <v>1</v>
      </c>
      <c r="AT104" s="75" t="b">
        <f t="shared" si="113"/>
        <v>1</v>
      </c>
      <c r="AU104" s="75" t="b">
        <f t="shared" si="113"/>
        <v>1</v>
      </c>
      <c r="AV104" s="75" t="b">
        <f t="shared" si="113"/>
        <v>1</v>
      </c>
      <c r="AW104" s="75" t="b">
        <f t="shared" si="113"/>
        <v>1</v>
      </c>
      <c r="AX104" s="75" t="b">
        <f t="shared" si="113"/>
        <v>1</v>
      </c>
      <c r="AY104" s="75" t="b">
        <f t="shared" si="113"/>
        <v>1</v>
      </c>
      <c r="AZ104" s="75" t="b">
        <f t="shared" ref="AZ104:BA104" si="114">AZ103/AZ101=$D$97</f>
        <v>1</v>
      </c>
      <c r="BA104" s="75" t="b">
        <f t="shared" si="114"/>
        <v>1</v>
      </c>
    </row>
  </sheetData>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4" tint="0.59999389629810485"/>
    <pageSetUpPr autoPageBreaks="0"/>
  </sheetPr>
  <dimension ref="A1:BH270"/>
  <sheetViews>
    <sheetView showGridLines="0" workbookViewId="0"/>
  </sheetViews>
  <sheetFormatPr defaultRowHeight="14.5"/>
  <cols>
    <col min="1" max="1" width="6.453125" customWidth="1"/>
    <col min="2" max="2" width="22.08984375" customWidth="1"/>
    <col min="3" max="31" width="15.6328125" customWidth="1"/>
    <col min="32" max="60" width="9" bestFit="1" customWidth="1"/>
    <col min="61" max="61" width="9.6328125" bestFit="1" customWidth="1"/>
  </cols>
  <sheetData>
    <row r="1" spans="1:4" s="588" customFormat="1" ht="18.5">
      <c r="A1" s="587" t="s">
        <v>3512</v>
      </c>
    </row>
    <row r="2" spans="1:4" s="588" customFormat="1">
      <c r="A2" s="588" t="s">
        <v>3513</v>
      </c>
    </row>
    <row r="3" spans="1:4" s="588" customFormat="1"/>
    <row r="4" spans="1:4" s="781" customFormat="1"/>
    <row r="8" spans="1:4" s="588" customFormat="1" ht="18.5">
      <c r="A8" s="588" t="s">
        <v>10</v>
      </c>
      <c r="B8" s="587" t="s">
        <v>3025</v>
      </c>
    </row>
    <row r="9" spans="1:4">
      <c r="B9" s="9"/>
    </row>
    <row r="10" spans="1:4">
      <c r="B10" s="7" t="s">
        <v>2505</v>
      </c>
      <c r="C10" s="7" t="s">
        <v>2887</v>
      </c>
    </row>
    <row r="11" spans="1:4">
      <c r="B11" s="6" t="s">
        <v>27</v>
      </c>
      <c r="C11" s="27">
        <v>1000</v>
      </c>
      <c r="D11" s="152" t="s">
        <v>3311</v>
      </c>
    </row>
    <row r="12" spans="1:4">
      <c r="B12" s="6" t="s">
        <v>28</v>
      </c>
      <c r="C12" s="27">
        <v>1000</v>
      </c>
    </row>
    <row r="13" spans="1:4">
      <c r="B13" s="6" t="s">
        <v>30</v>
      </c>
      <c r="C13" s="27">
        <v>1000</v>
      </c>
    </row>
    <row r="14" spans="1:4">
      <c r="B14" s="52"/>
      <c r="C14" s="206"/>
    </row>
    <row r="15" spans="1:4">
      <c r="B15" s="7" t="s">
        <v>2505</v>
      </c>
      <c r="C15" s="7" t="s">
        <v>2532</v>
      </c>
    </row>
    <row r="16" spans="1:4">
      <c r="B16" s="6" t="s">
        <v>27</v>
      </c>
      <c r="C16" s="28">
        <f>Epidemiology!C138</f>
        <v>0.4</v>
      </c>
    </row>
    <row r="17" spans="1:6">
      <c r="B17" s="6" t="s">
        <v>28</v>
      </c>
      <c r="C17" s="28">
        <f>Epidemiology!C139</f>
        <v>0.5</v>
      </c>
    </row>
    <row r="18" spans="1:6">
      <c r="B18" s="6" t="s">
        <v>30</v>
      </c>
      <c r="C18" s="28">
        <f>Epidemiology!C140</f>
        <v>0.52</v>
      </c>
    </row>
    <row r="19" spans="1:6">
      <c r="B19" s="52"/>
      <c r="C19" s="52"/>
      <c r="D19" s="52"/>
      <c r="E19" s="206"/>
      <c r="F19" s="206"/>
    </row>
    <row r="20" spans="1:6">
      <c r="B20" s="52"/>
      <c r="C20" s="52"/>
      <c r="D20" s="52"/>
    </row>
    <row r="21" spans="1:6">
      <c r="B21" s="9" t="s">
        <v>93</v>
      </c>
      <c r="C21" s="29" t="str">
        <f>Epidemiology!B116</f>
        <v>Midpoint</v>
      </c>
    </row>
    <row r="22" spans="1:6">
      <c r="B22" s="216" t="s">
        <v>2505</v>
      </c>
      <c r="C22" s="216" t="s">
        <v>2531</v>
      </c>
    </row>
    <row r="23" spans="1:6">
      <c r="B23" s="6" t="s">
        <v>25</v>
      </c>
      <c r="C23" s="215">
        <f>Epidemiology!C119</f>
        <v>0.47499999999999998</v>
      </c>
    </row>
    <row r="24" spans="1:6">
      <c r="B24" s="6" t="s">
        <v>184</v>
      </c>
      <c r="C24" s="215">
        <f>Epidemiology!C120</f>
        <v>0.47499999999999998</v>
      </c>
    </row>
    <row r="25" spans="1:6">
      <c r="B25" s="6" t="s">
        <v>185</v>
      </c>
      <c r="C25" s="215">
        <f>Epidemiology!C121</f>
        <v>0.47499999999999998</v>
      </c>
    </row>
    <row r="26" spans="1:6">
      <c r="B26" s="6" t="s">
        <v>2530</v>
      </c>
      <c r="C26" s="215">
        <f>Epidemiology!C122</f>
        <v>0.47499999999999998</v>
      </c>
    </row>
    <row r="28" spans="1:6">
      <c r="A28" s="9"/>
      <c r="B28" s="9" t="s">
        <v>118</v>
      </c>
    </row>
    <row r="29" spans="1:6" ht="14" customHeight="1">
      <c r="A29" s="9"/>
      <c r="B29" s="8"/>
      <c r="C29" s="7" t="s">
        <v>152</v>
      </c>
    </row>
    <row r="30" spans="1:6">
      <c r="A30" s="9"/>
      <c r="B30" s="6" t="s">
        <v>27</v>
      </c>
      <c r="C30" s="215">
        <f>Epidemiology!C101</f>
        <v>0</v>
      </c>
    </row>
    <row r="31" spans="1:6">
      <c r="A31" s="9"/>
      <c r="B31" s="6" t="s">
        <v>28</v>
      </c>
      <c r="C31" s="215">
        <f>Epidemiology!C102</f>
        <v>0.42</v>
      </c>
    </row>
    <row r="32" spans="1:6">
      <c r="A32" s="9"/>
      <c r="B32" s="6" t="s">
        <v>30</v>
      </c>
      <c r="C32" s="215">
        <f>Epidemiology!C104</f>
        <v>0.47</v>
      </c>
    </row>
    <row r="33" spans="1:60">
      <c r="A33" s="9"/>
      <c r="B33" s="52"/>
      <c r="C33" s="221"/>
    </row>
    <row r="34" spans="1:60">
      <c r="A34" s="9"/>
      <c r="B34" s="52"/>
      <c r="C34" s="221"/>
    </row>
    <row r="35" spans="1:60">
      <c r="B35" s="52"/>
      <c r="C35" s="52"/>
      <c r="D35" s="52"/>
    </row>
    <row r="36" spans="1:60" s="627" customFormat="1" ht="18.5">
      <c r="A36" s="587" t="s">
        <v>10</v>
      </c>
      <c r="B36" s="628" t="s">
        <v>3312</v>
      </c>
      <c r="C36" s="626"/>
      <c r="D36" s="626"/>
    </row>
    <row r="37" spans="1:60">
      <c r="B37" s="697" t="s">
        <v>2536</v>
      </c>
      <c r="C37" s="52"/>
      <c r="D37" s="52"/>
    </row>
    <row r="38" spans="1:60">
      <c r="B38" s="442"/>
      <c r="C38" s="52"/>
      <c r="D38" s="52"/>
    </row>
    <row r="39" spans="1:60">
      <c r="B39" s="442" t="s">
        <v>20</v>
      </c>
      <c r="C39" s="52">
        <f>'Control Assumptions'!C10</f>
        <v>2020</v>
      </c>
      <c r="D39" s="52"/>
    </row>
    <row r="40" spans="1:60">
      <c r="B40" s="697" t="s">
        <v>3412</v>
      </c>
      <c r="C40" s="52"/>
      <c r="D40" s="52"/>
    </row>
    <row r="41" spans="1:60">
      <c r="B41" s="697" t="s">
        <v>3414</v>
      </c>
      <c r="C41" s="52"/>
      <c r="D41" s="52"/>
    </row>
    <row r="42" spans="1:60">
      <c r="B42" s="32"/>
      <c r="C42" s="711">
        <f>Epidemiology!$C$89-7</f>
        <v>2013</v>
      </c>
      <c r="D42" s="32">
        <f>C42+1</f>
        <v>2014</v>
      </c>
      <c r="E42" s="32">
        <f t="shared" ref="E42:BH42" si="0">D42+1</f>
        <v>2015</v>
      </c>
      <c r="F42" s="32">
        <f t="shared" si="0"/>
        <v>2016</v>
      </c>
      <c r="G42" s="32">
        <f t="shared" si="0"/>
        <v>2017</v>
      </c>
      <c r="H42" s="32">
        <f t="shared" si="0"/>
        <v>2018</v>
      </c>
      <c r="I42" s="32">
        <f t="shared" si="0"/>
        <v>2019</v>
      </c>
      <c r="J42" s="32">
        <f t="shared" si="0"/>
        <v>2020</v>
      </c>
      <c r="K42" s="32">
        <f t="shared" si="0"/>
        <v>2021</v>
      </c>
      <c r="L42" s="32">
        <f t="shared" si="0"/>
        <v>2022</v>
      </c>
      <c r="M42" s="32">
        <f t="shared" si="0"/>
        <v>2023</v>
      </c>
      <c r="N42" s="32">
        <f t="shared" si="0"/>
        <v>2024</v>
      </c>
      <c r="O42" s="32">
        <f t="shared" si="0"/>
        <v>2025</v>
      </c>
      <c r="P42" s="32">
        <f t="shared" si="0"/>
        <v>2026</v>
      </c>
      <c r="Q42" s="32">
        <f t="shared" si="0"/>
        <v>2027</v>
      </c>
      <c r="R42" s="32">
        <f t="shared" si="0"/>
        <v>2028</v>
      </c>
      <c r="S42" s="32">
        <f t="shared" si="0"/>
        <v>2029</v>
      </c>
      <c r="T42" s="32">
        <f t="shared" si="0"/>
        <v>2030</v>
      </c>
      <c r="U42" s="32">
        <f t="shared" si="0"/>
        <v>2031</v>
      </c>
      <c r="V42" s="32">
        <f t="shared" si="0"/>
        <v>2032</v>
      </c>
      <c r="W42" s="32">
        <f t="shared" si="0"/>
        <v>2033</v>
      </c>
      <c r="X42" s="32">
        <f t="shared" si="0"/>
        <v>2034</v>
      </c>
      <c r="Y42" s="32">
        <f t="shared" si="0"/>
        <v>2035</v>
      </c>
      <c r="Z42" s="32">
        <f t="shared" si="0"/>
        <v>2036</v>
      </c>
      <c r="AA42" s="32">
        <f t="shared" si="0"/>
        <v>2037</v>
      </c>
      <c r="AB42" s="32">
        <f t="shared" si="0"/>
        <v>2038</v>
      </c>
      <c r="AC42" s="32">
        <f t="shared" si="0"/>
        <v>2039</v>
      </c>
      <c r="AD42" s="32">
        <f t="shared" si="0"/>
        <v>2040</v>
      </c>
      <c r="AE42" s="32">
        <f t="shared" si="0"/>
        <v>2041</v>
      </c>
      <c r="AF42" s="32">
        <f t="shared" si="0"/>
        <v>2042</v>
      </c>
      <c r="AG42" s="32">
        <f t="shared" si="0"/>
        <v>2043</v>
      </c>
      <c r="AH42" s="32">
        <f t="shared" si="0"/>
        <v>2044</v>
      </c>
      <c r="AI42" s="32">
        <f t="shared" si="0"/>
        <v>2045</v>
      </c>
      <c r="AJ42" s="32">
        <f t="shared" si="0"/>
        <v>2046</v>
      </c>
      <c r="AK42" s="32">
        <f t="shared" si="0"/>
        <v>2047</v>
      </c>
      <c r="AL42" s="32">
        <f t="shared" si="0"/>
        <v>2048</v>
      </c>
      <c r="AM42" s="32">
        <f t="shared" si="0"/>
        <v>2049</v>
      </c>
      <c r="AN42" s="32">
        <f t="shared" si="0"/>
        <v>2050</v>
      </c>
      <c r="AO42" s="32">
        <f t="shared" si="0"/>
        <v>2051</v>
      </c>
      <c r="AP42" s="32">
        <f t="shared" si="0"/>
        <v>2052</v>
      </c>
      <c r="AQ42" s="32">
        <f t="shared" si="0"/>
        <v>2053</v>
      </c>
      <c r="AR42" s="32">
        <f t="shared" si="0"/>
        <v>2054</v>
      </c>
      <c r="AS42" s="32">
        <f t="shared" si="0"/>
        <v>2055</v>
      </c>
      <c r="AT42" s="32">
        <f t="shared" si="0"/>
        <v>2056</v>
      </c>
      <c r="AU42" s="32">
        <f t="shared" si="0"/>
        <v>2057</v>
      </c>
      <c r="AV42" s="32">
        <f t="shared" si="0"/>
        <v>2058</v>
      </c>
      <c r="AW42" s="32">
        <f t="shared" si="0"/>
        <v>2059</v>
      </c>
      <c r="AX42" s="32">
        <f t="shared" si="0"/>
        <v>2060</v>
      </c>
      <c r="AY42" s="32">
        <f t="shared" si="0"/>
        <v>2061</v>
      </c>
      <c r="AZ42" s="32">
        <f t="shared" si="0"/>
        <v>2062</v>
      </c>
      <c r="BA42" s="32">
        <f t="shared" si="0"/>
        <v>2063</v>
      </c>
      <c r="BB42" s="32">
        <f t="shared" si="0"/>
        <v>2064</v>
      </c>
      <c r="BC42" s="32">
        <f t="shared" si="0"/>
        <v>2065</v>
      </c>
      <c r="BD42" s="32">
        <f t="shared" si="0"/>
        <v>2066</v>
      </c>
      <c r="BE42" s="32">
        <f t="shared" si="0"/>
        <v>2067</v>
      </c>
      <c r="BF42" s="32">
        <f t="shared" si="0"/>
        <v>2068</v>
      </c>
      <c r="BG42" s="32">
        <f t="shared" si="0"/>
        <v>2069</v>
      </c>
      <c r="BH42" s="32">
        <f t="shared" si="0"/>
        <v>2070</v>
      </c>
    </row>
    <row r="43" spans="1:60" ht="43.25" customHeight="1">
      <c r="B43" s="36" t="s">
        <v>3029</v>
      </c>
      <c r="C43" s="130">
        <f>INDEX('Demographic growth'!$C$252:$BT$252, MATCH(C42,'Demographic growth'!$C$251:$BT$251,0))</f>
        <v>1.4743088966357442E-2</v>
      </c>
      <c r="D43" s="130">
        <f>INDEX('Demographic growth'!$C$252:$BT$252, MATCH(D42,'Demographic growth'!$C$251:$BT$251,0))</f>
        <v>1.9937055801940159E-2</v>
      </c>
      <c r="E43" s="130">
        <f>INDEX('Demographic growth'!$C$252:$BT$252, MATCH(E42,'Demographic growth'!$C$251:$BT$251,0))</f>
        <v>1.4148478972531204E-2</v>
      </c>
      <c r="F43" s="130">
        <f>INDEX('Demographic growth'!$C$252:$BT$252, MATCH(F42,'Demographic growth'!$C$251:$BT$251,0))</f>
        <v>1.7488220143342375E-2</v>
      </c>
      <c r="G43" s="130">
        <f>INDEX('Demographic growth'!$C$252:$BT$252, MATCH(G42,'Demographic growth'!$C$251:$BT$251,0))</f>
        <v>2.0492816810347529E-2</v>
      </c>
      <c r="H43" s="130">
        <f>INDEX('Demographic growth'!$C$252:$BT$252, MATCH(H42,'Demographic growth'!$C$251:$BT$251,0))</f>
        <v>1.6745689445006026E-2</v>
      </c>
      <c r="I43" s="130">
        <f>INDEX('Demographic growth'!$C$252:$BT$252, MATCH(I42,'Demographic growth'!$C$251:$BT$251,0))</f>
        <v>1.902332761255561E-2</v>
      </c>
      <c r="J43" s="130">
        <f>INDEX('Demographic growth'!$C$252:$BT$252, MATCH(J42,'Demographic growth'!$C$251:$BT$251,0))</f>
        <v>1.4435645707949602E-2</v>
      </c>
      <c r="K43" s="130">
        <f>INDEX('Demographic growth'!$C$252:$BT$252, MATCH(K42,'Demographic growth'!$C$251:$BT$251,0))</f>
        <v>1.2486472765809758E-2</v>
      </c>
      <c r="L43" s="130">
        <f>INDEX('Demographic growth'!$C$252:$BT$252, MATCH(L42,'Demographic growth'!$C$251:$BT$251,0))</f>
        <v>1.3714832288569241E-2</v>
      </c>
      <c r="M43" s="130">
        <f>INDEX('Demographic growth'!$C$252:$BT$252, MATCH(M42,'Demographic growth'!$C$251:$BT$251,0))</f>
        <v>1.5754401199280177E-2</v>
      </c>
      <c r="N43" s="130">
        <f>INDEX('Demographic growth'!$C$252:$BT$252, MATCH(N42,'Demographic growth'!$C$251:$BT$251,0))</f>
        <v>1.6695983830280297E-2</v>
      </c>
      <c r="O43" s="130">
        <f>INDEX('Demographic growth'!$C$252:$BT$252, MATCH(O42,'Demographic growth'!$C$251:$BT$251,0))</f>
        <v>1.5637302571919091E-2</v>
      </c>
      <c r="P43" s="130">
        <f>INDEX('Demographic growth'!$C$252:$BT$252, MATCH(P42,'Demographic growth'!$C$251:$BT$251,0))</f>
        <v>1.5814210369408999E-2</v>
      </c>
      <c r="Q43" s="130">
        <f>INDEX('Demographic growth'!$C$252:$BT$252, MATCH(Q42,'Demographic growth'!$C$251:$BT$251,0))</f>
        <v>2.2400346841801033E-2</v>
      </c>
      <c r="R43" s="130">
        <f>INDEX('Demographic growth'!$C$252:$BT$252, MATCH(R42,'Demographic growth'!$C$251:$BT$251,0))</f>
        <v>1.84690123848541E-2</v>
      </c>
      <c r="S43" s="130">
        <f>INDEX('Demographic growth'!$C$252:$BT$252, MATCH(S42,'Demographic growth'!$C$251:$BT$251,0))</f>
        <v>1.6054434537477909E-2</v>
      </c>
      <c r="T43" s="130">
        <f>INDEX('Demographic growth'!$C$252:$BT$252, MATCH(T42,'Demographic growth'!$C$251:$BT$251,0))</f>
        <v>1.4490834185851703E-2</v>
      </c>
      <c r="U43" s="130">
        <f>INDEX('Demographic growth'!$C$252:$BT$252, MATCH(U42,'Demographic growth'!$C$251:$BT$251,0))</f>
        <v>1.3160959036510839E-2</v>
      </c>
      <c r="V43" s="130">
        <f>INDEX('Demographic growth'!$C$252:$BT$252, MATCH(V42,'Demographic growth'!$C$251:$BT$251,0))</f>
        <v>1.3471000884450444E-2</v>
      </c>
      <c r="W43" s="130">
        <f>INDEX('Demographic growth'!$C$252:$BT$252, MATCH(W42,'Demographic growth'!$C$251:$BT$251,0))</f>
        <v>1.4214685612677759E-2</v>
      </c>
      <c r="X43" s="130">
        <f>INDEX('Demographic growth'!$C$252:$BT$252, MATCH(X42,'Demographic growth'!$C$251:$BT$251,0))</f>
        <v>1.4072385171627226E-2</v>
      </c>
      <c r="Y43" s="130">
        <f>INDEX('Demographic growth'!$C$252:$BT$252, MATCH(Y42,'Demographic growth'!$C$251:$BT$251,0))</f>
        <v>1.2746465732387276E-2</v>
      </c>
      <c r="Z43" s="130">
        <f>INDEX('Demographic growth'!$C$252:$BT$252, MATCH(Z42,'Demographic growth'!$C$251:$BT$251,0))</f>
        <v>1.2434590104396695E-2</v>
      </c>
      <c r="AA43" s="130">
        <f>INDEX('Demographic growth'!$C$252:$BT$252, MATCH(AA42,'Demographic growth'!$C$251:$BT$251,0))</f>
        <v>1.4428905217977375E-2</v>
      </c>
      <c r="AB43" s="130">
        <f>INDEX('Demographic growth'!$C$252:$BT$252, MATCH(AB42,'Demographic growth'!$C$251:$BT$251,0))</f>
        <v>1.249394943642828E-2</v>
      </c>
      <c r="AC43" s="130">
        <f>INDEX('Demographic growth'!$C$252:$BT$252, MATCH(AC42,'Demographic growth'!$C$251:$BT$251,0))</f>
        <v>1.1598618826535009E-2</v>
      </c>
      <c r="AD43" s="130">
        <f>INDEX('Demographic growth'!$C$252:$BT$252, MATCH(AD42,'Demographic growth'!$C$251:$BT$251,0))</f>
        <v>1.1074866520926036E-2</v>
      </c>
      <c r="AE43" s="130">
        <f>INDEX('Demographic growth'!$C$252:$BT$252, MATCH(AE42,'Demographic growth'!$C$251:$BT$251,0))</f>
        <v>1.1559927002332507E-2</v>
      </c>
      <c r="AF43" s="130">
        <f>INDEX('Demographic growth'!$C$252:$BT$252, MATCH(AF42,'Demographic growth'!$C$251:$BT$251,0))</f>
        <v>1.1111836604007545E-2</v>
      </c>
      <c r="AG43" s="130">
        <f>INDEX('Demographic growth'!$C$252:$BT$252, MATCH(AG42,'Demographic growth'!$C$251:$BT$251,0))</f>
        <v>1.0462288913495137E-2</v>
      </c>
      <c r="AH43" s="130">
        <f>INDEX('Demographic growth'!$C$252:$BT$252, MATCH(AH42,'Demographic growth'!$C$251:$BT$251,0))</f>
        <v>9.8321411179054536E-3</v>
      </c>
      <c r="AI43" s="130">
        <f>INDEX('Demographic growth'!$C$252:$BT$252, MATCH(AI42,'Demographic growth'!$C$251:$BT$251,0))</f>
        <v>9.1566169156669774E-3</v>
      </c>
      <c r="AJ43" s="130">
        <f>INDEX('Demographic growth'!$C$252:$BT$252, MATCH(AJ42,'Demographic growth'!$C$251:$BT$251,0))</f>
        <v>8.510082766992836E-3</v>
      </c>
      <c r="AK43" s="130">
        <f>INDEX('Demographic growth'!$C$252:$BT$252, MATCH(AK42,'Demographic growth'!$C$251:$BT$251,0))</f>
        <v>7.8530172198904083E-3</v>
      </c>
      <c r="AL43" s="130">
        <f>INDEX('Demographic growth'!$C$252:$BT$252, MATCH(AL42,'Demographic growth'!$C$251:$BT$251,0))</f>
        <v>7.5128616690548471E-3</v>
      </c>
      <c r="AM43" s="130">
        <f>INDEX('Demographic growth'!$C$252:$BT$252, MATCH(AM42,'Demographic growth'!$C$251:$BT$251,0))</f>
        <v>7.855608610488566E-3</v>
      </c>
      <c r="AN43" s="130">
        <f>INDEX('Demographic growth'!$C$252:$BT$252, MATCH(AN42,'Demographic growth'!$C$251:$BT$251,0))</f>
        <v>7.6630339216423446E-3</v>
      </c>
      <c r="AO43" s="130">
        <f>INDEX('Demographic growth'!$C$252:$BT$252, MATCH(AO42,'Demographic growth'!$C$251:$BT$251,0))</f>
        <v>7.7001002365470238E-3</v>
      </c>
      <c r="AP43" s="130">
        <f>INDEX('Demographic growth'!$C$252:$BT$252, MATCH(AP42,'Demographic growth'!$C$251:$BT$251,0))</f>
        <v>6.6385509652605625E-3</v>
      </c>
      <c r="AQ43" s="130">
        <f>INDEX('Demographic growth'!$C$252:$BT$252, MATCH(AQ42,'Demographic growth'!$C$251:$BT$251,0))</f>
        <v>5.6105007075816287E-3</v>
      </c>
      <c r="AR43" s="130">
        <f>INDEX('Demographic growth'!$C$252:$BT$252, MATCH(AR42,'Demographic growth'!$C$251:$BT$251,0))</f>
        <v>4.6660472764468424E-3</v>
      </c>
      <c r="AS43" s="130">
        <f>INDEX('Demographic growth'!$C$252:$BT$252, MATCH(AS42,'Demographic growth'!$C$251:$BT$251,0))</f>
        <v>4.3453808363169977E-3</v>
      </c>
      <c r="AT43" s="130">
        <f>INDEX('Demographic growth'!$C$252:$BT$252, MATCH(AT42,'Demographic growth'!$C$251:$BT$251,0))</f>
        <v>3.8831898591900767E-3</v>
      </c>
      <c r="AU43" s="130">
        <f>INDEX('Demographic growth'!$C$252:$BT$252, MATCH(AU42,'Demographic growth'!$C$251:$BT$251,0))</f>
        <v>3.2739276614497715E-3</v>
      </c>
      <c r="AV43" s="130">
        <f>INDEX('Demographic growth'!$C$252:$BT$252, MATCH(AV42,'Demographic growth'!$C$251:$BT$251,0))</f>
        <v>3.677712152034877E-3</v>
      </c>
      <c r="AW43" s="130">
        <f>INDEX('Demographic growth'!$C$252:$BT$252, MATCH(AW42,'Demographic growth'!$C$251:$BT$251,0))</f>
        <v>4.3933143650905556E-3</v>
      </c>
      <c r="AX43" s="130">
        <f>INDEX('Demographic growth'!$C$252:$BT$252, MATCH(AX42,'Demographic growth'!$C$251:$BT$251,0))</f>
        <v>5.1256126817116453E-3</v>
      </c>
      <c r="AY43" s="130">
        <f>INDEX('Demographic growth'!$C$252:$BT$252, MATCH(AY42,'Demographic growth'!$C$251:$BT$251,0))</f>
        <v>0</v>
      </c>
      <c r="AZ43" s="130">
        <f>INDEX('Demographic growth'!$C$252:$BT$252, MATCH(AZ42,'Demographic growth'!$C$251:$BT$251,0))</f>
        <v>0</v>
      </c>
      <c r="BA43" s="130">
        <f>INDEX('Demographic growth'!$C$252:$BT$252, MATCH(BA42,'Demographic growth'!$C$251:$BT$251,0))</f>
        <v>0</v>
      </c>
      <c r="BB43" s="130">
        <f>INDEX('Demographic growth'!$C$252:$BT$252, MATCH(BB42,'Demographic growth'!$C$251:$BT$251,0))</f>
        <v>0</v>
      </c>
      <c r="BC43" s="130">
        <f>INDEX('Demographic growth'!$C$252:$BT$252, MATCH(BC42,'Demographic growth'!$C$251:$BT$251,0))</f>
        <v>0</v>
      </c>
      <c r="BD43" s="130">
        <f>INDEX('Demographic growth'!$C$252:$BT$252, MATCH(BD42,'Demographic growth'!$C$251:$BT$251,0))</f>
        <v>0</v>
      </c>
      <c r="BE43" s="130">
        <f>INDEX('Demographic growth'!$C$252:$BT$252, MATCH(BE42,'Demographic growth'!$C$251:$BT$251,0))</f>
        <v>0</v>
      </c>
      <c r="BF43" s="130">
        <f>INDEX('Demographic growth'!$C$252:$BT$252, MATCH(BF42,'Demographic growth'!$C$251:$BT$251,0))</f>
        <v>0</v>
      </c>
      <c r="BG43" s="130">
        <f>INDEX('Demographic growth'!$C$252:$BT$252, MATCH(BG42,'Demographic growth'!$C$251:$BT$251,0))</f>
        <v>0</v>
      </c>
      <c r="BH43" s="130" t="e">
        <f>INDEX('Demographic growth'!$C$252:$BT$252, MATCH(BH42,'Demographic growth'!$C$251:$BT$251,0))</f>
        <v>#N/A</v>
      </c>
    </row>
    <row r="44" spans="1:60">
      <c r="B44" s="142"/>
      <c r="C44" s="223"/>
      <c r="D44" s="223"/>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3"/>
      <c r="AX44" s="223"/>
      <c r="AY44" s="223"/>
      <c r="AZ44" s="223"/>
      <c r="BA44" s="223"/>
      <c r="BB44" s="223"/>
      <c r="BC44" s="223"/>
      <c r="BD44" s="223"/>
      <c r="BE44" s="223"/>
      <c r="BF44" s="223"/>
      <c r="BG44" s="223"/>
      <c r="BH44" s="223"/>
    </row>
    <row r="45" spans="1:60">
      <c r="B45" s="142"/>
      <c r="C45" s="223"/>
      <c r="D45" s="223"/>
      <c r="E45" s="223"/>
      <c r="F45" s="223"/>
      <c r="G45" s="223"/>
      <c r="H45" s="223"/>
      <c r="I45" s="223"/>
      <c r="J45" s="223"/>
      <c r="K45" s="223"/>
      <c r="L45" s="223"/>
      <c r="M45" s="223"/>
      <c r="N45" s="223"/>
      <c r="O45" s="223"/>
      <c r="P45" s="223"/>
      <c r="Q45" s="223"/>
      <c r="R45" s="223"/>
      <c r="S45" s="223"/>
      <c r="T45" s="223"/>
      <c r="U45" s="223"/>
      <c r="V45" s="223"/>
      <c r="W45" s="223"/>
      <c r="X45" s="223"/>
      <c r="Y45" s="223"/>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3"/>
      <c r="AX45" s="223"/>
      <c r="AY45" s="223"/>
      <c r="AZ45" s="223"/>
      <c r="BA45" s="223"/>
      <c r="BB45" s="223"/>
      <c r="BC45" s="223"/>
      <c r="BD45" s="223"/>
      <c r="BE45" s="223"/>
      <c r="BF45" s="223"/>
      <c r="BG45" s="223"/>
      <c r="BH45" s="223"/>
    </row>
    <row r="46" spans="1:60">
      <c r="C46" t="s">
        <v>3027</v>
      </c>
      <c r="E46" s="206"/>
      <c r="F46" s="206"/>
    </row>
    <row r="47" spans="1:60">
      <c r="B47" s="7" t="s">
        <v>2505</v>
      </c>
      <c r="C47" s="7" t="s">
        <v>2533</v>
      </c>
      <c r="D47" s="222" t="s">
        <v>2535</v>
      </c>
      <c r="E47" s="206"/>
      <c r="F47" s="206"/>
    </row>
    <row r="48" spans="1:60">
      <c r="B48" s="6" t="s">
        <v>27</v>
      </c>
      <c r="C48" s="155">
        <f>C16*C11</f>
        <v>400</v>
      </c>
      <c r="D48" s="155">
        <f>C11-C48</f>
        <v>600</v>
      </c>
      <c r="E48" s="206"/>
      <c r="F48" s="206"/>
    </row>
    <row r="49" spans="1:60">
      <c r="B49" s="6" t="s">
        <v>28</v>
      </c>
      <c r="C49" s="155">
        <f>C17*C12</f>
        <v>500</v>
      </c>
      <c r="D49" s="155">
        <f>C12-C49</f>
        <v>500</v>
      </c>
      <c r="E49" s="206"/>
      <c r="F49" s="206"/>
    </row>
    <row r="50" spans="1:60">
      <c r="B50" s="6" t="s">
        <v>30</v>
      </c>
      <c r="C50" s="155">
        <f>C18*C13</f>
        <v>520</v>
      </c>
      <c r="D50" s="155">
        <f>C13-C50</f>
        <v>480</v>
      </c>
      <c r="E50" s="206"/>
      <c r="F50" s="206"/>
    </row>
    <row r="51" spans="1:60">
      <c r="B51" s="52"/>
      <c r="C51" s="52"/>
      <c r="D51" s="52"/>
    </row>
    <row r="52" spans="1:60">
      <c r="B52" s="223"/>
      <c r="C52" s="223"/>
      <c r="D52" s="223"/>
      <c r="E52" s="223"/>
      <c r="F52" s="223"/>
      <c r="G52" s="223"/>
      <c r="H52" s="223"/>
      <c r="I52" s="223"/>
      <c r="J52" s="223"/>
      <c r="K52" s="223"/>
      <c r="L52" s="223"/>
      <c r="M52" s="223"/>
      <c r="N52" s="223"/>
      <c r="O52" s="223"/>
      <c r="P52" s="223"/>
      <c r="Q52" s="223"/>
      <c r="R52" s="223"/>
      <c r="S52" s="223"/>
      <c r="T52" s="223"/>
      <c r="U52" s="223"/>
      <c r="V52" s="223"/>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3"/>
      <c r="AX52" s="223"/>
      <c r="AY52" s="223"/>
      <c r="AZ52" s="223"/>
      <c r="BA52" s="223"/>
      <c r="BB52" s="223"/>
      <c r="BC52" s="223"/>
      <c r="BD52" s="223"/>
      <c r="BE52" s="223"/>
      <c r="BF52" s="223"/>
      <c r="BG52" s="223"/>
      <c r="BH52" s="223"/>
    </row>
    <row r="53" spans="1:60">
      <c r="B53" s="113" t="s">
        <v>2537</v>
      </c>
      <c r="C53" s="52"/>
      <c r="D53" s="52"/>
    </row>
    <row r="54" spans="1:60">
      <c r="B54" s="34" t="s">
        <v>2491</v>
      </c>
      <c r="C54" s="32">
        <f>C42</f>
        <v>2013</v>
      </c>
      <c r="D54" s="32">
        <f t="shared" ref="D54:BH54" si="1">D42</f>
        <v>2014</v>
      </c>
      <c r="E54" s="32">
        <f t="shared" si="1"/>
        <v>2015</v>
      </c>
      <c r="F54" s="32">
        <f t="shared" si="1"/>
        <v>2016</v>
      </c>
      <c r="G54" s="32">
        <f t="shared" si="1"/>
        <v>2017</v>
      </c>
      <c r="H54" s="32">
        <f t="shared" si="1"/>
        <v>2018</v>
      </c>
      <c r="I54" s="32">
        <f t="shared" si="1"/>
        <v>2019</v>
      </c>
      <c r="J54" s="32">
        <f t="shared" si="1"/>
        <v>2020</v>
      </c>
      <c r="K54" s="32">
        <f t="shared" si="1"/>
        <v>2021</v>
      </c>
      <c r="L54" s="32">
        <f t="shared" si="1"/>
        <v>2022</v>
      </c>
      <c r="M54" s="32">
        <f t="shared" si="1"/>
        <v>2023</v>
      </c>
      <c r="N54" s="32">
        <f t="shared" si="1"/>
        <v>2024</v>
      </c>
      <c r="O54" s="32">
        <f t="shared" si="1"/>
        <v>2025</v>
      </c>
      <c r="P54" s="32">
        <f t="shared" si="1"/>
        <v>2026</v>
      </c>
      <c r="Q54" s="32">
        <f t="shared" si="1"/>
        <v>2027</v>
      </c>
      <c r="R54" s="32">
        <f t="shared" si="1"/>
        <v>2028</v>
      </c>
      <c r="S54" s="32">
        <f t="shared" si="1"/>
        <v>2029</v>
      </c>
      <c r="T54" s="32">
        <f t="shared" si="1"/>
        <v>2030</v>
      </c>
      <c r="U54" s="32">
        <f t="shared" si="1"/>
        <v>2031</v>
      </c>
      <c r="V54" s="32">
        <f t="shared" si="1"/>
        <v>2032</v>
      </c>
      <c r="W54" s="32">
        <f t="shared" si="1"/>
        <v>2033</v>
      </c>
      <c r="X54" s="32">
        <f t="shared" si="1"/>
        <v>2034</v>
      </c>
      <c r="Y54" s="32">
        <f t="shared" si="1"/>
        <v>2035</v>
      </c>
      <c r="Z54" s="32">
        <f t="shared" si="1"/>
        <v>2036</v>
      </c>
      <c r="AA54" s="32">
        <f t="shared" si="1"/>
        <v>2037</v>
      </c>
      <c r="AB54" s="32">
        <f t="shared" si="1"/>
        <v>2038</v>
      </c>
      <c r="AC54" s="32">
        <f t="shared" si="1"/>
        <v>2039</v>
      </c>
      <c r="AD54" s="32">
        <f t="shared" si="1"/>
        <v>2040</v>
      </c>
      <c r="AE54" s="32">
        <f t="shared" si="1"/>
        <v>2041</v>
      </c>
      <c r="AF54" s="32">
        <f t="shared" si="1"/>
        <v>2042</v>
      </c>
      <c r="AG54" s="32">
        <f t="shared" si="1"/>
        <v>2043</v>
      </c>
      <c r="AH54" s="32">
        <f t="shared" si="1"/>
        <v>2044</v>
      </c>
      <c r="AI54" s="32">
        <f t="shared" si="1"/>
        <v>2045</v>
      </c>
      <c r="AJ54" s="32">
        <f t="shared" si="1"/>
        <v>2046</v>
      </c>
      <c r="AK54" s="32">
        <f t="shared" si="1"/>
        <v>2047</v>
      </c>
      <c r="AL54" s="32">
        <f t="shared" si="1"/>
        <v>2048</v>
      </c>
      <c r="AM54" s="32">
        <f t="shared" si="1"/>
        <v>2049</v>
      </c>
      <c r="AN54" s="32">
        <f t="shared" si="1"/>
        <v>2050</v>
      </c>
      <c r="AO54" s="32">
        <f t="shared" si="1"/>
        <v>2051</v>
      </c>
      <c r="AP54" s="32">
        <f t="shared" si="1"/>
        <v>2052</v>
      </c>
      <c r="AQ54" s="32">
        <f t="shared" si="1"/>
        <v>2053</v>
      </c>
      <c r="AR54" s="32">
        <f t="shared" si="1"/>
        <v>2054</v>
      </c>
      <c r="AS54" s="32">
        <f t="shared" si="1"/>
        <v>2055</v>
      </c>
      <c r="AT54" s="32">
        <f t="shared" si="1"/>
        <v>2056</v>
      </c>
      <c r="AU54" s="32">
        <f t="shared" si="1"/>
        <v>2057</v>
      </c>
      <c r="AV54" s="32">
        <f t="shared" si="1"/>
        <v>2058</v>
      </c>
      <c r="AW54" s="32">
        <f t="shared" si="1"/>
        <v>2059</v>
      </c>
      <c r="AX54" s="32">
        <f t="shared" si="1"/>
        <v>2060</v>
      </c>
      <c r="AY54" s="32">
        <f t="shared" si="1"/>
        <v>2061</v>
      </c>
      <c r="AZ54" s="32">
        <f t="shared" si="1"/>
        <v>2062</v>
      </c>
      <c r="BA54" s="32">
        <f t="shared" si="1"/>
        <v>2063</v>
      </c>
      <c r="BB54" s="32">
        <f t="shared" si="1"/>
        <v>2064</v>
      </c>
      <c r="BC54" s="32">
        <f t="shared" si="1"/>
        <v>2065</v>
      </c>
      <c r="BD54" s="32">
        <f t="shared" si="1"/>
        <v>2066</v>
      </c>
      <c r="BE54" s="32">
        <f t="shared" si="1"/>
        <v>2067</v>
      </c>
      <c r="BF54" s="32">
        <f t="shared" si="1"/>
        <v>2068</v>
      </c>
      <c r="BG54" s="32">
        <f t="shared" si="1"/>
        <v>2069</v>
      </c>
      <c r="BH54" s="32">
        <f t="shared" si="1"/>
        <v>2070</v>
      </c>
    </row>
    <row r="55" spans="1:60" ht="13.25" customHeight="1">
      <c r="B55" s="6" t="s">
        <v>25</v>
      </c>
      <c r="C55" s="214">
        <f>C50</f>
        <v>520</v>
      </c>
      <c r="D55" s="214">
        <f t="shared" ref="D55:AI55" si="2">C55*(1+C$43)</f>
        <v>527.6664062625058</v>
      </c>
      <c r="E55" s="214">
        <f t="shared" si="2"/>
        <v>538.18652084897053</v>
      </c>
      <c r="F55" s="214">
        <f t="shared" si="2"/>
        <v>545.80104152250192</v>
      </c>
      <c r="G55" s="214">
        <f t="shared" si="2"/>
        <v>555.34613029111301</v>
      </c>
      <c r="H55" s="214">
        <f t="shared" si="2"/>
        <v>566.72673680550417</v>
      </c>
      <c r="I55" s="214">
        <f t="shared" si="2"/>
        <v>576.21696674023076</v>
      </c>
      <c r="J55" s="214">
        <f t="shared" si="2"/>
        <v>587.17853087444314</v>
      </c>
      <c r="K55" s="214">
        <f t="shared" si="2"/>
        <v>595.65483211346088</v>
      </c>
      <c r="L55" s="214">
        <f t="shared" si="2"/>
        <v>603.09245995246863</v>
      </c>
      <c r="M55" s="214">
        <f t="shared" si="2"/>
        <v>611.36377189521738</v>
      </c>
      <c r="N55" s="214">
        <f t="shared" si="2"/>
        <v>620.99544203635992</v>
      </c>
      <c r="O55" s="214">
        <f t="shared" si="2"/>
        <v>631.36357189527678</v>
      </c>
      <c r="P55" s="214">
        <f t="shared" si="2"/>
        <v>641.23639510189093</v>
      </c>
      <c r="Q55" s="214">
        <f t="shared" si="2"/>
        <v>651.37704235055367</v>
      </c>
      <c r="R55" s="214">
        <f t="shared" si="2"/>
        <v>665.9681140239926</v>
      </c>
      <c r="S55" s="214">
        <f t="shared" si="2"/>
        <v>678.26788736981962</v>
      </c>
      <c r="T55" s="214">
        <f t="shared" si="2"/>
        <v>689.15709476647191</v>
      </c>
      <c r="U55" s="214">
        <f t="shared" si="2"/>
        <v>699.14355595473614</v>
      </c>
      <c r="V55" s="214">
        <f t="shared" si="2"/>
        <v>708.34495565529699</v>
      </c>
      <c r="W55" s="214">
        <f t="shared" si="2"/>
        <v>717.88707117942556</v>
      </c>
      <c r="X55" s="214">
        <f t="shared" si="2"/>
        <v>728.09161020164709</v>
      </c>
      <c r="Y55" s="214">
        <f t="shared" si="2"/>
        <v>738.33759578063484</v>
      </c>
      <c r="Z55" s="214">
        <f t="shared" si="2"/>
        <v>747.74879064418587</v>
      </c>
      <c r="AA55" s="214">
        <f t="shared" si="2"/>
        <v>757.04674035690471</v>
      </c>
      <c r="AB55" s="214">
        <f t="shared" si="2"/>
        <v>767.97009601909315</v>
      </c>
      <c r="AC55" s="214">
        <f t="shared" si="2"/>
        <v>777.56507556744464</v>
      </c>
      <c r="AD55" s="214">
        <f t="shared" si="2"/>
        <v>786.58375649177719</v>
      </c>
      <c r="AE55" s="214">
        <f t="shared" si="2"/>
        <v>795.29506660245215</v>
      </c>
      <c r="AF55" s="214">
        <f t="shared" si="2"/>
        <v>804.48861951769175</v>
      </c>
      <c r="AG55" s="214">
        <f t="shared" si="2"/>
        <v>813.42796560755585</v>
      </c>
      <c r="AH55" s="214">
        <f t="shared" si="2"/>
        <v>821.93828399405868</v>
      </c>
      <c r="AI55" s="214">
        <f t="shared" si="2"/>
        <v>830.01969719249723</v>
      </c>
      <c r="AJ55" s="214">
        <f t="shared" ref="AJ55:BH55" si="3">AI55*(1+AI$43)</f>
        <v>837.61986959214676</v>
      </c>
      <c r="AK55" s="214">
        <f t="shared" si="3"/>
        <v>844.74808400965367</v>
      </c>
      <c r="AL55" s="214">
        <f t="shared" si="3"/>
        <v>851.38190525985101</v>
      </c>
      <c r="AM55" s="214">
        <f t="shared" si="3"/>
        <v>857.77821974160452</v>
      </c>
      <c r="AN55" s="214">
        <f t="shared" si="3"/>
        <v>864.51658971049631</v>
      </c>
      <c r="AO55" s="214">
        <f t="shared" si="3"/>
        <v>871.14140966327045</v>
      </c>
      <c r="AP55" s="214">
        <f t="shared" si="3"/>
        <v>877.84928583788462</v>
      </c>
      <c r="AQ55" s="214">
        <f t="shared" si="3"/>
        <v>883.67693306173715</v>
      </c>
      <c r="AR55" s="214">
        <f t="shared" si="3"/>
        <v>888.63480311995363</v>
      </c>
      <c r="AS55" s="214">
        <f t="shared" si="3"/>
        <v>892.78121512280734</v>
      </c>
      <c r="AT55" s="214">
        <f t="shared" si="3"/>
        <v>896.66068950602573</v>
      </c>
      <c r="AU55" s="214">
        <f t="shared" si="3"/>
        <v>900.14259320264989</v>
      </c>
      <c r="AV55" s="214">
        <f t="shared" si="3"/>
        <v>903.08959493778514</v>
      </c>
      <c r="AW55" s="214">
        <f t="shared" si="3"/>
        <v>906.41089851546405</v>
      </c>
      <c r="AX55" s="214">
        <f t="shared" si="3"/>
        <v>910.39304653658667</v>
      </c>
      <c r="AY55" s="214">
        <f t="shared" si="3"/>
        <v>915.05936868125673</v>
      </c>
      <c r="AZ55" s="214">
        <f t="shared" si="3"/>
        <v>915.05936868125673</v>
      </c>
      <c r="BA55" s="214">
        <f t="shared" si="3"/>
        <v>915.05936868125673</v>
      </c>
      <c r="BB55" s="214">
        <f t="shared" si="3"/>
        <v>915.05936868125673</v>
      </c>
      <c r="BC55" s="214">
        <f t="shared" si="3"/>
        <v>915.05936868125673</v>
      </c>
      <c r="BD55" s="214">
        <f t="shared" si="3"/>
        <v>915.05936868125673</v>
      </c>
      <c r="BE55" s="214">
        <f t="shared" si="3"/>
        <v>915.05936868125673</v>
      </c>
      <c r="BF55" s="214">
        <f t="shared" si="3"/>
        <v>915.05936868125673</v>
      </c>
      <c r="BG55" s="214">
        <f t="shared" si="3"/>
        <v>915.05936868125673</v>
      </c>
      <c r="BH55" s="214">
        <f t="shared" si="3"/>
        <v>915.05936868125673</v>
      </c>
    </row>
    <row r="56" spans="1:60" ht="22.25" customHeight="1">
      <c r="B56" s="6" t="s">
        <v>184</v>
      </c>
      <c r="C56" s="214">
        <f>C49</f>
        <v>500</v>
      </c>
      <c r="D56" s="214">
        <f t="shared" ref="D56:AI56" si="4">C56*(1+C$43)</f>
        <v>507.3715444831787</v>
      </c>
      <c r="E56" s="214">
        <f t="shared" si="4"/>
        <v>517.4870392778563</v>
      </c>
      <c r="F56" s="214">
        <f t="shared" si="4"/>
        <v>524.80869377163651</v>
      </c>
      <c r="G56" s="214">
        <f t="shared" si="4"/>
        <v>533.98666374145489</v>
      </c>
      <c r="H56" s="214">
        <f t="shared" si="4"/>
        <v>544.92955462067721</v>
      </c>
      <c r="I56" s="214">
        <f t="shared" si="4"/>
        <v>554.0547757117605</v>
      </c>
      <c r="J56" s="214">
        <f t="shared" si="4"/>
        <v>564.59474122542633</v>
      </c>
      <c r="K56" s="214">
        <f t="shared" si="4"/>
        <v>572.74503087832807</v>
      </c>
      <c r="L56" s="214">
        <f t="shared" si="4"/>
        <v>579.89659610814317</v>
      </c>
      <c r="M56" s="214">
        <f t="shared" si="4"/>
        <v>587.8497806684785</v>
      </c>
      <c r="N56" s="214">
        <f t="shared" si="4"/>
        <v>597.11100195803863</v>
      </c>
      <c r="O56" s="214">
        <f t="shared" si="4"/>
        <v>607.08035759161248</v>
      </c>
      <c r="P56" s="214">
        <f t="shared" si="4"/>
        <v>616.57345682874143</v>
      </c>
      <c r="Q56" s="214">
        <f t="shared" si="4"/>
        <v>626.32407918322485</v>
      </c>
      <c r="R56" s="214">
        <f t="shared" si="4"/>
        <v>640.35395579230078</v>
      </c>
      <c r="S56" s="214">
        <f t="shared" si="4"/>
        <v>652.18066093251912</v>
      </c>
      <c r="T56" s="214">
        <f t="shared" si="4"/>
        <v>662.65105266006935</v>
      </c>
      <c r="U56" s="214">
        <f t="shared" si="4"/>
        <v>672.25341918724644</v>
      </c>
      <c r="V56" s="214">
        <f t="shared" si="4"/>
        <v>681.10091889932426</v>
      </c>
      <c r="W56" s="214">
        <f t="shared" si="4"/>
        <v>690.27602998021712</v>
      </c>
      <c r="X56" s="214">
        <f t="shared" si="4"/>
        <v>700.08808673235319</v>
      </c>
      <c r="Y56" s="214">
        <f t="shared" si="4"/>
        <v>709.93999594291836</v>
      </c>
      <c r="Z56" s="214">
        <f t="shared" si="4"/>
        <v>718.98922177325596</v>
      </c>
      <c r="AA56" s="214">
        <f t="shared" si="4"/>
        <v>727.92955803548557</v>
      </c>
      <c r="AB56" s="214">
        <f t="shared" si="4"/>
        <v>738.43278463374372</v>
      </c>
      <c r="AC56" s="214">
        <f t="shared" si="4"/>
        <v>747.65872650715858</v>
      </c>
      <c r="AD56" s="214">
        <f t="shared" si="4"/>
        <v>756.33053508824764</v>
      </c>
      <c r="AE56" s="214">
        <f t="shared" si="4"/>
        <v>764.7067948100505</v>
      </c>
      <c r="AF56" s="214">
        <f t="shared" si="4"/>
        <v>773.54674953624237</v>
      </c>
      <c r="AG56" s="214">
        <f t="shared" si="4"/>
        <v>782.14227462265023</v>
      </c>
      <c r="AH56" s="214">
        <f t="shared" si="4"/>
        <v>790.32527307121063</v>
      </c>
      <c r="AI56" s="214">
        <f t="shared" si="4"/>
        <v>798.09586268509395</v>
      </c>
      <c r="AJ56" s="214">
        <f t="shared" ref="AJ56:BH56" si="5">AI56*(1+AI$43)</f>
        <v>805.40372076168012</v>
      </c>
      <c r="AK56" s="214">
        <f t="shared" si="5"/>
        <v>812.25777308620604</v>
      </c>
      <c r="AL56" s="214">
        <f t="shared" si="5"/>
        <v>818.63644736524191</v>
      </c>
      <c r="AM56" s="214">
        <f t="shared" si="5"/>
        <v>824.78674975154343</v>
      </c>
      <c r="AN56" s="214">
        <f t="shared" si="5"/>
        <v>831.26595164470859</v>
      </c>
      <c r="AO56" s="214">
        <f t="shared" si="5"/>
        <v>837.63597083006835</v>
      </c>
      <c r="AP56" s="214">
        <f t="shared" si="5"/>
        <v>844.08585176719737</v>
      </c>
      <c r="AQ56" s="214">
        <f t="shared" si="5"/>
        <v>849.68935871320934</v>
      </c>
      <c r="AR56" s="214">
        <f t="shared" si="5"/>
        <v>854.45654146149445</v>
      </c>
      <c r="AS56" s="214">
        <f t="shared" si="5"/>
        <v>858.443476079623</v>
      </c>
      <c r="AT56" s="214">
        <f t="shared" si="5"/>
        <v>862.17373990964074</v>
      </c>
      <c r="AU56" s="214">
        <f t="shared" si="5"/>
        <v>865.52172423331774</v>
      </c>
      <c r="AV56" s="214">
        <f t="shared" si="5"/>
        <v>868.35537974787087</v>
      </c>
      <c r="AW56" s="214">
        <f t="shared" si="5"/>
        <v>871.54894088025446</v>
      </c>
      <c r="AX56" s="214">
        <f t="shared" si="5"/>
        <v>875.37792936210315</v>
      </c>
      <c r="AY56" s="214">
        <f t="shared" si="5"/>
        <v>879.86477757813202</v>
      </c>
      <c r="AZ56" s="214">
        <f t="shared" si="5"/>
        <v>879.86477757813202</v>
      </c>
      <c r="BA56" s="214">
        <f t="shared" si="5"/>
        <v>879.86477757813202</v>
      </c>
      <c r="BB56" s="214">
        <f t="shared" si="5"/>
        <v>879.86477757813202</v>
      </c>
      <c r="BC56" s="214">
        <f t="shared" si="5"/>
        <v>879.86477757813202</v>
      </c>
      <c r="BD56" s="214">
        <f t="shared" si="5"/>
        <v>879.86477757813202</v>
      </c>
      <c r="BE56" s="214">
        <f t="shared" si="5"/>
        <v>879.86477757813202</v>
      </c>
      <c r="BF56" s="214">
        <f t="shared" si="5"/>
        <v>879.86477757813202</v>
      </c>
      <c r="BG56" s="214">
        <f t="shared" si="5"/>
        <v>879.86477757813202</v>
      </c>
      <c r="BH56" s="214">
        <f t="shared" si="5"/>
        <v>879.86477757813202</v>
      </c>
    </row>
    <row r="57" spans="1:60">
      <c r="B57" s="6" t="s">
        <v>185</v>
      </c>
      <c r="C57" s="214">
        <f>C48</f>
        <v>400</v>
      </c>
      <c r="D57" s="214">
        <f t="shared" ref="D57:AI57" si="6">C57*(1+C$43)</f>
        <v>405.89723558654293</v>
      </c>
      <c r="E57" s="214">
        <f t="shared" si="6"/>
        <v>413.98963142228507</v>
      </c>
      <c r="F57" s="214">
        <f t="shared" si="6"/>
        <v>419.84695501730926</v>
      </c>
      <c r="G57" s="214">
        <f t="shared" si="6"/>
        <v>427.18933099316394</v>
      </c>
      <c r="H57" s="214">
        <f t="shared" si="6"/>
        <v>435.94364369654176</v>
      </c>
      <c r="I57" s="214">
        <f t="shared" si="6"/>
        <v>443.2438205694084</v>
      </c>
      <c r="J57" s="214">
        <f t="shared" si="6"/>
        <v>451.67579298034104</v>
      </c>
      <c r="K57" s="214">
        <f t="shared" si="6"/>
        <v>458.19602470266238</v>
      </c>
      <c r="L57" s="214">
        <f t="shared" si="6"/>
        <v>463.91727688651451</v>
      </c>
      <c r="M57" s="214">
        <f t="shared" si="6"/>
        <v>470.27982453478279</v>
      </c>
      <c r="N57" s="214">
        <f t="shared" si="6"/>
        <v>477.68880156643087</v>
      </c>
      <c r="O57" s="214">
        <f t="shared" si="6"/>
        <v>485.66428607328993</v>
      </c>
      <c r="P57" s="214">
        <f t="shared" si="6"/>
        <v>493.2587654629931</v>
      </c>
      <c r="Q57" s="214">
        <f t="shared" si="6"/>
        <v>501.05926334657983</v>
      </c>
      <c r="R57" s="214">
        <f t="shared" si="6"/>
        <v>512.28316463384056</v>
      </c>
      <c r="S57" s="214">
        <f t="shared" si="6"/>
        <v>521.74452874601525</v>
      </c>
      <c r="T57" s="214">
        <f t="shared" si="6"/>
        <v>530.12084212805541</v>
      </c>
      <c r="U57" s="214">
        <f t="shared" si="6"/>
        <v>537.8027353497971</v>
      </c>
      <c r="V57" s="214">
        <f t="shared" si="6"/>
        <v>544.88073511945936</v>
      </c>
      <c r="W57" s="214">
        <f t="shared" si="6"/>
        <v>552.22082398417365</v>
      </c>
      <c r="X57" s="214">
        <f t="shared" si="6"/>
        <v>560.07046938588246</v>
      </c>
      <c r="Y57" s="214">
        <f t="shared" si="6"/>
        <v>567.95199675433457</v>
      </c>
      <c r="Z57" s="214">
        <f t="shared" si="6"/>
        <v>575.19137741860459</v>
      </c>
      <c r="AA57" s="214">
        <f t="shared" si="6"/>
        <v>582.3436464283883</v>
      </c>
      <c r="AB57" s="214">
        <f t="shared" si="6"/>
        <v>590.74622770699477</v>
      </c>
      <c r="AC57" s="214">
        <f t="shared" si="6"/>
        <v>598.12698120572668</v>
      </c>
      <c r="AD57" s="214">
        <f t="shared" si="6"/>
        <v>605.06442807059796</v>
      </c>
      <c r="AE57" s="214">
        <f t="shared" si="6"/>
        <v>611.76543584804017</v>
      </c>
      <c r="AF57" s="214">
        <f t="shared" si="6"/>
        <v>618.83739962899369</v>
      </c>
      <c r="AG57" s="214">
        <f t="shared" si="6"/>
        <v>625.71381969812001</v>
      </c>
      <c r="AH57" s="214">
        <f t="shared" si="6"/>
        <v>632.26021845696835</v>
      </c>
      <c r="AI57" s="214">
        <f t="shared" si="6"/>
        <v>638.47669014807502</v>
      </c>
      <c r="AJ57" s="214">
        <f t="shared" ref="AJ57:BH57" si="7">AI57*(1+AI$43)</f>
        <v>644.32297660934387</v>
      </c>
      <c r="AK57" s="214">
        <f t="shared" si="7"/>
        <v>649.80621846896452</v>
      </c>
      <c r="AL57" s="214">
        <f t="shared" si="7"/>
        <v>654.90915789219321</v>
      </c>
      <c r="AM57" s="214">
        <f t="shared" si="7"/>
        <v>659.82939980123433</v>
      </c>
      <c r="AN57" s="214">
        <f t="shared" si="7"/>
        <v>665.0127613157664</v>
      </c>
      <c r="AO57" s="214">
        <f t="shared" si="7"/>
        <v>670.10877666405418</v>
      </c>
      <c r="AP57" s="214">
        <f t="shared" si="7"/>
        <v>675.26868141375735</v>
      </c>
      <c r="AQ57" s="214">
        <f t="shared" si="7"/>
        <v>679.75148697056693</v>
      </c>
      <c r="AR57" s="214">
        <f t="shared" si="7"/>
        <v>683.56523316919504</v>
      </c>
      <c r="AS57" s="214">
        <f t="shared" si="7"/>
        <v>686.75478086369787</v>
      </c>
      <c r="AT57" s="214">
        <f t="shared" si="7"/>
        <v>689.73899192771205</v>
      </c>
      <c r="AU57" s="214">
        <f t="shared" si="7"/>
        <v>692.41737938665369</v>
      </c>
      <c r="AV57" s="214">
        <f t="shared" si="7"/>
        <v>694.68430379829624</v>
      </c>
      <c r="AW57" s="214">
        <f t="shared" si="7"/>
        <v>697.23915270420309</v>
      </c>
      <c r="AX57" s="214">
        <f t="shared" si="7"/>
        <v>700.30234348968202</v>
      </c>
      <c r="AY57" s="214">
        <f t="shared" si="7"/>
        <v>703.89182206250507</v>
      </c>
      <c r="AZ57" s="214">
        <f t="shared" si="7"/>
        <v>703.89182206250507</v>
      </c>
      <c r="BA57" s="214">
        <f t="shared" si="7"/>
        <v>703.89182206250507</v>
      </c>
      <c r="BB57" s="214">
        <f t="shared" si="7"/>
        <v>703.89182206250507</v>
      </c>
      <c r="BC57" s="214">
        <f t="shared" si="7"/>
        <v>703.89182206250507</v>
      </c>
      <c r="BD57" s="214">
        <f t="shared" si="7"/>
        <v>703.89182206250507</v>
      </c>
      <c r="BE57" s="214">
        <f t="shared" si="7"/>
        <v>703.89182206250507</v>
      </c>
      <c r="BF57" s="214">
        <f t="shared" si="7"/>
        <v>703.89182206250507</v>
      </c>
      <c r="BG57" s="214">
        <f t="shared" si="7"/>
        <v>703.89182206250507</v>
      </c>
      <c r="BH57" s="214">
        <f t="shared" si="7"/>
        <v>703.89182206250507</v>
      </c>
    </row>
    <row r="58" spans="1:60">
      <c r="B58" s="52"/>
      <c r="C58" s="219"/>
      <c r="D58" s="219"/>
      <c r="E58" s="219"/>
      <c r="F58" s="219"/>
      <c r="G58" s="219"/>
      <c r="H58" s="219"/>
      <c r="I58" s="219"/>
      <c r="J58" s="219"/>
      <c r="K58" s="219"/>
      <c r="L58" s="219"/>
      <c r="M58" s="219"/>
      <c r="N58" s="219"/>
      <c r="O58" s="219"/>
      <c r="P58" s="219"/>
      <c r="Q58" s="219"/>
      <c r="R58" s="219"/>
      <c r="S58" s="219"/>
      <c r="T58" s="219"/>
      <c r="U58" s="219"/>
      <c r="V58" s="219"/>
      <c r="W58" s="219"/>
      <c r="X58" s="219"/>
      <c r="Y58" s="219"/>
      <c r="Z58" s="219"/>
      <c r="AA58" s="219"/>
      <c r="AB58" s="219"/>
      <c r="AC58" s="219"/>
      <c r="AD58" s="219"/>
      <c r="AE58" s="219"/>
      <c r="AF58" s="219"/>
      <c r="AG58" s="219"/>
      <c r="AH58" s="219"/>
      <c r="AI58" s="219"/>
      <c r="AJ58" s="219"/>
      <c r="AK58" s="219"/>
      <c r="AL58" s="219"/>
      <c r="AM58" s="219"/>
      <c r="AN58" s="219"/>
      <c r="AO58" s="219"/>
      <c r="AP58" s="219"/>
      <c r="AQ58" s="219"/>
      <c r="AR58" s="219"/>
      <c r="AS58" s="219"/>
      <c r="AT58" s="219"/>
      <c r="AU58" s="219"/>
      <c r="AV58" s="219"/>
      <c r="AW58" s="219"/>
      <c r="AX58" s="219"/>
      <c r="AY58" s="219"/>
      <c r="AZ58" s="219"/>
      <c r="BA58" s="219"/>
      <c r="BB58" s="219"/>
      <c r="BC58" s="219"/>
      <c r="BD58" s="219"/>
      <c r="BE58" s="219"/>
      <c r="BF58" s="219"/>
      <c r="BG58" s="219"/>
      <c r="BH58" s="219"/>
    </row>
    <row r="59" spans="1:60">
      <c r="B59" s="52"/>
      <c r="C59" s="219"/>
      <c r="D59" s="219"/>
      <c r="E59" s="219"/>
      <c r="F59" s="219"/>
      <c r="G59" s="219"/>
      <c r="H59" s="219"/>
      <c r="I59" s="219"/>
      <c r="J59" s="219"/>
      <c r="K59" s="219"/>
      <c r="L59" s="219"/>
      <c r="M59" s="219"/>
      <c r="N59" s="219"/>
      <c r="O59" s="219"/>
      <c r="P59" s="219"/>
      <c r="Q59" s="219"/>
      <c r="R59" s="219"/>
      <c r="S59" s="219"/>
      <c r="T59" s="219"/>
      <c r="U59" s="219"/>
      <c r="V59" s="219"/>
      <c r="W59" s="219"/>
      <c r="X59" s="219"/>
      <c r="Y59" s="219"/>
      <c r="Z59" s="219"/>
      <c r="AA59" s="219"/>
      <c r="AB59" s="219"/>
      <c r="AC59" s="219"/>
      <c r="AD59" s="219"/>
      <c r="AE59" s="219"/>
      <c r="AF59" s="219"/>
      <c r="AG59" s="219"/>
      <c r="AH59" s="219"/>
      <c r="AI59" s="219"/>
      <c r="AJ59" s="219"/>
      <c r="AK59" s="219"/>
      <c r="AL59" s="219"/>
      <c r="AM59" s="219"/>
      <c r="AN59" s="219"/>
      <c r="AO59" s="219"/>
      <c r="AP59" s="219"/>
      <c r="AQ59" s="219"/>
      <c r="AR59" s="219"/>
      <c r="AS59" s="219"/>
      <c r="AT59" s="219"/>
      <c r="AU59" s="219"/>
      <c r="AV59" s="219"/>
      <c r="AW59" s="219"/>
      <c r="AX59" s="219"/>
      <c r="AY59" s="219"/>
      <c r="AZ59" s="219"/>
      <c r="BA59" s="219"/>
      <c r="BB59" s="219"/>
      <c r="BC59" s="219"/>
      <c r="BD59" s="219"/>
      <c r="BE59" s="219"/>
      <c r="BF59" s="219"/>
      <c r="BG59" s="219"/>
      <c r="BH59" s="219"/>
    </row>
    <row r="60" spans="1:60" s="587" customFormat="1" ht="18.5">
      <c r="A60" s="587" t="s">
        <v>10</v>
      </c>
      <c r="B60" s="628" t="s">
        <v>3026</v>
      </c>
    </row>
    <row r="61" spans="1:60">
      <c r="A61" s="9"/>
      <c r="B61" s="9"/>
    </row>
    <row r="62" spans="1:60">
      <c r="B62" s="108"/>
      <c r="Q62">
        <f>SUM(Q55:Q57)/SUM(Q66,Q90,Q111)</f>
        <v>0.14221793409581948</v>
      </c>
    </row>
    <row r="63" spans="1:60">
      <c r="A63" s="227" t="s">
        <v>10</v>
      </c>
      <c r="B63" s="443" t="s">
        <v>2543</v>
      </c>
      <c r="BH63">
        <f>BH66/AA66</f>
        <v>1.2577798685780457</v>
      </c>
    </row>
    <row r="65" spans="2:60">
      <c r="B65" s="34" t="s">
        <v>2544</v>
      </c>
      <c r="C65" s="34">
        <f>C54</f>
        <v>2013</v>
      </c>
      <c r="D65" s="34">
        <f t="shared" ref="D65:BH65" si="8">D54</f>
        <v>2014</v>
      </c>
      <c r="E65" s="34">
        <f t="shared" si="8"/>
        <v>2015</v>
      </c>
      <c r="F65" s="34">
        <f t="shared" si="8"/>
        <v>2016</v>
      </c>
      <c r="G65" s="34">
        <f t="shared" si="8"/>
        <v>2017</v>
      </c>
      <c r="H65" s="34">
        <f t="shared" si="8"/>
        <v>2018</v>
      </c>
      <c r="I65" s="34">
        <f t="shared" si="8"/>
        <v>2019</v>
      </c>
      <c r="J65" s="34">
        <f t="shared" si="8"/>
        <v>2020</v>
      </c>
      <c r="K65" s="34">
        <f t="shared" si="8"/>
        <v>2021</v>
      </c>
      <c r="L65" s="34">
        <f t="shared" si="8"/>
        <v>2022</v>
      </c>
      <c r="M65" s="34">
        <f t="shared" si="8"/>
        <v>2023</v>
      </c>
      <c r="N65" s="34">
        <f t="shared" si="8"/>
        <v>2024</v>
      </c>
      <c r="O65" s="34">
        <f t="shared" si="8"/>
        <v>2025</v>
      </c>
      <c r="P65" s="34">
        <f t="shared" si="8"/>
        <v>2026</v>
      </c>
      <c r="Q65" s="34">
        <f t="shared" si="8"/>
        <v>2027</v>
      </c>
      <c r="R65" s="34">
        <f t="shared" si="8"/>
        <v>2028</v>
      </c>
      <c r="S65" s="34">
        <f t="shared" si="8"/>
        <v>2029</v>
      </c>
      <c r="T65" s="34">
        <f t="shared" si="8"/>
        <v>2030</v>
      </c>
      <c r="U65" s="34">
        <f t="shared" si="8"/>
        <v>2031</v>
      </c>
      <c r="V65" s="34">
        <f t="shared" si="8"/>
        <v>2032</v>
      </c>
      <c r="W65" s="34">
        <f t="shared" si="8"/>
        <v>2033</v>
      </c>
      <c r="X65" s="34">
        <f t="shared" si="8"/>
        <v>2034</v>
      </c>
      <c r="Y65" s="34">
        <f t="shared" si="8"/>
        <v>2035</v>
      </c>
      <c r="Z65" s="34">
        <f t="shared" si="8"/>
        <v>2036</v>
      </c>
      <c r="AA65" s="34">
        <f t="shared" si="8"/>
        <v>2037</v>
      </c>
      <c r="AB65" s="34">
        <f t="shared" si="8"/>
        <v>2038</v>
      </c>
      <c r="AC65" s="34">
        <f t="shared" si="8"/>
        <v>2039</v>
      </c>
      <c r="AD65" s="34">
        <f t="shared" si="8"/>
        <v>2040</v>
      </c>
      <c r="AE65" s="34">
        <f t="shared" si="8"/>
        <v>2041</v>
      </c>
      <c r="AF65" s="34">
        <f t="shared" si="8"/>
        <v>2042</v>
      </c>
      <c r="AG65" s="34">
        <f t="shared" si="8"/>
        <v>2043</v>
      </c>
      <c r="AH65" s="34">
        <f t="shared" si="8"/>
        <v>2044</v>
      </c>
      <c r="AI65" s="34">
        <f t="shared" si="8"/>
        <v>2045</v>
      </c>
      <c r="AJ65" s="34">
        <f t="shared" si="8"/>
        <v>2046</v>
      </c>
      <c r="AK65" s="34">
        <f t="shared" si="8"/>
        <v>2047</v>
      </c>
      <c r="AL65" s="34">
        <f t="shared" si="8"/>
        <v>2048</v>
      </c>
      <c r="AM65" s="34">
        <f t="shared" si="8"/>
        <v>2049</v>
      </c>
      <c r="AN65" s="34">
        <f t="shared" si="8"/>
        <v>2050</v>
      </c>
      <c r="AO65" s="34">
        <f t="shared" si="8"/>
        <v>2051</v>
      </c>
      <c r="AP65" s="34">
        <f t="shared" si="8"/>
        <v>2052</v>
      </c>
      <c r="AQ65" s="34">
        <f t="shared" si="8"/>
        <v>2053</v>
      </c>
      <c r="AR65" s="34">
        <f t="shared" si="8"/>
        <v>2054</v>
      </c>
      <c r="AS65" s="34">
        <f t="shared" si="8"/>
        <v>2055</v>
      </c>
      <c r="AT65" s="34">
        <f t="shared" si="8"/>
        <v>2056</v>
      </c>
      <c r="AU65" s="34">
        <f t="shared" si="8"/>
        <v>2057</v>
      </c>
      <c r="AV65" s="34">
        <f t="shared" si="8"/>
        <v>2058</v>
      </c>
      <c r="AW65" s="34">
        <f t="shared" si="8"/>
        <v>2059</v>
      </c>
      <c r="AX65" s="34">
        <f t="shared" si="8"/>
        <v>2060</v>
      </c>
      <c r="AY65" s="34">
        <f t="shared" si="8"/>
        <v>2061</v>
      </c>
      <c r="AZ65" s="34">
        <f t="shared" si="8"/>
        <v>2062</v>
      </c>
      <c r="BA65" s="34">
        <f t="shared" si="8"/>
        <v>2063</v>
      </c>
      <c r="BB65" s="34">
        <f t="shared" si="8"/>
        <v>2064</v>
      </c>
      <c r="BC65" s="34">
        <f t="shared" si="8"/>
        <v>2065</v>
      </c>
      <c r="BD65" s="34">
        <f t="shared" si="8"/>
        <v>2066</v>
      </c>
      <c r="BE65" s="34">
        <f t="shared" si="8"/>
        <v>2067</v>
      </c>
      <c r="BF65" s="34">
        <f t="shared" si="8"/>
        <v>2068</v>
      </c>
      <c r="BG65" s="34">
        <f t="shared" si="8"/>
        <v>2069</v>
      </c>
      <c r="BH65" s="34">
        <f t="shared" si="8"/>
        <v>2070</v>
      </c>
    </row>
    <row r="66" spans="2:60" s="9" customFormat="1" ht="13.25" customHeight="1">
      <c r="B66" s="5" t="s">
        <v>22</v>
      </c>
      <c r="C66" s="224">
        <f>C13</f>
        <v>1000</v>
      </c>
      <c r="D66" s="224">
        <f t="shared" ref="D66:AI66" si="9">C69+C70+D55</f>
        <v>1280.9164062625059</v>
      </c>
      <c r="E66" s="224">
        <f t="shared" si="9"/>
        <v>1503.0368038662032</v>
      </c>
      <c r="F66" s="224">
        <f t="shared" si="9"/>
        <v>1677.9635140347195</v>
      </c>
      <c r="G66" s="224">
        <f t="shared" si="9"/>
        <v>1819.2721472377655</v>
      </c>
      <c r="H66" s="224">
        <f t="shared" si="9"/>
        <v>1937.0934817123511</v>
      </c>
      <c r="I66" s="224">
        <f t="shared" si="9"/>
        <v>2035.3326318400591</v>
      </c>
      <c r="J66" s="224">
        <f t="shared" si="9"/>
        <v>2120.292835807968</v>
      </c>
      <c r="K66" s="224">
        <f t="shared" si="9"/>
        <v>2192.7654106858126</v>
      </c>
      <c r="L66" s="224">
        <f t="shared" si="9"/>
        <v>2254.7930055515571</v>
      </c>
      <c r="M66" s="224">
        <f t="shared" si="9"/>
        <v>2309.7866033269279</v>
      </c>
      <c r="N66" s="224">
        <f t="shared" si="9"/>
        <v>2360.8422009923684</v>
      </c>
      <c r="O66" s="224">
        <f t="shared" si="9"/>
        <v>2409.6679597927782</v>
      </c>
      <c r="P66" s="224">
        <f t="shared" si="9"/>
        <v>2456.3187858158012</v>
      </c>
      <c r="Q66" s="224">
        <f t="shared" si="9"/>
        <v>2501.599167766306</v>
      </c>
      <c r="R66" s="224">
        <f t="shared" si="9"/>
        <v>2550.2976871439628</v>
      </c>
      <c r="S66" s="224">
        <f t="shared" si="9"/>
        <v>2599.2796202110094</v>
      </c>
      <c r="T66" s="224">
        <f t="shared" si="9"/>
        <v>2647.0644686904147</v>
      </c>
      <c r="U66" s="224">
        <f t="shared" si="9"/>
        <v>2693.0448669957914</v>
      </c>
      <c r="V66" s="224">
        <f t="shared" si="9"/>
        <v>2736.8810017198766</v>
      </c>
      <c r="W66" s="224">
        <f t="shared" si="9"/>
        <v>2779.4426857249227</v>
      </c>
      <c r="X66" s="224">
        <f t="shared" si="9"/>
        <v>2821.7068132239451</v>
      </c>
      <c r="Y66" s="224">
        <f t="shared" si="9"/>
        <v>2863.7882528415712</v>
      </c>
      <c r="Z66" s="224">
        <f t="shared" si="9"/>
        <v>2904.8972920970991</v>
      </c>
      <c r="AA66" s="224">
        <f t="shared" si="9"/>
        <v>2945.1606256290443</v>
      </c>
      <c r="AB66" s="224">
        <f t="shared" si="9"/>
        <v>2986.4123372741706</v>
      </c>
      <c r="AC66" s="224">
        <f t="shared" si="9"/>
        <v>3027.0801686192135</v>
      </c>
      <c r="AD66" s="224">
        <f t="shared" si="9"/>
        <v>3066.7318935042003</v>
      </c>
      <c r="AE66" s="224">
        <f t="shared" si="9"/>
        <v>3105.3108653844911</v>
      </c>
      <c r="AF66" s="224">
        <f t="shared" si="9"/>
        <v>3143.5640288685595</v>
      </c>
      <c r="AG66" s="224">
        <f t="shared" si="9"/>
        <v>3181.3175703527986</v>
      </c>
      <c r="AH66" s="224">
        <f t="shared" si="9"/>
        <v>3218.2657438623041</v>
      </c>
      <c r="AI66" s="224">
        <f t="shared" si="9"/>
        <v>3254.1783687567777</v>
      </c>
      <c r="AJ66" s="224">
        <f t="shared" ref="AJ66:BH66" si="10">AI69+AI70+AJ55</f>
        <v>3288.8297258581897</v>
      </c>
      <c r="AK66" s="224">
        <f t="shared" si="10"/>
        <v>3322.0590750123351</v>
      </c>
      <c r="AL66" s="224">
        <f t="shared" si="10"/>
        <v>3353.7229035128926</v>
      </c>
      <c r="AM66" s="224">
        <f t="shared" si="10"/>
        <v>3383.9699968126906</v>
      </c>
      <c r="AN66" s="224">
        <f t="shared" si="10"/>
        <v>3413.4919898096555</v>
      </c>
      <c r="AO66" s="224">
        <f t="shared" si="10"/>
        <v>3442.3542509873932</v>
      </c>
      <c r="AP66" s="224">
        <f t="shared" si="10"/>
        <v>3470.8026253941384</v>
      </c>
      <c r="AQ66" s="224">
        <f t="shared" si="10"/>
        <v>3498.0590106398718</v>
      </c>
      <c r="AR66" s="224">
        <f t="shared" si="10"/>
        <v>3523.5477528844372</v>
      </c>
      <c r="AS66" s="224">
        <f t="shared" si="10"/>
        <v>3546.8935599830097</v>
      </c>
      <c r="AT66" s="224">
        <f t="shared" si="10"/>
        <v>3568.3582635632279</v>
      </c>
      <c r="AU66" s="224">
        <f t="shared" si="10"/>
        <v>3588.0084552316516</v>
      </c>
      <c r="AV66" s="224">
        <f t="shared" si="10"/>
        <v>3605.7569638410264</v>
      </c>
      <c r="AW66" s="224">
        <f t="shared" si="10"/>
        <v>3622.4473315287173</v>
      </c>
      <c r="AX66" s="224">
        <f t="shared" si="10"/>
        <v>3639.0014990105929</v>
      </c>
      <c r="AY66" s="224">
        <f t="shared" si="10"/>
        <v>3656.1372478109856</v>
      </c>
      <c r="AZ66" s="224">
        <f t="shared" si="10"/>
        <v>3669.0447505948819</v>
      </c>
      <c r="BA66" s="224">
        <f t="shared" si="10"/>
        <v>3678.7673270668515</v>
      </c>
      <c r="BB66" s="224">
        <f t="shared" si="10"/>
        <v>3686.0908577943624</v>
      </c>
      <c r="BC66" s="224">
        <f t="shared" si="10"/>
        <v>3691.6073073148605</v>
      </c>
      <c r="BD66" s="224">
        <f t="shared" si="10"/>
        <v>3695.7625729161755</v>
      </c>
      <c r="BE66" s="224">
        <f t="shared" si="10"/>
        <v>3698.8925267303662</v>
      </c>
      <c r="BF66" s="224">
        <f t="shared" si="10"/>
        <v>3701.2501644409053</v>
      </c>
      <c r="BG66" s="224">
        <f t="shared" si="10"/>
        <v>3703.0260550463686</v>
      </c>
      <c r="BH66" s="224">
        <f t="shared" si="10"/>
        <v>3704.3637446449338</v>
      </c>
    </row>
    <row r="67" spans="2:60" ht="13.25" customHeight="1">
      <c r="B67" s="6"/>
      <c r="C67" s="214"/>
      <c r="D67" s="214"/>
      <c r="E67" s="214"/>
      <c r="F67" s="214"/>
      <c r="G67" s="214"/>
      <c r="H67" s="214"/>
      <c r="I67" s="214"/>
      <c r="J67" s="214"/>
      <c r="K67" s="214"/>
      <c r="L67" s="214"/>
      <c r="M67" s="214"/>
      <c r="N67" s="214"/>
      <c r="O67" s="214"/>
      <c r="P67" s="214"/>
      <c r="Q67" s="214"/>
      <c r="R67" s="214"/>
      <c r="S67" s="214"/>
      <c r="T67" s="214"/>
      <c r="U67" s="214"/>
      <c r="V67" s="214"/>
      <c r="W67" s="214"/>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2:60" ht="13.25" customHeight="1">
      <c r="B68" s="6" t="s">
        <v>97</v>
      </c>
      <c r="C68" s="214">
        <f t="shared" ref="C68:AH68" si="11">C66*$C$32</f>
        <v>470</v>
      </c>
      <c r="D68" s="214">
        <f t="shared" si="11"/>
        <v>602.0307109433777</v>
      </c>
      <c r="E68" s="214">
        <f t="shared" si="11"/>
        <v>706.42729781711546</v>
      </c>
      <c r="F68" s="214">
        <f t="shared" si="11"/>
        <v>788.64285159631811</v>
      </c>
      <c r="G68" s="214">
        <f t="shared" si="11"/>
        <v>855.05790920174968</v>
      </c>
      <c r="H68" s="214">
        <f t="shared" si="11"/>
        <v>910.43393640480497</v>
      </c>
      <c r="I68" s="214">
        <f t="shared" si="11"/>
        <v>956.60633696482773</v>
      </c>
      <c r="J68" s="214">
        <f t="shared" si="11"/>
        <v>996.53763282974489</v>
      </c>
      <c r="K68" s="214">
        <f t="shared" si="11"/>
        <v>1030.5997430223319</v>
      </c>
      <c r="L68" s="214">
        <f t="shared" si="11"/>
        <v>1059.7527126092318</v>
      </c>
      <c r="M68" s="214">
        <f t="shared" si="11"/>
        <v>1085.599703563656</v>
      </c>
      <c r="N68" s="214">
        <f t="shared" si="11"/>
        <v>1109.5958344664132</v>
      </c>
      <c r="O68" s="214">
        <f t="shared" si="11"/>
        <v>1132.5439411026057</v>
      </c>
      <c r="P68" s="214">
        <f t="shared" si="11"/>
        <v>1154.4698293334266</v>
      </c>
      <c r="Q68" s="214">
        <f t="shared" si="11"/>
        <v>1175.7516088501638</v>
      </c>
      <c r="R68" s="214">
        <f t="shared" si="11"/>
        <v>1198.6399129576625</v>
      </c>
      <c r="S68" s="214">
        <f t="shared" si="11"/>
        <v>1221.6614214991744</v>
      </c>
      <c r="T68" s="214">
        <f t="shared" si="11"/>
        <v>1244.1203002844948</v>
      </c>
      <c r="U68" s="214">
        <f t="shared" si="11"/>
        <v>1265.7310874880218</v>
      </c>
      <c r="V68" s="214">
        <f t="shared" si="11"/>
        <v>1286.3340708083419</v>
      </c>
      <c r="W68" s="214">
        <f t="shared" si="11"/>
        <v>1306.3380622907137</v>
      </c>
      <c r="X68" s="214">
        <f t="shared" si="11"/>
        <v>1326.2022022152541</v>
      </c>
      <c r="Y68" s="214">
        <f t="shared" si="11"/>
        <v>1345.9804788355384</v>
      </c>
      <c r="Z68" s="214">
        <f t="shared" si="11"/>
        <v>1365.3017272856366</v>
      </c>
      <c r="AA68" s="214">
        <f t="shared" si="11"/>
        <v>1384.2254940456507</v>
      </c>
      <c r="AB68" s="214">
        <f t="shared" si="11"/>
        <v>1403.61379851886</v>
      </c>
      <c r="AC68" s="214">
        <f t="shared" si="11"/>
        <v>1422.7276792510302</v>
      </c>
      <c r="AD68" s="214">
        <f t="shared" si="11"/>
        <v>1441.363989946974</v>
      </c>
      <c r="AE68" s="214">
        <f t="shared" si="11"/>
        <v>1459.4961067307108</v>
      </c>
      <c r="AF68" s="214">
        <f t="shared" si="11"/>
        <v>1477.475093568223</v>
      </c>
      <c r="AG68" s="214">
        <f t="shared" si="11"/>
        <v>1495.2192580658152</v>
      </c>
      <c r="AH68" s="214">
        <f t="shared" si="11"/>
        <v>1512.5848996152829</v>
      </c>
      <c r="AI68" s="214">
        <f t="shared" ref="AI68:BH68" si="12">AI66*$C$32</f>
        <v>1529.4638333156854</v>
      </c>
      <c r="AJ68" s="214">
        <f t="shared" si="12"/>
        <v>1545.7499711533492</v>
      </c>
      <c r="AK68" s="214">
        <f t="shared" si="12"/>
        <v>1561.3677652557974</v>
      </c>
      <c r="AL68" s="214">
        <f t="shared" si="12"/>
        <v>1576.2497646510594</v>
      </c>
      <c r="AM68" s="214">
        <f t="shared" si="12"/>
        <v>1590.4658985019646</v>
      </c>
      <c r="AN68" s="214">
        <f t="shared" si="12"/>
        <v>1604.3412352105379</v>
      </c>
      <c r="AO68" s="214">
        <f t="shared" si="12"/>
        <v>1617.9064979640748</v>
      </c>
      <c r="AP68" s="214">
        <f t="shared" si="12"/>
        <v>1631.277233935245</v>
      </c>
      <c r="AQ68" s="214">
        <f t="shared" si="12"/>
        <v>1644.0877350007397</v>
      </c>
      <c r="AR68" s="214">
        <f t="shared" si="12"/>
        <v>1656.0674438556853</v>
      </c>
      <c r="AS68" s="214">
        <f t="shared" si="12"/>
        <v>1667.0399731920145</v>
      </c>
      <c r="AT68" s="214">
        <f t="shared" si="12"/>
        <v>1677.128383874717</v>
      </c>
      <c r="AU68" s="214">
        <f t="shared" si="12"/>
        <v>1686.3639739588762</v>
      </c>
      <c r="AV68" s="214">
        <f t="shared" si="12"/>
        <v>1694.7057730052823</v>
      </c>
      <c r="AW68" s="214">
        <f t="shared" si="12"/>
        <v>1702.5502458184969</v>
      </c>
      <c r="AX68" s="214">
        <f t="shared" si="12"/>
        <v>1710.3307045349786</v>
      </c>
      <c r="AY68" s="214">
        <f t="shared" si="12"/>
        <v>1718.3845064711631</v>
      </c>
      <c r="AZ68" s="214">
        <f t="shared" si="12"/>
        <v>1724.4510327795945</v>
      </c>
      <c r="BA68" s="214">
        <f t="shared" si="12"/>
        <v>1729.0206437214201</v>
      </c>
      <c r="BB68" s="214">
        <f t="shared" si="12"/>
        <v>1732.4627031633502</v>
      </c>
      <c r="BC68" s="214">
        <f t="shared" si="12"/>
        <v>1735.0554344379843</v>
      </c>
      <c r="BD68" s="214">
        <f t="shared" si="12"/>
        <v>1737.0084092706024</v>
      </c>
      <c r="BE68" s="214">
        <f t="shared" si="12"/>
        <v>1738.479487563272</v>
      </c>
      <c r="BF68" s="214">
        <f t="shared" si="12"/>
        <v>1739.5875772872255</v>
      </c>
      <c r="BG68" s="214">
        <f t="shared" si="12"/>
        <v>1740.4222458717932</v>
      </c>
      <c r="BH68" s="214">
        <f t="shared" si="12"/>
        <v>1741.0509599831189</v>
      </c>
    </row>
    <row r="69" spans="2:60" ht="22.25" customHeight="1">
      <c r="B69" s="6" t="s">
        <v>98</v>
      </c>
      <c r="C69" s="214">
        <f t="shared" ref="C69:AH69" si="13">C66*(1-$C$32)</f>
        <v>530</v>
      </c>
      <c r="D69" s="214">
        <f t="shared" si="13"/>
        <v>678.88569531912822</v>
      </c>
      <c r="E69" s="214">
        <f t="shared" si="13"/>
        <v>796.60950604908771</v>
      </c>
      <c r="F69" s="214">
        <f t="shared" si="13"/>
        <v>889.32066243840143</v>
      </c>
      <c r="G69" s="214">
        <f t="shared" si="13"/>
        <v>964.21423803601579</v>
      </c>
      <c r="H69" s="214">
        <f t="shared" si="13"/>
        <v>1026.6595453075461</v>
      </c>
      <c r="I69" s="214">
        <f t="shared" si="13"/>
        <v>1078.7262948752314</v>
      </c>
      <c r="J69" s="214">
        <f t="shared" si="13"/>
        <v>1123.755202978223</v>
      </c>
      <c r="K69" s="214">
        <f t="shared" si="13"/>
        <v>1162.1656676634807</v>
      </c>
      <c r="L69" s="214">
        <f t="shared" si="13"/>
        <v>1195.0402929423253</v>
      </c>
      <c r="M69" s="214">
        <f t="shared" si="13"/>
        <v>1224.1868997632719</v>
      </c>
      <c r="N69" s="214">
        <f t="shared" si="13"/>
        <v>1251.2463665259552</v>
      </c>
      <c r="O69" s="214">
        <f t="shared" si="13"/>
        <v>1277.1240186901725</v>
      </c>
      <c r="P69" s="214">
        <f t="shared" si="13"/>
        <v>1301.8489564823747</v>
      </c>
      <c r="Q69" s="214">
        <f t="shared" si="13"/>
        <v>1325.8475589161421</v>
      </c>
      <c r="R69" s="214">
        <f t="shared" si="13"/>
        <v>1351.6577741863002</v>
      </c>
      <c r="S69" s="214">
        <f t="shared" si="13"/>
        <v>1377.618198711835</v>
      </c>
      <c r="T69" s="214">
        <f t="shared" si="13"/>
        <v>1402.94416840592</v>
      </c>
      <c r="U69" s="214">
        <f t="shared" si="13"/>
        <v>1427.3137795077696</v>
      </c>
      <c r="V69" s="214">
        <f t="shared" si="13"/>
        <v>1450.5469309115347</v>
      </c>
      <c r="W69" s="214">
        <f t="shared" si="13"/>
        <v>1473.1046234342091</v>
      </c>
      <c r="X69" s="214">
        <f t="shared" si="13"/>
        <v>1495.504611008691</v>
      </c>
      <c r="Y69" s="214">
        <f t="shared" si="13"/>
        <v>1517.8077740060328</v>
      </c>
      <c r="Z69" s="214">
        <f t="shared" si="13"/>
        <v>1539.5955648114625</v>
      </c>
      <c r="AA69" s="214">
        <f t="shared" si="13"/>
        <v>1560.9351315833935</v>
      </c>
      <c r="AB69" s="214">
        <f t="shared" si="13"/>
        <v>1582.7985387553106</v>
      </c>
      <c r="AC69" s="214">
        <f t="shared" si="13"/>
        <v>1604.3524893681833</v>
      </c>
      <c r="AD69" s="214">
        <f t="shared" si="13"/>
        <v>1625.3679035572263</v>
      </c>
      <c r="AE69" s="214">
        <f t="shared" si="13"/>
        <v>1645.8147586537802</v>
      </c>
      <c r="AF69" s="214">
        <f t="shared" si="13"/>
        <v>1666.0889353003365</v>
      </c>
      <c r="AG69" s="214">
        <f t="shared" si="13"/>
        <v>1686.0983122869834</v>
      </c>
      <c r="AH69" s="214">
        <f t="shared" si="13"/>
        <v>1705.6808442470212</v>
      </c>
      <c r="AI69" s="214">
        <f t="shared" ref="AI69:BH69" si="14">AI66*(1-$C$32)</f>
        <v>1724.7145354410923</v>
      </c>
      <c r="AJ69" s="214">
        <f t="shared" si="14"/>
        <v>1743.0797547048405</v>
      </c>
      <c r="AK69" s="214">
        <f t="shared" si="14"/>
        <v>1760.6913097565377</v>
      </c>
      <c r="AL69" s="214">
        <f t="shared" si="14"/>
        <v>1777.4731388618331</v>
      </c>
      <c r="AM69" s="214">
        <f t="shared" si="14"/>
        <v>1793.504098310726</v>
      </c>
      <c r="AN69" s="214">
        <f t="shared" si="14"/>
        <v>1809.1507545991176</v>
      </c>
      <c r="AO69" s="214">
        <f t="shared" si="14"/>
        <v>1824.4477530233185</v>
      </c>
      <c r="AP69" s="214">
        <f t="shared" si="14"/>
        <v>1839.5253914588934</v>
      </c>
      <c r="AQ69" s="214">
        <f t="shared" si="14"/>
        <v>1853.971275639132</v>
      </c>
      <c r="AR69" s="214">
        <f t="shared" si="14"/>
        <v>1867.4803090287519</v>
      </c>
      <c r="AS69" s="214">
        <f t="shared" si="14"/>
        <v>1879.8535867909952</v>
      </c>
      <c r="AT69" s="214">
        <f t="shared" si="14"/>
        <v>1891.2298796885109</v>
      </c>
      <c r="AU69" s="214">
        <f t="shared" si="14"/>
        <v>1901.6444812727755</v>
      </c>
      <c r="AV69" s="214">
        <f t="shared" si="14"/>
        <v>1911.0511908357441</v>
      </c>
      <c r="AW69" s="214">
        <f t="shared" si="14"/>
        <v>1919.8970857102204</v>
      </c>
      <c r="AX69" s="214">
        <f t="shared" si="14"/>
        <v>1928.6707944756142</v>
      </c>
      <c r="AY69" s="214">
        <f t="shared" si="14"/>
        <v>1937.7527413398225</v>
      </c>
      <c r="AZ69" s="214">
        <f t="shared" si="14"/>
        <v>1944.5937178152874</v>
      </c>
      <c r="BA69" s="214">
        <f t="shared" si="14"/>
        <v>1949.7466833454314</v>
      </c>
      <c r="BB69" s="214">
        <f t="shared" si="14"/>
        <v>1953.6281546310122</v>
      </c>
      <c r="BC69" s="214">
        <f t="shared" si="14"/>
        <v>1956.5518728768761</v>
      </c>
      <c r="BD69" s="214">
        <f t="shared" si="14"/>
        <v>1958.754163645573</v>
      </c>
      <c r="BE69" s="214">
        <f t="shared" si="14"/>
        <v>1960.4130391670942</v>
      </c>
      <c r="BF69" s="214">
        <f t="shared" si="14"/>
        <v>1961.6625871536799</v>
      </c>
      <c r="BG69" s="214">
        <f t="shared" si="14"/>
        <v>1962.6038091745754</v>
      </c>
      <c r="BH69" s="214">
        <f t="shared" si="14"/>
        <v>1963.3127846618149</v>
      </c>
    </row>
    <row r="70" spans="2:60">
      <c r="B70" s="6" t="s">
        <v>2534</v>
      </c>
      <c r="C70" s="214">
        <f t="shared" ref="C70:AH70" si="15">C68*$C$23</f>
        <v>223.25</v>
      </c>
      <c r="D70" s="214">
        <f t="shared" si="15"/>
        <v>285.96458769810437</v>
      </c>
      <c r="E70" s="214">
        <f t="shared" si="15"/>
        <v>335.55296646312985</v>
      </c>
      <c r="F70" s="214">
        <f t="shared" si="15"/>
        <v>374.60535450825108</v>
      </c>
      <c r="G70" s="214">
        <f t="shared" si="15"/>
        <v>406.15250687083108</v>
      </c>
      <c r="H70" s="214">
        <f t="shared" si="15"/>
        <v>432.45611979228232</v>
      </c>
      <c r="I70" s="214">
        <f t="shared" si="15"/>
        <v>454.38801005829316</v>
      </c>
      <c r="J70" s="214">
        <f t="shared" si="15"/>
        <v>473.35537559412882</v>
      </c>
      <c r="K70" s="214">
        <f t="shared" si="15"/>
        <v>489.53487793560765</v>
      </c>
      <c r="L70" s="214">
        <f t="shared" si="15"/>
        <v>503.38253848938507</v>
      </c>
      <c r="M70" s="214">
        <f t="shared" si="15"/>
        <v>515.65985919273658</v>
      </c>
      <c r="N70" s="214">
        <f t="shared" si="15"/>
        <v>527.05802137154626</v>
      </c>
      <c r="O70" s="214">
        <f t="shared" si="15"/>
        <v>537.95837202373764</v>
      </c>
      <c r="P70" s="214">
        <f t="shared" si="15"/>
        <v>548.37316893337754</v>
      </c>
      <c r="Q70" s="214">
        <f t="shared" si="15"/>
        <v>558.48201420382782</v>
      </c>
      <c r="R70" s="214">
        <f t="shared" si="15"/>
        <v>569.35395865488965</v>
      </c>
      <c r="S70" s="214">
        <f t="shared" si="15"/>
        <v>580.28917521210781</v>
      </c>
      <c r="T70" s="214">
        <f t="shared" si="15"/>
        <v>590.95714263513503</v>
      </c>
      <c r="U70" s="214">
        <f t="shared" si="15"/>
        <v>601.22226655681027</v>
      </c>
      <c r="V70" s="214">
        <f t="shared" si="15"/>
        <v>611.00868363396239</v>
      </c>
      <c r="W70" s="214">
        <f t="shared" si="15"/>
        <v>620.51057958808894</v>
      </c>
      <c r="X70" s="214">
        <f t="shared" si="15"/>
        <v>629.94604605224572</v>
      </c>
      <c r="Y70" s="214">
        <f t="shared" si="15"/>
        <v>639.34072744688069</v>
      </c>
      <c r="Z70" s="214">
        <f t="shared" si="15"/>
        <v>648.51832046067739</v>
      </c>
      <c r="AA70" s="214">
        <f t="shared" si="15"/>
        <v>657.50710967168402</v>
      </c>
      <c r="AB70" s="214">
        <f t="shared" si="15"/>
        <v>666.71655429645841</v>
      </c>
      <c r="AC70" s="214">
        <f t="shared" si="15"/>
        <v>675.79564764423935</v>
      </c>
      <c r="AD70" s="214">
        <f t="shared" si="15"/>
        <v>684.6478952248126</v>
      </c>
      <c r="AE70" s="214">
        <f t="shared" si="15"/>
        <v>693.26065069708761</v>
      </c>
      <c r="AF70" s="214">
        <f t="shared" si="15"/>
        <v>701.80066944490591</v>
      </c>
      <c r="AG70" s="214">
        <f t="shared" si="15"/>
        <v>710.22914758126217</v>
      </c>
      <c r="AH70" s="214">
        <f t="shared" si="15"/>
        <v>718.47782731725931</v>
      </c>
      <c r="AI70" s="214">
        <f t="shared" ref="AI70:BH70" si="16">AI68*$C$23</f>
        <v>726.49532082495057</v>
      </c>
      <c r="AJ70" s="214">
        <f t="shared" si="16"/>
        <v>734.23123629784084</v>
      </c>
      <c r="AK70" s="214">
        <f t="shared" si="16"/>
        <v>741.6496884965037</v>
      </c>
      <c r="AL70" s="214">
        <f t="shared" si="16"/>
        <v>748.71863820925319</v>
      </c>
      <c r="AM70" s="214">
        <f t="shared" si="16"/>
        <v>755.47130178843315</v>
      </c>
      <c r="AN70" s="214">
        <f t="shared" si="16"/>
        <v>762.06208672500543</v>
      </c>
      <c r="AO70" s="214">
        <f t="shared" si="16"/>
        <v>768.50558653293547</v>
      </c>
      <c r="AP70" s="214">
        <f t="shared" si="16"/>
        <v>774.85668611924132</v>
      </c>
      <c r="AQ70" s="214">
        <f t="shared" si="16"/>
        <v>780.94167412535137</v>
      </c>
      <c r="AR70" s="214">
        <f t="shared" si="16"/>
        <v>786.63203583145048</v>
      </c>
      <c r="AS70" s="214">
        <f t="shared" si="16"/>
        <v>791.8439872662068</v>
      </c>
      <c r="AT70" s="214">
        <f t="shared" si="16"/>
        <v>796.6359823404905</v>
      </c>
      <c r="AU70" s="214">
        <f t="shared" si="16"/>
        <v>801.02288763046613</v>
      </c>
      <c r="AV70" s="214">
        <f t="shared" si="16"/>
        <v>804.98524217750901</v>
      </c>
      <c r="AW70" s="214">
        <f t="shared" si="16"/>
        <v>808.71136676378603</v>
      </c>
      <c r="AX70" s="214">
        <f t="shared" si="16"/>
        <v>812.40708465411478</v>
      </c>
      <c r="AY70" s="214">
        <f t="shared" si="16"/>
        <v>816.23264057380243</v>
      </c>
      <c r="AZ70" s="214">
        <f t="shared" si="16"/>
        <v>819.11424057030729</v>
      </c>
      <c r="BA70" s="214">
        <f t="shared" si="16"/>
        <v>821.28480576767447</v>
      </c>
      <c r="BB70" s="214">
        <f t="shared" si="16"/>
        <v>822.91978400259131</v>
      </c>
      <c r="BC70" s="214">
        <f t="shared" si="16"/>
        <v>824.15133135804251</v>
      </c>
      <c r="BD70" s="214">
        <f t="shared" si="16"/>
        <v>825.07899440353617</v>
      </c>
      <c r="BE70" s="214">
        <f t="shared" si="16"/>
        <v>825.77775659255417</v>
      </c>
      <c r="BF70" s="214">
        <f t="shared" si="16"/>
        <v>826.30409921143212</v>
      </c>
      <c r="BG70" s="214">
        <f t="shared" si="16"/>
        <v>826.70056678910169</v>
      </c>
      <c r="BH70" s="214">
        <f t="shared" si="16"/>
        <v>826.9992059919814</v>
      </c>
    </row>
    <row r="71" spans="2:60">
      <c r="B71" s="52"/>
      <c r="C71" s="219"/>
      <c r="D71" s="219"/>
      <c r="E71" s="219"/>
      <c r="F71" s="219"/>
      <c r="G71" s="219"/>
      <c r="H71" s="219"/>
      <c r="I71" s="219"/>
      <c r="J71" s="219"/>
      <c r="K71" s="219"/>
      <c r="L71" s="219"/>
      <c r="M71" s="219"/>
      <c r="N71" s="219"/>
      <c r="O71" s="219"/>
      <c r="P71" s="219"/>
      <c r="Q71" s="219"/>
      <c r="R71" s="219"/>
      <c r="S71" s="219"/>
      <c r="T71" s="219"/>
      <c r="U71" s="219"/>
      <c r="V71" s="219"/>
      <c r="W71" s="219"/>
      <c r="X71" s="219"/>
      <c r="Y71" s="219"/>
      <c r="Z71" s="219"/>
      <c r="AA71" s="219"/>
      <c r="AB71" s="219"/>
      <c r="AC71" s="219"/>
      <c r="AD71" s="219"/>
      <c r="AE71" s="219"/>
      <c r="AF71" s="219"/>
      <c r="AG71" s="219"/>
      <c r="AH71" s="219"/>
      <c r="AI71" s="219"/>
      <c r="AJ71" s="219"/>
      <c r="AK71" s="219"/>
      <c r="AL71" s="219"/>
      <c r="AM71" s="219"/>
      <c r="AN71" s="219"/>
      <c r="AO71" s="219"/>
      <c r="AP71" s="219"/>
      <c r="AQ71" s="219"/>
      <c r="AR71" s="219"/>
      <c r="AS71" s="219"/>
      <c r="AT71" s="219"/>
      <c r="AU71" s="219"/>
      <c r="AV71" s="219"/>
      <c r="AW71" s="219"/>
      <c r="AX71" s="219"/>
      <c r="AY71" s="219"/>
      <c r="AZ71" s="219"/>
      <c r="BA71" s="219"/>
      <c r="BB71" s="219"/>
      <c r="BC71" s="219"/>
      <c r="BD71" s="219"/>
      <c r="BE71" s="219"/>
      <c r="BF71" s="219"/>
      <c r="BG71" s="219"/>
      <c r="BH71" s="219"/>
    </row>
    <row r="72" spans="2:60">
      <c r="B72" s="52"/>
      <c r="C72" s="219"/>
      <c r="D72" s="529"/>
      <c r="E72" s="529"/>
      <c r="F72" s="529"/>
      <c r="G72" s="529"/>
      <c r="H72" s="529"/>
      <c r="I72" s="529"/>
      <c r="J72" s="219"/>
      <c r="K72" s="219"/>
      <c r="L72" s="219"/>
      <c r="M72" s="219"/>
      <c r="N72" s="219"/>
      <c r="O72" s="219"/>
      <c r="P72" s="219"/>
      <c r="Q72" s="219"/>
      <c r="R72" s="219"/>
      <c r="S72" s="219"/>
      <c r="T72" s="219"/>
      <c r="U72" s="219"/>
      <c r="V72" s="219"/>
      <c r="W72" s="219"/>
      <c r="X72" s="219"/>
      <c r="Y72" s="219"/>
      <c r="Z72" s="219"/>
      <c r="AA72" s="219"/>
      <c r="AB72" s="219"/>
      <c r="AC72" s="219"/>
      <c r="AD72" s="219"/>
      <c r="AE72" s="219"/>
      <c r="AF72" s="219"/>
      <c r="AG72" s="219"/>
      <c r="AH72" s="219"/>
      <c r="AI72" s="219"/>
      <c r="AJ72" s="219"/>
      <c r="AK72" s="219"/>
      <c r="AL72" s="219"/>
      <c r="AM72" s="219"/>
      <c r="AN72" s="219"/>
      <c r="AO72" s="219"/>
      <c r="AP72" s="219"/>
      <c r="AQ72" s="219"/>
      <c r="AR72" s="219"/>
      <c r="AS72" s="219"/>
      <c r="AT72" s="219"/>
      <c r="AU72" s="219"/>
      <c r="AV72" s="219"/>
      <c r="AW72" s="219"/>
      <c r="AX72" s="219"/>
      <c r="AY72" s="219"/>
      <c r="AZ72" s="219"/>
      <c r="BA72" s="219"/>
      <c r="BB72" s="219"/>
      <c r="BC72" s="219"/>
      <c r="BD72" s="219"/>
      <c r="BE72" s="219"/>
      <c r="BF72" s="219"/>
      <c r="BG72" s="219"/>
      <c r="BH72" s="219"/>
    </row>
    <row r="73" spans="2:60">
      <c r="B73" s="52"/>
      <c r="C73" s="219"/>
      <c r="D73" s="530"/>
      <c r="E73" s="530"/>
      <c r="F73" s="219"/>
      <c r="G73" s="219"/>
      <c r="H73" s="219"/>
      <c r="I73" s="219"/>
      <c r="J73" s="219"/>
      <c r="K73" s="219"/>
      <c r="L73" s="219"/>
      <c r="M73" s="219"/>
      <c r="N73" s="219"/>
      <c r="O73" s="219"/>
      <c r="P73" s="219"/>
      <c r="Q73" s="219"/>
      <c r="R73" s="219"/>
      <c r="S73" s="219"/>
      <c r="T73" s="219"/>
      <c r="U73" s="219"/>
      <c r="V73" s="219"/>
      <c r="W73" s="219"/>
      <c r="X73" s="219"/>
      <c r="Y73" s="219"/>
      <c r="Z73" s="219"/>
      <c r="AA73" s="219"/>
      <c r="AB73" s="219"/>
      <c r="AC73" s="219"/>
      <c r="AD73" s="219"/>
      <c r="AE73" s="219"/>
      <c r="AF73" s="219"/>
      <c r="AG73" s="219"/>
      <c r="AH73" s="219"/>
      <c r="AI73" s="219"/>
      <c r="AJ73" s="219"/>
      <c r="AK73" s="219"/>
      <c r="AL73" s="219"/>
      <c r="AM73" s="219"/>
      <c r="AN73" s="219"/>
      <c r="AO73" s="219"/>
      <c r="AP73" s="219"/>
      <c r="AQ73" s="219"/>
      <c r="AR73" s="219"/>
      <c r="AS73" s="219"/>
      <c r="AT73" s="219"/>
      <c r="AU73" s="219"/>
      <c r="AV73" s="219"/>
      <c r="AW73" s="219"/>
      <c r="AX73" s="219"/>
      <c r="AY73" s="219"/>
      <c r="AZ73" s="219"/>
      <c r="BA73" s="219"/>
      <c r="BB73" s="219"/>
      <c r="BC73" s="219"/>
      <c r="BD73" s="219"/>
      <c r="BE73" s="219"/>
      <c r="BF73" s="219"/>
      <c r="BG73" s="219"/>
      <c r="BH73" s="219"/>
    </row>
    <row r="74" spans="2:60" s="4" customFormat="1" ht="13.25" customHeight="1">
      <c r="B74" s="6" t="s">
        <v>2545</v>
      </c>
      <c r="C74" s="220"/>
      <c r="D74" s="220">
        <f t="shared" ref="D74:AI74" si="17">D66/C66-1</f>
        <v>0.28091640626250602</v>
      </c>
      <c r="E74" s="220">
        <f t="shared" si="17"/>
        <v>0.17340741091122913</v>
      </c>
      <c r="F74" s="220">
        <f t="shared" si="17"/>
        <v>0.11638218686233048</v>
      </c>
      <c r="G74" s="220">
        <f t="shared" si="17"/>
        <v>8.4214365819709869E-2</v>
      </c>
      <c r="H74" s="220">
        <f t="shared" si="17"/>
        <v>6.4762896883501453E-2</v>
      </c>
      <c r="I74" s="220">
        <f t="shared" si="17"/>
        <v>5.0714718239032397E-2</v>
      </c>
      <c r="J74" s="220">
        <f t="shared" si="17"/>
        <v>4.1742662913579753E-2</v>
      </c>
      <c r="K74" s="220">
        <f t="shared" si="17"/>
        <v>3.4180455479503546E-2</v>
      </c>
      <c r="L74" s="220">
        <f t="shared" si="17"/>
        <v>2.8287382938216199E-2</v>
      </c>
      <c r="M74" s="220">
        <f t="shared" si="17"/>
        <v>2.438964359032969E-2</v>
      </c>
      <c r="N74" s="220">
        <f t="shared" si="17"/>
        <v>2.2104032291079267E-2</v>
      </c>
      <c r="O74" s="220">
        <f t="shared" si="17"/>
        <v>2.0681500347581983E-2</v>
      </c>
      <c r="P74" s="220">
        <f t="shared" si="17"/>
        <v>1.9359856545146048E-2</v>
      </c>
      <c r="Q74" s="220">
        <f t="shared" si="17"/>
        <v>1.8434244859413029E-2</v>
      </c>
      <c r="R74" s="220">
        <f t="shared" si="17"/>
        <v>1.946695538004195E-2</v>
      </c>
      <c r="S74" s="220">
        <f t="shared" si="17"/>
        <v>1.9206359051323396E-2</v>
      </c>
      <c r="T74" s="220">
        <f t="shared" si="17"/>
        <v>1.8383881483103437E-2</v>
      </c>
      <c r="U74" s="220">
        <f t="shared" si="17"/>
        <v>1.7370335648879909E-2</v>
      </c>
      <c r="V74" s="220">
        <f t="shared" si="17"/>
        <v>1.627753598215631E-2</v>
      </c>
      <c r="W74" s="220">
        <f t="shared" si="17"/>
        <v>1.5551163524574196E-2</v>
      </c>
      <c r="X74" s="220">
        <f t="shared" si="17"/>
        <v>1.5205971943975882E-2</v>
      </c>
      <c r="Y74" s="220">
        <f t="shared" si="17"/>
        <v>1.4913469897159803E-2</v>
      </c>
      <c r="Z74" s="220">
        <f t="shared" si="17"/>
        <v>1.4354776130790281E-2</v>
      </c>
      <c r="AA74" s="220">
        <f t="shared" si="17"/>
        <v>1.3860501588639051E-2</v>
      </c>
      <c r="AB74" s="220">
        <f t="shared" si="17"/>
        <v>1.4006608429486089E-2</v>
      </c>
      <c r="AC74" s="220">
        <f t="shared" si="17"/>
        <v>1.3617620995418855E-2</v>
      </c>
      <c r="AD74" s="220">
        <f t="shared" si="17"/>
        <v>1.3099000580177433E-2</v>
      </c>
      <c r="AE74" s="220">
        <f t="shared" si="17"/>
        <v>1.257983195792467E-2</v>
      </c>
      <c r="AF74" s="220">
        <f t="shared" si="17"/>
        <v>1.2318626102939989E-2</v>
      </c>
      <c r="AG74" s="220">
        <f t="shared" si="17"/>
        <v>1.2009789251160141E-2</v>
      </c>
      <c r="AH74" s="220">
        <f t="shared" si="17"/>
        <v>1.1614110409420064E-2</v>
      </c>
      <c r="AI74" s="220">
        <f t="shared" si="17"/>
        <v>1.1158999210355569E-2</v>
      </c>
      <c r="AJ74" s="220">
        <f t="shared" ref="AJ74:BH74" si="18">AJ66/AI66-1</f>
        <v>1.064826606743452E-2</v>
      </c>
      <c r="AK74" s="220">
        <f t="shared" si="18"/>
        <v>1.0103700076924627E-2</v>
      </c>
      <c r="AL74" s="220">
        <f t="shared" si="18"/>
        <v>9.5313863437060942E-3</v>
      </c>
      <c r="AM74" s="220">
        <f t="shared" si="18"/>
        <v>9.0189601735179981E-3</v>
      </c>
      <c r="AN74" s="220">
        <f t="shared" si="18"/>
        <v>8.7240705516806738E-3</v>
      </c>
      <c r="AO74" s="220">
        <f t="shared" si="18"/>
        <v>8.4553475631115038E-3</v>
      </c>
      <c r="AP74" s="220">
        <f t="shared" si="18"/>
        <v>8.2642204527860752E-3</v>
      </c>
      <c r="AQ74" s="220">
        <f t="shared" si="18"/>
        <v>7.8530496220994284E-3</v>
      </c>
      <c r="AR74" s="220">
        <f t="shared" si="18"/>
        <v>7.2865386681693067E-3</v>
      </c>
      <c r="AS74" s="220">
        <f t="shared" si="18"/>
        <v>6.6256536695044055E-3</v>
      </c>
      <c r="AT74" s="220">
        <f t="shared" si="18"/>
        <v>6.0516909281937981E-3</v>
      </c>
      <c r="AU74" s="220">
        <f t="shared" si="18"/>
        <v>5.5067877766292739E-3</v>
      </c>
      <c r="AV74" s="220">
        <f t="shared" si="18"/>
        <v>4.9466183903486005E-3</v>
      </c>
      <c r="AW74" s="220">
        <f t="shared" si="18"/>
        <v>4.6288110527314963E-3</v>
      </c>
      <c r="AX74" s="220">
        <f t="shared" si="18"/>
        <v>4.5698849332584945E-3</v>
      </c>
      <c r="AY74" s="220">
        <f t="shared" si="18"/>
        <v>4.7089150155754655E-3</v>
      </c>
      <c r="AZ74" s="220">
        <f t="shared" si="18"/>
        <v>3.5303660418175564E-3</v>
      </c>
      <c r="BA74" s="220">
        <f t="shared" si="18"/>
        <v>2.6498931282845639E-3</v>
      </c>
      <c r="BB74" s="220">
        <f t="shared" si="18"/>
        <v>1.9907567063639497E-3</v>
      </c>
      <c r="BC74" s="220">
        <f t="shared" si="18"/>
        <v>1.4965582057842042E-3</v>
      </c>
      <c r="BD74" s="220">
        <f t="shared" si="18"/>
        <v>1.1255979456648024E-3</v>
      </c>
      <c r="BE74" s="220">
        <f t="shared" si="18"/>
        <v>8.4690337986748077E-4</v>
      </c>
      <c r="BF74" s="220">
        <f t="shared" si="18"/>
        <v>6.3739016300190521E-4</v>
      </c>
      <c r="BG74" s="220">
        <f t="shared" si="18"/>
        <v>4.7980831518090739E-4</v>
      </c>
      <c r="BH74" s="220">
        <f t="shared" si="18"/>
        <v>3.6124228635725508E-4</v>
      </c>
    </row>
    <row r="75" spans="2:60" s="9" customFormat="1" ht="13.25" customHeight="1">
      <c r="B75" s="113"/>
      <c r="C75" s="226"/>
      <c r="D75" s="226"/>
      <c r="E75" s="226"/>
      <c r="F75" s="226"/>
      <c r="G75" s="226"/>
      <c r="H75" s="226"/>
      <c r="I75" s="226"/>
      <c r="J75" s="226"/>
      <c r="K75" s="226"/>
      <c r="L75" s="226"/>
      <c r="M75" s="226"/>
      <c r="N75" s="226"/>
      <c r="O75" s="226"/>
      <c r="P75" s="226"/>
      <c r="Q75" s="226"/>
      <c r="R75" s="226"/>
      <c r="S75" s="226"/>
      <c r="T75" s="226"/>
      <c r="U75" s="226"/>
      <c r="V75" s="226"/>
      <c r="W75" s="226"/>
      <c r="X75" s="226"/>
      <c r="Y75" s="226"/>
      <c r="Z75" s="226"/>
      <c r="AA75" s="226"/>
      <c r="AB75" s="226"/>
      <c r="AC75" s="226"/>
      <c r="AD75" s="226"/>
      <c r="AE75" s="226"/>
      <c r="AF75" s="226"/>
      <c r="AG75" s="226"/>
      <c r="AH75" s="226"/>
      <c r="AI75" s="226"/>
      <c r="AJ75" s="226"/>
      <c r="AK75" s="226"/>
      <c r="AL75" s="226"/>
      <c r="AM75" s="226"/>
      <c r="AN75" s="226"/>
      <c r="AO75" s="226"/>
      <c r="AP75" s="226"/>
      <c r="AQ75" s="226"/>
      <c r="AR75" s="226"/>
      <c r="AS75" s="226"/>
      <c r="AT75" s="226"/>
      <c r="AU75" s="226"/>
      <c r="AV75" s="226"/>
      <c r="AW75" s="226"/>
      <c r="AX75" s="226"/>
      <c r="AY75" s="226"/>
      <c r="AZ75" s="226"/>
      <c r="BA75" s="226"/>
      <c r="BB75" s="226"/>
      <c r="BC75" s="226"/>
      <c r="BD75" s="226"/>
      <c r="BE75" s="226"/>
      <c r="BF75" s="226"/>
      <c r="BG75" s="226"/>
      <c r="BH75" s="226"/>
    </row>
    <row r="78" spans="2:60">
      <c r="B78" s="35" t="s">
        <v>2542</v>
      </c>
    </row>
    <row r="79" spans="2:60">
      <c r="B79" s="108"/>
    </row>
    <row r="80" spans="2:60">
      <c r="B80" s="9"/>
    </row>
    <row r="81" spans="1:60">
      <c r="B81" s="34"/>
      <c r="C81" s="387">
        <f>Epidemiology!$C$89</f>
        <v>2020</v>
      </c>
      <c r="D81" s="34">
        <f t="shared" ref="D81:AI81" si="19">C81+1</f>
        <v>2021</v>
      </c>
      <c r="E81" s="34">
        <f t="shared" si="19"/>
        <v>2022</v>
      </c>
      <c r="F81" s="34">
        <f t="shared" si="19"/>
        <v>2023</v>
      </c>
      <c r="G81" s="34">
        <f t="shared" si="19"/>
        <v>2024</v>
      </c>
      <c r="H81" s="34">
        <f t="shared" si="19"/>
        <v>2025</v>
      </c>
      <c r="I81" s="34">
        <f t="shared" si="19"/>
        <v>2026</v>
      </c>
      <c r="J81" s="34">
        <f t="shared" si="19"/>
        <v>2027</v>
      </c>
      <c r="K81" s="34">
        <f t="shared" si="19"/>
        <v>2028</v>
      </c>
      <c r="L81" s="34">
        <f t="shared" si="19"/>
        <v>2029</v>
      </c>
      <c r="M81" s="34">
        <f t="shared" si="19"/>
        <v>2030</v>
      </c>
      <c r="N81" s="34">
        <f t="shared" si="19"/>
        <v>2031</v>
      </c>
      <c r="O81" s="34">
        <f t="shared" si="19"/>
        <v>2032</v>
      </c>
      <c r="P81" s="34">
        <f t="shared" si="19"/>
        <v>2033</v>
      </c>
      <c r="Q81" s="34">
        <f t="shared" si="19"/>
        <v>2034</v>
      </c>
      <c r="R81" s="34">
        <f t="shared" si="19"/>
        <v>2035</v>
      </c>
      <c r="S81" s="34">
        <f t="shared" si="19"/>
        <v>2036</v>
      </c>
      <c r="T81" s="34">
        <f t="shared" si="19"/>
        <v>2037</v>
      </c>
      <c r="U81" s="34">
        <f t="shared" si="19"/>
        <v>2038</v>
      </c>
      <c r="V81" s="34">
        <f t="shared" si="19"/>
        <v>2039</v>
      </c>
      <c r="W81" s="34">
        <f t="shared" si="19"/>
        <v>2040</v>
      </c>
      <c r="X81" s="34">
        <f t="shared" si="19"/>
        <v>2041</v>
      </c>
      <c r="Y81" s="34">
        <f t="shared" si="19"/>
        <v>2042</v>
      </c>
      <c r="Z81" s="34">
        <f t="shared" si="19"/>
        <v>2043</v>
      </c>
      <c r="AA81" s="34">
        <f t="shared" si="19"/>
        <v>2044</v>
      </c>
      <c r="AB81" s="34">
        <f t="shared" si="19"/>
        <v>2045</v>
      </c>
      <c r="AC81" s="34">
        <f t="shared" si="19"/>
        <v>2046</v>
      </c>
      <c r="AD81" s="34">
        <f t="shared" si="19"/>
        <v>2047</v>
      </c>
      <c r="AE81" s="34">
        <f t="shared" si="19"/>
        <v>2048</v>
      </c>
      <c r="AF81" s="34">
        <f t="shared" si="19"/>
        <v>2049</v>
      </c>
      <c r="AG81" s="34">
        <f t="shared" si="19"/>
        <v>2050</v>
      </c>
      <c r="AH81" s="34">
        <f t="shared" si="19"/>
        <v>2051</v>
      </c>
      <c r="AI81" s="34">
        <f t="shared" si="19"/>
        <v>2052</v>
      </c>
      <c r="AJ81" s="34">
        <f t="shared" ref="AJ81:BD81" si="20">AI81+1</f>
        <v>2053</v>
      </c>
      <c r="AK81" s="34">
        <f t="shared" si="20"/>
        <v>2054</v>
      </c>
      <c r="AL81" s="34">
        <f t="shared" si="20"/>
        <v>2055</v>
      </c>
      <c r="AM81" s="34">
        <f t="shared" si="20"/>
        <v>2056</v>
      </c>
      <c r="AN81" s="34">
        <f t="shared" si="20"/>
        <v>2057</v>
      </c>
      <c r="AO81" s="34">
        <f t="shared" si="20"/>
        <v>2058</v>
      </c>
      <c r="AP81" s="34">
        <f t="shared" si="20"/>
        <v>2059</v>
      </c>
      <c r="AQ81" s="34">
        <f t="shared" si="20"/>
        <v>2060</v>
      </c>
      <c r="AR81" s="34">
        <f t="shared" si="20"/>
        <v>2061</v>
      </c>
      <c r="AS81" s="34">
        <f t="shared" si="20"/>
        <v>2062</v>
      </c>
      <c r="AT81" s="34">
        <f t="shared" si="20"/>
        <v>2063</v>
      </c>
      <c r="AU81" s="34">
        <f t="shared" si="20"/>
        <v>2064</v>
      </c>
      <c r="AV81" s="34">
        <f t="shared" si="20"/>
        <v>2065</v>
      </c>
      <c r="AW81" s="34">
        <f t="shared" si="20"/>
        <v>2066</v>
      </c>
      <c r="AX81" s="34">
        <f t="shared" si="20"/>
        <v>2067</v>
      </c>
      <c r="AY81" s="34">
        <f t="shared" si="20"/>
        <v>2068</v>
      </c>
      <c r="AZ81" s="34">
        <f t="shared" si="20"/>
        <v>2069</v>
      </c>
      <c r="BA81" s="34">
        <f t="shared" si="20"/>
        <v>2070</v>
      </c>
      <c r="BB81" s="34">
        <f t="shared" si="20"/>
        <v>2071</v>
      </c>
      <c r="BC81" s="34">
        <f t="shared" si="20"/>
        <v>2072</v>
      </c>
      <c r="BD81" s="34">
        <f t="shared" si="20"/>
        <v>2073</v>
      </c>
      <c r="BE81" s="34"/>
      <c r="BF81" s="34"/>
      <c r="BG81" s="34"/>
      <c r="BH81" s="34"/>
    </row>
    <row r="82" spans="1:60" s="522" customFormat="1" ht="13.25" customHeight="1">
      <c r="B82" s="523" t="s">
        <v>2550</v>
      </c>
      <c r="C82" s="712">
        <v>0</v>
      </c>
      <c r="D82" s="524">
        <f>INDEX($D$74:$BH$74, MATCH(D81, $D$65:$BH$65,0))</f>
        <v>3.4180455479503546E-2</v>
      </c>
      <c r="E82" s="524">
        <f t="shared" ref="E82:BD82" si="21">INDEX($D$74:$BH$74, MATCH(E81, $D$65:$BH$65,0))</f>
        <v>2.8287382938216199E-2</v>
      </c>
      <c r="F82" s="524">
        <f t="shared" si="21"/>
        <v>2.438964359032969E-2</v>
      </c>
      <c r="G82" s="524">
        <f t="shared" si="21"/>
        <v>2.2104032291079267E-2</v>
      </c>
      <c r="H82" s="524">
        <f t="shared" si="21"/>
        <v>2.0681500347581983E-2</v>
      </c>
      <c r="I82" s="524">
        <f t="shared" si="21"/>
        <v>1.9359856545146048E-2</v>
      </c>
      <c r="J82" s="524">
        <f t="shared" si="21"/>
        <v>1.8434244859413029E-2</v>
      </c>
      <c r="K82" s="524">
        <f t="shared" si="21"/>
        <v>1.946695538004195E-2</v>
      </c>
      <c r="L82" s="524">
        <f t="shared" si="21"/>
        <v>1.9206359051323396E-2</v>
      </c>
      <c r="M82" s="524">
        <f t="shared" si="21"/>
        <v>1.8383881483103437E-2</v>
      </c>
      <c r="N82" s="524">
        <f t="shared" si="21"/>
        <v>1.7370335648879909E-2</v>
      </c>
      <c r="O82" s="524">
        <f t="shared" si="21"/>
        <v>1.627753598215631E-2</v>
      </c>
      <c r="P82" s="524">
        <f t="shared" si="21"/>
        <v>1.5551163524574196E-2</v>
      </c>
      <c r="Q82" s="524">
        <f t="shared" si="21"/>
        <v>1.5205971943975882E-2</v>
      </c>
      <c r="R82" s="524">
        <f t="shared" si="21"/>
        <v>1.4913469897159803E-2</v>
      </c>
      <c r="S82" s="524">
        <f t="shared" si="21"/>
        <v>1.4354776130790281E-2</v>
      </c>
      <c r="T82" s="524">
        <f t="shared" si="21"/>
        <v>1.3860501588639051E-2</v>
      </c>
      <c r="U82" s="524">
        <f t="shared" si="21"/>
        <v>1.4006608429486089E-2</v>
      </c>
      <c r="V82" s="524">
        <f t="shared" si="21"/>
        <v>1.3617620995418855E-2</v>
      </c>
      <c r="W82" s="524">
        <f t="shared" si="21"/>
        <v>1.3099000580177433E-2</v>
      </c>
      <c r="X82" s="524">
        <f t="shared" si="21"/>
        <v>1.257983195792467E-2</v>
      </c>
      <c r="Y82" s="524">
        <f t="shared" si="21"/>
        <v>1.2318626102939989E-2</v>
      </c>
      <c r="Z82" s="524">
        <f t="shared" si="21"/>
        <v>1.2009789251160141E-2</v>
      </c>
      <c r="AA82" s="524">
        <f t="shared" si="21"/>
        <v>1.1614110409420064E-2</v>
      </c>
      <c r="AB82" s="524">
        <f t="shared" si="21"/>
        <v>1.1158999210355569E-2</v>
      </c>
      <c r="AC82" s="524">
        <f t="shared" si="21"/>
        <v>1.064826606743452E-2</v>
      </c>
      <c r="AD82" s="524">
        <f t="shared" si="21"/>
        <v>1.0103700076924627E-2</v>
      </c>
      <c r="AE82" s="524">
        <f t="shared" si="21"/>
        <v>9.5313863437060942E-3</v>
      </c>
      <c r="AF82" s="524">
        <f t="shared" si="21"/>
        <v>9.0189601735179981E-3</v>
      </c>
      <c r="AG82" s="524">
        <f t="shared" si="21"/>
        <v>8.7240705516806738E-3</v>
      </c>
      <c r="AH82" s="524">
        <f t="shared" si="21"/>
        <v>8.4553475631115038E-3</v>
      </c>
      <c r="AI82" s="524">
        <f t="shared" si="21"/>
        <v>8.2642204527860752E-3</v>
      </c>
      <c r="AJ82" s="524">
        <f t="shared" si="21"/>
        <v>7.8530496220994284E-3</v>
      </c>
      <c r="AK82" s="524">
        <f t="shared" si="21"/>
        <v>7.2865386681693067E-3</v>
      </c>
      <c r="AL82" s="524">
        <f t="shared" si="21"/>
        <v>6.6256536695044055E-3</v>
      </c>
      <c r="AM82" s="524">
        <f t="shared" si="21"/>
        <v>6.0516909281937981E-3</v>
      </c>
      <c r="AN82" s="524">
        <f t="shared" si="21"/>
        <v>5.5067877766292739E-3</v>
      </c>
      <c r="AO82" s="524">
        <f t="shared" si="21"/>
        <v>4.9466183903486005E-3</v>
      </c>
      <c r="AP82" s="524">
        <f t="shared" si="21"/>
        <v>4.6288110527314963E-3</v>
      </c>
      <c r="AQ82" s="524">
        <f t="shared" si="21"/>
        <v>4.5698849332584945E-3</v>
      </c>
      <c r="AR82" s="524">
        <f t="shared" si="21"/>
        <v>4.7089150155754655E-3</v>
      </c>
      <c r="AS82" s="524">
        <f t="shared" si="21"/>
        <v>3.5303660418175564E-3</v>
      </c>
      <c r="AT82" s="524">
        <f t="shared" si="21"/>
        <v>2.6498931282845639E-3</v>
      </c>
      <c r="AU82" s="524">
        <f t="shared" si="21"/>
        <v>1.9907567063639497E-3</v>
      </c>
      <c r="AV82" s="524">
        <f t="shared" si="21"/>
        <v>1.4965582057842042E-3</v>
      </c>
      <c r="AW82" s="524">
        <f t="shared" si="21"/>
        <v>1.1255979456648024E-3</v>
      </c>
      <c r="AX82" s="524">
        <f t="shared" si="21"/>
        <v>8.4690337986748077E-4</v>
      </c>
      <c r="AY82" s="524">
        <f t="shared" si="21"/>
        <v>6.3739016300190521E-4</v>
      </c>
      <c r="AZ82" s="524">
        <f t="shared" si="21"/>
        <v>4.7980831518090739E-4</v>
      </c>
      <c r="BA82" s="524">
        <f t="shared" si="21"/>
        <v>3.6124228635725508E-4</v>
      </c>
      <c r="BB82" s="524" t="e">
        <f t="shared" si="21"/>
        <v>#N/A</v>
      </c>
      <c r="BC82" s="524" t="e">
        <f t="shared" si="21"/>
        <v>#N/A</v>
      </c>
      <c r="BD82" s="524" t="e">
        <f t="shared" si="21"/>
        <v>#N/A</v>
      </c>
      <c r="BE82" s="524"/>
      <c r="BF82" s="524"/>
      <c r="BG82" s="524"/>
    </row>
    <row r="83" spans="1:60">
      <c r="C83" s="108"/>
    </row>
    <row r="84" spans="1:60" s="4" customFormat="1" ht="28.25" customHeight="1">
      <c r="B84" s="52"/>
      <c r="C84" s="393"/>
      <c r="D84" s="393"/>
      <c r="E84" s="393"/>
      <c r="F84" s="393"/>
      <c r="G84" s="393"/>
      <c r="H84" s="393"/>
      <c r="I84" s="393"/>
      <c r="J84" s="393"/>
      <c r="K84" s="393"/>
      <c r="L84" s="393"/>
      <c r="M84" s="393"/>
      <c r="N84" s="393"/>
      <c r="O84" s="393"/>
      <c r="P84" s="393"/>
      <c r="Q84" s="393"/>
      <c r="R84" s="393"/>
      <c r="S84" s="393"/>
      <c r="T84" s="393"/>
      <c r="U84" s="393"/>
      <c r="V84" s="393"/>
      <c r="W84" s="393"/>
      <c r="X84" s="393"/>
      <c r="Y84" s="393"/>
      <c r="Z84" s="393"/>
      <c r="AA84" s="393"/>
      <c r="AB84" s="393"/>
      <c r="AC84" s="393"/>
      <c r="AD84" s="393"/>
      <c r="AE84" s="393"/>
      <c r="AF84" s="393"/>
      <c r="AG84" s="393"/>
      <c r="AH84" s="393"/>
      <c r="AI84" s="393"/>
      <c r="AJ84" s="393"/>
      <c r="AK84" s="393"/>
      <c r="AL84" s="393"/>
      <c r="AM84" s="393"/>
      <c r="AN84" s="393"/>
      <c r="AO84" s="393"/>
      <c r="AP84" s="393"/>
      <c r="AQ84" s="393"/>
      <c r="AR84" s="393"/>
      <c r="AS84" s="393"/>
      <c r="AT84" s="393"/>
      <c r="AU84" s="393"/>
      <c r="AV84" s="393"/>
      <c r="AW84" s="393"/>
      <c r="AX84" s="393"/>
      <c r="AY84" s="393"/>
      <c r="AZ84" s="393"/>
      <c r="BA84" s="393"/>
      <c r="BB84" s="393"/>
      <c r="BC84" s="393"/>
      <c r="BD84" s="393"/>
      <c r="BE84" s="393"/>
      <c r="BF84" s="393"/>
      <c r="BG84" s="393"/>
      <c r="BH84" s="393"/>
    </row>
    <row r="85" spans="1:60">
      <c r="C85" s="108"/>
    </row>
    <row r="86" spans="1:60">
      <c r="C86" s="108"/>
      <c r="E86" s="19"/>
      <c r="F86" s="19"/>
      <c r="G86" s="19"/>
      <c r="H86" s="19"/>
      <c r="I86" s="19"/>
      <c r="J86" s="19"/>
      <c r="K86" s="19"/>
      <c r="L86" s="19"/>
      <c r="M86" s="19"/>
      <c r="N86" s="19"/>
      <c r="O86" s="19"/>
      <c r="P86" s="19"/>
      <c r="Q86" s="19"/>
      <c r="R86" s="19"/>
      <c r="S86" s="19"/>
      <c r="T86" s="19"/>
      <c r="U86" s="19"/>
      <c r="V86" s="19"/>
      <c r="W86" s="19"/>
      <c r="X86" s="19"/>
    </row>
    <row r="87" spans="1:60">
      <c r="A87" s="227" t="s">
        <v>10</v>
      </c>
      <c r="B87" s="443" t="s">
        <v>2546</v>
      </c>
    </row>
    <row r="89" spans="1:60">
      <c r="B89" s="34" t="s">
        <v>2549</v>
      </c>
      <c r="C89" s="34">
        <f>C65</f>
        <v>2013</v>
      </c>
      <c r="D89" s="34">
        <f t="shared" ref="D89:BH89" si="22">D65</f>
        <v>2014</v>
      </c>
      <c r="E89" s="34">
        <f t="shared" si="22"/>
        <v>2015</v>
      </c>
      <c r="F89" s="34">
        <f t="shared" si="22"/>
        <v>2016</v>
      </c>
      <c r="G89" s="34">
        <f t="shared" si="22"/>
        <v>2017</v>
      </c>
      <c r="H89" s="34">
        <f t="shared" si="22"/>
        <v>2018</v>
      </c>
      <c r="I89" s="34">
        <f t="shared" si="22"/>
        <v>2019</v>
      </c>
      <c r="J89" s="34">
        <f t="shared" si="22"/>
        <v>2020</v>
      </c>
      <c r="K89" s="34">
        <f t="shared" si="22"/>
        <v>2021</v>
      </c>
      <c r="L89" s="34">
        <f t="shared" si="22"/>
        <v>2022</v>
      </c>
      <c r="M89" s="34">
        <f t="shared" si="22"/>
        <v>2023</v>
      </c>
      <c r="N89" s="34">
        <f t="shared" si="22"/>
        <v>2024</v>
      </c>
      <c r="O89" s="34">
        <f t="shared" si="22"/>
        <v>2025</v>
      </c>
      <c r="P89" s="34">
        <f t="shared" si="22"/>
        <v>2026</v>
      </c>
      <c r="Q89" s="34">
        <f t="shared" si="22"/>
        <v>2027</v>
      </c>
      <c r="R89" s="34">
        <f t="shared" si="22"/>
        <v>2028</v>
      </c>
      <c r="S89" s="34">
        <f t="shared" si="22"/>
        <v>2029</v>
      </c>
      <c r="T89" s="34">
        <f t="shared" si="22"/>
        <v>2030</v>
      </c>
      <c r="U89" s="34">
        <f t="shared" si="22"/>
        <v>2031</v>
      </c>
      <c r="V89" s="34">
        <f t="shared" si="22"/>
        <v>2032</v>
      </c>
      <c r="W89" s="34">
        <f t="shared" si="22"/>
        <v>2033</v>
      </c>
      <c r="X89" s="34">
        <f t="shared" si="22"/>
        <v>2034</v>
      </c>
      <c r="Y89" s="34">
        <f t="shared" si="22"/>
        <v>2035</v>
      </c>
      <c r="Z89" s="34">
        <f t="shared" si="22"/>
        <v>2036</v>
      </c>
      <c r="AA89" s="34">
        <f t="shared" si="22"/>
        <v>2037</v>
      </c>
      <c r="AB89" s="34">
        <f t="shared" si="22"/>
        <v>2038</v>
      </c>
      <c r="AC89" s="34">
        <f t="shared" si="22"/>
        <v>2039</v>
      </c>
      <c r="AD89" s="34">
        <f t="shared" si="22"/>
        <v>2040</v>
      </c>
      <c r="AE89" s="34">
        <f t="shared" si="22"/>
        <v>2041</v>
      </c>
      <c r="AF89" s="34">
        <f t="shared" si="22"/>
        <v>2042</v>
      </c>
      <c r="AG89" s="34">
        <f t="shared" si="22"/>
        <v>2043</v>
      </c>
      <c r="AH89" s="34">
        <f t="shared" si="22"/>
        <v>2044</v>
      </c>
      <c r="AI89" s="34">
        <f t="shared" si="22"/>
        <v>2045</v>
      </c>
      <c r="AJ89" s="34">
        <f t="shared" si="22"/>
        <v>2046</v>
      </c>
      <c r="AK89" s="34">
        <f t="shared" si="22"/>
        <v>2047</v>
      </c>
      <c r="AL89" s="34">
        <f t="shared" si="22"/>
        <v>2048</v>
      </c>
      <c r="AM89" s="34">
        <f t="shared" si="22"/>
        <v>2049</v>
      </c>
      <c r="AN89" s="34">
        <f t="shared" si="22"/>
        <v>2050</v>
      </c>
      <c r="AO89" s="34">
        <f t="shared" si="22"/>
        <v>2051</v>
      </c>
      <c r="AP89" s="34">
        <f t="shared" si="22"/>
        <v>2052</v>
      </c>
      <c r="AQ89" s="34">
        <f t="shared" si="22"/>
        <v>2053</v>
      </c>
      <c r="AR89" s="34">
        <f t="shared" si="22"/>
        <v>2054</v>
      </c>
      <c r="AS89" s="34">
        <f t="shared" si="22"/>
        <v>2055</v>
      </c>
      <c r="AT89" s="34">
        <f t="shared" si="22"/>
        <v>2056</v>
      </c>
      <c r="AU89" s="34">
        <f t="shared" si="22"/>
        <v>2057</v>
      </c>
      <c r="AV89" s="34">
        <f t="shared" si="22"/>
        <v>2058</v>
      </c>
      <c r="AW89" s="34">
        <f t="shared" si="22"/>
        <v>2059</v>
      </c>
      <c r="AX89" s="34">
        <f t="shared" si="22"/>
        <v>2060</v>
      </c>
      <c r="AY89" s="34">
        <f t="shared" si="22"/>
        <v>2061</v>
      </c>
      <c r="AZ89" s="34">
        <f t="shared" si="22"/>
        <v>2062</v>
      </c>
      <c r="BA89" s="34">
        <f t="shared" si="22"/>
        <v>2063</v>
      </c>
      <c r="BB89" s="34">
        <f t="shared" si="22"/>
        <v>2064</v>
      </c>
      <c r="BC89" s="34">
        <f t="shared" si="22"/>
        <v>2065</v>
      </c>
      <c r="BD89" s="34">
        <f t="shared" si="22"/>
        <v>2066</v>
      </c>
      <c r="BE89" s="34">
        <f t="shared" si="22"/>
        <v>2067</v>
      </c>
      <c r="BF89" s="34">
        <f t="shared" si="22"/>
        <v>2068</v>
      </c>
      <c r="BG89" s="34">
        <f t="shared" si="22"/>
        <v>2069</v>
      </c>
      <c r="BH89" s="34">
        <f t="shared" si="22"/>
        <v>2070</v>
      </c>
    </row>
    <row r="90" spans="1:60" s="9" customFormat="1" ht="13.25" customHeight="1">
      <c r="B90" s="5" t="s">
        <v>22</v>
      </c>
      <c r="C90" s="224">
        <f>C12</f>
        <v>1000</v>
      </c>
      <c r="D90" s="224">
        <f t="shared" ref="D90:AI90" si="23">C93+C94+D56</f>
        <v>1286.8715444831787</v>
      </c>
      <c r="E90" s="224">
        <f t="shared" si="23"/>
        <v>1520.6034082024939</v>
      </c>
      <c r="F90" s="224">
        <f t="shared" si="23"/>
        <v>1710.1190504654805</v>
      </c>
      <c r="G90" s="224">
        <f t="shared" si="23"/>
        <v>1867.0244635792969</v>
      </c>
      <c r="H90" s="224">
        <f t="shared" si="23"/>
        <v>2000.2751239807392</v>
      </c>
      <c r="I90" s="224">
        <f t="shared" si="23"/>
        <v>2113.2692348547466</v>
      </c>
      <c r="J90" s="224">
        <f t="shared" si="23"/>
        <v>2211.8881097947014</v>
      </c>
      <c r="K90" s="224">
        <f t="shared" si="23"/>
        <v>2296.9118124632978</v>
      </c>
      <c r="L90" s="224">
        <f t="shared" si="23"/>
        <v>2370.3393539232839</v>
      </c>
      <c r="M90" s="224">
        <f t="shared" si="23"/>
        <v>2435.5293070516782</v>
      </c>
      <c r="N90" s="224">
        <f t="shared" si="23"/>
        <v>2495.6060968048218</v>
      </c>
      <c r="O90" s="224">
        <f t="shared" si="23"/>
        <v>2552.4053100509709</v>
      </c>
      <c r="P90" s="224">
        <f t="shared" si="23"/>
        <v>2606.1733960134734</v>
      </c>
      <c r="Q90" s="224">
        <f t="shared" si="23"/>
        <v>2657.8362413757272</v>
      </c>
      <c r="R90" s="224">
        <f t="shared" si="23"/>
        <v>2712.1373059446805</v>
      </c>
      <c r="S90" s="224">
        <f t="shared" si="23"/>
        <v>2766.2916909163973</v>
      </c>
      <c r="T90" s="224">
        <f t="shared" si="23"/>
        <v>2818.9754257294016</v>
      </c>
      <c r="U90" s="224">
        <f t="shared" si="23"/>
        <v>2869.6447635433151</v>
      </c>
      <c r="V90" s="224">
        <f t="shared" si="23"/>
        <v>2917.9890120813384</v>
      </c>
      <c r="W90" s="224">
        <f t="shared" si="23"/>
        <v>2964.8484648976205</v>
      </c>
      <c r="X90" s="224">
        <f t="shared" si="23"/>
        <v>3011.1874651200483</v>
      </c>
      <c r="Y90" s="224">
        <f t="shared" si="23"/>
        <v>3057.1606250039963</v>
      </c>
      <c r="Z90" s="224">
        <f t="shared" si="23"/>
        <v>3102.0459289638711</v>
      </c>
      <c r="AA90" s="224">
        <f t="shared" si="23"/>
        <v>3145.9743596628232</v>
      </c>
      <c r="AB90" s="224">
        <f t="shared" si="23"/>
        <v>3190.7197979909147</v>
      </c>
      <c r="AC90" s="224">
        <f t="shared" si="23"/>
        <v>3234.8248090410766</v>
      </c>
      <c r="AD90" s="224">
        <f t="shared" si="23"/>
        <v>3277.8764737357669</v>
      </c>
      <c r="AE90" s="224">
        <f t="shared" si="23"/>
        <v>3319.8115060870814</v>
      </c>
      <c r="AF90" s="224">
        <f t="shared" si="23"/>
        <v>3361.3398185311221</v>
      </c>
      <c r="AG90" s="224">
        <f t="shared" si="23"/>
        <v>3402.3066631676602</v>
      </c>
      <c r="AH90" s="224">
        <f t="shared" si="23"/>
        <v>3442.4233170104021</v>
      </c>
      <c r="AI90" s="224">
        <f t="shared" si="23"/>
        <v>3481.4648382947025</v>
      </c>
      <c r="AJ90" s="224">
        <f t="shared" ref="AJ90:BH90" si="24">AI93+AI94+AJ56</f>
        <v>3519.2055622124012</v>
      </c>
      <c r="AK90" s="224">
        <f t="shared" si="24"/>
        <v>3555.4785088307726</v>
      </c>
      <c r="AL90" s="224">
        <f t="shared" si="24"/>
        <v>3590.1319449988296</v>
      </c>
      <c r="AM90" s="224">
        <f t="shared" si="24"/>
        <v>3623.294600878131</v>
      </c>
      <c r="AN90" s="224">
        <f t="shared" si="24"/>
        <v>3655.6240930292124</v>
      </c>
      <c r="AO90" s="224">
        <f t="shared" si="24"/>
        <v>3687.1949513463401</v>
      </c>
      <c r="AP90" s="224">
        <f t="shared" si="24"/>
        <v>3718.2543163416694</v>
      </c>
      <c r="AQ90" s="224">
        <f t="shared" si="24"/>
        <v>3748.0685983015405</v>
      </c>
      <c r="AR90" s="224">
        <f t="shared" si="24"/>
        <v>3776.0760138375454</v>
      </c>
      <c r="AS90" s="224">
        <f t="shared" si="24"/>
        <v>3801.8947288659897</v>
      </c>
      <c r="AT90" s="224">
        <f t="shared" si="24"/>
        <v>3825.7506810606801</v>
      </c>
      <c r="AU90" s="224">
        <f t="shared" si="24"/>
        <v>3847.6943801201182</v>
      </c>
      <c r="AV90" s="224">
        <f t="shared" si="24"/>
        <v>3867.6331490515031</v>
      </c>
      <c r="AW90" s="224">
        <f t="shared" si="24"/>
        <v>3886.3689805659014</v>
      </c>
      <c r="AX90" s="224">
        <f t="shared" si="24"/>
        <v>3904.8025497132235</v>
      </c>
      <c r="AY90" s="224">
        <f t="shared" si="24"/>
        <v>3923.6583650795901</v>
      </c>
      <c r="AZ90" s="224">
        <f t="shared" si="24"/>
        <v>3938.3564731576726</v>
      </c>
      <c r="BA90" s="224">
        <f t="shared" si="24"/>
        <v>3949.8136484045381</v>
      </c>
      <c r="BB90" s="224">
        <f t="shared" si="24"/>
        <v>3958.7445165094696</v>
      </c>
      <c r="BC90" s="224">
        <f t="shared" si="24"/>
        <v>3965.7061281972638</v>
      </c>
      <c r="BD90" s="224">
        <f t="shared" si="24"/>
        <v>3971.1327045078992</v>
      </c>
      <c r="BE90" s="224">
        <f t="shared" si="24"/>
        <v>3975.3627207420395</v>
      </c>
      <c r="BF90" s="224">
        <f t="shared" si="24"/>
        <v>3978.660018396552</v>
      </c>
      <c r="BG90" s="224">
        <f t="shared" si="24"/>
        <v>3981.2302619182447</v>
      </c>
      <c r="BH90" s="224">
        <f t="shared" si="24"/>
        <v>3983.233766743404</v>
      </c>
    </row>
    <row r="91" spans="1:60" ht="13.25" customHeight="1">
      <c r="B91" s="6"/>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ht="13.25" customHeight="1">
      <c r="B92" s="6" t="s">
        <v>97</v>
      </c>
      <c r="C92" s="214">
        <f t="shared" ref="C92:AH92" si="25">C90*$C$31</f>
        <v>420</v>
      </c>
      <c r="D92" s="214">
        <f t="shared" si="25"/>
        <v>540.48604868293501</v>
      </c>
      <c r="E92" s="214">
        <f t="shared" si="25"/>
        <v>638.65343144504743</v>
      </c>
      <c r="F92" s="214">
        <f t="shared" si="25"/>
        <v>718.2500011955018</v>
      </c>
      <c r="G92" s="214">
        <f t="shared" si="25"/>
        <v>784.15027470330472</v>
      </c>
      <c r="H92" s="214">
        <f t="shared" si="25"/>
        <v>840.11555207191043</v>
      </c>
      <c r="I92" s="214">
        <f t="shared" si="25"/>
        <v>887.57307863899359</v>
      </c>
      <c r="J92" s="214">
        <f t="shared" si="25"/>
        <v>928.99300611377453</v>
      </c>
      <c r="K92" s="214">
        <f t="shared" si="25"/>
        <v>964.70296123458502</v>
      </c>
      <c r="L92" s="214">
        <f t="shared" si="25"/>
        <v>995.54252864777914</v>
      </c>
      <c r="M92" s="214">
        <f t="shared" si="25"/>
        <v>1022.9223089617049</v>
      </c>
      <c r="N92" s="214">
        <f t="shared" si="25"/>
        <v>1048.154560658025</v>
      </c>
      <c r="O92" s="214">
        <f t="shared" si="25"/>
        <v>1072.0102302214077</v>
      </c>
      <c r="P92" s="214">
        <f t="shared" si="25"/>
        <v>1094.5928263256587</v>
      </c>
      <c r="Q92" s="214">
        <f t="shared" si="25"/>
        <v>1116.2912213778054</v>
      </c>
      <c r="R92" s="214">
        <f t="shared" si="25"/>
        <v>1139.0976684967657</v>
      </c>
      <c r="S92" s="214">
        <f t="shared" si="25"/>
        <v>1161.8425101848868</v>
      </c>
      <c r="T92" s="214">
        <f t="shared" si="25"/>
        <v>1183.9696788063486</v>
      </c>
      <c r="U92" s="214">
        <f t="shared" si="25"/>
        <v>1205.2508006881924</v>
      </c>
      <c r="V92" s="214">
        <f t="shared" si="25"/>
        <v>1225.5553850741621</v>
      </c>
      <c r="W92" s="214">
        <f t="shared" si="25"/>
        <v>1245.2363552570005</v>
      </c>
      <c r="X92" s="214">
        <f t="shared" si="25"/>
        <v>1264.6987353504203</v>
      </c>
      <c r="Y92" s="214">
        <f t="shared" si="25"/>
        <v>1284.0074625016784</v>
      </c>
      <c r="Z92" s="214">
        <f t="shared" si="25"/>
        <v>1302.8592901648258</v>
      </c>
      <c r="AA92" s="214">
        <f t="shared" si="25"/>
        <v>1321.3092310583856</v>
      </c>
      <c r="AB92" s="214">
        <f t="shared" si="25"/>
        <v>1340.1023151561842</v>
      </c>
      <c r="AC92" s="214">
        <f t="shared" si="25"/>
        <v>1358.6264197972521</v>
      </c>
      <c r="AD92" s="214">
        <f t="shared" si="25"/>
        <v>1376.7081189690221</v>
      </c>
      <c r="AE92" s="214">
        <f t="shared" si="25"/>
        <v>1394.320832556574</v>
      </c>
      <c r="AF92" s="214">
        <f t="shared" si="25"/>
        <v>1411.7627237830711</v>
      </c>
      <c r="AG92" s="214">
        <f t="shared" si="25"/>
        <v>1428.9687985304172</v>
      </c>
      <c r="AH92" s="214">
        <f t="shared" si="25"/>
        <v>1445.8177931443688</v>
      </c>
      <c r="AI92" s="214">
        <f t="shared" ref="AI92:BH92" si="26">AI90*$C$31</f>
        <v>1462.2152320837749</v>
      </c>
      <c r="AJ92" s="214">
        <f t="shared" si="26"/>
        <v>1478.0663361292084</v>
      </c>
      <c r="AK92" s="214">
        <f t="shared" si="26"/>
        <v>1493.3009737089244</v>
      </c>
      <c r="AL92" s="214">
        <f t="shared" si="26"/>
        <v>1507.8554168995083</v>
      </c>
      <c r="AM92" s="214">
        <f t="shared" si="26"/>
        <v>1521.783732368815</v>
      </c>
      <c r="AN92" s="214">
        <f t="shared" si="26"/>
        <v>1535.3621190722693</v>
      </c>
      <c r="AO92" s="214">
        <f t="shared" si="26"/>
        <v>1548.6218795654627</v>
      </c>
      <c r="AP92" s="214">
        <f t="shared" si="26"/>
        <v>1561.666812863501</v>
      </c>
      <c r="AQ92" s="214">
        <f t="shared" si="26"/>
        <v>1574.188811286647</v>
      </c>
      <c r="AR92" s="214">
        <f t="shared" si="26"/>
        <v>1585.9519258117689</v>
      </c>
      <c r="AS92" s="214">
        <f t="shared" si="26"/>
        <v>1596.7957861237155</v>
      </c>
      <c r="AT92" s="214">
        <f t="shared" si="26"/>
        <v>1606.8152860454857</v>
      </c>
      <c r="AU92" s="214">
        <f t="shared" si="26"/>
        <v>1616.0316396504495</v>
      </c>
      <c r="AV92" s="214">
        <f t="shared" si="26"/>
        <v>1624.4059226016313</v>
      </c>
      <c r="AW92" s="214">
        <f t="shared" si="26"/>
        <v>1632.2749718376785</v>
      </c>
      <c r="AX92" s="214">
        <f t="shared" si="26"/>
        <v>1640.0170708795538</v>
      </c>
      <c r="AY92" s="214">
        <f t="shared" si="26"/>
        <v>1647.9365133334277</v>
      </c>
      <c r="AZ92" s="214">
        <f t="shared" si="26"/>
        <v>1654.1097187262224</v>
      </c>
      <c r="BA92" s="214">
        <f t="shared" si="26"/>
        <v>1658.921732329906</v>
      </c>
      <c r="BB92" s="214">
        <f t="shared" si="26"/>
        <v>1662.6726969339772</v>
      </c>
      <c r="BC92" s="214">
        <f t="shared" si="26"/>
        <v>1665.5965738428506</v>
      </c>
      <c r="BD92" s="214">
        <f t="shared" si="26"/>
        <v>1667.8757358933176</v>
      </c>
      <c r="BE92" s="214">
        <f t="shared" si="26"/>
        <v>1669.6523427116565</v>
      </c>
      <c r="BF92" s="214">
        <f t="shared" si="26"/>
        <v>1671.0372077265517</v>
      </c>
      <c r="BG92" s="214">
        <f t="shared" si="26"/>
        <v>1672.1167100056628</v>
      </c>
      <c r="BH92" s="214">
        <f t="shared" si="26"/>
        <v>1672.9581820322296</v>
      </c>
    </row>
    <row r="93" spans="1:60" ht="22.25" customHeight="1">
      <c r="B93" s="6" t="s">
        <v>98</v>
      </c>
      <c r="C93" s="214">
        <f t="shared" ref="C93:AH93" si="27">C90*(1-$C$31)</f>
        <v>580.00000000000011</v>
      </c>
      <c r="D93" s="214">
        <f t="shared" si="27"/>
        <v>746.38549580024369</v>
      </c>
      <c r="E93" s="214">
        <f t="shared" si="27"/>
        <v>881.94997675744662</v>
      </c>
      <c r="F93" s="214">
        <f t="shared" si="27"/>
        <v>991.86904926997886</v>
      </c>
      <c r="G93" s="214">
        <f t="shared" si="27"/>
        <v>1082.8741888759923</v>
      </c>
      <c r="H93" s="214">
        <f t="shared" si="27"/>
        <v>1160.1595719088289</v>
      </c>
      <c r="I93" s="214">
        <f t="shared" si="27"/>
        <v>1225.6961562157533</v>
      </c>
      <c r="J93" s="214">
        <f t="shared" si="27"/>
        <v>1282.8951036809269</v>
      </c>
      <c r="K93" s="214">
        <f t="shared" si="27"/>
        <v>1332.2088512287128</v>
      </c>
      <c r="L93" s="214">
        <f t="shared" si="27"/>
        <v>1374.7968252755047</v>
      </c>
      <c r="M93" s="214">
        <f t="shared" si="27"/>
        <v>1412.6069980899736</v>
      </c>
      <c r="N93" s="214">
        <f t="shared" si="27"/>
        <v>1447.4515361467968</v>
      </c>
      <c r="O93" s="214">
        <f t="shared" si="27"/>
        <v>1480.3950798295632</v>
      </c>
      <c r="P93" s="214">
        <f t="shared" si="27"/>
        <v>1511.5805696878147</v>
      </c>
      <c r="Q93" s="214">
        <f t="shared" si="27"/>
        <v>1541.5450199979221</v>
      </c>
      <c r="R93" s="214">
        <f t="shared" si="27"/>
        <v>1573.0396374479149</v>
      </c>
      <c r="S93" s="214">
        <f t="shared" si="27"/>
        <v>1604.4491807315108</v>
      </c>
      <c r="T93" s="214">
        <f t="shared" si="27"/>
        <v>1635.0057469230533</v>
      </c>
      <c r="U93" s="214">
        <f t="shared" si="27"/>
        <v>1664.3939628551229</v>
      </c>
      <c r="V93" s="214">
        <f t="shared" si="27"/>
        <v>1692.4336270071765</v>
      </c>
      <c r="W93" s="214">
        <f t="shared" si="27"/>
        <v>1719.61210964062</v>
      </c>
      <c r="X93" s="214">
        <f t="shared" si="27"/>
        <v>1746.4887297696282</v>
      </c>
      <c r="Y93" s="214">
        <f t="shared" si="27"/>
        <v>1773.1531625023181</v>
      </c>
      <c r="Z93" s="214">
        <f t="shared" si="27"/>
        <v>1799.1866387990456</v>
      </c>
      <c r="AA93" s="214">
        <f t="shared" si="27"/>
        <v>1824.6651286044378</v>
      </c>
      <c r="AB93" s="214">
        <f t="shared" si="27"/>
        <v>1850.6174828347307</v>
      </c>
      <c r="AC93" s="214">
        <f t="shared" si="27"/>
        <v>1876.1983892438247</v>
      </c>
      <c r="AD93" s="214">
        <f t="shared" si="27"/>
        <v>1901.1683547667451</v>
      </c>
      <c r="AE93" s="214">
        <f t="shared" si="27"/>
        <v>1925.4906735305074</v>
      </c>
      <c r="AF93" s="214">
        <f t="shared" si="27"/>
        <v>1949.577094748051</v>
      </c>
      <c r="AG93" s="214">
        <f t="shared" si="27"/>
        <v>1973.3378646372432</v>
      </c>
      <c r="AH93" s="214">
        <f t="shared" si="27"/>
        <v>1996.6055238660335</v>
      </c>
      <c r="AI93" s="214">
        <f t="shared" ref="AI93:BH93" si="28">AI90*(1-$C$31)</f>
        <v>2019.2496062109278</v>
      </c>
      <c r="AJ93" s="214">
        <f t="shared" si="28"/>
        <v>2041.1392260831929</v>
      </c>
      <c r="AK93" s="214">
        <f t="shared" si="28"/>
        <v>2062.1775351218485</v>
      </c>
      <c r="AL93" s="214">
        <f t="shared" si="28"/>
        <v>2082.2765280993212</v>
      </c>
      <c r="AM93" s="214">
        <f t="shared" si="28"/>
        <v>2101.5108685093164</v>
      </c>
      <c r="AN93" s="214">
        <f t="shared" si="28"/>
        <v>2120.2619739569436</v>
      </c>
      <c r="AO93" s="214">
        <f t="shared" si="28"/>
        <v>2138.5730717808774</v>
      </c>
      <c r="AP93" s="214">
        <f t="shared" si="28"/>
        <v>2156.5875034781684</v>
      </c>
      <c r="AQ93" s="214">
        <f t="shared" si="28"/>
        <v>2173.8797870148937</v>
      </c>
      <c r="AR93" s="214">
        <f t="shared" si="28"/>
        <v>2190.1240880257765</v>
      </c>
      <c r="AS93" s="214">
        <f t="shared" si="28"/>
        <v>2205.0989427422742</v>
      </c>
      <c r="AT93" s="214">
        <f t="shared" si="28"/>
        <v>2218.9353950151949</v>
      </c>
      <c r="AU93" s="214">
        <f t="shared" si="28"/>
        <v>2231.6627404696687</v>
      </c>
      <c r="AV93" s="214">
        <f t="shared" si="28"/>
        <v>2243.227226449872</v>
      </c>
      <c r="AW93" s="214">
        <f t="shared" si="28"/>
        <v>2254.0940087282229</v>
      </c>
      <c r="AX93" s="214">
        <f t="shared" si="28"/>
        <v>2264.7854788336699</v>
      </c>
      <c r="AY93" s="214">
        <f t="shared" si="28"/>
        <v>2275.7218517461624</v>
      </c>
      <c r="AZ93" s="214">
        <f t="shared" si="28"/>
        <v>2284.2467544314504</v>
      </c>
      <c r="BA93" s="214">
        <f t="shared" si="28"/>
        <v>2290.8919160746323</v>
      </c>
      <c r="BB93" s="214">
        <f t="shared" si="28"/>
        <v>2296.0718195754926</v>
      </c>
      <c r="BC93" s="214">
        <f t="shared" si="28"/>
        <v>2300.1095543544134</v>
      </c>
      <c r="BD93" s="214">
        <f t="shared" si="28"/>
        <v>2303.2569686145816</v>
      </c>
      <c r="BE93" s="214">
        <f t="shared" si="28"/>
        <v>2305.7103780303833</v>
      </c>
      <c r="BF93" s="214">
        <f t="shared" si="28"/>
        <v>2307.6228106700005</v>
      </c>
      <c r="BG93" s="214">
        <f t="shared" si="28"/>
        <v>2309.1135519125824</v>
      </c>
      <c r="BH93" s="214">
        <f t="shared" si="28"/>
        <v>2310.2755847111748</v>
      </c>
    </row>
    <row r="94" spans="1:60">
      <c r="B94" s="6" t="s">
        <v>2534</v>
      </c>
      <c r="C94" s="214">
        <f t="shared" ref="C94:AH94" si="29">C92*$C$24</f>
        <v>199.5</v>
      </c>
      <c r="D94" s="214">
        <f t="shared" si="29"/>
        <v>256.73087312439412</v>
      </c>
      <c r="E94" s="214">
        <f t="shared" si="29"/>
        <v>303.36037993639752</v>
      </c>
      <c r="F94" s="214">
        <f t="shared" si="29"/>
        <v>341.16875056786336</v>
      </c>
      <c r="G94" s="214">
        <f t="shared" si="29"/>
        <v>372.4713804840697</v>
      </c>
      <c r="H94" s="214">
        <f t="shared" si="29"/>
        <v>399.05488723415743</v>
      </c>
      <c r="I94" s="214">
        <f t="shared" si="29"/>
        <v>421.59721235352191</v>
      </c>
      <c r="J94" s="214">
        <f t="shared" si="29"/>
        <v>441.27167790404286</v>
      </c>
      <c r="K94" s="214">
        <f t="shared" si="29"/>
        <v>458.23390658642785</v>
      </c>
      <c r="L94" s="214">
        <f t="shared" si="29"/>
        <v>472.88270110769508</v>
      </c>
      <c r="M94" s="214">
        <f t="shared" si="29"/>
        <v>485.88809675680977</v>
      </c>
      <c r="N94" s="214">
        <f t="shared" si="29"/>
        <v>497.87341631256186</v>
      </c>
      <c r="O94" s="214">
        <f t="shared" si="29"/>
        <v>509.20485935516865</v>
      </c>
      <c r="P94" s="214">
        <f t="shared" si="29"/>
        <v>519.93159250468784</v>
      </c>
      <c r="Q94" s="214">
        <f t="shared" si="29"/>
        <v>530.23833015445757</v>
      </c>
      <c r="R94" s="214">
        <f t="shared" si="29"/>
        <v>541.0713925359637</v>
      </c>
      <c r="S94" s="214">
        <f t="shared" si="29"/>
        <v>551.8751923378212</v>
      </c>
      <c r="T94" s="214">
        <f t="shared" si="29"/>
        <v>562.38559743301562</v>
      </c>
      <c r="U94" s="214">
        <f t="shared" si="29"/>
        <v>572.49413032689131</v>
      </c>
      <c r="V94" s="214">
        <f t="shared" si="29"/>
        <v>582.138807910227</v>
      </c>
      <c r="W94" s="214">
        <f t="shared" si="29"/>
        <v>591.48726874707518</v>
      </c>
      <c r="X94" s="214">
        <f t="shared" si="29"/>
        <v>600.73189929144962</v>
      </c>
      <c r="Y94" s="214">
        <f t="shared" si="29"/>
        <v>609.90354468829719</v>
      </c>
      <c r="Z94" s="214">
        <f t="shared" si="29"/>
        <v>618.85816282829217</v>
      </c>
      <c r="AA94" s="214">
        <f t="shared" si="29"/>
        <v>627.62188475273319</v>
      </c>
      <c r="AB94" s="214">
        <f t="shared" si="29"/>
        <v>636.54859969918743</v>
      </c>
      <c r="AC94" s="214">
        <f t="shared" si="29"/>
        <v>645.34754940369476</v>
      </c>
      <c r="AD94" s="214">
        <f t="shared" si="29"/>
        <v>653.93635651028546</v>
      </c>
      <c r="AE94" s="214">
        <f t="shared" si="29"/>
        <v>662.30239546437258</v>
      </c>
      <c r="AF94" s="214">
        <f t="shared" si="29"/>
        <v>670.58729379695876</v>
      </c>
      <c r="AG94" s="214">
        <f t="shared" si="29"/>
        <v>678.76017930194814</v>
      </c>
      <c r="AH94" s="214">
        <f t="shared" si="29"/>
        <v>686.76345174357516</v>
      </c>
      <c r="AI94" s="214">
        <f t="shared" ref="AI94:BH94" si="30">AI92*$C$24</f>
        <v>694.55223523979305</v>
      </c>
      <c r="AJ94" s="214">
        <f t="shared" si="30"/>
        <v>702.08150966137396</v>
      </c>
      <c r="AK94" s="214">
        <f t="shared" si="30"/>
        <v>709.3179625117391</v>
      </c>
      <c r="AL94" s="214">
        <f t="shared" si="30"/>
        <v>716.2313230272664</v>
      </c>
      <c r="AM94" s="214">
        <f t="shared" si="30"/>
        <v>722.84727287518706</v>
      </c>
      <c r="AN94" s="214">
        <f t="shared" si="30"/>
        <v>729.29700655932788</v>
      </c>
      <c r="AO94" s="214">
        <f t="shared" si="30"/>
        <v>735.59539279359478</v>
      </c>
      <c r="AP94" s="214">
        <f t="shared" si="30"/>
        <v>741.7917361101629</v>
      </c>
      <c r="AQ94" s="214">
        <f t="shared" si="30"/>
        <v>747.73968536115729</v>
      </c>
      <c r="AR94" s="214">
        <f t="shared" si="30"/>
        <v>753.32716476059022</v>
      </c>
      <c r="AS94" s="214">
        <f t="shared" si="30"/>
        <v>758.47799840876485</v>
      </c>
      <c r="AT94" s="214">
        <f t="shared" si="30"/>
        <v>763.2372608716056</v>
      </c>
      <c r="AU94" s="214">
        <f t="shared" si="30"/>
        <v>767.61502883396349</v>
      </c>
      <c r="AV94" s="214">
        <f t="shared" si="30"/>
        <v>771.59281323577488</v>
      </c>
      <c r="AW94" s="214">
        <f t="shared" si="30"/>
        <v>775.33061162289732</v>
      </c>
      <c r="AX94" s="214">
        <f t="shared" si="30"/>
        <v>779.00810866778806</v>
      </c>
      <c r="AY94" s="214">
        <f t="shared" si="30"/>
        <v>782.7698438333781</v>
      </c>
      <c r="AZ94" s="214">
        <f t="shared" si="30"/>
        <v>785.70211639495562</v>
      </c>
      <c r="BA94" s="214">
        <f t="shared" si="30"/>
        <v>787.98782285670529</v>
      </c>
      <c r="BB94" s="214">
        <f t="shared" si="30"/>
        <v>789.76953104363918</v>
      </c>
      <c r="BC94" s="214">
        <f t="shared" si="30"/>
        <v>791.15837257535395</v>
      </c>
      <c r="BD94" s="214">
        <f t="shared" si="30"/>
        <v>792.24097454932587</v>
      </c>
      <c r="BE94" s="214">
        <f t="shared" si="30"/>
        <v>793.08486278803684</v>
      </c>
      <c r="BF94" s="214">
        <f t="shared" si="30"/>
        <v>793.74267367011203</v>
      </c>
      <c r="BG94" s="214">
        <f t="shared" si="30"/>
        <v>794.25543725268972</v>
      </c>
      <c r="BH94" s="214">
        <f t="shared" si="30"/>
        <v>794.65513646530906</v>
      </c>
    </row>
    <row r="95" spans="1:60">
      <c r="B95" s="52"/>
      <c r="C95" s="219"/>
      <c r="D95" s="219"/>
      <c r="E95" s="219"/>
      <c r="F95" s="219"/>
      <c r="G95" s="219"/>
      <c r="H95" s="219"/>
      <c r="I95" s="219"/>
      <c r="J95" s="219"/>
      <c r="K95" s="219"/>
      <c r="L95" s="219"/>
      <c r="M95" s="219"/>
      <c r="N95" s="219"/>
      <c r="O95" s="219"/>
      <c r="P95" s="219"/>
      <c r="Q95" s="219"/>
      <c r="R95" s="219"/>
      <c r="S95" s="219"/>
      <c r="T95" s="219"/>
      <c r="U95" s="219"/>
      <c r="V95" s="219"/>
      <c r="W95" s="219"/>
      <c r="X95" s="219"/>
      <c r="Y95" s="219"/>
      <c r="Z95" s="219"/>
      <c r="AA95" s="219"/>
      <c r="AB95" s="219"/>
      <c r="AC95" s="219"/>
      <c r="AD95" s="219"/>
      <c r="AE95" s="219"/>
      <c r="AF95" s="219"/>
      <c r="AG95" s="219"/>
      <c r="AH95" s="219"/>
      <c r="AI95" s="219"/>
      <c r="AJ95" s="219"/>
      <c r="AK95" s="219"/>
      <c r="AL95" s="219"/>
      <c r="AM95" s="219"/>
      <c r="AN95" s="219"/>
      <c r="AO95" s="219"/>
      <c r="AP95" s="219"/>
      <c r="AQ95" s="219"/>
      <c r="AR95" s="219"/>
      <c r="AS95" s="219"/>
      <c r="AT95" s="219"/>
      <c r="AU95" s="219"/>
      <c r="AV95" s="219"/>
      <c r="AW95" s="219"/>
      <c r="AX95" s="219"/>
      <c r="AY95" s="219"/>
      <c r="AZ95" s="219"/>
      <c r="BA95" s="219"/>
      <c r="BB95" s="219"/>
      <c r="BC95" s="219"/>
      <c r="BD95" s="219"/>
      <c r="BE95" s="219"/>
      <c r="BF95" s="219"/>
      <c r="BG95" s="219"/>
      <c r="BH95" s="219"/>
    </row>
    <row r="96" spans="1:60" s="4" customFormat="1" ht="13.25" customHeight="1">
      <c r="B96" s="6" t="s">
        <v>2545</v>
      </c>
      <c r="C96" s="220"/>
      <c r="D96" s="220">
        <f t="shared" ref="D96:AI96" si="31">D90/C90-1</f>
        <v>0.28687154448317864</v>
      </c>
      <c r="E96" s="220">
        <f t="shared" si="31"/>
        <v>0.18162796801384284</v>
      </c>
      <c r="F96" s="220">
        <f t="shared" si="31"/>
        <v>0.12463186734995757</v>
      </c>
      <c r="G96" s="220">
        <f t="shared" si="31"/>
        <v>9.1751163798279523E-2</v>
      </c>
      <c r="H96" s="220">
        <f t="shared" si="31"/>
        <v>7.1370602260875327E-2</v>
      </c>
      <c r="I96" s="220">
        <f t="shared" si="31"/>
        <v>5.6489284658571615E-2</v>
      </c>
      <c r="J96" s="220">
        <f t="shared" si="31"/>
        <v>4.6666498197866169E-2</v>
      </c>
      <c r="K96" s="220">
        <f t="shared" si="31"/>
        <v>3.8439422994360983E-2</v>
      </c>
      <c r="L96" s="220">
        <f t="shared" si="31"/>
        <v>3.1967941068333561E-2</v>
      </c>
      <c r="M96" s="220">
        <f t="shared" si="31"/>
        <v>2.7502371346320054E-2</v>
      </c>
      <c r="N96" s="220">
        <f t="shared" si="31"/>
        <v>2.4666830975591747E-2</v>
      </c>
      <c r="O96" s="220">
        <f t="shared" si="31"/>
        <v>2.2759686842755533E-2</v>
      </c>
      <c r="P96" s="220">
        <f t="shared" si="31"/>
        <v>2.1065653542864826E-2</v>
      </c>
      <c r="Q96" s="220">
        <f t="shared" si="31"/>
        <v>1.9823257132959737E-2</v>
      </c>
      <c r="R96" s="220">
        <f t="shared" si="31"/>
        <v>2.0430553140793339E-2</v>
      </c>
      <c r="S96" s="220">
        <f t="shared" si="31"/>
        <v>1.996742010554442E-2</v>
      </c>
      <c r="T96" s="220">
        <f t="shared" si="31"/>
        <v>1.9044895007276574E-2</v>
      </c>
      <c r="U96" s="220">
        <f t="shared" si="31"/>
        <v>1.7974380816321966E-2</v>
      </c>
      <c r="V96" s="220">
        <f t="shared" si="31"/>
        <v>1.6846771123799176E-2</v>
      </c>
      <c r="W96" s="220">
        <f t="shared" si="31"/>
        <v>1.6058817432920369E-2</v>
      </c>
      <c r="X96" s="220">
        <f t="shared" si="31"/>
        <v>1.5629466656073454E-2</v>
      </c>
      <c r="Y96" s="220">
        <f t="shared" si="31"/>
        <v>1.5267451932659881E-2</v>
      </c>
      <c r="Z96" s="220">
        <f t="shared" si="31"/>
        <v>1.4682023441217273E-2</v>
      </c>
      <c r="AA96" s="220">
        <f t="shared" si="31"/>
        <v>1.416111550405863E-2</v>
      </c>
      <c r="AB96" s="220">
        <f t="shared" si="31"/>
        <v>1.4223077880675117E-2</v>
      </c>
      <c r="AC96" s="220">
        <f t="shared" si="31"/>
        <v>1.3822903245196638E-2</v>
      </c>
      <c r="AD96" s="220">
        <f t="shared" si="31"/>
        <v>1.3308808741161027E-2</v>
      </c>
      <c r="AE96" s="220">
        <f t="shared" si="31"/>
        <v>1.2793353467503099E-2</v>
      </c>
      <c r="AF96" s="220">
        <f t="shared" si="31"/>
        <v>1.2509238060021133E-2</v>
      </c>
      <c r="AG96" s="220">
        <f t="shared" si="31"/>
        <v>1.2187653390676845E-2</v>
      </c>
      <c r="AH96" s="220">
        <f t="shared" si="31"/>
        <v>1.179101645275904E-2</v>
      </c>
      <c r="AI96" s="220">
        <f t="shared" si="31"/>
        <v>1.1341290041634533E-2</v>
      </c>
      <c r="AJ96" s="525">
        <f t="shared" ref="AJ96:BH96" si="32">AJ90/AI90-1</f>
        <v>1.0840472522533062E-2</v>
      </c>
      <c r="AK96" s="220">
        <f t="shared" si="32"/>
        <v>1.0307140625104072E-2</v>
      </c>
      <c r="AL96" s="220">
        <f t="shared" si="32"/>
        <v>9.7464901227746203E-3</v>
      </c>
      <c r="AM96" s="220">
        <f t="shared" si="32"/>
        <v>9.2371691033523717E-3</v>
      </c>
      <c r="AN96" s="220">
        <f t="shared" si="32"/>
        <v>8.9226783114038088E-3</v>
      </c>
      <c r="AO96" s="220">
        <f t="shared" si="32"/>
        <v>8.6362430911124388E-3</v>
      </c>
      <c r="AP96" s="220">
        <f t="shared" si="32"/>
        <v>8.4235754835768617E-3</v>
      </c>
      <c r="AQ96" s="220">
        <f t="shared" si="32"/>
        <v>8.0183546964063268E-3</v>
      </c>
      <c r="AR96" s="220">
        <f t="shared" si="32"/>
        <v>7.4724927789999729E-3</v>
      </c>
      <c r="AS96" s="220">
        <f t="shared" si="32"/>
        <v>6.8374457860040927E-3</v>
      </c>
      <c r="AT96" s="220">
        <f t="shared" si="32"/>
        <v>6.2747534837204189E-3</v>
      </c>
      <c r="AU96" s="220">
        <f t="shared" si="32"/>
        <v>5.7357891009652828E-3</v>
      </c>
      <c r="AV96" s="220">
        <f t="shared" si="32"/>
        <v>5.1820043282029271E-3</v>
      </c>
      <c r="AW96" s="220">
        <f t="shared" si="32"/>
        <v>4.8442628326819115E-3</v>
      </c>
      <c r="AX96" s="220">
        <f t="shared" si="32"/>
        <v>4.7431340769497066E-3</v>
      </c>
      <c r="AY96" s="220">
        <f t="shared" si="32"/>
        <v>4.8288780613892079E-3</v>
      </c>
      <c r="AZ96" s="220">
        <f t="shared" si="32"/>
        <v>3.7460213684492594E-3</v>
      </c>
      <c r="BA96" s="220">
        <f t="shared" si="32"/>
        <v>2.9091260085147841E-3</v>
      </c>
      <c r="BB96" s="220">
        <f t="shared" si="32"/>
        <v>2.261085939722518E-3</v>
      </c>
      <c r="BC96" s="220">
        <f t="shared" si="32"/>
        <v>1.7585402793136584E-3</v>
      </c>
      <c r="BD96" s="220">
        <f t="shared" si="32"/>
        <v>1.3683758037568161E-3</v>
      </c>
      <c r="BE96" s="220">
        <f t="shared" si="32"/>
        <v>1.0651913569492688E-3</v>
      </c>
      <c r="BF96" s="220">
        <f t="shared" si="32"/>
        <v>8.294331577112235E-4</v>
      </c>
      <c r="BG96" s="220">
        <f t="shared" si="32"/>
        <v>6.4600732653907755E-4</v>
      </c>
      <c r="BH96" s="220">
        <f t="shared" si="32"/>
        <v>5.0323761585047144E-4</v>
      </c>
    </row>
    <row r="97" spans="1:60" s="9" customFormat="1" ht="13.25" customHeight="1">
      <c r="B97" s="113"/>
      <c r="C97" s="226"/>
      <c r="D97" s="226"/>
      <c r="E97" s="226"/>
      <c r="F97" s="226"/>
      <c r="G97" s="226"/>
      <c r="H97" s="226"/>
      <c r="I97" s="226"/>
      <c r="J97" s="226"/>
      <c r="K97" s="226"/>
      <c r="L97" s="226"/>
      <c r="M97" s="226"/>
      <c r="N97" s="226"/>
      <c r="O97" s="226"/>
      <c r="P97" s="226"/>
      <c r="Q97" s="226"/>
      <c r="R97" s="226"/>
      <c r="S97" s="226"/>
      <c r="T97" s="226"/>
      <c r="U97" s="226"/>
      <c r="V97" s="226"/>
      <c r="W97" s="226"/>
      <c r="X97" s="226"/>
      <c r="Y97" s="226"/>
      <c r="Z97" s="226"/>
      <c r="AA97" s="226"/>
      <c r="AB97" s="226"/>
      <c r="AC97" s="226"/>
      <c r="AD97" s="226"/>
      <c r="AE97" s="226"/>
      <c r="AF97" s="226"/>
      <c r="AG97" s="226"/>
      <c r="AH97" s="226"/>
      <c r="AI97" s="226"/>
      <c r="AJ97" s="226"/>
      <c r="AK97" s="226"/>
      <c r="AL97" s="226"/>
      <c r="AM97" s="226"/>
      <c r="AN97" s="226"/>
      <c r="AO97" s="226"/>
      <c r="AP97" s="226"/>
      <c r="AQ97" s="226"/>
      <c r="AR97" s="226"/>
      <c r="AS97" s="226"/>
      <c r="AT97" s="226"/>
      <c r="AU97" s="226"/>
      <c r="AV97" s="226"/>
      <c r="AW97" s="226"/>
      <c r="AX97" s="226"/>
      <c r="AY97" s="226"/>
      <c r="AZ97" s="226"/>
      <c r="BA97" s="226"/>
      <c r="BB97" s="226"/>
      <c r="BC97" s="226"/>
      <c r="BD97" s="226"/>
      <c r="BE97" s="226"/>
      <c r="BF97" s="226"/>
      <c r="BG97" s="226"/>
      <c r="BH97" s="226"/>
    </row>
    <row r="99" spans="1:60">
      <c r="B99" s="35" t="s">
        <v>2542</v>
      </c>
    </row>
    <row r="100" spans="1:60">
      <c r="B100" s="108"/>
    </row>
    <row r="101" spans="1:60">
      <c r="B101" s="9"/>
    </row>
    <row r="102" spans="1:60">
      <c r="B102" s="34"/>
      <c r="C102" s="387">
        <f>C81</f>
        <v>2020</v>
      </c>
      <c r="D102" s="34">
        <f t="shared" ref="D102:AI102" si="33">C102+1</f>
        <v>2021</v>
      </c>
      <c r="E102" s="34">
        <f t="shared" si="33"/>
        <v>2022</v>
      </c>
      <c r="F102" s="34">
        <f t="shared" si="33"/>
        <v>2023</v>
      </c>
      <c r="G102" s="34">
        <f t="shared" si="33"/>
        <v>2024</v>
      </c>
      <c r="H102" s="34">
        <f t="shared" si="33"/>
        <v>2025</v>
      </c>
      <c r="I102" s="34">
        <f t="shared" si="33"/>
        <v>2026</v>
      </c>
      <c r="J102" s="34">
        <f t="shared" si="33"/>
        <v>2027</v>
      </c>
      <c r="K102" s="34">
        <f t="shared" si="33"/>
        <v>2028</v>
      </c>
      <c r="L102" s="34">
        <f t="shared" si="33"/>
        <v>2029</v>
      </c>
      <c r="M102" s="34">
        <f t="shared" si="33"/>
        <v>2030</v>
      </c>
      <c r="N102" s="34">
        <f t="shared" si="33"/>
        <v>2031</v>
      </c>
      <c r="O102" s="34">
        <f t="shared" si="33"/>
        <v>2032</v>
      </c>
      <c r="P102" s="34">
        <f t="shared" si="33"/>
        <v>2033</v>
      </c>
      <c r="Q102" s="34">
        <f t="shared" si="33"/>
        <v>2034</v>
      </c>
      <c r="R102" s="34">
        <f t="shared" si="33"/>
        <v>2035</v>
      </c>
      <c r="S102" s="34">
        <f t="shared" si="33"/>
        <v>2036</v>
      </c>
      <c r="T102" s="34">
        <f t="shared" si="33"/>
        <v>2037</v>
      </c>
      <c r="U102" s="34">
        <f t="shared" si="33"/>
        <v>2038</v>
      </c>
      <c r="V102" s="34">
        <f t="shared" si="33"/>
        <v>2039</v>
      </c>
      <c r="W102" s="34">
        <f t="shared" si="33"/>
        <v>2040</v>
      </c>
      <c r="X102" s="34">
        <f t="shared" si="33"/>
        <v>2041</v>
      </c>
      <c r="Y102" s="34">
        <f t="shared" si="33"/>
        <v>2042</v>
      </c>
      <c r="Z102" s="34">
        <f t="shared" si="33"/>
        <v>2043</v>
      </c>
      <c r="AA102" s="34">
        <f t="shared" si="33"/>
        <v>2044</v>
      </c>
      <c r="AB102" s="34">
        <f t="shared" si="33"/>
        <v>2045</v>
      </c>
      <c r="AC102" s="34">
        <f t="shared" si="33"/>
        <v>2046</v>
      </c>
      <c r="AD102" s="34">
        <f t="shared" si="33"/>
        <v>2047</v>
      </c>
      <c r="AE102" s="34">
        <f t="shared" si="33"/>
        <v>2048</v>
      </c>
      <c r="AF102" s="34">
        <f t="shared" si="33"/>
        <v>2049</v>
      </c>
      <c r="AG102" s="34">
        <f t="shared" si="33"/>
        <v>2050</v>
      </c>
      <c r="AH102" s="34">
        <f t="shared" si="33"/>
        <v>2051</v>
      </c>
      <c r="AI102" s="34">
        <f t="shared" si="33"/>
        <v>2052</v>
      </c>
      <c r="AJ102" s="34">
        <f t="shared" ref="AJ102:BD102" si="34">AI102+1</f>
        <v>2053</v>
      </c>
      <c r="AK102" s="34">
        <f t="shared" si="34"/>
        <v>2054</v>
      </c>
      <c r="AL102" s="34">
        <f t="shared" si="34"/>
        <v>2055</v>
      </c>
      <c r="AM102" s="34">
        <f t="shared" si="34"/>
        <v>2056</v>
      </c>
      <c r="AN102" s="34">
        <f t="shared" si="34"/>
        <v>2057</v>
      </c>
      <c r="AO102" s="34">
        <f t="shared" si="34"/>
        <v>2058</v>
      </c>
      <c r="AP102" s="34">
        <f t="shared" si="34"/>
        <v>2059</v>
      </c>
      <c r="AQ102" s="34">
        <f t="shared" si="34"/>
        <v>2060</v>
      </c>
      <c r="AR102" s="34">
        <f t="shared" si="34"/>
        <v>2061</v>
      </c>
      <c r="AS102" s="34">
        <f t="shared" si="34"/>
        <v>2062</v>
      </c>
      <c r="AT102" s="34">
        <f t="shared" si="34"/>
        <v>2063</v>
      </c>
      <c r="AU102" s="34">
        <f t="shared" si="34"/>
        <v>2064</v>
      </c>
      <c r="AV102" s="34">
        <f t="shared" si="34"/>
        <v>2065</v>
      </c>
      <c r="AW102" s="34">
        <f t="shared" si="34"/>
        <v>2066</v>
      </c>
      <c r="AX102" s="34">
        <f t="shared" si="34"/>
        <v>2067</v>
      </c>
      <c r="AY102" s="34">
        <f t="shared" si="34"/>
        <v>2068</v>
      </c>
      <c r="AZ102" s="34">
        <f t="shared" si="34"/>
        <v>2069</v>
      </c>
      <c r="BA102" s="34">
        <f t="shared" si="34"/>
        <v>2070</v>
      </c>
      <c r="BB102" s="34">
        <f t="shared" si="34"/>
        <v>2071</v>
      </c>
      <c r="BC102" s="34">
        <f t="shared" si="34"/>
        <v>2072</v>
      </c>
      <c r="BD102" s="34">
        <f t="shared" si="34"/>
        <v>2073</v>
      </c>
      <c r="BE102" s="34"/>
      <c r="BF102" s="34"/>
      <c r="BG102" s="34"/>
      <c r="BH102" s="34"/>
    </row>
    <row r="103" spans="1:60" s="522" customFormat="1" ht="13.25" customHeight="1">
      <c r="B103" s="523" t="s">
        <v>2551</v>
      </c>
      <c r="C103" s="712">
        <v>0</v>
      </c>
      <c r="D103" s="524">
        <f>INDEX($D$96:$BH$96, MATCH(D102, $D$89:$BH$89,0))</f>
        <v>3.8439422994360983E-2</v>
      </c>
      <c r="E103" s="524">
        <f t="shared" ref="E103:BD103" si="35">INDEX($D$96:$BH$96, MATCH(E102, $D$89:$BH$89,0))</f>
        <v>3.1967941068333561E-2</v>
      </c>
      <c r="F103" s="524">
        <f t="shared" si="35"/>
        <v>2.7502371346320054E-2</v>
      </c>
      <c r="G103" s="524">
        <f t="shared" si="35"/>
        <v>2.4666830975591747E-2</v>
      </c>
      <c r="H103" s="524">
        <f t="shared" si="35"/>
        <v>2.2759686842755533E-2</v>
      </c>
      <c r="I103" s="524">
        <f t="shared" si="35"/>
        <v>2.1065653542864826E-2</v>
      </c>
      <c r="J103" s="524">
        <f t="shared" si="35"/>
        <v>1.9823257132959737E-2</v>
      </c>
      <c r="K103" s="524">
        <f t="shared" si="35"/>
        <v>2.0430553140793339E-2</v>
      </c>
      <c r="L103" s="524">
        <f t="shared" si="35"/>
        <v>1.996742010554442E-2</v>
      </c>
      <c r="M103" s="524">
        <f t="shared" si="35"/>
        <v>1.9044895007276574E-2</v>
      </c>
      <c r="N103" s="524">
        <f t="shared" si="35"/>
        <v>1.7974380816321966E-2</v>
      </c>
      <c r="O103" s="524">
        <f t="shared" si="35"/>
        <v>1.6846771123799176E-2</v>
      </c>
      <c r="P103" s="524">
        <f t="shared" si="35"/>
        <v>1.6058817432920369E-2</v>
      </c>
      <c r="Q103" s="524">
        <f t="shared" si="35"/>
        <v>1.5629466656073454E-2</v>
      </c>
      <c r="R103" s="524">
        <f t="shared" si="35"/>
        <v>1.5267451932659881E-2</v>
      </c>
      <c r="S103" s="524">
        <f t="shared" si="35"/>
        <v>1.4682023441217273E-2</v>
      </c>
      <c r="T103" s="524">
        <f t="shared" si="35"/>
        <v>1.416111550405863E-2</v>
      </c>
      <c r="U103" s="524">
        <f t="shared" si="35"/>
        <v>1.4223077880675117E-2</v>
      </c>
      <c r="V103" s="524">
        <f t="shared" si="35"/>
        <v>1.3822903245196638E-2</v>
      </c>
      <c r="W103" s="524">
        <f t="shared" si="35"/>
        <v>1.3308808741161027E-2</v>
      </c>
      <c r="X103" s="524">
        <f t="shared" si="35"/>
        <v>1.2793353467503099E-2</v>
      </c>
      <c r="Y103" s="524">
        <f t="shared" si="35"/>
        <v>1.2509238060021133E-2</v>
      </c>
      <c r="Z103" s="524">
        <f t="shared" si="35"/>
        <v>1.2187653390676845E-2</v>
      </c>
      <c r="AA103" s="524">
        <f t="shared" si="35"/>
        <v>1.179101645275904E-2</v>
      </c>
      <c r="AB103" s="524">
        <f t="shared" si="35"/>
        <v>1.1341290041634533E-2</v>
      </c>
      <c r="AC103" s="524">
        <f t="shared" si="35"/>
        <v>1.0840472522533062E-2</v>
      </c>
      <c r="AD103" s="524">
        <f t="shared" si="35"/>
        <v>1.0307140625104072E-2</v>
      </c>
      <c r="AE103" s="524">
        <f t="shared" si="35"/>
        <v>9.7464901227746203E-3</v>
      </c>
      <c r="AF103" s="524">
        <f t="shared" si="35"/>
        <v>9.2371691033523717E-3</v>
      </c>
      <c r="AG103" s="524">
        <f t="shared" si="35"/>
        <v>8.9226783114038088E-3</v>
      </c>
      <c r="AH103" s="524">
        <f t="shared" si="35"/>
        <v>8.6362430911124388E-3</v>
      </c>
      <c r="AI103" s="524">
        <f t="shared" si="35"/>
        <v>8.4235754835768617E-3</v>
      </c>
      <c r="AJ103" s="524">
        <f t="shared" si="35"/>
        <v>8.0183546964063268E-3</v>
      </c>
      <c r="AK103" s="524">
        <f t="shared" si="35"/>
        <v>7.4724927789999729E-3</v>
      </c>
      <c r="AL103" s="524">
        <f t="shared" si="35"/>
        <v>6.8374457860040927E-3</v>
      </c>
      <c r="AM103" s="524">
        <f t="shared" si="35"/>
        <v>6.2747534837204189E-3</v>
      </c>
      <c r="AN103" s="524">
        <f t="shared" si="35"/>
        <v>5.7357891009652828E-3</v>
      </c>
      <c r="AO103" s="524">
        <f t="shared" si="35"/>
        <v>5.1820043282029271E-3</v>
      </c>
      <c r="AP103" s="524">
        <f t="shared" si="35"/>
        <v>4.8442628326819115E-3</v>
      </c>
      <c r="AQ103" s="524">
        <f t="shared" si="35"/>
        <v>4.7431340769497066E-3</v>
      </c>
      <c r="AR103" s="524">
        <f t="shared" si="35"/>
        <v>4.8288780613892079E-3</v>
      </c>
      <c r="AS103" s="524">
        <f t="shared" si="35"/>
        <v>3.7460213684492594E-3</v>
      </c>
      <c r="AT103" s="524">
        <f t="shared" si="35"/>
        <v>2.9091260085147841E-3</v>
      </c>
      <c r="AU103" s="524">
        <f t="shared" si="35"/>
        <v>2.261085939722518E-3</v>
      </c>
      <c r="AV103" s="524">
        <f t="shared" si="35"/>
        <v>1.7585402793136584E-3</v>
      </c>
      <c r="AW103" s="524">
        <f t="shared" si="35"/>
        <v>1.3683758037568161E-3</v>
      </c>
      <c r="AX103" s="524">
        <f t="shared" si="35"/>
        <v>1.0651913569492688E-3</v>
      </c>
      <c r="AY103" s="524">
        <f t="shared" si="35"/>
        <v>8.294331577112235E-4</v>
      </c>
      <c r="AZ103" s="524">
        <f t="shared" si="35"/>
        <v>6.4600732653907755E-4</v>
      </c>
      <c r="BA103" s="524">
        <f t="shared" si="35"/>
        <v>5.0323761585047144E-4</v>
      </c>
      <c r="BB103" s="524" t="e">
        <f t="shared" si="35"/>
        <v>#N/A</v>
      </c>
      <c r="BC103" s="524" t="e">
        <f t="shared" si="35"/>
        <v>#N/A</v>
      </c>
      <c r="BD103" s="524" t="e">
        <f t="shared" si="35"/>
        <v>#N/A</v>
      </c>
      <c r="BE103" s="524"/>
      <c r="BF103" s="524"/>
      <c r="BG103" s="524"/>
    </row>
    <row r="106" spans="1:60" s="20" customFormat="1"/>
    <row r="108" spans="1:60">
      <c r="A108" s="227" t="s">
        <v>10</v>
      </c>
      <c r="B108" s="443" t="s">
        <v>2547</v>
      </c>
    </row>
    <row r="110" spans="1:60">
      <c r="B110" s="34" t="s">
        <v>2548</v>
      </c>
      <c r="C110" s="34">
        <f>C89</f>
        <v>2013</v>
      </c>
      <c r="D110" s="34">
        <f t="shared" ref="D110:BH110" si="36">D89</f>
        <v>2014</v>
      </c>
      <c r="E110" s="34">
        <f t="shared" si="36"/>
        <v>2015</v>
      </c>
      <c r="F110" s="34">
        <f t="shared" si="36"/>
        <v>2016</v>
      </c>
      <c r="G110" s="34">
        <f t="shared" si="36"/>
        <v>2017</v>
      </c>
      <c r="H110" s="34">
        <f t="shared" si="36"/>
        <v>2018</v>
      </c>
      <c r="I110" s="34">
        <f t="shared" si="36"/>
        <v>2019</v>
      </c>
      <c r="J110" s="34">
        <f t="shared" si="36"/>
        <v>2020</v>
      </c>
      <c r="K110" s="34">
        <f t="shared" si="36"/>
        <v>2021</v>
      </c>
      <c r="L110" s="34">
        <f t="shared" si="36"/>
        <v>2022</v>
      </c>
      <c r="M110" s="34">
        <f t="shared" si="36"/>
        <v>2023</v>
      </c>
      <c r="N110" s="34">
        <f t="shared" si="36"/>
        <v>2024</v>
      </c>
      <c r="O110" s="34">
        <f t="shared" si="36"/>
        <v>2025</v>
      </c>
      <c r="P110" s="34">
        <f t="shared" si="36"/>
        <v>2026</v>
      </c>
      <c r="Q110" s="34">
        <f t="shared" si="36"/>
        <v>2027</v>
      </c>
      <c r="R110" s="34">
        <f t="shared" si="36"/>
        <v>2028</v>
      </c>
      <c r="S110" s="34">
        <f t="shared" si="36"/>
        <v>2029</v>
      </c>
      <c r="T110" s="34">
        <f t="shared" si="36"/>
        <v>2030</v>
      </c>
      <c r="U110" s="34">
        <f t="shared" si="36"/>
        <v>2031</v>
      </c>
      <c r="V110" s="34">
        <f t="shared" si="36"/>
        <v>2032</v>
      </c>
      <c r="W110" s="34">
        <f t="shared" si="36"/>
        <v>2033</v>
      </c>
      <c r="X110" s="34">
        <f t="shared" si="36"/>
        <v>2034</v>
      </c>
      <c r="Y110" s="34">
        <f t="shared" si="36"/>
        <v>2035</v>
      </c>
      <c r="Z110" s="34">
        <f t="shared" si="36"/>
        <v>2036</v>
      </c>
      <c r="AA110" s="34">
        <f t="shared" si="36"/>
        <v>2037</v>
      </c>
      <c r="AB110" s="34">
        <f t="shared" si="36"/>
        <v>2038</v>
      </c>
      <c r="AC110" s="34">
        <f t="shared" si="36"/>
        <v>2039</v>
      </c>
      <c r="AD110" s="34">
        <f t="shared" si="36"/>
        <v>2040</v>
      </c>
      <c r="AE110" s="34">
        <f t="shared" si="36"/>
        <v>2041</v>
      </c>
      <c r="AF110" s="34">
        <f t="shared" si="36"/>
        <v>2042</v>
      </c>
      <c r="AG110" s="34">
        <f t="shared" si="36"/>
        <v>2043</v>
      </c>
      <c r="AH110" s="34">
        <f t="shared" si="36"/>
        <v>2044</v>
      </c>
      <c r="AI110" s="34">
        <f t="shared" si="36"/>
        <v>2045</v>
      </c>
      <c r="AJ110" s="34">
        <f t="shared" si="36"/>
        <v>2046</v>
      </c>
      <c r="AK110" s="34">
        <f t="shared" si="36"/>
        <v>2047</v>
      </c>
      <c r="AL110" s="34">
        <f t="shared" si="36"/>
        <v>2048</v>
      </c>
      <c r="AM110" s="34">
        <f t="shared" si="36"/>
        <v>2049</v>
      </c>
      <c r="AN110" s="34">
        <f t="shared" si="36"/>
        <v>2050</v>
      </c>
      <c r="AO110" s="34">
        <f t="shared" si="36"/>
        <v>2051</v>
      </c>
      <c r="AP110" s="34">
        <f t="shared" si="36"/>
        <v>2052</v>
      </c>
      <c r="AQ110" s="34">
        <f t="shared" si="36"/>
        <v>2053</v>
      </c>
      <c r="AR110" s="34">
        <f t="shared" si="36"/>
        <v>2054</v>
      </c>
      <c r="AS110" s="34">
        <f t="shared" si="36"/>
        <v>2055</v>
      </c>
      <c r="AT110" s="34">
        <f t="shared" si="36"/>
        <v>2056</v>
      </c>
      <c r="AU110" s="34">
        <f t="shared" si="36"/>
        <v>2057</v>
      </c>
      <c r="AV110" s="34">
        <f t="shared" si="36"/>
        <v>2058</v>
      </c>
      <c r="AW110" s="34">
        <f t="shared" si="36"/>
        <v>2059</v>
      </c>
      <c r="AX110" s="34">
        <f t="shared" si="36"/>
        <v>2060</v>
      </c>
      <c r="AY110" s="34">
        <f t="shared" si="36"/>
        <v>2061</v>
      </c>
      <c r="AZ110" s="34">
        <f t="shared" si="36"/>
        <v>2062</v>
      </c>
      <c r="BA110" s="34">
        <f t="shared" si="36"/>
        <v>2063</v>
      </c>
      <c r="BB110" s="34">
        <f t="shared" si="36"/>
        <v>2064</v>
      </c>
      <c r="BC110" s="34">
        <f t="shared" si="36"/>
        <v>2065</v>
      </c>
      <c r="BD110" s="34">
        <f t="shared" si="36"/>
        <v>2066</v>
      </c>
      <c r="BE110" s="34">
        <f t="shared" si="36"/>
        <v>2067</v>
      </c>
      <c r="BF110" s="34">
        <f t="shared" si="36"/>
        <v>2068</v>
      </c>
      <c r="BG110" s="34">
        <f t="shared" si="36"/>
        <v>2069</v>
      </c>
      <c r="BH110" s="34">
        <f t="shared" si="36"/>
        <v>2070</v>
      </c>
    </row>
    <row r="111" spans="1:60" s="9" customFormat="1" ht="13.25" customHeight="1">
      <c r="B111" s="5" t="s">
        <v>22</v>
      </c>
      <c r="C111" s="224">
        <f>C11</f>
        <v>1000</v>
      </c>
      <c r="D111" s="224">
        <f t="shared" ref="D111:AI111" si="37">C114+C115+D57</f>
        <v>1405.897235586543</v>
      </c>
      <c r="E111" s="224">
        <f t="shared" si="37"/>
        <v>1819.8868670088282</v>
      </c>
      <c r="F111" s="224">
        <f t="shared" si="37"/>
        <v>2239.7338220261372</v>
      </c>
      <c r="G111" s="224">
        <f t="shared" si="37"/>
        <v>2666.923153019301</v>
      </c>
      <c r="H111" s="224">
        <f t="shared" si="37"/>
        <v>3102.8667967158426</v>
      </c>
      <c r="I111" s="224">
        <f t="shared" si="37"/>
        <v>3546.110617285251</v>
      </c>
      <c r="J111" s="224">
        <f t="shared" si="37"/>
        <v>3997.7864102655922</v>
      </c>
      <c r="K111" s="224">
        <f t="shared" si="37"/>
        <v>4455.9824349682549</v>
      </c>
      <c r="L111" s="224">
        <f t="shared" si="37"/>
        <v>4919.8997118547695</v>
      </c>
      <c r="M111" s="224">
        <f t="shared" si="37"/>
        <v>5390.1795363895526</v>
      </c>
      <c r="N111" s="224">
        <f t="shared" si="37"/>
        <v>5867.8683379559834</v>
      </c>
      <c r="O111" s="224">
        <f t="shared" si="37"/>
        <v>6353.5326240292734</v>
      </c>
      <c r="P111" s="224">
        <f t="shared" si="37"/>
        <v>6846.7913894922667</v>
      </c>
      <c r="Q111" s="224">
        <f t="shared" si="37"/>
        <v>7347.8506528388461</v>
      </c>
      <c r="R111" s="224">
        <f t="shared" si="37"/>
        <v>7860.133817472687</v>
      </c>
      <c r="S111" s="224">
        <f t="shared" si="37"/>
        <v>8381.8783462187021</v>
      </c>
      <c r="T111" s="224">
        <f t="shared" si="37"/>
        <v>8911.9991883467574</v>
      </c>
      <c r="U111" s="224">
        <f t="shared" si="37"/>
        <v>9449.8019236965538</v>
      </c>
      <c r="V111" s="224">
        <f t="shared" si="37"/>
        <v>9994.6826588160129</v>
      </c>
      <c r="W111" s="224">
        <f t="shared" si="37"/>
        <v>10546.903482800186</v>
      </c>
      <c r="X111" s="224">
        <f t="shared" si="37"/>
        <v>11106.973952186068</v>
      </c>
      <c r="Y111" s="224">
        <f t="shared" si="37"/>
        <v>11674.925948940403</v>
      </c>
      <c r="Z111" s="224">
        <f t="shared" si="37"/>
        <v>12250.117326359008</v>
      </c>
      <c r="AA111" s="224">
        <f t="shared" si="37"/>
        <v>12832.460972787396</v>
      </c>
      <c r="AB111" s="224">
        <f t="shared" si="37"/>
        <v>13423.207200494391</v>
      </c>
      <c r="AC111" s="224">
        <f t="shared" si="37"/>
        <v>14021.334181700118</v>
      </c>
      <c r="AD111" s="224">
        <f t="shared" si="37"/>
        <v>14626.398609770717</v>
      </c>
      <c r="AE111" s="224">
        <f t="shared" si="37"/>
        <v>15238.164045618756</v>
      </c>
      <c r="AF111" s="224">
        <f t="shared" si="37"/>
        <v>15857.00144524775</v>
      </c>
      <c r="AG111" s="224">
        <f t="shared" si="37"/>
        <v>16482.715264945869</v>
      </c>
      <c r="AH111" s="224">
        <f t="shared" si="37"/>
        <v>17114.975483402839</v>
      </c>
      <c r="AI111" s="224">
        <f t="shared" si="37"/>
        <v>17753.452173550915</v>
      </c>
      <c r="AJ111" s="224">
        <f t="shared" ref="AJ111:BH111" si="38">AI114+AI115+AJ57</f>
        <v>18397.775150160258</v>
      </c>
      <c r="AK111" s="224">
        <f t="shared" si="38"/>
        <v>19047.581368629224</v>
      </c>
      <c r="AL111" s="224">
        <f t="shared" si="38"/>
        <v>19702.490526521418</v>
      </c>
      <c r="AM111" s="224">
        <f t="shared" si="38"/>
        <v>20362.319926322652</v>
      </c>
      <c r="AN111" s="224">
        <f t="shared" si="38"/>
        <v>21027.33268763842</v>
      </c>
      <c r="AO111" s="224">
        <f t="shared" si="38"/>
        <v>21697.441464302476</v>
      </c>
      <c r="AP111" s="224">
        <f t="shared" si="38"/>
        <v>22372.710145716232</v>
      </c>
      <c r="AQ111" s="224">
        <f t="shared" si="38"/>
        <v>23052.461632686798</v>
      </c>
      <c r="AR111" s="224">
        <f t="shared" si="38"/>
        <v>23736.026865855994</v>
      </c>
      <c r="AS111" s="224">
        <f t="shared" si="38"/>
        <v>24422.781646719694</v>
      </c>
      <c r="AT111" s="224">
        <f t="shared" si="38"/>
        <v>25112.520638647406</v>
      </c>
      <c r="AU111" s="224">
        <f t="shared" si="38"/>
        <v>25804.938018034059</v>
      </c>
      <c r="AV111" s="224">
        <f t="shared" si="38"/>
        <v>26499.622321832358</v>
      </c>
      <c r="AW111" s="224">
        <f t="shared" si="38"/>
        <v>27196.861474536559</v>
      </c>
      <c r="AX111" s="224">
        <f t="shared" si="38"/>
        <v>27897.163818026242</v>
      </c>
      <c r="AY111" s="224">
        <f t="shared" si="38"/>
        <v>28601.055640088747</v>
      </c>
      <c r="AZ111" s="224">
        <f t="shared" si="38"/>
        <v>29304.947462151253</v>
      </c>
      <c r="BA111" s="224">
        <f t="shared" si="38"/>
        <v>30008.839284213758</v>
      </c>
      <c r="BB111" s="224">
        <f t="shared" si="38"/>
        <v>30712.731106276264</v>
      </c>
      <c r="BC111" s="224">
        <f t="shared" si="38"/>
        <v>31416.622928338769</v>
      </c>
      <c r="BD111" s="224">
        <f t="shared" si="38"/>
        <v>32120.514750401275</v>
      </c>
      <c r="BE111" s="224">
        <f t="shared" si="38"/>
        <v>32824.406572463777</v>
      </c>
      <c r="BF111" s="224">
        <f t="shared" si="38"/>
        <v>33528.298394526282</v>
      </c>
      <c r="BG111" s="224">
        <f t="shared" si="38"/>
        <v>34232.190216588788</v>
      </c>
      <c r="BH111" s="224">
        <f t="shared" si="38"/>
        <v>34936.082038651293</v>
      </c>
    </row>
    <row r="112" spans="1:60" ht="13.25" customHeight="1">
      <c r="B112" s="6"/>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2:60" ht="13.25" customHeight="1">
      <c r="B113" s="6" t="s">
        <v>97</v>
      </c>
      <c r="C113" s="214">
        <f t="shared" ref="C113:AH113" si="39">C111*$C$30</f>
        <v>0</v>
      </c>
      <c r="D113" s="214">
        <f t="shared" si="39"/>
        <v>0</v>
      </c>
      <c r="E113" s="214">
        <f t="shared" si="39"/>
        <v>0</v>
      </c>
      <c r="F113" s="214">
        <f t="shared" si="39"/>
        <v>0</v>
      </c>
      <c r="G113" s="214">
        <f t="shared" si="39"/>
        <v>0</v>
      </c>
      <c r="H113" s="214">
        <f t="shared" si="39"/>
        <v>0</v>
      </c>
      <c r="I113" s="214">
        <f t="shared" si="39"/>
        <v>0</v>
      </c>
      <c r="J113" s="214">
        <f t="shared" si="39"/>
        <v>0</v>
      </c>
      <c r="K113" s="214">
        <f t="shared" si="39"/>
        <v>0</v>
      </c>
      <c r="L113" s="214">
        <f t="shared" si="39"/>
        <v>0</v>
      </c>
      <c r="M113" s="214">
        <f t="shared" si="39"/>
        <v>0</v>
      </c>
      <c r="N113" s="214">
        <f t="shared" si="39"/>
        <v>0</v>
      </c>
      <c r="O113" s="214">
        <f t="shared" si="39"/>
        <v>0</v>
      </c>
      <c r="P113" s="214">
        <f t="shared" si="39"/>
        <v>0</v>
      </c>
      <c r="Q113" s="214">
        <f t="shared" si="39"/>
        <v>0</v>
      </c>
      <c r="R113" s="214">
        <f t="shared" si="39"/>
        <v>0</v>
      </c>
      <c r="S113" s="214">
        <f t="shared" si="39"/>
        <v>0</v>
      </c>
      <c r="T113" s="214">
        <f t="shared" si="39"/>
        <v>0</v>
      </c>
      <c r="U113" s="214">
        <f t="shared" si="39"/>
        <v>0</v>
      </c>
      <c r="V113" s="214">
        <f t="shared" si="39"/>
        <v>0</v>
      </c>
      <c r="W113" s="214">
        <f t="shared" si="39"/>
        <v>0</v>
      </c>
      <c r="X113" s="214">
        <f t="shared" si="39"/>
        <v>0</v>
      </c>
      <c r="Y113" s="214">
        <f t="shared" si="39"/>
        <v>0</v>
      </c>
      <c r="Z113" s="214">
        <f t="shared" si="39"/>
        <v>0</v>
      </c>
      <c r="AA113" s="214">
        <f t="shared" si="39"/>
        <v>0</v>
      </c>
      <c r="AB113" s="214">
        <f t="shared" si="39"/>
        <v>0</v>
      </c>
      <c r="AC113" s="214">
        <f t="shared" si="39"/>
        <v>0</v>
      </c>
      <c r="AD113" s="214">
        <f t="shared" si="39"/>
        <v>0</v>
      </c>
      <c r="AE113" s="214">
        <f t="shared" si="39"/>
        <v>0</v>
      </c>
      <c r="AF113" s="214">
        <f t="shared" si="39"/>
        <v>0</v>
      </c>
      <c r="AG113" s="214">
        <f t="shared" si="39"/>
        <v>0</v>
      </c>
      <c r="AH113" s="214">
        <f t="shared" si="39"/>
        <v>0</v>
      </c>
      <c r="AI113" s="214">
        <f t="shared" ref="AI113:BH113" si="40">AI111*$C$30</f>
        <v>0</v>
      </c>
      <c r="AJ113" s="214">
        <f t="shared" si="40"/>
        <v>0</v>
      </c>
      <c r="AK113" s="214">
        <f t="shared" si="40"/>
        <v>0</v>
      </c>
      <c r="AL113" s="214">
        <f t="shared" si="40"/>
        <v>0</v>
      </c>
      <c r="AM113" s="214">
        <f t="shared" si="40"/>
        <v>0</v>
      </c>
      <c r="AN113" s="214">
        <f t="shared" si="40"/>
        <v>0</v>
      </c>
      <c r="AO113" s="214">
        <f t="shared" si="40"/>
        <v>0</v>
      </c>
      <c r="AP113" s="214">
        <f t="shared" si="40"/>
        <v>0</v>
      </c>
      <c r="AQ113" s="214">
        <f t="shared" si="40"/>
        <v>0</v>
      </c>
      <c r="AR113" s="214">
        <f t="shared" si="40"/>
        <v>0</v>
      </c>
      <c r="AS113" s="214">
        <f t="shared" si="40"/>
        <v>0</v>
      </c>
      <c r="AT113" s="214">
        <f t="shared" si="40"/>
        <v>0</v>
      </c>
      <c r="AU113" s="214">
        <f t="shared" si="40"/>
        <v>0</v>
      </c>
      <c r="AV113" s="214">
        <f t="shared" si="40"/>
        <v>0</v>
      </c>
      <c r="AW113" s="214">
        <f t="shared" si="40"/>
        <v>0</v>
      </c>
      <c r="AX113" s="214">
        <f t="shared" si="40"/>
        <v>0</v>
      </c>
      <c r="AY113" s="214">
        <f t="shared" si="40"/>
        <v>0</v>
      </c>
      <c r="AZ113" s="214">
        <f t="shared" si="40"/>
        <v>0</v>
      </c>
      <c r="BA113" s="214">
        <f t="shared" si="40"/>
        <v>0</v>
      </c>
      <c r="BB113" s="214">
        <f t="shared" si="40"/>
        <v>0</v>
      </c>
      <c r="BC113" s="214">
        <f t="shared" si="40"/>
        <v>0</v>
      </c>
      <c r="BD113" s="214">
        <f t="shared" si="40"/>
        <v>0</v>
      </c>
      <c r="BE113" s="214">
        <f t="shared" si="40"/>
        <v>0</v>
      </c>
      <c r="BF113" s="214">
        <f t="shared" si="40"/>
        <v>0</v>
      </c>
      <c r="BG113" s="214">
        <f t="shared" si="40"/>
        <v>0</v>
      </c>
      <c r="BH113" s="214">
        <f t="shared" si="40"/>
        <v>0</v>
      </c>
    </row>
    <row r="114" spans="2:60" ht="22.25" customHeight="1">
      <c r="B114" s="6" t="s">
        <v>98</v>
      </c>
      <c r="C114" s="214">
        <f t="shared" ref="C114:AH114" si="41">C111*(1-$C$30)</f>
        <v>1000</v>
      </c>
      <c r="D114" s="214">
        <f t="shared" si="41"/>
        <v>1405.897235586543</v>
      </c>
      <c r="E114" s="214">
        <f t="shared" si="41"/>
        <v>1819.8868670088282</v>
      </c>
      <c r="F114" s="214">
        <f t="shared" si="41"/>
        <v>2239.7338220261372</v>
      </c>
      <c r="G114" s="214">
        <f t="shared" si="41"/>
        <v>2666.923153019301</v>
      </c>
      <c r="H114" s="214">
        <f t="shared" si="41"/>
        <v>3102.8667967158426</v>
      </c>
      <c r="I114" s="214">
        <f t="shared" si="41"/>
        <v>3546.110617285251</v>
      </c>
      <c r="J114" s="214">
        <f t="shared" si="41"/>
        <v>3997.7864102655922</v>
      </c>
      <c r="K114" s="214">
        <f t="shared" si="41"/>
        <v>4455.9824349682549</v>
      </c>
      <c r="L114" s="214">
        <f t="shared" si="41"/>
        <v>4919.8997118547695</v>
      </c>
      <c r="M114" s="214">
        <f t="shared" si="41"/>
        <v>5390.1795363895526</v>
      </c>
      <c r="N114" s="214">
        <f t="shared" si="41"/>
        <v>5867.8683379559834</v>
      </c>
      <c r="O114" s="214">
        <f t="shared" si="41"/>
        <v>6353.5326240292734</v>
      </c>
      <c r="P114" s="214">
        <f t="shared" si="41"/>
        <v>6846.7913894922667</v>
      </c>
      <c r="Q114" s="214">
        <f t="shared" si="41"/>
        <v>7347.8506528388461</v>
      </c>
      <c r="R114" s="214">
        <f t="shared" si="41"/>
        <v>7860.133817472687</v>
      </c>
      <c r="S114" s="214">
        <f t="shared" si="41"/>
        <v>8381.8783462187021</v>
      </c>
      <c r="T114" s="214">
        <f t="shared" si="41"/>
        <v>8911.9991883467574</v>
      </c>
      <c r="U114" s="214">
        <f t="shared" si="41"/>
        <v>9449.8019236965538</v>
      </c>
      <c r="V114" s="214">
        <f t="shared" si="41"/>
        <v>9994.6826588160129</v>
      </c>
      <c r="W114" s="214">
        <f t="shared" si="41"/>
        <v>10546.903482800186</v>
      </c>
      <c r="X114" s="214">
        <f t="shared" si="41"/>
        <v>11106.973952186068</v>
      </c>
      <c r="Y114" s="214">
        <f t="shared" si="41"/>
        <v>11674.925948940403</v>
      </c>
      <c r="Z114" s="214">
        <f t="shared" si="41"/>
        <v>12250.117326359008</v>
      </c>
      <c r="AA114" s="214">
        <f t="shared" si="41"/>
        <v>12832.460972787396</v>
      </c>
      <c r="AB114" s="214">
        <f t="shared" si="41"/>
        <v>13423.207200494391</v>
      </c>
      <c r="AC114" s="214">
        <f t="shared" si="41"/>
        <v>14021.334181700118</v>
      </c>
      <c r="AD114" s="214">
        <f t="shared" si="41"/>
        <v>14626.398609770717</v>
      </c>
      <c r="AE114" s="214">
        <f t="shared" si="41"/>
        <v>15238.164045618756</v>
      </c>
      <c r="AF114" s="214">
        <f t="shared" si="41"/>
        <v>15857.00144524775</v>
      </c>
      <c r="AG114" s="214">
        <f t="shared" si="41"/>
        <v>16482.715264945869</v>
      </c>
      <c r="AH114" s="214">
        <f t="shared" si="41"/>
        <v>17114.975483402839</v>
      </c>
      <c r="AI114" s="214">
        <f t="shared" ref="AI114:BH114" si="42">AI111*(1-$C$30)</f>
        <v>17753.452173550915</v>
      </c>
      <c r="AJ114" s="214">
        <f t="shared" si="42"/>
        <v>18397.775150160258</v>
      </c>
      <c r="AK114" s="214">
        <f t="shared" si="42"/>
        <v>19047.581368629224</v>
      </c>
      <c r="AL114" s="214">
        <f t="shared" si="42"/>
        <v>19702.490526521418</v>
      </c>
      <c r="AM114" s="214">
        <f t="shared" si="42"/>
        <v>20362.319926322652</v>
      </c>
      <c r="AN114" s="214">
        <f t="shared" si="42"/>
        <v>21027.33268763842</v>
      </c>
      <c r="AO114" s="214">
        <f t="shared" si="42"/>
        <v>21697.441464302476</v>
      </c>
      <c r="AP114" s="214">
        <f t="shared" si="42"/>
        <v>22372.710145716232</v>
      </c>
      <c r="AQ114" s="214">
        <f t="shared" si="42"/>
        <v>23052.461632686798</v>
      </c>
      <c r="AR114" s="214">
        <f t="shared" si="42"/>
        <v>23736.026865855994</v>
      </c>
      <c r="AS114" s="214">
        <f t="shared" si="42"/>
        <v>24422.781646719694</v>
      </c>
      <c r="AT114" s="214">
        <f t="shared" si="42"/>
        <v>25112.520638647406</v>
      </c>
      <c r="AU114" s="214">
        <f t="shared" si="42"/>
        <v>25804.938018034059</v>
      </c>
      <c r="AV114" s="214">
        <f t="shared" si="42"/>
        <v>26499.622321832358</v>
      </c>
      <c r="AW114" s="214">
        <f t="shared" si="42"/>
        <v>27196.861474536559</v>
      </c>
      <c r="AX114" s="214">
        <f t="shared" si="42"/>
        <v>27897.163818026242</v>
      </c>
      <c r="AY114" s="214">
        <f t="shared" si="42"/>
        <v>28601.055640088747</v>
      </c>
      <c r="AZ114" s="214">
        <f t="shared" si="42"/>
        <v>29304.947462151253</v>
      </c>
      <c r="BA114" s="214">
        <f t="shared" si="42"/>
        <v>30008.839284213758</v>
      </c>
      <c r="BB114" s="214">
        <f t="shared" si="42"/>
        <v>30712.731106276264</v>
      </c>
      <c r="BC114" s="214">
        <f t="shared" si="42"/>
        <v>31416.622928338769</v>
      </c>
      <c r="BD114" s="214">
        <f t="shared" si="42"/>
        <v>32120.514750401275</v>
      </c>
      <c r="BE114" s="214">
        <f t="shared" si="42"/>
        <v>32824.406572463777</v>
      </c>
      <c r="BF114" s="214">
        <f t="shared" si="42"/>
        <v>33528.298394526282</v>
      </c>
      <c r="BG114" s="214">
        <f t="shared" si="42"/>
        <v>34232.190216588788</v>
      </c>
      <c r="BH114" s="214">
        <f t="shared" si="42"/>
        <v>34936.082038651293</v>
      </c>
    </row>
    <row r="115" spans="2:60">
      <c r="B115" s="6" t="s">
        <v>2534</v>
      </c>
      <c r="C115" s="214">
        <f t="shared" ref="C115:AH115" si="43">C113*$C$25</f>
        <v>0</v>
      </c>
      <c r="D115" s="214">
        <f t="shared" si="43"/>
        <v>0</v>
      </c>
      <c r="E115" s="214">
        <f t="shared" si="43"/>
        <v>0</v>
      </c>
      <c r="F115" s="214">
        <f t="shared" si="43"/>
        <v>0</v>
      </c>
      <c r="G115" s="214">
        <f t="shared" si="43"/>
        <v>0</v>
      </c>
      <c r="H115" s="214">
        <f t="shared" si="43"/>
        <v>0</v>
      </c>
      <c r="I115" s="214">
        <f t="shared" si="43"/>
        <v>0</v>
      </c>
      <c r="J115" s="214">
        <f t="shared" si="43"/>
        <v>0</v>
      </c>
      <c r="K115" s="214">
        <f t="shared" si="43"/>
        <v>0</v>
      </c>
      <c r="L115" s="214">
        <f t="shared" si="43"/>
        <v>0</v>
      </c>
      <c r="M115" s="214">
        <f t="shared" si="43"/>
        <v>0</v>
      </c>
      <c r="N115" s="214">
        <f t="shared" si="43"/>
        <v>0</v>
      </c>
      <c r="O115" s="214">
        <f t="shared" si="43"/>
        <v>0</v>
      </c>
      <c r="P115" s="214">
        <f t="shared" si="43"/>
        <v>0</v>
      </c>
      <c r="Q115" s="214">
        <f t="shared" si="43"/>
        <v>0</v>
      </c>
      <c r="R115" s="214">
        <f t="shared" si="43"/>
        <v>0</v>
      </c>
      <c r="S115" s="214">
        <f t="shared" si="43"/>
        <v>0</v>
      </c>
      <c r="T115" s="214">
        <f t="shared" si="43"/>
        <v>0</v>
      </c>
      <c r="U115" s="214">
        <f t="shared" si="43"/>
        <v>0</v>
      </c>
      <c r="V115" s="214">
        <f t="shared" si="43"/>
        <v>0</v>
      </c>
      <c r="W115" s="214">
        <f t="shared" si="43"/>
        <v>0</v>
      </c>
      <c r="X115" s="214">
        <f t="shared" si="43"/>
        <v>0</v>
      </c>
      <c r="Y115" s="214">
        <f t="shared" si="43"/>
        <v>0</v>
      </c>
      <c r="Z115" s="214">
        <f t="shared" si="43"/>
        <v>0</v>
      </c>
      <c r="AA115" s="214">
        <f t="shared" si="43"/>
        <v>0</v>
      </c>
      <c r="AB115" s="214">
        <f t="shared" si="43"/>
        <v>0</v>
      </c>
      <c r="AC115" s="214">
        <f t="shared" si="43"/>
        <v>0</v>
      </c>
      <c r="AD115" s="214">
        <f t="shared" si="43"/>
        <v>0</v>
      </c>
      <c r="AE115" s="214">
        <f t="shared" si="43"/>
        <v>0</v>
      </c>
      <c r="AF115" s="214">
        <f t="shared" si="43"/>
        <v>0</v>
      </c>
      <c r="AG115" s="214">
        <f t="shared" si="43"/>
        <v>0</v>
      </c>
      <c r="AH115" s="214">
        <f t="shared" si="43"/>
        <v>0</v>
      </c>
      <c r="AI115" s="214">
        <f t="shared" ref="AI115:BH115" si="44">AI113*$C$25</f>
        <v>0</v>
      </c>
      <c r="AJ115" s="214">
        <f t="shared" si="44"/>
        <v>0</v>
      </c>
      <c r="AK115" s="214">
        <f t="shared" si="44"/>
        <v>0</v>
      </c>
      <c r="AL115" s="214">
        <f t="shared" si="44"/>
        <v>0</v>
      </c>
      <c r="AM115" s="214">
        <f t="shared" si="44"/>
        <v>0</v>
      </c>
      <c r="AN115" s="214">
        <f t="shared" si="44"/>
        <v>0</v>
      </c>
      <c r="AO115" s="214">
        <f t="shared" si="44"/>
        <v>0</v>
      </c>
      <c r="AP115" s="214">
        <f t="shared" si="44"/>
        <v>0</v>
      </c>
      <c r="AQ115" s="214">
        <f t="shared" si="44"/>
        <v>0</v>
      </c>
      <c r="AR115" s="214">
        <f t="shared" si="44"/>
        <v>0</v>
      </c>
      <c r="AS115" s="214">
        <f t="shared" si="44"/>
        <v>0</v>
      </c>
      <c r="AT115" s="214">
        <f t="shared" si="44"/>
        <v>0</v>
      </c>
      <c r="AU115" s="214">
        <f t="shared" si="44"/>
        <v>0</v>
      </c>
      <c r="AV115" s="214">
        <f t="shared" si="44"/>
        <v>0</v>
      </c>
      <c r="AW115" s="214">
        <f t="shared" si="44"/>
        <v>0</v>
      </c>
      <c r="AX115" s="214">
        <f t="shared" si="44"/>
        <v>0</v>
      </c>
      <c r="AY115" s="214">
        <f t="shared" si="44"/>
        <v>0</v>
      </c>
      <c r="AZ115" s="214">
        <f t="shared" si="44"/>
        <v>0</v>
      </c>
      <c r="BA115" s="214">
        <f t="shared" si="44"/>
        <v>0</v>
      </c>
      <c r="BB115" s="214">
        <f t="shared" si="44"/>
        <v>0</v>
      </c>
      <c r="BC115" s="214">
        <f t="shared" si="44"/>
        <v>0</v>
      </c>
      <c r="BD115" s="214">
        <f t="shared" si="44"/>
        <v>0</v>
      </c>
      <c r="BE115" s="214">
        <f t="shared" si="44"/>
        <v>0</v>
      </c>
      <c r="BF115" s="214">
        <f t="shared" si="44"/>
        <v>0</v>
      </c>
      <c r="BG115" s="214">
        <f t="shared" si="44"/>
        <v>0</v>
      </c>
      <c r="BH115" s="214">
        <f t="shared" si="44"/>
        <v>0</v>
      </c>
    </row>
    <row r="116" spans="2:60">
      <c r="B116" s="52"/>
      <c r="C116" s="219"/>
      <c r="D116" s="219"/>
      <c r="E116" s="219"/>
      <c r="F116" s="219"/>
      <c r="G116" s="219"/>
      <c r="H116" s="219"/>
      <c r="I116" s="219"/>
      <c r="J116" s="219"/>
      <c r="K116" s="219"/>
      <c r="L116" s="219"/>
      <c r="M116" s="219"/>
      <c r="N116" s="219"/>
      <c r="O116" s="219"/>
      <c r="P116" s="219"/>
      <c r="Q116" s="219"/>
      <c r="R116" s="219"/>
      <c r="S116" s="219"/>
      <c r="T116" s="219"/>
      <c r="U116" s="219"/>
      <c r="V116" s="219"/>
      <c r="W116" s="219"/>
      <c r="X116" s="219"/>
      <c r="Y116" s="219"/>
      <c r="Z116" s="219"/>
      <c r="AA116" s="219"/>
      <c r="AB116" s="219"/>
      <c r="AC116" s="219"/>
      <c r="AD116" s="219"/>
      <c r="AE116" s="219"/>
      <c r="AF116" s="219"/>
      <c r="AG116" s="219"/>
      <c r="AH116" s="219"/>
      <c r="AI116" s="219"/>
      <c r="AJ116" s="219"/>
      <c r="AK116" s="219"/>
      <c r="AL116" s="219"/>
      <c r="AM116" s="219"/>
      <c r="AN116" s="219"/>
      <c r="AO116" s="219"/>
      <c r="AP116" s="219"/>
      <c r="AQ116" s="219"/>
      <c r="AR116" s="219"/>
      <c r="AS116" s="219"/>
      <c r="AT116" s="219"/>
      <c r="AU116" s="219"/>
      <c r="AV116" s="219"/>
      <c r="AW116" s="219"/>
      <c r="AX116" s="219"/>
      <c r="AY116" s="219"/>
      <c r="AZ116" s="219"/>
      <c r="BA116" s="219"/>
      <c r="BB116" s="219"/>
      <c r="BC116" s="219"/>
      <c r="BD116" s="219"/>
      <c r="BE116" s="219"/>
      <c r="BF116" s="219"/>
      <c r="BG116" s="219"/>
      <c r="BH116" s="219"/>
    </row>
    <row r="117" spans="2:60" s="4" customFormat="1" ht="13.25" customHeight="1">
      <c r="B117" s="6" t="s">
        <v>2545</v>
      </c>
      <c r="C117" s="220"/>
      <c r="D117" s="220">
        <f t="shared" ref="D117:AI117" si="45">D111/C111-1</f>
        <v>0.40589723558654311</v>
      </c>
      <c r="E117" s="220">
        <f t="shared" si="45"/>
        <v>0.29446649509170419</v>
      </c>
      <c r="F117" s="220">
        <f t="shared" si="45"/>
        <v>0.23069948062616152</v>
      </c>
      <c r="G117" s="220">
        <f t="shared" si="45"/>
        <v>0.19073218736622644</v>
      </c>
      <c r="H117" s="220">
        <f t="shared" si="45"/>
        <v>0.16346314411159435</v>
      </c>
      <c r="I117" s="220">
        <f t="shared" si="45"/>
        <v>0.14284977396984933</v>
      </c>
      <c r="J117" s="220">
        <f t="shared" si="45"/>
        <v>0.12737216678427377</v>
      </c>
      <c r="K117" s="220">
        <f t="shared" si="45"/>
        <v>0.11461243240161556</v>
      </c>
      <c r="L117" s="220">
        <f t="shared" si="45"/>
        <v>0.10411110987465544</v>
      </c>
      <c r="M117" s="220">
        <f t="shared" si="45"/>
        <v>9.5587278619037264E-2</v>
      </c>
      <c r="N117" s="220">
        <f t="shared" si="45"/>
        <v>8.862205764047637E-2</v>
      </c>
      <c r="O117" s="220">
        <f t="shared" si="45"/>
        <v>8.2766731988820785E-2</v>
      </c>
      <c r="P117" s="220">
        <f t="shared" si="45"/>
        <v>7.7635355738549627E-2</v>
      </c>
      <c r="Q117" s="220">
        <f t="shared" si="45"/>
        <v>7.3181616737374666E-2</v>
      </c>
      <c r="R117" s="220">
        <f t="shared" si="45"/>
        <v>6.9718777481673433E-2</v>
      </c>
      <c r="S117" s="220">
        <f t="shared" si="45"/>
        <v>6.6378580932833886E-2</v>
      </c>
      <c r="T117" s="220">
        <f t="shared" si="45"/>
        <v>6.3246067317024091E-2</v>
      </c>
      <c r="U117" s="220">
        <f t="shared" si="45"/>
        <v>6.0345913861058476E-2</v>
      </c>
      <c r="V117" s="220">
        <f t="shared" si="45"/>
        <v>5.7660545640972893E-2</v>
      </c>
      <c r="W117" s="220">
        <f t="shared" si="45"/>
        <v>5.5251461485580577E-2</v>
      </c>
      <c r="X117" s="220">
        <f t="shared" si="45"/>
        <v>5.3102834429009649E-2</v>
      </c>
      <c r="Y117" s="220">
        <f t="shared" si="45"/>
        <v>5.1134719429368092E-2</v>
      </c>
      <c r="Z117" s="220">
        <f t="shared" si="45"/>
        <v>4.926723988950088E-2</v>
      </c>
      <c r="AA117" s="220">
        <f t="shared" si="45"/>
        <v>4.7537801550303405E-2</v>
      </c>
      <c r="AB117" s="220">
        <f t="shared" si="45"/>
        <v>4.6035302890048646E-2</v>
      </c>
      <c r="AC117" s="220">
        <f t="shared" si="45"/>
        <v>4.455917071619786E-2</v>
      </c>
      <c r="AD117" s="220">
        <f t="shared" si="45"/>
        <v>4.3153127956988335E-2</v>
      </c>
      <c r="AE117" s="220">
        <f t="shared" si="45"/>
        <v>4.1826115380129814E-2</v>
      </c>
      <c r="AF117" s="220">
        <f t="shared" si="45"/>
        <v>4.0611020971842215E-2</v>
      </c>
      <c r="AG117" s="220">
        <f t="shared" si="45"/>
        <v>3.9459781968150143E-2</v>
      </c>
      <c r="AH117" s="220">
        <f t="shared" si="45"/>
        <v>3.8358984444851085E-2</v>
      </c>
      <c r="AI117" s="220">
        <f t="shared" si="45"/>
        <v>3.730514780855132E-2</v>
      </c>
      <c r="AJ117" s="220">
        <f t="shared" ref="AJ117:BH117" si="46">AJ111/AI111-1</f>
        <v>3.6292827463114685E-2</v>
      </c>
      <c r="AK117" s="220">
        <f t="shared" si="46"/>
        <v>3.5319826074910354E-2</v>
      </c>
      <c r="AL117" s="220">
        <f t="shared" si="46"/>
        <v>3.4382798803569425E-2</v>
      </c>
      <c r="AM117" s="220">
        <f t="shared" si="46"/>
        <v>3.3489644312379774E-2</v>
      </c>
      <c r="AN117" s="220">
        <f t="shared" si="46"/>
        <v>3.2658987960212604E-2</v>
      </c>
      <c r="AO117" s="220">
        <f t="shared" si="46"/>
        <v>3.18684631388364E-2</v>
      </c>
      <c r="AP117" s="220">
        <f t="shared" si="46"/>
        <v>3.1122041855706106E-2</v>
      </c>
      <c r="AQ117" s="220">
        <f t="shared" si="46"/>
        <v>3.0383064123356673E-2</v>
      </c>
      <c r="AR117" s="220">
        <f t="shared" si="46"/>
        <v>2.9652591730158218E-2</v>
      </c>
      <c r="AS117" s="220">
        <f t="shared" si="46"/>
        <v>2.8933013294301091E-2</v>
      </c>
      <c r="AT117" s="220">
        <f t="shared" si="46"/>
        <v>2.8241623002036365E-2</v>
      </c>
      <c r="AU117" s="220">
        <f t="shared" si="46"/>
        <v>2.7572595732227922E-2</v>
      </c>
      <c r="AV117" s="220">
        <f t="shared" si="46"/>
        <v>2.6920595713611606E-2</v>
      </c>
      <c r="AW117" s="220">
        <f t="shared" si="46"/>
        <v>2.6311286411420554E-2</v>
      </c>
      <c r="AX117" s="220">
        <f t="shared" si="46"/>
        <v>2.574938083003997E-2</v>
      </c>
      <c r="AY117" s="220">
        <f t="shared" si="46"/>
        <v>2.523166249637443E-2</v>
      </c>
      <c r="AZ117" s="220">
        <f t="shared" si="46"/>
        <v>2.4610693777186832E-2</v>
      </c>
      <c r="BA117" s="220">
        <f t="shared" si="46"/>
        <v>2.4019555843654672E-2</v>
      </c>
      <c r="BB117" s="220">
        <f t="shared" si="46"/>
        <v>2.3456149549669236E-2</v>
      </c>
      <c r="BC117" s="220">
        <f t="shared" si="46"/>
        <v>2.2918568186814925E-2</v>
      </c>
      <c r="BD117" s="220">
        <f t="shared" si="46"/>
        <v>2.2405075926463569E-2</v>
      </c>
      <c r="BE117" s="220">
        <f t="shared" si="46"/>
        <v>2.1914089096399358E-2</v>
      </c>
      <c r="BF117" s="220">
        <f t="shared" si="46"/>
        <v>2.1444159866487844E-2</v>
      </c>
      <c r="BG117" s="220">
        <f t="shared" si="46"/>
        <v>2.0993961989357102E-2</v>
      </c>
      <c r="BH117" s="220">
        <f t="shared" si="46"/>
        <v>2.0562278300305881E-2</v>
      </c>
    </row>
    <row r="118" spans="2:60" s="522" customFormat="1" ht="13.25" customHeight="1">
      <c r="B118" s="569"/>
      <c r="C118" s="564"/>
      <c r="D118" s="564"/>
      <c r="E118" s="564"/>
      <c r="F118" s="564"/>
      <c r="G118" s="564"/>
      <c r="H118" s="564"/>
      <c r="I118" s="564"/>
      <c r="J118" s="564"/>
      <c r="K118" s="564"/>
      <c r="L118" s="564"/>
      <c r="M118" s="564"/>
      <c r="N118" s="564"/>
      <c r="O118" s="564"/>
      <c r="P118" s="564"/>
      <c r="Q118" s="564"/>
      <c r="R118" s="564"/>
      <c r="S118" s="564"/>
      <c r="T118" s="564"/>
      <c r="U118" s="564"/>
      <c r="V118" s="564"/>
      <c r="W118" s="564"/>
      <c r="X118" s="564"/>
      <c r="Y118" s="564"/>
      <c r="Z118" s="564"/>
      <c r="AA118" s="564"/>
      <c r="AB118" s="564"/>
      <c r="AC118" s="564"/>
      <c r="AD118" s="564"/>
      <c r="AE118" s="564"/>
      <c r="AF118" s="564"/>
      <c r="AG118" s="564"/>
      <c r="AH118" s="564"/>
      <c r="AI118" s="564"/>
      <c r="AJ118" s="564"/>
      <c r="AK118" s="564"/>
      <c r="AL118" s="564"/>
      <c r="AM118" s="564"/>
      <c r="AN118" s="564"/>
      <c r="AO118" s="564"/>
      <c r="AP118" s="564"/>
      <c r="AQ118" s="564"/>
      <c r="AR118" s="564"/>
      <c r="AS118" s="564"/>
      <c r="AT118" s="564"/>
      <c r="AU118" s="564"/>
      <c r="AV118" s="564"/>
      <c r="AW118" s="564"/>
      <c r="AX118" s="564"/>
      <c r="AY118" s="564"/>
      <c r="AZ118" s="564"/>
      <c r="BA118" s="564"/>
      <c r="BB118" s="564"/>
      <c r="BC118" s="564"/>
      <c r="BD118" s="564"/>
      <c r="BE118" s="564"/>
      <c r="BF118" s="564"/>
      <c r="BG118" s="564"/>
      <c r="BH118" s="564"/>
    </row>
    <row r="120" spans="2:60">
      <c r="B120" s="35" t="s">
        <v>2542</v>
      </c>
    </row>
    <row r="121" spans="2:60">
      <c r="B121" s="108"/>
    </row>
    <row r="122" spans="2:60" s="4" customFormat="1" ht="28.25" customHeight="1">
      <c r="B122" s="52"/>
      <c r="C122" s="393"/>
      <c r="D122" s="393"/>
      <c r="E122" s="393"/>
      <c r="F122" s="393"/>
      <c r="G122" s="393"/>
      <c r="H122" s="393"/>
      <c r="I122" s="393"/>
      <c r="J122" s="393"/>
      <c r="K122" s="393"/>
      <c r="L122" s="393"/>
      <c r="M122" s="393"/>
      <c r="N122" s="393"/>
      <c r="O122" s="393"/>
      <c r="P122" s="393"/>
      <c r="Q122" s="393"/>
      <c r="R122" s="393"/>
      <c r="S122" s="393"/>
      <c r="T122" s="393"/>
      <c r="U122" s="393"/>
      <c r="V122" s="393"/>
      <c r="W122" s="393"/>
      <c r="X122" s="393"/>
      <c r="Y122" s="393"/>
      <c r="Z122" s="393"/>
      <c r="AA122" s="393"/>
      <c r="AB122" s="393"/>
      <c r="AC122" s="393"/>
      <c r="AD122" s="393"/>
      <c r="AE122" s="393"/>
      <c r="AF122" s="393"/>
      <c r="AG122" s="393"/>
      <c r="AH122" s="393"/>
      <c r="AI122" s="393"/>
      <c r="AJ122" s="393"/>
      <c r="AK122" s="393"/>
      <c r="AL122" s="393"/>
      <c r="AM122" s="393"/>
      <c r="AN122" s="393"/>
      <c r="AO122" s="393"/>
      <c r="AP122" s="393"/>
      <c r="AQ122" s="393"/>
      <c r="AR122" s="393"/>
      <c r="AS122" s="393"/>
      <c r="AT122" s="393"/>
      <c r="AU122" s="393"/>
      <c r="AV122" s="393"/>
      <c r="AW122" s="393"/>
      <c r="AX122" s="393"/>
      <c r="AY122" s="393"/>
      <c r="AZ122" s="393"/>
      <c r="BA122" s="393"/>
      <c r="BB122" s="393"/>
      <c r="BC122" s="393"/>
      <c r="BD122" s="393"/>
      <c r="BE122" s="393"/>
      <c r="BF122" s="393"/>
      <c r="BG122" s="393"/>
      <c r="BH122" s="393"/>
    </row>
    <row r="123" spans="2:60">
      <c r="B123" s="9"/>
    </row>
    <row r="124" spans="2:60">
      <c r="B124" s="34"/>
      <c r="C124" s="387">
        <f>Epidemiology!$C$89</f>
        <v>2020</v>
      </c>
      <c r="D124" s="34">
        <f t="shared" ref="D124:AI124" si="47">C124+1</f>
        <v>2021</v>
      </c>
      <c r="E124" s="34">
        <f t="shared" si="47"/>
        <v>2022</v>
      </c>
      <c r="F124" s="34">
        <f t="shared" si="47"/>
        <v>2023</v>
      </c>
      <c r="G124" s="34">
        <f t="shared" si="47"/>
        <v>2024</v>
      </c>
      <c r="H124" s="34">
        <f t="shared" si="47"/>
        <v>2025</v>
      </c>
      <c r="I124" s="34">
        <f t="shared" si="47"/>
        <v>2026</v>
      </c>
      <c r="J124" s="34">
        <f t="shared" si="47"/>
        <v>2027</v>
      </c>
      <c r="K124" s="34">
        <f t="shared" si="47"/>
        <v>2028</v>
      </c>
      <c r="L124" s="34">
        <f t="shared" si="47"/>
        <v>2029</v>
      </c>
      <c r="M124" s="34">
        <f t="shared" si="47"/>
        <v>2030</v>
      </c>
      <c r="N124" s="34">
        <f t="shared" si="47"/>
        <v>2031</v>
      </c>
      <c r="O124" s="34">
        <f t="shared" si="47"/>
        <v>2032</v>
      </c>
      <c r="P124" s="34">
        <f t="shared" si="47"/>
        <v>2033</v>
      </c>
      <c r="Q124" s="34">
        <f t="shared" si="47"/>
        <v>2034</v>
      </c>
      <c r="R124" s="34">
        <f t="shared" si="47"/>
        <v>2035</v>
      </c>
      <c r="S124" s="34">
        <f t="shared" si="47"/>
        <v>2036</v>
      </c>
      <c r="T124" s="34">
        <f t="shared" si="47"/>
        <v>2037</v>
      </c>
      <c r="U124" s="34">
        <f t="shared" si="47"/>
        <v>2038</v>
      </c>
      <c r="V124" s="34">
        <f t="shared" si="47"/>
        <v>2039</v>
      </c>
      <c r="W124" s="34">
        <f t="shared" si="47"/>
        <v>2040</v>
      </c>
      <c r="X124" s="34">
        <f t="shared" si="47"/>
        <v>2041</v>
      </c>
      <c r="Y124" s="34">
        <f t="shared" si="47"/>
        <v>2042</v>
      </c>
      <c r="Z124" s="34">
        <f t="shared" si="47"/>
        <v>2043</v>
      </c>
      <c r="AA124" s="34">
        <f t="shared" si="47"/>
        <v>2044</v>
      </c>
      <c r="AB124" s="34">
        <f t="shared" si="47"/>
        <v>2045</v>
      </c>
      <c r="AC124" s="34">
        <f t="shared" si="47"/>
        <v>2046</v>
      </c>
      <c r="AD124" s="34">
        <f t="shared" si="47"/>
        <v>2047</v>
      </c>
      <c r="AE124" s="34">
        <f t="shared" si="47"/>
        <v>2048</v>
      </c>
      <c r="AF124" s="34">
        <f t="shared" si="47"/>
        <v>2049</v>
      </c>
      <c r="AG124" s="34">
        <f t="shared" si="47"/>
        <v>2050</v>
      </c>
      <c r="AH124" s="34">
        <f t="shared" si="47"/>
        <v>2051</v>
      </c>
      <c r="AI124" s="34">
        <f t="shared" si="47"/>
        <v>2052</v>
      </c>
      <c r="AJ124" s="34">
        <f t="shared" ref="AJ124:BD124" si="48">AI124+1</f>
        <v>2053</v>
      </c>
      <c r="AK124" s="34">
        <f t="shared" si="48"/>
        <v>2054</v>
      </c>
      <c r="AL124" s="34">
        <f t="shared" si="48"/>
        <v>2055</v>
      </c>
      <c r="AM124" s="34">
        <f t="shared" si="48"/>
        <v>2056</v>
      </c>
      <c r="AN124" s="34">
        <f t="shared" si="48"/>
        <v>2057</v>
      </c>
      <c r="AO124" s="34">
        <f t="shared" si="48"/>
        <v>2058</v>
      </c>
      <c r="AP124" s="34">
        <f t="shared" si="48"/>
        <v>2059</v>
      </c>
      <c r="AQ124" s="34">
        <f t="shared" si="48"/>
        <v>2060</v>
      </c>
      <c r="AR124" s="34">
        <f t="shared" si="48"/>
        <v>2061</v>
      </c>
      <c r="AS124" s="34">
        <f t="shared" si="48"/>
        <v>2062</v>
      </c>
      <c r="AT124" s="34">
        <f t="shared" si="48"/>
        <v>2063</v>
      </c>
      <c r="AU124" s="34">
        <f t="shared" si="48"/>
        <v>2064</v>
      </c>
      <c r="AV124" s="34">
        <f t="shared" si="48"/>
        <v>2065</v>
      </c>
      <c r="AW124" s="34">
        <f t="shared" si="48"/>
        <v>2066</v>
      </c>
      <c r="AX124" s="34">
        <f t="shared" si="48"/>
        <v>2067</v>
      </c>
      <c r="AY124" s="34">
        <f t="shared" si="48"/>
        <v>2068</v>
      </c>
      <c r="AZ124" s="34">
        <f t="shared" si="48"/>
        <v>2069</v>
      </c>
      <c r="BA124" s="34">
        <f t="shared" si="48"/>
        <v>2070</v>
      </c>
      <c r="BB124" s="34">
        <f t="shared" si="48"/>
        <v>2071</v>
      </c>
      <c r="BC124" s="34">
        <f t="shared" si="48"/>
        <v>2072</v>
      </c>
      <c r="BD124" s="34">
        <f t="shared" si="48"/>
        <v>2073</v>
      </c>
      <c r="BE124" s="34"/>
      <c r="BF124" s="34"/>
      <c r="BG124" s="34"/>
      <c r="BH124" s="34"/>
    </row>
    <row r="125" spans="2:60" s="9" customFormat="1" ht="13.25" customHeight="1">
      <c r="B125" s="5" t="s">
        <v>2552</v>
      </c>
      <c r="C125" s="713">
        <v>0</v>
      </c>
      <c r="D125" s="225">
        <f>INDEX($D$117:$BH$117, MATCH(D124, $D$110:$BH$110,0))</f>
        <v>0.11461243240161556</v>
      </c>
      <c r="E125" s="225">
        <f t="shared" ref="E125:BD125" si="49">INDEX($D$117:$BH$117, MATCH(E124, $D$110:$BH$110,0))</f>
        <v>0.10411110987465544</v>
      </c>
      <c r="F125" s="225">
        <f t="shared" si="49"/>
        <v>9.5587278619037264E-2</v>
      </c>
      <c r="G125" s="225">
        <f t="shared" si="49"/>
        <v>8.862205764047637E-2</v>
      </c>
      <c r="H125" s="225">
        <f t="shared" si="49"/>
        <v>8.2766731988820785E-2</v>
      </c>
      <c r="I125" s="225">
        <f t="shared" si="49"/>
        <v>7.7635355738549627E-2</v>
      </c>
      <c r="J125" s="225">
        <f t="shared" si="49"/>
        <v>7.3181616737374666E-2</v>
      </c>
      <c r="K125" s="225">
        <f t="shared" si="49"/>
        <v>6.9718777481673433E-2</v>
      </c>
      <c r="L125" s="225">
        <f t="shared" si="49"/>
        <v>6.6378580932833886E-2</v>
      </c>
      <c r="M125" s="225">
        <f t="shared" si="49"/>
        <v>6.3246067317024091E-2</v>
      </c>
      <c r="N125" s="225">
        <f t="shared" si="49"/>
        <v>6.0345913861058476E-2</v>
      </c>
      <c r="O125" s="225">
        <f t="shared" si="49"/>
        <v>5.7660545640972893E-2</v>
      </c>
      <c r="P125" s="225">
        <f t="shared" si="49"/>
        <v>5.5251461485580577E-2</v>
      </c>
      <c r="Q125" s="225">
        <f t="shared" si="49"/>
        <v>5.3102834429009649E-2</v>
      </c>
      <c r="R125" s="225">
        <f t="shared" si="49"/>
        <v>5.1134719429368092E-2</v>
      </c>
      <c r="S125" s="225">
        <f t="shared" si="49"/>
        <v>4.926723988950088E-2</v>
      </c>
      <c r="T125" s="225">
        <f t="shared" si="49"/>
        <v>4.7537801550303405E-2</v>
      </c>
      <c r="U125" s="225">
        <f t="shared" si="49"/>
        <v>4.6035302890048646E-2</v>
      </c>
      <c r="V125" s="225">
        <f t="shared" si="49"/>
        <v>4.455917071619786E-2</v>
      </c>
      <c r="W125" s="225">
        <f t="shared" si="49"/>
        <v>4.3153127956988335E-2</v>
      </c>
      <c r="X125" s="225">
        <f t="shared" si="49"/>
        <v>4.1826115380129814E-2</v>
      </c>
      <c r="Y125" s="225">
        <f t="shared" si="49"/>
        <v>4.0611020971842215E-2</v>
      </c>
      <c r="Z125" s="225">
        <f t="shared" si="49"/>
        <v>3.9459781968150143E-2</v>
      </c>
      <c r="AA125" s="225">
        <f t="shared" si="49"/>
        <v>3.8358984444851085E-2</v>
      </c>
      <c r="AB125" s="225">
        <f t="shared" si="49"/>
        <v>3.730514780855132E-2</v>
      </c>
      <c r="AC125" s="225">
        <f t="shared" si="49"/>
        <v>3.6292827463114685E-2</v>
      </c>
      <c r="AD125" s="225">
        <f t="shared" si="49"/>
        <v>3.5319826074910354E-2</v>
      </c>
      <c r="AE125" s="225">
        <f t="shared" si="49"/>
        <v>3.4382798803569425E-2</v>
      </c>
      <c r="AF125" s="225">
        <f t="shared" si="49"/>
        <v>3.3489644312379774E-2</v>
      </c>
      <c r="AG125" s="225">
        <f t="shared" si="49"/>
        <v>3.2658987960212604E-2</v>
      </c>
      <c r="AH125" s="225">
        <f t="shared" si="49"/>
        <v>3.18684631388364E-2</v>
      </c>
      <c r="AI125" s="225">
        <f t="shared" si="49"/>
        <v>3.1122041855706106E-2</v>
      </c>
      <c r="AJ125" s="225">
        <f t="shared" si="49"/>
        <v>3.0383064123356673E-2</v>
      </c>
      <c r="AK125" s="225">
        <f t="shared" si="49"/>
        <v>2.9652591730158218E-2</v>
      </c>
      <c r="AL125" s="225">
        <f t="shared" si="49"/>
        <v>2.8933013294301091E-2</v>
      </c>
      <c r="AM125" s="225">
        <f t="shared" si="49"/>
        <v>2.8241623002036365E-2</v>
      </c>
      <c r="AN125" s="225">
        <f t="shared" si="49"/>
        <v>2.7572595732227922E-2</v>
      </c>
      <c r="AO125" s="225">
        <f t="shared" si="49"/>
        <v>2.6920595713611606E-2</v>
      </c>
      <c r="AP125" s="225">
        <f t="shared" si="49"/>
        <v>2.6311286411420554E-2</v>
      </c>
      <c r="AQ125" s="225">
        <f t="shared" si="49"/>
        <v>2.574938083003997E-2</v>
      </c>
      <c r="AR125" s="225">
        <f t="shared" si="49"/>
        <v>2.523166249637443E-2</v>
      </c>
      <c r="AS125" s="225">
        <f t="shared" si="49"/>
        <v>2.4610693777186832E-2</v>
      </c>
      <c r="AT125" s="225">
        <f t="shared" si="49"/>
        <v>2.4019555843654672E-2</v>
      </c>
      <c r="AU125" s="225">
        <f t="shared" si="49"/>
        <v>2.3456149549669236E-2</v>
      </c>
      <c r="AV125" s="225">
        <f t="shared" si="49"/>
        <v>2.2918568186814925E-2</v>
      </c>
      <c r="AW125" s="225">
        <f t="shared" si="49"/>
        <v>2.2405075926463569E-2</v>
      </c>
      <c r="AX125" s="225">
        <f t="shared" si="49"/>
        <v>2.1914089096399358E-2</v>
      </c>
      <c r="AY125" s="225">
        <f t="shared" si="49"/>
        <v>2.1444159866487844E-2</v>
      </c>
      <c r="AZ125" s="225">
        <f t="shared" si="49"/>
        <v>2.0993961989357102E-2</v>
      </c>
      <c r="BA125" s="225">
        <f t="shared" si="49"/>
        <v>2.0562278300305881E-2</v>
      </c>
      <c r="BB125" s="225" t="e">
        <f t="shared" si="49"/>
        <v>#N/A</v>
      </c>
      <c r="BC125" s="225" t="e">
        <f t="shared" si="49"/>
        <v>#N/A</v>
      </c>
      <c r="BD125" s="225" t="e">
        <f t="shared" si="49"/>
        <v>#N/A</v>
      </c>
      <c r="BE125" s="225"/>
      <c r="BF125" s="225"/>
      <c r="BG125" s="225"/>
    </row>
    <row r="190" spans="4:32">
      <c r="D190" s="395"/>
      <c r="E190" s="395"/>
      <c r="F190" s="395"/>
      <c r="G190" s="395"/>
      <c r="H190" s="395"/>
      <c r="I190" s="395"/>
      <c r="J190" s="395"/>
      <c r="K190" s="395"/>
      <c r="L190" s="395"/>
      <c r="M190" s="395"/>
      <c r="N190" s="395"/>
      <c r="O190" s="395"/>
      <c r="P190" s="395"/>
      <c r="Q190" s="395"/>
      <c r="R190" s="395"/>
      <c r="S190" s="395"/>
      <c r="T190" s="395"/>
      <c r="U190" s="395"/>
      <c r="V190" s="395"/>
      <c r="W190" s="395"/>
      <c r="X190" s="395"/>
      <c r="Y190" s="395"/>
      <c r="Z190" s="395"/>
      <c r="AA190" s="395"/>
      <c r="AB190" s="395"/>
      <c r="AC190" s="395"/>
      <c r="AD190" s="395"/>
      <c r="AE190" s="395"/>
      <c r="AF190" s="395"/>
    </row>
    <row r="191" spans="4:32">
      <c r="D191" s="395"/>
      <c r="E191" s="395"/>
      <c r="F191" s="395"/>
      <c r="G191" s="395"/>
      <c r="H191" s="395"/>
      <c r="I191" s="395"/>
      <c r="J191" s="395"/>
      <c r="K191" s="395"/>
      <c r="L191" s="395"/>
      <c r="M191" s="395"/>
      <c r="N191" s="395"/>
      <c r="O191" s="395"/>
      <c r="P191" s="395"/>
      <c r="Q191" s="395"/>
      <c r="R191" s="395"/>
      <c r="S191" s="395"/>
      <c r="T191" s="395"/>
      <c r="U191" s="395"/>
      <c r="V191" s="395"/>
      <c r="W191" s="395"/>
      <c r="X191" s="395"/>
      <c r="Y191" s="395"/>
      <c r="Z191" s="395"/>
      <c r="AA191" s="395"/>
      <c r="AB191" s="395"/>
      <c r="AC191" s="395"/>
      <c r="AD191" s="395"/>
      <c r="AE191" s="395"/>
      <c r="AF191" s="395"/>
    </row>
    <row r="192" spans="4:32">
      <c r="D192" s="395"/>
      <c r="E192" s="395"/>
      <c r="F192" s="395"/>
      <c r="G192" s="395"/>
      <c r="H192" s="395"/>
      <c r="I192" s="395"/>
      <c r="J192" s="395"/>
      <c r="K192" s="395"/>
      <c r="L192" s="395"/>
      <c r="M192" s="395"/>
      <c r="N192" s="395"/>
      <c r="O192" s="395"/>
      <c r="P192" s="395"/>
      <c r="Q192" s="395"/>
      <c r="R192" s="395"/>
      <c r="S192" s="395"/>
      <c r="T192" s="395"/>
      <c r="U192" s="395"/>
      <c r="V192" s="395"/>
      <c r="W192" s="395"/>
      <c r="X192" s="395"/>
      <c r="Y192" s="395"/>
      <c r="Z192" s="395"/>
      <c r="AA192" s="395"/>
      <c r="AB192" s="395"/>
      <c r="AC192" s="395"/>
      <c r="AD192" s="395"/>
      <c r="AE192" s="395"/>
      <c r="AF192" s="395"/>
    </row>
    <row r="193" spans="4:32">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395"/>
      <c r="AA193" s="395"/>
      <c r="AB193" s="395"/>
      <c r="AC193" s="395"/>
      <c r="AD193" s="395"/>
      <c r="AE193" s="395"/>
      <c r="AF193" s="395"/>
    </row>
    <row r="194" spans="4:32">
      <c r="D194" s="395"/>
      <c r="E194" s="395"/>
      <c r="F194" s="395"/>
      <c r="G194" s="395"/>
      <c r="H194" s="395"/>
      <c r="I194" s="395"/>
      <c r="J194" s="395"/>
      <c r="K194" s="395"/>
      <c r="L194" s="395"/>
      <c r="M194" s="395"/>
      <c r="N194" s="395"/>
      <c r="O194" s="395"/>
      <c r="P194" s="395"/>
      <c r="Q194" s="395"/>
      <c r="R194" s="395"/>
      <c r="S194" s="395"/>
      <c r="T194" s="395"/>
      <c r="U194" s="395"/>
      <c r="V194" s="395"/>
      <c r="W194" s="395"/>
      <c r="X194" s="395"/>
      <c r="Y194" s="395"/>
      <c r="Z194" s="395"/>
      <c r="AA194" s="395"/>
      <c r="AB194" s="395"/>
      <c r="AC194" s="395"/>
      <c r="AD194" s="395"/>
      <c r="AE194" s="395"/>
      <c r="AF194" s="395"/>
    </row>
    <row r="195" spans="4:32">
      <c r="D195" s="395"/>
      <c r="E195" s="395"/>
      <c r="F195" s="395"/>
      <c r="G195" s="395"/>
      <c r="H195" s="395"/>
      <c r="I195" s="395"/>
      <c r="J195" s="395"/>
      <c r="K195" s="395"/>
      <c r="L195" s="395"/>
      <c r="M195" s="395"/>
      <c r="N195" s="395"/>
      <c r="O195" s="395"/>
      <c r="P195" s="395"/>
      <c r="Q195" s="395"/>
      <c r="R195" s="395"/>
      <c r="S195" s="395"/>
      <c r="T195" s="395"/>
      <c r="U195" s="395"/>
      <c r="V195" s="395"/>
      <c r="W195" s="395"/>
      <c r="X195" s="395"/>
      <c r="Y195" s="395"/>
      <c r="Z195" s="395"/>
      <c r="AA195" s="395"/>
      <c r="AB195" s="395"/>
      <c r="AC195" s="395"/>
      <c r="AD195" s="395"/>
      <c r="AE195" s="395"/>
      <c r="AF195" s="395"/>
    </row>
    <row r="196" spans="4:32">
      <c r="D196" s="395"/>
      <c r="E196" s="395"/>
      <c r="F196" s="395"/>
      <c r="G196" s="395"/>
      <c r="H196" s="395"/>
      <c r="I196" s="395"/>
      <c r="J196" s="395"/>
      <c r="K196" s="395"/>
      <c r="L196" s="395"/>
      <c r="M196" s="395"/>
      <c r="N196" s="395"/>
      <c r="O196" s="395"/>
      <c r="P196" s="395"/>
      <c r="Q196" s="395"/>
      <c r="R196" s="395"/>
      <c r="S196" s="395"/>
      <c r="T196" s="395"/>
      <c r="U196" s="395"/>
      <c r="V196" s="395"/>
      <c r="W196" s="395"/>
      <c r="X196" s="395"/>
      <c r="Y196" s="395"/>
      <c r="Z196" s="395"/>
      <c r="AA196" s="395"/>
      <c r="AB196" s="395"/>
      <c r="AC196" s="395"/>
      <c r="AD196" s="395"/>
      <c r="AE196" s="395"/>
      <c r="AF196" s="395"/>
    </row>
    <row r="197" spans="4:32">
      <c r="D197" s="395"/>
      <c r="E197" s="395"/>
      <c r="F197" s="395"/>
      <c r="G197" s="395"/>
      <c r="H197" s="395"/>
      <c r="I197" s="395"/>
      <c r="J197" s="395"/>
      <c r="K197" s="395"/>
      <c r="L197" s="395"/>
      <c r="M197" s="395"/>
      <c r="N197" s="395"/>
      <c r="O197" s="395"/>
      <c r="P197" s="395"/>
      <c r="Q197" s="395"/>
      <c r="R197" s="395"/>
      <c r="S197" s="395"/>
      <c r="T197" s="395"/>
      <c r="U197" s="395"/>
      <c r="V197" s="395"/>
      <c r="W197" s="395"/>
      <c r="X197" s="395"/>
      <c r="Y197" s="395"/>
      <c r="Z197" s="395"/>
      <c r="AA197" s="395"/>
      <c r="AB197" s="395"/>
      <c r="AC197" s="395"/>
      <c r="AD197" s="395"/>
      <c r="AE197" s="395"/>
      <c r="AF197" s="395"/>
    </row>
    <row r="198" spans="4:32">
      <c r="D198" s="395"/>
      <c r="E198" s="395"/>
      <c r="F198" s="395"/>
      <c r="G198" s="395"/>
      <c r="H198" s="395"/>
      <c r="I198" s="395"/>
      <c r="J198" s="395"/>
      <c r="K198" s="395"/>
      <c r="L198" s="395"/>
      <c r="M198" s="395"/>
      <c r="N198" s="395"/>
      <c r="O198" s="395"/>
      <c r="P198" s="395"/>
      <c r="Q198" s="395"/>
      <c r="R198" s="395"/>
      <c r="S198" s="395"/>
      <c r="T198" s="395"/>
      <c r="U198" s="395"/>
      <c r="V198" s="395"/>
      <c r="W198" s="395"/>
      <c r="X198" s="395"/>
      <c r="Y198" s="395"/>
      <c r="Z198" s="395"/>
      <c r="AA198" s="395"/>
      <c r="AB198" s="395"/>
      <c r="AC198" s="395"/>
      <c r="AD198" s="395"/>
      <c r="AE198" s="395"/>
      <c r="AF198" s="395"/>
    </row>
    <row r="199" spans="4:32">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row>
    <row r="200" spans="4:32">
      <c r="D200" s="395"/>
      <c r="E200" s="395"/>
      <c r="F200" s="395"/>
      <c r="G200" s="395"/>
      <c r="H200" s="395"/>
      <c r="I200" s="395"/>
      <c r="J200" s="395"/>
      <c r="K200" s="395"/>
      <c r="L200" s="395"/>
      <c r="M200" s="395"/>
      <c r="N200" s="395"/>
      <c r="O200" s="395"/>
      <c r="P200" s="395"/>
      <c r="Q200" s="395"/>
      <c r="R200" s="395"/>
      <c r="S200" s="395"/>
      <c r="T200" s="395"/>
      <c r="U200" s="395"/>
      <c r="V200" s="395"/>
      <c r="W200" s="395"/>
      <c r="X200" s="395"/>
      <c r="Y200" s="395"/>
      <c r="Z200" s="395"/>
      <c r="AA200" s="395"/>
      <c r="AB200" s="395"/>
      <c r="AC200" s="395"/>
      <c r="AD200" s="395"/>
      <c r="AE200" s="395"/>
      <c r="AF200" s="395"/>
    </row>
    <row r="201" spans="4:32">
      <c r="D201" s="395"/>
      <c r="E201" s="395"/>
      <c r="F201" s="395"/>
      <c r="G201" s="395"/>
      <c r="H201" s="395"/>
      <c r="I201" s="395"/>
      <c r="J201" s="395"/>
      <c r="K201" s="395"/>
      <c r="L201" s="395"/>
      <c r="M201" s="395"/>
      <c r="N201" s="395"/>
      <c r="O201" s="395"/>
      <c r="P201" s="395"/>
      <c r="Q201" s="395"/>
      <c r="R201" s="395"/>
      <c r="S201" s="395"/>
      <c r="T201" s="395"/>
      <c r="U201" s="395"/>
      <c r="V201" s="395"/>
      <c r="W201" s="395"/>
      <c r="X201" s="395"/>
      <c r="Y201" s="395"/>
      <c r="Z201" s="395"/>
      <c r="AA201" s="395"/>
      <c r="AB201" s="395"/>
      <c r="AC201" s="395"/>
      <c r="AD201" s="395"/>
      <c r="AE201" s="395"/>
      <c r="AF201" s="395"/>
    </row>
    <row r="202" spans="4:32">
      <c r="D202" s="395"/>
      <c r="E202" s="395"/>
      <c r="F202" s="395"/>
      <c r="G202" s="395"/>
      <c r="H202" s="395"/>
      <c r="I202" s="395"/>
      <c r="J202" s="395"/>
      <c r="K202" s="395"/>
      <c r="L202" s="395"/>
      <c r="M202" s="395"/>
      <c r="N202" s="395"/>
      <c r="O202" s="395"/>
      <c r="P202" s="395"/>
      <c r="Q202" s="395"/>
      <c r="R202" s="395"/>
      <c r="S202" s="395"/>
      <c r="T202" s="395"/>
      <c r="U202" s="395"/>
      <c r="V202" s="395"/>
      <c r="W202" s="395"/>
      <c r="X202" s="395"/>
      <c r="Y202" s="395"/>
      <c r="Z202" s="395"/>
      <c r="AA202" s="395"/>
      <c r="AB202" s="395"/>
      <c r="AC202" s="395"/>
      <c r="AD202" s="395"/>
      <c r="AE202" s="395"/>
      <c r="AF202" s="395"/>
    </row>
    <row r="203" spans="4:32">
      <c r="D203" s="395"/>
      <c r="E203" s="395"/>
      <c r="F203" s="395"/>
      <c r="G203" s="395"/>
      <c r="H203" s="395"/>
      <c r="I203" s="395"/>
      <c r="J203" s="395"/>
      <c r="K203" s="395"/>
      <c r="L203" s="395"/>
      <c r="M203" s="395"/>
      <c r="N203" s="395"/>
      <c r="O203" s="395"/>
      <c r="P203" s="395"/>
      <c r="Q203" s="395"/>
      <c r="R203" s="395"/>
      <c r="S203" s="395"/>
      <c r="T203" s="395"/>
      <c r="U203" s="395"/>
      <c r="V203" s="395"/>
      <c r="W203" s="395"/>
      <c r="X203" s="395"/>
      <c r="Y203" s="395"/>
      <c r="Z203" s="395"/>
      <c r="AA203" s="395"/>
      <c r="AB203" s="395"/>
      <c r="AC203" s="395"/>
      <c r="AD203" s="395"/>
      <c r="AE203" s="395"/>
      <c r="AF203" s="395"/>
    </row>
    <row r="204" spans="4:32">
      <c r="D204" s="395"/>
      <c r="E204" s="395"/>
      <c r="F204" s="395"/>
      <c r="G204" s="395"/>
      <c r="H204" s="395"/>
      <c r="I204" s="395"/>
      <c r="J204" s="395"/>
      <c r="K204" s="395"/>
      <c r="L204" s="395"/>
      <c r="M204" s="395"/>
      <c r="N204" s="395"/>
      <c r="O204" s="395"/>
      <c r="P204" s="395"/>
      <c r="Q204" s="395"/>
      <c r="R204" s="395"/>
      <c r="S204" s="395"/>
      <c r="T204" s="395"/>
      <c r="U204" s="395"/>
      <c r="V204" s="395"/>
      <c r="W204" s="395"/>
      <c r="X204" s="395"/>
      <c r="Y204" s="395"/>
      <c r="Z204" s="395"/>
      <c r="AA204" s="395"/>
      <c r="AB204" s="395"/>
      <c r="AC204" s="395"/>
      <c r="AD204" s="395"/>
      <c r="AE204" s="395"/>
      <c r="AF204" s="395"/>
    </row>
    <row r="205" spans="4:32">
      <c r="D205" s="395"/>
      <c r="E205" s="395"/>
      <c r="F205" s="395"/>
      <c r="G205" s="395"/>
      <c r="H205" s="395"/>
      <c r="I205" s="395"/>
      <c r="J205" s="395"/>
      <c r="K205" s="395"/>
      <c r="L205" s="395"/>
      <c r="M205" s="395"/>
      <c r="N205" s="395"/>
      <c r="O205" s="395"/>
      <c r="P205" s="395"/>
      <c r="Q205" s="395"/>
      <c r="R205" s="395"/>
      <c r="S205" s="395"/>
      <c r="T205" s="395"/>
      <c r="U205" s="395"/>
      <c r="V205" s="395"/>
      <c r="W205" s="395"/>
      <c r="X205" s="395"/>
      <c r="Y205" s="395"/>
      <c r="Z205" s="395"/>
      <c r="AA205" s="395"/>
      <c r="AB205" s="395"/>
      <c r="AC205" s="395"/>
      <c r="AD205" s="395"/>
      <c r="AE205" s="395"/>
      <c r="AF205" s="395"/>
    </row>
    <row r="206" spans="4:32">
      <c r="D206" s="395"/>
      <c r="E206" s="395"/>
      <c r="F206" s="395"/>
      <c r="G206" s="395"/>
      <c r="H206" s="395"/>
      <c r="I206" s="395"/>
      <c r="J206" s="395"/>
      <c r="K206" s="395"/>
      <c r="L206" s="395"/>
      <c r="M206" s="395"/>
      <c r="N206" s="395"/>
      <c r="O206" s="395"/>
      <c r="P206" s="395"/>
      <c r="Q206" s="395"/>
      <c r="R206" s="395"/>
      <c r="S206" s="395"/>
      <c r="T206" s="395"/>
      <c r="U206" s="395"/>
      <c r="V206" s="395"/>
      <c r="W206" s="395"/>
      <c r="X206" s="395"/>
      <c r="Y206" s="395"/>
      <c r="Z206" s="395"/>
      <c r="AA206" s="395"/>
      <c r="AB206" s="395"/>
      <c r="AC206" s="395"/>
      <c r="AD206" s="395"/>
      <c r="AE206" s="395"/>
      <c r="AF206" s="395"/>
    </row>
    <row r="207" spans="4:32">
      <c r="D207" s="395"/>
      <c r="E207" s="395"/>
      <c r="F207" s="395"/>
      <c r="G207" s="395"/>
      <c r="H207" s="395"/>
      <c r="I207" s="395"/>
      <c r="J207" s="395"/>
      <c r="K207" s="395"/>
      <c r="L207" s="395"/>
      <c r="M207" s="395"/>
      <c r="N207" s="395"/>
      <c r="O207" s="395"/>
      <c r="P207" s="395"/>
      <c r="Q207" s="395"/>
      <c r="R207" s="395"/>
      <c r="S207" s="395"/>
      <c r="T207" s="395"/>
      <c r="U207" s="395"/>
      <c r="V207" s="395"/>
      <c r="W207" s="395"/>
      <c r="X207" s="395"/>
      <c r="Y207" s="395"/>
      <c r="Z207" s="395"/>
      <c r="AA207" s="395"/>
      <c r="AB207" s="395"/>
      <c r="AC207" s="395"/>
      <c r="AD207" s="395"/>
      <c r="AE207" s="395"/>
      <c r="AF207" s="395"/>
    </row>
    <row r="208" spans="4:32">
      <c r="D208" s="395"/>
      <c r="E208" s="395"/>
      <c r="F208" s="395"/>
      <c r="G208" s="395"/>
      <c r="H208" s="395"/>
      <c r="I208" s="395"/>
      <c r="J208" s="395"/>
      <c r="K208" s="395"/>
      <c r="L208" s="395"/>
      <c r="M208" s="395"/>
      <c r="N208" s="395"/>
      <c r="O208" s="395"/>
      <c r="P208" s="395"/>
      <c r="Q208" s="395"/>
      <c r="R208" s="395"/>
      <c r="S208" s="395"/>
      <c r="T208" s="395"/>
      <c r="U208" s="395"/>
      <c r="V208" s="395"/>
      <c r="W208" s="395"/>
      <c r="X208" s="395"/>
      <c r="Y208" s="395"/>
      <c r="Z208" s="395"/>
      <c r="AA208" s="395"/>
      <c r="AB208" s="395"/>
      <c r="AC208" s="395"/>
      <c r="AD208" s="395"/>
      <c r="AE208" s="395"/>
      <c r="AF208" s="395"/>
    </row>
    <row r="209" spans="4:32">
      <c r="D209" s="395"/>
      <c r="E209" s="395"/>
      <c r="F209" s="395"/>
      <c r="G209" s="395"/>
      <c r="H209" s="395"/>
      <c r="I209" s="395"/>
      <c r="J209" s="395"/>
      <c r="K209" s="395"/>
      <c r="L209" s="395"/>
      <c r="M209" s="395"/>
      <c r="N209" s="395"/>
      <c r="O209" s="395"/>
      <c r="P209" s="395"/>
      <c r="Q209" s="395"/>
      <c r="R209" s="395"/>
      <c r="S209" s="395"/>
      <c r="T209" s="395"/>
      <c r="U209" s="395"/>
      <c r="V209" s="395"/>
      <c r="W209" s="395"/>
      <c r="X209" s="395"/>
      <c r="Y209" s="395"/>
      <c r="Z209" s="395"/>
      <c r="AA209" s="395"/>
      <c r="AB209" s="395"/>
      <c r="AC209" s="395"/>
      <c r="AD209" s="395"/>
      <c r="AE209" s="395"/>
      <c r="AF209" s="395"/>
    </row>
    <row r="210" spans="4:32">
      <c r="D210" s="395"/>
      <c r="E210" s="395"/>
      <c r="F210" s="395"/>
      <c r="G210" s="395"/>
      <c r="H210" s="395"/>
      <c r="I210" s="395"/>
      <c r="J210" s="395"/>
      <c r="K210" s="395"/>
      <c r="L210" s="395"/>
      <c r="M210" s="395"/>
      <c r="N210" s="395"/>
      <c r="O210" s="395"/>
      <c r="P210" s="395"/>
      <c r="Q210" s="395"/>
      <c r="R210" s="395"/>
      <c r="S210" s="395"/>
      <c r="T210" s="395"/>
      <c r="U210" s="395"/>
      <c r="V210" s="395"/>
      <c r="W210" s="395"/>
      <c r="X210" s="395"/>
      <c r="Y210" s="395"/>
      <c r="Z210" s="395"/>
      <c r="AA210" s="395"/>
      <c r="AB210" s="395"/>
      <c r="AC210" s="395"/>
      <c r="AD210" s="395"/>
      <c r="AE210" s="395"/>
      <c r="AF210" s="395"/>
    </row>
    <row r="211" spans="4:32">
      <c r="D211" s="395"/>
      <c r="E211" s="395"/>
      <c r="F211" s="395"/>
      <c r="G211" s="395"/>
      <c r="H211" s="395"/>
      <c r="I211" s="395"/>
      <c r="J211" s="395"/>
      <c r="K211" s="395"/>
      <c r="L211" s="395"/>
      <c r="M211" s="395"/>
      <c r="N211" s="395"/>
      <c r="O211" s="395"/>
      <c r="P211" s="395"/>
      <c r="Q211" s="395"/>
      <c r="R211" s="395"/>
      <c r="S211" s="395"/>
      <c r="T211" s="395"/>
      <c r="U211" s="395"/>
      <c r="V211" s="395"/>
      <c r="W211" s="395"/>
      <c r="X211" s="395"/>
      <c r="Y211" s="395"/>
      <c r="Z211" s="395"/>
      <c r="AA211" s="395"/>
      <c r="AB211" s="395"/>
      <c r="AC211" s="395"/>
      <c r="AD211" s="395"/>
      <c r="AE211" s="395"/>
      <c r="AF211" s="395"/>
    </row>
    <row r="212" spans="4:32">
      <c r="D212" s="395"/>
      <c r="E212" s="395"/>
      <c r="F212" s="395"/>
      <c r="G212" s="395"/>
      <c r="H212" s="395"/>
      <c r="I212" s="395"/>
      <c r="J212" s="395"/>
      <c r="K212" s="395"/>
      <c r="L212" s="395"/>
      <c r="M212" s="395"/>
      <c r="N212" s="395"/>
      <c r="O212" s="395"/>
      <c r="P212" s="395"/>
      <c r="Q212" s="395"/>
      <c r="R212" s="395"/>
      <c r="S212" s="395"/>
      <c r="T212" s="395"/>
      <c r="U212" s="395"/>
      <c r="V212" s="395"/>
      <c r="W212" s="395"/>
      <c r="X212" s="395"/>
      <c r="Y212" s="395"/>
      <c r="Z212" s="395"/>
      <c r="AA212" s="395"/>
      <c r="AB212" s="395"/>
      <c r="AC212" s="395"/>
      <c r="AD212" s="395"/>
      <c r="AE212" s="395"/>
      <c r="AF212" s="395"/>
    </row>
    <row r="213" spans="4:32">
      <c r="D213" s="395"/>
      <c r="E213" s="395"/>
      <c r="F213" s="395"/>
      <c r="G213" s="395"/>
      <c r="H213" s="395"/>
      <c r="I213" s="395"/>
      <c r="J213" s="395"/>
      <c r="K213" s="395"/>
      <c r="L213" s="395"/>
      <c r="M213" s="395"/>
      <c r="N213" s="395"/>
      <c r="O213" s="395"/>
      <c r="P213" s="395"/>
      <c r="Q213" s="395"/>
      <c r="R213" s="395"/>
      <c r="S213" s="395"/>
      <c r="T213" s="395"/>
      <c r="U213" s="395"/>
      <c r="V213" s="395"/>
      <c r="W213" s="395"/>
      <c r="X213" s="395"/>
      <c r="Y213" s="395"/>
      <c r="Z213" s="395"/>
      <c r="AA213" s="395"/>
      <c r="AB213" s="395"/>
      <c r="AC213" s="395"/>
      <c r="AD213" s="395"/>
      <c r="AE213" s="395"/>
      <c r="AF213" s="395"/>
    </row>
    <row r="214" spans="4:32">
      <c r="D214" s="395"/>
      <c r="E214" s="395"/>
      <c r="F214" s="395"/>
      <c r="G214" s="395"/>
      <c r="H214" s="395"/>
      <c r="I214" s="395"/>
      <c r="J214" s="395"/>
      <c r="K214" s="395"/>
      <c r="L214" s="395"/>
      <c r="M214" s="395"/>
      <c r="N214" s="395"/>
      <c r="O214" s="395"/>
      <c r="P214" s="395"/>
      <c r="Q214" s="395"/>
      <c r="R214" s="395"/>
      <c r="S214" s="395"/>
      <c r="T214" s="395"/>
      <c r="U214" s="395"/>
      <c r="V214" s="395"/>
      <c r="W214" s="395"/>
      <c r="X214" s="395"/>
      <c r="Y214" s="395"/>
      <c r="Z214" s="395"/>
      <c r="AA214" s="395"/>
      <c r="AB214" s="395"/>
      <c r="AC214" s="395"/>
      <c r="AD214" s="395"/>
      <c r="AE214" s="395"/>
      <c r="AF214" s="395"/>
    </row>
    <row r="215" spans="4:32">
      <c r="D215" s="395"/>
      <c r="E215" s="395"/>
      <c r="F215" s="395"/>
      <c r="G215" s="395"/>
      <c r="H215" s="395"/>
      <c r="I215" s="395"/>
      <c r="J215" s="395"/>
      <c r="K215" s="395"/>
      <c r="L215" s="395"/>
      <c r="M215" s="395"/>
      <c r="N215" s="395"/>
      <c r="O215" s="395"/>
      <c r="P215" s="395"/>
      <c r="Q215" s="395"/>
      <c r="R215" s="395"/>
      <c r="S215" s="395"/>
      <c r="T215" s="395"/>
      <c r="U215" s="395"/>
      <c r="V215" s="395"/>
      <c r="W215" s="395"/>
      <c r="X215" s="395"/>
      <c r="Y215" s="395"/>
      <c r="Z215" s="395"/>
      <c r="AA215" s="395"/>
      <c r="AB215" s="395"/>
      <c r="AC215" s="395"/>
      <c r="AD215" s="395"/>
      <c r="AE215" s="395"/>
      <c r="AF215" s="395"/>
    </row>
    <row r="216" spans="4:32">
      <c r="D216" s="395"/>
      <c r="E216" s="395"/>
      <c r="F216" s="395"/>
      <c r="G216" s="395"/>
      <c r="H216" s="395"/>
      <c r="I216" s="395"/>
      <c r="J216" s="395"/>
      <c r="K216" s="395"/>
      <c r="L216" s="395"/>
      <c r="M216" s="395"/>
      <c r="N216" s="395"/>
      <c r="O216" s="395"/>
      <c r="P216" s="395"/>
      <c r="Q216" s="395"/>
      <c r="R216" s="395"/>
      <c r="S216" s="395"/>
      <c r="T216" s="395"/>
      <c r="U216" s="395"/>
      <c r="V216" s="395"/>
      <c r="W216" s="395"/>
      <c r="X216" s="395"/>
      <c r="Y216" s="395"/>
      <c r="Z216" s="395"/>
      <c r="AA216" s="395"/>
      <c r="AB216" s="395"/>
      <c r="AC216" s="395"/>
      <c r="AD216" s="395"/>
      <c r="AE216" s="395"/>
      <c r="AF216" s="395"/>
    </row>
    <row r="217" spans="4:32">
      <c r="D217" s="395"/>
      <c r="E217" s="395"/>
      <c r="F217" s="395"/>
      <c r="G217" s="395"/>
      <c r="H217" s="395"/>
      <c r="I217" s="395"/>
      <c r="J217" s="395"/>
      <c r="K217" s="395"/>
      <c r="L217" s="395"/>
      <c r="M217" s="395"/>
      <c r="N217" s="395"/>
      <c r="O217" s="395"/>
      <c r="P217" s="395"/>
      <c r="Q217" s="395"/>
      <c r="R217" s="395"/>
      <c r="S217" s="395"/>
      <c r="T217" s="395"/>
      <c r="U217" s="395"/>
      <c r="V217" s="395"/>
      <c r="W217" s="395"/>
      <c r="X217" s="395"/>
      <c r="Y217" s="395"/>
      <c r="Z217" s="395"/>
      <c r="AA217" s="395"/>
      <c r="AB217" s="395"/>
      <c r="AC217" s="395"/>
      <c r="AD217" s="395"/>
      <c r="AE217" s="395"/>
      <c r="AF217" s="395"/>
    </row>
    <row r="218" spans="4:32">
      <c r="D218" s="395"/>
      <c r="E218" s="395"/>
      <c r="F218" s="395"/>
      <c r="G218" s="395"/>
      <c r="H218" s="395"/>
      <c r="I218" s="395"/>
      <c r="J218" s="395"/>
      <c r="K218" s="395"/>
      <c r="L218" s="395"/>
      <c r="M218" s="395"/>
      <c r="N218" s="395"/>
      <c r="O218" s="395"/>
      <c r="P218" s="395"/>
      <c r="Q218" s="395"/>
      <c r="R218" s="395"/>
      <c r="S218" s="395"/>
      <c r="T218" s="395"/>
      <c r="U218" s="395"/>
      <c r="V218" s="395"/>
      <c r="W218" s="395"/>
      <c r="X218" s="395"/>
      <c r="Y218" s="395"/>
      <c r="Z218" s="395"/>
      <c r="AA218" s="395"/>
      <c r="AB218" s="395"/>
      <c r="AC218" s="395"/>
      <c r="AD218" s="395"/>
      <c r="AE218" s="395"/>
      <c r="AF218" s="395"/>
    </row>
    <row r="219" spans="4:32">
      <c r="D219" s="395"/>
      <c r="E219" s="395"/>
      <c r="F219" s="395"/>
      <c r="G219" s="395"/>
      <c r="H219" s="395"/>
      <c r="I219" s="395"/>
      <c r="J219" s="395"/>
      <c r="K219" s="395"/>
      <c r="L219" s="395"/>
      <c r="M219" s="395"/>
      <c r="N219" s="395"/>
      <c r="O219" s="395"/>
      <c r="P219" s="395"/>
      <c r="Q219" s="395"/>
      <c r="R219" s="395"/>
      <c r="S219" s="395"/>
      <c r="T219" s="395"/>
      <c r="U219" s="395"/>
      <c r="V219" s="395"/>
      <c r="W219" s="395"/>
      <c r="X219" s="395"/>
      <c r="Y219" s="395"/>
      <c r="Z219" s="395"/>
      <c r="AA219" s="395"/>
      <c r="AB219" s="395"/>
      <c r="AC219" s="395"/>
      <c r="AD219" s="395"/>
      <c r="AE219" s="395"/>
      <c r="AF219" s="395"/>
    </row>
    <row r="220" spans="4:32">
      <c r="D220" s="395"/>
      <c r="E220" s="395"/>
      <c r="F220" s="395"/>
      <c r="G220" s="395"/>
      <c r="H220" s="395"/>
      <c r="I220" s="395"/>
      <c r="J220" s="395"/>
      <c r="K220" s="395"/>
      <c r="L220" s="395"/>
      <c r="M220" s="395"/>
      <c r="N220" s="395"/>
      <c r="O220" s="395"/>
      <c r="P220" s="395"/>
      <c r="Q220" s="395"/>
      <c r="R220" s="395"/>
      <c r="S220" s="395"/>
      <c r="T220" s="395"/>
      <c r="U220" s="395"/>
      <c r="V220" s="395"/>
      <c r="W220" s="395"/>
      <c r="X220" s="395"/>
      <c r="Y220" s="395"/>
      <c r="Z220" s="395"/>
      <c r="AA220" s="395"/>
      <c r="AB220" s="395"/>
      <c r="AC220" s="395"/>
      <c r="AD220" s="395"/>
      <c r="AE220" s="395"/>
      <c r="AF220" s="395"/>
    </row>
    <row r="221" spans="4:32">
      <c r="D221" s="395"/>
      <c r="E221" s="395"/>
      <c r="F221" s="395"/>
      <c r="G221" s="395"/>
      <c r="H221" s="395"/>
      <c r="I221" s="395"/>
      <c r="J221" s="395"/>
      <c r="K221" s="395"/>
      <c r="L221" s="395"/>
      <c r="M221" s="395"/>
      <c r="N221" s="395"/>
      <c r="O221" s="395"/>
      <c r="P221" s="395"/>
      <c r="Q221" s="395"/>
      <c r="R221" s="395"/>
      <c r="S221" s="395"/>
      <c r="T221" s="395"/>
      <c r="U221" s="395"/>
      <c r="V221" s="395"/>
      <c r="W221" s="395"/>
      <c r="X221" s="395"/>
      <c r="Y221" s="395"/>
      <c r="Z221" s="395"/>
      <c r="AA221" s="395"/>
      <c r="AB221" s="395"/>
      <c r="AC221" s="395"/>
      <c r="AD221" s="395"/>
      <c r="AE221" s="395"/>
      <c r="AF221" s="395"/>
    </row>
    <row r="222" spans="4:32">
      <c r="D222" s="395"/>
      <c r="E222" s="395"/>
      <c r="F222" s="395"/>
      <c r="G222" s="395"/>
      <c r="H222" s="395"/>
      <c r="I222" s="395"/>
      <c r="J222" s="395"/>
      <c r="K222" s="395"/>
      <c r="L222" s="395"/>
      <c r="M222" s="395"/>
      <c r="N222" s="395"/>
      <c r="O222" s="395"/>
      <c r="P222" s="395"/>
      <c r="Q222" s="395"/>
      <c r="R222" s="395"/>
      <c r="S222" s="395"/>
      <c r="T222" s="395"/>
      <c r="U222" s="395"/>
      <c r="V222" s="395"/>
      <c r="W222" s="395"/>
      <c r="X222" s="395"/>
      <c r="Y222" s="395"/>
      <c r="Z222" s="395"/>
      <c r="AA222" s="395"/>
      <c r="AB222" s="395"/>
      <c r="AC222" s="395"/>
      <c r="AD222" s="395"/>
      <c r="AE222" s="395"/>
      <c r="AF222" s="395"/>
    </row>
    <row r="223" spans="4:32">
      <c r="D223" s="395"/>
      <c r="E223" s="395"/>
      <c r="F223" s="395"/>
      <c r="G223" s="395"/>
      <c r="H223" s="395"/>
      <c r="I223" s="395"/>
      <c r="J223" s="395"/>
      <c r="K223" s="395"/>
      <c r="L223" s="395"/>
      <c r="M223" s="395"/>
      <c r="N223" s="395"/>
      <c r="O223" s="395"/>
      <c r="P223" s="395"/>
      <c r="Q223" s="395"/>
      <c r="R223" s="395"/>
      <c r="S223" s="395"/>
      <c r="T223" s="395"/>
      <c r="U223" s="395"/>
      <c r="V223" s="395"/>
      <c r="W223" s="395"/>
      <c r="X223" s="395"/>
      <c r="Y223" s="395"/>
      <c r="Z223" s="395"/>
      <c r="AA223" s="395"/>
      <c r="AB223" s="395"/>
      <c r="AC223" s="395"/>
      <c r="AD223" s="395"/>
      <c r="AE223" s="395"/>
      <c r="AF223" s="395"/>
    </row>
    <row r="224" spans="4:32">
      <c r="D224" s="395"/>
      <c r="E224" s="395"/>
      <c r="F224" s="395"/>
      <c r="G224" s="395"/>
      <c r="H224" s="395"/>
      <c r="I224" s="395"/>
      <c r="J224" s="395"/>
      <c r="K224" s="395"/>
      <c r="L224" s="395"/>
      <c r="M224" s="395"/>
      <c r="N224" s="395"/>
      <c r="O224" s="395"/>
      <c r="P224" s="395"/>
      <c r="Q224" s="395"/>
      <c r="R224" s="395"/>
      <c r="S224" s="395"/>
      <c r="T224" s="395"/>
      <c r="U224" s="395"/>
      <c r="V224" s="395"/>
      <c r="W224" s="395"/>
      <c r="X224" s="395"/>
      <c r="Y224" s="395"/>
      <c r="Z224" s="395"/>
      <c r="AA224" s="395"/>
      <c r="AB224" s="395"/>
      <c r="AC224" s="395"/>
      <c r="AD224" s="395"/>
      <c r="AE224" s="395"/>
      <c r="AF224" s="395"/>
    </row>
    <row r="225" spans="4:32">
      <c r="D225" s="395"/>
      <c r="E225" s="395"/>
      <c r="F225" s="395"/>
      <c r="G225" s="395"/>
      <c r="H225" s="395"/>
      <c r="I225" s="395"/>
      <c r="J225" s="395"/>
      <c r="K225" s="395"/>
      <c r="L225" s="395"/>
      <c r="M225" s="395"/>
      <c r="N225" s="395"/>
      <c r="O225" s="395"/>
      <c r="P225" s="395"/>
      <c r="Q225" s="395"/>
      <c r="R225" s="395"/>
      <c r="S225" s="395"/>
      <c r="T225" s="395"/>
      <c r="U225" s="395"/>
      <c r="V225" s="395"/>
      <c r="W225" s="395"/>
      <c r="X225" s="395"/>
      <c r="Y225" s="395"/>
      <c r="Z225" s="395"/>
      <c r="AA225" s="395"/>
      <c r="AB225" s="395"/>
      <c r="AC225" s="395"/>
      <c r="AD225" s="395"/>
      <c r="AE225" s="395"/>
      <c r="AF225" s="395"/>
    </row>
    <row r="226" spans="4:32">
      <c r="D226" s="395"/>
      <c r="E226" s="395"/>
      <c r="F226" s="395"/>
      <c r="G226" s="395"/>
      <c r="H226" s="395"/>
      <c r="I226" s="395"/>
      <c r="J226" s="395"/>
      <c r="K226" s="395"/>
      <c r="L226" s="395"/>
      <c r="M226" s="395"/>
      <c r="N226" s="395"/>
      <c r="O226" s="395"/>
      <c r="P226" s="395"/>
      <c r="Q226" s="395"/>
      <c r="R226" s="395"/>
      <c r="S226" s="395"/>
      <c r="T226" s="395"/>
      <c r="U226" s="395"/>
      <c r="V226" s="395"/>
      <c r="W226" s="395"/>
      <c r="X226" s="395"/>
      <c r="Y226" s="395"/>
      <c r="Z226" s="395"/>
      <c r="AA226" s="395"/>
      <c r="AB226" s="395"/>
      <c r="AC226" s="395"/>
      <c r="AD226" s="395"/>
      <c r="AE226" s="395"/>
      <c r="AF226" s="395"/>
    </row>
    <row r="227" spans="4:32">
      <c r="D227" s="395"/>
      <c r="E227" s="395"/>
      <c r="F227" s="395"/>
      <c r="G227" s="395"/>
      <c r="H227" s="395"/>
      <c r="I227" s="395"/>
      <c r="J227" s="395"/>
      <c r="K227" s="395"/>
      <c r="L227" s="395"/>
      <c r="M227" s="395"/>
      <c r="N227" s="395"/>
      <c r="O227" s="395"/>
      <c r="P227" s="395"/>
      <c r="Q227" s="395"/>
      <c r="R227" s="395"/>
      <c r="S227" s="395"/>
      <c r="T227" s="395"/>
      <c r="U227" s="395"/>
      <c r="V227" s="395"/>
      <c r="W227" s="395"/>
      <c r="X227" s="395"/>
      <c r="Y227" s="395"/>
      <c r="Z227" s="395"/>
      <c r="AA227" s="395"/>
      <c r="AB227" s="395"/>
      <c r="AC227" s="395"/>
      <c r="AD227" s="395"/>
      <c r="AE227" s="395"/>
      <c r="AF227" s="395"/>
    </row>
    <row r="228" spans="4:32">
      <c r="D228" s="395"/>
      <c r="E228" s="395"/>
      <c r="F228" s="395"/>
      <c r="G228" s="395"/>
      <c r="H228" s="395"/>
      <c r="I228" s="395"/>
      <c r="J228" s="395"/>
      <c r="K228" s="395"/>
      <c r="L228" s="395"/>
      <c r="M228" s="395"/>
      <c r="N228" s="395"/>
      <c r="O228" s="395"/>
      <c r="P228" s="395"/>
      <c r="Q228" s="395"/>
      <c r="R228" s="395"/>
      <c r="S228" s="395"/>
      <c r="T228" s="395"/>
      <c r="U228" s="395"/>
      <c r="V228" s="395"/>
      <c r="W228" s="395"/>
      <c r="X228" s="395"/>
      <c r="Y228" s="395"/>
      <c r="Z228" s="395"/>
      <c r="AA228" s="395"/>
      <c r="AB228" s="395"/>
      <c r="AC228" s="395"/>
      <c r="AD228" s="395"/>
      <c r="AE228" s="395"/>
      <c r="AF228" s="395"/>
    </row>
    <row r="229" spans="4:32">
      <c r="D229" s="395"/>
      <c r="E229" s="395"/>
      <c r="F229" s="395"/>
      <c r="G229" s="395"/>
      <c r="H229" s="395"/>
      <c r="I229" s="395"/>
      <c r="J229" s="395"/>
      <c r="K229" s="395"/>
      <c r="L229" s="395"/>
      <c r="M229" s="395"/>
      <c r="N229" s="395"/>
      <c r="O229" s="395"/>
      <c r="P229" s="395"/>
      <c r="Q229" s="395"/>
      <c r="R229" s="395"/>
      <c r="S229" s="395"/>
      <c r="T229" s="395"/>
      <c r="U229" s="395"/>
      <c r="V229" s="395"/>
      <c r="W229" s="395"/>
      <c r="X229" s="395"/>
      <c r="Y229" s="395"/>
      <c r="Z229" s="395"/>
      <c r="AA229" s="395"/>
      <c r="AB229" s="395"/>
      <c r="AC229" s="395"/>
      <c r="AD229" s="395"/>
      <c r="AE229" s="395"/>
      <c r="AF229" s="395"/>
    </row>
    <row r="230" spans="4:32">
      <c r="D230" s="395"/>
      <c r="E230" s="395"/>
      <c r="F230" s="395"/>
      <c r="G230" s="395"/>
      <c r="H230" s="395"/>
      <c r="I230" s="395"/>
      <c r="J230" s="395"/>
      <c r="K230" s="395"/>
      <c r="L230" s="395"/>
      <c r="M230" s="395"/>
      <c r="N230" s="395"/>
      <c r="O230" s="395"/>
      <c r="P230" s="395"/>
      <c r="Q230" s="395"/>
      <c r="R230" s="395"/>
      <c r="S230" s="395"/>
      <c r="T230" s="395"/>
      <c r="U230" s="395"/>
      <c r="V230" s="395"/>
      <c r="W230" s="395"/>
      <c r="X230" s="395"/>
      <c r="Y230" s="395"/>
      <c r="Z230" s="395"/>
      <c r="AA230" s="395"/>
      <c r="AB230" s="395"/>
      <c r="AC230" s="395"/>
      <c r="AD230" s="395"/>
      <c r="AE230" s="395"/>
      <c r="AF230" s="395"/>
    </row>
    <row r="231" spans="4:32">
      <c r="D231" s="395"/>
      <c r="E231" s="395"/>
      <c r="F231" s="395"/>
      <c r="G231" s="395"/>
      <c r="H231" s="395"/>
      <c r="I231" s="395"/>
      <c r="J231" s="395"/>
      <c r="K231" s="395"/>
      <c r="L231" s="395"/>
      <c r="M231" s="395"/>
      <c r="N231" s="395"/>
      <c r="O231" s="395"/>
      <c r="P231" s="395"/>
      <c r="Q231" s="395"/>
      <c r="R231" s="395"/>
      <c r="S231" s="395"/>
      <c r="T231" s="395"/>
      <c r="U231" s="395"/>
      <c r="V231" s="395"/>
      <c r="W231" s="395"/>
      <c r="X231" s="395"/>
      <c r="Y231" s="395"/>
      <c r="Z231" s="395"/>
      <c r="AA231" s="395"/>
      <c r="AB231" s="395"/>
      <c r="AC231" s="395"/>
      <c r="AD231" s="395"/>
      <c r="AE231" s="395"/>
      <c r="AF231" s="395"/>
    </row>
    <row r="232" spans="4:32">
      <c r="D232" s="395"/>
      <c r="E232" s="395"/>
      <c r="F232" s="395"/>
      <c r="G232" s="395"/>
      <c r="H232" s="395"/>
      <c r="I232" s="395"/>
      <c r="J232" s="395"/>
      <c r="K232" s="395"/>
      <c r="L232" s="395"/>
      <c r="M232" s="395"/>
      <c r="N232" s="395"/>
      <c r="O232" s="395"/>
      <c r="P232" s="395"/>
      <c r="Q232" s="395"/>
      <c r="R232" s="395"/>
      <c r="S232" s="395"/>
      <c r="T232" s="395"/>
      <c r="U232" s="395"/>
      <c r="V232" s="395"/>
      <c r="W232" s="395"/>
      <c r="X232" s="395"/>
      <c r="Y232" s="395"/>
      <c r="Z232" s="395"/>
      <c r="AA232" s="395"/>
      <c r="AB232" s="395"/>
      <c r="AC232" s="395"/>
      <c r="AD232" s="395"/>
      <c r="AE232" s="395"/>
      <c r="AF232" s="395"/>
    </row>
    <row r="233" spans="4:32">
      <c r="D233" s="395"/>
      <c r="E233" s="395"/>
      <c r="F233" s="395"/>
      <c r="G233" s="395"/>
      <c r="H233" s="395"/>
      <c r="I233" s="395"/>
      <c r="J233" s="395"/>
      <c r="K233" s="395"/>
      <c r="L233" s="395"/>
      <c r="M233" s="395"/>
      <c r="N233" s="395"/>
      <c r="O233" s="395"/>
      <c r="P233" s="395"/>
      <c r="Q233" s="395"/>
      <c r="R233" s="395"/>
      <c r="S233" s="395"/>
      <c r="T233" s="395"/>
      <c r="U233" s="395"/>
      <c r="V233" s="395"/>
      <c r="W233" s="395"/>
      <c r="X233" s="395"/>
      <c r="Y233" s="395"/>
      <c r="Z233" s="395"/>
      <c r="AA233" s="395"/>
      <c r="AB233" s="395"/>
      <c r="AC233" s="395"/>
      <c r="AD233" s="395"/>
      <c r="AE233" s="395"/>
      <c r="AF233" s="395"/>
    </row>
    <row r="234" spans="4:32">
      <c r="D234" s="395"/>
      <c r="E234" s="395"/>
      <c r="F234" s="395"/>
      <c r="G234" s="395"/>
      <c r="H234" s="395"/>
      <c r="I234" s="395"/>
      <c r="J234" s="395"/>
      <c r="K234" s="395"/>
      <c r="L234" s="395"/>
      <c r="M234" s="395"/>
      <c r="N234" s="395"/>
      <c r="O234" s="395"/>
      <c r="P234" s="395"/>
      <c r="Q234" s="395"/>
      <c r="R234" s="395"/>
      <c r="S234" s="395"/>
      <c r="T234" s="395"/>
      <c r="U234" s="395"/>
      <c r="V234" s="395"/>
      <c r="W234" s="395"/>
      <c r="X234" s="395"/>
      <c r="Y234" s="395"/>
      <c r="Z234" s="395"/>
      <c r="AA234" s="395"/>
      <c r="AB234" s="395"/>
      <c r="AC234" s="395"/>
      <c r="AD234" s="395"/>
      <c r="AE234" s="395"/>
      <c r="AF234" s="395"/>
    </row>
    <row r="235" spans="4:32">
      <c r="D235" s="395"/>
      <c r="E235" s="395"/>
      <c r="F235" s="395"/>
      <c r="G235" s="395"/>
      <c r="H235" s="395"/>
      <c r="I235" s="395"/>
      <c r="J235" s="395"/>
      <c r="K235" s="395"/>
      <c r="L235" s="395"/>
      <c r="M235" s="395"/>
      <c r="N235" s="395"/>
      <c r="O235" s="395"/>
      <c r="P235" s="395"/>
      <c r="Q235" s="395"/>
      <c r="R235" s="395"/>
      <c r="S235" s="395"/>
      <c r="T235" s="395"/>
      <c r="U235" s="395"/>
      <c r="V235" s="395"/>
      <c r="W235" s="395"/>
      <c r="X235" s="395"/>
      <c r="Y235" s="395"/>
      <c r="Z235" s="395"/>
      <c r="AA235" s="395"/>
      <c r="AB235" s="395"/>
      <c r="AC235" s="395"/>
      <c r="AD235" s="395"/>
      <c r="AE235" s="395"/>
      <c r="AF235" s="395"/>
    </row>
    <row r="236" spans="4:32">
      <c r="D236" s="395"/>
      <c r="E236" s="395"/>
      <c r="F236" s="395"/>
      <c r="G236" s="395"/>
      <c r="H236" s="395"/>
      <c r="I236" s="395"/>
      <c r="J236" s="395"/>
      <c r="K236" s="395"/>
      <c r="L236" s="395"/>
      <c r="M236" s="395"/>
      <c r="N236" s="395"/>
      <c r="O236" s="395"/>
      <c r="P236" s="395"/>
      <c r="Q236" s="395"/>
      <c r="R236" s="395"/>
      <c r="S236" s="395"/>
      <c r="T236" s="395"/>
      <c r="U236" s="395"/>
      <c r="V236" s="395"/>
      <c r="W236" s="395"/>
      <c r="X236" s="395"/>
      <c r="Y236" s="395"/>
      <c r="Z236" s="395"/>
      <c r="AA236" s="395"/>
      <c r="AB236" s="395"/>
      <c r="AC236" s="395"/>
      <c r="AD236" s="395"/>
      <c r="AE236" s="395"/>
      <c r="AF236" s="395"/>
    </row>
    <row r="237" spans="4:32">
      <c r="D237" s="395"/>
      <c r="E237" s="395"/>
      <c r="F237" s="395"/>
      <c r="G237" s="395"/>
      <c r="H237" s="395"/>
      <c r="I237" s="395"/>
      <c r="J237" s="395"/>
      <c r="K237" s="395"/>
      <c r="L237" s="395"/>
      <c r="M237" s="395"/>
      <c r="N237" s="395"/>
      <c r="O237" s="395"/>
      <c r="P237" s="395"/>
      <c r="Q237" s="395"/>
      <c r="R237" s="395"/>
      <c r="S237" s="395"/>
      <c r="T237" s="395"/>
      <c r="U237" s="395"/>
      <c r="V237" s="395"/>
      <c r="W237" s="395"/>
      <c r="X237" s="395"/>
      <c r="Y237" s="395"/>
      <c r="Z237" s="395"/>
      <c r="AA237" s="395"/>
      <c r="AB237" s="395"/>
      <c r="AC237" s="395"/>
      <c r="AD237" s="395"/>
      <c r="AE237" s="395"/>
      <c r="AF237" s="395"/>
    </row>
    <row r="238" spans="4:32">
      <c r="D238" s="395"/>
      <c r="E238" s="395"/>
      <c r="F238" s="395"/>
      <c r="G238" s="395"/>
      <c r="H238" s="395"/>
      <c r="I238" s="395"/>
      <c r="J238" s="395"/>
      <c r="K238" s="395"/>
      <c r="L238" s="395"/>
      <c r="M238" s="395"/>
      <c r="N238" s="395"/>
      <c r="O238" s="395"/>
      <c r="P238" s="395"/>
      <c r="Q238" s="395"/>
      <c r="R238" s="395"/>
      <c r="S238" s="395"/>
      <c r="T238" s="395"/>
      <c r="U238" s="395"/>
      <c r="V238" s="395"/>
      <c r="W238" s="395"/>
      <c r="X238" s="395"/>
      <c r="Y238" s="395"/>
      <c r="Z238" s="395"/>
      <c r="AA238" s="395"/>
      <c r="AB238" s="395"/>
      <c r="AC238" s="395"/>
      <c r="AD238" s="395"/>
      <c r="AE238" s="395"/>
      <c r="AF238" s="395"/>
    </row>
    <row r="239" spans="4:32">
      <c r="D239" s="395"/>
      <c r="E239" s="395"/>
      <c r="F239" s="395"/>
      <c r="G239" s="395"/>
      <c r="H239" s="395"/>
      <c r="I239" s="395"/>
      <c r="J239" s="395"/>
      <c r="K239" s="395"/>
      <c r="L239" s="395"/>
      <c r="M239" s="395"/>
      <c r="N239" s="395"/>
      <c r="O239" s="395"/>
      <c r="P239" s="395"/>
      <c r="Q239" s="395"/>
      <c r="R239" s="395"/>
      <c r="S239" s="395"/>
      <c r="T239" s="395"/>
      <c r="U239" s="395"/>
      <c r="V239" s="395"/>
      <c r="W239" s="395"/>
      <c r="X239" s="395"/>
      <c r="Y239" s="395"/>
      <c r="Z239" s="395"/>
      <c r="AA239" s="395"/>
      <c r="AB239" s="395"/>
      <c r="AC239" s="395"/>
      <c r="AD239" s="395"/>
      <c r="AE239" s="395"/>
      <c r="AF239" s="395"/>
    </row>
    <row r="240" spans="4:32">
      <c r="D240" s="395"/>
      <c r="E240" s="395"/>
      <c r="F240" s="395"/>
      <c r="G240" s="395"/>
      <c r="H240" s="395"/>
      <c r="I240" s="395"/>
      <c r="J240" s="395"/>
      <c r="K240" s="395"/>
      <c r="L240" s="395"/>
      <c r="M240" s="395"/>
      <c r="N240" s="395"/>
      <c r="O240" s="395"/>
      <c r="P240" s="395"/>
      <c r="Q240" s="395"/>
      <c r="R240" s="395"/>
      <c r="S240" s="395"/>
      <c r="T240" s="395"/>
      <c r="U240" s="395"/>
      <c r="V240" s="395"/>
      <c r="W240" s="395"/>
      <c r="X240" s="395"/>
      <c r="Y240" s="395"/>
      <c r="Z240" s="395"/>
      <c r="AA240" s="395"/>
      <c r="AB240" s="395"/>
      <c r="AC240" s="395"/>
      <c r="AD240" s="395"/>
      <c r="AE240" s="395"/>
      <c r="AF240" s="395"/>
    </row>
    <row r="241" spans="4:32">
      <c r="D241" s="395"/>
      <c r="E241" s="395"/>
      <c r="F241" s="395"/>
      <c r="G241" s="395"/>
      <c r="H241" s="395"/>
      <c r="I241" s="395"/>
      <c r="J241" s="395"/>
      <c r="K241" s="395"/>
      <c r="L241" s="395"/>
      <c r="M241" s="395"/>
      <c r="N241" s="395"/>
      <c r="O241" s="395"/>
      <c r="P241" s="395"/>
      <c r="Q241" s="395"/>
      <c r="R241" s="395"/>
      <c r="S241" s="395"/>
      <c r="T241" s="395"/>
      <c r="U241" s="395"/>
      <c r="V241" s="395"/>
      <c r="W241" s="395"/>
      <c r="X241" s="395"/>
      <c r="Y241" s="395"/>
      <c r="Z241" s="395"/>
      <c r="AA241" s="395"/>
      <c r="AB241" s="395"/>
      <c r="AC241" s="395"/>
      <c r="AD241" s="395"/>
      <c r="AE241" s="395"/>
      <c r="AF241" s="395"/>
    </row>
    <row r="242" spans="4:32">
      <c r="D242" s="395"/>
      <c r="E242" s="395"/>
      <c r="F242" s="395"/>
      <c r="G242" s="395"/>
      <c r="H242" s="395"/>
      <c r="I242" s="395"/>
      <c r="J242" s="395"/>
      <c r="K242" s="395"/>
      <c r="L242" s="395"/>
      <c r="M242" s="395"/>
      <c r="N242" s="395"/>
      <c r="O242" s="395"/>
      <c r="P242" s="395"/>
      <c r="Q242" s="395"/>
      <c r="R242" s="395"/>
      <c r="S242" s="395"/>
      <c r="T242" s="395"/>
      <c r="U242" s="395"/>
      <c r="V242" s="395"/>
      <c r="W242" s="395"/>
      <c r="X242" s="395"/>
      <c r="Y242" s="395"/>
      <c r="Z242" s="395"/>
      <c r="AA242" s="395"/>
      <c r="AB242" s="395"/>
      <c r="AC242" s="395"/>
      <c r="AD242" s="395"/>
      <c r="AE242" s="395"/>
      <c r="AF242" s="395"/>
    </row>
    <row r="243" spans="4:32">
      <c r="D243" s="395"/>
      <c r="E243" s="395"/>
      <c r="F243" s="395"/>
      <c r="G243" s="395"/>
      <c r="H243" s="395"/>
      <c r="I243" s="395"/>
      <c r="J243" s="395"/>
      <c r="K243" s="395"/>
      <c r="L243" s="395"/>
      <c r="M243" s="395"/>
      <c r="N243" s="395"/>
      <c r="O243" s="395"/>
      <c r="P243" s="395"/>
      <c r="Q243" s="395"/>
      <c r="R243" s="395"/>
      <c r="S243" s="395"/>
      <c r="T243" s="395"/>
      <c r="U243" s="395"/>
      <c r="V243" s="395"/>
      <c r="W243" s="395"/>
      <c r="X243" s="395"/>
      <c r="Y243" s="395"/>
      <c r="Z243" s="395"/>
      <c r="AA243" s="395"/>
      <c r="AB243" s="395"/>
      <c r="AC243" s="395"/>
      <c r="AD243" s="395"/>
      <c r="AE243" s="395"/>
      <c r="AF243" s="395"/>
    </row>
    <row r="244" spans="4:32">
      <c r="D244" s="395"/>
      <c r="E244" s="395"/>
      <c r="F244" s="395"/>
      <c r="G244" s="395"/>
      <c r="H244" s="395"/>
      <c r="I244" s="395"/>
      <c r="J244" s="395"/>
      <c r="K244" s="395"/>
      <c r="L244" s="395"/>
      <c r="M244" s="395"/>
      <c r="N244" s="395"/>
      <c r="O244" s="395"/>
      <c r="P244" s="395"/>
      <c r="Q244" s="395"/>
      <c r="R244" s="395"/>
      <c r="S244" s="395"/>
      <c r="T244" s="395"/>
      <c r="U244" s="395"/>
      <c r="V244" s="395"/>
      <c r="W244" s="395"/>
      <c r="X244" s="395"/>
      <c r="Y244" s="395"/>
      <c r="Z244" s="395"/>
      <c r="AA244" s="395"/>
      <c r="AB244" s="395"/>
      <c r="AC244" s="395"/>
      <c r="AD244" s="395"/>
      <c r="AE244" s="395"/>
      <c r="AF244" s="395"/>
    </row>
    <row r="245" spans="4:32">
      <c r="D245" s="395"/>
      <c r="E245" s="395"/>
      <c r="F245" s="395"/>
      <c r="G245" s="395"/>
      <c r="H245" s="395"/>
      <c r="I245" s="395"/>
      <c r="J245" s="395"/>
      <c r="K245" s="395"/>
      <c r="L245" s="395"/>
      <c r="M245" s="395"/>
      <c r="N245" s="395"/>
      <c r="O245" s="395"/>
      <c r="P245" s="395"/>
      <c r="Q245" s="395"/>
      <c r="R245" s="395"/>
      <c r="S245" s="395"/>
      <c r="T245" s="395"/>
      <c r="U245" s="395"/>
      <c r="V245" s="395"/>
      <c r="W245" s="395"/>
      <c r="X245" s="395"/>
      <c r="Y245" s="395"/>
      <c r="Z245" s="395"/>
      <c r="AA245" s="395"/>
      <c r="AB245" s="395"/>
      <c r="AC245" s="395"/>
      <c r="AD245" s="395"/>
      <c r="AE245" s="395"/>
      <c r="AF245" s="395"/>
    </row>
    <row r="246" spans="4:32">
      <c r="D246" s="395"/>
      <c r="E246" s="395"/>
      <c r="F246" s="395"/>
      <c r="G246" s="395"/>
      <c r="H246" s="395"/>
      <c r="I246" s="395"/>
      <c r="J246" s="395"/>
      <c r="K246" s="395"/>
      <c r="L246" s="395"/>
      <c r="M246" s="395"/>
      <c r="N246" s="395"/>
      <c r="O246" s="395"/>
      <c r="P246" s="395"/>
      <c r="Q246" s="395"/>
      <c r="R246" s="395"/>
      <c r="S246" s="395"/>
      <c r="T246" s="395"/>
      <c r="U246" s="395"/>
      <c r="V246" s="395"/>
      <c r="W246" s="395"/>
      <c r="X246" s="395"/>
      <c r="Y246" s="395"/>
      <c r="Z246" s="395"/>
      <c r="AA246" s="395"/>
      <c r="AB246" s="395"/>
      <c r="AC246" s="395"/>
      <c r="AD246" s="395"/>
      <c r="AE246" s="395"/>
      <c r="AF246" s="395"/>
    </row>
    <row r="247" spans="4:32">
      <c r="D247" s="395"/>
      <c r="E247" s="395"/>
      <c r="F247" s="395"/>
      <c r="G247" s="395"/>
      <c r="H247" s="395"/>
      <c r="I247" s="395"/>
      <c r="J247" s="395"/>
      <c r="K247" s="395"/>
      <c r="L247" s="395"/>
      <c r="M247" s="395"/>
      <c r="N247" s="395"/>
      <c r="O247" s="395"/>
      <c r="P247" s="395"/>
      <c r="Q247" s="395"/>
      <c r="R247" s="395"/>
      <c r="S247" s="395"/>
      <c r="T247" s="395"/>
      <c r="U247" s="395"/>
      <c r="V247" s="395"/>
      <c r="W247" s="395"/>
      <c r="X247" s="395"/>
      <c r="Y247" s="395"/>
      <c r="Z247" s="395"/>
      <c r="AA247" s="395"/>
      <c r="AB247" s="395"/>
      <c r="AC247" s="395"/>
      <c r="AD247" s="395"/>
      <c r="AE247" s="395"/>
      <c r="AF247" s="395"/>
    </row>
    <row r="248" spans="4:32">
      <c r="D248" s="395"/>
      <c r="E248" s="395"/>
      <c r="F248" s="395"/>
      <c r="G248" s="395"/>
      <c r="H248" s="395"/>
      <c r="I248" s="395"/>
      <c r="J248" s="395"/>
      <c r="K248" s="395"/>
      <c r="L248" s="395"/>
      <c r="M248" s="395"/>
      <c r="N248" s="395"/>
      <c r="O248" s="395"/>
      <c r="P248" s="395"/>
      <c r="Q248" s="395"/>
      <c r="R248" s="395"/>
      <c r="S248" s="395"/>
      <c r="T248" s="395"/>
      <c r="U248" s="395"/>
      <c r="V248" s="395"/>
      <c r="W248" s="395"/>
      <c r="X248" s="395"/>
      <c r="Y248" s="395"/>
      <c r="Z248" s="395"/>
      <c r="AA248" s="395"/>
      <c r="AB248" s="395"/>
      <c r="AC248" s="395"/>
      <c r="AD248" s="395"/>
      <c r="AE248" s="395"/>
      <c r="AF248" s="395"/>
    </row>
    <row r="249" spans="4:32">
      <c r="D249" s="395"/>
      <c r="E249" s="395"/>
      <c r="F249" s="395"/>
      <c r="G249" s="395"/>
      <c r="H249" s="395"/>
      <c r="I249" s="395"/>
      <c r="J249" s="395"/>
      <c r="K249" s="395"/>
      <c r="L249" s="395"/>
      <c r="M249" s="395"/>
      <c r="N249" s="395"/>
      <c r="O249" s="395"/>
      <c r="P249" s="395"/>
      <c r="Q249" s="395"/>
      <c r="R249" s="395"/>
      <c r="S249" s="395"/>
      <c r="T249" s="395"/>
      <c r="U249" s="395"/>
      <c r="V249" s="395"/>
      <c r="W249" s="395"/>
      <c r="X249" s="395"/>
      <c r="Y249" s="395"/>
      <c r="Z249" s="395"/>
      <c r="AA249" s="395"/>
      <c r="AB249" s="395"/>
      <c r="AC249" s="395"/>
      <c r="AD249" s="395"/>
      <c r="AE249" s="395"/>
      <c r="AF249" s="395"/>
    </row>
    <row r="250" spans="4:32">
      <c r="D250" s="395"/>
      <c r="E250" s="395"/>
      <c r="F250" s="395"/>
      <c r="G250" s="395"/>
      <c r="H250" s="395"/>
      <c r="I250" s="395"/>
      <c r="J250" s="395"/>
      <c r="K250" s="395"/>
      <c r="L250" s="395"/>
      <c r="M250" s="395"/>
      <c r="N250" s="395"/>
      <c r="O250" s="395"/>
      <c r="P250" s="395"/>
      <c r="Q250" s="395"/>
      <c r="R250" s="395"/>
      <c r="S250" s="395"/>
      <c r="T250" s="395"/>
      <c r="U250" s="395"/>
      <c r="V250" s="395"/>
      <c r="W250" s="395"/>
      <c r="X250" s="395"/>
      <c r="Y250" s="395"/>
      <c r="Z250" s="395"/>
      <c r="AA250" s="395"/>
      <c r="AB250" s="395"/>
      <c r="AC250" s="395"/>
      <c r="AD250" s="395"/>
      <c r="AE250" s="395"/>
      <c r="AF250" s="395"/>
    </row>
    <row r="251" spans="4:32">
      <c r="D251" s="395"/>
      <c r="E251" s="395"/>
      <c r="F251" s="395"/>
      <c r="G251" s="395"/>
      <c r="H251" s="395"/>
      <c r="I251" s="395"/>
      <c r="J251" s="395"/>
      <c r="K251" s="395"/>
      <c r="L251" s="395"/>
      <c r="M251" s="395"/>
      <c r="N251" s="395"/>
      <c r="O251" s="395"/>
      <c r="P251" s="395"/>
      <c r="Q251" s="395"/>
      <c r="R251" s="395"/>
      <c r="S251" s="395"/>
      <c r="T251" s="395"/>
      <c r="U251" s="395"/>
      <c r="V251" s="395"/>
      <c r="W251" s="395"/>
      <c r="X251" s="395"/>
      <c r="Y251" s="395"/>
      <c r="Z251" s="395"/>
      <c r="AA251" s="395"/>
      <c r="AB251" s="395"/>
      <c r="AC251" s="395"/>
      <c r="AD251" s="395"/>
      <c r="AE251" s="395"/>
      <c r="AF251" s="395"/>
    </row>
    <row r="252" spans="4:32">
      <c r="D252" s="395"/>
      <c r="E252" s="395"/>
      <c r="F252" s="395"/>
      <c r="G252" s="395"/>
      <c r="H252" s="395"/>
      <c r="I252" s="395"/>
      <c r="J252" s="395"/>
      <c r="K252" s="395"/>
      <c r="L252" s="395"/>
      <c r="M252" s="395"/>
      <c r="N252" s="395"/>
      <c r="O252" s="395"/>
      <c r="P252" s="395"/>
      <c r="Q252" s="395"/>
      <c r="R252" s="395"/>
      <c r="S252" s="395"/>
      <c r="T252" s="395"/>
      <c r="U252" s="395"/>
      <c r="V252" s="395"/>
      <c r="W252" s="395"/>
      <c r="X252" s="395"/>
      <c r="Y252" s="395"/>
      <c r="Z252" s="395"/>
      <c r="AA252" s="395"/>
      <c r="AB252" s="395"/>
      <c r="AC252" s="395"/>
      <c r="AD252" s="395"/>
      <c r="AE252" s="395"/>
      <c r="AF252" s="395"/>
    </row>
    <row r="253" spans="4:32">
      <c r="D253" s="395"/>
      <c r="E253" s="395"/>
      <c r="F253" s="395"/>
      <c r="G253" s="395"/>
      <c r="H253" s="395"/>
      <c r="I253" s="395"/>
      <c r="J253" s="395"/>
      <c r="K253" s="395"/>
      <c r="L253" s="395"/>
      <c r="M253" s="395"/>
      <c r="N253" s="395"/>
      <c r="O253" s="395"/>
      <c r="P253" s="395"/>
      <c r="Q253" s="395"/>
      <c r="R253" s="395"/>
      <c r="S253" s="395"/>
      <c r="T253" s="395"/>
      <c r="U253" s="395"/>
      <c r="V253" s="395"/>
      <c r="W253" s="395"/>
      <c r="X253" s="395"/>
      <c r="Y253" s="395"/>
      <c r="Z253" s="395"/>
      <c r="AA253" s="395"/>
      <c r="AB253" s="395"/>
      <c r="AC253" s="395"/>
      <c r="AD253" s="395"/>
      <c r="AE253" s="395"/>
      <c r="AF253" s="395"/>
    </row>
    <row r="254" spans="4:32">
      <c r="D254" s="395"/>
      <c r="E254" s="395"/>
      <c r="F254" s="395"/>
      <c r="G254" s="395"/>
      <c r="H254" s="395"/>
      <c r="I254" s="395"/>
      <c r="J254" s="395"/>
      <c r="K254" s="395"/>
      <c r="L254" s="395"/>
      <c r="M254" s="395"/>
      <c r="N254" s="395"/>
      <c r="O254" s="395"/>
      <c r="P254" s="395"/>
      <c r="Q254" s="395"/>
      <c r="R254" s="395"/>
      <c r="S254" s="395"/>
      <c r="T254" s="395"/>
      <c r="U254" s="395"/>
      <c r="V254" s="395"/>
      <c r="W254" s="395"/>
      <c r="X254" s="395"/>
      <c r="Y254" s="395"/>
      <c r="Z254" s="395"/>
      <c r="AA254" s="395"/>
      <c r="AB254" s="395"/>
      <c r="AC254" s="395"/>
      <c r="AD254" s="395"/>
      <c r="AE254" s="395"/>
      <c r="AF254" s="395"/>
    </row>
    <row r="255" spans="4:32">
      <c r="D255" s="395"/>
      <c r="E255" s="395"/>
      <c r="F255" s="395"/>
      <c r="G255" s="395"/>
      <c r="H255" s="395"/>
      <c r="I255" s="395"/>
      <c r="J255" s="395"/>
      <c r="K255" s="395"/>
      <c r="L255" s="395"/>
      <c r="M255" s="395"/>
      <c r="N255" s="395"/>
      <c r="O255" s="395"/>
      <c r="P255" s="395"/>
      <c r="Q255" s="395"/>
      <c r="R255" s="395"/>
      <c r="S255" s="395"/>
      <c r="T255" s="395"/>
      <c r="U255" s="395"/>
      <c r="V255" s="395"/>
      <c r="W255" s="395"/>
      <c r="X255" s="395"/>
      <c r="Y255" s="395"/>
      <c r="Z255" s="395"/>
      <c r="AA255" s="395"/>
      <c r="AB255" s="395"/>
      <c r="AC255" s="395"/>
      <c r="AD255" s="395"/>
      <c r="AE255" s="395"/>
      <c r="AF255" s="395"/>
    </row>
    <row r="256" spans="4:32">
      <c r="D256" s="395"/>
      <c r="E256" s="395"/>
      <c r="F256" s="395"/>
      <c r="G256" s="395"/>
      <c r="H256" s="395"/>
      <c r="I256" s="395"/>
      <c r="J256" s="395"/>
      <c r="K256" s="395"/>
      <c r="L256" s="395"/>
      <c r="M256" s="395"/>
      <c r="N256" s="395"/>
      <c r="O256" s="395"/>
      <c r="P256" s="395"/>
      <c r="Q256" s="395"/>
      <c r="R256" s="395"/>
      <c r="S256" s="395"/>
      <c r="T256" s="395"/>
      <c r="U256" s="395"/>
      <c r="V256" s="395"/>
      <c r="W256" s="395"/>
      <c r="X256" s="395"/>
      <c r="Y256" s="395"/>
      <c r="Z256" s="395"/>
      <c r="AA256" s="395"/>
      <c r="AB256" s="395"/>
      <c r="AC256" s="395"/>
      <c r="AD256" s="395"/>
      <c r="AE256" s="395"/>
      <c r="AF256" s="395"/>
    </row>
    <row r="257" spans="4:32">
      <c r="D257" s="395"/>
      <c r="E257" s="395"/>
      <c r="F257" s="395"/>
      <c r="G257" s="395"/>
      <c r="H257" s="395"/>
      <c r="I257" s="395"/>
      <c r="J257" s="395"/>
      <c r="K257" s="395"/>
      <c r="L257" s="395"/>
      <c r="M257" s="395"/>
      <c r="N257" s="395"/>
      <c r="O257" s="395"/>
      <c r="P257" s="395"/>
      <c r="Q257" s="395"/>
      <c r="R257" s="395"/>
      <c r="S257" s="395"/>
      <c r="T257" s="395"/>
      <c r="U257" s="395"/>
      <c r="V257" s="395"/>
      <c r="W257" s="395"/>
      <c r="X257" s="395"/>
      <c r="Y257" s="395"/>
      <c r="Z257" s="395"/>
      <c r="AA257" s="395"/>
      <c r="AB257" s="395"/>
      <c r="AC257" s="395"/>
      <c r="AD257" s="395"/>
      <c r="AE257" s="395"/>
      <c r="AF257" s="395"/>
    </row>
    <row r="258" spans="4:32">
      <c r="D258" s="395"/>
      <c r="E258" s="395"/>
      <c r="F258" s="395"/>
      <c r="G258" s="395"/>
      <c r="H258" s="395"/>
      <c r="I258" s="395"/>
      <c r="J258" s="395"/>
      <c r="K258" s="395"/>
      <c r="L258" s="395"/>
      <c r="M258" s="395"/>
      <c r="N258" s="395"/>
      <c r="O258" s="395"/>
      <c r="P258" s="395"/>
      <c r="Q258" s="395"/>
      <c r="R258" s="395"/>
      <c r="S258" s="395"/>
      <c r="T258" s="395"/>
      <c r="U258" s="395"/>
      <c r="V258" s="395"/>
      <c r="W258" s="395"/>
      <c r="X258" s="395"/>
      <c r="Y258" s="395"/>
      <c r="Z258" s="395"/>
      <c r="AA258" s="395"/>
      <c r="AB258" s="395"/>
      <c r="AC258" s="395"/>
      <c r="AD258" s="395"/>
      <c r="AE258" s="395"/>
      <c r="AF258" s="395"/>
    </row>
    <row r="259" spans="4:32">
      <c r="D259" s="395"/>
      <c r="E259" s="395"/>
      <c r="F259" s="395"/>
      <c r="G259" s="395"/>
      <c r="H259" s="395"/>
      <c r="I259" s="395"/>
      <c r="J259" s="395"/>
      <c r="K259" s="395"/>
      <c r="L259" s="395"/>
      <c r="M259" s="395"/>
      <c r="N259" s="395"/>
      <c r="O259" s="395"/>
      <c r="P259" s="395"/>
      <c r="Q259" s="395"/>
      <c r="R259" s="395"/>
      <c r="S259" s="395"/>
      <c r="T259" s="395"/>
      <c r="U259" s="395"/>
      <c r="V259" s="395"/>
      <c r="W259" s="395"/>
      <c r="X259" s="395"/>
      <c r="Y259" s="395"/>
      <c r="Z259" s="395"/>
      <c r="AA259" s="395"/>
      <c r="AB259" s="395"/>
      <c r="AC259" s="395"/>
      <c r="AD259" s="395"/>
      <c r="AE259" s="395"/>
      <c r="AF259" s="395"/>
    </row>
    <row r="260" spans="4:32">
      <c r="D260" s="395"/>
      <c r="E260" s="395"/>
      <c r="F260" s="395"/>
      <c r="G260" s="395"/>
      <c r="H260" s="395"/>
      <c r="I260" s="395"/>
      <c r="J260" s="395"/>
      <c r="K260" s="395"/>
      <c r="L260" s="395"/>
      <c r="M260" s="395"/>
      <c r="N260" s="395"/>
      <c r="O260" s="395"/>
      <c r="P260" s="395"/>
      <c r="Q260" s="395"/>
      <c r="R260" s="395"/>
      <c r="S260" s="395"/>
      <c r="T260" s="395"/>
      <c r="U260" s="395"/>
      <c r="V260" s="395"/>
      <c r="W260" s="395"/>
      <c r="X260" s="395"/>
      <c r="Y260" s="395"/>
      <c r="Z260" s="395"/>
      <c r="AA260" s="395"/>
      <c r="AB260" s="395"/>
      <c r="AC260" s="395"/>
      <c r="AD260" s="395"/>
      <c r="AE260" s="395"/>
      <c r="AF260" s="395"/>
    </row>
    <row r="261" spans="4:32">
      <c r="D261" s="395"/>
      <c r="E261" s="395"/>
      <c r="F261" s="395"/>
      <c r="G261" s="395"/>
      <c r="H261" s="395"/>
      <c r="I261" s="395"/>
      <c r="J261" s="395"/>
      <c r="K261" s="395"/>
      <c r="L261" s="395"/>
      <c r="M261" s="395"/>
      <c r="N261" s="395"/>
      <c r="O261" s="395"/>
      <c r="P261" s="395"/>
      <c r="Q261" s="395"/>
      <c r="R261" s="395"/>
      <c r="S261" s="395"/>
      <c r="T261" s="395"/>
      <c r="U261" s="395"/>
      <c r="V261" s="395"/>
      <c r="W261" s="395"/>
      <c r="X261" s="395"/>
      <c r="Y261" s="395"/>
      <c r="Z261" s="395"/>
      <c r="AA261" s="395"/>
      <c r="AB261" s="395"/>
      <c r="AC261" s="395"/>
      <c r="AD261" s="395"/>
      <c r="AE261" s="395"/>
      <c r="AF261" s="395"/>
    </row>
    <row r="262" spans="4:32">
      <c r="D262" s="395"/>
      <c r="E262" s="395"/>
      <c r="F262" s="395"/>
      <c r="G262" s="395"/>
      <c r="H262" s="395"/>
      <c r="I262" s="395"/>
      <c r="J262" s="395"/>
      <c r="K262" s="395"/>
      <c r="L262" s="395"/>
      <c r="M262" s="395"/>
      <c r="N262" s="395"/>
      <c r="O262" s="395"/>
      <c r="P262" s="395"/>
      <c r="Q262" s="395"/>
      <c r="R262" s="395"/>
      <c r="S262" s="395"/>
      <c r="T262" s="395"/>
      <c r="U262" s="395"/>
      <c r="V262" s="395"/>
      <c r="W262" s="395"/>
      <c r="X262" s="395"/>
      <c r="Y262" s="395"/>
      <c r="Z262" s="395"/>
      <c r="AA262" s="395"/>
      <c r="AB262" s="395"/>
      <c r="AC262" s="395"/>
      <c r="AD262" s="395"/>
      <c r="AE262" s="395"/>
      <c r="AF262" s="395"/>
    </row>
    <row r="263" spans="4:32">
      <c r="D263" s="395"/>
      <c r="E263" s="395"/>
      <c r="F263" s="395"/>
      <c r="G263" s="395"/>
      <c r="H263" s="395"/>
      <c r="I263" s="395"/>
      <c r="J263" s="395"/>
      <c r="K263" s="395"/>
      <c r="L263" s="395"/>
      <c r="M263" s="395"/>
      <c r="N263" s="395"/>
      <c r="O263" s="395"/>
      <c r="P263" s="395"/>
      <c r="Q263" s="395"/>
      <c r="R263" s="395"/>
      <c r="S263" s="395"/>
      <c r="T263" s="395"/>
      <c r="U263" s="395"/>
      <c r="V263" s="395"/>
      <c r="W263" s="395"/>
      <c r="X263" s="395"/>
      <c r="Y263" s="395"/>
      <c r="Z263" s="395"/>
      <c r="AA263" s="395"/>
      <c r="AB263" s="395"/>
      <c r="AC263" s="395"/>
      <c r="AD263" s="395"/>
      <c r="AE263" s="395"/>
      <c r="AF263" s="395"/>
    </row>
    <row r="264" spans="4:32">
      <c r="D264" s="395"/>
      <c r="E264" s="395"/>
      <c r="F264" s="395"/>
      <c r="G264" s="395"/>
      <c r="H264" s="395"/>
      <c r="I264" s="395"/>
      <c r="J264" s="395"/>
      <c r="K264" s="395"/>
      <c r="L264" s="395"/>
      <c r="M264" s="395"/>
      <c r="N264" s="395"/>
      <c r="O264" s="395"/>
      <c r="P264" s="395"/>
      <c r="Q264" s="395"/>
      <c r="R264" s="395"/>
      <c r="S264" s="395"/>
      <c r="T264" s="395"/>
      <c r="U264" s="395"/>
      <c r="V264" s="395"/>
      <c r="W264" s="395"/>
      <c r="X264" s="395"/>
      <c r="Y264" s="395"/>
      <c r="Z264" s="395"/>
      <c r="AA264" s="395"/>
      <c r="AB264" s="395"/>
      <c r="AC264" s="395"/>
      <c r="AD264" s="395"/>
      <c r="AE264" s="395"/>
      <c r="AF264" s="395"/>
    </row>
    <row r="265" spans="4:32">
      <c r="D265" s="395"/>
      <c r="E265" s="395"/>
      <c r="F265" s="395"/>
      <c r="G265" s="395"/>
      <c r="H265" s="395"/>
      <c r="I265" s="395"/>
      <c r="J265" s="395"/>
      <c r="K265" s="395"/>
      <c r="L265" s="395"/>
      <c r="M265" s="395"/>
      <c r="N265" s="395"/>
      <c r="O265" s="395"/>
      <c r="P265" s="395"/>
      <c r="Q265" s="395"/>
      <c r="R265" s="395"/>
      <c r="S265" s="395"/>
      <c r="T265" s="395"/>
      <c r="U265" s="395"/>
      <c r="V265" s="395"/>
      <c r="W265" s="395"/>
      <c r="X265" s="395"/>
      <c r="Y265" s="395"/>
      <c r="Z265" s="395"/>
      <c r="AA265" s="395"/>
      <c r="AB265" s="395"/>
      <c r="AC265" s="395"/>
      <c r="AD265" s="395"/>
      <c r="AE265" s="395"/>
      <c r="AF265" s="395"/>
    </row>
    <row r="266" spans="4:32">
      <c r="D266" s="395"/>
      <c r="E266" s="395"/>
      <c r="F266" s="395"/>
      <c r="G266" s="395"/>
      <c r="H266" s="395"/>
      <c r="I266" s="395"/>
      <c r="J266" s="395"/>
      <c r="K266" s="395"/>
      <c r="L266" s="395"/>
      <c r="M266" s="395"/>
      <c r="N266" s="395"/>
      <c r="O266" s="395"/>
      <c r="P266" s="395"/>
      <c r="Q266" s="395"/>
      <c r="R266" s="395"/>
      <c r="S266" s="395"/>
      <c r="T266" s="395"/>
      <c r="U266" s="395"/>
      <c r="V266" s="395"/>
      <c r="W266" s="395"/>
      <c r="X266" s="395"/>
      <c r="Y266" s="395"/>
      <c r="Z266" s="395"/>
      <c r="AA266" s="395"/>
      <c r="AB266" s="395"/>
      <c r="AC266" s="395"/>
      <c r="AD266" s="395"/>
      <c r="AE266" s="395"/>
      <c r="AF266" s="395"/>
    </row>
    <row r="267" spans="4:32">
      <c r="D267" s="395"/>
      <c r="E267" s="395"/>
      <c r="F267" s="395"/>
      <c r="G267" s="395"/>
      <c r="H267" s="395"/>
      <c r="I267" s="395"/>
      <c r="J267" s="395"/>
      <c r="K267" s="395"/>
      <c r="L267" s="395"/>
      <c r="M267" s="395"/>
      <c r="N267" s="395"/>
      <c r="O267" s="395"/>
      <c r="P267" s="395"/>
      <c r="Q267" s="395"/>
      <c r="R267" s="395"/>
      <c r="S267" s="395"/>
      <c r="T267" s="395"/>
      <c r="U267" s="395"/>
      <c r="V267" s="395"/>
      <c r="W267" s="395"/>
      <c r="X267" s="395"/>
      <c r="Y267" s="395"/>
      <c r="Z267" s="395"/>
      <c r="AA267" s="395"/>
      <c r="AB267" s="395"/>
      <c r="AC267" s="395"/>
      <c r="AD267" s="395"/>
      <c r="AE267" s="395"/>
      <c r="AF267" s="395"/>
    </row>
    <row r="268" spans="4:32">
      <c r="D268" s="395"/>
      <c r="E268" s="395"/>
      <c r="F268" s="395"/>
      <c r="G268" s="395"/>
      <c r="H268" s="395"/>
      <c r="I268" s="395"/>
      <c r="J268" s="395"/>
      <c r="K268" s="395"/>
      <c r="L268" s="395"/>
      <c r="M268" s="395"/>
      <c r="N268" s="395"/>
      <c r="O268" s="395"/>
      <c r="P268" s="395"/>
      <c r="Q268" s="395"/>
      <c r="R268" s="395"/>
      <c r="S268" s="395"/>
      <c r="T268" s="395"/>
      <c r="U268" s="395"/>
      <c r="V268" s="395"/>
      <c r="W268" s="395"/>
      <c r="X268" s="395"/>
      <c r="Y268" s="395"/>
      <c r="Z268" s="395"/>
      <c r="AA268" s="395"/>
      <c r="AB268" s="395"/>
      <c r="AC268" s="395"/>
      <c r="AD268" s="395"/>
      <c r="AE268" s="395"/>
      <c r="AF268" s="395"/>
    </row>
    <row r="269" spans="4:32">
      <c r="D269" s="395"/>
      <c r="E269" s="395"/>
      <c r="F269" s="395"/>
      <c r="G269" s="395"/>
      <c r="H269" s="395"/>
      <c r="I269" s="395"/>
      <c r="J269" s="395"/>
      <c r="K269" s="395"/>
      <c r="L269" s="395"/>
      <c r="M269" s="395"/>
      <c r="N269" s="395"/>
      <c r="O269" s="395"/>
      <c r="P269" s="395"/>
      <c r="Q269" s="395"/>
      <c r="R269" s="395"/>
      <c r="S269" s="395"/>
      <c r="T269" s="395"/>
      <c r="U269" s="395"/>
      <c r="V269" s="395"/>
      <c r="W269" s="395"/>
      <c r="X269" s="395"/>
      <c r="Y269" s="395"/>
      <c r="Z269" s="395"/>
      <c r="AA269" s="395"/>
      <c r="AB269" s="395"/>
      <c r="AC269" s="395"/>
      <c r="AD269" s="395"/>
      <c r="AE269" s="395"/>
      <c r="AF269" s="395"/>
    </row>
    <row r="270" spans="4:32">
      <c r="D270" s="395"/>
      <c r="E270" s="395"/>
      <c r="F270" s="395"/>
      <c r="G270" s="395"/>
      <c r="H270" s="395"/>
      <c r="I270" s="395"/>
      <c r="J270" s="395"/>
      <c r="K270" s="395"/>
      <c r="L270" s="395"/>
      <c r="M270" s="395"/>
      <c r="N270" s="395"/>
      <c r="O270" s="395"/>
      <c r="P270" s="395"/>
      <c r="Q270" s="395"/>
      <c r="R270" s="395"/>
      <c r="S270" s="395"/>
      <c r="T270" s="395"/>
      <c r="U270" s="395"/>
      <c r="V270" s="395"/>
      <c r="W270" s="395"/>
      <c r="X270" s="395"/>
      <c r="Y270" s="395"/>
      <c r="Z270" s="395"/>
      <c r="AA270" s="395"/>
      <c r="AB270" s="395"/>
      <c r="AC270" s="395"/>
      <c r="AD270" s="395"/>
      <c r="AE270" s="395"/>
      <c r="AF270" s="395"/>
    </row>
  </sheetData>
  <phoneticPr fontId="1" type="noConversion"/>
  <pageMargins left="0.7" right="0.7" top="0.75" bottom="0.75" header="0.3" footer="0.3"/>
  <pageSetup paperSize="9" orientation="portrait"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
    <tabColor theme="1"/>
  </sheetPr>
  <dimension ref="B4"/>
  <sheetViews>
    <sheetView workbookViewId="0"/>
  </sheetViews>
  <sheetFormatPr defaultRowHeight="14.5"/>
  <sheetData>
    <row r="4" spans="2:2">
      <c r="B4" s="9" t="s">
        <v>3749</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BC8FDD"/>
    <pageSetUpPr autoPageBreaks="0"/>
  </sheetPr>
  <dimension ref="A1:T329"/>
  <sheetViews>
    <sheetView topLeftCell="A196" workbookViewId="0">
      <selection activeCell="C215" sqref="C215"/>
    </sheetView>
  </sheetViews>
  <sheetFormatPr defaultRowHeight="14.5"/>
  <cols>
    <col min="1" max="1" width="4.90625" style="9" customWidth="1"/>
    <col min="2" max="2" width="30.453125" style="4" customWidth="1"/>
    <col min="3" max="3" width="23" style="4" customWidth="1"/>
    <col min="4" max="4" width="24.36328125" style="4" customWidth="1"/>
    <col min="5" max="5" width="20.36328125" style="4" customWidth="1"/>
    <col min="6" max="6" width="16.08984375" style="4" customWidth="1"/>
    <col min="7" max="7" width="16" style="4" customWidth="1"/>
    <col min="8" max="8" width="18.36328125" customWidth="1"/>
    <col min="9" max="9" width="12.90625" customWidth="1"/>
    <col min="10" max="10" width="17.6328125" customWidth="1"/>
    <col min="11" max="11" width="12.453125" customWidth="1"/>
    <col min="12" max="12" width="13.54296875" customWidth="1"/>
    <col min="13" max="13" width="21.08984375" customWidth="1"/>
    <col min="14" max="14" width="13.54296875" customWidth="1"/>
    <col min="15" max="15" width="12.36328125" customWidth="1"/>
    <col min="16" max="16" width="14.08984375" customWidth="1"/>
    <col min="17" max="17" width="12.453125" customWidth="1"/>
    <col min="18" max="18" width="13.90625" customWidth="1"/>
    <col min="19" max="19" width="20.08984375" customWidth="1"/>
    <col min="20" max="20" width="10.36328125" customWidth="1"/>
    <col min="21" max="21" width="12" customWidth="1"/>
    <col min="22" max="22" width="10.6328125" customWidth="1"/>
    <col min="23" max="26" width="8.90625" customWidth="1"/>
    <col min="27" max="27" width="17.6328125" customWidth="1"/>
  </cols>
  <sheetData>
    <row r="1" spans="1:20" s="782" customFormat="1" ht="18.5">
      <c r="A1" s="780" t="s">
        <v>3310</v>
      </c>
    </row>
    <row r="2" spans="1:20" s="782" customFormat="1">
      <c r="A2" s="782" t="s">
        <v>3554</v>
      </c>
    </row>
    <row r="3" spans="1:20" s="782" customFormat="1"/>
    <row r="4" spans="1:20" s="783" customFormat="1"/>
    <row r="5" spans="1:20">
      <c r="H5" s="4"/>
      <c r="I5" s="4"/>
      <c r="T5" s="121"/>
    </row>
    <row r="6" spans="1:20">
      <c r="H6" s="4"/>
      <c r="I6" s="4"/>
      <c r="T6" s="121"/>
    </row>
    <row r="7" spans="1:20" s="601" customFormat="1" ht="18.5">
      <c r="A7" s="587" t="s">
        <v>3295</v>
      </c>
      <c r="T7" s="602"/>
    </row>
    <row r="8" spans="1:20">
      <c r="H8" s="4"/>
      <c r="I8" s="4"/>
      <c r="T8" s="121"/>
    </row>
    <row r="9" spans="1:20" ht="18.5">
      <c r="A9" s="31" t="s">
        <v>37</v>
      </c>
      <c r="D9" s="798"/>
      <c r="F9" s="798"/>
      <c r="T9" s="121"/>
    </row>
    <row r="10" spans="1:20">
      <c r="A10" s="152" t="s">
        <v>7</v>
      </c>
    </row>
    <row r="13" spans="1:20">
      <c r="A13" s="9" t="s">
        <v>10</v>
      </c>
      <c r="B13" s="30" t="s">
        <v>38</v>
      </c>
    </row>
    <row r="14" spans="1:20">
      <c r="B14" s="29"/>
    </row>
    <row r="15" spans="1:20">
      <c r="B15" s="9" t="s">
        <v>154</v>
      </c>
    </row>
    <row r="16" spans="1:20">
      <c r="K16" s="4"/>
      <c r="L16" s="4"/>
      <c r="M16" s="4"/>
      <c r="N16" s="4"/>
    </row>
    <row r="17" spans="1:14" ht="43.5">
      <c r="C17" s="32" t="s">
        <v>39</v>
      </c>
      <c r="D17" s="32" t="s">
        <v>11</v>
      </c>
      <c r="E17" s="32" t="s">
        <v>12</v>
      </c>
      <c r="F17" s="32" t="s">
        <v>13</v>
      </c>
      <c r="G17" s="32" t="s">
        <v>14</v>
      </c>
      <c r="H17" s="32" t="s">
        <v>15</v>
      </c>
      <c r="I17" s="32" t="s">
        <v>16</v>
      </c>
      <c r="J17" s="32" t="s">
        <v>103</v>
      </c>
      <c r="K17" s="32" t="s">
        <v>104</v>
      </c>
      <c r="L17" s="32" t="s">
        <v>17</v>
      </c>
      <c r="M17" s="32" t="s">
        <v>18</v>
      </c>
      <c r="N17" s="32" t="s">
        <v>19</v>
      </c>
    </row>
    <row r="18" spans="1:14">
      <c r="B18" s="6" t="s">
        <v>26</v>
      </c>
      <c r="C18" s="21">
        <v>168871</v>
      </c>
      <c r="D18" s="21">
        <v>770000</v>
      </c>
      <c r="E18" s="21">
        <v>1150000</v>
      </c>
      <c r="F18" s="21">
        <v>1330000</v>
      </c>
      <c r="G18" s="21">
        <v>8887.9699999999993</v>
      </c>
      <c r="H18" s="21">
        <v>145248.09</v>
      </c>
      <c r="I18" s="21">
        <v>482618.84</v>
      </c>
      <c r="J18" s="21">
        <v>33329.870000000003</v>
      </c>
      <c r="K18" s="21">
        <v>4920000</v>
      </c>
      <c r="L18" s="21">
        <v>69820000</v>
      </c>
      <c r="M18" s="21">
        <v>34060000</v>
      </c>
      <c r="N18" s="21">
        <v>12780000</v>
      </c>
    </row>
    <row r="19" spans="1:14">
      <c r="B19" s="6" t="s">
        <v>27</v>
      </c>
      <c r="C19" s="21">
        <v>8888</v>
      </c>
      <c r="D19" s="21">
        <v>20000</v>
      </c>
      <c r="E19" s="21">
        <v>200000</v>
      </c>
      <c r="F19" s="21">
        <v>170000</v>
      </c>
      <c r="G19" s="21">
        <v>0</v>
      </c>
      <c r="H19" s="21">
        <v>2200.73</v>
      </c>
      <c r="I19" s="21">
        <v>6581.16</v>
      </c>
      <c r="J19" s="21">
        <v>6665.97</v>
      </c>
      <c r="K19" s="21">
        <v>60000</v>
      </c>
      <c r="L19" s="21">
        <v>3260000</v>
      </c>
      <c r="M19" s="21">
        <v>3780000</v>
      </c>
      <c r="N19" s="21">
        <v>5000</v>
      </c>
    </row>
    <row r="20" spans="1:14">
      <c r="B20" s="6" t="s">
        <v>28</v>
      </c>
      <c r="C20" s="21">
        <v>24442</v>
      </c>
      <c r="D20" s="21">
        <v>180000</v>
      </c>
      <c r="E20" s="21">
        <v>290000</v>
      </c>
      <c r="F20" s="21">
        <v>360000</v>
      </c>
      <c r="G20" s="21">
        <v>0</v>
      </c>
      <c r="H20" s="21">
        <v>4401.45</v>
      </c>
      <c r="I20" s="21">
        <v>21937.22</v>
      </c>
      <c r="J20" s="21">
        <v>17775.93</v>
      </c>
      <c r="K20" s="21">
        <v>1230000</v>
      </c>
      <c r="L20" s="21">
        <v>920000</v>
      </c>
      <c r="M20" s="21">
        <v>14580000</v>
      </c>
      <c r="N20" s="21">
        <v>2500000</v>
      </c>
    </row>
    <row r="21" spans="1:14">
      <c r="B21" s="6" t="s">
        <v>29</v>
      </c>
      <c r="C21" s="21">
        <v>419956</v>
      </c>
      <c r="D21" s="21">
        <v>1920000</v>
      </c>
      <c r="E21" s="21">
        <v>4870000</v>
      </c>
      <c r="F21" s="21">
        <v>1990000</v>
      </c>
      <c r="G21" s="21">
        <v>17775.93</v>
      </c>
      <c r="H21" s="21">
        <v>37412.39</v>
      </c>
      <c r="I21" s="21">
        <v>699085.22</v>
      </c>
      <c r="J21" s="21">
        <v>124431.53</v>
      </c>
      <c r="K21" s="21">
        <v>8480000</v>
      </c>
      <c r="L21" s="21">
        <v>26840000</v>
      </c>
      <c r="M21" s="21">
        <v>78300000</v>
      </c>
      <c r="N21" s="21">
        <v>20950000</v>
      </c>
    </row>
    <row r="22" spans="1:14">
      <c r="B22" s="6" t="s">
        <v>30</v>
      </c>
      <c r="C22" s="21">
        <v>277749</v>
      </c>
      <c r="D22" s="21">
        <v>910000</v>
      </c>
      <c r="E22" s="21">
        <v>4640000</v>
      </c>
      <c r="F22" s="21">
        <v>2100000</v>
      </c>
      <c r="G22" s="21">
        <v>4443.9799999999996</v>
      </c>
      <c r="H22" s="21">
        <v>44014.57</v>
      </c>
      <c r="I22" s="21">
        <v>456294.18</v>
      </c>
      <c r="J22" s="21">
        <v>106655.6</v>
      </c>
      <c r="K22" s="21">
        <v>5330000</v>
      </c>
      <c r="L22" s="21">
        <v>36240000</v>
      </c>
      <c r="M22" s="21">
        <v>93230000</v>
      </c>
      <c r="N22" s="21">
        <v>15380000</v>
      </c>
    </row>
    <row r="23" spans="1:14">
      <c r="B23" s="52"/>
      <c r="C23" s="52"/>
      <c r="D23" s="52"/>
      <c r="E23" s="52"/>
      <c r="F23" s="52"/>
      <c r="G23" s="52"/>
      <c r="H23" s="52"/>
      <c r="I23" s="52"/>
      <c r="J23" s="52"/>
      <c r="K23" s="52"/>
      <c r="L23" s="52"/>
      <c r="M23" s="52"/>
      <c r="N23" s="52"/>
    </row>
    <row r="24" spans="1:14">
      <c r="B24" s="9"/>
      <c r="C24" s="9"/>
      <c r="D24" s="9"/>
      <c r="F24" s="93"/>
    </row>
    <row r="25" spans="1:14">
      <c r="A25" s="9" t="s">
        <v>10</v>
      </c>
      <c r="B25" s="9" t="s">
        <v>92</v>
      </c>
    </row>
    <row r="26" spans="1:14">
      <c r="K26" s="4"/>
      <c r="L26" s="4"/>
      <c r="M26" s="4"/>
      <c r="N26" s="4"/>
    </row>
    <row r="27" spans="1:14" ht="43.5">
      <c r="C27" s="32"/>
      <c r="D27" s="32" t="s">
        <v>11</v>
      </c>
      <c r="E27" s="32" t="s">
        <v>12</v>
      </c>
      <c r="F27" s="32" t="s">
        <v>13</v>
      </c>
      <c r="G27" s="32" t="s">
        <v>14</v>
      </c>
      <c r="H27" s="32" t="s">
        <v>15</v>
      </c>
      <c r="I27" s="32" t="s">
        <v>16</v>
      </c>
      <c r="J27" s="32" t="s">
        <v>103</v>
      </c>
      <c r="K27" s="32" t="s">
        <v>104</v>
      </c>
      <c r="L27" s="32" t="s">
        <v>17</v>
      </c>
      <c r="M27" s="32" t="s">
        <v>18</v>
      </c>
      <c r="N27" s="32" t="s">
        <v>19</v>
      </c>
    </row>
    <row r="28" spans="1:14">
      <c r="B28" s="6" t="s">
        <v>26</v>
      </c>
      <c r="C28" s="10"/>
      <c r="D28" s="44">
        <f>D18/$C18</f>
        <v>4.5596934938503351</v>
      </c>
      <c r="E28" s="44">
        <f t="shared" ref="E28:N28" si="0">E18/$C18</f>
        <v>6.8099318414647865</v>
      </c>
      <c r="F28" s="44">
        <f t="shared" si="0"/>
        <v>7.8758342166505795</v>
      </c>
      <c r="G28" s="44">
        <f t="shared" si="0"/>
        <v>5.2631712964333721E-2</v>
      </c>
      <c r="H28" s="44">
        <f t="shared" si="0"/>
        <v>0.86011268956777653</v>
      </c>
      <c r="I28" s="44">
        <f t="shared" si="0"/>
        <v>2.8579142659189563</v>
      </c>
      <c r="J28" s="44">
        <f t="shared" si="0"/>
        <v>0.19736881998685388</v>
      </c>
      <c r="K28" s="44">
        <f t="shared" si="0"/>
        <v>29.134664921744999</v>
      </c>
      <c r="L28" s="44">
        <f t="shared" si="0"/>
        <v>413.45168797484473</v>
      </c>
      <c r="M28" s="44">
        <f t="shared" si="0"/>
        <v>201.69241610460054</v>
      </c>
      <c r="N28" s="44">
        <f t="shared" si="0"/>
        <v>75.679068638191282</v>
      </c>
    </row>
    <row r="29" spans="1:14">
      <c r="B29" s="6" t="s">
        <v>27</v>
      </c>
      <c r="C29" s="10"/>
      <c r="D29" s="44">
        <f t="shared" ref="D29:D32" si="1">D19/$C19</f>
        <v>2.2502250225022502</v>
      </c>
      <c r="E29" s="44">
        <f t="shared" ref="E29:N29" si="2">E19/$C19</f>
        <v>22.502250225022504</v>
      </c>
      <c r="F29" s="44">
        <f t="shared" si="2"/>
        <v>19.126912691269126</v>
      </c>
      <c r="G29" s="44">
        <f t="shared" si="2"/>
        <v>0</v>
      </c>
      <c r="H29" s="44">
        <f t="shared" si="2"/>
        <v>0.24760688568856887</v>
      </c>
      <c r="I29" s="44">
        <f t="shared" si="2"/>
        <v>0.74045454545454548</v>
      </c>
      <c r="J29" s="44">
        <f t="shared" si="2"/>
        <v>0.7499966246624663</v>
      </c>
      <c r="K29" s="44">
        <f t="shared" si="2"/>
        <v>6.7506750675067506</v>
      </c>
      <c r="L29" s="44">
        <f t="shared" si="2"/>
        <v>366.78667866786679</v>
      </c>
      <c r="M29" s="44">
        <f t="shared" si="2"/>
        <v>425.29252925292531</v>
      </c>
      <c r="N29" s="44">
        <f t="shared" si="2"/>
        <v>0.56255625562556255</v>
      </c>
    </row>
    <row r="30" spans="1:14">
      <c r="B30" s="6" t="s">
        <v>28</v>
      </c>
      <c r="C30" s="10"/>
      <c r="D30" s="44">
        <f t="shared" si="1"/>
        <v>7.3643728009164553</v>
      </c>
      <c r="E30" s="44">
        <f t="shared" ref="E30:N30" si="3">E20/$C20</f>
        <v>11.864822845920957</v>
      </c>
      <c r="F30" s="44">
        <f t="shared" si="3"/>
        <v>14.728745601832911</v>
      </c>
      <c r="G30" s="44">
        <f t="shared" si="3"/>
        <v>0</v>
      </c>
      <c r="H30" s="44">
        <f t="shared" si="3"/>
        <v>0.18007732591440961</v>
      </c>
      <c r="I30" s="44">
        <f t="shared" si="3"/>
        <v>0.8975214794206694</v>
      </c>
      <c r="J30" s="44">
        <f t="shared" si="3"/>
        <v>0.72726986334997135</v>
      </c>
      <c r="K30" s="44">
        <f t="shared" si="3"/>
        <v>50.323214139595777</v>
      </c>
      <c r="L30" s="44">
        <f t="shared" si="3"/>
        <v>37.640127649128551</v>
      </c>
      <c r="M30" s="44">
        <f t="shared" si="3"/>
        <v>596.51419687423288</v>
      </c>
      <c r="N30" s="44">
        <f t="shared" si="3"/>
        <v>102.28295556828409</v>
      </c>
    </row>
    <row r="31" spans="1:14">
      <c r="B31" s="6" t="s">
        <v>29</v>
      </c>
      <c r="C31" s="10"/>
      <c r="D31" s="44">
        <f t="shared" si="1"/>
        <v>4.5719075331701413</v>
      </c>
      <c r="E31" s="44">
        <f t="shared" ref="E31:N31" si="4">E21/$C21</f>
        <v>11.59645296173885</v>
      </c>
      <c r="F31" s="44">
        <f t="shared" si="4"/>
        <v>4.7385916619836363</v>
      </c>
      <c r="G31" s="44">
        <f t="shared" si="4"/>
        <v>4.2328077227138085E-2</v>
      </c>
      <c r="H31" s="44">
        <f t="shared" si="4"/>
        <v>8.9086451914010031E-2</v>
      </c>
      <c r="I31" s="44">
        <f t="shared" si="4"/>
        <v>1.6646630123155759</v>
      </c>
      <c r="J31" s="44">
        <f t="shared" si="4"/>
        <v>0.29629658821400334</v>
      </c>
      <c r="K31" s="44">
        <f t="shared" si="4"/>
        <v>20.192591604834792</v>
      </c>
      <c r="L31" s="44">
        <f t="shared" si="4"/>
        <v>63.911457390774274</v>
      </c>
      <c r="M31" s="44">
        <f t="shared" si="4"/>
        <v>186.44810408709483</v>
      </c>
      <c r="N31" s="44">
        <f t="shared" si="4"/>
        <v>49.886178552038785</v>
      </c>
    </row>
    <row r="32" spans="1:14">
      <c r="B32" s="6" t="s">
        <v>30</v>
      </c>
      <c r="C32" s="10"/>
      <c r="D32" s="44">
        <f t="shared" si="1"/>
        <v>3.2763394287648202</v>
      </c>
      <c r="E32" s="44">
        <f t="shared" ref="E32:N32" si="5">E22/$C22</f>
        <v>16.705730713701939</v>
      </c>
      <c r="F32" s="44">
        <f t="shared" si="5"/>
        <v>7.5607832971495847</v>
      </c>
      <c r="G32" s="44">
        <f t="shared" si="5"/>
        <v>1.5999985598508005E-2</v>
      </c>
      <c r="H32" s="44">
        <f t="shared" si="5"/>
        <v>0.15846886937486723</v>
      </c>
      <c r="I32" s="44">
        <f t="shared" si="5"/>
        <v>1.6428292451097934</v>
      </c>
      <c r="J32" s="44">
        <f t="shared" si="5"/>
        <v>0.38399994239403207</v>
      </c>
      <c r="K32" s="44">
        <f t="shared" si="5"/>
        <v>19.189988082765375</v>
      </c>
      <c r="L32" s="44">
        <f t="shared" si="5"/>
        <v>130.47751747080997</v>
      </c>
      <c r="M32" s="44">
        <f t="shared" si="5"/>
        <v>335.66277466345514</v>
      </c>
      <c r="N32" s="44">
        <f t="shared" si="5"/>
        <v>55.373736719124103</v>
      </c>
    </row>
    <row r="33" spans="1:16">
      <c r="H33" s="4"/>
      <c r="I33" s="4"/>
      <c r="J33" s="4"/>
      <c r="K33" s="4"/>
      <c r="L33" s="4"/>
      <c r="M33" s="4"/>
      <c r="N33" s="4"/>
      <c r="O33" s="4"/>
    </row>
    <row r="34" spans="1:16">
      <c r="H34" s="4"/>
      <c r="I34" s="4"/>
      <c r="J34" s="4"/>
      <c r="K34" s="4"/>
      <c r="L34" s="4"/>
      <c r="M34" s="4"/>
      <c r="N34" s="4"/>
      <c r="O34" s="4"/>
    </row>
    <row r="35" spans="1:16">
      <c r="A35" s="9" t="s">
        <v>10</v>
      </c>
      <c r="B35" s="30" t="s">
        <v>3296</v>
      </c>
    </row>
    <row r="36" spans="1:16">
      <c r="B36" s="29"/>
    </row>
    <row r="37" spans="1:16">
      <c r="B37" s="29"/>
      <c r="D37" s="93"/>
    </row>
    <row r="38" spans="1:16">
      <c r="B38" s="9" t="s">
        <v>164</v>
      </c>
      <c r="F38" s="93"/>
    </row>
    <row r="40" spans="1:16" ht="29">
      <c r="C40" s="32" t="s">
        <v>11</v>
      </c>
      <c r="D40" s="32" t="s">
        <v>12</v>
      </c>
      <c r="E40" s="32" t="s">
        <v>13</v>
      </c>
      <c r="F40" s="32" t="s">
        <v>14</v>
      </c>
      <c r="G40" s="32" t="s">
        <v>15</v>
      </c>
      <c r="H40" s="32" t="s">
        <v>16</v>
      </c>
      <c r="I40" s="32" t="s">
        <v>103</v>
      </c>
      <c r="J40" s="32" t="s">
        <v>104</v>
      </c>
      <c r="K40" s="32" t="s">
        <v>17</v>
      </c>
      <c r="L40" s="32" t="s">
        <v>18</v>
      </c>
      <c r="M40" s="32" t="s">
        <v>19</v>
      </c>
      <c r="N40" s="32" t="s">
        <v>3675</v>
      </c>
      <c r="O40" s="41" t="s">
        <v>91</v>
      </c>
    </row>
    <row r="41" spans="1:16">
      <c r="B41" s="6" t="s">
        <v>26</v>
      </c>
      <c r="C41" s="10">
        <v>37.56</v>
      </c>
      <c r="D41" s="10">
        <v>14.93</v>
      </c>
      <c r="E41" s="10">
        <v>77.349999999999994</v>
      </c>
      <c r="F41" s="10">
        <v>0.76</v>
      </c>
      <c r="G41" s="10">
        <v>8.2899999999999991</v>
      </c>
      <c r="H41" s="10">
        <v>62.98</v>
      </c>
      <c r="I41" s="10">
        <v>51.63</v>
      </c>
      <c r="J41" s="10">
        <v>20.97</v>
      </c>
      <c r="K41" s="10">
        <v>19.53</v>
      </c>
      <c r="L41" s="10">
        <v>60.72</v>
      </c>
      <c r="M41" s="10">
        <v>199.23</v>
      </c>
      <c r="N41" s="10">
        <v>554.14</v>
      </c>
      <c r="O41" s="41">
        <f>SUM(C41:M41)</f>
        <v>553.95000000000005</v>
      </c>
    </row>
    <row r="42" spans="1:16">
      <c r="B42" s="6" t="s">
        <v>27</v>
      </c>
      <c r="C42" s="10">
        <v>0.81</v>
      </c>
      <c r="D42" s="10">
        <v>2.57</v>
      </c>
      <c r="E42" s="10">
        <v>10.84</v>
      </c>
      <c r="F42" s="10">
        <v>0</v>
      </c>
      <c r="G42" s="10">
        <v>0.13</v>
      </c>
      <c r="H42" s="10">
        <v>0.83</v>
      </c>
      <c r="I42" s="10">
        <v>21.11</v>
      </c>
      <c r="J42" s="10">
        <v>0.51</v>
      </c>
      <c r="K42" s="10">
        <v>0.32</v>
      </c>
      <c r="L42" s="10">
        <v>7.19</v>
      </c>
      <c r="M42" s="10">
        <v>2.4</v>
      </c>
      <c r="N42" s="10">
        <v>46.45</v>
      </c>
      <c r="O42" s="41">
        <f>SUM(C42:M42)</f>
        <v>46.709999999999994</v>
      </c>
    </row>
    <row r="43" spans="1:16">
      <c r="B43" s="6" t="s">
        <v>28</v>
      </c>
      <c r="C43" s="10">
        <v>7.91</v>
      </c>
      <c r="D43" s="10">
        <v>3.81</v>
      </c>
      <c r="E43" s="10">
        <v>24.33</v>
      </c>
      <c r="F43" s="10">
        <v>0</v>
      </c>
      <c r="G43" s="10">
        <v>0.21</v>
      </c>
      <c r="H43" s="10">
        <v>0</v>
      </c>
      <c r="I43" s="10">
        <v>22.49</v>
      </c>
      <c r="J43" s="10">
        <v>7.58</v>
      </c>
      <c r="K43" s="10">
        <v>3.24</v>
      </c>
      <c r="L43" s="10">
        <v>25.63</v>
      </c>
      <c r="M43" s="10">
        <v>20.84</v>
      </c>
      <c r="N43" s="10">
        <v>113.69</v>
      </c>
      <c r="O43" s="41">
        <f>SUM(C43:M43)</f>
        <v>116.03999999999999</v>
      </c>
      <c r="P43" s="228"/>
    </row>
    <row r="44" spans="1:16">
      <c r="B44" s="6" t="s">
        <v>29</v>
      </c>
      <c r="C44" s="10">
        <v>94.11</v>
      </c>
      <c r="D44" s="10">
        <v>62.16</v>
      </c>
      <c r="E44" s="10">
        <v>133</v>
      </c>
      <c r="F44" s="10">
        <v>1.34</v>
      </c>
      <c r="G44" s="10">
        <v>2.68</v>
      </c>
      <c r="H44" s="10">
        <v>80.099999999999994</v>
      </c>
      <c r="I44" s="10">
        <v>72.75</v>
      </c>
      <c r="J44" s="10">
        <v>39.35</v>
      </c>
      <c r="K44" s="10">
        <v>16.66</v>
      </c>
      <c r="L44" s="10">
        <v>144.6</v>
      </c>
      <c r="M44" s="10">
        <v>189.6</v>
      </c>
      <c r="N44" s="10">
        <v>836.62</v>
      </c>
      <c r="O44" s="41">
        <f>SUM(C44:M44)</f>
        <v>836.35</v>
      </c>
    </row>
    <row r="45" spans="1:16" ht="14" customHeight="1">
      <c r="B45" s="6" t="s">
        <v>30</v>
      </c>
      <c r="C45" s="10">
        <v>44.82</v>
      </c>
      <c r="D45" s="10">
        <v>60.31</v>
      </c>
      <c r="E45" s="10">
        <v>131.27000000000001</v>
      </c>
      <c r="F45" s="10">
        <v>0.27</v>
      </c>
      <c r="G45" s="10">
        <v>2.86</v>
      </c>
      <c r="H45" s="10">
        <v>56.92</v>
      </c>
      <c r="I45" s="10">
        <v>102.33</v>
      </c>
      <c r="J45" s="10">
        <v>28.9</v>
      </c>
      <c r="K45" s="10">
        <v>23.94</v>
      </c>
      <c r="L45" s="10">
        <v>168.08</v>
      </c>
      <c r="M45" s="10">
        <v>319.48</v>
      </c>
      <c r="N45" s="10">
        <v>941.13</v>
      </c>
      <c r="O45" s="41">
        <f>SUM(C45:M45)</f>
        <v>939.18000000000006</v>
      </c>
    </row>
    <row r="46" spans="1:16" ht="14" customHeight="1">
      <c r="B46" s="6" t="s">
        <v>208</v>
      </c>
      <c r="C46" s="44">
        <f>C45*(10^6)/$C$22</f>
        <v>161.36871779916399</v>
      </c>
      <c r="D46" s="44">
        <f t="shared" ref="D46:O46" si="6">D45*(10^6)/$C$22</f>
        <v>217.13849554813879</v>
      </c>
      <c r="E46" s="44">
        <f t="shared" si="6"/>
        <v>472.62096353182193</v>
      </c>
      <c r="F46" s="44">
        <f t="shared" si="6"/>
        <v>0.97210070963351802</v>
      </c>
      <c r="G46" s="44">
        <f t="shared" si="6"/>
        <v>10.297066776118006</v>
      </c>
      <c r="H46" s="44">
        <f t="shared" si="6"/>
        <v>204.93323108274018</v>
      </c>
      <c r="I46" s="44">
        <f t="shared" si="6"/>
        <v>368.42616895110331</v>
      </c>
      <c r="J46" s="44">
        <f t="shared" si="6"/>
        <v>104.05077966077286</v>
      </c>
      <c r="K46" s="44">
        <f t="shared" si="6"/>
        <v>86.192929587505262</v>
      </c>
      <c r="L46" s="44">
        <f t="shared" si="6"/>
        <v>605.15069361185817</v>
      </c>
      <c r="M46" s="44">
        <f t="shared" si="6"/>
        <v>1150.2471656063569</v>
      </c>
      <c r="N46" s="44">
        <f t="shared" si="6"/>
        <v>3388.419040212566</v>
      </c>
      <c r="O46" s="44">
        <f t="shared" si="6"/>
        <v>3381.3983128652135</v>
      </c>
    </row>
    <row r="47" spans="1:16" ht="14" customHeight="1">
      <c r="B47" s="6" t="s">
        <v>2976</v>
      </c>
      <c r="C47" s="44">
        <f>C43*(10^6)/$C$20</f>
        <v>323.62327141805088</v>
      </c>
      <c r="D47" s="44">
        <f t="shared" ref="D47:O47" si="7">D43*(10^6)/$C$20</f>
        <v>155.87922428606498</v>
      </c>
      <c r="E47" s="44">
        <f t="shared" si="7"/>
        <v>995.41772359054085</v>
      </c>
      <c r="F47" s="44">
        <f t="shared" si="7"/>
        <v>0</v>
      </c>
      <c r="G47" s="44">
        <f t="shared" si="7"/>
        <v>8.5917682677358638</v>
      </c>
      <c r="H47" s="44">
        <f t="shared" si="7"/>
        <v>0</v>
      </c>
      <c r="I47" s="44">
        <f t="shared" si="7"/>
        <v>920.13746829228376</v>
      </c>
      <c r="J47" s="44">
        <f t="shared" si="7"/>
        <v>310.12192128303741</v>
      </c>
      <c r="K47" s="44">
        <f t="shared" si="7"/>
        <v>132.55871041649618</v>
      </c>
      <c r="L47" s="44">
        <f t="shared" si="7"/>
        <v>1048.6048604860487</v>
      </c>
      <c r="M47" s="44">
        <f t="shared" si="7"/>
        <v>852.63071761721631</v>
      </c>
      <c r="N47" s="44">
        <f t="shared" si="7"/>
        <v>4651.4196874232875</v>
      </c>
      <c r="O47" s="44">
        <f t="shared" si="7"/>
        <v>4747.5656656574738</v>
      </c>
    </row>
    <row r="48" spans="1:16" ht="14" customHeight="1">
      <c r="B48" s="6" t="s">
        <v>3294</v>
      </c>
      <c r="C48" s="44">
        <f>C42*(10^6)/$C$19</f>
        <v>91.134113411341133</v>
      </c>
      <c r="D48" s="44">
        <f t="shared" ref="D48:O48" si="8">D42*(10^6)/$C$19</f>
        <v>289.15391539153916</v>
      </c>
      <c r="E48" s="44">
        <f t="shared" si="8"/>
        <v>1219.6219621962196</v>
      </c>
      <c r="F48" s="44">
        <f t="shared" si="8"/>
        <v>0</v>
      </c>
      <c r="G48" s="44">
        <f t="shared" si="8"/>
        <v>14.626462646264626</v>
      </c>
      <c r="H48" s="44">
        <f t="shared" si="8"/>
        <v>93.384338433843382</v>
      </c>
      <c r="I48" s="44">
        <f t="shared" si="8"/>
        <v>2375.1125112511249</v>
      </c>
      <c r="J48" s="44">
        <f t="shared" si="8"/>
        <v>57.380738073807379</v>
      </c>
      <c r="K48" s="44">
        <f t="shared" si="8"/>
        <v>36.003600360036003</v>
      </c>
      <c r="L48" s="44">
        <f t="shared" si="8"/>
        <v>808.95589558955896</v>
      </c>
      <c r="M48" s="44">
        <f t="shared" si="8"/>
        <v>270.02700270027003</v>
      </c>
      <c r="N48" s="44">
        <f t="shared" si="8"/>
        <v>5226.1476147614758</v>
      </c>
      <c r="O48" s="44">
        <f t="shared" si="8"/>
        <v>5255.4005400540045</v>
      </c>
    </row>
    <row r="49" spans="1:14">
      <c r="B49" s="9"/>
      <c r="H49" s="4"/>
      <c r="I49" s="4"/>
      <c r="J49" s="4"/>
      <c r="K49" s="4"/>
      <c r="L49" s="4"/>
      <c r="M49" s="4"/>
      <c r="N49" s="4"/>
    </row>
    <row r="51" spans="1:14" ht="29">
      <c r="C51" s="32" t="s">
        <v>11</v>
      </c>
      <c r="D51" s="32" t="s">
        <v>12</v>
      </c>
      <c r="E51" s="32" t="s">
        <v>13</v>
      </c>
      <c r="F51" s="32" t="s">
        <v>14</v>
      </c>
      <c r="G51" s="32" t="s">
        <v>15</v>
      </c>
      <c r="H51" s="32" t="s">
        <v>16</v>
      </c>
      <c r="I51" s="32" t="s">
        <v>103</v>
      </c>
      <c r="J51" s="32" t="s">
        <v>104</v>
      </c>
      <c r="K51" s="32" t="s">
        <v>17</v>
      </c>
      <c r="L51" s="32" t="s">
        <v>18</v>
      </c>
      <c r="M51" s="32" t="s">
        <v>19</v>
      </c>
      <c r="N51" s="32" t="s">
        <v>22</v>
      </c>
    </row>
    <row r="52" spans="1:14">
      <c r="B52" s="6" t="s">
        <v>26</v>
      </c>
      <c r="C52" s="44">
        <f t="shared" ref="C52:M52" si="9">(C41*10^6)/D18</f>
        <v>48.779220779220779</v>
      </c>
      <c r="D52" s="44">
        <f t="shared" si="9"/>
        <v>12.982608695652173</v>
      </c>
      <c r="E52" s="44">
        <f t="shared" si="9"/>
        <v>58.157894736842103</v>
      </c>
      <c r="F52" s="44">
        <f t="shared" si="9"/>
        <v>85.508839476280869</v>
      </c>
      <c r="G52" s="44">
        <f t="shared" si="9"/>
        <v>57.074760845392177</v>
      </c>
      <c r="H52" s="44">
        <f t="shared" si="9"/>
        <v>130.49635608920696</v>
      </c>
      <c r="I52" s="44">
        <f t="shared" si="9"/>
        <v>1549.0609474324381</v>
      </c>
      <c r="J52" s="44">
        <f t="shared" si="9"/>
        <v>4.2621951219512191</v>
      </c>
      <c r="K52" s="44">
        <f t="shared" si="9"/>
        <v>0.27971927814379832</v>
      </c>
      <c r="L52" s="44">
        <f t="shared" si="9"/>
        <v>1.7827363476218439</v>
      </c>
      <c r="M52" s="44">
        <f t="shared" si="9"/>
        <v>15.589201877934272</v>
      </c>
      <c r="N52" s="41"/>
    </row>
    <row r="53" spans="1:14">
      <c r="B53" s="6" t="s">
        <v>27</v>
      </c>
      <c r="C53" s="44">
        <f t="shared" ref="C53:E56" si="10">(C42*10^6)/D19</f>
        <v>40.5</v>
      </c>
      <c r="D53" s="44">
        <f t="shared" si="10"/>
        <v>12.85</v>
      </c>
      <c r="E53" s="44">
        <f t="shared" si="10"/>
        <v>63.764705882352942</v>
      </c>
      <c r="F53" s="43">
        <v>0</v>
      </c>
      <c r="G53" s="44">
        <f t="shared" ref="G53:M56" si="11">(G42*10^6)/H19</f>
        <v>59.071308156838867</v>
      </c>
      <c r="H53" s="44">
        <f t="shared" si="11"/>
        <v>126.11758413410402</v>
      </c>
      <c r="I53" s="44">
        <f t="shared" si="11"/>
        <v>3166.8309338325853</v>
      </c>
      <c r="J53" s="44">
        <f t="shared" si="11"/>
        <v>8.5</v>
      </c>
      <c r="K53" s="44">
        <f t="shared" si="11"/>
        <v>9.815950920245399E-2</v>
      </c>
      <c r="L53" s="44">
        <f t="shared" si="11"/>
        <v>1.9021164021164021</v>
      </c>
      <c r="M53" s="44">
        <f t="shared" si="11"/>
        <v>480</v>
      </c>
      <c r="N53" s="41"/>
    </row>
    <row r="54" spans="1:14">
      <c r="B54" s="6" t="s">
        <v>28</v>
      </c>
      <c r="C54" s="44">
        <f t="shared" si="10"/>
        <v>43.944444444444443</v>
      </c>
      <c r="D54" s="44">
        <f t="shared" si="10"/>
        <v>13.137931034482758</v>
      </c>
      <c r="E54" s="44">
        <f t="shared" si="10"/>
        <v>67.583333333333329</v>
      </c>
      <c r="F54" s="43">
        <v>0</v>
      </c>
      <c r="G54" s="44">
        <f t="shared" si="11"/>
        <v>47.711549602971751</v>
      </c>
      <c r="H54" s="44">
        <f t="shared" si="11"/>
        <v>0</v>
      </c>
      <c r="I54" s="44">
        <f t="shared" si="11"/>
        <v>1265.1940011014894</v>
      </c>
      <c r="J54" s="44">
        <f t="shared" si="11"/>
        <v>6.1626016260162606</v>
      </c>
      <c r="K54" s="44">
        <f t="shared" si="11"/>
        <v>3.5217391304347827</v>
      </c>
      <c r="L54" s="44">
        <f t="shared" si="11"/>
        <v>1.7578875171467765</v>
      </c>
      <c r="M54" s="44">
        <f t="shared" si="11"/>
        <v>8.3360000000000003</v>
      </c>
      <c r="N54" s="41"/>
    </row>
    <row r="55" spans="1:14">
      <c r="B55" s="6" t="s">
        <v>29</v>
      </c>
      <c r="C55" s="44">
        <f t="shared" si="10"/>
        <v>49.015625</v>
      </c>
      <c r="D55" s="44">
        <f t="shared" si="10"/>
        <v>12.763860369609857</v>
      </c>
      <c r="E55" s="44">
        <f t="shared" si="10"/>
        <v>66.834170854271363</v>
      </c>
      <c r="F55" s="44">
        <f>(F44*10^6)/G21</f>
        <v>75.38283510342356</v>
      </c>
      <c r="G55" s="44">
        <f t="shared" si="11"/>
        <v>71.634022846442051</v>
      </c>
      <c r="H55" s="44">
        <f t="shared" si="11"/>
        <v>114.57830563203726</v>
      </c>
      <c r="I55" s="44">
        <f t="shared" si="11"/>
        <v>584.65888830588199</v>
      </c>
      <c r="J55" s="44">
        <f t="shared" si="11"/>
        <v>4.6403301886792452</v>
      </c>
      <c r="K55" s="44">
        <f t="shared" si="11"/>
        <v>0.62071535022354696</v>
      </c>
      <c r="L55" s="44">
        <f t="shared" si="11"/>
        <v>1.8467432950191571</v>
      </c>
      <c r="M55" s="44">
        <f t="shared" si="11"/>
        <v>9.050119331742243</v>
      </c>
      <c r="N55" s="41"/>
    </row>
    <row r="56" spans="1:14">
      <c r="B56" s="6" t="s">
        <v>30</v>
      </c>
      <c r="C56" s="44">
        <f t="shared" si="10"/>
        <v>49.252747252747255</v>
      </c>
      <c r="D56" s="44">
        <f t="shared" si="10"/>
        <v>12.997844827586206</v>
      </c>
      <c r="E56" s="44">
        <f t="shared" si="10"/>
        <v>62.50952380952382</v>
      </c>
      <c r="F56" s="44">
        <f>(F45*10^6)/G22</f>
        <v>60.756349038474525</v>
      </c>
      <c r="G56" s="44">
        <f t="shared" si="11"/>
        <v>64.978483261338241</v>
      </c>
      <c r="H56" s="44">
        <f t="shared" si="11"/>
        <v>124.74408505495293</v>
      </c>
      <c r="I56" s="44">
        <f t="shared" si="11"/>
        <v>959.44329224157002</v>
      </c>
      <c r="J56" s="44">
        <f t="shared" si="11"/>
        <v>5.4221388367729828</v>
      </c>
      <c r="K56" s="44">
        <f t="shared" si="11"/>
        <v>0.66059602649006621</v>
      </c>
      <c r="L56" s="44">
        <f t="shared" si="11"/>
        <v>1.8028531588544461</v>
      </c>
      <c r="M56" s="44">
        <f t="shared" si="11"/>
        <v>20.772431729518857</v>
      </c>
      <c r="N56" s="41"/>
    </row>
    <row r="57" spans="1:14">
      <c r="C57" s="45"/>
      <c r="D57" s="45"/>
      <c r="E57" s="45"/>
      <c r="F57" s="45"/>
      <c r="G57" s="45"/>
      <c r="H57" s="46"/>
      <c r="I57" s="46"/>
      <c r="J57" s="46"/>
      <c r="K57" s="46"/>
      <c r="L57" s="46"/>
      <c r="M57" s="46"/>
    </row>
    <row r="58" spans="1:14">
      <c r="C58" s="45"/>
      <c r="D58" s="45"/>
      <c r="E58" s="45"/>
      <c r="F58" s="45"/>
      <c r="G58" s="45"/>
      <c r="H58" s="46"/>
      <c r="I58" s="46"/>
      <c r="J58" s="46"/>
      <c r="K58" s="46"/>
      <c r="L58" s="46"/>
      <c r="M58" s="46"/>
    </row>
    <row r="59" spans="1:14">
      <c r="B59" s="9"/>
      <c r="C59" s="9"/>
      <c r="D59" s="9"/>
      <c r="E59" s="9"/>
      <c r="F59" s="9"/>
    </row>
    <row r="60" spans="1:14">
      <c r="A60" s="9" t="s">
        <v>10</v>
      </c>
      <c r="B60" s="9" t="s">
        <v>158</v>
      </c>
      <c r="C60" s="9"/>
      <c r="D60" s="9"/>
      <c r="E60" s="9"/>
      <c r="F60" s="9"/>
    </row>
    <row r="61" spans="1:14">
      <c r="B61" s="152" t="s">
        <v>7</v>
      </c>
      <c r="C61" s="9"/>
      <c r="D61" s="9"/>
      <c r="E61" s="9"/>
      <c r="F61" s="9"/>
    </row>
    <row r="62" spans="1:14">
      <c r="B62" s="254" t="s">
        <v>159</v>
      </c>
      <c r="C62" s="9"/>
      <c r="D62" s="9"/>
      <c r="E62" s="9"/>
      <c r="F62" s="9"/>
    </row>
    <row r="63" spans="1:14">
      <c r="B63" s="9"/>
      <c r="C63" s="9"/>
      <c r="D63" s="9"/>
      <c r="E63" s="9"/>
      <c r="F63" s="9"/>
    </row>
    <row r="64" spans="1:14" ht="29">
      <c r="B64" s="32" t="s">
        <v>9</v>
      </c>
      <c r="C64" s="32" t="s">
        <v>160</v>
      </c>
      <c r="D64" s="32" t="s">
        <v>161</v>
      </c>
      <c r="E64" s="32" t="s">
        <v>155</v>
      </c>
      <c r="F64" s="9"/>
    </row>
    <row r="65" spans="1:7">
      <c r="B65" s="100" t="s">
        <v>14</v>
      </c>
      <c r="C65" s="21">
        <v>24</v>
      </c>
      <c r="D65" s="21">
        <v>22</v>
      </c>
      <c r="E65" s="103">
        <f>D65/C65</f>
        <v>0.91666666666666663</v>
      </c>
      <c r="F65" s="9"/>
    </row>
    <row r="66" spans="1:7">
      <c r="B66" s="100" t="s">
        <v>15</v>
      </c>
      <c r="C66" s="21">
        <v>156</v>
      </c>
      <c r="D66" s="21">
        <v>304</v>
      </c>
      <c r="E66" s="103">
        <f t="shared" ref="E66:E67" si="12">D66/C66</f>
        <v>1.9487179487179487</v>
      </c>
      <c r="F66" s="9"/>
    </row>
    <row r="67" spans="1:7">
      <c r="B67" s="100" t="s">
        <v>17</v>
      </c>
      <c r="C67" s="21">
        <v>98503</v>
      </c>
      <c r="D67" s="21">
        <v>174230</v>
      </c>
      <c r="E67" s="103">
        <f t="shared" si="12"/>
        <v>1.7687786158797194</v>
      </c>
    </row>
    <row r="68" spans="1:7" ht="16.25" customHeight="1"/>
    <row r="69" spans="1:7" ht="16.25" customHeight="1"/>
    <row r="70" spans="1:7" ht="16.25" customHeight="1"/>
    <row r="72" spans="1:7" s="588" customFormat="1" ht="18.5">
      <c r="A72" s="587" t="s">
        <v>3297</v>
      </c>
      <c r="B72" s="600"/>
      <c r="C72" s="600"/>
      <c r="D72" s="600"/>
      <c r="E72" s="600"/>
      <c r="F72" s="600"/>
      <c r="G72" s="600"/>
    </row>
    <row r="73" spans="1:7">
      <c r="B73" s="9"/>
      <c r="C73" s="9"/>
      <c r="D73"/>
      <c r="E73"/>
      <c r="F73"/>
      <c r="G73"/>
    </row>
    <row r="74" spans="1:7">
      <c r="A74" s="9" t="s">
        <v>10</v>
      </c>
      <c r="B74" s="9" t="s">
        <v>109</v>
      </c>
      <c r="C74"/>
      <c r="D74" s="9"/>
      <c r="E74"/>
      <c r="F74"/>
      <c r="G74"/>
    </row>
    <row r="75" spans="1:7">
      <c r="B75" s="152" t="s">
        <v>3298</v>
      </c>
      <c r="C75"/>
      <c r="D75" s="9"/>
      <c r="E75"/>
      <c r="F75"/>
      <c r="G75"/>
    </row>
    <row r="76" spans="1:7">
      <c r="B76" s="152" t="s">
        <v>2489</v>
      </c>
      <c r="C76"/>
      <c r="D76" s="9"/>
      <c r="E76"/>
      <c r="F76"/>
      <c r="G76"/>
    </row>
    <row r="77" spans="1:7">
      <c r="B77" s="152" t="s">
        <v>95</v>
      </c>
      <c r="C77" s="29"/>
      <c r="D77" s="53"/>
      <c r="E77" s="29"/>
      <c r="F77" s="29"/>
      <c r="G77" s="29"/>
    </row>
    <row r="78" spans="1:7">
      <c r="B78" s="152"/>
      <c r="C78" s="29"/>
      <c r="D78" s="53"/>
      <c r="E78" s="29"/>
      <c r="F78" s="29"/>
      <c r="G78" s="29"/>
    </row>
    <row r="79" spans="1:7">
      <c r="B79" s="152"/>
      <c r="C79" s="29"/>
      <c r="D79" s="53"/>
      <c r="E79" s="29"/>
      <c r="F79" s="29"/>
      <c r="G79" s="29"/>
    </row>
    <row r="80" spans="1:7">
      <c r="B80" s="7" t="s">
        <v>9</v>
      </c>
      <c r="C80" s="7" t="s">
        <v>108</v>
      </c>
      <c r="D80" s="7" t="s">
        <v>97</v>
      </c>
      <c r="E80" s="7" t="s">
        <v>98</v>
      </c>
      <c r="F80" s="7" t="s">
        <v>155</v>
      </c>
      <c r="G80" s="29"/>
    </row>
    <row r="81" spans="1:7">
      <c r="B81" s="6" t="s">
        <v>99</v>
      </c>
      <c r="C81" s="51">
        <v>9.69</v>
      </c>
      <c r="D81" s="51">
        <v>1.78</v>
      </c>
      <c r="E81" s="51">
        <v>10.59</v>
      </c>
      <c r="F81" s="77">
        <f>E81/D81</f>
        <v>5.9494382022471912</v>
      </c>
      <c r="G81" s="29"/>
    </row>
    <row r="82" spans="1:7">
      <c r="A82"/>
      <c r="B82" s="6" t="s">
        <v>13</v>
      </c>
      <c r="C82" s="51">
        <v>149.15</v>
      </c>
      <c r="D82" s="51">
        <v>34.619999999999997</v>
      </c>
      <c r="E82" s="51">
        <v>155.54</v>
      </c>
      <c r="F82" s="77">
        <f t="shared" ref="F82:F92" si="13">E82/D82</f>
        <v>4.4927787406123629</v>
      </c>
      <c r="G82" s="29"/>
    </row>
    <row r="83" spans="1:7">
      <c r="A83"/>
      <c r="B83" s="6" t="s">
        <v>102</v>
      </c>
      <c r="C83" s="51">
        <v>13.81</v>
      </c>
      <c r="D83" s="51">
        <v>5.73</v>
      </c>
      <c r="E83" s="51">
        <v>23.99</v>
      </c>
      <c r="F83" s="77">
        <f t="shared" si="13"/>
        <v>4.1867364746945892</v>
      </c>
      <c r="G83" s="29"/>
    </row>
    <row r="84" spans="1:7">
      <c r="A84"/>
      <c r="B84" s="6" t="s">
        <v>101</v>
      </c>
      <c r="C84" s="51">
        <v>37.25</v>
      </c>
      <c r="D84" s="51">
        <v>18.11</v>
      </c>
      <c r="E84" s="51">
        <v>61.36</v>
      </c>
      <c r="F84" s="77">
        <f t="shared" si="13"/>
        <v>3.3881833241303148</v>
      </c>
      <c r="G84" s="29"/>
    </row>
    <row r="85" spans="1:7">
      <c r="A85"/>
      <c r="B85" s="6" t="s">
        <v>100</v>
      </c>
      <c r="C85" s="51">
        <v>150.69999999999999</v>
      </c>
      <c r="D85" s="51">
        <v>26.43</v>
      </c>
      <c r="E85" s="51">
        <v>169.74</v>
      </c>
      <c r="F85" s="77">
        <f t="shared" si="13"/>
        <v>6.422247446083996</v>
      </c>
      <c r="G85" s="29"/>
    </row>
    <row r="86" spans="1:7">
      <c r="A86"/>
      <c r="B86" s="6" t="s">
        <v>11</v>
      </c>
      <c r="C86" s="51">
        <v>1.68</v>
      </c>
      <c r="D86" s="51">
        <v>0.7</v>
      </c>
      <c r="E86" s="51">
        <v>1.7</v>
      </c>
      <c r="F86" s="77">
        <f t="shared" si="13"/>
        <v>2.4285714285714288</v>
      </c>
      <c r="G86" s="29"/>
    </row>
    <row r="87" spans="1:7">
      <c r="A87"/>
      <c r="B87" s="6" t="s">
        <v>103</v>
      </c>
      <c r="C87" s="51">
        <v>0.2</v>
      </c>
      <c r="D87" s="51">
        <v>0.1</v>
      </c>
      <c r="E87" s="51">
        <v>0.2</v>
      </c>
      <c r="F87" s="77">
        <f t="shared" si="13"/>
        <v>2</v>
      </c>
      <c r="G87" s="29"/>
    </row>
    <row r="88" spans="1:7">
      <c r="A88"/>
      <c r="B88" s="6" t="s">
        <v>16</v>
      </c>
      <c r="C88" s="51">
        <v>0.88</v>
      </c>
      <c r="D88" s="51">
        <v>0.13</v>
      </c>
      <c r="E88" s="51">
        <v>1.3</v>
      </c>
      <c r="F88" s="77">
        <f t="shared" si="13"/>
        <v>10</v>
      </c>
      <c r="G88" s="29"/>
    </row>
    <row r="89" spans="1:7">
      <c r="A89"/>
      <c r="B89" s="6" t="s">
        <v>104</v>
      </c>
      <c r="C89" s="51">
        <v>0.32</v>
      </c>
      <c r="D89" s="51">
        <v>0.7</v>
      </c>
      <c r="E89" s="51">
        <v>0.35</v>
      </c>
      <c r="F89" s="77">
        <f t="shared" si="13"/>
        <v>0.5</v>
      </c>
      <c r="G89" s="29"/>
    </row>
    <row r="90" spans="1:7">
      <c r="A90"/>
      <c r="B90" s="6" t="s">
        <v>12</v>
      </c>
      <c r="C90" s="51">
        <v>15.35</v>
      </c>
      <c r="D90" s="51">
        <v>3.7</v>
      </c>
      <c r="E90" s="51">
        <v>16.260000000000002</v>
      </c>
      <c r="F90" s="77">
        <f t="shared" si="13"/>
        <v>4.3945945945945946</v>
      </c>
      <c r="G90" s="29"/>
    </row>
    <row r="91" spans="1:7">
      <c r="A91"/>
      <c r="B91" s="6" t="s">
        <v>106</v>
      </c>
      <c r="C91" s="51">
        <v>9.19</v>
      </c>
      <c r="D91" s="51">
        <v>2.7</v>
      </c>
      <c r="E91" s="51">
        <v>9.6199999999999992</v>
      </c>
      <c r="F91" s="77">
        <f t="shared" si="13"/>
        <v>3.5629629629629624</v>
      </c>
      <c r="G91" s="29"/>
    </row>
    <row r="92" spans="1:7">
      <c r="A92"/>
      <c r="B92" s="6" t="s">
        <v>107</v>
      </c>
      <c r="C92" s="51">
        <v>5.93</v>
      </c>
      <c r="D92" s="51">
        <v>1.69</v>
      </c>
      <c r="E92" s="51">
        <v>6.14</v>
      </c>
      <c r="F92" s="77">
        <f t="shared" si="13"/>
        <v>3.6331360946745561</v>
      </c>
      <c r="G92" s="29"/>
    </row>
    <row r="93" spans="1:7">
      <c r="A93"/>
      <c r="B93" s="9"/>
      <c r="C93" s="9"/>
      <c r="D93" s="9"/>
      <c r="E93" s="9"/>
      <c r="F93" s="9"/>
      <c r="G93"/>
    </row>
    <row r="94" spans="1:7">
      <c r="A94"/>
      <c r="B94" s="9"/>
      <c r="C94" s="9"/>
      <c r="D94" s="9"/>
      <c r="E94" s="9"/>
      <c r="F94" s="9"/>
      <c r="G94" s="9"/>
    </row>
    <row r="98" spans="1:15">
      <c r="A98" s="9" t="s">
        <v>10</v>
      </c>
      <c r="B98" s="9" t="s">
        <v>3299</v>
      </c>
    </row>
    <row r="99" spans="1:15">
      <c r="B99" s="152" t="s">
        <v>2489</v>
      </c>
    </row>
    <row r="100" spans="1:15">
      <c r="B100" s="152" t="s">
        <v>2803</v>
      </c>
    </row>
    <row r="101" spans="1:15">
      <c r="B101" s="152" t="s">
        <v>2721</v>
      </c>
      <c r="H101" s="4"/>
      <c r="I101" s="4"/>
      <c r="J101" s="4"/>
      <c r="K101" s="4"/>
      <c r="L101" s="4"/>
      <c r="M101" s="4"/>
      <c r="N101" s="4"/>
      <c r="O101" s="4"/>
    </row>
    <row r="102" spans="1:15">
      <c r="B102" s="7" t="s">
        <v>147</v>
      </c>
      <c r="C102" s="7" t="s">
        <v>146</v>
      </c>
      <c r="D102" s="7" t="s">
        <v>145</v>
      </c>
      <c r="E102" s="7" t="s">
        <v>94</v>
      </c>
      <c r="F102" s="7" t="s">
        <v>129</v>
      </c>
      <c r="G102" s="7" t="s">
        <v>149</v>
      </c>
      <c r="H102" s="7" t="s">
        <v>127</v>
      </c>
      <c r="I102" s="7" t="s">
        <v>131</v>
      </c>
      <c r="J102" s="7" t="s">
        <v>136</v>
      </c>
      <c r="K102" s="7" t="s">
        <v>132</v>
      </c>
      <c r="L102" s="7" t="s">
        <v>137</v>
      </c>
      <c r="M102" s="7" t="s">
        <v>133</v>
      </c>
      <c r="N102" s="7" t="s">
        <v>128</v>
      </c>
      <c r="O102" s="7" t="s">
        <v>134</v>
      </c>
    </row>
    <row r="103" spans="1:15">
      <c r="B103" s="6">
        <v>1</v>
      </c>
      <c r="C103" s="10" t="s">
        <v>139</v>
      </c>
      <c r="D103" s="88">
        <v>0.44</v>
      </c>
      <c r="E103" s="88">
        <v>0.25</v>
      </c>
      <c r="F103" s="88">
        <v>0.14000000000000001</v>
      </c>
      <c r="G103" s="88">
        <v>0.12</v>
      </c>
      <c r="H103" s="88">
        <v>0.12</v>
      </c>
      <c r="I103" s="88">
        <v>0.08</v>
      </c>
      <c r="J103" s="88">
        <v>0.06</v>
      </c>
      <c r="K103" s="88">
        <v>0.06</v>
      </c>
      <c r="L103" s="88">
        <v>0.04</v>
      </c>
      <c r="M103" s="88">
        <v>0.02</v>
      </c>
      <c r="N103" s="88">
        <v>0.02</v>
      </c>
      <c r="O103" s="88">
        <v>0.02</v>
      </c>
    </row>
    <row r="104" spans="1:15">
      <c r="B104" s="6">
        <v>2</v>
      </c>
      <c r="C104" s="10" t="s">
        <v>140</v>
      </c>
      <c r="D104" s="88">
        <v>0.54</v>
      </c>
      <c r="E104" s="88">
        <v>0.14000000000000001</v>
      </c>
      <c r="F104" s="88">
        <v>0.1</v>
      </c>
      <c r="G104" s="88">
        <v>0.11</v>
      </c>
      <c r="H104" s="88">
        <v>0.09</v>
      </c>
      <c r="I104" s="88">
        <v>0.05</v>
      </c>
      <c r="J104" s="88">
        <v>0.03</v>
      </c>
      <c r="K104" s="88">
        <v>0.06</v>
      </c>
      <c r="L104" s="88">
        <v>0.02</v>
      </c>
      <c r="M104" s="88">
        <v>0.01</v>
      </c>
      <c r="N104" s="88">
        <v>0.02</v>
      </c>
      <c r="O104" s="88">
        <v>0.03</v>
      </c>
    </row>
    <row r="105" spans="1:15">
      <c r="B105" s="152">
        <v>3</v>
      </c>
      <c r="C105" s="10" t="s">
        <v>141</v>
      </c>
      <c r="D105" s="88">
        <v>0.55000000000000004</v>
      </c>
      <c r="E105" s="88">
        <v>0.17</v>
      </c>
      <c r="F105" s="88">
        <v>0.09</v>
      </c>
      <c r="G105" s="88">
        <v>0.1</v>
      </c>
      <c r="H105" s="88">
        <v>0.1</v>
      </c>
      <c r="I105" s="88">
        <v>0.08</v>
      </c>
      <c r="J105" s="88">
        <v>0.05</v>
      </c>
      <c r="K105" s="88">
        <v>0.05</v>
      </c>
      <c r="L105" s="88">
        <v>0.03</v>
      </c>
      <c r="M105" s="88">
        <v>0.01</v>
      </c>
      <c r="N105" s="88">
        <v>0.02</v>
      </c>
      <c r="O105" s="88">
        <v>0.02</v>
      </c>
    </row>
    <row r="106" spans="1:15">
      <c r="B106" s="6">
        <v>4</v>
      </c>
      <c r="C106" s="10" t="s">
        <v>142</v>
      </c>
      <c r="D106" s="88">
        <v>0.56000000000000005</v>
      </c>
      <c r="E106" s="88">
        <v>0.15</v>
      </c>
      <c r="F106" s="88">
        <v>0.11</v>
      </c>
      <c r="G106" s="88">
        <v>0.1</v>
      </c>
      <c r="H106" s="88">
        <v>0.11</v>
      </c>
      <c r="I106" s="88">
        <v>7.0000000000000007E-2</v>
      </c>
      <c r="J106" s="88">
        <v>0.05</v>
      </c>
      <c r="K106" s="88">
        <v>0.08</v>
      </c>
      <c r="L106" s="88">
        <v>0.02</v>
      </c>
      <c r="M106" s="88">
        <v>0.02</v>
      </c>
      <c r="N106" s="88">
        <v>0.01</v>
      </c>
      <c r="O106" s="88">
        <v>0.03</v>
      </c>
    </row>
    <row r="107" spans="1:15">
      <c r="B107" s="6">
        <v>5</v>
      </c>
      <c r="C107" s="10" t="s">
        <v>143</v>
      </c>
      <c r="D107" s="88">
        <v>0.54</v>
      </c>
      <c r="E107" s="88">
        <v>0.15</v>
      </c>
      <c r="F107" s="88">
        <v>0.11</v>
      </c>
      <c r="G107" s="88">
        <v>0.1</v>
      </c>
      <c r="H107" s="88">
        <v>0.11</v>
      </c>
      <c r="I107" s="88">
        <v>0.08</v>
      </c>
      <c r="J107" s="88">
        <v>0.05</v>
      </c>
      <c r="K107" s="88">
        <v>0.08</v>
      </c>
      <c r="L107" s="88">
        <v>0.02</v>
      </c>
      <c r="M107" s="88">
        <v>0.03</v>
      </c>
      <c r="N107" s="88">
        <v>0.02</v>
      </c>
      <c r="O107" s="88">
        <v>0.05</v>
      </c>
    </row>
    <row r="108" spans="1:15">
      <c r="B108" s="6">
        <v>6</v>
      </c>
      <c r="C108" s="10" t="s">
        <v>144</v>
      </c>
      <c r="D108" s="88">
        <v>0.53</v>
      </c>
      <c r="E108" s="88">
        <v>0.14000000000000001</v>
      </c>
      <c r="F108" s="88">
        <v>0.1</v>
      </c>
      <c r="G108" s="88">
        <v>0.13</v>
      </c>
      <c r="H108" s="88">
        <v>0.11</v>
      </c>
      <c r="I108" s="88">
        <v>7.0000000000000007E-2</v>
      </c>
      <c r="J108" s="88">
        <v>0.05</v>
      </c>
      <c r="K108" s="88">
        <v>7.0000000000000007E-2</v>
      </c>
      <c r="L108" s="88">
        <v>0.02</v>
      </c>
      <c r="M108" s="88">
        <v>0.02</v>
      </c>
      <c r="N108" s="88">
        <v>0.01</v>
      </c>
      <c r="O108" s="88">
        <v>0.04</v>
      </c>
    </row>
    <row r="109" spans="1:15">
      <c r="B109" s="6" t="s">
        <v>148</v>
      </c>
      <c r="C109" s="6"/>
      <c r="D109" s="87">
        <f t="shared" ref="D109:O109" si="14">AVERAGE(D103:D108)</f>
        <v>0.52666666666666673</v>
      </c>
      <c r="E109" s="87">
        <f t="shared" si="14"/>
        <v>0.16666666666666666</v>
      </c>
      <c r="F109" s="87">
        <f t="shared" si="14"/>
        <v>0.10833333333333334</v>
      </c>
      <c r="G109" s="87">
        <f t="shared" si="14"/>
        <v>0.10999999999999999</v>
      </c>
      <c r="H109" s="87">
        <f t="shared" si="14"/>
        <v>0.10666666666666667</v>
      </c>
      <c r="I109" s="87">
        <f t="shared" si="14"/>
        <v>7.166666666666667E-2</v>
      </c>
      <c r="J109" s="87">
        <f t="shared" si="14"/>
        <v>4.8333333333333332E-2</v>
      </c>
      <c r="K109" s="87">
        <f t="shared" si="14"/>
        <v>6.6666666666666666E-2</v>
      </c>
      <c r="L109" s="87">
        <f t="shared" si="14"/>
        <v>2.4999999999999998E-2</v>
      </c>
      <c r="M109" s="87">
        <f t="shared" si="14"/>
        <v>1.8333333333333333E-2</v>
      </c>
      <c r="N109" s="87">
        <f t="shared" si="14"/>
        <v>1.6666666666666666E-2</v>
      </c>
      <c r="O109" s="87">
        <f t="shared" si="14"/>
        <v>3.1666666666666669E-2</v>
      </c>
    </row>
    <row r="110" spans="1:15">
      <c r="H110" s="4"/>
      <c r="I110" s="4"/>
      <c r="J110" s="4"/>
      <c r="K110" s="4"/>
      <c r="L110" s="4"/>
      <c r="M110" s="4"/>
      <c r="N110" s="4"/>
      <c r="O110" s="4"/>
    </row>
    <row r="111" spans="1:15">
      <c r="B111" s="52"/>
      <c r="C111" s="52"/>
      <c r="D111" s="147"/>
      <c r="E111" s="147"/>
      <c r="F111" s="147"/>
      <c r="G111" s="147"/>
      <c r="I111" s="147"/>
      <c r="J111" s="147"/>
      <c r="K111" s="147"/>
      <c r="L111" s="147"/>
      <c r="M111" s="147"/>
      <c r="N111" s="147"/>
      <c r="O111" s="147"/>
    </row>
    <row r="115" spans="1:7" s="588" customFormat="1">
      <c r="A115" s="593" t="s">
        <v>10</v>
      </c>
      <c r="B115" s="593" t="s">
        <v>3682</v>
      </c>
      <c r="C115" s="600"/>
      <c r="D115" s="600"/>
      <c r="E115" s="600"/>
      <c r="F115" s="600"/>
      <c r="G115" s="600"/>
    </row>
    <row r="116" spans="1:7">
      <c r="B116" s="9"/>
    </row>
    <row r="117" spans="1:7">
      <c r="C117" s="4" t="s">
        <v>25</v>
      </c>
      <c r="D117" s="4" t="s">
        <v>184</v>
      </c>
      <c r="E117" s="4" t="s">
        <v>185</v>
      </c>
    </row>
    <row r="118" spans="1:7">
      <c r="B118" s="117" t="s">
        <v>3300</v>
      </c>
      <c r="C118" s="133">
        <v>2018</v>
      </c>
      <c r="D118" s="133">
        <v>2018</v>
      </c>
      <c r="E118" s="133">
        <v>2018</v>
      </c>
      <c r="G118"/>
    </row>
    <row r="119" spans="1:7">
      <c r="B119" s="9"/>
      <c r="C119" s="9"/>
      <c r="D119" s="9"/>
      <c r="E119" s="9"/>
      <c r="G119"/>
    </row>
    <row r="120" spans="1:7">
      <c r="B120" s="7" t="s">
        <v>125</v>
      </c>
      <c r="C120" s="7" t="s">
        <v>151</v>
      </c>
      <c r="D120" s="7" t="s">
        <v>0</v>
      </c>
    </row>
    <row r="121" spans="1:7">
      <c r="B121" s="6" t="s">
        <v>15</v>
      </c>
      <c r="C121" s="169">
        <f>G56*(1.023^6)</f>
        <v>74.477205353816416</v>
      </c>
      <c r="D121" s="374" t="s">
        <v>2882</v>
      </c>
    </row>
    <row r="122" spans="1:7">
      <c r="A122"/>
      <c r="B122" s="6" t="s">
        <v>99</v>
      </c>
      <c r="C122" s="169">
        <f>'PCA data'!C30</f>
        <v>1.5930969506538537</v>
      </c>
      <c r="D122" s="168" t="s">
        <v>212</v>
      </c>
      <c r="F122"/>
      <c r="G122"/>
    </row>
    <row r="123" spans="1:7">
      <c r="A123"/>
      <c r="B123" s="6" t="s">
        <v>14</v>
      </c>
      <c r="C123" s="169">
        <f>F56*(1.023^6)</f>
        <v>69.6378686724277</v>
      </c>
      <c r="D123" s="374" t="s">
        <v>2882</v>
      </c>
      <c r="F123"/>
      <c r="G123"/>
    </row>
    <row r="124" spans="1:7">
      <c r="A124"/>
      <c r="B124" s="6" t="s">
        <v>17</v>
      </c>
      <c r="C124" s="169">
        <f>K56*(1.017^3)</f>
        <v>0.69486240610430439</v>
      </c>
      <c r="D124" s="374" t="s">
        <v>2882</v>
      </c>
      <c r="F124"/>
      <c r="G124"/>
    </row>
    <row r="125" spans="1:7">
      <c r="A125"/>
      <c r="B125" s="6" t="s">
        <v>13</v>
      </c>
      <c r="C125" s="171">
        <f>C240</f>
        <v>26.738632032202048</v>
      </c>
      <c r="D125" s="110" t="s">
        <v>2462</v>
      </c>
      <c r="E125" s="110" t="s">
        <v>2465</v>
      </c>
      <c r="F125"/>
      <c r="G125"/>
    </row>
    <row r="126" spans="1:7">
      <c r="A126"/>
      <c r="B126" s="6" t="s">
        <v>2831</v>
      </c>
      <c r="C126" s="171">
        <f>C224</f>
        <v>0.62696078431372548</v>
      </c>
      <c r="D126" s="110" t="s">
        <v>2883</v>
      </c>
      <c r="E126" s="110"/>
      <c r="F126"/>
      <c r="G126"/>
    </row>
    <row r="127" spans="1:7">
      <c r="A127"/>
      <c r="B127" s="6" t="s">
        <v>102</v>
      </c>
      <c r="C127" s="169">
        <f>'PCA data'!C15</f>
        <v>23.098297183563602</v>
      </c>
      <c r="D127" s="168" t="s">
        <v>212</v>
      </c>
      <c r="E127" s="110"/>
      <c r="F127"/>
      <c r="G127"/>
    </row>
    <row r="128" spans="1:7">
      <c r="A128"/>
      <c r="B128" s="6" t="s">
        <v>2870</v>
      </c>
      <c r="C128" s="169">
        <f>'PCA data'!C14</f>
        <v>7.039410874060688</v>
      </c>
      <c r="D128" s="168" t="s">
        <v>212</v>
      </c>
      <c r="E128" s="110"/>
      <c r="F128"/>
      <c r="G128"/>
    </row>
    <row r="129" spans="1:7">
      <c r="A129"/>
      <c r="B129" s="6" t="s">
        <v>2862</v>
      </c>
      <c r="C129" s="169">
        <f>'PCA data'!C16</f>
        <v>0.38928260032847312</v>
      </c>
      <c r="D129" s="168" t="s">
        <v>212</v>
      </c>
      <c r="E129" s="110"/>
      <c r="F129"/>
      <c r="G129"/>
    </row>
    <row r="130" spans="1:7">
      <c r="A130"/>
      <c r="B130" s="6" t="s">
        <v>131</v>
      </c>
      <c r="C130" s="169">
        <f>'PCA data'!C20</f>
        <v>2.649607261160202</v>
      </c>
      <c r="D130" s="168" t="s">
        <v>212</v>
      </c>
      <c r="E130" s="110"/>
      <c r="F130"/>
      <c r="G130"/>
    </row>
    <row r="131" spans="1:7" ht="29">
      <c r="A131"/>
      <c r="B131" s="6" t="s">
        <v>2869</v>
      </c>
      <c r="C131" s="170">
        <v>8.16</v>
      </c>
      <c r="D131" s="176" t="s">
        <v>2876</v>
      </c>
      <c r="E131" s="110"/>
      <c r="F131"/>
      <c r="G131"/>
    </row>
    <row r="132" spans="1:7">
      <c r="A132"/>
      <c r="B132" s="6" t="s">
        <v>2871</v>
      </c>
      <c r="C132" s="170">
        <v>0.8</v>
      </c>
      <c r="D132" s="168" t="s">
        <v>2864</v>
      </c>
      <c r="E132" s="110"/>
      <c r="F132"/>
      <c r="G132"/>
    </row>
    <row r="133" spans="1:7">
      <c r="A133"/>
      <c r="B133" s="6" t="s">
        <v>2863</v>
      </c>
      <c r="C133" s="170">
        <v>0.6</v>
      </c>
      <c r="D133" s="168" t="s">
        <v>2865</v>
      </c>
      <c r="E133" s="110"/>
      <c r="F133"/>
      <c r="G133"/>
    </row>
    <row r="134" spans="1:7">
      <c r="A134"/>
      <c r="B134" s="6" t="s">
        <v>100</v>
      </c>
      <c r="C134" s="169">
        <f>'PCA data'!C18</f>
        <v>3.139765878429948</v>
      </c>
      <c r="D134" s="168" t="s">
        <v>212</v>
      </c>
      <c r="E134" s="110"/>
      <c r="F134"/>
      <c r="G134"/>
    </row>
    <row r="135" spans="1:7" ht="12.65" customHeight="1">
      <c r="A135"/>
      <c r="B135" s="6" t="s">
        <v>11</v>
      </c>
      <c r="C135" s="169">
        <f>C165</f>
        <v>96.168131868131852</v>
      </c>
      <c r="D135" s="110" t="s">
        <v>2462</v>
      </c>
      <c r="E135" s="110"/>
      <c r="F135"/>
      <c r="G135"/>
    </row>
    <row r="136" spans="1:7">
      <c r="A136"/>
      <c r="B136" s="6" t="s">
        <v>103</v>
      </c>
      <c r="C136" s="170">
        <v>3293</v>
      </c>
      <c r="D136" s="176" t="s">
        <v>2811</v>
      </c>
      <c r="E136" s="110" t="s">
        <v>2521</v>
      </c>
      <c r="F136"/>
      <c r="G136"/>
    </row>
    <row r="137" spans="1:7" ht="34.25" customHeight="1">
      <c r="A137"/>
      <c r="B137" s="6" t="s">
        <v>16</v>
      </c>
      <c r="C137" s="170">
        <v>147.84281277010007</v>
      </c>
      <c r="D137" s="176" t="s">
        <v>2811</v>
      </c>
      <c r="E137" s="110" t="s">
        <v>2464</v>
      </c>
      <c r="F137"/>
      <c r="G137"/>
    </row>
    <row r="138" spans="1:7">
      <c r="B138" s="6" t="s">
        <v>104</v>
      </c>
      <c r="C138" s="171">
        <f>C151</f>
        <v>7.547354964246999</v>
      </c>
      <c r="D138" s="110" t="s">
        <v>116</v>
      </c>
      <c r="E138" s="110"/>
    </row>
    <row r="139" spans="1:7">
      <c r="B139" s="6" t="s">
        <v>12</v>
      </c>
      <c r="C139" s="171">
        <f>D240</f>
        <v>16.468851110564259</v>
      </c>
      <c r="D139" s="110" t="s">
        <v>2462</v>
      </c>
      <c r="F139" s="110"/>
    </row>
    <row r="140" spans="1:7">
      <c r="B140" s="6" t="s">
        <v>2832</v>
      </c>
      <c r="C140" s="171">
        <f>D224</f>
        <v>0.6166666666666667</v>
      </c>
      <c r="D140" s="110" t="s">
        <v>2883</v>
      </c>
      <c r="F140" s="110"/>
    </row>
    <row r="141" spans="1:7">
      <c r="B141" s="6" t="s">
        <v>106</v>
      </c>
      <c r="C141" s="172">
        <f>'PCA data'!C29</f>
        <v>4.6362210390219314</v>
      </c>
      <c r="D141" s="168" t="s">
        <v>212</v>
      </c>
      <c r="F141" s="110"/>
    </row>
    <row r="142" spans="1:7">
      <c r="B142" s="6" t="s">
        <v>107</v>
      </c>
      <c r="C142" s="169">
        <f>'PCA data'!C28</f>
        <v>16.261147422097082</v>
      </c>
      <c r="D142" s="168" t="s">
        <v>212</v>
      </c>
      <c r="F142" s="110"/>
    </row>
    <row r="146" spans="1:8">
      <c r="A146" s="9" t="s">
        <v>10</v>
      </c>
      <c r="B146" s="35" t="s">
        <v>110</v>
      </c>
      <c r="C146" s="174"/>
      <c r="D146" s="110"/>
      <c r="G146"/>
    </row>
    <row r="147" spans="1:8">
      <c r="B147" s="165"/>
      <c r="C147" s="174"/>
      <c r="D147" s="110"/>
      <c r="E147"/>
      <c r="F147"/>
      <c r="G147"/>
    </row>
    <row r="148" spans="1:8">
      <c r="B148" s="7" t="s">
        <v>2</v>
      </c>
      <c r="C148" s="84" t="s">
        <v>2463</v>
      </c>
      <c r="D148" s="110"/>
      <c r="E148"/>
      <c r="F148"/>
      <c r="G148"/>
    </row>
    <row r="149" spans="1:8">
      <c r="B149" s="166" t="s">
        <v>2467</v>
      </c>
      <c r="C149" s="175">
        <v>7</v>
      </c>
      <c r="D149" s="110" t="s">
        <v>116</v>
      </c>
      <c r="E149"/>
      <c r="F149"/>
      <c r="G149"/>
    </row>
    <row r="150" spans="1:8" ht="29">
      <c r="B150" s="166" t="s">
        <v>2468</v>
      </c>
      <c r="C150" s="178">
        <f>Inflation!G16</f>
        <v>1.9000000000000003E-2</v>
      </c>
      <c r="D150" s="110"/>
      <c r="E150"/>
      <c r="F150"/>
      <c r="G150"/>
    </row>
    <row r="151" spans="1:8">
      <c r="B151" s="166" t="s">
        <v>2466</v>
      </c>
      <c r="C151" s="177">
        <f>C149*((1+C150)^4)</f>
        <v>7.547354964246999</v>
      </c>
      <c r="E151"/>
      <c r="F151"/>
      <c r="G151"/>
    </row>
    <row r="152" spans="1:8">
      <c r="C152" s="173"/>
      <c r="D152" s="110"/>
      <c r="E152"/>
      <c r="F152"/>
      <c r="G152"/>
    </row>
    <row r="154" spans="1:8" s="588" customFormat="1">
      <c r="A154" s="593" t="s">
        <v>10</v>
      </c>
      <c r="B154" s="593" t="s">
        <v>3301</v>
      </c>
      <c r="C154" s="600"/>
      <c r="D154" s="600"/>
      <c r="E154" s="600"/>
      <c r="F154" s="600"/>
      <c r="G154" s="600"/>
    </row>
    <row r="157" spans="1:8">
      <c r="C157" s="173"/>
    </row>
    <row r="158" spans="1:8">
      <c r="A158" s="9" t="s">
        <v>10</v>
      </c>
      <c r="B158" s="280" t="s">
        <v>2477</v>
      </c>
      <c r="C158" s="174"/>
    </row>
    <row r="159" spans="1:8">
      <c r="B159" s="165"/>
      <c r="C159" s="174"/>
      <c r="F159" s="9" t="s">
        <v>2720</v>
      </c>
    </row>
    <row r="160" spans="1:8">
      <c r="B160" s="7" t="s">
        <v>2</v>
      </c>
      <c r="C160" s="84" t="s">
        <v>2463</v>
      </c>
      <c r="D160" s="84" t="s">
        <v>1</v>
      </c>
      <c r="F160" s="58" t="s">
        <v>2479</v>
      </c>
      <c r="G160" s="58" t="s">
        <v>2480</v>
      </c>
      <c r="H160" s="84" t="s">
        <v>3683</v>
      </c>
    </row>
    <row r="161" spans="1:9">
      <c r="B161" s="166" t="s">
        <v>2478</v>
      </c>
      <c r="C161" s="177">
        <f>H161</f>
        <v>15</v>
      </c>
      <c r="D161" s="177"/>
      <c r="F161" s="481">
        <v>11.7</v>
      </c>
      <c r="G161" s="481">
        <v>15</v>
      </c>
      <c r="H161" s="177">
        <f>G161</f>
        <v>15</v>
      </c>
    </row>
    <row r="162" spans="1:9">
      <c r="B162" s="166" t="s">
        <v>2482</v>
      </c>
      <c r="C162" s="177">
        <f>H162</f>
        <v>37</v>
      </c>
      <c r="D162" s="177"/>
      <c r="F162" s="481">
        <v>23.4</v>
      </c>
      <c r="G162" s="481">
        <v>37</v>
      </c>
      <c r="H162" s="177">
        <f>G162</f>
        <v>37</v>
      </c>
    </row>
    <row r="163" spans="1:9">
      <c r="B163" s="166" t="s">
        <v>2481</v>
      </c>
      <c r="C163" s="185">
        <v>3.1</v>
      </c>
      <c r="D163" s="603" t="s">
        <v>2462</v>
      </c>
      <c r="H163" s="4"/>
      <c r="I163" s="4"/>
    </row>
    <row r="164" spans="1:9">
      <c r="B164" s="167" t="s">
        <v>2484</v>
      </c>
      <c r="C164" s="482">
        <v>0.72827172827172804</v>
      </c>
      <c r="D164" s="604" t="s">
        <v>2522</v>
      </c>
      <c r="E164" s="97"/>
      <c r="H164" s="4"/>
      <c r="I164" s="4"/>
    </row>
    <row r="165" spans="1:9">
      <c r="B165" s="166" t="s">
        <v>2488</v>
      </c>
      <c r="C165" s="177">
        <f>C163*(C162*C164+(1-C164)*C161)</f>
        <v>96.168131868131852</v>
      </c>
      <c r="D165" s="177"/>
      <c r="E165" s="182"/>
      <c r="H165" s="4"/>
    </row>
    <row r="167" spans="1:9">
      <c r="C167" s="173"/>
      <c r="E167" s="110"/>
      <c r="H167" s="4"/>
    </row>
    <row r="168" spans="1:9">
      <c r="B168" s="52"/>
      <c r="C168" s="281"/>
      <c r="D168" s="281"/>
      <c r="I168" s="4"/>
    </row>
    <row r="169" spans="1:9">
      <c r="A169" s="9" t="s">
        <v>10</v>
      </c>
      <c r="B169" s="299" t="s">
        <v>2824</v>
      </c>
      <c r="D169" s="110"/>
      <c r="I169" s="4"/>
    </row>
    <row r="170" spans="1:9">
      <c r="B170" s="299"/>
      <c r="D170" s="110"/>
      <c r="I170" s="4"/>
    </row>
    <row r="171" spans="1:9">
      <c r="B171" s="9" t="s">
        <v>2822</v>
      </c>
      <c r="D171" s="110"/>
      <c r="F171" s="281"/>
      <c r="G171" s="281"/>
      <c r="H171" s="281"/>
      <c r="I171" s="4"/>
    </row>
    <row r="172" spans="1:9">
      <c r="B172" s="605" t="s">
        <v>2775</v>
      </c>
      <c r="D172" s="110"/>
      <c r="F172" s="281"/>
      <c r="G172" s="281"/>
      <c r="H172" s="281"/>
      <c r="I172" s="4"/>
    </row>
    <row r="173" spans="1:9">
      <c r="B173" s="84" t="s">
        <v>2776</v>
      </c>
      <c r="C173" s="84" t="s">
        <v>2773</v>
      </c>
      <c r="D173" s="84" t="s">
        <v>2774</v>
      </c>
      <c r="F173" s="281"/>
      <c r="G173" s="281"/>
      <c r="H173" s="281"/>
      <c r="I173" s="4"/>
    </row>
    <row r="174" spans="1:9">
      <c r="B174" s="177" t="s">
        <v>2738</v>
      </c>
      <c r="C174" s="302">
        <v>34.200000000000003</v>
      </c>
      <c r="D174" s="302">
        <v>25.4</v>
      </c>
      <c r="F174" s="281"/>
      <c r="G174" s="281"/>
      <c r="H174" s="281"/>
      <c r="I174" s="4"/>
    </row>
    <row r="175" spans="1:9">
      <c r="A175"/>
      <c r="B175" s="177" t="s">
        <v>2777</v>
      </c>
      <c r="C175" s="302">
        <v>36.200000000000003</v>
      </c>
      <c r="D175" s="302">
        <v>30.1</v>
      </c>
      <c r="F175" s="281"/>
      <c r="G175" s="281"/>
      <c r="H175" s="281"/>
      <c r="I175" s="4"/>
    </row>
    <row r="176" spans="1:9">
      <c r="A176"/>
      <c r="B176" s="281"/>
      <c r="C176" s="281"/>
      <c r="D176" s="281"/>
      <c r="E176" s="281"/>
      <c r="F176" s="281"/>
      <c r="G176" s="281"/>
      <c r="H176" s="281"/>
      <c r="I176" s="4"/>
    </row>
    <row r="177" spans="1:9">
      <c r="A177"/>
      <c r="B177" s="177" t="s">
        <v>2798</v>
      </c>
      <c r="C177" s="302">
        <v>25</v>
      </c>
      <c r="D177" s="302">
        <v>20</v>
      </c>
      <c r="E177" s="607" t="s">
        <v>3302</v>
      </c>
      <c r="F177" s="281"/>
      <c r="G177" s="281"/>
      <c r="H177" s="281"/>
      <c r="I177" s="4"/>
    </row>
    <row r="178" spans="1:9">
      <c r="A178"/>
      <c r="B178" s="281"/>
      <c r="C178" s="281"/>
      <c r="D178" s="281"/>
      <c r="E178" s="281"/>
      <c r="F178" s="281"/>
      <c r="G178" s="281"/>
      <c r="H178" s="281"/>
      <c r="I178" s="4"/>
    </row>
    <row r="179" spans="1:9">
      <c r="A179"/>
      <c r="B179" s="281"/>
      <c r="C179" s="281"/>
      <c r="D179" s="281"/>
      <c r="E179" s="281"/>
      <c r="F179" s="281"/>
      <c r="G179" s="281"/>
      <c r="H179" s="281"/>
      <c r="I179" s="4"/>
    </row>
    <row r="180" spans="1:9">
      <c r="A180"/>
      <c r="B180" s="335" t="s">
        <v>2821</v>
      </c>
      <c r="C180" s="281"/>
      <c r="D180" s="281"/>
      <c r="E180" s="281"/>
      <c r="F180" s="281"/>
      <c r="G180" s="281"/>
      <c r="H180" s="281"/>
      <c r="I180" s="4"/>
    </row>
    <row r="181" spans="1:9">
      <c r="A181"/>
      <c r="B181" s="605" t="s">
        <v>3006</v>
      </c>
      <c r="C181" s="281"/>
      <c r="D181" s="281"/>
      <c r="E181" s="281"/>
      <c r="F181" s="281"/>
      <c r="G181" s="281"/>
      <c r="H181" s="281"/>
      <c r="I181" s="4"/>
    </row>
    <row r="182" spans="1:9">
      <c r="A182"/>
      <c r="B182" s="303"/>
      <c r="C182" s="281"/>
      <c r="D182" s="281"/>
      <c r="E182" s="281"/>
      <c r="F182" s="281"/>
      <c r="G182" s="281"/>
      <c r="H182" s="281"/>
      <c r="I182" s="4"/>
    </row>
    <row r="183" spans="1:9">
      <c r="A183"/>
      <c r="B183" s="84"/>
      <c r="C183" s="84" t="s">
        <v>3007</v>
      </c>
      <c r="D183" s="281"/>
      <c r="E183" s="281"/>
      <c r="F183" s="281"/>
      <c r="G183" s="281"/>
      <c r="H183" s="281"/>
      <c r="I183" s="4"/>
    </row>
    <row r="184" spans="1:9">
      <c r="A184"/>
      <c r="B184" s="606" t="s">
        <v>2996</v>
      </c>
      <c r="C184" s="427">
        <v>10</v>
      </c>
      <c r="D184" s="281"/>
      <c r="E184" s="281"/>
      <c r="F184" s="281"/>
      <c r="G184" s="281"/>
      <c r="H184" s="281"/>
      <c r="I184" s="4"/>
    </row>
    <row r="185" spans="1:9" ht="30.65" customHeight="1">
      <c r="A185"/>
      <c r="B185" s="429"/>
      <c r="C185" s="281"/>
      <c r="D185" s="281"/>
      <c r="E185" s="281"/>
      <c r="F185" s="281"/>
      <c r="G185" s="281"/>
      <c r="H185" s="281"/>
      <c r="I185" s="4"/>
    </row>
    <row r="186" spans="1:9">
      <c r="A186"/>
      <c r="B186" s="281"/>
      <c r="C186" s="281"/>
      <c r="D186" s="281"/>
      <c r="E186" s="281"/>
      <c r="F186" s="281"/>
      <c r="G186" s="281"/>
      <c r="H186" s="281"/>
      <c r="I186" s="4"/>
    </row>
    <row r="187" spans="1:9">
      <c r="B187" s="9" t="s">
        <v>2823</v>
      </c>
      <c r="C187" s="281"/>
      <c r="D187" s="281"/>
      <c r="E187" s="281"/>
      <c r="F187" s="281"/>
      <c r="G187" s="281"/>
      <c r="H187" s="281"/>
      <c r="I187" s="4"/>
    </row>
    <row r="188" spans="1:9">
      <c r="B188" s="605" t="s">
        <v>3006</v>
      </c>
      <c r="C188" s="281"/>
      <c r="D188" s="281"/>
      <c r="E188" s="281"/>
      <c r="F188" s="281"/>
      <c r="G188" s="281"/>
      <c r="H188" s="281"/>
      <c r="I188" s="4"/>
    </row>
    <row r="189" spans="1:9">
      <c r="B189" s="605" t="s">
        <v>3009</v>
      </c>
      <c r="C189" s="281"/>
      <c r="D189" s="281"/>
      <c r="E189" s="281"/>
      <c r="F189" s="281"/>
      <c r="G189" s="281"/>
      <c r="H189" s="281"/>
      <c r="I189" s="4"/>
    </row>
    <row r="190" spans="1:9">
      <c r="B190" s="303"/>
      <c r="C190" s="281"/>
      <c r="D190" s="281"/>
      <c r="E190" s="281"/>
      <c r="F190" s="281"/>
      <c r="G190" s="281"/>
      <c r="H190" s="281"/>
      <c r="I190" s="4"/>
    </row>
    <row r="191" spans="1:9">
      <c r="B191" s="303"/>
      <c r="C191" s="216" t="s">
        <v>2998</v>
      </c>
      <c r="D191" s="216"/>
      <c r="E191" s="216"/>
      <c r="F191" s="281"/>
      <c r="G191" s="281"/>
      <c r="H191" s="281"/>
      <c r="I191" s="4"/>
    </row>
    <row r="192" spans="1:9" ht="26" customHeight="1">
      <c r="B192" s="216" t="s">
        <v>3008</v>
      </c>
      <c r="C192" s="216" t="s">
        <v>2999</v>
      </c>
      <c r="D192" s="216" t="s">
        <v>3000</v>
      </c>
      <c r="E192" s="216" t="s">
        <v>105</v>
      </c>
      <c r="F192" s="52"/>
    </row>
    <row r="193" spans="1:9">
      <c r="B193" s="177" t="s">
        <v>2738</v>
      </c>
      <c r="C193" s="301">
        <f>C174+C$184</f>
        <v>44.2</v>
      </c>
      <c r="D193" s="301">
        <f>D174</f>
        <v>25.4</v>
      </c>
      <c r="E193" s="301">
        <f>D174</f>
        <v>25.4</v>
      </c>
      <c r="F193" s="52"/>
      <c r="G193" s="281"/>
      <c r="H193" s="281"/>
      <c r="I193" s="4"/>
    </row>
    <row r="194" spans="1:9">
      <c r="B194" s="177" t="s">
        <v>2777</v>
      </c>
      <c r="C194" s="301">
        <f>C175+C$184</f>
        <v>46.2</v>
      </c>
      <c r="D194" s="301">
        <f>D175</f>
        <v>30.1</v>
      </c>
      <c r="E194" s="301">
        <f>D175</f>
        <v>30.1</v>
      </c>
      <c r="F194" s="52"/>
      <c r="G194" s="281"/>
      <c r="H194" s="281"/>
      <c r="I194" s="4"/>
    </row>
    <row r="195" spans="1:9">
      <c r="B195" s="177" t="s">
        <v>2798</v>
      </c>
      <c r="C195" s="301">
        <f>C177+C$184</f>
        <v>35</v>
      </c>
      <c r="D195" s="301">
        <f>D177</f>
        <v>20</v>
      </c>
      <c r="E195" s="301">
        <f>D177</f>
        <v>20</v>
      </c>
      <c r="F195" s="52"/>
      <c r="G195" s="281"/>
      <c r="H195" s="281"/>
      <c r="I195" s="4"/>
    </row>
    <row r="196" spans="1:9">
      <c r="B196" s="281"/>
      <c r="C196" s="334"/>
      <c r="D196" s="334"/>
      <c r="F196" s="52"/>
      <c r="G196" s="281"/>
      <c r="H196" s="281"/>
      <c r="I196" s="4"/>
    </row>
    <row r="197" spans="1:9">
      <c r="B197" s="281"/>
      <c r="C197" s="281"/>
      <c r="D197" s="281"/>
      <c r="F197" s="281"/>
      <c r="G197" s="281"/>
      <c r="H197" s="281"/>
      <c r="I197" s="4"/>
    </row>
    <row r="198" spans="1:9">
      <c r="C198" s="173"/>
      <c r="D198" s="300"/>
      <c r="F198" s="281"/>
      <c r="G198" s="281"/>
      <c r="H198" s="281"/>
      <c r="I198" s="4"/>
    </row>
    <row r="199" spans="1:9" s="588" customFormat="1">
      <c r="A199" s="593" t="s">
        <v>10</v>
      </c>
      <c r="B199" s="608" t="s">
        <v>3303</v>
      </c>
      <c r="C199" s="600"/>
      <c r="D199" s="600"/>
      <c r="E199" s="600"/>
      <c r="F199" s="600"/>
      <c r="G199" s="600"/>
    </row>
    <row r="200" spans="1:9">
      <c r="B200" s="35"/>
    </row>
    <row r="201" spans="1:9">
      <c r="A201"/>
      <c r="B201" s="9" t="s">
        <v>2820</v>
      </c>
    </row>
    <row r="202" spans="1:9">
      <c r="A202"/>
      <c r="B202" s="330" t="s">
        <v>3565</v>
      </c>
      <c r="E202" s="183"/>
      <c r="H202" s="4"/>
    </row>
    <row r="203" spans="1:9">
      <c r="A203"/>
      <c r="B203" s="84" t="s">
        <v>2486</v>
      </c>
      <c r="C203" s="84" t="s">
        <v>2818</v>
      </c>
      <c r="D203" s="84" t="s">
        <v>2485</v>
      </c>
      <c r="H203" s="4"/>
    </row>
    <row r="204" spans="1:9">
      <c r="A204"/>
      <c r="B204" s="187">
        <v>4</v>
      </c>
      <c r="C204" s="478">
        <v>0</v>
      </c>
      <c r="D204" s="797">
        <f>C204/SUM($C$204:$C$208)</f>
        <v>0</v>
      </c>
      <c r="H204" s="4"/>
    </row>
    <row r="205" spans="1:9">
      <c r="A205"/>
      <c r="B205" s="187">
        <v>5</v>
      </c>
      <c r="C205" s="478">
        <v>0.95</v>
      </c>
      <c r="D205" s="797">
        <f t="shared" ref="D205:D208" si="15">C205/SUM($C$204:$C$208)</f>
        <v>0.93137254901960775</v>
      </c>
      <c r="H205" s="4"/>
    </row>
    <row r="206" spans="1:9">
      <c r="A206"/>
      <c r="B206" s="187">
        <v>6</v>
      </c>
      <c r="C206" s="478">
        <v>7.0000000000000007E-2</v>
      </c>
      <c r="D206" s="797">
        <f t="shared" si="15"/>
        <v>6.8627450980392163E-2</v>
      </c>
    </row>
    <row r="207" spans="1:9">
      <c r="A207"/>
      <c r="B207" s="187">
        <v>7</v>
      </c>
      <c r="C207" s="478">
        <v>0</v>
      </c>
      <c r="D207" s="797">
        <f t="shared" si="15"/>
        <v>0</v>
      </c>
    </row>
    <row r="208" spans="1:9">
      <c r="A208"/>
      <c r="B208" s="187" t="s">
        <v>2483</v>
      </c>
      <c r="C208" s="478">
        <v>0</v>
      </c>
      <c r="D208" s="797">
        <f t="shared" si="15"/>
        <v>0</v>
      </c>
    </row>
    <row r="209" spans="1:7">
      <c r="A209"/>
      <c r="C209" s="110"/>
      <c r="D209" s="330" t="b">
        <f>SUM(D204:D208)=1</f>
        <v>1</v>
      </c>
    </row>
    <row r="210" spans="1:7">
      <c r="A210"/>
      <c r="C210" s="110"/>
    </row>
    <row r="211" spans="1:7">
      <c r="A211"/>
      <c r="B211" s="9" t="s">
        <v>2487</v>
      </c>
      <c r="C211" s="110"/>
      <c r="E211" s="110"/>
    </row>
    <row r="212" spans="1:7">
      <c r="A212"/>
      <c r="B212" s="330" t="s">
        <v>2462</v>
      </c>
      <c r="C212" s="110"/>
      <c r="E212" s="110"/>
    </row>
    <row r="213" spans="1:7">
      <c r="A213"/>
      <c r="B213" s="84" t="s">
        <v>2486</v>
      </c>
      <c r="C213" s="34" t="s">
        <v>2817</v>
      </c>
      <c r="D213" s="34" t="s">
        <v>105</v>
      </c>
      <c r="E213" s="110"/>
    </row>
    <row r="214" spans="1:7">
      <c r="A214"/>
      <c r="B214" s="333">
        <v>4</v>
      </c>
      <c r="C214" s="331"/>
      <c r="D214" s="332"/>
      <c r="E214" s="110"/>
    </row>
    <row r="215" spans="1:7">
      <c r="A215"/>
      <c r="B215" s="187">
        <v>5</v>
      </c>
      <c r="C215" s="329">
        <v>37</v>
      </c>
      <c r="D215" s="329"/>
      <c r="E215" s="110"/>
    </row>
    <row r="216" spans="1:7">
      <c r="A216"/>
      <c r="B216" s="187">
        <v>6</v>
      </c>
      <c r="C216" s="329">
        <v>46</v>
      </c>
      <c r="D216" s="329"/>
      <c r="E216" s="110"/>
    </row>
    <row r="217" spans="1:7">
      <c r="B217" s="187">
        <v>7</v>
      </c>
      <c r="C217" s="329">
        <v>55</v>
      </c>
      <c r="D217" s="329"/>
      <c r="E217" s="110"/>
      <c r="G217"/>
    </row>
    <row r="218" spans="1:7">
      <c r="B218" s="187" t="s">
        <v>2483</v>
      </c>
      <c r="C218" s="329">
        <v>64</v>
      </c>
      <c r="D218" s="329"/>
      <c r="E218" s="110"/>
      <c r="G218"/>
    </row>
    <row r="219" spans="1:7">
      <c r="B219" s="187" t="s">
        <v>6</v>
      </c>
      <c r="C219" s="329"/>
      <c r="D219" s="329">
        <v>37</v>
      </c>
      <c r="E219" s="110"/>
      <c r="G219"/>
    </row>
    <row r="220" spans="1:7">
      <c r="C220" s="330" t="s">
        <v>2487</v>
      </c>
      <c r="D220" s="330" t="s">
        <v>2819</v>
      </c>
      <c r="E220" s="110"/>
      <c r="G220"/>
    </row>
    <row r="221" spans="1:7">
      <c r="C221" s="330"/>
      <c r="D221" s="330"/>
      <c r="E221" s="110"/>
      <c r="G221"/>
    </row>
    <row r="222" spans="1:7">
      <c r="C222" s="110"/>
      <c r="E222" s="110"/>
      <c r="G222"/>
    </row>
    <row r="223" spans="1:7">
      <c r="B223" s="213"/>
      <c r="C223" s="34" t="s">
        <v>2817</v>
      </c>
      <c r="D223" s="34" t="s">
        <v>105</v>
      </c>
      <c r="E223" s="110"/>
      <c r="G223"/>
    </row>
    <row r="224" spans="1:7">
      <c r="B224" s="166" t="s">
        <v>2816</v>
      </c>
      <c r="C224" s="336">
        <f>SUMPRODUCT(C215:C218,D205:D208)/60</f>
        <v>0.62696078431372548</v>
      </c>
      <c r="D224" s="336">
        <f>D219/60</f>
        <v>0.6166666666666667</v>
      </c>
      <c r="E224" s="110"/>
      <c r="G224"/>
    </row>
    <row r="225" spans="1:7">
      <c r="B225" s="52"/>
      <c r="C225" s="337"/>
      <c r="D225" s="337"/>
      <c r="E225" s="110"/>
      <c r="G225"/>
    </row>
    <row r="226" spans="1:7">
      <c r="C226" s="184"/>
      <c r="G226"/>
    </row>
    <row r="227" spans="1:7">
      <c r="A227" s="9" t="s">
        <v>10</v>
      </c>
      <c r="B227" s="114" t="s">
        <v>2825</v>
      </c>
      <c r="C227" s="52"/>
      <c r="D227" s="52"/>
      <c r="E227" s="52"/>
      <c r="F227" s="52"/>
      <c r="G227"/>
    </row>
    <row r="228" spans="1:7">
      <c r="B228" s="114"/>
      <c r="C228" s="52"/>
      <c r="D228" s="52"/>
      <c r="E228" s="52"/>
      <c r="F228" s="52"/>
      <c r="G228"/>
    </row>
    <row r="229" spans="1:7">
      <c r="B229" s="113"/>
      <c r="C229" s="52"/>
      <c r="D229" s="52"/>
      <c r="E229" s="52"/>
      <c r="F229" s="52"/>
      <c r="G229"/>
    </row>
    <row r="230" spans="1:7">
      <c r="B230" s="216" t="s">
        <v>2826</v>
      </c>
      <c r="C230" s="216" t="s">
        <v>2773</v>
      </c>
      <c r="D230" s="216" t="s">
        <v>2774</v>
      </c>
      <c r="F230" s="52"/>
      <c r="G230"/>
    </row>
    <row r="231" spans="1:7">
      <c r="B231" s="216" t="s">
        <v>2475</v>
      </c>
      <c r="C231" s="216" t="s">
        <v>2817</v>
      </c>
      <c r="D231" s="216" t="s">
        <v>105</v>
      </c>
      <c r="F231" s="52"/>
      <c r="G231"/>
    </row>
    <row r="232" spans="1:7">
      <c r="B232" s="177" t="s">
        <v>2738</v>
      </c>
      <c r="C232" s="338">
        <f>C$224*C193</f>
        <v>27.71166666666667</v>
      </c>
      <c r="D232" s="338">
        <f>D$224*E193</f>
        <v>15.663333333333334</v>
      </c>
      <c r="F232" s="52"/>
      <c r="G232"/>
    </row>
    <row r="233" spans="1:7">
      <c r="B233" s="177" t="s">
        <v>2777</v>
      </c>
      <c r="C233" s="338">
        <f>C$224*C194</f>
        <v>28.965588235294121</v>
      </c>
      <c r="D233" s="338">
        <f>D$224*E194</f>
        <v>18.561666666666667</v>
      </c>
      <c r="F233" s="52"/>
      <c r="G233"/>
    </row>
    <row r="234" spans="1:7">
      <c r="B234" s="177" t="s">
        <v>2798</v>
      </c>
      <c r="C234" s="338">
        <f>C$224*C195</f>
        <v>21.943627450980394</v>
      </c>
      <c r="D234" s="338">
        <f>D$224*E195</f>
        <v>12.333333333333334</v>
      </c>
      <c r="F234" s="52"/>
      <c r="G234"/>
    </row>
    <row r="235" spans="1:7" ht="13.25" customHeight="1">
      <c r="B235" s="52"/>
      <c r="C235" s="52"/>
      <c r="F235" s="52"/>
      <c r="G235"/>
    </row>
    <row r="236" spans="1:7">
      <c r="B236" s="114"/>
      <c r="C236" s="52"/>
      <c r="D236" s="52"/>
      <c r="E236" s="52"/>
      <c r="F236" s="52"/>
      <c r="G236"/>
    </row>
    <row r="237" spans="1:7">
      <c r="B237" s="52"/>
      <c r="C237" s="52"/>
      <c r="D237" s="52"/>
      <c r="E237" s="52"/>
      <c r="F237" s="52"/>
      <c r="G237"/>
    </row>
    <row r="238" spans="1:7">
      <c r="B238" s="216" t="s">
        <v>2826</v>
      </c>
      <c r="C238" s="216" t="s">
        <v>2773</v>
      </c>
      <c r="D238" s="216" t="s">
        <v>2774</v>
      </c>
      <c r="E238" s="52"/>
      <c r="F238" s="52"/>
      <c r="G238"/>
    </row>
    <row r="239" spans="1:7">
      <c r="B239" s="216" t="s">
        <v>2475</v>
      </c>
      <c r="C239" s="216" t="s">
        <v>2817</v>
      </c>
      <c r="D239" s="216" t="s">
        <v>105</v>
      </c>
      <c r="E239" s="52"/>
      <c r="F239" s="52"/>
      <c r="G239"/>
    </row>
    <row r="240" spans="1:7">
      <c r="B240" s="177" t="s">
        <v>2830</v>
      </c>
      <c r="C240" s="338">
        <f>SUMPRODUCT(C$232:C$234,$D$280:$D$282)</f>
        <v>26.738632032202048</v>
      </c>
      <c r="D240" s="338">
        <f>SUMPRODUCT(D$232:D$234,$D$280:$D$282)</f>
        <v>16.468851110564259</v>
      </c>
      <c r="G240"/>
    </row>
    <row r="241" spans="1:7">
      <c r="B241" s="281"/>
      <c r="C241" s="339"/>
      <c r="D241" s="339"/>
      <c r="G241"/>
    </row>
    <row r="242" spans="1:7">
      <c r="B242" s="281"/>
      <c r="C242" s="339"/>
      <c r="D242" s="339"/>
      <c r="G242"/>
    </row>
    <row r="243" spans="1:7">
      <c r="B243" s="281"/>
      <c r="C243" s="339"/>
      <c r="D243" s="339"/>
      <c r="G243"/>
    </row>
    <row r="244" spans="1:7">
      <c r="B244" s="54"/>
      <c r="C244" s="54"/>
      <c r="D244" s="54"/>
      <c r="E244"/>
      <c r="F244"/>
      <c r="G244"/>
    </row>
    <row r="245" spans="1:7" s="588" customFormat="1" ht="18.5">
      <c r="A245" s="593" t="s">
        <v>10</v>
      </c>
      <c r="B245" s="587" t="s">
        <v>3306</v>
      </c>
      <c r="C245" s="609"/>
      <c r="D245" s="609"/>
    </row>
    <row r="246" spans="1:7">
      <c r="B246" s="152" t="s">
        <v>3307</v>
      </c>
      <c r="D246" s="54"/>
      <c r="E246"/>
      <c r="F246"/>
      <c r="G246"/>
    </row>
    <row r="247" spans="1:7">
      <c r="D247" s="54"/>
      <c r="E247"/>
      <c r="F247"/>
      <c r="G247"/>
    </row>
    <row r="248" spans="1:7">
      <c r="D248" s="54"/>
      <c r="E248"/>
      <c r="F248"/>
      <c r="G248"/>
    </row>
    <row r="249" spans="1:7">
      <c r="A249"/>
      <c r="B249" s="16" t="s">
        <v>3304</v>
      </c>
      <c r="D249" s="54"/>
    </row>
    <row r="250" spans="1:7">
      <c r="A250"/>
      <c r="B250" s="152" t="s">
        <v>2504</v>
      </c>
      <c r="D250" s="54"/>
    </row>
    <row r="251" spans="1:7">
      <c r="A251"/>
      <c r="B251" s="7" t="s">
        <v>2722</v>
      </c>
      <c r="C251" s="84" t="s">
        <v>388</v>
      </c>
      <c r="D251" s="84" t="s">
        <v>123</v>
      </c>
    </row>
    <row r="252" spans="1:7" ht="29">
      <c r="A252"/>
      <c r="B252" s="298" t="s">
        <v>2723</v>
      </c>
      <c r="C252" s="610">
        <v>0.255</v>
      </c>
      <c r="D252" s="611">
        <f>C252/SUM($C$252:$C$257)</f>
        <v>0.30538922155688625</v>
      </c>
    </row>
    <row r="253" spans="1:7">
      <c r="A253"/>
      <c r="B253" s="612" t="s">
        <v>2724</v>
      </c>
      <c r="C253" s="613">
        <v>0.22600000000000001</v>
      </c>
      <c r="D253" s="614">
        <f t="shared" ref="D253:D257" si="16">C253/SUM($C$252:$C$257)</f>
        <v>0.27065868263473059</v>
      </c>
    </row>
    <row r="254" spans="1:7">
      <c r="A254"/>
      <c r="B254" s="612" t="s">
        <v>2725</v>
      </c>
      <c r="C254" s="613">
        <v>0.14699999999999999</v>
      </c>
      <c r="D254" s="614">
        <f t="shared" si="16"/>
        <v>0.17604790419161676</v>
      </c>
    </row>
    <row r="255" spans="1:7">
      <c r="A255"/>
      <c r="B255" s="612" t="s">
        <v>2726</v>
      </c>
      <c r="C255" s="613">
        <v>0.11</v>
      </c>
      <c r="D255" s="614">
        <f t="shared" si="16"/>
        <v>0.1317365269461078</v>
      </c>
    </row>
    <row r="256" spans="1:7">
      <c r="A256"/>
      <c r="B256" s="612" t="s">
        <v>2727</v>
      </c>
      <c r="C256" s="613">
        <v>7.9000000000000001E-2</v>
      </c>
      <c r="D256" s="614">
        <f t="shared" si="16"/>
        <v>9.4610778443113774E-2</v>
      </c>
    </row>
    <row r="257" spans="1:7">
      <c r="A257"/>
      <c r="B257" s="612" t="s">
        <v>2728</v>
      </c>
      <c r="C257" s="613">
        <v>1.7999999999999999E-2</v>
      </c>
      <c r="D257" s="614">
        <f t="shared" si="16"/>
        <v>2.1556886227544911E-2</v>
      </c>
    </row>
    <row r="258" spans="1:7">
      <c r="A258"/>
      <c r="B258" s="9"/>
      <c r="C258" s="9"/>
      <c r="D258" s="151" t="b">
        <f>SUM(D252:D257)=1</f>
        <v>1</v>
      </c>
    </row>
    <row r="260" spans="1:7">
      <c r="A260"/>
      <c r="B260" s="370" t="s">
        <v>3305</v>
      </c>
    </row>
    <row r="261" spans="1:7">
      <c r="A261"/>
      <c r="B261" s="152" t="s">
        <v>2504</v>
      </c>
      <c r="G261" s="504"/>
    </row>
    <row r="262" spans="1:7">
      <c r="A262"/>
      <c r="B262" s="7" t="s">
        <v>2722</v>
      </c>
      <c r="C262" s="84" t="s">
        <v>388</v>
      </c>
      <c r="D262" s="84" t="s">
        <v>123</v>
      </c>
      <c r="E262" s="84" t="s">
        <v>2740</v>
      </c>
      <c r="G262" s="152"/>
    </row>
    <row r="263" spans="1:7">
      <c r="A263"/>
      <c r="B263" s="166" t="s">
        <v>2724</v>
      </c>
      <c r="C263" s="284">
        <v>0.34399999999999997</v>
      </c>
      <c r="D263" s="283">
        <f>C263/SUM($C$263:$C$273)</f>
        <v>0.39269406392694056</v>
      </c>
      <c r="E263" s="284" t="s">
        <v>2792</v>
      </c>
    </row>
    <row r="264" spans="1:7">
      <c r="A264"/>
      <c r="B264" s="166" t="s">
        <v>2729</v>
      </c>
      <c r="C264" s="284">
        <v>0.17399999999999999</v>
      </c>
      <c r="D264" s="283">
        <f t="shared" ref="D264:D273" si="17">C264/SUM($C$263:$C$273)</f>
        <v>0.19863013698630133</v>
      </c>
      <c r="E264" s="284" t="s">
        <v>2792</v>
      </c>
    </row>
    <row r="265" spans="1:7">
      <c r="A265"/>
      <c r="B265" s="166" t="s">
        <v>2730</v>
      </c>
      <c r="C265" s="284">
        <v>0.151</v>
      </c>
      <c r="D265" s="283">
        <f t="shared" si="17"/>
        <v>0.17237442922374427</v>
      </c>
      <c r="E265" s="284" t="s">
        <v>2792</v>
      </c>
      <c r="F265"/>
      <c r="G265"/>
    </row>
    <row r="266" spans="1:7">
      <c r="A266"/>
      <c r="B266" s="166" t="s">
        <v>2731</v>
      </c>
      <c r="C266" s="284">
        <v>7.2999999999999995E-2</v>
      </c>
      <c r="D266" s="283">
        <f t="shared" si="17"/>
        <v>8.3333333333333315E-2</v>
      </c>
      <c r="E266" s="284" t="s">
        <v>2792</v>
      </c>
      <c r="F266"/>
      <c r="G266"/>
    </row>
    <row r="267" spans="1:7">
      <c r="A267"/>
      <c r="B267" s="166" t="s">
        <v>2732</v>
      </c>
      <c r="C267" s="284">
        <v>3.2000000000000001E-2</v>
      </c>
      <c r="D267" s="283">
        <f t="shared" si="17"/>
        <v>3.6529680365296802E-2</v>
      </c>
      <c r="E267" s="284" t="s">
        <v>2738</v>
      </c>
      <c r="F267"/>
      <c r="G267"/>
    </row>
    <row r="268" spans="1:7">
      <c r="A268"/>
      <c r="B268" s="166" t="s">
        <v>2739</v>
      </c>
      <c r="C268" s="284">
        <v>2.8000000000000001E-2</v>
      </c>
      <c r="D268" s="283">
        <f t="shared" si="17"/>
        <v>3.1963470319634701E-2</v>
      </c>
      <c r="E268" s="284" t="s">
        <v>2792</v>
      </c>
      <c r="F268"/>
      <c r="G268"/>
    </row>
    <row r="269" spans="1:7">
      <c r="A269"/>
      <c r="B269" s="166" t="s">
        <v>2733</v>
      </c>
      <c r="C269" s="284">
        <v>2.3E-2</v>
      </c>
      <c r="D269" s="283">
        <f t="shared" si="17"/>
        <v>2.6255707762557073E-2</v>
      </c>
      <c r="E269" s="284" t="s">
        <v>2792</v>
      </c>
      <c r="F269"/>
      <c r="G269"/>
    </row>
    <row r="270" spans="1:7">
      <c r="A270"/>
      <c r="B270" s="166" t="s">
        <v>2734</v>
      </c>
      <c r="C270" s="284">
        <v>2.3E-2</v>
      </c>
      <c r="D270" s="283">
        <f t="shared" si="17"/>
        <v>2.6255707762557073E-2</v>
      </c>
      <c r="E270" s="284" t="s">
        <v>2738</v>
      </c>
      <c r="F270"/>
      <c r="G270"/>
    </row>
    <row r="271" spans="1:7">
      <c r="A271"/>
      <c r="B271" s="166" t="s">
        <v>2735</v>
      </c>
      <c r="C271" s="284">
        <v>1.9E-2</v>
      </c>
      <c r="D271" s="283">
        <f t="shared" si="17"/>
        <v>2.1689497716894972E-2</v>
      </c>
      <c r="E271" s="284" t="s">
        <v>2738</v>
      </c>
      <c r="F271"/>
      <c r="G271"/>
    </row>
    <row r="272" spans="1:7">
      <c r="A272"/>
      <c r="B272" s="166" t="s">
        <v>2736</v>
      </c>
      <c r="C272" s="284">
        <v>8.9999999999999993E-3</v>
      </c>
      <c r="D272" s="283">
        <f t="shared" si="17"/>
        <v>1.0273972602739724E-2</v>
      </c>
      <c r="E272" s="284" t="s">
        <v>2738</v>
      </c>
      <c r="F272"/>
      <c r="G272"/>
    </row>
    <row r="273" spans="1:7" customFormat="1">
      <c r="B273" s="166" t="s">
        <v>2737</v>
      </c>
      <c r="C273" s="284">
        <v>0</v>
      </c>
      <c r="D273" s="283">
        <f t="shared" si="17"/>
        <v>0</v>
      </c>
      <c r="E273" s="284" t="s">
        <v>2738</v>
      </c>
    </row>
    <row r="274" spans="1:7">
      <c r="A274"/>
      <c r="B274" s="166" t="s">
        <v>22</v>
      </c>
      <c r="C274" s="283">
        <f>SUM(C263:C273)</f>
        <v>0.87600000000000011</v>
      </c>
      <c r="D274" s="283">
        <f>SUM(D263:D273)</f>
        <v>0.99999999999999978</v>
      </c>
      <c r="E274" s="283"/>
      <c r="F274"/>
      <c r="G274"/>
    </row>
    <row r="275" spans="1:7">
      <c r="A275"/>
      <c r="D275" s="151" t="b">
        <f>SUM(D263:D273)=1</f>
        <v>1</v>
      </c>
      <c r="F275"/>
      <c r="G275"/>
    </row>
    <row r="276" spans="1:7">
      <c r="A276"/>
      <c r="D276" s="151"/>
      <c r="F276"/>
      <c r="G276"/>
    </row>
    <row r="277" spans="1:7" ht="29">
      <c r="A277"/>
      <c r="C277" s="323" t="s">
        <v>2793</v>
      </c>
      <c r="D277" s="283">
        <f>SUMIFS($D$263:$D$274,E263:E274, "hosiery")</f>
        <v>9.4748858447488579E-2</v>
      </c>
      <c r="F277"/>
      <c r="G277"/>
    </row>
    <row r="279" spans="1:7">
      <c r="A279"/>
      <c r="C279" s="202" t="s">
        <v>3125</v>
      </c>
      <c r="D279" s="202" t="s">
        <v>3165</v>
      </c>
      <c r="F279"/>
      <c r="G279"/>
    </row>
    <row r="280" spans="1:7">
      <c r="A280"/>
      <c r="C280" s="621" t="s">
        <v>2827</v>
      </c>
      <c r="D280" s="446">
        <f>D277*(1-D252)</f>
        <v>6.5813578322806432E-2</v>
      </c>
      <c r="F280"/>
      <c r="G280"/>
    </row>
    <row r="281" spans="1:7" customFormat="1">
      <c r="B281" s="4"/>
      <c r="C281" s="621" t="s">
        <v>2828</v>
      </c>
      <c r="D281" s="446">
        <f>(1-D277)*(1-D252)</f>
        <v>0.62879720012030726</v>
      </c>
    </row>
    <row r="282" spans="1:7" customFormat="1">
      <c r="B282" s="4"/>
      <c r="C282" s="621" t="s">
        <v>94</v>
      </c>
      <c r="D282" s="446">
        <f>D252</f>
        <v>0.30538922155688625</v>
      </c>
    </row>
    <row r="283" spans="1:7">
      <c r="A283"/>
      <c r="C283" s="340"/>
      <c r="D283" s="151" t="b">
        <f>SUM(D280:D282)=1</f>
        <v>1</v>
      </c>
      <c r="E283"/>
      <c r="F283"/>
      <c r="G283"/>
    </row>
    <row r="284" spans="1:7">
      <c r="A284"/>
      <c r="C284" s="340"/>
      <c r="D284" s="151"/>
      <c r="E284"/>
      <c r="F284"/>
      <c r="G284"/>
    </row>
    <row r="285" spans="1:7">
      <c r="A285"/>
      <c r="C285" s="340"/>
      <c r="D285" s="151"/>
      <c r="E285"/>
      <c r="F285"/>
      <c r="G285"/>
    </row>
    <row r="286" spans="1:7">
      <c r="A286"/>
      <c r="C286" s="340"/>
      <c r="D286" s="151"/>
      <c r="E286"/>
      <c r="F286"/>
      <c r="G286"/>
    </row>
    <row r="287" spans="1:7" s="73" customFormat="1">
      <c r="B287" s="443" t="s">
        <v>3164</v>
      </c>
      <c r="C287" s="715"/>
    </row>
    <row r="288" spans="1:7" s="73" customFormat="1">
      <c r="C288" s="715"/>
    </row>
    <row r="289" spans="1:7" s="73" customFormat="1">
      <c r="B289" s="443"/>
      <c r="C289" s="716" t="s">
        <v>2829</v>
      </c>
      <c r="D289" s="716"/>
    </row>
    <row r="290" spans="1:7" s="73" customFormat="1">
      <c r="B290" s="716" t="s">
        <v>3125</v>
      </c>
      <c r="C290" s="716" t="s">
        <v>25</v>
      </c>
      <c r="D290" s="716" t="s">
        <v>184</v>
      </c>
    </row>
    <row r="291" spans="1:7" s="73" customFormat="1">
      <c r="B291" s="717" t="s">
        <v>3166</v>
      </c>
      <c r="C291" s="718">
        <f>80/(80+12+0)</f>
        <v>0.86956521739130432</v>
      </c>
      <c r="D291" s="718">
        <f>34.9/(34.9+61.6+0)</f>
        <v>0.36165803108808287</v>
      </c>
      <c r="E291" s="860" t="s">
        <v>3418</v>
      </c>
    </row>
    <row r="292" spans="1:7" s="73" customFormat="1">
      <c r="B292" s="717" t="s">
        <v>94</v>
      </c>
      <c r="C292" s="719">
        <f>1-C291</f>
        <v>0.13043478260869568</v>
      </c>
      <c r="D292" s="719">
        <f>1-D291</f>
        <v>0.63834196891191719</v>
      </c>
    </row>
    <row r="293" spans="1:7">
      <c r="A293"/>
      <c r="B293" s="151"/>
      <c r="C293" s="615"/>
      <c r="D293" s="151"/>
      <c r="E293" s="151"/>
      <c r="F293"/>
      <c r="G293"/>
    </row>
    <row r="294" spans="1:7">
      <c r="A294"/>
      <c r="B294" s="151"/>
      <c r="C294" s="615"/>
      <c r="D294" s="151"/>
      <c r="E294" s="151"/>
      <c r="F294"/>
      <c r="G294"/>
    </row>
    <row r="295" spans="1:7">
      <c r="A295"/>
      <c r="B295" s="191" t="s">
        <v>3168</v>
      </c>
      <c r="C295" s="615"/>
      <c r="D295" s="151"/>
      <c r="E295" s="151"/>
      <c r="F295"/>
      <c r="G295"/>
    </row>
    <row r="296" spans="1:7">
      <c r="A296"/>
      <c r="B296" s="151"/>
      <c r="C296" s="615"/>
      <c r="D296" s="151"/>
      <c r="E296" s="151"/>
      <c r="F296"/>
      <c r="G296"/>
    </row>
    <row r="297" spans="1:7">
      <c r="A297"/>
      <c r="B297" s="191"/>
      <c r="C297" s="616" t="s">
        <v>2829</v>
      </c>
      <c r="D297" s="151"/>
      <c r="E297" s="151"/>
      <c r="F297"/>
      <c r="G297"/>
    </row>
    <row r="298" spans="1:7">
      <c r="A298"/>
      <c r="B298" s="616" t="s">
        <v>3125</v>
      </c>
      <c r="C298" s="616" t="s">
        <v>25</v>
      </c>
      <c r="D298" s="151"/>
      <c r="E298" s="151"/>
      <c r="F298"/>
      <c r="G298"/>
    </row>
    <row r="299" spans="1:7">
      <c r="B299" s="617" t="s">
        <v>3166</v>
      </c>
      <c r="C299" s="619">
        <f>1-C300</f>
        <v>0.75</v>
      </c>
      <c r="D299" s="151"/>
      <c r="E299" s="151"/>
      <c r="F299"/>
      <c r="G299"/>
    </row>
    <row r="300" spans="1:7">
      <c r="B300" s="617" t="s">
        <v>94</v>
      </c>
      <c r="C300" s="618">
        <v>0.25</v>
      </c>
      <c r="D300" s="151"/>
      <c r="E300" s="151"/>
      <c r="F300"/>
      <c r="G300"/>
    </row>
    <row r="301" spans="1:7">
      <c r="B301" s="615"/>
      <c r="C301" s="620"/>
      <c r="D301" s="151"/>
      <c r="E301" s="151"/>
      <c r="F301"/>
      <c r="G301"/>
    </row>
    <row r="302" spans="1:7">
      <c r="B302" s="340"/>
      <c r="C302" s="505"/>
      <c r="D302" s="505"/>
      <c r="F302"/>
      <c r="G302"/>
    </row>
    <row r="303" spans="1:7">
      <c r="B303" s="340"/>
      <c r="C303" s="505"/>
      <c r="D303" s="505"/>
      <c r="F303"/>
      <c r="G303"/>
    </row>
    <row r="304" spans="1:7">
      <c r="B304" s="340"/>
      <c r="C304" s="505"/>
      <c r="D304" s="505"/>
      <c r="F304"/>
      <c r="G304"/>
    </row>
    <row r="305" spans="1:7" ht="12.65" customHeight="1">
      <c r="F305"/>
      <c r="G305"/>
    </row>
    <row r="306" spans="1:7" s="588" customFormat="1" ht="18.5">
      <c r="A306" s="593" t="s">
        <v>10</v>
      </c>
      <c r="B306" s="587" t="s">
        <v>3167</v>
      </c>
      <c r="C306" s="600"/>
      <c r="D306" s="600"/>
      <c r="E306" s="600"/>
    </row>
    <row r="307" spans="1:7" s="3" customFormat="1">
      <c r="A307" s="595"/>
      <c r="B307" s="624" t="s">
        <v>3308</v>
      </c>
      <c r="C307" s="623"/>
      <c r="D307" s="623"/>
      <c r="E307" s="623"/>
    </row>
    <row r="308" spans="1:7" s="3" customFormat="1" ht="18.5">
      <c r="A308" s="595"/>
      <c r="B308" s="622"/>
      <c r="C308" s="623"/>
      <c r="D308" s="623"/>
      <c r="E308" s="623"/>
    </row>
    <row r="309" spans="1:7" s="3" customFormat="1">
      <c r="A309" s="595"/>
      <c r="B309" s="443" t="s">
        <v>3309</v>
      </c>
      <c r="C309" s="623"/>
      <c r="D309" s="623"/>
      <c r="E309" s="623"/>
    </row>
    <row r="310" spans="1:7">
      <c r="B310" s="152" t="s">
        <v>2522</v>
      </c>
      <c r="F310"/>
      <c r="G310"/>
    </row>
    <row r="311" spans="1:7">
      <c r="B311" s="7" t="s">
        <v>2722</v>
      </c>
      <c r="C311" s="84" t="s">
        <v>388</v>
      </c>
      <c r="D311" s="84" t="s">
        <v>2756</v>
      </c>
      <c r="E311" s="84" t="s">
        <v>2757</v>
      </c>
      <c r="F311"/>
      <c r="G311"/>
    </row>
    <row r="312" spans="1:7">
      <c r="B312" s="166" t="s">
        <v>2744</v>
      </c>
      <c r="C312" s="770">
        <v>0.72599999999999998</v>
      </c>
      <c r="D312" s="483">
        <f>C312/SUM($C$312:$C$325)</f>
        <v>0.72527472527472536</v>
      </c>
      <c r="E312" s="284" t="s">
        <v>2710</v>
      </c>
      <c r="F312"/>
      <c r="G312"/>
    </row>
    <row r="313" spans="1:7">
      <c r="B313" s="166" t="s">
        <v>2745</v>
      </c>
      <c r="C313" s="770">
        <v>9.5000000000000001E-2</v>
      </c>
      <c r="D313" s="483">
        <f t="shared" ref="D313:D325" si="18">C313/SUM($C$312:$C$325)</f>
        <v>9.4905094905094911E-2</v>
      </c>
      <c r="E313" s="284"/>
      <c r="F313"/>
      <c r="G313"/>
    </row>
    <row r="314" spans="1:7">
      <c r="B314" s="166" t="s">
        <v>2746</v>
      </c>
      <c r="C314" s="770">
        <v>7.2999999999999995E-2</v>
      </c>
      <c r="D314" s="483">
        <f t="shared" si="18"/>
        <v>7.2927072927072928E-2</v>
      </c>
      <c r="E314" s="284"/>
      <c r="F314"/>
      <c r="G314"/>
    </row>
    <row r="315" spans="1:7">
      <c r="B315" s="166" t="s">
        <v>197</v>
      </c>
      <c r="C315" s="770">
        <v>2.3E-2</v>
      </c>
      <c r="D315" s="483">
        <f t="shared" si="18"/>
        <v>2.297702297702298E-2</v>
      </c>
      <c r="E315" s="284"/>
      <c r="F315"/>
      <c r="G315"/>
    </row>
    <row r="316" spans="1:7">
      <c r="B316" s="166" t="s">
        <v>2747</v>
      </c>
      <c r="C316" s="770">
        <v>8.0000000000000002E-3</v>
      </c>
      <c r="D316" s="483">
        <f t="shared" si="18"/>
        <v>7.9920079920079937E-3</v>
      </c>
      <c r="E316" s="284"/>
      <c r="F316"/>
      <c r="G316"/>
    </row>
    <row r="317" spans="1:7">
      <c r="B317" s="166" t="s">
        <v>2713</v>
      </c>
      <c r="C317" s="770">
        <v>6.0999999999999999E-2</v>
      </c>
      <c r="D317" s="483">
        <f t="shared" si="18"/>
        <v>6.0939060939060943E-2</v>
      </c>
      <c r="E317" s="284"/>
      <c r="F317"/>
      <c r="G317"/>
    </row>
    <row r="318" spans="1:7">
      <c r="A318"/>
      <c r="B318" s="166" t="s">
        <v>2748</v>
      </c>
      <c r="C318" s="770">
        <v>7.0000000000000001E-3</v>
      </c>
      <c r="D318" s="483">
        <f t="shared" si="18"/>
        <v>6.9930069930069939E-3</v>
      </c>
      <c r="E318" s="284"/>
      <c r="F318"/>
      <c r="G318"/>
    </row>
    <row r="319" spans="1:7">
      <c r="A319"/>
      <c r="B319" s="166" t="s">
        <v>2749</v>
      </c>
      <c r="C319" s="770">
        <v>2E-3</v>
      </c>
      <c r="D319" s="483">
        <f t="shared" si="18"/>
        <v>1.9980019980019984E-3</v>
      </c>
      <c r="E319" s="284" t="s">
        <v>2710</v>
      </c>
      <c r="F319"/>
      <c r="G319"/>
    </row>
    <row r="320" spans="1:7">
      <c r="A320"/>
      <c r="B320" s="166" t="s">
        <v>2750</v>
      </c>
      <c r="C320" s="770">
        <v>1E-3</v>
      </c>
      <c r="D320" s="483">
        <f t="shared" si="18"/>
        <v>9.9900099900099922E-4</v>
      </c>
      <c r="E320" s="284"/>
      <c r="F320"/>
      <c r="G320"/>
    </row>
    <row r="321" spans="1:7">
      <c r="A321"/>
      <c r="B321" s="166" t="s">
        <v>2751</v>
      </c>
      <c r="C321" s="770">
        <v>1E-3</v>
      </c>
      <c r="D321" s="483">
        <f t="shared" si="18"/>
        <v>9.9900099900099922E-4</v>
      </c>
      <c r="E321" s="284"/>
      <c r="F321"/>
      <c r="G321"/>
    </row>
    <row r="322" spans="1:7">
      <c r="A322"/>
      <c r="B322" s="166" t="s">
        <v>2752</v>
      </c>
      <c r="C322" s="770">
        <v>1E-3</v>
      </c>
      <c r="D322" s="483">
        <f t="shared" si="18"/>
        <v>9.9900099900099922E-4</v>
      </c>
      <c r="E322" s="284"/>
      <c r="F322"/>
      <c r="G322"/>
    </row>
    <row r="323" spans="1:7">
      <c r="A323"/>
      <c r="B323" s="166" t="s">
        <v>2753</v>
      </c>
      <c r="C323" s="770">
        <v>1E-3</v>
      </c>
      <c r="D323" s="483">
        <f t="shared" si="18"/>
        <v>9.9900099900099922E-4</v>
      </c>
      <c r="E323" s="284" t="s">
        <v>2710</v>
      </c>
      <c r="F323"/>
      <c r="G323"/>
    </row>
    <row r="324" spans="1:7">
      <c r="A324"/>
      <c r="B324" s="166" t="s">
        <v>2754</v>
      </c>
      <c r="C324" s="770">
        <v>1E-3</v>
      </c>
      <c r="D324" s="483">
        <f t="shared" si="18"/>
        <v>9.9900099900099922E-4</v>
      </c>
      <c r="E324" s="284"/>
      <c r="F324"/>
      <c r="G324"/>
    </row>
    <row r="325" spans="1:7">
      <c r="A325"/>
      <c r="B325" s="166" t="s">
        <v>2755</v>
      </c>
      <c r="C325" s="770">
        <v>1E-3</v>
      </c>
      <c r="D325" s="483">
        <f t="shared" si="18"/>
        <v>9.9900099900099922E-4</v>
      </c>
      <c r="E325" s="284"/>
      <c r="F325"/>
      <c r="G325"/>
    </row>
    <row r="326" spans="1:7">
      <c r="A326"/>
      <c r="B326" s="9"/>
      <c r="C326" s="9"/>
      <c r="F326"/>
      <c r="G326"/>
    </row>
    <row r="327" spans="1:7">
      <c r="A327"/>
      <c r="D327" s="611" t="s">
        <v>2758</v>
      </c>
      <c r="E327" s="770">
        <v>0.6</v>
      </c>
      <c r="F327" s="152" t="s">
        <v>3566</v>
      </c>
      <c r="G327"/>
    </row>
    <row r="328" spans="1:7">
      <c r="A328"/>
      <c r="C328" s="788"/>
      <c r="D328" s="611" t="s">
        <v>2759</v>
      </c>
      <c r="E328" s="446">
        <f>1-E327</f>
        <v>0.4</v>
      </c>
      <c r="F328"/>
      <c r="G328"/>
    </row>
    <row r="329" spans="1:7">
      <c r="C329" s="788"/>
    </row>
  </sheetData>
  <pageMargins left="0.7" right="0.7" top="0.75" bottom="0.75" header="0.3" footer="0.3"/>
  <pageSetup paperSize="9" orientation="portrait"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BC8FDD"/>
  </sheetPr>
  <dimension ref="A1:BD265"/>
  <sheetViews>
    <sheetView topLeftCell="I1" workbookViewId="0">
      <selection activeCell="N13" sqref="N13:BC17"/>
    </sheetView>
  </sheetViews>
  <sheetFormatPr defaultRowHeight="14.5"/>
  <cols>
    <col min="1" max="1" width="5.90625" customWidth="1"/>
    <col min="2" max="2" width="31.36328125" customWidth="1"/>
    <col min="3" max="3" width="20.36328125" customWidth="1"/>
    <col min="4" max="4" width="13.6328125" customWidth="1"/>
    <col min="6" max="6" width="9.54296875" customWidth="1"/>
  </cols>
  <sheetData>
    <row r="1" spans="1:55" s="588" customFormat="1" ht="18.5">
      <c r="A1" s="587" t="s">
        <v>3290</v>
      </c>
    </row>
    <row r="2" spans="1:55" s="588" customFormat="1">
      <c r="A2" s="588" t="s">
        <v>165</v>
      </c>
    </row>
    <row r="3" spans="1:55" s="588" customFormat="1"/>
    <row r="4" spans="1:55" s="781" customFormat="1"/>
    <row r="7" spans="1:55" s="588" customFormat="1">
      <c r="A7" s="588" t="s">
        <v>10</v>
      </c>
      <c r="B7" s="593" t="s">
        <v>165</v>
      </c>
    </row>
    <row r="8" spans="1:55">
      <c r="B8" s="152" t="s">
        <v>175</v>
      </c>
    </row>
    <row r="9" spans="1:55">
      <c r="B9" s="152" t="s">
        <v>3291</v>
      </c>
    </row>
    <row r="10" spans="1:55">
      <c r="B10" s="152" t="s">
        <v>3292</v>
      </c>
    </row>
    <row r="12" spans="1:55">
      <c r="B12" s="7" t="s">
        <v>168</v>
      </c>
      <c r="C12" s="7">
        <v>2010</v>
      </c>
      <c r="D12" s="7">
        <v>2011</v>
      </c>
      <c r="E12" s="7">
        <v>2012</v>
      </c>
      <c r="F12" s="7">
        <v>2013</v>
      </c>
      <c r="G12" s="7">
        <v>2014</v>
      </c>
      <c r="H12" s="7">
        <v>2015</v>
      </c>
      <c r="I12" s="7">
        <v>2016</v>
      </c>
      <c r="J12" s="7">
        <v>2017</v>
      </c>
      <c r="K12" s="7">
        <v>2018</v>
      </c>
      <c r="L12" s="7">
        <v>2019</v>
      </c>
      <c r="M12" s="7">
        <v>2020</v>
      </c>
      <c r="N12" s="7">
        <v>2021</v>
      </c>
      <c r="O12" s="7">
        <v>2022</v>
      </c>
      <c r="P12" s="7">
        <v>2023</v>
      </c>
      <c r="Q12" s="7">
        <v>2024</v>
      </c>
      <c r="R12" s="7">
        <v>2025</v>
      </c>
      <c r="S12" s="7">
        <v>2026</v>
      </c>
      <c r="T12" s="7">
        <v>2027</v>
      </c>
      <c r="U12" s="7">
        <v>2028</v>
      </c>
      <c r="V12" s="7">
        <v>2029</v>
      </c>
      <c r="W12" s="7">
        <v>2030</v>
      </c>
      <c r="X12" s="7">
        <v>2031</v>
      </c>
      <c r="Y12" s="7">
        <v>2032</v>
      </c>
      <c r="Z12" s="7">
        <v>2033</v>
      </c>
      <c r="AA12" s="7">
        <v>2034</v>
      </c>
      <c r="AB12" s="7">
        <v>2035</v>
      </c>
      <c r="AC12" s="7">
        <v>2036</v>
      </c>
      <c r="AD12" s="7">
        <v>2037</v>
      </c>
      <c r="AE12" s="7">
        <v>2038</v>
      </c>
      <c r="AF12" s="7">
        <v>2039</v>
      </c>
      <c r="AG12" s="7">
        <v>2040</v>
      </c>
      <c r="AH12" s="7">
        <v>2041</v>
      </c>
      <c r="AI12" s="7">
        <v>2042</v>
      </c>
      <c r="AJ12" s="7">
        <v>2043</v>
      </c>
      <c r="AK12" s="7">
        <v>2044</v>
      </c>
      <c r="AL12" s="7">
        <v>2045</v>
      </c>
      <c r="AM12" s="7">
        <v>2046</v>
      </c>
      <c r="AN12" s="7">
        <v>2047</v>
      </c>
      <c r="AO12" s="7">
        <v>2048</v>
      </c>
      <c r="AP12" s="7">
        <v>2049</v>
      </c>
      <c r="AQ12" s="7">
        <v>2050</v>
      </c>
      <c r="AR12" s="7">
        <v>2051</v>
      </c>
      <c r="AS12" s="7">
        <v>2052</v>
      </c>
      <c r="AT12" s="7">
        <v>2053</v>
      </c>
      <c r="AU12" s="7">
        <v>2054</v>
      </c>
      <c r="AV12" s="7">
        <v>2055</v>
      </c>
      <c r="AW12" s="7">
        <v>2056</v>
      </c>
      <c r="AX12" s="7">
        <v>2057</v>
      </c>
      <c r="AY12" s="7">
        <v>2058</v>
      </c>
      <c r="AZ12" s="7">
        <v>2059</v>
      </c>
      <c r="BA12" s="7">
        <v>2060</v>
      </c>
      <c r="BB12" s="7">
        <v>2061</v>
      </c>
      <c r="BC12" s="7">
        <v>2062</v>
      </c>
    </row>
    <row r="13" spans="1:55">
      <c r="B13" s="6" t="s">
        <v>173</v>
      </c>
      <c r="C13" s="131">
        <f t="shared" ref="C13:G17" si="0">AVERAGE($I13:$M13)</f>
        <v>2.2800000000000001E-2</v>
      </c>
      <c r="D13" s="131">
        <f t="shared" si="0"/>
        <v>2.2800000000000001E-2</v>
      </c>
      <c r="E13" s="131">
        <f t="shared" si="0"/>
        <v>2.2800000000000001E-2</v>
      </c>
      <c r="F13" s="131">
        <f t="shared" si="0"/>
        <v>2.2800000000000001E-2</v>
      </c>
      <c r="G13" s="131">
        <f t="shared" si="0"/>
        <v>2.2800000000000001E-2</v>
      </c>
      <c r="H13" s="131">
        <f>AVERAGE($I13:$M13)</f>
        <v>2.2800000000000001E-2</v>
      </c>
      <c r="I13" s="123">
        <v>3.3000000000000002E-2</v>
      </c>
      <c r="J13" s="123">
        <v>0.02</v>
      </c>
      <c r="K13" s="123">
        <v>1.6E-2</v>
      </c>
      <c r="L13" s="123">
        <v>1.6E-2</v>
      </c>
      <c r="M13" s="123">
        <v>2.9000000000000001E-2</v>
      </c>
      <c r="N13" s="130">
        <f>AVERAGE($I13:$M13)</f>
        <v>2.2800000000000001E-2</v>
      </c>
      <c r="O13" s="130">
        <f t="shared" ref="O13:AH17" si="1">AVERAGE($I13:$M13)</f>
        <v>2.2800000000000001E-2</v>
      </c>
      <c r="P13" s="130">
        <f t="shared" si="1"/>
        <v>2.2800000000000001E-2</v>
      </c>
      <c r="Q13" s="130">
        <f t="shared" si="1"/>
        <v>2.2800000000000001E-2</v>
      </c>
      <c r="R13" s="130">
        <f t="shared" si="1"/>
        <v>2.2800000000000001E-2</v>
      </c>
      <c r="S13" s="130">
        <f t="shared" si="1"/>
        <v>2.2800000000000001E-2</v>
      </c>
      <c r="T13" s="130">
        <f t="shared" si="1"/>
        <v>2.2800000000000001E-2</v>
      </c>
      <c r="U13" s="130">
        <f t="shared" si="1"/>
        <v>2.2800000000000001E-2</v>
      </c>
      <c r="V13" s="130">
        <f t="shared" si="1"/>
        <v>2.2800000000000001E-2</v>
      </c>
      <c r="W13" s="130">
        <f t="shared" si="1"/>
        <v>2.2800000000000001E-2</v>
      </c>
      <c r="X13" s="130">
        <f t="shared" si="1"/>
        <v>2.2800000000000001E-2</v>
      </c>
      <c r="Y13" s="130">
        <f t="shared" si="1"/>
        <v>2.2800000000000001E-2</v>
      </c>
      <c r="Z13" s="130">
        <f t="shared" si="1"/>
        <v>2.2800000000000001E-2</v>
      </c>
      <c r="AA13" s="130">
        <f t="shared" si="1"/>
        <v>2.2800000000000001E-2</v>
      </c>
      <c r="AB13" s="130">
        <f t="shared" si="1"/>
        <v>2.2800000000000001E-2</v>
      </c>
      <c r="AC13" s="130">
        <f t="shared" si="1"/>
        <v>2.2800000000000001E-2</v>
      </c>
      <c r="AD13" s="130">
        <f t="shared" si="1"/>
        <v>2.2800000000000001E-2</v>
      </c>
      <c r="AE13" s="130">
        <f t="shared" si="1"/>
        <v>2.2800000000000001E-2</v>
      </c>
      <c r="AF13" s="130">
        <f t="shared" si="1"/>
        <v>2.2800000000000001E-2</v>
      </c>
      <c r="AG13" s="130">
        <f t="shared" si="1"/>
        <v>2.2800000000000001E-2</v>
      </c>
      <c r="AH13" s="130">
        <f t="shared" si="1"/>
        <v>2.2800000000000001E-2</v>
      </c>
      <c r="AI13" s="130">
        <f t="shared" ref="AH13:AW17" si="2">AVERAGE($I13:$M13)</f>
        <v>2.2800000000000001E-2</v>
      </c>
      <c r="AJ13" s="130">
        <f t="shared" si="2"/>
        <v>2.2800000000000001E-2</v>
      </c>
      <c r="AK13" s="130">
        <f t="shared" si="2"/>
        <v>2.2800000000000001E-2</v>
      </c>
      <c r="AL13" s="130">
        <f t="shared" si="2"/>
        <v>2.2800000000000001E-2</v>
      </c>
      <c r="AM13" s="130">
        <f t="shared" si="2"/>
        <v>2.2800000000000001E-2</v>
      </c>
      <c r="AN13" s="130">
        <f t="shared" si="2"/>
        <v>2.2800000000000001E-2</v>
      </c>
      <c r="AO13" s="130">
        <f t="shared" si="2"/>
        <v>2.2800000000000001E-2</v>
      </c>
      <c r="AP13" s="130">
        <f t="shared" si="2"/>
        <v>2.2800000000000001E-2</v>
      </c>
      <c r="AQ13" s="130">
        <f t="shared" si="2"/>
        <v>2.2800000000000001E-2</v>
      </c>
      <c r="AR13" s="130">
        <f t="shared" si="2"/>
        <v>2.2800000000000001E-2</v>
      </c>
      <c r="AS13" s="130">
        <f t="shared" si="2"/>
        <v>2.2800000000000001E-2</v>
      </c>
      <c r="AT13" s="130">
        <f t="shared" si="2"/>
        <v>2.2800000000000001E-2</v>
      </c>
      <c r="AU13" s="130">
        <f t="shared" si="2"/>
        <v>2.2800000000000001E-2</v>
      </c>
      <c r="AV13" s="130">
        <f t="shared" si="2"/>
        <v>2.2800000000000001E-2</v>
      </c>
      <c r="AW13" s="130">
        <f t="shared" si="2"/>
        <v>2.2800000000000001E-2</v>
      </c>
      <c r="AX13" s="130">
        <f t="shared" ref="AR13:BC17" si="3">AVERAGE($I13:$M13)</f>
        <v>2.2800000000000001E-2</v>
      </c>
      <c r="AY13" s="130">
        <f t="shared" si="3"/>
        <v>2.2800000000000001E-2</v>
      </c>
      <c r="AZ13" s="130">
        <f t="shared" si="3"/>
        <v>2.2800000000000001E-2</v>
      </c>
      <c r="BA13" s="130">
        <f t="shared" si="3"/>
        <v>2.2800000000000001E-2</v>
      </c>
      <c r="BB13" s="130">
        <f t="shared" si="3"/>
        <v>2.2800000000000001E-2</v>
      </c>
      <c r="BC13" s="130">
        <f t="shared" si="3"/>
        <v>2.2800000000000001E-2</v>
      </c>
    </row>
    <row r="14" spans="1:55">
      <c r="B14" s="6" t="s">
        <v>167</v>
      </c>
      <c r="C14" s="131">
        <f t="shared" si="0"/>
        <v>4.1800000000000004E-2</v>
      </c>
      <c r="D14" s="131">
        <f t="shared" si="0"/>
        <v>4.1800000000000004E-2</v>
      </c>
      <c r="E14" s="131">
        <f t="shared" si="0"/>
        <v>4.1800000000000004E-2</v>
      </c>
      <c r="F14" s="131">
        <f t="shared" si="0"/>
        <v>4.1800000000000004E-2</v>
      </c>
      <c r="G14" s="131">
        <f t="shared" si="0"/>
        <v>4.1800000000000004E-2</v>
      </c>
      <c r="H14" s="131">
        <f t="shared" ref="H14:H17" si="4">AVERAGE($I14:$M14)</f>
        <v>4.1800000000000004E-2</v>
      </c>
      <c r="I14" s="124">
        <v>4.4999999999999998E-2</v>
      </c>
      <c r="J14" s="124">
        <v>4.5999999999999999E-2</v>
      </c>
      <c r="K14" s="124">
        <v>3.5999999999999997E-2</v>
      </c>
      <c r="L14" s="124">
        <v>4.1000000000000002E-2</v>
      </c>
      <c r="M14" s="124">
        <v>4.1000000000000002E-2</v>
      </c>
      <c r="N14" s="130">
        <f t="shared" ref="N14:AC17" si="5">AVERAGE($I14:$M14)</f>
        <v>4.1800000000000004E-2</v>
      </c>
      <c r="O14" s="130">
        <f t="shared" si="5"/>
        <v>4.1800000000000004E-2</v>
      </c>
      <c r="P14" s="130">
        <f t="shared" si="5"/>
        <v>4.1800000000000004E-2</v>
      </c>
      <c r="Q14" s="130">
        <f t="shared" si="5"/>
        <v>4.1800000000000004E-2</v>
      </c>
      <c r="R14" s="130">
        <f t="shared" si="5"/>
        <v>4.1800000000000004E-2</v>
      </c>
      <c r="S14" s="130">
        <f t="shared" si="5"/>
        <v>4.1800000000000004E-2</v>
      </c>
      <c r="T14" s="130">
        <f t="shared" si="5"/>
        <v>4.1800000000000004E-2</v>
      </c>
      <c r="U14" s="130">
        <f t="shared" si="5"/>
        <v>4.1800000000000004E-2</v>
      </c>
      <c r="V14" s="130">
        <f t="shared" si="5"/>
        <v>4.1800000000000004E-2</v>
      </c>
      <c r="W14" s="130">
        <f t="shared" si="5"/>
        <v>4.1800000000000004E-2</v>
      </c>
      <c r="X14" s="130">
        <f t="shared" si="5"/>
        <v>4.1800000000000004E-2</v>
      </c>
      <c r="Y14" s="130">
        <f t="shared" si="5"/>
        <v>4.1800000000000004E-2</v>
      </c>
      <c r="Z14" s="130">
        <f t="shared" si="5"/>
        <v>4.1800000000000004E-2</v>
      </c>
      <c r="AA14" s="130">
        <f t="shared" si="5"/>
        <v>4.1800000000000004E-2</v>
      </c>
      <c r="AB14" s="130">
        <f t="shared" si="5"/>
        <v>4.1800000000000004E-2</v>
      </c>
      <c r="AC14" s="130">
        <f t="shared" si="5"/>
        <v>4.1800000000000004E-2</v>
      </c>
      <c r="AD14" s="130">
        <f t="shared" si="1"/>
        <v>4.1800000000000004E-2</v>
      </c>
      <c r="AE14" s="130">
        <f t="shared" si="1"/>
        <v>4.1800000000000004E-2</v>
      </c>
      <c r="AF14" s="130">
        <f t="shared" si="1"/>
        <v>4.1800000000000004E-2</v>
      </c>
      <c r="AG14" s="130">
        <f t="shared" si="1"/>
        <v>4.1800000000000004E-2</v>
      </c>
      <c r="AH14" s="130">
        <f t="shared" si="2"/>
        <v>4.1800000000000004E-2</v>
      </c>
      <c r="AI14" s="130">
        <f t="shared" si="2"/>
        <v>4.1800000000000004E-2</v>
      </c>
      <c r="AJ14" s="130">
        <f t="shared" si="2"/>
        <v>4.1800000000000004E-2</v>
      </c>
      <c r="AK14" s="130">
        <f t="shared" si="2"/>
        <v>4.1800000000000004E-2</v>
      </c>
      <c r="AL14" s="130">
        <f t="shared" si="2"/>
        <v>4.1800000000000004E-2</v>
      </c>
      <c r="AM14" s="130">
        <f t="shared" si="2"/>
        <v>4.1800000000000004E-2</v>
      </c>
      <c r="AN14" s="130">
        <f t="shared" si="2"/>
        <v>4.1800000000000004E-2</v>
      </c>
      <c r="AO14" s="130">
        <f t="shared" si="2"/>
        <v>4.1800000000000004E-2</v>
      </c>
      <c r="AP14" s="130">
        <f t="shared" si="2"/>
        <v>4.1800000000000004E-2</v>
      </c>
      <c r="AQ14" s="130">
        <f t="shared" si="2"/>
        <v>4.1800000000000004E-2</v>
      </c>
      <c r="AR14" s="130">
        <f t="shared" si="3"/>
        <v>4.1800000000000004E-2</v>
      </c>
      <c r="AS14" s="130">
        <f t="shared" si="3"/>
        <v>4.1800000000000004E-2</v>
      </c>
      <c r="AT14" s="130">
        <f t="shared" si="3"/>
        <v>4.1800000000000004E-2</v>
      </c>
      <c r="AU14" s="130">
        <f t="shared" si="3"/>
        <v>4.1800000000000004E-2</v>
      </c>
      <c r="AV14" s="130">
        <f t="shared" si="3"/>
        <v>4.1800000000000004E-2</v>
      </c>
      <c r="AW14" s="130">
        <f t="shared" si="3"/>
        <v>4.1800000000000004E-2</v>
      </c>
      <c r="AX14" s="130">
        <f t="shared" si="3"/>
        <v>4.1800000000000004E-2</v>
      </c>
      <c r="AY14" s="130">
        <f t="shared" si="3"/>
        <v>4.1800000000000004E-2</v>
      </c>
      <c r="AZ14" s="130">
        <f t="shared" si="3"/>
        <v>4.1800000000000004E-2</v>
      </c>
      <c r="BA14" s="130">
        <f t="shared" si="3"/>
        <v>4.1800000000000004E-2</v>
      </c>
      <c r="BB14" s="130">
        <f t="shared" si="3"/>
        <v>4.1800000000000004E-2</v>
      </c>
      <c r="BC14" s="130">
        <f t="shared" si="3"/>
        <v>4.1800000000000004E-2</v>
      </c>
    </row>
    <row r="15" spans="1:55">
      <c r="B15" s="6" t="s">
        <v>169</v>
      </c>
      <c r="C15" s="131">
        <f t="shared" si="0"/>
        <v>3.1399999999999997E-2</v>
      </c>
      <c r="D15" s="131">
        <f t="shared" si="0"/>
        <v>3.1399999999999997E-2</v>
      </c>
      <c r="E15" s="131">
        <f t="shared" si="0"/>
        <v>3.1399999999999997E-2</v>
      </c>
      <c r="F15" s="131">
        <f t="shared" si="0"/>
        <v>3.1399999999999997E-2</v>
      </c>
      <c r="G15" s="131">
        <f t="shared" si="0"/>
        <v>3.1399999999999997E-2</v>
      </c>
      <c r="H15" s="131">
        <f t="shared" si="4"/>
        <v>3.1399999999999997E-2</v>
      </c>
      <c r="I15" s="123">
        <v>3.1E-2</v>
      </c>
      <c r="J15" s="123">
        <v>3.2000000000000001E-2</v>
      </c>
      <c r="K15" s="123">
        <v>3.2000000000000001E-2</v>
      </c>
      <c r="L15" s="123">
        <v>3.1E-2</v>
      </c>
      <c r="M15" s="123">
        <v>3.1E-2</v>
      </c>
      <c r="N15" s="130">
        <f t="shared" si="5"/>
        <v>3.1399999999999997E-2</v>
      </c>
      <c r="O15" s="130">
        <f t="shared" si="1"/>
        <v>3.1399999999999997E-2</v>
      </c>
      <c r="P15" s="130">
        <f t="shared" si="1"/>
        <v>3.1399999999999997E-2</v>
      </c>
      <c r="Q15" s="130">
        <f t="shared" si="1"/>
        <v>3.1399999999999997E-2</v>
      </c>
      <c r="R15" s="130">
        <f t="shared" si="1"/>
        <v>3.1399999999999997E-2</v>
      </c>
      <c r="S15" s="130">
        <f t="shared" si="1"/>
        <v>3.1399999999999997E-2</v>
      </c>
      <c r="T15" s="130">
        <f t="shared" si="1"/>
        <v>3.1399999999999997E-2</v>
      </c>
      <c r="U15" s="130">
        <f t="shared" si="1"/>
        <v>3.1399999999999997E-2</v>
      </c>
      <c r="V15" s="130">
        <f t="shared" si="1"/>
        <v>3.1399999999999997E-2</v>
      </c>
      <c r="W15" s="130">
        <f t="shared" si="1"/>
        <v>3.1399999999999997E-2</v>
      </c>
      <c r="X15" s="130">
        <f t="shared" si="1"/>
        <v>3.1399999999999997E-2</v>
      </c>
      <c r="Y15" s="130">
        <f t="shared" si="1"/>
        <v>3.1399999999999997E-2</v>
      </c>
      <c r="Z15" s="130">
        <f t="shared" si="1"/>
        <v>3.1399999999999997E-2</v>
      </c>
      <c r="AA15" s="130">
        <f t="shared" si="1"/>
        <v>3.1399999999999997E-2</v>
      </c>
      <c r="AB15" s="130">
        <f t="shared" si="1"/>
        <v>3.1399999999999997E-2</v>
      </c>
      <c r="AC15" s="130">
        <f t="shared" si="1"/>
        <v>3.1399999999999997E-2</v>
      </c>
      <c r="AD15" s="130">
        <f t="shared" si="1"/>
        <v>3.1399999999999997E-2</v>
      </c>
      <c r="AE15" s="130">
        <f t="shared" si="1"/>
        <v>3.1399999999999997E-2</v>
      </c>
      <c r="AF15" s="130">
        <f t="shared" si="1"/>
        <v>3.1399999999999997E-2</v>
      </c>
      <c r="AG15" s="130">
        <f t="shared" si="1"/>
        <v>3.1399999999999997E-2</v>
      </c>
      <c r="AH15" s="130">
        <f t="shared" si="2"/>
        <v>3.1399999999999997E-2</v>
      </c>
      <c r="AI15" s="130">
        <f t="shared" si="2"/>
        <v>3.1399999999999997E-2</v>
      </c>
      <c r="AJ15" s="130">
        <f t="shared" si="2"/>
        <v>3.1399999999999997E-2</v>
      </c>
      <c r="AK15" s="130">
        <f t="shared" si="2"/>
        <v>3.1399999999999997E-2</v>
      </c>
      <c r="AL15" s="130">
        <f t="shared" si="2"/>
        <v>3.1399999999999997E-2</v>
      </c>
      <c r="AM15" s="130">
        <f t="shared" si="2"/>
        <v>3.1399999999999997E-2</v>
      </c>
      <c r="AN15" s="130">
        <f t="shared" si="2"/>
        <v>3.1399999999999997E-2</v>
      </c>
      <c r="AO15" s="130">
        <f t="shared" si="2"/>
        <v>3.1399999999999997E-2</v>
      </c>
      <c r="AP15" s="130">
        <f t="shared" si="2"/>
        <v>3.1399999999999997E-2</v>
      </c>
      <c r="AQ15" s="130">
        <f t="shared" si="2"/>
        <v>3.1399999999999997E-2</v>
      </c>
      <c r="AR15" s="130">
        <f t="shared" si="3"/>
        <v>3.1399999999999997E-2</v>
      </c>
      <c r="AS15" s="130">
        <f t="shared" si="3"/>
        <v>3.1399999999999997E-2</v>
      </c>
      <c r="AT15" s="130">
        <f t="shared" si="3"/>
        <v>3.1399999999999997E-2</v>
      </c>
      <c r="AU15" s="130">
        <f t="shared" si="3"/>
        <v>3.1399999999999997E-2</v>
      </c>
      <c r="AV15" s="130">
        <f t="shared" si="3"/>
        <v>3.1399999999999997E-2</v>
      </c>
      <c r="AW15" s="130">
        <f t="shared" si="3"/>
        <v>3.1399999999999997E-2</v>
      </c>
      <c r="AX15" s="130">
        <f t="shared" si="3"/>
        <v>3.1399999999999997E-2</v>
      </c>
      <c r="AY15" s="130">
        <f t="shared" si="3"/>
        <v>3.1399999999999997E-2</v>
      </c>
      <c r="AZ15" s="130">
        <f t="shared" si="3"/>
        <v>3.1399999999999997E-2</v>
      </c>
      <c r="BA15" s="130">
        <f t="shared" si="3"/>
        <v>3.1399999999999997E-2</v>
      </c>
      <c r="BB15" s="130">
        <f t="shared" si="3"/>
        <v>3.1399999999999997E-2</v>
      </c>
      <c r="BC15" s="130">
        <f t="shared" si="3"/>
        <v>3.1399999999999997E-2</v>
      </c>
    </row>
    <row r="16" spans="1:55">
      <c r="B16" s="6" t="s">
        <v>170</v>
      </c>
      <c r="C16" s="131">
        <f t="shared" si="0"/>
        <v>1.9000000000000003E-2</v>
      </c>
      <c r="D16" s="131">
        <f t="shared" si="0"/>
        <v>1.9000000000000003E-2</v>
      </c>
      <c r="E16" s="131">
        <f t="shared" si="0"/>
        <v>1.9000000000000003E-2</v>
      </c>
      <c r="F16" s="131">
        <f t="shared" si="0"/>
        <v>1.9000000000000003E-2</v>
      </c>
      <c r="G16" s="131">
        <f t="shared" si="0"/>
        <v>1.9000000000000003E-2</v>
      </c>
      <c r="H16" s="131">
        <f t="shared" si="4"/>
        <v>1.9000000000000003E-2</v>
      </c>
      <c r="I16" s="123">
        <v>1.7000000000000001E-2</v>
      </c>
      <c r="J16" s="123">
        <v>1.7999999999999999E-2</v>
      </c>
      <c r="K16" s="123">
        <v>2.1000000000000001E-2</v>
      </c>
      <c r="L16" s="123">
        <v>1.9E-2</v>
      </c>
      <c r="M16" s="123">
        <v>0.02</v>
      </c>
      <c r="N16" s="130">
        <f t="shared" si="5"/>
        <v>1.9000000000000003E-2</v>
      </c>
      <c r="O16" s="130">
        <f t="shared" si="1"/>
        <v>1.9000000000000003E-2</v>
      </c>
      <c r="P16" s="130">
        <f t="shared" si="1"/>
        <v>1.9000000000000003E-2</v>
      </c>
      <c r="Q16" s="130">
        <f t="shared" si="1"/>
        <v>1.9000000000000003E-2</v>
      </c>
      <c r="R16" s="130">
        <f t="shared" si="1"/>
        <v>1.9000000000000003E-2</v>
      </c>
      <c r="S16" s="130">
        <f t="shared" si="1"/>
        <v>1.9000000000000003E-2</v>
      </c>
      <c r="T16" s="130">
        <f t="shared" si="1"/>
        <v>1.9000000000000003E-2</v>
      </c>
      <c r="U16" s="130">
        <f t="shared" si="1"/>
        <v>1.9000000000000003E-2</v>
      </c>
      <c r="V16" s="130">
        <f t="shared" si="1"/>
        <v>1.9000000000000003E-2</v>
      </c>
      <c r="W16" s="130">
        <f t="shared" si="1"/>
        <v>1.9000000000000003E-2</v>
      </c>
      <c r="X16" s="130">
        <f t="shared" si="1"/>
        <v>1.9000000000000003E-2</v>
      </c>
      <c r="Y16" s="130">
        <f t="shared" si="1"/>
        <v>1.9000000000000003E-2</v>
      </c>
      <c r="Z16" s="130">
        <f t="shared" si="1"/>
        <v>1.9000000000000003E-2</v>
      </c>
      <c r="AA16" s="130">
        <f t="shared" si="1"/>
        <v>1.9000000000000003E-2</v>
      </c>
      <c r="AB16" s="130">
        <f t="shared" si="1"/>
        <v>1.9000000000000003E-2</v>
      </c>
      <c r="AC16" s="130">
        <f t="shared" si="1"/>
        <v>1.9000000000000003E-2</v>
      </c>
      <c r="AD16" s="130">
        <f t="shared" si="1"/>
        <v>1.9000000000000003E-2</v>
      </c>
      <c r="AE16" s="130">
        <f t="shared" si="1"/>
        <v>1.9000000000000003E-2</v>
      </c>
      <c r="AF16" s="130">
        <f t="shared" si="1"/>
        <v>1.9000000000000003E-2</v>
      </c>
      <c r="AG16" s="130">
        <f t="shared" si="1"/>
        <v>1.9000000000000003E-2</v>
      </c>
      <c r="AH16" s="130">
        <f t="shared" si="2"/>
        <v>1.9000000000000003E-2</v>
      </c>
      <c r="AI16" s="130">
        <f t="shared" si="2"/>
        <v>1.9000000000000003E-2</v>
      </c>
      <c r="AJ16" s="130">
        <f t="shared" si="2"/>
        <v>1.9000000000000003E-2</v>
      </c>
      <c r="AK16" s="130">
        <f t="shared" si="2"/>
        <v>1.9000000000000003E-2</v>
      </c>
      <c r="AL16" s="130">
        <f t="shared" si="2"/>
        <v>1.9000000000000003E-2</v>
      </c>
      <c r="AM16" s="130">
        <f t="shared" si="2"/>
        <v>1.9000000000000003E-2</v>
      </c>
      <c r="AN16" s="130">
        <f t="shared" si="2"/>
        <v>1.9000000000000003E-2</v>
      </c>
      <c r="AO16" s="130">
        <f t="shared" si="2"/>
        <v>1.9000000000000003E-2</v>
      </c>
      <c r="AP16" s="130">
        <f t="shared" si="2"/>
        <v>1.9000000000000003E-2</v>
      </c>
      <c r="AQ16" s="130">
        <f t="shared" si="2"/>
        <v>1.9000000000000003E-2</v>
      </c>
      <c r="AR16" s="130">
        <f t="shared" si="3"/>
        <v>1.9000000000000003E-2</v>
      </c>
      <c r="AS16" s="130">
        <f t="shared" si="3"/>
        <v>1.9000000000000003E-2</v>
      </c>
      <c r="AT16" s="130">
        <f t="shared" si="3"/>
        <v>1.9000000000000003E-2</v>
      </c>
      <c r="AU16" s="130">
        <f t="shared" si="3"/>
        <v>1.9000000000000003E-2</v>
      </c>
      <c r="AV16" s="130">
        <f t="shared" si="3"/>
        <v>1.9000000000000003E-2</v>
      </c>
      <c r="AW16" s="130">
        <f t="shared" si="3"/>
        <v>1.9000000000000003E-2</v>
      </c>
      <c r="AX16" s="130">
        <f t="shared" si="3"/>
        <v>1.9000000000000003E-2</v>
      </c>
      <c r="AY16" s="130">
        <f t="shared" si="3"/>
        <v>1.9000000000000003E-2</v>
      </c>
      <c r="AZ16" s="130">
        <f t="shared" si="3"/>
        <v>1.9000000000000003E-2</v>
      </c>
      <c r="BA16" s="130">
        <f t="shared" si="3"/>
        <v>1.9000000000000003E-2</v>
      </c>
      <c r="BB16" s="130">
        <f t="shared" si="3"/>
        <v>1.9000000000000003E-2</v>
      </c>
      <c r="BC16" s="130">
        <f t="shared" si="3"/>
        <v>1.9000000000000003E-2</v>
      </c>
    </row>
    <row r="17" spans="1:56" s="4" customFormat="1">
      <c r="B17" s="6" t="s">
        <v>171</v>
      </c>
      <c r="C17" s="131">
        <f t="shared" si="0"/>
        <v>2.46E-2</v>
      </c>
      <c r="D17" s="131">
        <f t="shared" si="0"/>
        <v>2.46E-2</v>
      </c>
      <c r="E17" s="131">
        <f t="shared" si="0"/>
        <v>2.46E-2</v>
      </c>
      <c r="F17" s="131">
        <f t="shared" si="0"/>
        <v>2.46E-2</v>
      </c>
      <c r="G17" s="131">
        <f t="shared" si="0"/>
        <v>2.46E-2</v>
      </c>
      <c r="H17" s="131">
        <f t="shared" si="4"/>
        <v>2.46E-2</v>
      </c>
      <c r="I17" s="123">
        <v>3.1E-2</v>
      </c>
      <c r="J17" s="132">
        <v>2.3E-2</v>
      </c>
      <c r="K17" s="132">
        <v>0.02</v>
      </c>
      <c r="L17" s="132">
        <v>0.02</v>
      </c>
      <c r="M17" s="132">
        <v>2.9000000000000001E-2</v>
      </c>
      <c r="N17" s="130">
        <f t="shared" si="5"/>
        <v>2.46E-2</v>
      </c>
      <c r="O17" s="130">
        <f t="shared" si="1"/>
        <v>2.46E-2</v>
      </c>
      <c r="P17" s="130">
        <f t="shared" si="1"/>
        <v>2.46E-2</v>
      </c>
      <c r="Q17" s="130">
        <f t="shared" si="1"/>
        <v>2.46E-2</v>
      </c>
      <c r="R17" s="130">
        <f t="shared" si="1"/>
        <v>2.46E-2</v>
      </c>
      <c r="S17" s="130">
        <f t="shared" si="1"/>
        <v>2.46E-2</v>
      </c>
      <c r="T17" s="130">
        <f t="shared" si="1"/>
        <v>2.46E-2</v>
      </c>
      <c r="U17" s="130">
        <f t="shared" si="1"/>
        <v>2.46E-2</v>
      </c>
      <c r="V17" s="130">
        <f t="shared" si="1"/>
        <v>2.46E-2</v>
      </c>
      <c r="W17" s="130">
        <f t="shared" si="1"/>
        <v>2.46E-2</v>
      </c>
      <c r="X17" s="130">
        <f t="shared" si="1"/>
        <v>2.46E-2</v>
      </c>
      <c r="Y17" s="130">
        <f t="shared" si="1"/>
        <v>2.46E-2</v>
      </c>
      <c r="Z17" s="130">
        <f t="shared" si="1"/>
        <v>2.46E-2</v>
      </c>
      <c r="AA17" s="130">
        <f t="shared" si="1"/>
        <v>2.46E-2</v>
      </c>
      <c r="AB17" s="130">
        <f t="shared" si="1"/>
        <v>2.46E-2</v>
      </c>
      <c r="AC17" s="130">
        <f t="shared" si="1"/>
        <v>2.46E-2</v>
      </c>
      <c r="AD17" s="130">
        <f t="shared" si="1"/>
        <v>2.46E-2</v>
      </c>
      <c r="AE17" s="130">
        <f t="shared" si="1"/>
        <v>2.46E-2</v>
      </c>
      <c r="AF17" s="130">
        <f t="shared" si="1"/>
        <v>2.46E-2</v>
      </c>
      <c r="AG17" s="130">
        <f t="shared" si="1"/>
        <v>2.46E-2</v>
      </c>
      <c r="AH17" s="130">
        <f t="shared" si="2"/>
        <v>2.46E-2</v>
      </c>
      <c r="AI17" s="130">
        <f t="shared" si="2"/>
        <v>2.46E-2</v>
      </c>
      <c r="AJ17" s="130">
        <f t="shared" si="2"/>
        <v>2.46E-2</v>
      </c>
      <c r="AK17" s="130">
        <f t="shared" si="2"/>
        <v>2.46E-2</v>
      </c>
      <c r="AL17" s="130">
        <f t="shared" si="2"/>
        <v>2.46E-2</v>
      </c>
      <c r="AM17" s="130">
        <f t="shared" si="2"/>
        <v>2.46E-2</v>
      </c>
      <c r="AN17" s="130">
        <f t="shared" si="2"/>
        <v>2.46E-2</v>
      </c>
      <c r="AO17" s="130">
        <f t="shared" si="2"/>
        <v>2.46E-2</v>
      </c>
      <c r="AP17" s="130">
        <f t="shared" si="2"/>
        <v>2.46E-2</v>
      </c>
      <c r="AQ17" s="130">
        <f t="shared" si="2"/>
        <v>2.46E-2</v>
      </c>
      <c r="AR17" s="130">
        <f t="shared" si="3"/>
        <v>2.46E-2</v>
      </c>
      <c r="AS17" s="130">
        <f t="shared" si="3"/>
        <v>2.46E-2</v>
      </c>
      <c r="AT17" s="130">
        <f t="shared" si="3"/>
        <v>2.46E-2</v>
      </c>
      <c r="AU17" s="130">
        <f t="shared" si="3"/>
        <v>2.46E-2</v>
      </c>
      <c r="AV17" s="130">
        <f t="shared" si="3"/>
        <v>2.46E-2</v>
      </c>
      <c r="AW17" s="130">
        <f t="shared" si="3"/>
        <v>2.46E-2</v>
      </c>
      <c r="AX17" s="130">
        <f t="shared" si="3"/>
        <v>2.46E-2</v>
      </c>
      <c r="AY17" s="130">
        <f t="shared" si="3"/>
        <v>2.46E-2</v>
      </c>
      <c r="AZ17" s="130">
        <f t="shared" si="3"/>
        <v>2.46E-2</v>
      </c>
      <c r="BA17" s="130">
        <f t="shared" si="3"/>
        <v>2.46E-2</v>
      </c>
      <c r="BB17" s="130">
        <f t="shared" si="3"/>
        <v>2.46E-2</v>
      </c>
      <c r="BC17" s="130">
        <f t="shared" si="3"/>
        <v>2.46E-2</v>
      </c>
    </row>
    <row r="18" spans="1:56">
      <c r="I18" s="122"/>
      <c r="J18" s="1"/>
      <c r="K18" s="1"/>
      <c r="L18" s="1"/>
      <c r="M18" s="1"/>
      <c r="N18" s="1"/>
    </row>
    <row r="20" spans="1:56">
      <c r="A20" s="9" t="s">
        <v>10</v>
      </c>
      <c r="B20" s="9" t="s">
        <v>166</v>
      </c>
    </row>
    <row r="21" spans="1:56">
      <c r="A21" s="9"/>
      <c r="B21" s="151" t="s">
        <v>3293</v>
      </c>
    </row>
    <row r="22" spans="1:56">
      <c r="B22" s="151" t="s">
        <v>176</v>
      </c>
    </row>
    <row r="23" spans="1:56">
      <c r="B23" s="151"/>
    </row>
    <row r="24" spans="1:56">
      <c r="B24" s="151"/>
    </row>
    <row r="25" spans="1:56">
      <c r="C25" s="7" t="s">
        <v>166</v>
      </c>
      <c r="D25" s="135"/>
      <c r="E25" s="135"/>
      <c r="F25" s="128" t="s">
        <v>172</v>
      </c>
      <c r="G25" s="129"/>
      <c r="H25" s="129"/>
      <c r="I25" s="129"/>
      <c r="J25" s="129"/>
      <c r="K25" s="129"/>
      <c r="L25" s="129"/>
      <c r="M25" s="129"/>
      <c r="N25" s="129"/>
      <c r="O25" s="129"/>
      <c r="P25" s="129"/>
      <c r="Q25" s="129"/>
      <c r="R25" s="129"/>
      <c r="S25" s="129"/>
      <c r="T25" s="129"/>
      <c r="U25" s="129"/>
      <c r="V25" s="129"/>
      <c r="W25" s="129"/>
      <c r="X25" s="129"/>
      <c r="Y25" s="129"/>
      <c r="Z25" s="129"/>
      <c r="AA25" s="129"/>
      <c r="AB25" s="129"/>
      <c r="AC25" s="129"/>
      <c r="AD25" s="129"/>
      <c r="AE25" s="129"/>
      <c r="AF25" s="129"/>
      <c r="AG25" s="129"/>
      <c r="AH25" s="129"/>
      <c r="AI25" s="129"/>
      <c r="AJ25" s="129"/>
      <c r="AK25" s="129"/>
      <c r="AL25" s="129"/>
      <c r="AM25" s="129"/>
      <c r="AN25" s="129"/>
      <c r="AO25" s="129"/>
      <c r="AP25" s="129"/>
      <c r="AQ25" s="129"/>
      <c r="AR25" s="129"/>
      <c r="AS25" s="129"/>
      <c r="AT25" s="129"/>
      <c r="AU25" s="129"/>
      <c r="AV25" s="129"/>
      <c r="AW25" s="129"/>
      <c r="AX25" s="129"/>
      <c r="AY25" s="129"/>
      <c r="AZ25" s="129"/>
      <c r="BA25" s="129"/>
      <c r="BB25" s="129"/>
      <c r="BC25" s="129"/>
      <c r="BD25" s="129"/>
    </row>
    <row r="26" spans="1:56">
      <c r="B26" s="7" t="s">
        <v>125</v>
      </c>
      <c r="C26" s="7" t="s">
        <v>174</v>
      </c>
      <c r="D26" s="127">
        <f t="shared" ref="D26:E26" si="6">C12</f>
        <v>2010</v>
      </c>
      <c r="E26" s="127">
        <f t="shared" si="6"/>
        <v>2011</v>
      </c>
      <c r="F26" s="127">
        <f>E12</f>
        <v>2012</v>
      </c>
      <c r="G26" s="127">
        <f t="shared" ref="G26:AH26" si="7">F12</f>
        <v>2013</v>
      </c>
      <c r="H26" s="127">
        <f t="shared" si="7"/>
        <v>2014</v>
      </c>
      <c r="I26" s="127">
        <f t="shared" si="7"/>
        <v>2015</v>
      </c>
      <c r="J26" s="127">
        <f t="shared" si="7"/>
        <v>2016</v>
      </c>
      <c r="K26" s="127">
        <f t="shared" si="7"/>
        <v>2017</v>
      </c>
      <c r="L26" s="127">
        <f t="shared" si="7"/>
        <v>2018</v>
      </c>
      <c r="M26" s="127">
        <f t="shared" si="7"/>
        <v>2019</v>
      </c>
      <c r="N26" s="127">
        <f t="shared" si="7"/>
        <v>2020</v>
      </c>
      <c r="O26" s="127">
        <f t="shared" si="7"/>
        <v>2021</v>
      </c>
      <c r="P26" s="127">
        <f t="shared" si="7"/>
        <v>2022</v>
      </c>
      <c r="Q26" s="127">
        <f t="shared" si="7"/>
        <v>2023</v>
      </c>
      <c r="R26" s="127">
        <f t="shared" si="7"/>
        <v>2024</v>
      </c>
      <c r="S26" s="127">
        <f t="shared" si="7"/>
        <v>2025</v>
      </c>
      <c r="T26" s="127">
        <f t="shared" si="7"/>
        <v>2026</v>
      </c>
      <c r="U26" s="127">
        <f t="shared" si="7"/>
        <v>2027</v>
      </c>
      <c r="V26" s="127">
        <f t="shared" si="7"/>
        <v>2028</v>
      </c>
      <c r="W26" s="127">
        <f t="shared" si="7"/>
        <v>2029</v>
      </c>
      <c r="X26" s="127">
        <f t="shared" si="7"/>
        <v>2030</v>
      </c>
      <c r="Y26" s="127">
        <f t="shared" si="7"/>
        <v>2031</v>
      </c>
      <c r="Z26" s="127">
        <f t="shared" si="7"/>
        <v>2032</v>
      </c>
      <c r="AA26" s="127">
        <f t="shared" si="7"/>
        <v>2033</v>
      </c>
      <c r="AB26" s="127">
        <f t="shared" si="7"/>
        <v>2034</v>
      </c>
      <c r="AC26" s="127">
        <f t="shared" si="7"/>
        <v>2035</v>
      </c>
      <c r="AD26" s="127">
        <f t="shared" si="7"/>
        <v>2036</v>
      </c>
      <c r="AE26" s="127">
        <f t="shared" si="7"/>
        <v>2037</v>
      </c>
      <c r="AF26" s="127">
        <f t="shared" si="7"/>
        <v>2038</v>
      </c>
      <c r="AG26" s="127">
        <f t="shared" si="7"/>
        <v>2039</v>
      </c>
      <c r="AH26" s="127">
        <f t="shared" si="7"/>
        <v>2040</v>
      </c>
      <c r="AI26" s="127">
        <f t="shared" ref="AI26" si="8">AH12</f>
        <v>2041</v>
      </c>
      <c r="AJ26" s="127">
        <f t="shared" ref="AJ26" si="9">AI12</f>
        <v>2042</v>
      </c>
      <c r="AK26" s="127">
        <f t="shared" ref="AK26" si="10">AJ12</f>
        <v>2043</v>
      </c>
      <c r="AL26" s="127">
        <f t="shared" ref="AL26" si="11">AK12</f>
        <v>2044</v>
      </c>
      <c r="AM26" s="127">
        <f t="shared" ref="AM26" si="12">AL12</f>
        <v>2045</v>
      </c>
      <c r="AN26" s="127">
        <f t="shared" ref="AN26" si="13">AM12</f>
        <v>2046</v>
      </c>
      <c r="AO26" s="127">
        <f t="shared" ref="AO26" si="14">AN12</f>
        <v>2047</v>
      </c>
      <c r="AP26" s="127">
        <f t="shared" ref="AP26" si="15">AO12</f>
        <v>2048</v>
      </c>
      <c r="AQ26" s="127">
        <f t="shared" ref="AQ26:AR26" si="16">AP12</f>
        <v>2049</v>
      </c>
      <c r="AR26" s="127">
        <f t="shared" si="16"/>
        <v>2050</v>
      </c>
      <c r="AS26" s="127">
        <f t="shared" ref="AS26" si="17">AR12</f>
        <v>2051</v>
      </c>
      <c r="AT26" s="127">
        <f t="shared" ref="AT26" si="18">AS12</f>
        <v>2052</v>
      </c>
      <c r="AU26" s="127">
        <f t="shared" ref="AU26" si="19">AT12</f>
        <v>2053</v>
      </c>
      <c r="AV26" s="127">
        <f t="shared" ref="AV26" si="20">AU12</f>
        <v>2054</v>
      </c>
      <c r="AW26" s="127">
        <f t="shared" ref="AW26" si="21">AV12</f>
        <v>2055</v>
      </c>
      <c r="AX26" s="127">
        <f t="shared" ref="AX26" si="22">AW12</f>
        <v>2056</v>
      </c>
      <c r="AY26" s="127">
        <f t="shared" ref="AY26" si="23">AX12</f>
        <v>2057</v>
      </c>
      <c r="AZ26" s="127">
        <f t="shared" ref="AZ26" si="24">AY12</f>
        <v>2058</v>
      </c>
      <c r="BA26" s="127">
        <f t="shared" ref="BA26" si="25">AZ12</f>
        <v>2059</v>
      </c>
      <c r="BB26" s="127">
        <f t="shared" ref="BB26" si="26">BA12</f>
        <v>2060</v>
      </c>
      <c r="BC26" s="127">
        <f t="shared" ref="BC26" si="27">BB12</f>
        <v>2061</v>
      </c>
      <c r="BD26" s="127">
        <f t="shared" ref="BD26" si="28">BC12</f>
        <v>2062</v>
      </c>
    </row>
    <row r="27" spans="1:56" ht="20.399999999999999" customHeight="1">
      <c r="B27" s="6" t="s">
        <v>112</v>
      </c>
      <c r="C27" s="125" t="s">
        <v>170</v>
      </c>
      <c r="D27" s="126">
        <f t="shared" ref="D27:AH27" si="29">INDEX(C$13:C$17, MATCH($C27, $B$13:$B$17,0))</f>
        <v>1.9000000000000003E-2</v>
      </c>
      <c r="E27" s="126">
        <f t="shared" si="29"/>
        <v>1.9000000000000003E-2</v>
      </c>
      <c r="F27" s="126">
        <f t="shared" si="29"/>
        <v>1.9000000000000003E-2</v>
      </c>
      <c r="G27" s="126">
        <f t="shared" si="29"/>
        <v>1.9000000000000003E-2</v>
      </c>
      <c r="H27" s="126">
        <f t="shared" si="29"/>
        <v>1.9000000000000003E-2</v>
      </c>
      <c r="I27" s="126">
        <f t="shared" si="29"/>
        <v>1.9000000000000003E-2</v>
      </c>
      <c r="J27" s="126">
        <f t="shared" si="29"/>
        <v>1.7000000000000001E-2</v>
      </c>
      <c r="K27" s="126">
        <f t="shared" si="29"/>
        <v>1.7999999999999999E-2</v>
      </c>
      <c r="L27" s="126">
        <f t="shared" si="29"/>
        <v>2.1000000000000001E-2</v>
      </c>
      <c r="M27" s="126">
        <f t="shared" si="29"/>
        <v>1.9E-2</v>
      </c>
      <c r="N27" s="126">
        <f t="shared" si="29"/>
        <v>0.02</v>
      </c>
      <c r="O27" s="126">
        <f t="shared" si="29"/>
        <v>1.9000000000000003E-2</v>
      </c>
      <c r="P27" s="126">
        <f t="shared" si="29"/>
        <v>1.9000000000000003E-2</v>
      </c>
      <c r="Q27" s="126">
        <f t="shared" si="29"/>
        <v>1.9000000000000003E-2</v>
      </c>
      <c r="R27" s="126">
        <f t="shared" si="29"/>
        <v>1.9000000000000003E-2</v>
      </c>
      <c r="S27" s="126">
        <f t="shared" si="29"/>
        <v>1.9000000000000003E-2</v>
      </c>
      <c r="T27" s="126">
        <f t="shared" si="29"/>
        <v>1.9000000000000003E-2</v>
      </c>
      <c r="U27" s="126">
        <f t="shared" si="29"/>
        <v>1.9000000000000003E-2</v>
      </c>
      <c r="V27" s="126">
        <f t="shared" si="29"/>
        <v>1.9000000000000003E-2</v>
      </c>
      <c r="W27" s="126">
        <f t="shared" si="29"/>
        <v>1.9000000000000003E-2</v>
      </c>
      <c r="X27" s="126">
        <f t="shared" si="29"/>
        <v>1.9000000000000003E-2</v>
      </c>
      <c r="Y27" s="126">
        <f t="shared" si="29"/>
        <v>1.9000000000000003E-2</v>
      </c>
      <c r="Z27" s="126">
        <f t="shared" si="29"/>
        <v>1.9000000000000003E-2</v>
      </c>
      <c r="AA27" s="126">
        <f t="shared" si="29"/>
        <v>1.9000000000000003E-2</v>
      </c>
      <c r="AB27" s="126">
        <f t="shared" si="29"/>
        <v>1.9000000000000003E-2</v>
      </c>
      <c r="AC27" s="126">
        <f t="shared" si="29"/>
        <v>1.9000000000000003E-2</v>
      </c>
      <c r="AD27" s="126">
        <f t="shared" si="29"/>
        <v>1.9000000000000003E-2</v>
      </c>
      <c r="AE27" s="126">
        <f t="shared" si="29"/>
        <v>1.9000000000000003E-2</v>
      </c>
      <c r="AF27" s="126">
        <f t="shared" si="29"/>
        <v>1.9000000000000003E-2</v>
      </c>
      <c r="AG27" s="126">
        <f t="shared" si="29"/>
        <v>1.9000000000000003E-2</v>
      </c>
      <c r="AH27" s="126">
        <f t="shared" si="29"/>
        <v>1.9000000000000003E-2</v>
      </c>
      <c r="AI27" s="126">
        <f t="shared" ref="AI27:AI67" si="30">INDEX(AH$13:AH$17, MATCH($C27, $B$13:$B$17,0))</f>
        <v>1.9000000000000003E-2</v>
      </c>
      <c r="AJ27" s="126">
        <f t="shared" ref="AJ27:AJ67" si="31">INDEX(AI$13:AI$17, MATCH($C27, $B$13:$B$17,0))</f>
        <v>1.9000000000000003E-2</v>
      </c>
      <c r="AK27" s="126">
        <f t="shared" ref="AK27:AK67" si="32">INDEX(AJ$13:AJ$17, MATCH($C27, $B$13:$B$17,0))</f>
        <v>1.9000000000000003E-2</v>
      </c>
      <c r="AL27" s="126">
        <f t="shared" ref="AL27:AL67" si="33">INDEX(AK$13:AK$17, MATCH($C27, $B$13:$B$17,0))</f>
        <v>1.9000000000000003E-2</v>
      </c>
      <c r="AM27" s="126">
        <f t="shared" ref="AM27:AM67" si="34">INDEX(AL$13:AL$17, MATCH($C27, $B$13:$B$17,0))</f>
        <v>1.9000000000000003E-2</v>
      </c>
      <c r="AN27" s="126">
        <f t="shared" ref="AN27:AN67" si="35">INDEX(AM$13:AM$17, MATCH($C27, $B$13:$B$17,0))</f>
        <v>1.9000000000000003E-2</v>
      </c>
      <c r="AO27" s="126">
        <f t="shared" ref="AO27:AO67" si="36">INDEX(AN$13:AN$17, MATCH($C27, $B$13:$B$17,0))</f>
        <v>1.9000000000000003E-2</v>
      </c>
      <c r="AP27" s="126">
        <f t="shared" ref="AP27:AP67" si="37">INDEX(AO$13:AO$17, MATCH($C27, $B$13:$B$17,0))</f>
        <v>1.9000000000000003E-2</v>
      </c>
      <c r="AQ27" s="126">
        <f t="shared" ref="AQ27:AR67" si="38">INDEX(AP$13:AP$17, MATCH($C27, $B$13:$B$17,0))</f>
        <v>1.9000000000000003E-2</v>
      </c>
      <c r="AR27" s="126">
        <f t="shared" si="38"/>
        <v>1.9000000000000003E-2</v>
      </c>
      <c r="AS27" s="126">
        <f t="shared" ref="AS27:AS67" si="39">INDEX(AR$13:AR$17, MATCH($C27, $B$13:$B$17,0))</f>
        <v>1.9000000000000003E-2</v>
      </c>
      <c r="AT27" s="126">
        <f t="shared" ref="AT27:AT67" si="40">INDEX(AS$13:AS$17, MATCH($C27, $B$13:$B$17,0))</f>
        <v>1.9000000000000003E-2</v>
      </c>
      <c r="AU27" s="126">
        <f t="shared" ref="AU27:AU67" si="41">INDEX(AT$13:AT$17, MATCH($C27, $B$13:$B$17,0))</f>
        <v>1.9000000000000003E-2</v>
      </c>
      <c r="AV27" s="126">
        <f t="shared" ref="AV27:AV67" si="42">INDEX(AU$13:AU$17, MATCH($C27, $B$13:$B$17,0))</f>
        <v>1.9000000000000003E-2</v>
      </c>
      <c r="AW27" s="126">
        <f t="shared" ref="AW27:AW67" si="43">INDEX(AV$13:AV$17, MATCH($C27, $B$13:$B$17,0))</f>
        <v>1.9000000000000003E-2</v>
      </c>
      <c r="AX27" s="126">
        <f t="shared" ref="AX27:AX67" si="44">INDEX(AW$13:AW$17, MATCH($C27, $B$13:$B$17,0))</f>
        <v>1.9000000000000003E-2</v>
      </c>
      <c r="AY27" s="126">
        <f t="shared" ref="AY27:AY67" si="45">INDEX(AX$13:AX$17, MATCH($C27, $B$13:$B$17,0))</f>
        <v>1.9000000000000003E-2</v>
      </c>
      <c r="AZ27" s="126">
        <f t="shared" ref="AZ27:AZ67" si="46">INDEX(AY$13:AY$17, MATCH($C27, $B$13:$B$17,0))</f>
        <v>1.9000000000000003E-2</v>
      </c>
      <c r="BA27" s="126">
        <f t="shared" ref="BA27:BA67" si="47">INDEX(AZ$13:AZ$17, MATCH($C27, $B$13:$B$17,0))</f>
        <v>1.9000000000000003E-2</v>
      </c>
      <c r="BB27" s="126">
        <f t="shared" ref="BB27:BB67" si="48">INDEX(BA$13:BA$17, MATCH($C27, $B$13:$B$17,0))</f>
        <v>1.9000000000000003E-2</v>
      </c>
      <c r="BC27" s="126">
        <f t="shared" ref="BC27:BC67" si="49">INDEX(BB$13:BB$17, MATCH($C27, $B$13:$B$17,0))</f>
        <v>1.9000000000000003E-2</v>
      </c>
      <c r="BD27" s="126">
        <f t="shared" ref="BD27:BD67" si="50">INDEX(BC$13:BC$17, MATCH($C27, $B$13:$B$17,0))</f>
        <v>1.9000000000000003E-2</v>
      </c>
    </row>
    <row r="28" spans="1:56" ht="20.399999999999999" customHeight="1">
      <c r="B28" s="6" t="s">
        <v>13</v>
      </c>
      <c r="C28" s="125" t="s">
        <v>173</v>
      </c>
      <c r="D28" s="126">
        <f t="shared" ref="D28:D67" si="51">INDEX(C$13:C$17, MATCH($C28, $B$13:$B$17,0))</f>
        <v>2.2800000000000001E-2</v>
      </c>
      <c r="E28" s="126">
        <f t="shared" ref="E28:E67" si="52">INDEX(D$13:D$17, MATCH($C28, $B$13:$B$17,0))</f>
        <v>2.2800000000000001E-2</v>
      </c>
      <c r="F28" s="126">
        <f t="shared" ref="F28:F67" si="53">INDEX(E$13:E$17, MATCH($C28, $B$13:$B$17,0))</f>
        <v>2.2800000000000001E-2</v>
      </c>
      <c r="G28" s="126">
        <f t="shared" ref="G28:G67" si="54">INDEX(F$13:F$17, MATCH($C28, $B$13:$B$17,0))</f>
        <v>2.2800000000000001E-2</v>
      </c>
      <c r="H28" s="126">
        <f t="shared" ref="H28:H67" si="55">INDEX(G$13:G$17, MATCH($C28, $B$13:$B$17,0))</f>
        <v>2.2800000000000001E-2</v>
      </c>
      <c r="I28" s="126">
        <f t="shared" ref="I28:I67" si="56">INDEX(H$13:H$17, MATCH($C28, $B$13:$B$17,0))</f>
        <v>2.2800000000000001E-2</v>
      </c>
      <c r="J28" s="126">
        <f t="shared" ref="J28:J67" si="57">INDEX(I$13:I$17, MATCH($C28, $B$13:$B$17,0))</f>
        <v>3.3000000000000002E-2</v>
      </c>
      <c r="K28" s="126">
        <f t="shared" ref="K28:K67" si="58">INDEX(J$13:J$17, MATCH($C28, $B$13:$B$17,0))</f>
        <v>0.02</v>
      </c>
      <c r="L28" s="126">
        <f t="shared" ref="L28:L67" si="59">INDEX(K$13:K$17, MATCH($C28, $B$13:$B$17,0))</f>
        <v>1.6E-2</v>
      </c>
      <c r="M28" s="126">
        <f t="shared" ref="M28:M67" si="60">INDEX(L$13:L$17, MATCH($C28, $B$13:$B$17,0))</f>
        <v>1.6E-2</v>
      </c>
      <c r="N28" s="126">
        <f t="shared" ref="N28:N67" si="61">INDEX(M$13:M$17, MATCH($C28, $B$13:$B$17,0))</f>
        <v>2.9000000000000001E-2</v>
      </c>
      <c r="O28" s="126">
        <f t="shared" ref="O28:O67" si="62">INDEX(N$13:N$17, MATCH($C28, $B$13:$B$17,0))</f>
        <v>2.2800000000000001E-2</v>
      </c>
      <c r="P28" s="126">
        <f t="shared" ref="P28:P67" si="63">INDEX(O$13:O$17, MATCH($C28, $B$13:$B$17,0))</f>
        <v>2.2800000000000001E-2</v>
      </c>
      <c r="Q28" s="126">
        <f t="shared" ref="Q28:Q67" si="64">INDEX(P$13:P$17, MATCH($C28, $B$13:$B$17,0))</f>
        <v>2.2800000000000001E-2</v>
      </c>
      <c r="R28" s="126">
        <f t="shared" ref="R28:R67" si="65">INDEX(Q$13:Q$17, MATCH($C28, $B$13:$B$17,0))</f>
        <v>2.2800000000000001E-2</v>
      </c>
      <c r="S28" s="126">
        <f t="shared" ref="S28:S67" si="66">INDEX(R$13:R$17, MATCH($C28, $B$13:$B$17,0))</f>
        <v>2.2800000000000001E-2</v>
      </c>
      <c r="T28" s="126">
        <f t="shared" ref="T28:T67" si="67">INDEX(S$13:S$17, MATCH($C28, $B$13:$B$17,0))</f>
        <v>2.2800000000000001E-2</v>
      </c>
      <c r="U28" s="126">
        <f t="shared" ref="U28:U67" si="68">INDEX(T$13:T$17, MATCH($C28, $B$13:$B$17,0))</f>
        <v>2.2800000000000001E-2</v>
      </c>
      <c r="V28" s="126">
        <f t="shared" ref="V28:V67" si="69">INDEX(U$13:U$17, MATCH($C28, $B$13:$B$17,0))</f>
        <v>2.2800000000000001E-2</v>
      </c>
      <c r="W28" s="126">
        <f t="shared" ref="W28:W67" si="70">INDEX(V$13:V$17, MATCH($C28, $B$13:$B$17,0))</f>
        <v>2.2800000000000001E-2</v>
      </c>
      <c r="X28" s="126">
        <f t="shared" ref="X28:X67" si="71">INDEX(W$13:W$17, MATCH($C28, $B$13:$B$17,0))</f>
        <v>2.2800000000000001E-2</v>
      </c>
      <c r="Y28" s="126">
        <f t="shared" ref="Y28:Y67" si="72">INDEX(X$13:X$17, MATCH($C28, $B$13:$B$17,0))</f>
        <v>2.2800000000000001E-2</v>
      </c>
      <c r="Z28" s="126">
        <f t="shared" ref="Z28:Z67" si="73">INDEX(Y$13:Y$17, MATCH($C28, $B$13:$B$17,0))</f>
        <v>2.2800000000000001E-2</v>
      </c>
      <c r="AA28" s="126">
        <f t="shared" ref="AA28:AA67" si="74">INDEX(Z$13:Z$17, MATCH($C28, $B$13:$B$17,0))</f>
        <v>2.2800000000000001E-2</v>
      </c>
      <c r="AB28" s="126">
        <f t="shared" ref="AB28:AB67" si="75">INDEX(AA$13:AA$17, MATCH($C28, $B$13:$B$17,0))</f>
        <v>2.2800000000000001E-2</v>
      </c>
      <c r="AC28" s="126">
        <f t="shared" ref="AC28:AC67" si="76">INDEX(AB$13:AB$17, MATCH($C28, $B$13:$B$17,0))</f>
        <v>2.2800000000000001E-2</v>
      </c>
      <c r="AD28" s="126">
        <f t="shared" ref="AD28:AD67" si="77">INDEX(AC$13:AC$17, MATCH($C28, $B$13:$B$17,0))</f>
        <v>2.2800000000000001E-2</v>
      </c>
      <c r="AE28" s="126">
        <f t="shared" ref="AE28:AE67" si="78">INDEX(AD$13:AD$17, MATCH($C28, $B$13:$B$17,0))</f>
        <v>2.2800000000000001E-2</v>
      </c>
      <c r="AF28" s="126">
        <f t="shared" ref="AF28:AF67" si="79">INDEX(AE$13:AE$17, MATCH($C28, $B$13:$B$17,0))</f>
        <v>2.2800000000000001E-2</v>
      </c>
      <c r="AG28" s="126">
        <f t="shared" ref="AG28:AG67" si="80">INDEX(AF$13:AF$17, MATCH($C28, $B$13:$B$17,0))</f>
        <v>2.2800000000000001E-2</v>
      </c>
      <c r="AH28" s="126">
        <f t="shared" ref="AH28:AH67" si="81">INDEX(AG$13:AG$17, MATCH($C28, $B$13:$B$17,0))</f>
        <v>2.2800000000000001E-2</v>
      </c>
      <c r="AI28" s="126">
        <f t="shared" si="30"/>
        <v>2.2800000000000001E-2</v>
      </c>
      <c r="AJ28" s="126">
        <f t="shared" si="31"/>
        <v>2.2800000000000001E-2</v>
      </c>
      <c r="AK28" s="126">
        <f t="shared" si="32"/>
        <v>2.2800000000000001E-2</v>
      </c>
      <c r="AL28" s="126">
        <f t="shared" si="33"/>
        <v>2.2800000000000001E-2</v>
      </c>
      <c r="AM28" s="126">
        <f t="shared" si="34"/>
        <v>2.2800000000000001E-2</v>
      </c>
      <c r="AN28" s="126">
        <f t="shared" si="35"/>
        <v>2.2800000000000001E-2</v>
      </c>
      <c r="AO28" s="126">
        <f t="shared" si="36"/>
        <v>2.2800000000000001E-2</v>
      </c>
      <c r="AP28" s="126">
        <f t="shared" si="37"/>
        <v>2.2800000000000001E-2</v>
      </c>
      <c r="AQ28" s="126">
        <f t="shared" si="38"/>
        <v>2.2800000000000001E-2</v>
      </c>
      <c r="AR28" s="126">
        <f t="shared" si="38"/>
        <v>2.2800000000000001E-2</v>
      </c>
      <c r="AS28" s="126">
        <f t="shared" si="39"/>
        <v>2.2800000000000001E-2</v>
      </c>
      <c r="AT28" s="126">
        <f t="shared" si="40"/>
        <v>2.2800000000000001E-2</v>
      </c>
      <c r="AU28" s="126">
        <f t="shared" si="41"/>
        <v>2.2800000000000001E-2</v>
      </c>
      <c r="AV28" s="126">
        <f t="shared" si="42"/>
        <v>2.2800000000000001E-2</v>
      </c>
      <c r="AW28" s="126">
        <f t="shared" si="43"/>
        <v>2.2800000000000001E-2</v>
      </c>
      <c r="AX28" s="126">
        <f t="shared" si="44"/>
        <v>2.2800000000000001E-2</v>
      </c>
      <c r="AY28" s="126">
        <f t="shared" si="45"/>
        <v>2.2800000000000001E-2</v>
      </c>
      <c r="AZ28" s="126">
        <f t="shared" si="46"/>
        <v>2.2800000000000001E-2</v>
      </c>
      <c r="BA28" s="126">
        <f t="shared" si="47"/>
        <v>2.2800000000000001E-2</v>
      </c>
      <c r="BB28" s="126">
        <f t="shared" si="48"/>
        <v>2.2800000000000001E-2</v>
      </c>
      <c r="BC28" s="126">
        <f t="shared" si="49"/>
        <v>2.2800000000000001E-2</v>
      </c>
      <c r="BD28" s="126">
        <f t="shared" si="50"/>
        <v>2.2800000000000001E-2</v>
      </c>
    </row>
    <row r="29" spans="1:56" ht="20.399999999999999" customHeight="1">
      <c r="B29" s="6" t="s">
        <v>12</v>
      </c>
      <c r="C29" s="125" t="s">
        <v>173</v>
      </c>
      <c r="D29" s="126">
        <f t="shared" si="51"/>
        <v>2.2800000000000001E-2</v>
      </c>
      <c r="E29" s="126">
        <f t="shared" si="52"/>
        <v>2.2800000000000001E-2</v>
      </c>
      <c r="F29" s="126">
        <f t="shared" si="53"/>
        <v>2.2800000000000001E-2</v>
      </c>
      <c r="G29" s="126">
        <f t="shared" si="54"/>
        <v>2.2800000000000001E-2</v>
      </c>
      <c r="H29" s="126">
        <f t="shared" si="55"/>
        <v>2.2800000000000001E-2</v>
      </c>
      <c r="I29" s="126">
        <f t="shared" si="56"/>
        <v>2.2800000000000001E-2</v>
      </c>
      <c r="J29" s="126">
        <f t="shared" si="57"/>
        <v>3.3000000000000002E-2</v>
      </c>
      <c r="K29" s="126">
        <f t="shared" si="58"/>
        <v>0.02</v>
      </c>
      <c r="L29" s="126">
        <f t="shared" si="59"/>
        <v>1.6E-2</v>
      </c>
      <c r="M29" s="126">
        <f t="shared" si="60"/>
        <v>1.6E-2</v>
      </c>
      <c r="N29" s="126">
        <f t="shared" si="61"/>
        <v>2.9000000000000001E-2</v>
      </c>
      <c r="O29" s="126">
        <f t="shared" si="62"/>
        <v>2.2800000000000001E-2</v>
      </c>
      <c r="P29" s="126">
        <f t="shared" si="63"/>
        <v>2.2800000000000001E-2</v>
      </c>
      <c r="Q29" s="126">
        <f t="shared" si="64"/>
        <v>2.2800000000000001E-2</v>
      </c>
      <c r="R29" s="126">
        <f t="shared" si="65"/>
        <v>2.2800000000000001E-2</v>
      </c>
      <c r="S29" s="126">
        <f t="shared" si="66"/>
        <v>2.2800000000000001E-2</v>
      </c>
      <c r="T29" s="126">
        <f t="shared" si="67"/>
        <v>2.2800000000000001E-2</v>
      </c>
      <c r="U29" s="126">
        <f t="shared" si="68"/>
        <v>2.2800000000000001E-2</v>
      </c>
      <c r="V29" s="126">
        <f t="shared" si="69"/>
        <v>2.2800000000000001E-2</v>
      </c>
      <c r="W29" s="126">
        <f t="shared" si="70"/>
        <v>2.2800000000000001E-2</v>
      </c>
      <c r="X29" s="126">
        <f t="shared" si="71"/>
        <v>2.2800000000000001E-2</v>
      </c>
      <c r="Y29" s="126">
        <f t="shared" si="72"/>
        <v>2.2800000000000001E-2</v>
      </c>
      <c r="Z29" s="126">
        <f t="shared" si="73"/>
        <v>2.2800000000000001E-2</v>
      </c>
      <c r="AA29" s="126">
        <f t="shared" si="74"/>
        <v>2.2800000000000001E-2</v>
      </c>
      <c r="AB29" s="126">
        <f t="shared" si="75"/>
        <v>2.2800000000000001E-2</v>
      </c>
      <c r="AC29" s="126">
        <f t="shared" si="76"/>
        <v>2.2800000000000001E-2</v>
      </c>
      <c r="AD29" s="126">
        <f t="shared" si="77"/>
        <v>2.2800000000000001E-2</v>
      </c>
      <c r="AE29" s="126">
        <f t="shared" si="78"/>
        <v>2.2800000000000001E-2</v>
      </c>
      <c r="AF29" s="126">
        <f t="shared" si="79"/>
        <v>2.2800000000000001E-2</v>
      </c>
      <c r="AG29" s="126">
        <f t="shared" si="80"/>
        <v>2.2800000000000001E-2</v>
      </c>
      <c r="AH29" s="126">
        <f t="shared" si="81"/>
        <v>2.2800000000000001E-2</v>
      </c>
      <c r="AI29" s="126">
        <f t="shared" si="30"/>
        <v>2.2800000000000001E-2</v>
      </c>
      <c r="AJ29" s="126">
        <f t="shared" si="31"/>
        <v>2.2800000000000001E-2</v>
      </c>
      <c r="AK29" s="126">
        <f t="shared" si="32"/>
        <v>2.2800000000000001E-2</v>
      </c>
      <c r="AL29" s="126">
        <f t="shared" si="33"/>
        <v>2.2800000000000001E-2</v>
      </c>
      <c r="AM29" s="126">
        <f t="shared" si="34"/>
        <v>2.2800000000000001E-2</v>
      </c>
      <c r="AN29" s="126">
        <f t="shared" si="35"/>
        <v>2.2800000000000001E-2</v>
      </c>
      <c r="AO29" s="126">
        <f t="shared" si="36"/>
        <v>2.2800000000000001E-2</v>
      </c>
      <c r="AP29" s="126">
        <f t="shared" si="37"/>
        <v>2.2800000000000001E-2</v>
      </c>
      <c r="AQ29" s="126">
        <f t="shared" si="38"/>
        <v>2.2800000000000001E-2</v>
      </c>
      <c r="AR29" s="126">
        <f t="shared" si="38"/>
        <v>2.2800000000000001E-2</v>
      </c>
      <c r="AS29" s="126">
        <f t="shared" si="39"/>
        <v>2.2800000000000001E-2</v>
      </c>
      <c r="AT29" s="126">
        <f t="shared" si="40"/>
        <v>2.2800000000000001E-2</v>
      </c>
      <c r="AU29" s="126">
        <f t="shared" si="41"/>
        <v>2.2800000000000001E-2</v>
      </c>
      <c r="AV29" s="126">
        <f t="shared" si="42"/>
        <v>2.2800000000000001E-2</v>
      </c>
      <c r="AW29" s="126">
        <f t="shared" si="43"/>
        <v>2.2800000000000001E-2</v>
      </c>
      <c r="AX29" s="126">
        <f t="shared" si="44"/>
        <v>2.2800000000000001E-2</v>
      </c>
      <c r="AY29" s="126">
        <f t="shared" si="45"/>
        <v>2.2800000000000001E-2</v>
      </c>
      <c r="AZ29" s="126">
        <f t="shared" si="46"/>
        <v>2.2800000000000001E-2</v>
      </c>
      <c r="BA29" s="126">
        <f t="shared" si="47"/>
        <v>2.2800000000000001E-2</v>
      </c>
      <c r="BB29" s="126">
        <f t="shared" si="48"/>
        <v>2.2800000000000001E-2</v>
      </c>
      <c r="BC29" s="126">
        <f t="shared" si="49"/>
        <v>2.2800000000000001E-2</v>
      </c>
      <c r="BD29" s="126">
        <f t="shared" si="50"/>
        <v>2.2800000000000001E-2</v>
      </c>
    </row>
    <row r="30" spans="1:56" ht="20.399999999999999" customHeight="1">
      <c r="B30" s="6" t="s">
        <v>2831</v>
      </c>
      <c r="C30" s="125" t="s">
        <v>173</v>
      </c>
      <c r="D30" s="126">
        <f t="shared" si="51"/>
        <v>2.2800000000000001E-2</v>
      </c>
      <c r="E30" s="126">
        <f t="shared" si="52"/>
        <v>2.2800000000000001E-2</v>
      </c>
      <c r="F30" s="126">
        <f t="shared" si="53"/>
        <v>2.2800000000000001E-2</v>
      </c>
      <c r="G30" s="126">
        <f t="shared" si="54"/>
        <v>2.2800000000000001E-2</v>
      </c>
      <c r="H30" s="126">
        <f t="shared" si="55"/>
        <v>2.2800000000000001E-2</v>
      </c>
      <c r="I30" s="126">
        <f t="shared" si="56"/>
        <v>2.2800000000000001E-2</v>
      </c>
      <c r="J30" s="126">
        <f t="shared" si="57"/>
        <v>3.3000000000000002E-2</v>
      </c>
      <c r="K30" s="126">
        <f t="shared" si="58"/>
        <v>0.02</v>
      </c>
      <c r="L30" s="126">
        <f t="shared" si="59"/>
        <v>1.6E-2</v>
      </c>
      <c r="M30" s="126">
        <f t="shared" si="60"/>
        <v>1.6E-2</v>
      </c>
      <c r="N30" s="126">
        <f t="shared" si="61"/>
        <v>2.9000000000000001E-2</v>
      </c>
      <c r="O30" s="126">
        <f t="shared" si="62"/>
        <v>2.2800000000000001E-2</v>
      </c>
      <c r="P30" s="126">
        <f t="shared" si="63"/>
        <v>2.2800000000000001E-2</v>
      </c>
      <c r="Q30" s="126">
        <f t="shared" si="64"/>
        <v>2.2800000000000001E-2</v>
      </c>
      <c r="R30" s="126">
        <f t="shared" si="65"/>
        <v>2.2800000000000001E-2</v>
      </c>
      <c r="S30" s="126">
        <f t="shared" si="66"/>
        <v>2.2800000000000001E-2</v>
      </c>
      <c r="T30" s="126">
        <f t="shared" si="67"/>
        <v>2.2800000000000001E-2</v>
      </c>
      <c r="U30" s="126">
        <f t="shared" si="68"/>
        <v>2.2800000000000001E-2</v>
      </c>
      <c r="V30" s="126">
        <f t="shared" si="69"/>
        <v>2.2800000000000001E-2</v>
      </c>
      <c r="W30" s="126">
        <f t="shared" si="70"/>
        <v>2.2800000000000001E-2</v>
      </c>
      <c r="X30" s="126">
        <f t="shared" si="71"/>
        <v>2.2800000000000001E-2</v>
      </c>
      <c r="Y30" s="126">
        <f t="shared" si="72"/>
        <v>2.2800000000000001E-2</v>
      </c>
      <c r="Z30" s="126">
        <f t="shared" si="73"/>
        <v>2.2800000000000001E-2</v>
      </c>
      <c r="AA30" s="126">
        <f t="shared" si="74"/>
        <v>2.2800000000000001E-2</v>
      </c>
      <c r="AB30" s="126">
        <f t="shared" si="75"/>
        <v>2.2800000000000001E-2</v>
      </c>
      <c r="AC30" s="126">
        <f t="shared" si="76"/>
        <v>2.2800000000000001E-2</v>
      </c>
      <c r="AD30" s="126">
        <f t="shared" si="77"/>
        <v>2.2800000000000001E-2</v>
      </c>
      <c r="AE30" s="126">
        <f t="shared" si="78"/>
        <v>2.2800000000000001E-2</v>
      </c>
      <c r="AF30" s="126">
        <f t="shared" si="79"/>
        <v>2.2800000000000001E-2</v>
      </c>
      <c r="AG30" s="126">
        <f t="shared" si="80"/>
        <v>2.2800000000000001E-2</v>
      </c>
      <c r="AH30" s="126">
        <f t="shared" si="81"/>
        <v>2.2800000000000001E-2</v>
      </c>
      <c r="AI30" s="126">
        <f t="shared" si="30"/>
        <v>2.2800000000000001E-2</v>
      </c>
      <c r="AJ30" s="126">
        <f t="shared" si="31"/>
        <v>2.2800000000000001E-2</v>
      </c>
      <c r="AK30" s="126">
        <f t="shared" si="32"/>
        <v>2.2800000000000001E-2</v>
      </c>
      <c r="AL30" s="126">
        <f t="shared" si="33"/>
        <v>2.2800000000000001E-2</v>
      </c>
      <c r="AM30" s="126">
        <f t="shared" si="34"/>
        <v>2.2800000000000001E-2</v>
      </c>
      <c r="AN30" s="126">
        <f t="shared" si="35"/>
        <v>2.2800000000000001E-2</v>
      </c>
      <c r="AO30" s="126">
        <f t="shared" si="36"/>
        <v>2.2800000000000001E-2</v>
      </c>
      <c r="AP30" s="126">
        <f t="shared" si="37"/>
        <v>2.2800000000000001E-2</v>
      </c>
      <c r="AQ30" s="126">
        <f t="shared" si="38"/>
        <v>2.2800000000000001E-2</v>
      </c>
      <c r="AR30" s="126">
        <f t="shared" si="38"/>
        <v>2.2800000000000001E-2</v>
      </c>
      <c r="AS30" s="126">
        <f t="shared" si="39"/>
        <v>2.2800000000000001E-2</v>
      </c>
      <c r="AT30" s="126">
        <f t="shared" si="40"/>
        <v>2.2800000000000001E-2</v>
      </c>
      <c r="AU30" s="126">
        <f t="shared" si="41"/>
        <v>2.2800000000000001E-2</v>
      </c>
      <c r="AV30" s="126">
        <f t="shared" si="42"/>
        <v>2.2800000000000001E-2</v>
      </c>
      <c r="AW30" s="126">
        <f t="shared" si="43"/>
        <v>2.2800000000000001E-2</v>
      </c>
      <c r="AX30" s="126">
        <f t="shared" si="44"/>
        <v>2.2800000000000001E-2</v>
      </c>
      <c r="AY30" s="126">
        <f t="shared" si="45"/>
        <v>2.2800000000000001E-2</v>
      </c>
      <c r="AZ30" s="126">
        <f t="shared" si="46"/>
        <v>2.2800000000000001E-2</v>
      </c>
      <c r="BA30" s="126">
        <f t="shared" si="47"/>
        <v>2.2800000000000001E-2</v>
      </c>
      <c r="BB30" s="126">
        <f t="shared" si="48"/>
        <v>2.2800000000000001E-2</v>
      </c>
      <c r="BC30" s="126">
        <f t="shared" si="49"/>
        <v>2.2800000000000001E-2</v>
      </c>
      <c r="BD30" s="126">
        <f t="shared" si="50"/>
        <v>2.2800000000000001E-2</v>
      </c>
    </row>
    <row r="31" spans="1:56" ht="20.399999999999999" customHeight="1">
      <c r="B31" s="6" t="s">
        <v>2832</v>
      </c>
      <c r="C31" s="125" t="s">
        <v>173</v>
      </c>
      <c r="D31" s="126">
        <f t="shared" si="51"/>
        <v>2.2800000000000001E-2</v>
      </c>
      <c r="E31" s="126">
        <f t="shared" si="52"/>
        <v>2.2800000000000001E-2</v>
      </c>
      <c r="F31" s="126">
        <f t="shared" si="53"/>
        <v>2.2800000000000001E-2</v>
      </c>
      <c r="G31" s="126">
        <f t="shared" si="54"/>
        <v>2.2800000000000001E-2</v>
      </c>
      <c r="H31" s="126">
        <f t="shared" si="55"/>
        <v>2.2800000000000001E-2</v>
      </c>
      <c r="I31" s="126">
        <f t="shared" si="56"/>
        <v>2.2800000000000001E-2</v>
      </c>
      <c r="J31" s="126">
        <f t="shared" si="57"/>
        <v>3.3000000000000002E-2</v>
      </c>
      <c r="K31" s="126">
        <f t="shared" si="58"/>
        <v>0.02</v>
      </c>
      <c r="L31" s="126">
        <f t="shared" si="59"/>
        <v>1.6E-2</v>
      </c>
      <c r="M31" s="126">
        <f t="shared" si="60"/>
        <v>1.6E-2</v>
      </c>
      <c r="N31" s="126">
        <f t="shared" si="61"/>
        <v>2.9000000000000001E-2</v>
      </c>
      <c r="O31" s="126">
        <f t="shared" si="62"/>
        <v>2.2800000000000001E-2</v>
      </c>
      <c r="P31" s="126">
        <f t="shared" si="63"/>
        <v>2.2800000000000001E-2</v>
      </c>
      <c r="Q31" s="126">
        <f t="shared" si="64"/>
        <v>2.2800000000000001E-2</v>
      </c>
      <c r="R31" s="126">
        <f t="shared" si="65"/>
        <v>2.2800000000000001E-2</v>
      </c>
      <c r="S31" s="126">
        <f t="shared" si="66"/>
        <v>2.2800000000000001E-2</v>
      </c>
      <c r="T31" s="126">
        <f t="shared" si="67"/>
        <v>2.2800000000000001E-2</v>
      </c>
      <c r="U31" s="126">
        <f t="shared" si="68"/>
        <v>2.2800000000000001E-2</v>
      </c>
      <c r="V31" s="126">
        <f t="shared" si="69"/>
        <v>2.2800000000000001E-2</v>
      </c>
      <c r="W31" s="126">
        <f t="shared" si="70"/>
        <v>2.2800000000000001E-2</v>
      </c>
      <c r="X31" s="126">
        <f t="shared" si="71"/>
        <v>2.2800000000000001E-2</v>
      </c>
      <c r="Y31" s="126">
        <f t="shared" si="72"/>
        <v>2.2800000000000001E-2</v>
      </c>
      <c r="Z31" s="126">
        <f t="shared" si="73"/>
        <v>2.2800000000000001E-2</v>
      </c>
      <c r="AA31" s="126">
        <f t="shared" si="74"/>
        <v>2.2800000000000001E-2</v>
      </c>
      <c r="AB31" s="126">
        <f t="shared" si="75"/>
        <v>2.2800000000000001E-2</v>
      </c>
      <c r="AC31" s="126">
        <f t="shared" si="76"/>
        <v>2.2800000000000001E-2</v>
      </c>
      <c r="AD31" s="126">
        <f t="shared" si="77"/>
        <v>2.2800000000000001E-2</v>
      </c>
      <c r="AE31" s="126">
        <f t="shared" si="78"/>
        <v>2.2800000000000001E-2</v>
      </c>
      <c r="AF31" s="126">
        <f t="shared" si="79"/>
        <v>2.2800000000000001E-2</v>
      </c>
      <c r="AG31" s="126">
        <f t="shared" si="80"/>
        <v>2.2800000000000001E-2</v>
      </c>
      <c r="AH31" s="126">
        <f t="shared" si="81"/>
        <v>2.2800000000000001E-2</v>
      </c>
      <c r="AI31" s="126">
        <f t="shared" si="30"/>
        <v>2.2800000000000001E-2</v>
      </c>
      <c r="AJ31" s="126">
        <f t="shared" si="31"/>
        <v>2.2800000000000001E-2</v>
      </c>
      <c r="AK31" s="126">
        <f t="shared" si="32"/>
        <v>2.2800000000000001E-2</v>
      </c>
      <c r="AL31" s="126">
        <f t="shared" si="33"/>
        <v>2.2800000000000001E-2</v>
      </c>
      <c r="AM31" s="126">
        <f t="shared" si="34"/>
        <v>2.2800000000000001E-2</v>
      </c>
      <c r="AN31" s="126">
        <f t="shared" si="35"/>
        <v>2.2800000000000001E-2</v>
      </c>
      <c r="AO31" s="126">
        <f t="shared" si="36"/>
        <v>2.2800000000000001E-2</v>
      </c>
      <c r="AP31" s="126">
        <f t="shared" si="37"/>
        <v>2.2800000000000001E-2</v>
      </c>
      <c r="AQ31" s="126">
        <f t="shared" si="38"/>
        <v>2.2800000000000001E-2</v>
      </c>
      <c r="AR31" s="126">
        <f t="shared" si="38"/>
        <v>2.2800000000000001E-2</v>
      </c>
      <c r="AS31" s="126">
        <f t="shared" si="39"/>
        <v>2.2800000000000001E-2</v>
      </c>
      <c r="AT31" s="126">
        <f t="shared" si="40"/>
        <v>2.2800000000000001E-2</v>
      </c>
      <c r="AU31" s="126">
        <f t="shared" si="41"/>
        <v>2.2800000000000001E-2</v>
      </c>
      <c r="AV31" s="126">
        <f t="shared" si="42"/>
        <v>2.2800000000000001E-2</v>
      </c>
      <c r="AW31" s="126">
        <f t="shared" si="43"/>
        <v>2.2800000000000001E-2</v>
      </c>
      <c r="AX31" s="126">
        <f t="shared" si="44"/>
        <v>2.2800000000000001E-2</v>
      </c>
      <c r="AY31" s="126">
        <f t="shared" si="45"/>
        <v>2.2800000000000001E-2</v>
      </c>
      <c r="AZ31" s="126">
        <f t="shared" si="46"/>
        <v>2.2800000000000001E-2</v>
      </c>
      <c r="BA31" s="126">
        <f t="shared" si="47"/>
        <v>2.2800000000000001E-2</v>
      </c>
      <c r="BB31" s="126">
        <f t="shared" si="48"/>
        <v>2.2800000000000001E-2</v>
      </c>
      <c r="BC31" s="126">
        <f t="shared" si="49"/>
        <v>2.2800000000000001E-2</v>
      </c>
      <c r="BD31" s="126">
        <f t="shared" si="50"/>
        <v>2.2800000000000001E-2</v>
      </c>
    </row>
    <row r="32" spans="1:56" ht="20.399999999999999" customHeight="1">
      <c r="B32" s="6" t="s">
        <v>11</v>
      </c>
      <c r="C32" s="125" t="s">
        <v>173</v>
      </c>
      <c r="D32" s="126">
        <f t="shared" si="51"/>
        <v>2.2800000000000001E-2</v>
      </c>
      <c r="E32" s="126">
        <f t="shared" si="52"/>
        <v>2.2800000000000001E-2</v>
      </c>
      <c r="F32" s="126">
        <f t="shared" si="53"/>
        <v>2.2800000000000001E-2</v>
      </c>
      <c r="G32" s="126">
        <f t="shared" si="54"/>
        <v>2.2800000000000001E-2</v>
      </c>
      <c r="H32" s="126">
        <f t="shared" si="55"/>
        <v>2.2800000000000001E-2</v>
      </c>
      <c r="I32" s="126">
        <f t="shared" si="56"/>
        <v>2.2800000000000001E-2</v>
      </c>
      <c r="J32" s="126">
        <f t="shared" si="57"/>
        <v>3.3000000000000002E-2</v>
      </c>
      <c r="K32" s="126">
        <f t="shared" si="58"/>
        <v>0.02</v>
      </c>
      <c r="L32" s="126">
        <f t="shared" si="59"/>
        <v>1.6E-2</v>
      </c>
      <c r="M32" s="126">
        <f t="shared" si="60"/>
        <v>1.6E-2</v>
      </c>
      <c r="N32" s="126">
        <f t="shared" si="61"/>
        <v>2.9000000000000001E-2</v>
      </c>
      <c r="O32" s="126">
        <f t="shared" si="62"/>
        <v>2.2800000000000001E-2</v>
      </c>
      <c r="P32" s="126">
        <f t="shared" si="63"/>
        <v>2.2800000000000001E-2</v>
      </c>
      <c r="Q32" s="126">
        <f t="shared" si="64"/>
        <v>2.2800000000000001E-2</v>
      </c>
      <c r="R32" s="126">
        <f t="shared" si="65"/>
        <v>2.2800000000000001E-2</v>
      </c>
      <c r="S32" s="126">
        <f t="shared" si="66"/>
        <v>2.2800000000000001E-2</v>
      </c>
      <c r="T32" s="126">
        <f t="shared" si="67"/>
        <v>2.2800000000000001E-2</v>
      </c>
      <c r="U32" s="126">
        <f t="shared" si="68"/>
        <v>2.2800000000000001E-2</v>
      </c>
      <c r="V32" s="126">
        <f t="shared" si="69"/>
        <v>2.2800000000000001E-2</v>
      </c>
      <c r="W32" s="126">
        <f t="shared" si="70"/>
        <v>2.2800000000000001E-2</v>
      </c>
      <c r="X32" s="126">
        <f t="shared" si="71"/>
        <v>2.2800000000000001E-2</v>
      </c>
      <c r="Y32" s="126">
        <f t="shared" si="72"/>
        <v>2.2800000000000001E-2</v>
      </c>
      <c r="Z32" s="126">
        <f t="shared" si="73"/>
        <v>2.2800000000000001E-2</v>
      </c>
      <c r="AA32" s="126">
        <f t="shared" si="74"/>
        <v>2.2800000000000001E-2</v>
      </c>
      <c r="AB32" s="126">
        <f t="shared" si="75"/>
        <v>2.2800000000000001E-2</v>
      </c>
      <c r="AC32" s="126">
        <f t="shared" si="76"/>
        <v>2.2800000000000001E-2</v>
      </c>
      <c r="AD32" s="126">
        <f t="shared" si="77"/>
        <v>2.2800000000000001E-2</v>
      </c>
      <c r="AE32" s="126">
        <f t="shared" si="78"/>
        <v>2.2800000000000001E-2</v>
      </c>
      <c r="AF32" s="126">
        <f t="shared" si="79"/>
        <v>2.2800000000000001E-2</v>
      </c>
      <c r="AG32" s="126">
        <f t="shared" si="80"/>
        <v>2.2800000000000001E-2</v>
      </c>
      <c r="AH32" s="126">
        <f t="shared" si="81"/>
        <v>2.2800000000000001E-2</v>
      </c>
      <c r="AI32" s="126">
        <f t="shared" si="30"/>
        <v>2.2800000000000001E-2</v>
      </c>
      <c r="AJ32" s="126">
        <f t="shared" si="31"/>
        <v>2.2800000000000001E-2</v>
      </c>
      <c r="AK32" s="126">
        <f t="shared" si="32"/>
        <v>2.2800000000000001E-2</v>
      </c>
      <c r="AL32" s="126">
        <f t="shared" si="33"/>
        <v>2.2800000000000001E-2</v>
      </c>
      <c r="AM32" s="126">
        <f t="shared" si="34"/>
        <v>2.2800000000000001E-2</v>
      </c>
      <c r="AN32" s="126">
        <f t="shared" si="35"/>
        <v>2.2800000000000001E-2</v>
      </c>
      <c r="AO32" s="126">
        <f t="shared" si="36"/>
        <v>2.2800000000000001E-2</v>
      </c>
      <c r="AP32" s="126">
        <f t="shared" si="37"/>
        <v>2.2800000000000001E-2</v>
      </c>
      <c r="AQ32" s="126">
        <f t="shared" si="38"/>
        <v>2.2800000000000001E-2</v>
      </c>
      <c r="AR32" s="126">
        <f t="shared" si="38"/>
        <v>2.2800000000000001E-2</v>
      </c>
      <c r="AS32" s="126">
        <f t="shared" si="39"/>
        <v>2.2800000000000001E-2</v>
      </c>
      <c r="AT32" s="126">
        <f t="shared" si="40"/>
        <v>2.2800000000000001E-2</v>
      </c>
      <c r="AU32" s="126">
        <f t="shared" si="41"/>
        <v>2.2800000000000001E-2</v>
      </c>
      <c r="AV32" s="126">
        <f t="shared" si="42"/>
        <v>2.2800000000000001E-2</v>
      </c>
      <c r="AW32" s="126">
        <f t="shared" si="43"/>
        <v>2.2800000000000001E-2</v>
      </c>
      <c r="AX32" s="126">
        <f t="shared" si="44"/>
        <v>2.2800000000000001E-2</v>
      </c>
      <c r="AY32" s="126">
        <f t="shared" si="45"/>
        <v>2.2800000000000001E-2</v>
      </c>
      <c r="AZ32" s="126">
        <f t="shared" si="46"/>
        <v>2.2800000000000001E-2</v>
      </c>
      <c r="BA32" s="126">
        <f t="shared" si="47"/>
        <v>2.2800000000000001E-2</v>
      </c>
      <c r="BB32" s="126">
        <f t="shared" si="48"/>
        <v>2.2800000000000001E-2</v>
      </c>
      <c r="BC32" s="126">
        <f t="shared" si="49"/>
        <v>2.2800000000000001E-2</v>
      </c>
      <c r="BD32" s="126">
        <f t="shared" si="50"/>
        <v>2.2800000000000001E-2</v>
      </c>
    </row>
    <row r="33" spans="2:56" ht="20.399999999999999" customHeight="1">
      <c r="B33" s="6" t="s">
        <v>103</v>
      </c>
      <c r="C33" s="125" t="s">
        <v>170</v>
      </c>
      <c r="D33" s="126">
        <f t="shared" si="51"/>
        <v>1.9000000000000003E-2</v>
      </c>
      <c r="E33" s="126">
        <f t="shared" si="52"/>
        <v>1.9000000000000003E-2</v>
      </c>
      <c r="F33" s="126">
        <f t="shared" si="53"/>
        <v>1.9000000000000003E-2</v>
      </c>
      <c r="G33" s="126">
        <f t="shared" si="54"/>
        <v>1.9000000000000003E-2</v>
      </c>
      <c r="H33" s="126">
        <f t="shared" si="55"/>
        <v>1.9000000000000003E-2</v>
      </c>
      <c r="I33" s="126">
        <f t="shared" si="56"/>
        <v>1.9000000000000003E-2</v>
      </c>
      <c r="J33" s="126">
        <f t="shared" si="57"/>
        <v>1.7000000000000001E-2</v>
      </c>
      <c r="K33" s="126">
        <f t="shared" si="58"/>
        <v>1.7999999999999999E-2</v>
      </c>
      <c r="L33" s="126">
        <f t="shared" si="59"/>
        <v>2.1000000000000001E-2</v>
      </c>
      <c r="M33" s="126">
        <f t="shared" si="60"/>
        <v>1.9E-2</v>
      </c>
      <c r="N33" s="126">
        <f t="shared" si="61"/>
        <v>0.02</v>
      </c>
      <c r="O33" s="126">
        <f t="shared" si="62"/>
        <v>1.9000000000000003E-2</v>
      </c>
      <c r="P33" s="126">
        <f t="shared" si="63"/>
        <v>1.9000000000000003E-2</v>
      </c>
      <c r="Q33" s="126">
        <f t="shared" si="64"/>
        <v>1.9000000000000003E-2</v>
      </c>
      <c r="R33" s="126">
        <f t="shared" si="65"/>
        <v>1.9000000000000003E-2</v>
      </c>
      <c r="S33" s="126">
        <f t="shared" si="66"/>
        <v>1.9000000000000003E-2</v>
      </c>
      <c r="T33" s="126">
        <f t="shared" si="67"/>
        <v>1.9000000000000003E-2</v>
      </c>
      <c r="U33" s="126">
        <f t="shared" si="68"/>
        <v>1.9000000000000003E-2</v>
      </c>
      <c r="V33" s="126">
        <f t="shared" si="69"/>
        <v>1.9000000000000003E-2</v>
      </c>
      <c r="W33" s="126">
        <f t="shared" si="70"/>
        <v>1.9000000000000003E-2</v>
      </c>
      <c r="X33" s="126">
        <f t="shared" si="71"/>
        <v>1.9000000000000003E-2</v>
      </c>
      <c r="Y33" s="126">
        <f t="shared" si="72"/>
        <v>1.9000000000000003E-2</v>
      </c>
      <c r="Z33" s="126">
        <f t="shared" si="73"/>
        <v>1.9000000000000003E-2</v>
      </c>
      <c r="AA33" s="126">
        <f t="shared" si="74"/>
        <v>1.9000000000000003E-2</v>
      </c>
      <c r="AB33" s="126">
        <f t="shared" si="75"/>
        <v>1.9000000000000003E-2</v>
      </c>
      <c r="AC33" s="126">
        <f t="shared" si="76"/>
        <v>1.9000000000000003E-2</v>
      </c>
      <c r="AD33" s="126">
        <f t="shared" si="77"/>
        <v>1.9000000000000003E-2</v>
      </c>
      <c r="AE33" s="126">
        <f t="shared" si="78"/>
        <v>1.9000000000000003E-2</v>
      </c>
      <c r="AF33" s="126">
        <f t="shared" si="79"/>
        <v>1.9000000000000003E-2</v>
      </c>
      <c r="AG33" s="126">
        <f t="shared" si="80"/>
        <v>1.9000000000000003E-2</v>
      </c>
      <c r="AH33" s="126">
        <f t="shared" si="81"/>
        <v>1.9000000000000003E-2</v>
      </c>
      <c r="AI33" s="126">
        <f t="shared" si="30"/>
        <v>1.9000000000000003E-2</v>
      </c>
      <c r="AJ33" s="126">
        <f t="shared" si="31"/>
        <v>1.9000000000000003E-2</v>
      </c>
      <c r="AK33" s="126">
        <f t="shared" si="32"/>
        <v>1.9000000000000003E-2</v>
      </c>
      <c r="AL33" s="126">
        <f t="shared" si="33"/>
        <v>1.9000000000000003E-2</v>
      </c>
      <c r="AM33" s="126">
        <f t="shared" si="34"/>
        <v>1.9000000000000003E-2</v>
      </c>
      <c r="AN33" s="126">
        <f t="shared" si="35"/>
        <v>1.9000000000000003E-2</v>
      </c>
      <c r="AO33" s="126">
        <f t="shared" si="36"/>
        <v>1.9000000000000003E-2</v>
      </c>
      <c r="AP33" s="126">
        <f t="shared" si="37"/>
        <v>1.9000000000000003E-2</v>
      </c>
      <c r="AQ33" s="126">
        <f t="shared" si="38"/>
        <v>1.9000000000000003E-2</v>
      </c>
      <c r="AR33" s="126">
        <f t="shared" si="38"/>
        <v>1.9000000000000003E-2</v>
      </c>
      <c r="AS33" s="126">
        <f t="shared" si="39"/>
        <v>1.9000000000000003E-2</v>
      </c>
      <c r="AT33" s="126">
        <f t="shared" si="40"/>
        <v>1.9000000000000003E-2</v>
      </c>
      <c r="AU33" s="126">
        <f t="shared" si="41"/>
        <v>1.9000000000000003E-2</v>
      </c>
      <c r="AV33" s="126">
        <f t="shared" si="42"/>
        <v>1.9000000000000003E-2</v>
      </c>
      <c r="AW33" s="126">
        <f t="shared" si="43"/>
        <v>1.9000000000000003E-2</v>
      </c>
      <c r="AX33" s="126">
        <f t="shared" si="44"/>
        <v>1.9000000000000003E-2</v>
      </c>
      <c r="AY33" s="126">
        <f t="shared" si="45"/>
        <v>1.9000000000000003E-2</v>
      </c>
      <c r="AZ33" s="126">
        <f t="shared" si="46"/>
        <v>1.9000000000000003E-2</v>
      </c>
      <c r="BA33" s="126">
        <f t="shared" si="47"/>
        <v>1.9000000000000003E-2</v>
      </c>
      <c r="BB33" s="126">
        <f t="shared" si="48"/>
        <v>1.9000000000000003E-2</v>
      </c>
      <c r="BC33" s="126">
        <f t="shared" si="49"/>
        <v>1.9000000000000003E-2</v>
      </c>
      <c r="BD33" s="126">
        <f t="shared" si="50"/>
        <v>1.9000000000000003E-2</v>
      </c>
    </row>
    <row r="34" spans="2:56" ht="20.399999999999999" customHeight="1">
      <c r="B34" s="6" t="s">
        <v>16</v>
      </c>
      <c r="C34" s="125" t="s">
        <v>173</v>
      </c>
      <c r="D34" s="126">
        <f t="shared" si="51"/>
        <v>2.2800000000000001E-2</v>
      </c>
      <c r="E34" s="126">
        <f t="shared" si="52"/>
        <v>2.2800000000000001E-2</v>
      </c>
      <c r="F34" s="126">
        <f t="shared" si="53"/>
        <v>2.2800000000000001E-2</v>
      </c>
      <c r="G34" s="126">
        <f t="shared" si="54"/>
        <v>2.2800000000000001E-2</v>
      </c>
      <c r="H34" s="126">
        <f t="shared" si="55"/>
        <v>2.2800000000000001E-2</v>
      </c>
      <c r="I34" s="126">
        <f t="shared" si="56"/>
        <v>2.2800000000000001E-2</v>
      </c>
      <c r="J34" s="126">
        <f t="shared" si="57"/>
        <v>3.3000000000000002E-2</v>
      </c>
      <c r="K34" s="126">
        <f t="shared" si="58"/>
        <v>0.02</v>
      </c>
      <c r="L34" s="126">
        <f t="shared" si="59"/>
        <v>1.6E-2</v>
      </c>
      <c r="M34" s="126">
        <f t="shared" si="60"/>
        <v>1.6E-2</v>
      </c>
      <c r="N34" s="126">
        <f t="shared" si="61"/>
        <v>2.9000000000000001E-2</v>
      </c>
      <c r="O34" s="126">
        <f t="shared" si="62"/>
        <v>2.2800000000000001E-2</v>
      </c>
      <c r="P34" s="126">
        <f t="shared" si="63"/>
        <v>2.2800000000000001E-2</v>
      </c>
      <c r="Q34" s="126">
        <f t="shared" si="64"/>
        <v>2.2800000000000001E-2</v>
      </c>
      <c r="R34" s="126">
        <f t="shared" si="65"/>
        <v>2.2800000000000001E-2</v>
      </c>
      <c r="S34" s="126">
        <f t="shared" si="66"/>
        <v>2.2800000000000001E-2</v>
      </c>
      <c r="T34" s="126">
        <f t="shared" si="67"/>
        <v>2.2800000000000001E-2</v>
      </c>
      <c r="U34" s="126">
        <f t="shared" si="68"/>
        <v>2.2800000000000001E-2</v>
      </c>
      <c r="V34" s="126">
        <f t="shared" si="69"/>
        <v>2.2800000000000001E-2</v>
      </c>
      <c r="W34" s="126">
        <f t="shared" si="70"/>
        <v>2.2800000000000001E-2</v>
      </c>
      <c r="X34" s="126">
        <f t="shared" si="71"/>
        <v>2.2800000000000001E-2</v>
      </c>
      <c r="Y34" s="126">
        <f t="shared" si="72"/>
        <v>2.2800000000000001E-2</v>
      </c>
      <c r="Z34" s="126">
        <f t="shared" si="73"/>
        <v>2.2800000000000001E-2</v>
      </c>
      <c r="AA34" s="126">
        <f t="shared" si="74"/>
        <v>2.2800000000000001E-2</v>
      </c>
      <c r="AB34" s="126">
        <f t="shared" si="75"/>
        <v>2.2800000000000001E-2</v>
      </c>
      <c r="AC34" s="126">
        <f t="shared" si="76"/>
        <v>2.2800000000000001E-2</v>
      </c>
      <c r="AD34" s="126">
        <f t="shared" si="77"/>
        <v>2.2800000000000001E-2</v>
      </c>
      <c r="AE34" s="126">
        <f t="shared" si="78"/>
        <v>2.2800000000000001E-2</v>
      </c>
      <c r="AF34" s="126">
        <f t="shared" si="79"/>
        <v>2.2800000000000001E-2</v>
      </c>
      <c r="AG34" s="126">
        <f t="shared" si="80"/>
        <v>2.2800000000000001E-2</v>
      </c>
      <c r="AH34" s="126">
        <f t="shared" si="81"/>
        <v>2.2800000000000001E-2</v>
      </c>
      <c r="AI34" s="126">
        <f t="shared" si="30"/>
        <v>2.2800000000000001E-2</v>
      </c>
      <c r="AJ34" s="126">
        <f t="shared" si="31"/>
        <v>2.2800000000000001E-2</v>
      </c>
      <c r="AK34" s="126">
        <f t="shared" si="32"/>
        <v>2.2800000000000001E-2</v>
      </c>
      <c r="AL34" s="126">
        <f t="shared" si="33"/>
        <v>2.2800000000000001E-2</v>
      </c>
      <c r="AM34" s="126">
        <f t="shared" si="34"/>
        <v>2.2800000000000001E-2</v>
      </c>
      <c r="AN34" s="126">
        <f t="shared" si="35"/>
        <v>2.2800000000000001E-2</v>
      </c>
      <c r="AO34" s="126">
        <f t="shared" si="36"/>
        <v>2.2800000000000001E-2</v>
      </c>
      <c r="AP34" s="126">
        <f t="shared" si="37"/>
        <v>2.2800000000000001E-2</v>
      </c>
      <c r="AQ34" s="126">
        <f t="shared" si="38"/>
        <v>2.2800000000000001E-2</v>
      </c>
      <c r="AR34" s="126">
        <f t="shared" si="38"/>
        <v>2.2800000000000001E-2</v>
      </c>
      <c r="AS34" s="126">
        <f t="shared" si="39"/>
        <v>2.2800000000000001E-2</v>
      </c>
      <c r="AT34" s="126">
        <f t="shared" si="40"/>
        <v>2.2800000000000001E-2</v>
      </c>
      <c r="AU34" s="126">
        <f t="shared" si="41"/>
        <v>2.2800000000000001E-2</v>
      </c>
      <c r="AV34" s="126">
        <f t="shared" si="42"/>
        <v>2.2800000000000001E-2</v>
      </c>
      <c r="AW34" s="126">
        <f t="shared" si="43"/>
        <v>2.2800000000000001E-2</v>
      </c>
      <c r="AX34" s="126">
        <f t="shared" si="44"/>
        <v>2.2800000000000001E-2</v>
      </c>
      <c r="AY34" s="126">
        <f t="shared" si="45"/>
        <v>2.2800000000000001E-2</v>
      </c>
      <c r="AZ34" s="126">
        <f t="shared" si="46"/>
        <v>2.2800000000000001E-2</v>
      </c>
      <c r="BA34" s="126">
        <f t="shared" si="47"/>
        <v>2.2800000000000001E-2</v>
      </c>
      <c r="BB34" s="126">
        <f t="shared" si="48"/>
        <v>2.2800000000000001E-2</v>
      </c>
      <c r="BC34" s="126">
        <f t="shared" si="49"/>
        <v>2.2800000000000001E-2</v>
      </c>
      <c r="BD34" s="126">
        <f t="shared" si="50"/>
        <v>2.2800000000000001E-2</v>
      </c>
    </row>
    <row r="35" spans="2:56" ht="20.399999999999999" customHeight="1">
      <c r="B35" s="6" t="s">
        <v>110</v>
      </c>
      <c r="C35" s="125" t="s">
        <v>170</v>
      </c>
      <c r="D35" s="126">
        <f t="shared" si="51"/>
        <v>1.9000000000000003E-2</v>
      </c>
      <c r="E35" s="126">
        <f t="shared" si="52"/>
        <v>1.9000000000000003E-2</v>
      </c>
      <c r="F35" s="126">
        <f t="shared" si="53"/>
        <v>1.9000000000000003E-2</v>
      </c>
      <c r="G35" s="126">
        <f t="shared" si="54"/>
        <v>1.9000000000000003E-2</v>
      </c>
      <c r="H35" s="126">
        <f t="shared" si="55"/>
        <v>1.9000000000000003E-2</v>
      </c>
      <c r="I35" s="126">
        <f t="shared" si="56"/>
        <v>1.9000000000000003E-2</v>
      </c>
      <c r="J35" s="126">
        <f t="shared" si="57"/>
        <v>1.7000000000000001E-2</v>
      </c>
      <c r="K35" s="126">
        <f t="shared" si="58"/>
        <v>1.7999999999999999E-2</v>
      </c>
      <c r="L35" s="126">
        <f t="shared" si="59"/>
        <v>2.1000000000000001E-2</v>
      </c>
      <c r="M35" s="126">
        <f t="shared" si="60"/>
        <v>1.9E-2</v>
      </c>
      <c r="N35" s="126">
        <f t="shared" si="61"/>
        <v>0.02</v>
      </c>
      <c r="O35" s="126">
        <f t="shared" si="62"/>
        <v>1.9000000000000003E-2</v>
      </c>
      <c r="P35" s="126">
        <f t="shared" si="63"/>
        <v>1.9000000000000003E-2</v>
      </c>
      <c r="Q35" s="126">
        <f t="shared" si="64"/>
        <v>1.9000000000000003E-2</v>
      </c>
      <c r="R35" s="126">
        <f t="shared" si="65"/>
        <v>1.9000000000000003E-2</v>
      </c>
      <c r="S35" s="126">
        <f t="shared" si="66"/>
        <v>1.9000000000000003E-2</v>
      </c>
      <c r="T35" s="126">
        <f t="shared" si="67"/>
        <v>1.9000000000000003E-2</v>
      </c>
      <c r="U35" s="126">
        <f t="shared" si="68"/>
        <v>1.9000000000000003E-2</v>
      </c>
      <c r="V35" s="126">
        <f t="shared" si="69"/>
        <v>1.9000000000000003E-2</v>
      </c>
      <c r="W35" s="126">
        <f t="shared" si="70"/>
        <v>1.9000000000000003E-2</v>
      </c>
      <c r="X35" s="126">
        <f t="shared" si="71"/>
        <v>1.9000000000000003E-2</v>
      </c>
      <c r="Y35" s="126">
        <f t="shared" si="72"/>
        <v>1.9000000000000003E-2</v>
      </c>
      <c r="Z35" s="126">
        <f t="shared" si="73"/>
        <v>1.9000000000000003E-2</v>
      </c>
      <c r="AA35" s="126">
        <f t="shared" si="74"/>
        <v>1.9000000000000003E-2</v>
      </c>
      <c r="AB35" s="126">
        <f t="shared" si="75"/>
        <v>1.9000000000000003E-2</v>
      </c>
      <c r="AC35" s="126">
        <f t="shared" si="76"/>
        <v>1.9000000000000003E-2</v>
      </c>
      <c r="AD35" s="126">
        <f t="shared" si="77"/>
        <v>1.9000000000000003E-2</v>
      </c>
      <c r="AE35" s="126">
        <f t="shared" si="78"/>
        <v>1.9000000000000003E-2</v>
      </c>
      <c r="AF35" s="126">
        <f t="shared" si="79"/>
        <v>1.9000000000000003E-2</v>
      </c>
      <c r="AG35" s="126">
        <f t="shared" si="80"/>
        <v>1.9000000000000003E-2</v>
      </c>
      <c r="AH35" s="126">
        <f t="shared" si="81"/>
        <v>1.9000000000000003E-2</v>
      </c>
      <c r="AI35" s="126">
        <f t="shared" si="30"/>
        <v>1.9000000000000003E-2</v>
      </c>
      <c r="AJ35" s="126">
        <f t="shared" si="31"/>
        <v>1.9000000000000003E-2</v>
      </c>
      <c r="AK35" s="126">
        <f t="shared" si="32"/>
        <v>1.9000000000000003E-2</v>
      </c>
      <c r="AL35" s="126">
        <f t="shared" si="33"/>
        <v>1.9000000000000003E-2</v>
      </c>
      <c r="AM35" s="126">
        <f t="shared" si="34"/>
        <v>1.9000000000000003E-2</v>
      </c>
      <c r="AN35" s="126">
        <f t="shared" si="35"/>
        <v>1.9000000000000003E-2</v>
      </c>
      <c r="AO35" s="126">
        <f t="shared" si="36"/>
        <v>1.9000000000000003E-2</v>
      </c>
      <c r="AP35" s="126">
        <f t="shared" si="37"/>
        <v>1.9000000000000003E-2</v>
      </c>
      <c r="AQ35" s="126">
        <f t="shared" si="38"/>
        <v>1.9000000000000003E-2</v>
      </c>
      <c r="AR35" s="126">
        <f t="shared" si="38"/>
        <v>1.9000000000000003E-2</v>
      </c>
      <c r="AS35" s="126">
        <f t="shared" si="39"/>
        <v>1.9000000000000003E-2</v>
      </c>
      <c r="AT35" s="126">
        <f t="shared" si="40"/>
        <v>1.9000000000000003E-2</v>
      </c>
      <c r="AU35" s="126">
        <f t="shared" si="41"/>
        <v>1.9000000000000003E-2</v>
      </c>
      <c r="AV35" s="126">
        <f t="shared" si="42"/>
        <v>1.9000000000000003E-2</v>
      </c>
      <c r="AW35" s="126">
        <f t="shared" si="43"/>
        <v>1.9000000000000003E-2</v>
      </c>
      <c r="AX35" s="126">
        <f t="shared" si="44"/>
        <v>1.9000000000000003E-2</v>
      </c>
      <c r="AY35" s="126">
        <f t="shared" si="45"/>
        <v>1.9000000000000003E-2</v>
      </c>
      <c r="AZ35" s="126">
        <f t="shared" si="46"/>
        <v>1.9000000000000003E-2</v>
      </c>
      <c r="BA35" s="126">
        <f t="shared" si="47"/>
        <v>1.9000000000000003E-2</v>
      </c>
      <c r="BB35" s="126">
        <f t="shared" si="48"/>
        <v>1.9000000000000003E-2</v>
      </c>
      <c r="BC35" s="126">
        <f t="shared" si="49"/>
        <v>1.9000000000000003E-2</v>
      </c>
      <c r="BD35" s="126">
        <f t="shared" si="50"/>
        <v>1.9000000000000003E-2</v>
      </c>
    </row>
    <row r="36" spans="2:56" ht="20.399999999999999" customHeight="1">
      <c r="B36" s="6" t="s">
        <v>115</v>
      </c>
      <c r="C36" s="125" t="s">
        <v>173</v>
      </c>
      <c r="D36" s="126">
        <f t="shared" si="51"/>
        <v>2.2800000000000001E-2</v>
      </c>
      <c r="E36" s="126">
        <f t="shared" si="52"/>
        <v>2.2800000000000001E-2</v>
      </c>
      <c r="F36" s="126">
        <f t="shared" si="53"/>
        <v>2.2800000000000001E-2</v>
      </c>
      <c r="G36" s="126">
        <f t="shared" si="54"/>
        <v>2.2800000000000001E-2</v>
      </c>
      <c r="H36" s="126">
        <f t="shared" si="55"/>
        <v>2.2800000000000001E-2</v>
      </c>
      <c r="I36" s="126">
        <f t="shared" si="56"/>
        <v>2.2800000000000001E-2</v>
      </c>
      <c r="J36" s="126">
        <f t="shared" si="57"/>
        <v>3.3000000000000002E-2</v>
      </c>
      <c r="K36" s="126">
        <f t="shared" si="58"/>
        <v>0.02</v>
      </c>
      <c r="L36" s="126">
        <f t="shared" si="59"/>
        <v>1.6E-2</v>
      </c>
      <c r="M36" s="126">
        <f t="shared" si="60"/>
        <v>1.6E-2</v>
      </c>
      <c r="N36" s="126">
        <f t="shared" si="61"/>
        <v>2.9000000000000001E-2</v>
      </c>
      <c r="O36" s="126">
        <f t="shared" si="62"/>
        <v>2.2800000000000001E-2</v>
      </c>
      <c r="P36" s="126">
        <f t="shared" si="63"/>
        <v>2.2800000000000001E-2</v>
      </c>
      <c r="Q36" s="126">
        <f t="shared" si="64"/>
        <v>2.2800000000000001E-2</v>
      </c>
      <c r="R36" s="126">
        <f t="shared" si="65"/>
        <v>2.2800000000000001E-2</v>
      </c>
      <c r="S36" s="126">
        <f t="shared" si="66"/>
        <v>2.2800000000000001E-2</v>
      </c>
      <c r="T36" s="126">
        <f t="shared" si="67"/>
        <v>2.2800000000000001E-2</v>
      </c>
      <c r="U36" s="126">
        <f t="shared" si="68"/>
        <v>2.2800000000000001E-2</v>
      </c>
      <c r="V36" s="126">
        <f t="shared" si="69"/>
        <v>2.2800000000000001E-2</v>
      </c>
      <c r="W36" s="126">
        <f t="shared" si="70"/>
        <v>2.2800000000000001E-2</v>
      </c>
      <c r="X36" s="126">
        <f t="shared" si="71"/>
        <v>2.2800000000000001E-2</v>
      </c>
      <c r="Y36" s="126">
        <f t="shared" si="72"/>
        <v>2.2800000000000001E-2</v>
      </c>
      <c r="Z36" s="126">
        <f t="shared" si="73"/>
        <v>2.2800000000000001E-2</v>
      </c>
      <c r="AA36" s="126">
        <f t="shared" si="74"/>
        <v>2.2800000000000001E-2</v>
      </c>
      <c r="AB36" s="126">
        <f t="shared" si="75"/>
        <v>2.2800000000000001E-2</v>
      </c>
      <c r="AC36" s="126">
        <f t="shared" si="76"/>
        <v>2.2800000000000001E-2</v>
      </c>
      <c r="AD36" s="126">
        <f t="shared" si="77"/>
        <v>2.2800000000000001E-2</v>
      </c>
      <c r="AE36" s="126">
        <f t="shared" si="78"/>
        <v>2.2800000000000001E-2</v>
      </c>
      <c r="AF36" s="126">
        <f t="shared" si="79"/>
        <v>2.2800000000000001E-2</v>
      </c>
      <c r="AG36" s="126">
        <f t="shared" si="80"/>
        <v>2.2800000000000001E-2</v>
      </c>
      <c r="AH36" s="126">
        <f t="shared" si="81"/>
        <v>2.2800000000000001E-2</v>
      </c>
      <c r="AI36" s="126">
        <f t="shared" si="30"/>
        <v>2.2800000000000001E-2</v>
      </c>
      <c r="AJ36" s="126">
        <f t="shared" si="31"/>
        <v>2.2800000000000001E-2</v>
      </c>
      <c r="AK36" s="126">
        <f t="shared" si="32"/>
        <v>2.2800000000000001E-2</v>
      </c>
      <c r="AL36" s="126">
        <f t="shared" si="33"/>
        <v>2.2800000000000001E-2</v>
      </c>
      <c r="AM36" s="126">
        <f t="shared" si="34"/>
        <v>2.2800000000000001E-2</v>
      </c>
      <c r="AN36" s="126">
        <f t="shared" si="35"/>
        <v>2.2800000000000001E-2</v>
      </c>
      <c r="AO36" s="126">
        <f t="shared" si="36"/>
        <v>2.2800000000000001E-2</v>
      </c>
      <c r="AP36" s="126">
        <f t="shared" si="37"/>
        <v>2.2800000000000001E-2</v>
      </c>
      <c r="AQ36" s="126">
        <f t="shared" si="38"/>
        <v>2.2800000000000001E-2</v>
      </c>
      <c r="AR36" s="126">
        <f t="shared" si="38"/>
        <v>2.2800000000000001E-2</v>
      </c>
      <c r="AS36" s="126">
        <f t="shared" si="39"/>
        <v>2.2800000000000001E-2</v>
      </c>
      <c r="AT36" s="126">
        <f t="shared" si="40"/>
        <v>2.2800000000000001E-2</v>
      </c>
      <c r="AU36" s="126">
        <f t="shared" si="41"/>
        <v>2.2800000000000001E-2</v>
      </c>
      <c r="AV36" s="126">
        <f t="shared" si="42"/>
        <v>2.2800000000000001E-2</v>
      </c>
      <c r="AW36" s="126">
        <f t="shared" si="43"/>
        <v>2.2800000000000001E-2</v>
      </c>
      <c r="AX36" s="126">
        <f t="shared" si="44"/>
        <v>2.2800000000000001E-2</v>
      </c>
      <c r="AY36" s="126">
        <f t="shared" si="45"/>
        <v>2.2800000000000001E-2</v>
      </c>
      <c r="AZ36" s="126">
        <f t="shared" si="46"/>
        <v>2.2800000000000001E-2</v>
      </c>
      <c r="BA36" s="126">
        <f t="shared" si="47"/>
        <v>2.2800000000000001E-2</v>
      </c>
      <c r="BB36" s="126">
        <f t="shared" si="48"/>
        <v>2.2800000000000001E-2</v>
      </c>
      <c r="BC36" s="126">
        <f t="shared" si="49"/>
        <v>2.2800000000000001E-2</v>
      </c>
      <c r="BD36" s="126">
        <f t="shared" si="50"/>
        <v>2.2800000000000001E-2</v>
      </c>
    </row>
    <row r="37" spans="2:56" ht="20.399999999999999" customHeight="1">
      <c r="B37" s="6" t="s">
        <v>114</v>
      </c>
      <c r="C37" s="125" t="s">
        <v>173</v>
      </c>
      <c r="D37" s="126">
        <f t="shared" si="51"/>
        <v>2.2800000000000001E-2</v>
      </c>
      <c r="E37" s="126">
        <f t="shared" si="52"/>
        <v>2.2800000000000001E-2</v>
      </c>
      <c r="F37" s="126">
        <f t="shared" si="53"/>
        <v>2.2800000000000001E-2</v>
      </c>
      <c r="G37" s="126">
        <f t="shared" si="54"/>
        <v>2.2800000000000001E-2</v>
      </c>
      <c r="H37" s="126">
        <f t="shared" si="55"/>
        <v>2.2800000000000001E-2</v>
      </c>
      <c r="I37" s="126">
        <f t="shared" si="56"/>
        <v>2.2800000000000001E-2</v>
      </c>
      <c r="J37" s="126">
        <f t="shared" si="57"/>
        <v>3.3000000000000002E-2</v>
      </c>
      <c r="K37" s="126">
        <f t="shared" si="58"/>
        <v>0.02</v>
      </c>
      <c r="L37" s="126">
        <f t="shared" si="59"/>
        <v>1.6E-2</v>
      </c>
      <c r="M37" s="126">
        <f t="shared" si="60"/>
        <v>1.6E-2</v>
      </c>
      <c r="N37" s="126">
        <f t="shared" si="61"/>
        <v>2.9000000000000001E-2</v>
      </c>
      <c r="O37" s="126">
        <f t="shared" si="62"/>
        <v>2.2800000000000001E-2</v>
      </c>
      <c r="P37" s="126">
        <f t="shared" si="63"/>
        <v>2.2800000000000001E-2</v>
      </c>
      <c r="Q37" s="126">
        <f t="shared" si="64"/>
        <v>2.2800000000000001E-2</v>
      </c>
      <c r="R37" s="126">
        <f t="shared" si="65"/>
        <v>2.2800000000000001E-2</v>
      </c>
      <c r="S37" s="126">
        <f t="shared" si="66"/>
        <v>2.2800000000000001E-2</v>
      </c>
      <c r="T37" s="126">
        <f t="shared" si="67"/>
        <v>2.2800000000000001E-2</v>
      </c>
      <c r="U37" s="126">
        <f t="shared" si="68"/>
        <v>2.2800000000000001E-2</v>
      </c>
      <c r="V37" s="126">
        <f t="shared" si="69"/>
        <v>2.2800000000000001E-2</v>
      </c>
      <c r="W37" s="126">
        <f t="shared" si="70"/>
        <v>2.2800000000000001E-2</v>
      </c>
      <c r="X37" s="126">
        <f t="shared" si="71"/>
        <v>2.2800000000000001E-2</v>
      </c>
      <c r="Y37" s="126">
        <f t="shared" si="72"/>
        <v>2.2800000000000001E-2</v>
      </c>
      <c r="Z37" s="126">
        <f t="shared" si="73"/>
        <v>2.2800000000000001E-2</v>
      </c>
      <c r="AA37" s="126">
        <f t="shared" si="74"/>
        <v>2.2800000000000001E-2</v>
      </c>
      <c r="AB37" s="126">
        <f t="shared" si="75"/>
        <v>2.2800000000000001E-2</v>
      </c>
      <c r="AC37" s="126">
        <f t="shared" si="76"/>
        <v>2.2800000000000001E-2</v>
      </c>
      <c r="AD37" s="126">
        <f t="shared" si="77"/>
        <v>2.2800000000000001E-2</v>
      </c>
      <c r="AE37" s="126">
        <f t="shared" si="78"/>
        <v>2.2800000000000001E-2</v>
      </c>
      <c r="AF37" s="126">
        <f t="shared" si="79"/>
        <v>2.2800000000000001E-2</v>
      </c>
      <c r="AG37" s="126">
        <f t="shared" si="80"/>
        <v>2.2800000000000001E-2</v>
      </c>
      <c r="AH37" s="126">
        <f t="shared" si="81"/>
        <v>2.2800000000000001E-2</v>
      </c>
      <c r="AI37" s="126">
        <f t="shared" si="30"/>
        <v>2.2800000000000001E-2</v>
      </c>
      <c r="AJ37" s="126">
        <f t="shared" si="31"/>
        <v>2.2800000000000001E-2</v>
      </c>
      <c r="AK37" s="126">
        <f t="shared" si="32"/>
        <v>2.2800000000000001E-2</v>
      </c>
      <c r="AL37" s="126">
        <f t="shared" si="33"/>
        <v>2.2800000000000001E-2</v>
      </c>
      <c r="AM37" s="126">
        <f t="shared" si="34"/>
        <v>2.2800000000000001E-2</v>
      </c>
      <c r="AN37" s="126">
        <f t="shared" si="35"/>
        <v>2.2800000000000001E-2</v>
      </c>
      <c r="AO37" s="126">
        <f t="shared" si="36"/>
        <v>2.2800000000000001E-2</v>
      </c>
      <c r="AP37" s="126">
        <f t="shared" si="37"/>
        <v>2.2800000000000001E-2</v>
      </c>
      <c r="AQ37" s="126">
        <f t="shared" si="38"/>
        <v>2.2800000000000001E-2</v>
      </c>
      <c r="AR37" s="126">
        <f t="shared" si="38"/>
        <v>2.2800000000000001E-2</v>
      </c>
      <c r="AS37" s="126">
        <f t="shared" si="39"/>
        <v>2.2800000000000001E-2</v>
      </c>
      <c r="AT37" s="126">
        <f t="shared" si="40"/>
        <v>2.2800000000000001E-2</v>
      </c>
      <c r="AU37" s="126">
        <f t="shared" si="41"/>
        <v>2.2800000000000001E-2</v>
      </c>
      <c r="AV37" s="126">
        <f t="shared" si="42"/>
        <v>2.2800000000000001E-2</v>
      </c>
      <c r="AW37" s="126">
        <f t="shared" si="43"/>
        <v>2.2800000000000001E-2</v>
      </c>
      <c r="AX37" s="126">
        <f t="shared" si="44"/>
        <v>2.2800000000000001E-2</v>
      </c>
      <c r="AY37" s="126">
        <f t="shared" si="45"/>
        <v>2.2800000000000001E-2</v>
      </c>
      <c r="AZ37" s="126">
        <f t="shared" si="46"/>
        <v>2.2800000000000001E-2</v>
      </c>
      <c r="BA37" s="126">
        <f t="shared" si="47"/>
        <v>2.2800000000000001E-2</v>
      </c>
      <c r="BB37" s="126">
        <f t="shared" si="48"/>
        <v>2.2800000000000001E-2</v>
      </c>
      <c r="BC37" s="126">
        <f t="shared" si="49"/>
        <v>2.2800000000000001E-2</v>
      </c>
      <c r="BD37" s="126">
        <f t="shared" si="50"/>
        <v>2.2800000000000001E-2</v>
      </c>
    </row>
    <row r="38" spans="2:56" ht="20.399999999999999" customHeight="1">
      <c r="B38" s="6" t="s">
        <v>12</v>
      </c>
      <c r="C38" s="125" t="s">
        <v>173</v>
      </c>
      <c r="D38" s="126">
        <f t="shared" si="51"/>
        <v>2.2800000000000001E-2</v>
      </c>
      <c r="E38" s="126">
        <f t="shared" si="52"/>
        <v>2.2800000000000001E-2</v>
      </c>
      <c r="F38" s="126">
        <f t="shared" si="53"/>
        <v>2.2800000000000001E-2</v>
      </c>
      <c r="G38" s="126">
        <f t="shared" si="54"/>
        <v>2.2800000000000001E-2</v>
      </c>
      <c r="H38" s="126">
        <f t="shared" si="55"/>
        <v>2.2800000000000001E-2</v>
      </c>
      <c r="I38" s="126">
        <f t="shared" si="56"/>
        <v>2.2800000000000001E-2</v>
      </c>
      <c r="J38" s="126">
        <f t="shared" si="57"/>
        <v>3.3000000000000002E-2</v>
      </c>
      <c r="K38" s="126">
        <f t="shared" si="58"/>
        <v>0.02</v>
      </c>
      <c r="L38" s="126">
        <f t="shared" si="59"/>
        <v>1.6E-2</v>
      </c>
      <c r="M38" s="126">
        <f t="shared" si="60"/>
        <v>1.6E-2</v>
      </c>
      <c r="N38" s="126">
        <f t="shared" si="61"/>
        <v>2.9000000000000001E-2</v>
      </c>
      <c r="O38" s="126">
        <f t="shared" si="62"/>
        <v>2.2800000000000001E-2</v>
      </c>
      <c r="P38" s="126">
        <f t="shared" si="63"/>
        <v>2.2800000000000001E-2</v>
      </c>
      <c r="Q38" s="126">
        <f t="shared" si="64"/>
        <v>2.2800000000000001E-2</v>
      </c>
      <c r="R38" s="126">
        <f t="shared" si="65"/>
        <v>2.2800000000000001E-2</v>
      </c>
      <c r="S38" s="126">
        <f t="shared" si="66"/>
        <v>2.2800000000000001E-2</v>
      </c>
      <c r="T38" s="126">
        <f t="shared" si="67"/>
        <v>2.2800000000000001E-2</v>
      </c>
      <c r="U38" s="126">
        <f t="shared" si="68"/>
        <v>2.2800000000000001E-2</v>
      </c>
      <c r="V38" s="126">
        <f t="shared" si="69"/>
        <v>2.2800000000000001E-2</v>
      </c>
      <c r="W38" s="126">
        <f t="shared" si="70"/>
        <v>2.2800000000000001E-2</v>
      </c>
      <c r="X38" s="126">
        <f t="shared" si="71"/>
        <v>2.2800000000000001E-2</v>
      </c>
      <c r="Y38" s="126">
        <f t="shared" si="72"/>
        <v>2.2800000000000001E-2</v>
      </c>
      <c r="Z38" s="126">
        <f t="shared" si="73"/>
        <v>2.2800000000000001E-2</v>
      </c>
      <c r="AA38" s="126">
        <f t="shared" si="74"/>
        <v>2.2800000000000001E-2</v>
      </c>
      <c r="AB38" s="126">
        <f t="shared" si="75"/>
        <v>2.2800000000000001E-2</v>
      </c>
      <c r="AC38" s="126">
        <f t="shared" si="76"/>
        <v>2.2800000000000001E-2</v>
      </c>
      <c r="AD38" s="126">
        <f t="shared" si="77"/>
        <v>2.2800000000000001E-2</v>
      </c>
      <c r="AE38" s="126">
        <f t="shared" si="78"/>
        <v>2.2800000000000001E-2</v>
      </c>
      <c r="AF38" s="126">
        <f t="shared" si="79"/>
        <v>2.2800000000000001E-2</v>
      </c>
      <c r="AG38" s="126">
        <f t="shared" si="80"/>
        <v>2.2800000000000001E-2</v>
      </c>
      <c r="AH38" s="126">
        <f t="shared" si="81"/>
        <v>2.2800000000000001E-2</v>
      </c>
      <c r="AI38" s="126">
        <f t="shared" si="30"/>
        <v>2.2800000000000001E-2</v>
      </c>
      <c r="AJ38" s="126">
        <f t="shared" si="31"/>
        <v>2.2800000000000001E-2</v>
      </c>
      <c r="AK38" s="126">
        <f t="shared" si="32"/>
        <v>2.2800000000000001E-2</v>
      </c>
      <c r="AL38" s="126">
        <f t="shared" si="33"/>
        <v>2.2800000000000001E-2</v>
      </c>
      <c r="AM38" s="126">
        <f t="shared" si="34"/>
        <v>2.2800000000000001E-2</v>
      </c>
      <c r="AN38" s="126">
        <f t="shared" si="35"/>
        <v>2.2800000000000001E-2</v>
      </c>
      <c r="AO38" s="126">
        <f t="shared" si="36"/>
        <v>2.2800000000000001E-2</v>
      </c>
      <c r="AP38" s="126">
        <f t="shared" si="37"/>
        <v>2.2800000000000001E-2</v>
      </c>
      <c r="AQ38" s="126">
        <f t="shared" si="38"/>
        <v>2.2800000000000001E-2</v>
      </c>
      <c r="AR38" s="126">
        <f t="shared" si="38"/>
        <v>2.2800000000000001E-2</v>
      </c>
      <c r="AS38" s="126">
        <f t="shared" si="39"/>
        <v>2.2800000000000001E-2</v>
      </c>
      <c r="AT38" s="126">
        <f t="shared" si="40"/>
        <v>2.2800000000000001E-2</v>
      </c>
      <c r="AU38" s="126">
        <f t="shared" si="41"/>
        <v>2.2800000000000001E-2</v>
      </c>
      <c r="AV38" s="126">
        <f t="shared" si="42"/>
        <v>2.2800000000000001E-2</v>
      </c>
      <c r="AW38" s="126">
        <f t="shared" si="43"/>
        <v>2.2800000000000001E-2</v>
      </c>
      <c r="AX38" s="126">
        <f t="shared" si="44"/>
        <v>2.2800000000000001E-2</v>
      </c>
      <c r="AY38" s="126">
        <f t="shared" si="45"/>
        <v>2.2800000000000001E-2</v>
      </c>
      <c r="AZ38" s="126">
        <f t="shared" si="46"/>
        <v>2.2800000000000001E-2</v>
      </c>
      <c r="BA38" s="126">
        <f t="shared" si="47"/>
        <v>2.2800000000000001E-2</v>
      </c>
      <c r="BB38" s="126">
        <f t="shared" si="48"/>
        <v>2.2800000000000001E-2</v>
      </c>
      <c r="BC38" s="126">
        <f t="shared" si="49"/>
        <v>2.2800000000000001E-2</v>
      </c>
      <c r="BD38" s="126">
        <f t="shared" si="50"/>
        <v>2.2800000000000001E-2</v>
      </c>
    </row>
    <row r="39" spans="2:56" ht="20.399999999999999" customHeight="1">
      <c r="B39" s="86" t="s">
        <v>106</v>
      </c>
      <c r="C39" s="125" t="s">
        <v>167</v>
      </c>
      <c r="D39" s="126">
        <f t="shared" si="51"/>
        <v>4.1800000000000004E-2</v>
      </c>
      <c r="E39" s="126">
        <f t="shared" si="52"/>
        <v>4.1800000000000004E-2</v>
      </c>
      <c r="F39" s="126">
        <f t="shared" si="53"/>
        <v>4.1800000000000004E-2</v>
      </c>
      <c r="G39" s="126">
        <f t="shared" si="54"/>
        <v>4.1800000000000004E-2</v>
      </c>
      <c r="H39" s="126">
        <f t="shared" si="55"/>
        <v>4.1800000000000004E-2</v>
      </c>
      <c r="I39" s="126">
        <f t="shared" si="56"/>
        <v>4.1800000000000004E-2</v>
      </c>
      <c r="J39" s="126">
        <f t="shared" si="57"/>
        <v>4.4999999999999998E-2</v>
      </c>
      <c r="K39" s="126">
        <f t="shared" si="58"/>
        <v>4.5999999999999999E-2</v>
      </c>
      <c r="L39" s="126">
        <f t="shared" si="59"/>
        <v>3.5999999999999997E-2</v>
      </c>
      <c r="M39" s="126">
        <f t="shared" si="60"/>
        <v>4.1000000000000002E-2</v>
      </c>
      <c r="N39" s="126">
        <f t="shared" si="61"/>
        <v>4.1000000000000002E-2</v>
      </c>
      <c r="O39" s="126">
        <f t="shared" si="62"/>
        <v>4.1800000000000004E-2</v>
      </c>
      <c r="P39" s="126">
        <f t="shared" si="63"/>
        <v>4.1800000000000004E-2</v>
      </c>
      <c r="Q39" s="126">
        <f t="shared" si="64"/>
        <v>4.1800000000000004E-2</v>
      </c>
      <c r="R39" s="126">
        <f t="shared" si="65"/>
        <v>4.1800000000000004E-2</v>
      </c>
      <c r="S39" s="126">
        <f t="shared" si="66"/>
        <v>4.1800000000000004E-2</v>
      </c>
      <c r="T39" s="126">
        <f t="shared" si="67"/>
        <v>4.1800000000000004E-2</v>
      </c>
      <c r="U39" s="126">
        <f t="shared" si="68"/>
        <v>4.1800000000000004E-2</v>
      </c>
      <c r="V39" s="126">
        <f t="shared" si="69"/>
        <v>4.1800000000000004E-2</v>
      </c>
      <c r="W39" s="126">
        <f t="shared" si="70"/>
        <v>4.1800000000000004E-2</v>
      </c>
      <c r="X39" s="126">
        <f t="shared" si="71"/>
        <v>4.1800000000000004E-2</v>
      </c>
      <c r="Y39" s="126">
        <f t="shared" si="72"/>
        <v>4.1800000000000004E-2</v>
      </c>
      <c r="Z39" s="126">
        <f t="shared" si="73"/>
        <v>4.1800000000000004E-2</v>
      </c>
      <c r="AA39" s="126">
        <f t="shared" si="74"/>
        <v>4.1800000000000004E-2</v>
      </c>
      <c r="AB39" s="126">
        <f t="shared" si="75"/>
        <v>4.1800000000000004E-2</v>
      </c>
      <c r="AC39" s="126">
        <f t="shared" si="76"/>
        <v>4.1800000000000004E-2</v>
      </c>
      <c r="AD39" s="126">
        <f t="shared" si="77"/>
        <v>4.1800000000000004E-2</v>
      </c>
      <c r="AE39" s="126">
        <f t="shared" si="78"/>
        <v>4.1800000000000004E-2</v>
      </c>
      <c r="AF39" s="126">
        <f t="shared" si="79"/>
        <v>4.1800000000000004E-2</v>
      </c>
      <c r="AG39" s="126">
        <f t="shared" si="80"/>
        <v>4.1800000000000004E-2</v>
      </c>
      <c r="AH39" s="126">
        <f t="shared" si="81"/>
        <v>4.1800000000000004E-2</v>
      </c>
      <c r="AI39" s="126">
        <f t="shared" si="30"/>
        <v>4.1800000000000004E-2</v>
      </c>
      <c r="AJ39" s="126">
        <f t="shared" si="31"/>
        <v>4.1800000000000004E-2</v>
      </c>
      <c r="AK39" s="126">
        <f t="shared" si="32"/>
        <v>4.1800000000000004E-2</v>
      </c>
      <c r="AL39" s="126">
        <f t="shared" si="33"/>
        <v>4.1800000000000004E-2</v>
      </c>
      <c r="AM39" s="126">
        <f t="shared" si="34"/>
        <v>4.1800000000000004E-2</v>
      </c>
      <c r="AN39" s="126">
        <f t="shared" si="35"/>
        <v>4.1800000000000004E-2</v>
      </c>
      <c r="AO39" s="126">
        <f t="shared" si="36"/>
        <v>4.1800000000000004E-2</v>
      </c>
      <c r="AP39" s="126">
        <f t="shared" si="37"/>
        <v>4.1800000000000004E-2</v>
      </c>
      <c r="AQ39" s="126">
        <f t="shared" si="38"/>
        <v>4.1800000000000004E-2</v>
      </c>
      <c r="AR39" s="126">
        <f t="shared" si="38"/>
        <v>4.1800000000000004E-2</v>
      </c>
      <c r="AS39" s="126">
        <f t="shared" si="39"/>
        <v>4.1800000000000004E-2</v>
      </c>
      <c r="AT39" s="126">
        <f t="shared" si="40"/>
        <v>4.1800000000000004E-2</v>
      </c>
      <c r="AU39" s="126">
        <f t="shared" si="41"/>
        <v>4.1800000000000004E-2</v>
      </c>
      <c r="AV39" s="126">
        <f t="shared" si="42"/>
        <v>4.1800000000000004E-2</v>
      </c>
      <c r="AW39" s="126">
        <f t="shared" si="43"/>
        <v>4.1800000000000004E-2</v>
      </c>
      <c r="AX39" s="126">
        <f t="shared" si="44"/>
        <v>4.1800000000000004E-2</v>
      </c>
      <c r="AY39" s="126">
        <f t="shared" si="45"/>
        <v>4.1800000000000004E-2</v>
      </c>
      <c r="AZ39" s="126">
        <f t="shared" si="46"/>
        <v>4.1800000000000004E-2</v>
      </c>
      <c r="BA39" s="126">
        <f t="shared" si="47"/>
        <v>4.1800000000000004E-2</v>
      </c>
      <c r="BB39" s="126">
        <f t="shared" si="48"/>
        <v>4.1800000000000004E-2</v>
      </c>
      <c r="BC39" s="126">
        <f t="shared" si="49"/>
        <v>4.1800000000000004E-2</v>
      </c>
      <c r="BD39" s="126">
        <f t="shared" si="50"/>
        <v>4.1800000000000004E-2</v>
      </c>
    </row>
    <row r="40" spans="2:56" ht="20.399999999999999" customHeight="1">
      <c r="B40" s="86" t="s">
        <v>107</v>
      </c>
      <c r="C40" s="125" t="s">
        <v>167</v>
      </c>
      <c r="D40" s="126">
        <f t="shared" si="51"/>
        <v>4.1800000000000004E-2</v>
      </c>
      <c r="E40" s="126">
        <f t="shared" si="52"/>
        <v>4.1800000000000004E-2</v>
      </c>
      <c r="F40" s="126">
        <f t="shared" si="53"/>
        <v>4.1800000000000004E-2</v>
      </c>
      <c r="G40" s="126">
        <f t="shared" si="54"/>
        <v>4.1800000000000004E-2</v>
      </c>
      <c r="H40" s="126">
        <f t="shared" si="55"/>
        <v>4.1800000000000004E-2</v>
      </c>
      <c r="I40" s="126">
        <f t="shared" si="56"/>
        <v>4.1800000000000004E-2</v>
      </c>
      <c r="J40" s="126">
        <f t="shared" si="57"/>
        <v>4.4999999999999998E-2</v>
      </c>
      <c r="K40" s="126">
        <f t="shared" si="58"/>
        <v>4.5999999999999999E-2</v>
      </c>
      <c r="L40" s="126">
        <f t="shared" si="59"/>
        <v>3.5999999999999997E-2</v>
      </c>
      <c r="M40" s="126">
        <f t="shared" si="60"/>
        <v>4.1000000000000002E-2</v>
      </c>
      <c r="N40" s="126">
        <f t="shared" si="61"/>
        <v>4.1000000000000002E-2</v>
      </c>
      <c r="O40" s="126">
        <f t="shared" si="62"/>
        <v>4.1800000000000004E-2</v>
      </c>
      <c r="P40" s="126">
        <f t="shared" si="63"/>
        <v>4.1800000000000004E-2</v>
      </c>
      <c r="Q40" s="126">
        <f t="shared" si="64"/>
        <v>4.1800000000000004E-2</v>
      </c>
      <c r="R40" s="126">
        <f t="shared" si="65"/>
        <v>4.1800000000000004E-2</v>
      </c>
      <c r="S40" s="126">
        <f t="shared" si="66"/>
        <v>4.1800000000000004E-2</v>
      </c>
      <c r="T40" s="126">
        <f t="shared" si="67"/>
        <v>4.1800000000000004E-2</v>
      </c>
      <c r="U40" s="126">
        <f t="shared" si="68"/>
        <v>4.1800000000000004E-2</v>
      </c>
      <c r="V40" s="126">
        <f t="shared" si="69"/>
        <v>4.1800000000000004E-2</v>
      </c>
      <c r="W40" s="126">
        <f t="shared" si="70"/>
        <v>4.1800000000000004E-2</v>
      </c>
      <c r="X40" s="126">
        <f t="shared" si="71"/>
        <v>4.1800000000000004E-2</v>
      </c>
      <c r="Y40" s="126">
        <f t="shared" si="72"/>
        <v>4.1800000000000004E-2</v>
      </c>
      <c r="Z40" s="126">
        <f t="shared" si="73"/>
        <v>4.1800000000000004E-2</v>
      </c>
      <c r="AA40" s="126">
        <f t="shared" si="74"/>
        <v>4.1800000000000004E-2</v>
      </c>
      <c r="AB40" s="126">
        <f t="shared" si="75"/>
        <v>4.1800000000000004E-2</v>
      </c>
      <c r="AC40" s="126">
        <f t="shared" si="76"/>
        <v>4.1800000000000004E-2</v>
      </c>
      <c r="AD40" s="126">
        <f t="shared" si="77"/>
        <v>4.1800000000000004E-2</v>
      </c>
      <c r="AE40" s="126">
        <f t="shared" si="78"/>
        <v>4.1800000000000004E-2</v>
      </c>
      <c r="AF40" s="126">
        <f t="shared" si="79"/>
        <v>4.1800000000000004E-2</v>
      </c>
      <c r="AG40" s="126">
        <f t="shared" si="80"/>
        <v>4.1800000000000004E-2</v>
      </c>
      <c r="AH40" s="126">
        <f t="shared" si="81"/>
        <v>4.1800000000000004E-2</v>
      </c>
      <c r="AI40" s="126">
        <f t="shared" si="30"/>
        <v>4.1800000000000004E-2</v>
      </c>
      <c r="AJ40" s="126">
        <f t="shared" si="31"/>
        <v>4.1800000000000004E-2</v>
      </c>
      <c r="AK40" s="126">
        <f t="shared" si="32"/>
        <v>4.1800000000000004E-2</v>
      </c>
      <c r="AL40" s="126">
        <f t="shared" si="33"/>
        <v>4.1800000000000004E-2</v>
      </c>
      <c r="AM40" s="126">
        <f t="shared" si="34"/>
        <v>4.1800000000000004E-2</v>
      </c>
      <c r="AN40" s="126">
        <f t="shared" si="35"/>
        <v>4.1800000000000004E-2</v>
      </c>
      <c r="AO40" s="126">
        <f t="shared" si="36"/>
        <v>4.1800000000000004E-2</v>
      </c>
      <c r="AP40" s="126">
        <f t="shared" si="37"/>
        <v>4.1800000000000004E-2</v>
      </c>
      <c r="AQ40" s="126">
        <f t="shared" si="38"/>
        <v>4.1800000000000004E-2</v>
      </c>
      <c r="AR40" s="126">
        <f t="shared" si="38"/>
        <v>4.1800000000000004E-2</v>
      </c>
      <c r="AS40" s="126">
        <f t="shared" si="39"/>
        <v>4.1800000000000004E-2</v>
      </c>
      <c r="AT40" s="126">
        <f t="shared" si="40"/>
        <v>4.1800000000000004E-2</v>
      </c>
      <c r="AU40" s="126">
        <f t="shared" si="41"/>
        <v>4.1800000000000004E-2</v>
      </c>
      <c r="AV40" s="126">
        <f t="shared" si="42"/>
        <v>4.1800000000000004E-2</v>
      </c>
      <c r="AW40" s="126">
        <f t="shared" si="43"/>
        <v>4.1800000000000004E-2</v>
      </c>
      <c r="AX40" s="126">
        <f t="shared" si="44"/>
        <v>4.1800000000000004E-2</v>
      </c>
      <c r="AY40" s="126">
        <f t="shared" si="45"/>
        <v>4.1800000000000004E-2</v>
      </c>
      <c r="AZ40" s="126">
        <f t="shared" si="46"/>
        <v>4.1800000000000004E-2</v>
      </c>
      <c r="BA40" s="126">
        <f t="shared" si="47"/>
        <v>4.1800000000000004E-2</v>
      </c>
      <c r="BB40" s="126">
        <f t="shared" si="48"/>
        <v>4.1800000000000004E-2</v>
      </c>
      <c r="BC40" s="126">
        <f t="shared" si="49"/>
        <v>4.1800000000000004E-2</v>
      </c>
      <c r="BD40" s="126">
        <f t="shared" si="50"/>
        <v>4.1800000000000004E-2</v>
      </c>
    </row>
    <row r="41" spans="2:56" ht="20.399999999999999" customHeight="1">
      <c r="B41" s="6" t="s">
        <v>126</v>
      </c>
      <c r="C41" s="125" t="s">
        <v>167</v>
      </c>
      <c r="D41" s="126">
        <f t="shared" si="51"/>
        <v>4.1800000000000004E-2</v>
      </c>
      <c r="E41" s="126">
        <f t="shared" si="52"/>
        <v>4.1800000000000004E-2</v>
      </c>
      <c r="F41" s="126">
        <f t="shared" si="53"/>
        <v>4.1800000000000004E-2</v>
      </c>
      <c r="G41" s="126">
        <f t="shared" si="54"/>
        <v>4.1800000000000004E-2</v>
      </c>
      <c r="H41" s="126">
        <f t="shared" si="55"/>
        <v>4.1800000000000004E-2</v>
      </c>
      <c r="I41" s="126">
        <f t="shared" si="56"/>
        <v>4.1800000000000004E-2</v>
      </c>
      <c r="J41" s="126">
        <f t="shared" si="57"/>
        <v>4.4999999999999998E-2</v>
      </c>
      <c r="K41" s="126">
        <f t="shared" si="58"/>
        <v>4.5999999999999999E-2</v>
      </c>
      <c r="L41" s="126">
        <f t="shared" si="59"/>
        <v>3.5999999999999997E-2</v>
      </c>
      <c r="M41" s="126">
        <f t="shared" si="60"/>
        <v>4.1000000000000002E-2</v>
      </c>
      <c r="N41" s="126">
        <f t="shared" si="61"/>
        <v>4.1000000000000002E-2</v>
      </c>
      <c r="O41" s="126">
        <f t="shared" si="62"/>
        <v>4.1800000000000004E-2</v>
      </c>
      <c r="P41" s="126">
        <f t="shared" si="63"/>
        <v>4.1800000000000004E-2</v>
      </c>
      <c r="Q41" s="126">
        <f t="shared" si="64"/>
        <v>4.1800000000000004E-2</v>
      </c>
      <c r="R41" s="126">
        <f t="shared" si="65"/>
        <v>4.1800000000000004E-2</v>
      </c>
      <c r="S41" s="126">
        <f t="shared" si="66"/>
        <v>4.1800000000000004E-2</v>
      </c>
      <c r="T41" s="126">
        <f t="shared" si="67"/>
        <v>4.1800000000000004E-2</v>
      </c>
      <c r="U41" s="126">
        <f t="shared" si="68"/>
        <v>4.1800000000000004E-2</v>
      </c>
      <c r="V41" s="126">
        <f t="shared" si="69"/>
        <v>4.1800000000000004E-2</v>
      </c>
      <c r="W41" s="126">
        <f t="shared" si="70"/>
        <v>4.1800000000000004E-2</v>
      </c>
      <c r="X41" s="126">
        <f t="shared" si="71"/>
        <v>4.1800000000000004E-2</v>
      </c>
      <c r="Y41" s="126">
        <f t="shared" si="72"/>
        <v>4.1800000000000004E-2</v>
      </c>
      <c r="Z41" s="126">
        <f t="shared" si="73"/>
        <v>4.1800000000000004E-2</v>
      </c>
      <c r="AA41" s="126">
        <f t="shared" si="74"/>
        <v>4.1800000000000004E-2</v>
      </c>
      <c r="AB41" s="126">
        <f t="shared" si="75"/>
        <v>4.1800000000000004E-2</v>
      </c>
      <c r="AC41" s="126">
        <f t="shared" si="76"/>
        <v>4.1800000000000004E-2</v>
      </c>
      <c r="AD41" s="126">
        <f t="shared" si="77"/>
        <v>4.1800000000000004E-2</v>
      </c>
      <c r="AE41" s="126">
        <f t="shared" si="78"/>
        <v>4.1800000000000004E-2</v>
      </c>
      <c r="AF41" s="126">
        <f t="shared" si="79"/>
        <v>4.1800000000000004E-2</v>
      </c>
      <c r="AG41" s="126">
        <f t="shared" si="80"/>
        <v>4.1800000000000004E-2</v>
      </c>
      <c r="AH41" s="126">
        <f t="shared" si="81"/>
        <v>4.1800000000000004E-2</v>
      </c>
      <c r="AI41" s="126">
        <f t="shared" si="30"/>
        <v>4.1800000000000004E-2</v>
      </c>
      <c r="AJ41" s="126">
        <f t="shared" si="31"/>
        <v>4.1800000000000004E-2</v>
      </c>
      <c r="AK41" s="126">
        <f t="shared" si="32"/>
        <v>4.1800000000000004E-2</v>
      </c>
      <c r="AL41" s="126">
        <f t="shared" si="33"/>
        <v>4.1800000000000004E-2</v>
      </c>
      <c r="AM41" s="126">
        <f t="shared" si="34"/>
        <v>4.1800000000000004E-2</v>
      </c>
      <c r="AN41" s="126">
        <f t="shared" si="35"/>
        <v>4.1800000000000004E-2</v>
      </c>
      <c r="AO41" s="126">
        <f t="shared" si="36"/>
        <v>4.1800000000000004E-2</v>
      </c>
      <c r="AP41" s="126">
        <f t="shared" si="37"/>
        <v>4.1800000000000004E-2</v>
      </c>
      <c r="AQ41" s="126">
        <f t="shared" si="38"/>
        <v>4.1800000000000004E-2</v>
      </c>
      <c r="AR41" s="126">
        <f t="shared" si="38"/>
        <v>4.1800000000000004E-2</v>
      </c>
      <c r="AS41" s="126">
        <f t="shared" si="39"/>
        <v>4.1800000000000004E-2</v>
      </c>
      <c r="AT41" s="126">
        <f t="shared" si="40"/>
        <v>4.1800000000000004E-2</v>
      </c>
      <c r="AU41" s="126">
        <f t="shared" si="41"/>
        <v>4.1800000000000004E-2</v>
      </c>
      <c r="AV41" s="126">
        <f t="shared" si="42"/>
        <v>4.1800000000000004E-2</v>
      </c>
      <c r="AW41" s="126">
        <f t="shared" si="43"/>
        <v>4.1800000000000004E-2</v>
      </c>
      <c r="AX41" s="126">
        <f t="shared" si="44"/>
        <v>4.1800000000000004E-2</v>
      </c>
      <c r="AY41" s="126">
        <f t="shared" si="45"/>
        <v>4.1800000000000004E-2</v>
      </c>
      <c r="AZ41" s="126">
        <f t="shared" si="46"/>
        <v>4.1800000000000004E-2</v>
      </c>
      <c r="BA41" s="126">
        <f t="shared" si="47"/>
        <v>4.1800000000000004E-2</v>
      </c>
      <c r="BB41" s="126">
        <f t="shared" si="48"/>
        <v>4.1800000000000004E-2</v>
      </c>
      <c r="BC41" s="126">
        <f t="shared" si="49"/>
        <v>4.1800000000000004E-2</v>
      </c>
      <c r="BD41" s="126">
        <f t="shared" si="50"/>
        <v>4.1800000000000004E-2</v>
      </c>
    </row>
    <row r="42" spans="2:56" ht="20.399999999999999" customHeight="1">
      <c r="B42" s="6" t="s">
        <v>127</v>
      </c>
      <c r="C42" s="125" t="s">
        <v>170</v>
      </c>
      <c r="D42" s="126">
        <f t="shared" si="51"/>
        <v>1.9000000000000003E-2</v>
      </c>
      <c r="E42" s="126">
        <f t="shared" si="52"/>
        <v>1.9000000000000003E-2</v>
      </c>
      <c r="F42" s="126">
        <f t="shared" si="53"/>
        <v>1.9000000000000003E-2</v>
      </c>
      <c r="G42" s="126">
        <f t="shared" si="54"/>
        <v>1.9000000000000003E-2</v>
      </c>
      <c r="H42" s="126">
        <f t="shared" si="55"/>
        <v>1.9000000000000003E-2</v>
      </c>
      <c r="I42" s="126">
        <f t="shared" si="56"/>
        <v>1.9000000000000003E-2</v>
      </c>
      <c r="J42" s="126">
        <f t="shared" si="57"/>
        <v>1.7000000000000001E-2</v>
      </c>
      <c r="K42" s="126">
        <f t="shared" si="58"/>
        <v>1.7999999999999999E-2</v>
      </c>
      <c r="L42" s="126">
        <f t="shared" si="59"/>
        <v>2.1000000000000001E-2</v>
      </c>
      <c r="M42" s="126">
        <f t="shared" si="60"/>
        <v>1.9E-2</v>
      </c>
      <c r="N42" s="126">
        <f t="shared" si="61"/>
        <v>0.02</v>
      </c>
      <c r="O42" s="126">
        <f t="shared" si="62"/>
        <v>1.9000000000000003E-2</v>
      </c>
      <c r="P42" s="126">
        <f t="shared" si="63"/>
        <v>1.9000000000000003E-2</v>
      </c>
      <c r="Q42" s="126">
        <f t="shared" si="64"/>
        <v>1.9000000000000003E-2</v>
      </c>
      <c r="R42" s="126">
        <f t="shared" si="65"/>
        <v>1.9000000000000003E-2</v>
      </c>
      <c r="S42" s="126">
        <f t="shared" si="66"/>
        <v>1.9000000000000003E-2</v>
      </c>
      <c r="T42" s="126">
        <f t="shared" si="67"/>
        <v>1.9000000000000003E-2</v>
      </c>
      <c r="U42" s="126">
        <f t="shared" si="68"/>
        <v>1.9000000000000003E-2</v>
      </c>
      <c r="V42" s="126">
        <f t="shared" si="69"/>
        <v>1.9000000000000003E-2</v>
      </c>
      <c r="W42" s="126">
        <f t="shared" si="70"/>
        <v>1.9000000000000003E-2</v>
      </c>
      <c r="X42" s="126">
        <f t="shared" si="71"/>
        <v>1.9000000000000003E-2</v>
      </c>
      <c r="Y42" s="126">
        <f t="shared" si="72"/>
        <v>1.9000000000000003E-2</v>
      </c>
      <c r="Z42" s="126">
        <f t="shared" si="73"/>
        <v>1.9000000000000003E-2</v>
      </c>
      <c r="AA42" s="126">
        <f t="shared" si="74"/>
        <v>1.9000000000000003E-2</v>
      </c>
      <c r="AB42" s="126">
        <f t="shared" si="75"/>
        <v>1.9000000000000003E-2</v>
      </c>
      <c r="AC42" s="126">
        <f t="shared" si="76"/>
        <v>1.9000000000000003E-2</v>
      </c>
      <c r="AD42" s="126">
        <f t="shared" si="77"/>
        <v>1.9000000000000003E-2</v>
      </c>
      <c r="AE42" s="126">
        <f t="shared" si="78"/>
        <v>1.9000000000000003E-2</v>
      </c>
      <c r="AF42" s="126">
        <f t="shared" si="79"/>
        <v>1.9000000000000003E-2</v>
      </c>
      <c r="AG42" s="126">
        <f t="shared" si="80"/>
        <v>1.9000000000000003E-2</v>
      </c>
      <c r="AH42" s="126">
        <f t="shared" si="81"/>
        <v>1.9000000000000003E-2</v>
      </c>
      <c r="AI42" s="126">
        <f t="shared" si="30"/>
        <v>1.9000000000000003E-2</v>
      </c>
      <c r="AJ42" s="126">
        <f t="shared" si="31"/>
        <v>1.9000000000000003E-2</v>
      </c>
      <c r="AK42" s="126">
        <f t="shared" si="32"/>
        <v>1.9000000000000003E-2</v>
      </c>
      <c r="AL42" s="126">
        <f t="shared" si="33"/>
        <v>1.9000000000000003E-2</v>
      </c>
      <c r="AM42" s="126">
        <f t="shared" si="34"/>
        <v>1.9000000000000003E-2</v>
      </c>
      <c r="AN42" s="126">
        <f t="shared" si="35"/>
        <v>1.9000000000000003E-2</v>
      </c>
      <c r="AO42" s="126">
        <f t="shared" si="36"/>
        <v>1.9000000000000003E-2</v>
      </c>
      <c r="AP42" s="126">
        <f t="shared" si="37"/>
        <v>1.9000000000000003E-2</v>
      </c>
      <c r="AQ42" s="126">
        <f t="shared" si="38"/>
        <v>1.9000000000000003E-2</v>
      </c>
      <c r="AR42" s="126">
        <f t="shared" si="38"/>
        <v>1.9000000000000003E-2</v>
      </c>
      <c r="AS42" s="126">
        <f t="shared" si="39"/>
        <v>1.9000000000000003E-2</v>
      </c>
      <c r="AT42" s="126">
        <f t="shared" si="40"/>
        <v>1.9000000000000003E-2</v>
      </c>
      <c r="AU42" s="126">
        <f t="shared" si="41"/>
        <v>1.9000000000000003E-2</v>
      </c>
      <c r="AV42" s="126">
        <f t="shared" si="42"/>
        <v>1.9000000000000003E-2</v>
      </c>
      <c r="AW42" s="126">
        <f t="shared" si="43"/>
        <v>1.9000000000000003E-2</v>
      </c>
      <c r="AX42" s="126">
        <f t="shared" si="44"/>
        <v>1.9000000000000003E-2</v>
      </c>
      <c r="AY42" s="126">
        <f t="shared" si="45"/>
        <v>1.9000000000000003E-2</v>
      </c>
      <c r="AZ42" s="126">
        <f t="shared" si="46"/>
        <v>1.9000000000000003E-2</v>
      </c>
      <c r="BA42" s="126">
        <f t="shared" si="47"/>
        <v>1.9000000000000003E-2</v>
      </c>
      <c r="BB42" s="126">
        <f t="shared" si="48"/>
        <v>1.9000000000000003E-2</v>
      </c>
      <c r="BC42" s="126">
        <f t="shared" si="49"/>
        <v>1.9000000000000003E-2</v>
      </c>
      <c r="BD42" s="126">
        <f t="shared" si="50"/>
        <v>1.9000000000000003E-2</v>
      </c>
    </row>
    <row r="43" spans="2:56" ht="20.399999999999999" customHeight="1">
      <c r="B43" s="6" t="s">
        <v>128</v>
      </c>
      <c r="C43" s="125" t="s">
        <v>170</v>
      </c>
      <c r="D43" s="126">
        <f t="shared" si="51"/>
        <v>1.9000000000000003E-2</v>
      </c>
      <c r="E43" s="126">
        <f t="shared" si="52"/>
        <v>1.9000000000000003E-2</v>
      </c>
      <c r="F43" s="126">
        <f t="shared" si="53"/>
        <v>1.9000000000000003E-2</v>
      </c>
      <c r="G43" s="126">
        <f t="shared" si="54"/>
        <v>1.9000000000000003E-2</v>
      </c>
      <c r="H43" s="126">
        <f t="shared" si="55"/>
        <v>1.9000000000000003E-2</v>
      </c>
      <c r="I43" s="126">
        <f t="shared" si="56"/>
        <v>1.9000000000000003E-2</v>
      </c>
      <c r="J43" s="126">
        <f t="shared" si="57"/>
        <v>1.7000000000000001E-2</v>
      </c>
      <c r="K43" s="126">
        <f t="shared" si="58"/>
        <v>1.7999999999999999E-2</v>
      </c>
      <c r="L43" s="126">
        <f t="shared" si="59"/>
        <v>2.1000000000000001E-2</v>
      </c>
      <c r="M43" s="126">
        <f t="shared" si="60"/>
        <v>1.9E-2</v>
      </c>
      <c r="N43" s="126">
        <f t="shared" si="61"/>
        <v>0.02</v>
      </c>
      <c r="O43" s="126">
        <f t="shared" si="62"/>
        <v>1.9000000000000003E-2</v>
      </c>
      <c r="P43" s="126">
        <f t="shared" si="63"/>
        <v>1.9000000000000003E-2</v>
      </c>
      <c r="Q43" s="126">
        <f t="shared" si="64"/>
        <v>1.9000000000000003E-2</v>
      </c>
      <c r="R43" s="126">
        <f t="shared" si="65"/>
        <v>1.9000000000000003E-2</v>
      </c>
      <c r="S43" s="126">
        <f t="shared" si="66"/>
        <v>1.9000000000000003E-2</v>
      </c>
      <c r="T43" s="126">
        <f t="shared" si="67"/>
        <v>1.9000000000000003E-2</v>
      </c>
      <c r="U43" s="126">
        <f t="shared" si="68"/>
        <v>1.9000000000000003E-2</v>
      </c>
      <c r="V43" s="126">
        <f t="shared" si="69"/>
        <v>1.9000000000000003E-2</v>
      </c>
      <c r="W43" s="126">
        <f t="shared" si="70"/>
        <v>1.9000000000000003E-2</v>
      </c>
      <c r="X43" s="126">
        <f t="shared" si="71"/>
        <v>1.9000000000000003E-2</v>
      </c>
      <c r="Y43" s="126">
        <f t="shared" si="72"/>
        <v>1.9000000000000003E-2</v>
      </c>
      <c r="Z43" s="126">
        <f t="shared" si="73"/>
        <v>1.9000000000000003E-2</v>
      </c>
      <c r="AA43" s="126">
        <f t="shared" si="74"/>
        <v>1.9000000000000003E-2</v>
      </c>
      <c r="AB43" s="126">
        <f t="shared" si="75"/>
        <v>1.9000000000000003E-2</v>
      </c>
      <c r="AC43" s="126">
        <f t="shared" si="76"/>
        <v>1.9000000000000003E-2</v>
      </c>
      <c r="AD43" s="126">
        <f t="shared" si="77"/>
        <v>1.9000000000000003E-2</v>
      </c>
      <c r="AE43" s="126">
        <f t="shared" si="78"/>
        <v>1.9000000000000003E-2</v>
      </c>
      <c r="AF43" s="126">
        <f t="shared" si="79"/>
        <v>1.9000000000000003E-2</v>
      </c>
      <c r="AG43" s="126">
        <f t="shared" si="80"/>
        <v>1.9000000000000003E-2</v>
      </c>
      <c r="AH43" s="126">
        <f t="shared" si="81"/>
        <v>1.9000000000000003E-2</v>
      </c>
      <c r="AI43" s="126">
        <f t="shared" si="30"/>
        <v>1.9000000000000003E-2</v>
      </c>
      <c r="AJ43" s="126">
        <f t="shared" si="31"/>
        <v>1.9000000000000003E-2</v>
      </c>
      <c r="AK43" s="126">
        <f t="shared" si="32"/>
        <v>1.9000000000000003E-2</v>
      </c>
      <c r="AL43" s="126">
        <f t="shared" si="33"/>
        <v>1.9000000000000003E-2</v>
      </c>
      <c r="AM43" s="126">
        <f t="shared" si="34"/>
        <v>1.9000000000000003E-2</v>
      </c>
      <c r="AN43" s="126">
        <f t="shared" si="35"/>
        <v>1.9000000000000003E-2</v>
      </c>
      <c r="AO43" s="126">
        <f t="shared" si="36"/>
        <v>1.9000000000000003E-2</v>
      </c>
      <c r="AP43" s="126">
        <f t="shared" si="37"/>
        <v>1.9000000000000003E-2</v>
      </c>
      <c r="AQ43" s="126">
        <f t="shared" si="38"/>
        <v>1.9000000000000003E-2</v>
      </c>
      <c r="AR43" s="126">
        <f t="shared" si="38"/>
        <v>1.9000000000000003E-2</v>
      </c>
      <c r="AS43" s="126">
        <f t="shared" si="39"/>
        <v>1.9000000000000003E-2</v>
      </c>
      <c r="AT43" s="126">
        <f t="shared" si="40"/>
        <v>1.9000000000000003E-2</v>
      </c>
      <c r="AU43" s="126">
        <f t="shared" si="41"/>
        <v>1.9000000000000003E-2</v>
      </c>
      <c r="AV43" s="126">
        <f t="shared" si="42"/>
        <v>1.9000000000000003E-2</v>
      </c>
      <c r="AW43" s="126">
        <f t="shared" si="43"/>
        <v>1.9000000000000003E-2</v>
      </c>
      <c r="AX43" s="126">
        <f t="shared" si="44"/>
        <v>1.9000000000000003E-2</v>
      </c>
      <c r="AY43" s="126">
        <f t="shared" si="45"/>
        <v>1.9000000000000003E-2</v>
      </c>
      <c r="AZ43" s="126">
        <f t="shared" si="46"/>
        <v>1.9000000000000003E-2</v>
      </c>
      <c r="BA43" s="126">
        <f t="shared" si="47"/>
        <v>1.9000000000000003E-2</v>
      </c>
      <c r="BB43" s="126">
        <f t="shared" si="48"/>
        <v>1.9000000000000003E-2</v>
      </c>
      <c r="BC43" s="126">
        <f t="shared" si="49"/>
        <v>1.9000000000000003E-2</v>
      </c>
      <c r="BD43" s="126">
        <f t="shared" si="50"/>
        <v>1.9000000000000003E-2</v>
      </c>
    </row>
    <row r="44" spans="2:56" ht="20.399999999999999" customHeight="1">
      <c r="B44" s="6" t="s">
        <v>129</v>
      </c>
      <c r="C44" s="125" t="s">
        <v>170</v>
      </c>
      <c r="D44" s="126">
        <f t="shared" si="51"/>
        <v>1.9000000000000003E-2</v>
      </c>
      <c r="E44" s="126">
        <f t="shared" si="52"/>
        <v>1.9000000000000003E-2</v>
      </c>
      <c r="F44" s="126">
        <f t="shared" si="53"/>
        <v>1.9000000000000003E-2</v>
      </c>
      <c r="G44" s="126">
        <f t="shared" si="54"/>
        <v>1.9000000000000003E-2</v>
      </c>
      <c r="H44" s="126">
        <f t="shared" si="55"/>
        <v>1.9000000000000003E-2</v>
      </c>
      <c r="I44" s="126">
        <f t="shared" si="56"/>
        <v>1.9000000000000003E-2</v>
      </c>
      <c r="J44" s="126">
        <f t="shared" si="57"/>
        <v>1.7000000000000001E-2</v>
      </c>
      <c r="K44" s="126">
        <f t="shared" si="58"/>
        <v>1.7999999999999999E-2</v>
      </c>
      <c r="L44" s="126">
        <f t="shared" si="59"/>
        <v>2.1000000000000001E-2</v>
      </c>
      <c r="M44" s="126">
        <f t="shared" si="60"/>
        <v>1.9E-2</v>
      </c>
      <c r="N44" s="126">
        <f t="shared" si="61"/>
        <v>0.02</v>
      </c>
      <c r="O44" s="126">
        <f t="shared" si="62"/>
        <v>1.9000000000000003E-2</v>
      </c>
      <c r="P44" s="126">
        <f t="shared" si="63"/>
        <v>1.9000000000000003E-2</v>
      </c>
      <c r="Q44" s="126">
        <f t="shared" si="64"/>
        <v>1.9000000000000003E-2</v>
      </c>
      <c r="R44" s="126">
        <f t="shared" si="65"/>
        <v>1.9000000000000003E-2</v>
      </c>
      <c r="S44" s="126">
        <f t="shared" si="66"/>
        <v>1.9000000000000003E-2</v>
      </c>
      <c r="T44" s="126">
        <f t="shared" si="67"/>
        <v>1.9000000000000003E-2</v>
      </c>
      <c r="U44" s="126">
        <f t="shared" si="68"/>
        <v>1.9000000000000003E-2</v>
      </c>
      <c r="V44" s="126">
        <f t="shared" si="69"/>
        <v>1.9000000000000003E-2</v>
      </c>
      <c r="W44" s="126">
        <f t="shared" si="70"/>
        <v>1.9000000000000003E-2</v>
      </c>
      <c r="X44" s="126">
        <f t="shared" si="71"/>
        <v>1.9000000000000003E-2</v>
      </c>
      <c r="Y44" s="126">
        <f t="shared" si="72"/>
        <v>1.9000000000000003E-2</v>
      </c>
      <c r="Z44" s="126">
        <f t="shared" si="73"/>
        <v>1.9000000000000003E-2</v>
      </c>
      <c r="AA44" s="126">
        <f t="shared" si="74"/>
        <v>1.9000000000000003E-2</v>
      </c>
      <c r="AB44" s="126">
        <f t="shared" si="75"/>
        <v>1.9000000000000003E-2</v>
      </c>
      <c r="AC44" s="126">
        <f t="shared" si="76"/>
        <v>1.9000000000000003E-2</v>
      </c>
      <c r="AD44" s="126">
        <f t="shared" si="77"/>
        <v>1.9000000000000003E-2</v>
      </c>
      <c r="AE44" s="126">
        <f t="shared" si="78"/>
        <v>1.9000000000000003E-2</v>
      </c>
      <c r="AF44" s="126">
        <f t="shared" si="79"/>
        <v>1.9000000000000003E-2</v>
      </c>
      <c r="AG44" s="126">
        <f t="shared" si="80"/>
        <v>1.9000000000000003E-2</v>
      </c>
      <c r="AH44" s="126">
        <f t="shared" si="81"/>
        <v>1.9000000000000003E-2</v>
      </c>
      <c r="AI44" s="126">
        <f t="shared" si="30"/>
        <v>1.9000000000000003E-2</v>
      </c>
      <c r="AJ44" s="126">
        <f t="shared" si="31"/>
        <v>1.9000000000000003E-2</v>
      </c>
      <c r="AK44" s="126">
        <f t="shared" si="32"/>
        <v>1.9000000000000003E-2</v>
      </c>
      <c r="AL44" s="126">
        <f t="shared" si="33"/>
        <v>1.9000000000000003E-2</v>
      </c>
      <c r="AM44" s="126">
        <f t="shared" si="34"/>
        <v>1.9000000000000003E-2</v>
      </c>
      <c r="AN44" s="126">
        <f t="shared" si="35"/>
        <v>1.9000000000000003E-2</v>
      </c>
      <c r="AO44" s="126">
        <f t="shared" si="36"/>
        <v>1.9000000000000003E-2</v>
      </c>
      <c r="AP44" s="126">
        <f t="shared" si="37"/>
        <v>1.9000000000000003E-2</v>
      </c>
      <c r="AQ44" s="126">
        <f t="shared" si="38"/>
        <v>1.9000000000000003E-2</v>
      </c>
      <c r="AR44" s="126">
        <f t="shared" si="38"/>
        <v>1.9000000000000003E-2</v>
      </c>
      <c r="AS44" s="126">
        <f t="shared" si="39"/>
        <v>1.9000000000000003E-2</v>
      </c>
      <c r="AT44" s="126">
        <f t="shared" si="40"/>
        <v>1.9000000000000003E-2</v>
      </c>
      <c r="AU44" s="126">
        <f t="shared" si="41"/>
        <v>1.9000000000000003E-2</v>
      </c>
      <c r="AV44" s="126">
        <f t="shared" si="42"/>
        <v>1.9000000000000003E-2</v>
      </c>
      <c r="AW44" s="126">
        <f t="shared" si="43"/>
        <v>1.9000000000000003E-2</v>
      </c>
      <c r="AX44" s="126">
        <f t="shared" si="44"/>
        <v>1.9000000000000003E-2</v>
      </c>
      <c r="AY44" s="126">
        <f t="shared" si="45"/>
        <v>1.9000000000000003E-2</v>
      </c>
      <c r="AZ44" s="126">
        <f t="shared" si="46"/>
        <v>1.9000000000000003E-2</v>
      </c>
      <c r="BA44" s="126">
        <f t="shared" si="47"/>
        <v>1.9000000000000003E-2</v>
      </c>
      <c r="BB44" s="126">
        <f t="shared" si="48"/>
        <v>1.9000000000000003E-2</v>
      </c>
      <c r="BC44" s="126">
        <f t="shared" si="49"/>
        <v>1.9000000000000003E-2</v>
      </c>
      <c r="BD44" s="126">
        <f t="shared" si="50"/>
        <v>1.9000000000000003E-2</v>
      </c>
    </row>
    <row r="45" spans="2:56" ht="20.399999999999999" customHeight="1">
      <c r="B45" s="6" t="s">
        <v>130</v>
      </c>
      <c r="C45" s="125" t="s">
        <v>170</v>
      </c>
      <c r="D45" s="126">
        <f t="shared" si="51"/>
        <v>1.9000000000000003E-2</v>
      </c>
      <c r="E45" s="126">
        <f t="shared" si="52"/>
        <v>1.9000000000000003E-2</v>
      </c>
      <c r="F45" s="126">
        <f t="shared" si="53"/>
        <v>1.9000000000000003E-2</v>
      </c>
      <c r="G45" s="126">
        <f t="shared" si="54"/>
        <v>1.9000000000000003E-2</v>
      </c>
      <c r="H45" s="126">
        <f t="shared" si="55"/>
        <v>1.9000000000000003E-2</v>
      </c>
      <c r="I45" s="126">
        <f t="shared" si="56"/>
        <v>1.9000000000000003E-2</v>
      </c>
      <c r="J45" s="126">
        <f t="shared" si="57"/>
        <v>1.7000000000000001E-2</v>
      </c>
      <c r="K45" s="126">
        <f t="shared" si="58"/>
        <v>1.7999999999999999E-2</v>
      </c>
      <c r="L45" s="126">
        <f t="shared" si="59"/>
        <v>2.1000000000000001E-2</v>
      </c>
      <c r="M45" s="126">
        <f t="shared" si="60"/>
        <v>1.9E-2</v>
      </c>
      <c r="N45" s="126">
        <f t="shared" si="61"/>
        <v>0.02</v>
      </c>
      <c r="O45" s="126">
        <f t="shared" si="62"/>
        <v>1.9000000000000003E-2</v>
      </c>
      <c r="P45" s="126">
        <f t="shared" si="63"/>
        <v>1.9000000000000003E-2</v>
      </c>
      <c r="Q45" s="126">
        <f t="shared" si="64"/>
        <v>1.9000000000000003E-2</v>
      </c>
      <c r="R45" s="126">
        <f t="shared" si="65"/>
        <v>1.9000000000000003E-2</v>
      </c>
      <c r="S45" s="126">
        <f t="shared" si="66"/>
        <v>1.9000000000000003E-2</v>
      </c>
      <c r="T45" s="126">
        <f t="shared" si="67"/>
        <v>1.9000000000000003E-2</v>
      </c>
      <c r="U45" s="126">
        <f t="shared" si="68"/>
        <v>1.9000000000000003E-2</v>
      </c>
      <c r="V45" s="126">
        <f t="shared" si="69"/>
        <v>1.9000000000000003E-2</v>
      </c>
      <c r="W45" s="126">
        <f t="shared" si="70"/>
        <v>1.9000000000000003E-2</v>
      </c>
      <c r="X45" s="126">
        <f t="shared" si="71"/>
        <v>1.9000000000000003E-2</v>
      </c>
      <c r="Y45" s="126">
        <f t="shared" si="72"/>
        <v>1.9000000000000003E-2</v>
      </c>
      <c r="Z45" s="126">
        <f t="shared" si="73"/>
        <v>1.9000000000000003E-2</v>
      </c>
      <c r="AA45" s="126">
        <f t="shared" si="74"/>
        <v>1.9000000000000003E-2</v>
      </c>
      <c r="AB45" s="126">
        <f t="shared" si="75"/>
        <v>1.9000000000000003E-2</v>
      </c>
      <c r="AC45" s="126">
        <f t="shared" si="76"/>
        <v>1.9000000000000003E-2</v>
      </c>
      <c r="AD45" s="126">
        <f t="shared" si="77"/>
        <v>1.9000000000000003E-2</v>
      </c>
      <c r="AE45" s="126">
        <f t="shared" si="78"/>
        <v>1.9000000000000003E-2</v>
      </c>
      <c r="AF45" s="126">
        <f t="shared" si="79"/>
        <v>1.9000000000000003E-2</v>
      </c>
      <c r="AG45" s="126">
        <f t="shared" si="80"/>
        <v>1.9000000000000003E-2</v>
      </c>
      <c r="AH45" s="126">
        <f t="shared" si="81"/>
        <v>1.9000000000000003E-2</v>
      </c>
      <c r="AI45" s="126">
        <f t="shared" si="30"/>
        <v>1.9000000000000003E-2</v>
      </c>
      <c r="AJ45" s="126">
        <f t="shared" si="31"/>
        <v>1.9000000000000003E-2</v>
      </c>
      <c r="AK45" s="126">
        <f t="shared" si="32"/>
        <v>1.9000000000000003E-2</v>
      </c>
      <c r="AL45" s="126">
        <f t="shared" si="33"/>
        <v>1.9000000000000003E-2</v>
      </c>
      <c r="AM45" s="126">
        <f t="shared" si="34"/>
        <v>1.9000000000000003E-2</v>
      </c>
      <c r="AN45" s="126">
        <f t="shared" si="35"/>
        <v>1.9000000000000003E-2</v>
      </c>
      <c r="AO45" s="126">
        <f t="shared" si="36"/>
        <v>1.9000000000000003E-2</v>
      </c>
      <c r="AP45" s="126">
        <f t="shared" si="37"/>
        <v>1.9000000000000003E-2</v>
      </c>
      <c r="AQ45" s="126">
        <f t="shared" si="38"/>
        <v>1.9000000000000003E-2</v>
      </c>
      <c r="AR45" s="126">
        <f t="shared" si="38"/>
        <v>1.9000000000000003E-2</v>
      </c>
      <c r="AS45" s="126">
        <f t="shared" si="39"/>
        <v>1.9000000000000003E-2</v>
      </c>
      <c r="AT45" s="126">
        <f t="shared" si="40"/>
        <v>1.9000000000000003E-2</v>
      </c>
      <c r="AU45" s="126">
        <f t="shared" si="41"/>
        <v>1.9000000000000003E-2</v>
      </c>
      <c r="AV45" s="126">
        <f t="shared" si="42"/>
        <v>1.9000000000000003E-2</v>
      </c>
      <c r="AW45" s="126">
        <f t="shared" si="43"/>
        <v>1.9000000000000003E-2</v>
      </c>
      <c r="AX45" s="126">
        <f t="shared" si="44"/>
        <v>1.9000000000000003E-2</v>
      </c>
      <c r="AY45" s="126">
        <f t="shared" si="45"/>
        <v>1.9000000000000003E-2</v>
      </c>
      <c r="AZ45" s="126">
        <f t="shared" si="46"/>
        <v>1.9000000000000003E-2</v>
      </c>
      <c r="BA45" s="126">
        <f t="shared" si="47"/>
        <v>1.9000000000000003E-2</v>
      </c>
      <c r="BB45" s="126">
        <f t="shared" si="48"/>
        <v>1.9000000000000003E-2</v>
      </c>
      <c r="BC45" s="126">
        <f t="shared" si="49"/>
        <v>1.9000000000000003E-2</v>
      </c>
      <c r="BD45" s="126">
        <f t="shared" si="50"/>
        <v>1.9000000000000003E-2</v>
      </c>
    </row>
    <row r="46" spans="2:56" ht="20.399999999999999" customHeight="1">
      <c r="B46" s="6" t="s">
        <v>131</v>
      </c>
      <c r="C46" s="125" t="s">
        <v>170</v>
      </c>
      <c r="D46" s="126">
        <f t="shared" si="51"/>
        <v>1.9000000000000003E-2</v>
      </c>
      <c r="E46" s="126">
        <f t="shared" si="52"/>
        <v>1.9000000000000003E-2</v>
      </c>
      <c r="F46" s="126">
        <f t="shared" si="53"/>
        <v>1.9000000000000003E-2</v>
      </c>
      <c r="G46" s="126">
        <f t="shared" si="54"/>
        <v>1.9000000000000003E-2</v>
      </c>
      <c r="H46" s="126">
        <f t="shared" si="55"/>
        <v>1.9000000000000003E-2</v>
      </c>
      <c r="I46" s="126">
        <f t="shared" si="56"/>
        <v>1.9000000000000003E-2</v>
      </c>
      <c r="J46" s="126">
        <f t="shared" si="57"/>
        <v>1.7000000000000001E-2</v>
      </c>
      <c r="K46" s="126">
        <f t="shared" si="58"/>
        <v>1.7999999999999999E-2</v>
      </c>
      <c r="L46" s="126">
        <f t="shared" si="59"/>
        <v>2.1000000000000001E-2</v>
      </c>
      <c r="M46" s="126">
        <f t="shared" si="60"/>
        <v>1.9E-2</v>
      </c>
      <c r="N46" s="126">
        <f t="shared" si="61"/>
        <v>0.02</v>
      </c>
      <c r="O46" s="126">
        <f t="shared" si="62"/>
        <v>1.9000000000000003E-2</v>
      </c>
      <c r="P46" s="126">
        <f t="shared" si="63"/>
        <v>1.9000000000000003E-2</v>
      </c>
      <c r="Q46" s="126">
        <f t="shared" si="64"/>
        <v>1.9000000000000003E-2</v>
      </c>
      <c r="R46" s="126">
        <f t="shared" si="65"/>
        <v>1.9000000000000003E-2</v>
      </c>
      <c r="S46" s="126">
        <f t="shared" si="66"/>
        <v>1.9000000000000003E-2</v>
      </c>
      <c r="T46" s="126">
        <f t="shared" si="67"/>
        <v>1.9000000000000003E-2</v>
      </c>
      <c r="U46" s="126">
        <f t="shared" si="68"/>
        <v>1.9000000000000003E-2</v>
      </c>
      <c r="V46" s="126">
        <f t="shared" si="69"/>
        <v>1.9000000000000003E-2</v>
      </c>
      <c r="W46" s="126">
        <f t="shared" si="70"/>
        <v>1.9000000000000003E-2</v>
      </c>
      <c r="X46" s="126">
        <f t="shared" si="71"/>
        <v>1.9000000000000003E-2</v>
      </c>
      <c r="Y46" s="126">
        <f t="shared" si="72"/>
        <v>1.9000000000000003E-2</v>
      </c>
      <c r="Z46" s="126">
        <f t="shared" si="73"/>
        <v>1.9000000000000003E-2</v>
      </c>
      <c r="AA46" s="126">
        <f t="shared" si="74"/>
        <v>1.9000000000000003E-2</v>
      </c>
      <c r="AB46" s="126">
        <f t="shared" si="75"/>
        <v>1.9000000000000003E-2</v>
      </c>
      <c r="AC46" s="126">
        <f t="shared" si="76"/>
        <v>1.9000000000000003E-2</v>
      </c>
      <c r="AD46" s="126">
        <f t="shared" si="77"/>
        <v>1.9000000000000003E-2</v>
      </c>
      <c r="AE46" s="126">
        <f t="shared" si="78"/>
        <v>1.9000000000000003E-2</v>
      </c>
      <c r="AF46" s="126">
        <f t="shared" si="79"/>
        <v>1.9000000000000003E-2</v>
      </c>
      <c r="AG46" s="126">
        <f t="shared" si="80"/>
        <v>1.9000000000000003E-2</v>
      </c>
      <c r="AH46" s="126">
        <f t="shared" si="81"/>
        <v>1.9000000000000003E-2</v>
      </c>
      <c r="AI46" s="126">
        <f t="shared" si="30"/>
        <v>1.9000000000000003E-2</v>
      </c>
      <c r="AJ46" s="126">
        <f t="shared" si="31"/>
        <v>1.9000000000000003E-2</v>
      </c>
      <c r="AK46" s="126">
        <f t="shared" si="32"/>
        <v>1.9000000000000003E-2</v>
      </c>
      <c r="AL46" s="126">
        <f t="shared" si="33"/>
        <v>1.9000000000000003E-2</v>
      </c>
      <c r="AM46" s="126">
        <f t="shared" si="34"/>
        <v>1.9000000000000003E-2</v>
      </c>
      <c r="AN46" s="126">
        <f t="shared" si="35"/>
        <v>1.9000000000000003E-2</v>
      </c>
      <c r="AO46" s="126">
        <f t="shared" si="36"/>
        <v>1.9000000000000003E-2</v>
      </c>
      <c r="AP46" s="126">
        <f t="shared" si="37"/>
        <v>1.9000000000000003E-2</v>
      </c>
      <c r="AQ46" s="126">
        <f t="shared" si="38"/>
        <v>1.9000000000000003E-2</v>
      </c>
      <c r="AR46" s="126">
        <f t="shared" si="38"/>
        <v>1.9000000000000003E-2</v>
      </c>
      <c r="AS46" s="126">
        <f t="shared" si="39"/>
        <v>1.9000000000000003E-2</v>
      </c>
      <c r="AT46" s="126">
        <f t="shared" si="40"/>
        <v>1.9000000000000003E-2</v>
      </c>
      <c r="AU46" s="126">
        <f t="shared" si="41"/>
        <v>1.9000000000000003E-2</v>
      </c>
      <c r="AV46" s="126">
        <f t="shared" si="42"/>
        <v>1.9000000000000003E-2</v>
      </c>
      <c r="AW46" s="126">
        <f t="shared" si="43"/>
        <v>1.9000000000000003E-2</v>
      </c>
      <c r="AX46" s="126">
        <f t="shared" si="44"/>
        <v>1.9000000000000003E-2</v>
      </c>
      <c r="AY46" s="126">
        <f t="shared" si="45"/>
        <v>1.9000000000000003E-2</v>
      </c>
      <c r="AZ46" s="126">
        <f t="shared" si="46"/>
        <v>1.9000000000000003E-2</v>
      </c>
      <c r="BA46" s="126">
        <f t="shared" si="47"/>
        <v>1.9000000000000003E-2</v>
      </c>
      <c r="BB46" s="126">
        <f t="shared" si="48"/>
        <v>1.9000000000000003E-2</v>
      </c>
      <c r="BC46" s="126">
        <f t="shared" si="49"/>
        <v>1.9000000000000003E-2</v>
      </c>
      <c r="BD46" s="126">
        <f t="shared" si="50"/>
        <v>1.9000000000000003E-2</v>
      </c>
    </row>
    <row r="47" spans="2:56" ht="20.399999999999999" customHeight="1">
      <c r="B47" s="6" t="s">
        <v>132</v>
      </c>
      <c r="C47" s="125" t="s">
        <v>170</v>
      </c>
      <c r="D47" s="126">
        <f t="shared" si="51"/>
        <v>1.9000000000000003E-2</v>
      </c>
      <c r="E47" s="126">
        <f t="shared" si="52"/>
        <v>1.9000000000000003E-2</v>
      </c>
      <c r="F47" s="126">
        <f t="shared" si="53"/>
        <v>1.9000000000000003E-2</v>
      </c>
      <c r="G47" s="126">
        <f t="shared" si="54"/>
        <v>1.9000000000000003E-2</v>
      </c>
      <c r="H47" s="126">
        <f t="shared" si="55"/>
        <v>1.9000000000000003E-2</v>
      </c>
      <c r="I47" s="126">
        <f t="shared" si="56"/>
        <v>1.9000000000000003E-2</v>
      </c>
      <c r="J47" s="126">
        <f t="shared" si="57"/>
        <v>1.7000000000000001E-2</v>
      </c>
      <c r="K47" s="126">
        <f t="shared" si="58"/>
        <v>1.7999999999999999E-2</v>
      </c>
      <c r="L47" s="126">
        <f t="shared" si="59"/>
        <v>2.1000000000000001E-2</v>
      </c>
      <c r="M47" s="126">
        <f t="shared" si="60"/>
        <v>1.9E-2</v>
      </c>
      <c r="N47" s="126">
        <f t="shared" si="61"/>
        <v>0.02</v>
      </c>
      <c r="O47" s="126">
        <f t="shared" si="62"/>
        <v>1.9000000000000003E-2</v>
      </c>
      <c r="P47" s="126">
        <f t="shared" si="63"/>
        <v>1.9000000000000003E-2</v>
      </c>
      <c r="Q47" s="126">
        <f t="shared" si="64"/>
        <v>1.9000000000000003E-2</v>
      </c>
      <c r="R47" s="126">
        <f t="shared" si="65"/>
        <v>1.9000000000000003E-2</v>
      </c>
      <c r="S47" s="126">
        <f t="shared" si="66"/>
        <v>1.9000000000000003E-2</v>
      </c>
      <c r="T47" s="126">
        <f t="shared" si="67"/>
        <v>1.9000000000000003E-2</v>
      </c>
      <c r="U47" s="126">
        <f t="shared" si="68"/>
        <v>1.9000000000000003E-2</v>
      </c>
      <c r="V47" s="126">
        <f t="shared" si="69"/>
        <v>1.9000000000000003E-2</v>
      </c>
      <c r="W47" s="126">
        <f t="shared" si="70"/>
        <v>1.9000000000000003E-2</v>
      </c>
      <c r="X47" s="126">
        <f t="shared" si="71"/>
        <v>1.9000000000000003E-2</v>
      </c>
      <c r="Y47" s="126">
        <f t="shared" si="72"/>
        <v>1.9000000000000003E-2</v>
      </c>
      <c r="Z47" s="126">
        <f t="shared" si="73"/>
        <v>1.9000000000000003E-2</v>
      </c>
      <c r="AA47" s="126">
        <f t="shared" si="74"/>
        <v>1.9000000000000003E-2</v>
      </c>
      <c r="AB47" s="126">
        <f t="shared" si="75"/>
        <v>1.9000000000000003E-2</v>
      </c>
      <c r="AC47" s="126">
        <f t="shared" si="76"/>
        <v>1.9000000000000003E-2</v>
      </c>
      <c r="AD47" s="126">
        <f t="shared" si="77"/>
        <v>1.9000000000000003E-2</v>
      </c>
      <c r="AE47" s="126">
        <f t="shared" si="78"/>
        <v>1.9000000000000003E-2</v>
      </c>
      <c r="AF47" s="126">
        <f t="shared" si="79"/>
        <v>1.9000000000000003E-2</v>
      </c>
      <c r="AG47" s="126">
        <f t="shared" si="80"/>
        <v>1.9000000000000003E-2</v>
      </c>
      <c r="AH47" s="126">
        <f t="shared" si="81"/>
        <v>1.9000000000000003E-2</v>
      </c>
      <c r="AI47" s="126">
        <f t="shared" si="30"/>
        <v>1.9000000000000003E-2</v>
      </c>
      <c r="AJ47" s="126">
        <f t="shared" si="31"/>
        <v>1.9000000000000003E-2</v>
      </c>
      <c r="AK47" s="126">
        <f t="shared" si="32"/>
        <v>1.9000000000000003E-2</v>
      </c>
      <c r="AL47" s="126">
        <f t="shared" si="33"/>
        <v>1.9000000000000003E-2</v>
      </c>
      <c r="AM47" s="126">
        <f t="shared" si="34"/>
        <v>1.9000000000000003E-2</v>
      </c>
      <c r="AN47" s="126">
        <f t="shared" si="35"/>
        <v>1.9000000000000003E-2</v>
      </c>
      <c r="AO47" s="126">
        <f t="shared" si="36"/>
        <v>1.9000000000000003E-2</v>
      </c>
      <c r="AP47" s="126">
        <f t="shared" si="37"/>
        <v>1.9000000000000003E-2</v>
      </c>
      <c r="AQ47" s="126">
        <f t="shared" si="38"/>
        <v>1.9000000000000003E-2</v>
      </c>
      <c r="AR47" s="126">
        <f t="shared" si="38"/>
        <v>1.9000000000000003E-2</v>
      </c>
      <c r="AS47" s="126">
        <f t="shared" si="39"/>
        <v>1.9000000000000003E-2</v>
      </c>
      <c r="AT47" s="126">
        <f t="shared" si="40"/>
        <v>1.9000000000000003E-2</v>
      </c>
      <c r="AU47" s="126">
        <f t="shared" si="41"/>
        <v>1.9000000000000003E-2</v>
      </c>
      <c r="AV47" s="126">
        <f t="shared" si="42"/>
        <v>1.9000000000000003E-2</v>
      </c>
      <c r="AW47" s="126">
        <f t="shared" si="43"/>
        <v>1.9000000000000003E-2</v>
      </c>
      <c r="AX47" s="126">
        <f t="shared" si="44"/>
        <v>1.9000000000000003E-2</v>
      </c>
      <c r="AY47" s="126">
        <f t="shared" si="45"/>
        <v>1.9000000000000003E-2</v>
      </c>
      <c r="AZ47" s="126">
        <f t="shared" si="46"/>
        <v>1.9000000000000003E-2</v>
      </c>
      <c r="BA47" s="126">
        <f t="shared" si="47"/>
        <v>1.9000000000000003E-2</v>
      </c>
      <c r="BB47" s="126">
        <f t="shared" si="48"/>
        <v>1.9000000000000003E-2</v>
      </c>
      <c r="BC47" s="126">
        <f t="shared" si="49"/>
        <v>1.9000000000000003E-2</v>
      </c>
      <c r="BD47" s="126">
        <f t="shared" si="50"/>
        <v>1.9000000000000003E-2</v>
      </c>
    </row>
    <row r="48" spans="2:56" ht="20.399999999999999" customHeight="1">
      <c r="B48" s="6" t="s">
        <v>133</v>
      </c>
      <c r="C48" s="125" t="s">
        <v>170</v>
      </c>
      <c r="D48" s="126">
        <f t="shared" si="51"/>
        <v>1.9000000000000003E-2</v>
      </c>
      <c r="E48" s="126">
        <f t="shared" si="52"/>
        <v>1.9000000000000003E-2</v>
      </c>
      <c r="F48" s="126">
        <f t="shared" si="53"/>
        <v>1.9000000000000003E-2</v>
      </c>
      <c r="G48" s="126">
        <f t="shared" si="54"/>
        <v>1.9000000000000003E-2</v>
      </c>
      <c r="H48" s="126">
        <f t="shared" si="55"/>
        <v>1.9000000000000003E-2</v>
      </c>
      <c r="I48" s="126">
        <f t="shared" si="56"/>
        <v>1.9000000000000003E-2</v>
      </c>
      <c r="J48" s="126">
        <f t="shared" si="57"/>
        <v>1.7000000000000001E-2</v>
      </c>
      <c r="K48" s="126">
        <f t="shared" si="58"/>
        <v>1.7999999999999999E-2</v>
      </c>
      <c r="L48" s="126">
        <f t="shared" si="59"/>
        <v>2.1000000000000001E-2</v>
      </c>
      <c r="M48" s="126">
        <f t="shared" si="60"/>
        <v>1.9E-2</v>
      </c>
      <c r="N48" s="126">
        <f t="shared" si="61"/>
        <v>0.02</v>
      </c>
      <c r="O48" s="126">
        <f t="shared" si="62"/>
        <v>1.9000000000000003E-2</v>
      </c>
      <c r="P48" s="126">
        <f t="shared" si="63"/>
        <v>1.9000000000000003E-2</v>
      </c>
      <c r="Q48" s="126">
        <f t="shared" si="64"/>
        <v>1.9000000000000003E-2</v>
      </c>
      <c r="R48" s="126">
        <f t="shared" si="65"/>
        <v>1.9000000000000003E-2</v>
      </c>
      <c r="S48" s="126">
        <f t="shared" si="66"/>
        <v>1.9000000000000003E-2</v>
      </c>
      <c r="T48" s="126">
        <f t="shared" si="67"/>
        <v>1.9000000000000003E-2</v>
      </c>
      <c r="U48" s="126">
        <f t="shared" si="68"/>
        <v>1.9000000000000003E-2</v>
      </c>
      <c r="V48" s="126">
        <f t="shared" si="69"/>
        <v>1.9000000000000003E-2</v>
      </c>
      <c r="W48" s="126">
        <f t="shared" si="70"/>
        <v>1.9000000000000003E-2</v>
      </c>
      <c r="X48" s="126">
        <f t="shared" si="71"/>
        <v>1.9000000000000003E-2</v>
      </c>
      <c r="Y48" s="126">
        <f t="shared" si="72"/>
        <v>1.9000000000000003E-2</v>
      </c>
      <c r="Z48" s="126">
        <f t="shared" si="73"/>
        <v>1.9000000000000003E-2</v>
      </c>
      <c r="AA48" s="126">
        <f t="shared" si="74"/>
        <v>1.9000000000000003E-2</v>
      </c>
      <c r="AB48" s="126">
        <f t="shared" si="75"/>
        <v>1.9000000000000003E-2</v>
      </c>
      <c r="AC48" s="126">
        <f t="shared" si="76"/>
        <v>1.9000000000000003E-2</v>
      </c>
      <c r="AD48" s="126">
        <f t="shared" si="77"/>
        <v>1.9000000000000003E-2</v>
      </c>
      <c r="AE48" s="126">
        <f t="shared" si="78"/>
        <v>1.9000000000000003E-2</v>
      </c>
      <c r="AF48" s="126">
        <f t="shared" si="79"/>
        <v>1.9000000000000003E-2</v>
      </c>
      <c r="AG48" s="126">
        <f t="shared" si="80"/>
        <v>1.9000000000000003E-2</v>
      </c>
      <c r="AH48" s="126">
        <f t="shared" si="81"/>
        <v>1.9000000000000003E-2</v>
      </c>
      <c r="AI48" s="126">
        <f t="shared" si="30"/>
        <v>1.9000000000000003E-2</v>
      </c>
      <c r="AJ48" s="126">
        <f t="shared" si="31"/>
        <v>1.9000000000000003E-2</v>
      </c>
      <c r="AK48" s="126">
        <f t="shared" si="32"/>
        <v>1.9000000000000003E-2</v>
      </c>
      <c r="AL48" s="126">
        <f t="shared" si="33"/>
        <v>1.9000000000000003E-2</v>
      </c>
      <c r="AM48" s="126">
        <f t="shared" si="34"/>
        <v>1.9000000000000003E-2</v>
      </c>
      <c r="AN48" s="126">
        <f t="shared" si="35"/>
        <v>1.9000000000000003E-2</v>
      </c>
      <c r="AO48" s="126">
        <f t="shared" si="36"/>
        <v>1.9000000000000003E-2</v>
      </c>
      <c r="AP48" s="126">
        <f t="shared" si="37"/>
        <v>1.9000000000000003E-2</v>
      </c>
      <c r="AQ48" s="126">
        <f t="shared" si="38"/>
        <v>1.9000000000000003E-2</v>
      </c>
      <c r="AR48" s="126">
        <f t="shared" si="38"/>
        <v>1.9000000000000003E-2</v>
      </c>
      <c r="AS48" s="126">
        <f t="shared" si="39"/>
        <v>1.9000000000000003E-2</v>
      </c>
      <c r="AT48" s="126">
        <f t="shared" si="40"/>
        <v>1.9000000000000003E-2</v>
      </c>
      <c r="AU48" s="126">
        <f t="shared" si="41"/>
        <v>1.9000000000000003E-2</v>
      </c>
      <c r="AV48" s="126">
        <f t="shared" si="42"/>
        <v>1.9000000000000003E-2</v>
      </c>
      <c r="AW48" s="126">
        <f t="shared" si="43"/>
        <v>1.9000000000000003E-2</v>
      </c>
      <c r="AX48" s="126">
        <f t="shared" si="44"/>
        <v>1.9000000000000003E-2</v>
      </c>
      <c r="AY48" s="126">
        <f t="shared" si="45"/>
        <v>1.9000000000000003E-2</v>
      </c>
      <c r="AZ48" s="126">
        <f t="shared" si="46"/>
        <v>1.9000000000000003E-2</v>
      </c>
      <c r="BA48" s="126">
        <f t="shared" si="47"/>
        <v>1.9000000000000003E-2</v>
      </c>
      <c r="BB48" s="126">
        <f t="shared" si="48"/>
        <v>1.9000000000000003E-2</v>
      </c>
      <c r="BC48" s="126">
        <f t="shared" si="49"/>
        <v>1.9000000000000003E-2</v>
      </c>
      <c r="BD48" s="126">
        <f t="shared" si="50"/>
        <v>1.9000000000000003E-2</v>
      </c>
    </row>
    <row r="49" spans="2:56" ht="20.399999999999999" customHeight="1">
      <c r="B49" s="6" t="s">
        <v>134</v>
      </c>
      <c r="C49" s="125" t="s">
        <v>170</v>
      </c>
      <c r="D49" s="126">
        <f t="shared" si="51"/>
        <v>1.9000000000000003E-2</v>
      </c>
      <c r="E49" s="126">
        <f t="shared" si="52"/>
        <v>1.9000000000000003E-2</v>
      </c>
      <c r="F49" s="126">
        <f t="shared" si="53"/>
        <v>1.9000000000000003E-2</v>
      </c>
      <c r="G49" s="126">
        <f t="shared" si="54"/>
        <v>1.9000000000000003E-2</v>
      </c>
      <c r="H49" s="126">
        <f t="shared" si="55"/>
        <v>1.9000000000000003E-2</v>
      </c>
      <c r="I49" s="126">
        <f t="shared" si="56"/>
        <v>1.9000000000000003E-2</v>
      </c>
      <c r="J49" s="126">
        <f t="shared" si="57"/>
        <v>1.7000000000000001E-2</v>
      </c>
      <c r="K49" s="126">
        <f t="shared" si="58"/>
        <v>1.7999999999999999E-2</v>
      </c>
      <c r="L49" s="126">
        <f t="shared" si="59"/>
        <v>2.1000000000000001E-2</v>
      </c>
      <c r="M49" s="126">
        <f t="shared" si="60"/>
        <v>1.9E-2</v>
      </c>
      <c r="N49" s="126">
        <f t="shared" si="61"/>
        <v>0.02</v>
      </c>
      <c r="O49" s="126">
        <f t="shared" si="62"/>
        <v>1.9000000000000003E-2</v>
      </c>
      <c r="P49" s="126">
        <f t="shared" si="63"/>
        <v>1.9000000000000003E-2</v>
      </c>
      <c r="Q49" s="126">
        <f t="shared" si="64"/>
        <v>1.9000000000000003E-2</v>
      </c>
      <c r="R49" s="126">
        <f t="shared" si="65"/>
        <v>1.9000000000000003E-2</v>
      </c>
      <c r="S49" s="126">
        <f t="shared" si="66"/>
        <v>1.9000000000000003E-2</v>
      </c>
      <c r="T49" s="126">
        <f t="shared" si="67"/>
        <v>1.9000000000000003E-2</v>
      </c>
      <c r="U49" s="126">
        <f t="shared" si="68"/>
        <v>1.9000000000000003E-2</v>
      </c>
      <c r="V49" s="126">
        <f t="shared" si="69"/>
        <v>1.9000000000000003E-2</v>
      </c>
      <c r="W49" s="126">
        <f t="shared" si="70"/>
        <v>1.9000000000000003E-2</v>
      </c>
      <c r="X49" s="126">
        <f t="shared" si="71"/>
        <v>1.9000000000000003E-2</v>
      </c>
      <c r="Y49" s="126">
        <f t="shared" si="72"/>
        <v>1.9000000000000003E-2</v>
      </c>
      <c r="Z49" s="126">
        <f t="shared" si="73"/>
        <v>1.9000000000000003E-2</v>
      </c>
      <c r="AA49" s="126">
        <f t="shared" si="74"/>
        <v>1.9000000000000003E-2</v>
      </c>
      <c r="AB49" s="126">
        <f t="shared" si="75"/>
        <v>1.9000000000000003E-2</v>
      </c>
      <c r="AC49" s="126">
        <f t="shared" si="76"/>
        <v>1.9000000000000003E-2</v>
      </c>
      <c r="AD49" s="126">
        <f t="shared" si="77"/>
        <v>1.9000000000000003E-2</v>
      </c>
      <c r="AE49" s="126">
        <f t="shared" si="78"/>
        <v>1.9000000000000003E-2</v>
      </c>
      <c r="AF49" s="126">
        <f t="shared" si="79"/>
        <v>1.9000000000000003E-2</v>
      </c>
      <c r="AG49" s="126">
        <f t="shared" si="80"/>
        <v>1.9000000000000003E-2</v>
      </c>
      <c r="AH49" s="126">
        <f t="shared" si="81"/>
        <v>1.9000000000000003E-2</v>
      </c>
      <c r="AI49" s="126">
        <f t="shared" si="30"/>
        <v>1.9000000000000003E-2</v>
      </c>
      <c r="AJ49" s="126">
        <f t="shared" si="31"/>
        <v>1.9000000000000003E-2</v>
      </c>
      <c r="AK49" s="126">
        <f t="shared" si="32"/>
        <v>1.9000000000000003E-2</v>
      </c>
      <c r="AL49" s="126">
        <f t="shared" si="33"/>
        <v>1.9000000000000003E-2</v>
      </c>
      <c r="AM49" s="126">
        <f t="shared" si="34"/>
        <v>1.9000000000000003E-2</v>
      </c>
      <c r="AN49" s="126">
        <f t="shared" si="35"/>
        <v>1.9000000000000003E-2</v>
      </c>
      <c r="AO49" s="126">
        <f t="shared" si="36"/>
        <v>1.9000000000000003E-2</v>
      </c>
      <c r="AP49" s="126">
        <f t="shared" si="37"/>
        <v>1.9000000000000003E-2</v>
      </c>
      <c r="AQ49" s="126">
        <f t="shared" si="38"/>
        <v>1.9000000000000003E-2</v>
      </c>
      <c r="AR49" s="126">
        <f t="shared" si="38"/>
        <v>1.9000000000000003E-2</v>
      </c>
      <c r="AS49" s="126">
        <f t="shared" si="39"/>
        <v>1.9000000000000003E-2</v>
      </c>
      <c r="AT49" s="126">
        <f t="shared" si="40"/>
        <v>1.9000000000000003E-2</v>
      </c>
      <c r="AU49" s="126">
        <f t="shared" si="41"/>
        <v>1.9000000000000003E-2</v>
      </c>
      <c r="AV49" s="126">
        <f t="shared" si="42"/>
        <v>1.9000000000000003E-2</v>
      </c>
      <c r="AW49" s="126">
        <f t="shared" si="43"/>
        <v>1.9000000000000003E-2</v>
      </c>
      <c r="AX49" s="126">
        <f t="shared" si="44"/>
        <v>1.9000000000000003E-2</v>
      </c>
      <c r="AY49" s="126">
        <f t="shared" si="45"/>
        <v>1.9000000000000003E-2</v>
      </c>
      <c r="AZ49" s="126">
        <f t="shared" si="46"/>
        <v>1.9000000000000003E-2</v>
      </c>
      <c r="BA49" s="126">
        <f t="shared" si="47"/>
        <v>1.9000000000000003E-2</v>
      </c>
      <c r="BB49" s="126">
        <f t="shared" si="48"/>
        <v>1.9000000000000003E-2</v>
      </c>
      <c r="BC49" s="126">
        <f t="shared" si="49"/>
        <v>1.9000000000000003E-2</v>
      </c>
      <c r="BD49" s="126">
        <f t="shared" si="50"/>
        <v>1.9000000000000003E-2</v>
      </c>
    </row>
    <row r="50" spans="2:56" ht="20.399999999999999" customHeight="1">
      <c r="B50" s="6" t="s">
        <v>135</v>
      </c>
      <c r="C50" s="125" t="s">
        <v>170</v>
      </c>
      <c r="D50" s="126">
        <f t="shared" si="51"/>
        <v>1.9000000000000003E-2</v>
      </c>
      <c r="E50" s="126">
        <f t="shared" si="52"/>
        <v>1.9000000000000003E-2</v>
      </c>
      <c r="F50" s="126">
        <f t="shared" si="53"/>
        <v>1.9000000000000003E-2</v>
      </c>
      <c r="G50" s="126">
        <f t="shared" si="54"/>
        <v>1.9000000000000003E-2</v>
      </c>
      <c r="H50" s="126">
        <f t="shared" si="55"/>
        <v>1.9000000000000003E-2</v>
      </c>
      <c r="I50" s="126">
        <f t="shared" si="56"/>
        <v>1.9000000000000003E-2</v>
      </c>
      <c r="J50" s="126">
        <f t="shared" si="57"/>
        <v>1.7000000000000001E-2</v>
      </c>
      <c r="K50" s="126">
        <f t="shared" si="58"/>
        <v>1.7999999999999999E-2</v>
      </c>
      <c r="L50" s="126">
        <f t="shared" si="59"/>
        <v>2.1000000000000001E-2</v>
      </c>
      <c r="M50" s="126">
        <f t="shared" si="60"/>
        <v>1.9E-2</v>
      </c>
      <c r="N50" s="126">
        <f t="shared" si="61"/>
        <v>0.02</v>
      </c>
      <c r="O50" s="126">
        <f t="shared" si="62"/>
        <v>1.9000000000000003E-2</v>
      </c>
      <c r="P50" s="126">
        <f t="shared" si="63"/>
        <v>1.9000000000000003E-2</v>
      </c>
      <c r="Q50" s="126">
        <f t="shared" si="64"/>
        <v>1.9000000000000003E-2</v>
      </c>
      <c r="R50" s="126">
        <f t="shared" si="65"/>
        <v>1.9000000000000003E-2</v>
      </c>
      <c r="S50" s="126">
        <f t="shared" si="66"/>
        <v>1.9000000000000003E-2</v>
      </c>
      <c r="T50" s="126">
        <f t="shared" si="67"/>
        <v>1.9000000000000003E-2</v>
      </c>
      <c r="U50" s="126">
        <f t="shared" si="68"/>
        <v>1.9000000000000003E-2</v>
      </c>
      <c r="V50" s="126">
        <f t="shared" si="69"/>
        <v>1.9000000000000003E-2</v>
      </c>
      <c r="W50" s="126">
        <f t="shared" si="70"/>
        <v>1.9000000000000003E-2</v>
      </c>
      <c r="X50" s="126">
        <f t="shared" si="71"/>
        <v>1.9000000000000003E-2</v>
      </c>
      <c r="Y50" s="126">
        <f t="shared" si="72"/>
        <v>1.9000000000000003E-2</v>
      </c>
      <c r="Z50" s="126">
        <f t="shared" si="73"/>
        <v>1.9000000000000003E-2</v>
      </c>
      <c r="AA50" s="126">
        <f t="shared" si="74"/>
        <v>1.9000000000000003E-2</v>
      </c>
      <c r="AB50" s="126">
        <f t="shared" si="75"/>
        <v>1.9000000000000003E-2</v>
      </c>
      <c r="AC50" s="126">
        <f t="shared" si="76"/>
        <v>1.9000000000000003E-2</v>
      </c>
      <c r="AD50" s="126">
        <f t="shared" si="77"/>
        <v>1.9000000000000003E-2</v>
      </c>
      <c r="AE50" s="126">
        <f t="shared" si="78"/>
        <v>1.9000000000000003E-2</v>
      </c>
      <c r="AF50" s="126">
        <f t="shared" si="79"/>
        <v>1.9000000000000003E-2</v>
      </c>
      <c r="AG50" s="126">
        <f t="shared" si="80"/>
        <v>1.9000000000000003E-2</v>
      </c>
      <c r="AH50" s="126">
        <f t="shared" si="81"/>
        <v>1.9000000000000003E-2</v>
      </c>
      <c r="AI50" s="126">
        <f t="shared" si="30"/>
        <v>1.9000000000000003E-2</v>
      </c>
      <c r="AJ50" s="126">
        <f t="shared" si="31"/>
        <v>1.9000000000000003E-2</v>
      </c>
      <c r="AK50" s="126">
        <f t="shared" si="32"/>
        <v>1.9000000000000003E-2</v>
      </c>
      <c r="AL50" s="126">
        <f t="shared" si="33"/>
        <v>1.9000000000000003E-2</v>
      </c>
      <c r="AM50" s="126">
        <f t="shared" si="34"/>
        <v>1.9000000000000003E-2</v>
      </c>
      <c r="AN50" s="126">
        <f t="shared" si="35"/>
        <v>1.9000000000000003E-2</v>
      </c>
      <c r="AO50" s="126">
        <f t="shared" si="36"/>
        <v>1.9000000000000003E-2</v>
      </c>
      <c r="AP50" s="126">
        <f t="shared" si="37"/>
        <v>1.9000000000000003E-2</v>
      </c>
      <c r="AQ50" s="126">
        <f t="shared" si="38"/>
        <v>1.9000000000000003E-2</v>
      </c>
      <c r="AR50" s="126">
        <f t="shared" si="38"/>
        <v>1.9000000000000003E-2</v>
      </c>
      <c r="AS50" s="126">
        <f t="shared" si="39"/>
        <v>1.9000000000000003E-2</v>
      </c>
      <c r="AT50" s="126">
        <f t="shared" si="40"/>
        <v>1.9000000000000003E-2</v>
      </c>
      <c r="AU50" s="126">
        <f t="shared" si="41"/>
        <v>1.9000000000000003E-2</v>
      </c>
      <c r="AV50" s="126">
        <f t="shared" si="42"/>
        <v>1.9000000000000003E-2</v>
      </c>
      <c r="AW50" s="126">
        <f t="shared" si="43"/>
        <v>1.9000000000000003E-2</v>
      </c>
      <c r="AX50" s="126">
        <f t="shared" si="44"/>
        <v>1.9000000000000003E-2</v>
      </c>
      <c r="AY50" s="126">
        <f t="shared" si="45"/>
        <v>1.9000000000000003E-2</v>
      </c>
      <c r="AZ50" s="126">
        <f t="shared" si="46"/>
        <v>1.9000000000000003E-2</v>
      </c>
      <c r="BA50" s="126">
        <f t="shared" si="47"/>
        <v>1.9000000000000003E-2</v>
      </c>
      <c r="BB50" s="126">
        <f t="shared" si="48"/>
        <v>1.9000000000000003E-2</v>
      </c>
      <c r="BC50" s="126">
        <f t="shared" si="49"/>
        <v>1.9000000000000003E-2</v>
      </c>
      <c r="BD50" s="126">
        <f t="shared" si="50"/>
        <v>1.9000000000000003E-2</v>
      </c>
    </row>
    <row r="51" spans="2:56" ht="20.399999999999999" customHeight="1">
      <c r="B51" s="6" t="s">
        <v>136</v>
      </c>
      <c r="C51" s="125" t="s">
        <v>170</v>
      </c>
      <c r="D51" s="126">
        <f t="shared" si="51"/>
        <v>1.9000000000000003E-2</v>
      </c>
      <c r="E51" s="126">
        <f t="shared" si="52"/>
        <v>1.9000000000000003E-2</v>
      </c>
      <c r="F51" s="126">
        <f t="shared" si="53"/>
        <v>1.9000000000000003E-2</v>
      </c>
      <c r="G51" s="126">
        <f t="shared" si="54"/>
        <v>1.9000000000000003E-2</v>
      </c>
      <c r="H51" s="126">
        <f t="shared" si="55"/>
        <v>1.9000000000000003E-2</v>
      </c>
      <c r="I51" s="126">
        <f t="shared" si="56"/>
        <v>1.9000000000000003E-2</v>
      </c>
      <c r="J51" s="126">
        <f t="shared" si="57"/>
        <v>1.7000000000000001E-2</v>
      </c>
      <c r="K51" s="126">
        <f t="shared" si="58"/>
        <v>1.7999999999999999E-2</v>
      </c>
      <c r="L51" s="126">
        <f t="shared" si="59"/>
        <v>2.1000000000000001E-2</v>
      </c>
      <c r="M51" s="126">
        <f t="shared" si="60"/>
        <v>1.9E-2</v>
      </c>
      <c r="N51" s="126">
        <f t="shared" si="61"/>
        <v>0.02</v>
      </c>
      <c r="O51" s="126">
        <f t="shared" si="62"/>
        <v>1.9000000000000003E-2</v>
      </c>
      <c r="P51" s="126">
        <f t="shared" si="63"/>
        <v>1.9000000000000003E-2</v>
      </c>
      <c r="Q51" s="126">
        <f t="shared" si="64"/>
        <v>1.9000000000000003E-2</v>
      </c>
      <c r="R51" s="126">
        <f t="shared" si="65"/>
        <v>1.9000000000000003E-2</v>
      </c>
      <c r="S51" s="126">
        <f t="shared" si="66"/>
        <v>1.9000000000000003E-2</v>
      </c>
      <c r="T51" s="126">
        <f t="shared" si="67"/>
        <v>1.9000000000000003E-2</v>
      </c>
      <c r="U51" s="126">
        <f t="shared" si="68"/>
        <v>1.9000000000000003E-2</v>
      </c>
      <c r="V51" s="126">
        <f t="shared" si="69"/>
        <v>1.9000000000000003E-2</v>
      </c>
      <c r="W51" s="126">
        <f t="shared" si="70"/>
        <v>1.9000000000000003E-2</v>
      </c>
      <c r="X51" s="126">
        <f t="shared" si="71"/>
        <v>1.9000000000000003E-2</v>
      </c>
      <c r="Y51" s="126">
        <f t="shared" si="72"/>
        <v>1.9000000000000003E-2</v>
      </c>
      <c r="Z51" s="126">
        <f t="shared" si="73"/>
        <v>1.9000000000000003E-2</v>
      </c>
      <c r="AA51" s="126">
        <f t="shared" si="74"/>
        <v>1.9000000000000003E-2</v>
      </c>
      <c r="AB51" s="126">
        <f t="shared" si="75"/>
        <v>1.9000000000000003E-2</v>
      </c>
      <c r="AC51" s="126">
        <f t="shared" si="76"/>
        <v>1.9000000000000003E-2</v>
      </c>
      <c r="AD51" s="126">
        <f t="shared" si="77"/>
        <v>1.9000000000000003E-2</v>
      </c>
      <c r="AE51" s="126">
        <f t="shared" si="78"/>
        <v>1.9000000000000003E-2</v>
      </c>
      <c r="AF51" s="126">
        <f t="shared" si="79"/>
        <v>1.9000000000000003E-2</v>
      </c>
      <c r="AG51" s="126">
        <f t="shared" si="80"/>
        <v>1.9000000000000003E-2</v>
      </c>
      <c r="AH51" s="126">
        <f t="shared" si="81"/>
        <v>1.9000000000000003E-2</v>
      </c>
      <c r="AI51" s="126">
        <f t="shared" si="30"/>
        <v>1.9000000000000003E-2</v>
      </c>
      <c r="AJ51" s="126">
        <f t="shared" si="31"/>
        <v>1.9000000000000003E-2</v>
      </c>
      <c r="AK51" s="126">
        <f t="shared" si="32"/>
        <v>1.9000000000000003E-2</v>
      </c>
      <c r="AL51" s="126">
        <f t="shared" si="33"/>
        <v>1.9000000000000003E-2</v>
      </c>
      <c r="AM51" s="126">
        <f t="shared" si="34"/>
        <v>1.9000000000000003E-2</v>
      </c>
      <c r="AN51" s="126">
        <f t="shared" si="35"/>
        <v>1.9000000000000003E-2</v>
      </c>
      <c r="AO51" s="126">
        <f t="shared" si="36"/>
        <v>1.9000000000000003E-2</v>
      </c>
      <c r="AP51" s="126">
        <f t="shared" si="37"/>
        <v>1.9000000000000003E-2</v>
      </c>
      <c r="AQ51" s="126">
        <f t="shared" si="38"/>
        <v>1.9000000000000003E-2</v>
      </c>
      <c r="AR51" s="126">
        <f t="shared" si="38"/>
        <v>1.9000000000000003E-2</v>
      </c>
      <c r="AS51" s="126">
        <f t="shared" si="39"/>
        <v>1.9000000000000003E-2</v>
      </c>
      <c r="AT51" s="126">
        <f t="shared" si="40"/>
        <v>1.9000000000000003E-2</v>
      </c>
      <c r="AU51" s="126">
        <f t="shared" si="41"/>
        <v>1.9000000000000003E-2</v>
      </c>
      <c r="AV51" s="126">
        <f t="shared" si="42"/>
        <v>1.9000000000000003E-2</v>
      </c>
      <c r="AW51" s="126">
        <f t="shared" si="43"/>
        <v>1.9000000000000003E-2</v>
      </c>
      <c r="AX51" s="126">
        <f t="shared" si="44"/>
        <v>1.9000000000000003E-2</v>
      </c>
      <c r="AY51" s="126">
        <f t="shared" si="45"/>
        <v>1.9000000000000003E-2</v>
      </c>
      <c r="AZ51" s="126">
        <f t="shared" si="46"/>
        <v>1.9000000000000003E-2</v>
      </c>
      <c r="BA51" s="126">
        <f t="shared" si="47"/>
        <v>1.9000000000000003E-2</v>
      </c>
      <c r="BB51" s="126">
        <f t="shared" si="48"/>
        <v>1.9000000000000003E-2</v>
      </c>
      <c r="BC51" s="126">
        <f t="shared" si="49"/>
        <v>1.9000000000000003E-2</v>
      </c>
      <c r="BD51" s="126">
        <f t="shared" si="50"/>
        <v>1.9000000000000003E-2</v>
      </c>
    </row>
    <row r="52" spans="2:56" ht="20.399999999999999" customHeight="1">
      <c r="B52" s="6" t="s">
        <v>137</v>
      </c>
      <c r="C52" s="125" t="s">
        <v>170</v>
      </c>
      <c r="D52" s="126">
        <f t="shared" si="51"/>
        <v>1.9000000000000003E-2</v>
      </c>
      <c r="E52" s="126">
        <f t="shared" si="52"/>
        <v>1.9000000000000003E-2</v>
      </c>
      <c r="F52" s="126">
        <f t="shared" si="53"/>
        <v>1.9000000000000003E-2</v>
      </c>
      <c r="G52" s="126">
        <f t="shared" si="54"/>
        <v>1.9000000000000003E-2</v>
      </c>
      <c r="H52" s="126">
        <f t="shared" si="55"/>
        <v>1.9000000000000003E-2</v>
      </c>
      <c r="I52" s="126">
        <f t="shared" si="56"/>
        <v>1.9000000000000003E-2</v>
      </c>
      <c r="J52" s="126">
        <f t="shared" si="57"/>
        <v>1.7000000000000001E-2</v>
      </c>
      <c r="K52" s="126">
        <f t="shared" si="58"/>
        <v>1.7999999999999999E-2</v>
      </c>
      <c r="L52" s="126">
        <f t="shared" si="59"/>
        <v>2.1000000000000001E-2</v>
      </c>
      <c r="M52" s="126">
        <f t="shared" si="60"/>
        <v>1.9E-2</v>
      </c>
      <c r="N52" s="126">
        <f t="shared" si="61"/>
        <v>0.02</v>
      </c>
      <c r="O52" s="126">
        <f t="shared" si="62"/>
        <v>1.9000000000000003E-2</v>
      </c>
      <c r="P52" s="126">
        <f t="shared" si="63"/>
        <v>1.9000000000000003E-2</v>
      </c>
      <c r="Q52" s="126">
        <f t="shared" si="64"/>
        <v>1.9000000000000003E-2</v>
      </c>
      <c r="R52" s="126">
        <f t="shared" si="65"/>
        <v>1.9000000000000003E-2</v>
      </c>
      <c r="S52" s="126">
        <f t="shared" si="66"/>
        <v>1.9000000000000003E-2</v>
      </c>
      <c r="T52" s="126">
        <f t="shared" si="67"/>
        <v>1.9000000000000003E-2</v>
      </c>
      <c r="U52" s="126">
        <f t="shared" si="68"/>
        <v>1.9000000000000003E-2</v>
      </c>
      <c r="V52" s="126">
        <f t="shared" si="69"/>
        <v>1.9000000000000003E-2</v>
      </c>
      <c r="W52" s="126">
        <f t="shared" si="70"/>
        <v>1.9000000000000003E-2</v>
      </c>
      <c r="X52" s="126">
        <f t="shared" si="71"/>
        <v>1.9000000000000003E-2</v>
      </c>
      <c r="Y52" s="126">
        <f t="shared" si="72"/>
        <v>1.9000000000000003E-2</v>
      </c>
      <c r="Z52" s="126">
        <f t="shared" si="73"/>
        <v>1.9000000000000003E-2</v>
      </c>
      <c r="AA52" s="126">
        <f t="shared" si="74"/>
        <v>1.9000000000000003E-2</v>
      </c>
      <c r="AB52" s="126">
        <f t="shared" si="75"/>
        <v>1.9000000000000003E-2</v>
      </c>
      <c r="AC52" s="126">
        <f t="shared" si="76"/>
        <v>1.9000000000000003E-2</v>
      </c>
      <c r="AD52" s="126">
        <f t="shared" si="77"/>
        <v>1.9000000000000003E-2</v>
      </c>
      <c r="AE52" s="126">
        <f t="shared" si="78"/>
        <v>1.9000000000000003E-2</v>
      </c>
      <c r="AF52" s="126">
        <f t="shared" si="79"/>
        <v>1.9000000000000003E-2</v>
      </c>
      <c r="AG52" s="126">
        <f t="shared" si="80"/>
        <v>1.9000000000000003E-2</v>
      </c>
      <c r="AH52" s="126">
        <f t="shared" si="81"/>
        <v>1.9000000000000003E-2</v>
      </c>
      <c r="AI52" s="126">
        <f t="shared" si="30"/>
        <v>1.9000000000000003E-2</v>
      </c>
      <c r="AJ52" s="126">
        <f t="shared" si="31"/>
        <v>1.9000000000000003E-2</v>
      </c>
      <c r="AK52" s="126">
        <f t="shared" si="32"/>
        <v>1.9000000000000003E-2</v>
      </c>
      <c r="AL52" s="126">
        <f t="shared" si="33"/>
        <v>1.9000000000000003E-2</v>
      </c>
      <c r="AM52" s="126">
        <f t="shared" si="34"/>
        <v>1.9000000000000003E-2</v>
      </c>
      <c r="AN52" s="126">
        <f t="shared" si="35"/>
        <v>1.9000000000000003E-2</v>
      </c>
      <c r="AO52" s="126">
        <f t="shared" si="36"/>
        <v>1.9000000000000003E-2</v>
      </c>
      <c r="AP52" s="126">
        <f t="shared" si="37"/>
        <v>1.9000000000000003E-2</v>
      </c>
      <c r="AQ52" s="126">
        <f t="shared" si="38"/>
        <v>1.9000000000000003E-2</v>
      </c>
      <c r="AR52" s="126">
        <f t="shared" si="38"/>
        <v>1.9000000000000003E-2</v>
      </c>
      <c r="AS52" s="126">
        <f t="shared" si="39"/>
        <v>1.9000000000000003E-2</v>
      </c>
      <c r="AT52" s="126">
        <f t="shared" si="40"/>
        <v>1.9000000000000003E-2</v>
      </c>
      <c r="AU52" s="126">
        <f t="shared" si="41"/>
        <v>1.9000000000000003E-2</v>
      </c>
      <c r="AV52" s="126">
        <f t="shared" si="42"/>
        <v>1.9000000000000003E-2</v>
      </c>
      <c r="AW52" s="126">
        <f t="shared" si="43"/>
        <v>1.9000000000000003E-2</v>
      </c>
      <c r="AX52" s="126">
        <f t="shared" si="44"/>
        <v>1.9000000000000003E-2</v>
      </c>
      <c r="AY52" s="126">
        <f t="shared" si="45"/>
        <v>1.9000000000000003E-2</v>
      </c>
      <c r="AZ52" s="126">
        <f t="shared" si="46"/>
        <v>1.9000000000000003E-2</v>
      </c>
      <c r="BA52" s="126">
        <f t="shared" si="47"/>
        <v>1.9000000000000003E-2</v>
      </c>
      <c r="BB52" s="126">
        <f t="shared" si="48"/>
        <v>1.9000000000000003E-2</v>
      </c>
      <c r="BC52" s="126">
        <f t="shared" si="49"/>
        <v>1.9000000000000003E-2</v>
      </c>
      <c r="BD52" s="126">
        <f t="shared" si="50"/>
        <v>1.9000000000000003E-2</v>
      </c>
    </row>
    <row r="53" spans="2:56" ht="20.399999999999999" customHeight="1">
      <c r="B53" s="6" t="s">
        <v>138</v>
      </c>
      <c r="C53" s="125" t="s">
        <v>170</v>
      </c>
      <c r="D53" s="126">
        <f t="shared" si="51"/>
        <v>1.9000000000000003E-2</v>
      </c>
      <c r="E53" s="126">
        <f t="shared" si="52"/>
        <v>1.9000000000000003E-2</v>
      </c>
      <c r="F53" s="126">
        <f t="shared" si="53"/>
        <v>1.9000000000000003E-2</v>
      </c>
      <c r="G53" s="126">
        <f t="shared" si="54"/>
        <v>1.9000000000000003E-2</v>
      </c>
      <c r="H53" s="126">
        <f t="shared" si="55"/>
        <v>1.9000000000000003E-2</v>
      </c>
      <c r="I53" s="126">
        <f t="shared" si="56"/>
        <v>1.9000000000000003E-2</v>
      </c>
      <c r="J53" s="126">
        <f t="shared" si="57"/>
        <v>1.7000000000000001E-2</v>
      </c>
      <c r="K53" s="126">
        <f t="shared" si="58"/>
        <v>1.7999999999999999E-2</v>
      </c>
      <c r="L53" s="126">
        <f t="shared" si="59"/>
        <v>2.1000000000000001E-2</v>
      </c>
      <c r="M53" s="126">
        <f t="shared" si="60"/>
        <v>1.9E-2</v>
      </c>
      <c r="N53" s="126">
        <f t="shared" si="61"/>
        <v>0.02</v>
      </c>
      <c r="O53" s="126">
        <f t="shared" si="62"/>
        <v>1.9000000000000003E-2</v>
      </c>
      <c r="P53" s="126">
        <f t="shared" si="63"/>
        <v>1.9000000000000003E-2</v>
      </c>
      <c r="Q53" s="126">
        <f t="shared" si="64"/>
        <v>1.9000000000000003E-2</v>
      </c>
      <c r="R53" s="126">
        <f t="shared" si="65"/>
        <v>1.9000000000000003E-2</v>
      </c>
      <c r="S53" s="126">
        <f t="shared" si="66"/>
        <v>1.9000000000000003E-2</v>
      </c>
      <c r="T53" s="126">
        <f t="shared" si="67"/>
        <v>1.9000000000000003E-2</v>
      </c>
      <c r="U53" s="126">
        <f t="shared" si="68"/>
        <v>1.9000000000000003E-2</v>
      </c>
      <c r="V53" s="126">
        <f t="shared" si="69"/>
        <v>1.9000000000000003E-2</v>
      </c>
      <c r="W53" s="126">
        <f t="shared" si="70"/>
        <v>1.9000000000000003E-2</v>
      </c>
      <c r="X53" s="126">
        <f t="shared" si="71"/>
        <v>1.9000000000000003E-2</v>
      </c>
      <c r="Y53" s="126">
        <f t="shared" si="72"/>
        <v>1.9000000000000003E-2</v>
      </c>
      <c r="Z53" s="126">
        <f t="shared" si="73"/>
        <v>1.9000000000000003E-2</v>
      </c>
      <c r="AA53" s="126">
        <f t="shared" si="74"/>
        <v>1.9000000000000003E-2</v>
      </c>
      <c r="AB53" s="126">
        <f t="shared" si="75"/>
        <v>1.9000000000000003E-2</v>
      </c>
      <c r="AC53" s="126">
        <f t="shared" si="76"/>
        <v>1.9000000000000003E-2</v>
      </c>
      <c r="AD53" s="126">
        <f t="shared" si="77"/>
        <v>1.9000000000000003E-2</v>
      </c>
      <c r="AE53" s="126">
        <f t="shared" si="78"/>
        <v>1.9000000000000003E-2</v>
      </c>
      <c r="AF53" s="126">
        <f t="shared" si="79"/>
        <v>1.9000000000000003E-2</v>
      </c>
      <c r="AG53" s="126">
        <f t="shared" si="80"/>
        <v>1.9000000000000003E-2</v>
      </c>
      <c r="AH53" s="126">
        <f t="shared" si="81"/>
        <v>1.9000000000000003E-2</v>
      </c>
      <c r="AI53" s="126">
        <f t="shared" si="30"/>
        <v>1.9000000000000003E-2</v>
      </c>
      <c r="AJ53" s="126">
        <f t="shared" si="31"/>
        <v>1.9000000000000003E-2</v>
      </c>
      <c r="AK53" s="126">
        <f t="shared" si="32"/>
        <v>1.9000000000000003E-2</v>
      </c>
      <c r="AL53" s="126">
        <f t="shared" si="33"/>
        <v>1.9000000000000003E-2</v>
      </c>
      <c r="AM53" s="126">
        <f t="shared" si="34"/>
        <v>1.9000000000000003E-2</v>
      </c>
      <c r="AN53" s="126">
        <f t="shared" si="35"/>
        <v>1.9000000000000003E-2</v>
      </c>
      <c r="AO53" s="126">
        <f t="shared" si="36"/>
        <v>1.9000000000000003E-2</v>
      </c>
      <c r="AP53" s="126">
        <f t="shared" si="37"/>
        <v>1.9000000000000003E-2</v>
      </c>
      <c r="AQ53" s="126">
        <f t="shared" si="38"/>
        <v>1.9000000000000003E-2</v>
      </c>
      <c r="AR53" s="126">
        <f t="shared" si="38"/>
        <v>1.9000000000000003E-2</v>
      </c>
      <c r="AS53" s="126">
        <f t="shared" si="39"/>
        <v>1.9000000000000003E-2</v>
      </c>
      <c r="AT53" s="126">
        <f t="shared" si="40"/>
        <v>1.9000000000000003E-2</v>
      </c>
      <c r="AU53" s="126">
        <f t="shared" si="41"/>
        <v>1.9000000000000003E-2</v>
      </c>
      <c r="AV53" s="126">
        <f t="shared" si="42"/>
        <v>1.9000000000000003E-2</v>
      </c>
      <c r="AW53" s="126">
        <f t="shared" si="43"/>
        <v>1.9000000000000003E-2</v>
      </c>
      <c r="AX53" s="126">
        <f t="shared" si="44"/>
        <v>1.9000000000000003E-2</v>
      </c>
      <c r="AY53" s="126">
        <f t="shared" si="45"/>
        <v>1.9000000000000003E-2</v>
      </c>
      <c r="AZ53" s="126">
        <f t="shared" si="46"/>
        <v>1.9000000000000003E-2</v>
      </c>
      <c r="BA53" s="126">
        <f t="shared" si="47"/>
        <v>1.9000000000000003E-2</v>
      </c>
      <c r="BB53" s="126">
        <f t="shared" si="48"/>
        <v>1.9000000000000003E-2</v>
      </c>
      <c r="BC53" s="126">
        <f t="shared" si="49"/>
        <v>1.9000000000000003E-2</v>
      </c>
      <c r="BD53" s="126">
        <f t="shared" si="50"/>
        <v>1.9000000000000003E-2</v>
      </c>
    </row>
    <row r="54" spans="2:56" ht="20.399999999999999" customHeight="1">
      <c r="B54" s="6" t="s">
        <v>99</v>
      </c>
      <c r="C54" s="125" t="s">
        <v>170</v>
      </c>
      <c r="D54" s="126">
        <f t="shared" si="51"/>
        <v>1.9000000000000003E-2</v>
      </c>
      <c r="E54" s="126">
        <f t="shared" si="52"/>
        <v>1.9000000000000003E-2</v>
      </c>
      <c r="F54" s="126">
        <f t="shared" si="53"/>
        <v>1.9000000000000003E-2</v>
      </c>
      <c r="G54" s="126">
        <f t="shared" si="54"/>
        <v>1.9000000000000003E-2</v>
      </c>
      <c r="H54" s="126">
        <f t="shared" si="55"/>
        <v>1.9000000000000003E-2</v>
      </c>
      <c r="I54" s="126">
        <f t="shared" si="56"/>
        <v>1.9000000000000003E-2</v>
      </c>
      <c r="J54" s="126">
        <f t="shared" si="57"/>
        <v>1.7000000000000001E-2</v>
      </c>
      <c r="K54" s="126">
        <f t="shared" si="58"/>
        <v>1.7999999999999999E-2</v>
      </c>
      <c r="L54" s="126">
        <f t="shared" si="59"/>
        <v>2.1000000000000001E-2</v>
      </c>
      <c r="M54" s="126">
        <f t="shared" si="60"/>
        <v>1.9E-2</v>
      </c>
      <c r="N54" s="126">
        <f t="shared" si="61"/>
        <v>0.02</v>
      </c>
      <c r="O54" s="126">
        <f t="shared" si="62"/>
        <v>1.9000000000000003E-2</v>
      </c>
      <c r="P54" s="126">
        <f t="shared" si="63"/>
        <v>1.9000000000000003E-2</v>
      </c>
      <c r="Q54" s="126">
        <f t="shared" si="64"/>
        <v>1.9000000000000003E-2</v>
      </c>
      <c r="R54" s="126">
        <f t="shared" si="65"/>
        <v>1.9000000000000003E-2</v>
      </c>
      <c r="S54" s="126">
        <f t="shared" si="66"/>
        <v>1.9000000000000003E-2</v>
      </c>
      <c r="T54" s="126">
        <f t="shared" si="67"/>
        <v>1.9000000000000003E-2</v>
      </c>
      <c r="U54" s="126">
        <f t="shared" si="68"/>
        <v>1.9000000000000003E-2</v>
      </c>
      <c r="V54" s="126">
        <f t="shared" si="69"/>
        <v>1.9000000000000003E-2</v>
      </c>
      <c r="W54" s="126">
        <f t="shared" si="70"/>
        <v>1.9000000000000003E-2</v>
      </c>
      <c r="X54" s="126">
        <f t="shared" si="71"/>
        <v>1.9000000000000003E-2</v>
      </c>
      <c r="Y54" s="126">
        <f t="shared" si="72"/>
        <v>1.9000000000000003E-2</v>
      </c>
      <c r="Z54" s="126">
        <f t="shared" si="73"/>
        <v>1.9000000000000003E-2</v>
      </c>
      <c r="AA54" s="126">
        <f t="shared" si="74"/>
        <v>1.9000000000000003E-2</v>
      </c>
      <c r="AB54" s="126">
        <f t="shared" si="75"/>
        <v>1.9000000000000003E-2</v>
      </c>
      <c r="AC54" s="126">
        <f t="shared" si="76"/>
        <v>1.9000000000000003E-2</v>
      </c>
      <c r="AD54" s="126">
        <f t="shared" si="77"/>
        <v>1.9000000000000003E-2</v>
      </c>
      <c r="AE54" s="126">
        <f t="shared" si="78"/>
        <v>1.9000000000000003E-2</v>
      </c>
      <c r="AF54" s="126">
        <f t="shared" si="79"/>
        <v>1.9000000000000003E-2</v>
      </c>
      <c r="AG54" s="126">
        <f t="shared" si="80"/>
        <v>1.9000000000000003E-2</v>
      </c>
      <c r="AH54" s="126">
        <f t="shared" si="81"/>
        <v>1.9000000000000003E-2</v>
      </c>
      <c r="AI54" s="126">
        <f t="shared" si="30"/>
        <v>1.9000000000000003E-2</v>
      </c>
      <c r="AJ54" s="126">
        <f t="shared" si="31"/>
        <v>1.9000000000000003E-2</v>
      </c>
      <c r="AK54" s="126">
        <f t="shared" si="32"/>
        <v>1.9000000000000003E-2</v>
      </c>
      <c r="AL54" s="126">
        <f t="shared" si="33"/>
        <v>1.9000000000000003E-2</v>
      </c>
      <c r="AM54" s="126">
        <f t="shared" si="34"/>
        <v>1.9000000000000003E-2</v>
      </c>
      <c r="AN54" s="126">
        <f t="shared" si="35"/>
        <v>1.9000000000000003E-2</v>
      </c>
      <c r="AO54" s="126">
        <f t="shared" si="36"/>
        <v>1.9000000000000003E-2</v>
      </c>
      <c r="AP54" s="126">
        <f t="shared" si="37"/>
        <v>1.9000000000000003E-2</v>
      </c>
      <c r="AQ54" s="126">
        <f t="shared" si="38"/>
        <v>1.9000000000000003E-2</v>
      </c>
      <c r="AR54" s="126">
        <f t="shared" si="38"/>
        <v>1.9000000000000003E-2</v>
      </c>
      <c r="AS54" s="126">
        <f t="shared" si="39"/>
        <v>1.9000000000000003E-2</v>
      </c>
      <c r="AT54" s="126">
        <f t="shared" si="40"/>
        <v>1.9000000000000003E-2</v>
      </c>
      <c r="AU54" s="126">
        <f t="shared" si="41"/>
        <v>1.9000000000000003E-2</v>
      </c>
      <c r="AV54" s="126">
        <f t="shared" si="42"/>
        <v>1.9000000000000003E-2</v>
      </c>
      <c r="AW54" s="126">
        <f t="shared" si="43"/>
        <v>1.9000000000000003E-2</v>
      </c>
      <c r="AX54" s="126">
        <f t="shared" si="44"/>
        <v>1.9000000000000003E-2</v>
      </c>
      <c r="AY54" s="126">
        <f t="shared" si="45"/>
        <v>1.9000000000000003E-2</v>
      </c>
      <c r="AZ54" s="126">
        <f t="shared" si="46"/>
        <v>1.9000000000000003E-2</v>
      </c>
      <c r="BA54" s="126">
        <f t="shared" si="47"/>
        <v>1.9000000000000003E-2</v>
      </c>
      <c r="BB54" s="126">
        <f t="shared" si="48"/>
        <v>1.9000000000000003E-2</v>
      </c>
      <c r="BC54" s="126">
        <f t="shared" si="49"/>
        <v>1.9000000000000003E-2</v>
      </c>
      <c r="BD54" s="126">
        <f t="shared" si="50"/>
        <v>1.9000000000000003E-2</v>
      </c>
    </row>
    <row r="55" spans="2:56" ht="20.399999999999999" customHeight="1">
      <c r="B55" s="6" t="s">
        <v>101</v>
      </c>
      <c r="C55" s="125" t="s">
        <v>170</v>
      </c>
      <c r="D55" s="126">
        <f t="shared" si="51"/>
        <v>1.9000000000000003E-2</v>
      </c>
      <c r="E55" s="126">
        <f t="shared" si="52"/>
        <v>1.9000000000000003E-2</v>
      </c>
      <c r="F55" s="126">
        <f t="shared" si="53"/>
        <v>1.9000000000000003E-2</v>
      </c>
      <c r="G55" s="126">
        <f t="shared" si="54"/>
        <v>1.9000000000000003E-2</v>
      </c>
      <c r="H55" s="126">
        <f t="shared" si="55"/>
        <v>1.9000000000000003E-2</v>
      </c>
      <c r="I55" s="126">
        <f t="shared" si="56"/>
        <v>1.9000000000000003E-2</v>
      </c>
      <c r="J55" s="126">
        <f t="shared" si="57"/>
        <v>1.7000000000000001E-2</v>
      </c>
      <c r="K55" s="126">
        <f t="shared" si="58"/>
        <v>1.7999999999999999E-2</v>
      </c>
      <c r="L55" s="126">
        <f t="shared" si="59"/>
        <v>2.1000000000000001E-2</v>
      </c>
      <c r="M55" s="126">
        <f t="shared" si="60"/>
        <v>1.9E-2</v>
      </c>
      <c r="N55" s="126">
        <f t="shared" si="61"/>
        <v>0.02</v>
      </c>
      <c r="O55" s="126">
        <f t="shared" si="62"/>
        <v>1.9000000000000003E-2</v>
      </c>
      <c r="P55" s="126">
        <f t="shared" si="63"/>
        <v>1.9000000000000003E-2</v>
      </c>
      <c r="Q55" s="126">
        <f t="shared" si="64"/>
        <v>1.9000000000000003E-2</v>
      </c>
      <c r="R55" s="126">
        <f t="shared" si="65"/>
        <v>1.9000000000000003E-2</v>
      </c>
      <c r="S55" s="126">
        <f t="shared" si="66"/>
        <v>1.9000000000000003E-2</v>
      </c>
      <c r="T55" s="126">
        <f t="shared" si="67"/>
        <v>1.9000000000000003E-2</v>
      </c>
      <c r="U55" s="126">
        <f t="shared" si="68"/>
        <v>1.9000000000000003E-2</v>
      </c>
      <c r="V55" s="126">
        <f t="shared" si="69"/>
        <v>1.9000000000000003E-2</v>
      </c>
      <c r="W55" s="126">
        <f t="shared" si="70"/>
        <v>1.9000000000000003E-2</v>
      </c>
      <c r="X55" s="126">
        <f t="shared" si="71"/>
        <v>1.9000000000000003E-2</v>
      </c>
      <c r="Y55" s="126">
        <f t="shared" si="72"/>
        <v>1.9000000000000003E-2</v>
      </c>
      <c r="Z55" s="126">
        <f t="shared" si="73"/>
        <v>1.9000000000000003E-2</v>
      </c>
      <c r="AA55" s="126">
        <f t="shared" si="74"/>
        <v>1.9000000000000003E-2</v>
      </c>
      <c r="AB55" s="126">
        <f t="shared" si="75"/>
        <v>1.9000000000000003E-2</v>
      </c>
      <c r="AC55" s="126">
        <f t="shared" si="76"/>
        <v>1.9000000000000003E-2</v>
      </c>
      <c r="AD55" s="126">
        <f t="shared" si="77"/>
        <v>1.9000000000000003E-2</v>
      </c>
      <c r="AE55" s="126">
        <f t="shared" si="78"/>
        <v>1.9000000000000003E-2</v>
      </c>
      <c r="AF55" s="126">
        <f t="shared" si="79"/>
        <v>1.9000000000000003E-2</v>
      </c>
      <c r="AG55" s="126">
        <f t="shared" si="80"/>
        <v>1.9000000000000003E-2</v>
      </c>
      <c r="AH55" s="126">
        <f t="shared" si="81"/>
        <v>1.9000000000000003E-2</v>
      </c>
      <c r="AI55" s="126">
        <f t="shared" si="30"/>
        <v>1.9000000000000003E-2</v>
      </c>
      <c r="AJ55" s="126">
        <f t="shared" si="31"/>
        <v>1.9000000000000003E-2</v>
      </c>
      <c r="AK55" s="126">
        <f t="shared" si="32"/>
        <v>1.9000000000000003E-2</v>
      </c>
      <c r="AL55" s="126">
        <f t="shared" si="33"/>
        <v>1.9000000000000003E-2</v>
      </c>
      <c r="AM55" s="126">
        <f t="shared" si="34"/>
        <v>1.9000000000000003E-2</v>
      </c>
      <c r="AN55" s="126">
        <f t="shared" si="35"/>
        <v>1.9000000000000003E-2</v>
      </c>
      <c r="AO55" s="126">
        <f t="shared" si="36"/>
        <v>1.9000000000000003E-2</v>
      </c>
      <c r="AP55" s="126">
        <f t="shared" si="37"/>
        <v>1.9000000000000003E-2</v>
      </c>
      <c r="AQ55" s="126">
        <f t="shared" si="38"/>
        <v>1.9000000000000003E-2</v>
      </c>
      <c r="AR55" s="126">
        <f t="shared" si="38"/>
        <v>1.9000000000000003E-2</v>
      </c>
      <c r="AS55" s="126">
        <f t="shared" si="39"/>
        <v>1.9000000000000003E-2</v>
      </c>
      <c r="AT55" s="126">
        <f t="shared" si="40"/>
        <v>1.9000000000000003E-2</v>
      </c>
      <c r="AU55" s="126">
        <f t="shared" si="41"/>
        <v>1.9000000000000003E-2</v>
      </c>
      <c r="AV55" s="126">
        <f t="shared" si="42"/>
        <v>1.9000000000000003E-2</v>
      </c>
      <c r="AW55" s="126">
        <f t="shared" si="43"/>
        <v>1.9000000000000003E-2</v>
      </c>
      <c r="AX55" s="126">
        <f t="shared" si="44"/>
        <v>1.9000000000000003E-2</v>
      </c>
      <c r="AY55" s="126">
        <f t="shared" si="45"/>
        <v>1.9000000000000003E-2</v>
      </c>
      <c r="AZ55" s="126">
        <f t="shared" si="46"/>
        <v>1.9000000000000003E-2</v>
      </c>
      <c r="BA55" s="126">
        <f t="shared" si="47"/>
        <v>1.9000000000000003E-2</v>
      </c>
      <c r="BB55" s="126">
        <f t="shared" si="48"/>
        <v>1.9000000000000003E-2</v>
      </c>
      <c r="BC55" s="126">
        <f t="shared" si="49"/>
        <v>1.9000000000000003E-2</v>
      </c>
      <c r="BD55" s="126">
        <f t="shared" si="50"/>
        <v>1.9000000000000003E-2</v>
      </c>
    </row>
    <row r="56" spans="2:56" ht="20.399999999999999" customHeight="1">
      <c r="B56" s="6" t="s">
        <v>102</v>
      </c>
      <c r="C56" s="125" t="s">
        <v>170</v>
      </c>
      <c r="D56" s="126">
        <f t="shared" si="51"/>
        <v>1.9000000000000003E-2</v>
      </c>
      <c r="E56" s="126">
        <f t="shared" si="52"/>
        <v>1.9000000000000003E-2</v>
      </c>
      <c r="F56" s="126">
        <f t="shared" si="53"/>
        <v>1.9000000000000003E-2</v>
      </c>
      <c r="G56" s="126">
        <f t="shared" si="54"/>
        <v>1.9000000000000003E-2</v>
      </c>
      <c r="H56" s="126">
        <f t="shared" si="55"/>
        <v>1.9000000000000003E-2</v>
      </c>
      <c r="I56" s="126">
        <f t="shared" si="56"/>
        <v>1.9000000000000003E-2</v>
      </c>
      <c r="J56" s="126">
        <f t="shared" si="57"/>
        <v>1.7000000000000001E-2</v>
      </c>
      <c r="K56" s="126">
        <f t="shared" si="58"/>
        <v>1.7999999999999999E-2</v>
      </c>
      <c r="L56" s="126">
        <f t="shared" si="59"/>
        <v>2.1000000000000001E-2</v>
      </c>
      <c r="M56" s="126">
        <f t="shared" si="60"/>
        <v>1.9E-2</v>
      </c>
      <c r="N56" s="126">
        <f t="shared" si="61"/>
        <v>0.02</v>
      </c>
      <c r="O56" s="126">
        <f t="shared" si="62"/>
        <v>1.9000000000000003E-2</v>
      </c>
      <c r="P56" s="126">
        <f t="shared" si="63"/>
        <v>1.9000000000000003E-2</v>
      </c>
      <c r="Q56" s="126">
        <f t="shared" si="64"/>
        <v>1.9000000000000003E-2</v>
      </c>
      <c r="R56" s="126">
        <f t="shared" si="65"/>
        <v>1.9000000000000003E-2</v>
      </c>
      <c r="S56" s="126">
        <f t="shared" si="66"/>
        <v>1.9000000000000003E-2</v>
      </c>
      <c r="T56" s="126">
        <f t="shared" si="67"/>
        <v>1.9000000000000003E-2</v>
      </c>
      <c r="U56" s="126">
        <f t="shared" si="68"/>
        <v>1.9000000000000003E-2</v>
      </c>
      <c r="V56" s="126">
        <f t="shared" si="69"/>
        <v>1.9000000000000003E-2</v>
      </c>
      <c r="W56" s="126">
        <f t="shared" si="70"/>
        <v>1.9000000000000003E-2</v>
      </c>
      <c r="X56" s="126">
        <f t="shared" si="71"/>
        <v>1.9000000000000003E-2</v>
      </c>
      <c r="Y56" s="126">
        <f t="shared" si="72"/>
        <v>1.9000000000000003E-2</v>
      </c>
      <c r="Z56" s="126">
        <f t="shared" si="73"/>
        <v>1.9000000000000003E-2</v>
      </c>
      <c r="AA56" s="126">
        <f t="shared" si="74"/>
        <v>1.9000000000000003E-2</v>
      </c>
      <c r="AB56" s="126">
        <f t="shared" si="75"/>
        <v>1.9000000000000003E-2</v>
      </c>
      <c r="AC56" s="126">
        <f t="shared" si="76"/>
        <v>1.9000000000000003E-2</v>
      </c>
      <c r="AD56" s="126">
        <f t="shared" si="77"/>
        <v>1.9000000000000003E-2</v>
      </c>
      <c r="AE56" s="126">
        <f t="shared" si="78"/>
        <v>1.9000000000000003E-2</v>
      </c>
      <c r="AF56" s="126">
        <f t="shared" si="79"/>
        <v>1.9000000000000003E-2</v>
      </c>
      <c r="AG56" s="126">
        <f t="shared" si="80"/>
        <v>1.9000000000000003E-2</v>
      </c>
      <c r="AH56" s="126">
        <f t="shared" si="81"/>
        <v>1.9000000000000003E-2</v>
      </c>
      <c r="AI56" s="126">
        <f t="shared" si="30"/>
        <v>1.9000000000000003E-2</v>
      </c>
      <c r="AJ56" s="126">
        <f t="shared" si="31"/>
        <v>1.9000000000000003E-2</v>
      </c>
      <c r="AK56" s="126">
        <f t="shared" si="32"/>
        <v>1.9000000000000003E-2</v>
      </c>
      <c r="AL56" s="126">
        <f t="shared" si="33"/>
        <v>1.9000000000000003E-2</v>
      </c>
      <c r="AM56" s="126">
        <f t="shared" si="34"/>
        <v>1.9000000000000003E-2</v>
      </c>
      <c r="AN56" s="126">
        <f t="shared" si="35"/>
        <v>1.9000000000000003E-2</v>
      </c>
      <c r="AO56" s="126">
        <f t="shared" si="36"/>
        <v>1.9000000000000003E-2</v>
      </c>
      <c r="AP56" s="126">
        <f t="shared" si="37"/>
        <v>1.9000000000000003E-2</v>
      </c>
      <c r="AQ56" s="126">
        <f t="shared" si="38"/>
        <v>1.9000000000000003E-2</v>
      </c>
      <c r="AR56" s="126">
        <f t="shared" si="38"/>
        <v>1.9000000000000003E-2</v>
      </c>
      <c r="AS56" s="126">
        <f t="shared" si="39"/>
        <v>1.9000000000000003E-2</v>
      </c>
      <c r="AT56" s="126">
        <f t="shared" si="40"/>
        <v>1.9000000000000003E-2</v>
      </c>
      <c r="AU56" s="126">
        <f t="shared" si="41"/>
        <v>1.9000000000000003E-2</v>
      </c>
      <c r="AV56" s="126">
        <f t="shared" si="42"/>
        <v>1.9000000000000003E-2</v>
      </c>
      <c r="AW56" s="126">
        <f t="shared" si="43"/>
        <v>1.9000000000000003E-2</v>
      </c>
      <c r="AX56" s="126">
        <f t="shared" si="44"/>
        <v>1.9000000000000003E-2</v>
      </c>
      <c r="AY56" s="126">
        <f t="shared" si="45"/>
        <v>1.9000000000000003E-2</v>
      </c>
      <c r="AZ56" s="126">
        <f t="shared" si="46"/>
        <v>1.9000000000000003E-2</v>
      </c>
      <c r="BA56" s="126">
        <f t="shared" si="47"/>
        <v>1.9000000000000003E-2</v>
      </c>
      <c r="BB56" s="126">
        <f t="shared" si="48"/>
        <v>1.9000000000000003E-2</v>
      </c>
      <c r="BC56" s="126">
        <f t="shared" si="49"/>
        <v>1.9000000000000003E-2</v>
      </c>
      <c r="BD56" s="126">
        <f t="shared" si="50"/>
        <v>1.9000000000000003E-2</v>
      </c>
    </row>
    <row r="57" spans="2:56" ht="20.399999999999999" customHeight="1">
      <c r="B57" s="6" t="s">
        <v>111</v>
      </c>
      <c r="C57" s="125" t="s">
        <v>170</v>
      </c>
      <c r="D57" s="126">
        <f t="shared" si="51"/>
        <v>1.9000000000000003E-2</v>
      </c>
      <c r="E57" s="126">
        <f t="shared" si="52"/>
        <v>1.9000000000000003E-2</v>
      </c>
      <c r="F57" s="126">
        <f t="shared" si="53"/>
        <v>1.9000000000000003E-2</v>
      </c>
      <c r="G57" s="126">
        <f t="shared" si="54"/>
        <v>1.9000000000000003E-2</v>
      </c>
      <c r="H57" s="126">
        <f t="shared" si="55"/>
        <v>1.9000000000000003E-2</v>
      </c>
      <c r="I57" s="126">
        <f t="shared" si="56"/>
        <v>1.9000000000000003E-2</v>
      </c>
      <c r="J57" s="126">
        <f t="shared" si="57"/>
        <v>1.7000000000000001E-2</v>
      </c>
      <c r="K57" s="126">
        <f t="shared" si="58"/>
        <v>1.7999999999999999E-2</v>
      </c>
      <c r="L57" s="126">
        <f t="shared" si="59"/>
        <v>2.1000000000000001E-2</v>
      </c>
      <c r="M57" s="126">
        <f t="shared" si="60"/>
        <v>1.9E-2</v>
      </c>
      <c r="N57" s="126">
        <f t="shared" si="61"/>
        <v>0.02</v>
      </c>
      <c r="O57" s="126">
        <f t="shared" si="62"/>
        <v>1.9000000000000003E-2</v>
      </c>
      <c r="P57" s="126">
        <f t="shared" si="63"/>
        <v>1.9000000000000003E-2</v>
      </c>
      <c r="Q57" s="126">
        <f t="shared" si="64"/>
        <v>1.9000000000000003E-2</v>
      </c>
      <c r="R57" s="126">
        <f t="shared" si="65"/>
        <v>1.9000000000000003E-2</v>
      </c>
      <c r="S57" s="126">
        <f t="shared" si="66"/>
        <v>1.9000000000000003E-2</v>
      </c>
      <c r="T57" s="126">
        <f t="shared" si="67"/>
        <v>1.9000000000000003E-2</v>
      </c>
      <c r="U57" s="126">
        <f t="shared" si="68"/>
        <v>1.9000000000000003E-2</v>
      </c>
      <c r="V57" s="126">
        <f t="shared" si="69"/>
        <v>1.9000000000000003E-2</v>
      </c>
      <c r="W57" s="126">
        <f t="shared" si="70"/>
        <v>1.9000000000000003E-2</v>
      </c>
      <c r="X57" s="126">
        <f t="shared" si="71"/>
        <v>1.9000000000000003E-2</v>
      </c>
      <c r="Y57" s="126">
        <f t="shared" si="72"/>
        <v>1.9000000000000003E-2</v>
      </c>
      <c r="Z57" s="126">
        <f t="shared" si="73"/>
        <v>1.9000000000000003E-2</v>
      </c>
      <c r="AA57" s="126">
        <f t="shared" si="74"/>
        <v>1.9000000000000003E-2</v>
      </c>
      <c r="AB57" s="126">
        <f t="shared" si="75"/>
        <v>1.9000000000000003E-2</v>
      </c>
      <c r="AC57" s="126">
        <f t="shared" si="76"/>
        <v>1.9000000000000003E-2</v>
      </c>
      <c r="AD57" s="126">
        <f t="shared" si="77"/>
        <v>1.9000000000000003E-2</v>
      </c>
      <c r="AE57" s="126">
        <f t="shared" si="78"/>
        <v>1.9000000000000003E-2</v>
      </c>
      <c r="AF57" s="126">
        <f t="shared" si="79"/>
        <v>1.9000000000000003E-2</v>
      </c>
      <c r="AG57" s="126">
        <f t="shared" si="80"/>
        <v>1.9000000000000003E-2</v>
      </c>
      <c r="AH57" s="126">
        <f t="shared" si="81"/>
        <v>1.9000000000000003E-2</v>
      </c>
      <c r="AI57" s="126">
        <f t="shared" si="30"/>
        <v>1.9000000000000003E-2</v>
      </c>
      <c r="AJ57" s="126">
        <f t="shared" si="31"/>
        <v>1.9000000000000003E-2</v>
      </c>
      <c r="AK57" s="126">
        <f t="shared" si="32"/>
        <v>1.9000000000000003E-2</v>
      </c>
      <c r="AL57" s="126">
        <f t="shared" si="33"/>
        <v>1.9000000000000003E-2</v>
      </c>
      <c r="AM57" s="126">
        <f t="shared" si="34"/>
        <v>1.9000000000000003E-2</v>
      </c>
      <c r="AN57" s="126">
        <f t="shared" si="35"/>
        <v>1.9000000000000003E-2</v>
      </c>
      <c r="AO57" s="126">
        <f t="shared" si="36"/>
        <v>1.9000000000000003E-2</v>
      </c>
      <c r="AP57" s="126">
        <f t="shared" si="37"/>
        <v>1.9000000000000003E-2</v>
      </c>
      <c r="AQ57" s="126">
        <f t="shared" si="38"/>
        <v>1.9000000000000003E-2</v>
      </c>
      <c r="AR57" s="126">
        <f t="shared" si="38"/>
        <v>1.9000000000000003E-2</v>
      </c>
      <c r="AS57" s="126">
        <f t="shared" si="39"/>
        <v>1.9000000000000003E-2</v>
      </c>
      <c r="AT57" s="126">
        <f t="shared" si="40"/>
        <v>1.9000000000000003E-2</v>
      </c>
      <c r="AU57" s="126">
        <f t="shared" si="41"/>
        <v>1.9000000000000003E-2</v>
      </c>
      <c r="AV57" s="126">
        <f t="shared" si="42"/>
        <v>1.9000000000000003E-2</v>
      </c>
      <c r="AW57" s="126">
        <f t="shared" si="43"/>
        <v>1.9000000000000003E-2</v>
      </c>
      <c r="AX57" s="126">
        <f t="shared" si="44"/>
        <v>1.9000000000000003E-2</v>
      </c>
      <c r="AY57" s="126">
        <f t="shared" si="45"/>
        <v>1.9000000000000003E-2</v>
      </c>
      <c r="AZ57" s="126">
        <f t="shared" si="46"/>
        <v>1.9000000000000003E-2</v>
      </c>
      <c r="BA57" s="126">
        <f t="shared" si="47"/>
        <v>1.9000000000000003E-2</v>
      </c>
      <c r="BB57" s="126">
        <f t="shared" si="48"/>
        <v>1.9000000000000003E-2</v>
      </c>
      <c r="BC57" s="126">
        <f t="shared" si="49"/>
        <v>1.9000000000000003E-2</v>
      </c>
      <c r="BD57" s="126">
        <f t="shared" si="50"/>
        <v>1.9000000000000003E-2</v>
      </c>
    </row>
    <row r="58" spans="2:56" ht="20.399999999999999" customHeight="1">
      <c r="B58" s="6" t="s">
        <v>17</v>
      </c>
      <c r="C58" s="125" t="s">
        <v>170</v>
      </c>
      <c r="D58" s="126">
        <f t="shared" si="51"/>
        <v>1.9000000000000003E-2</v>
      </c>
      <c r="E58" s="126">
        <f t="shared" si="52"/>
        <v>1.9000000000000003E-2</v>
      </c>
      <c r="F58" s="126">
        <f t="shared" si="53"/>
        <v>1.9000000000000003E-2</v>
      </c>
      <c r="G58" s="126">
        <f t="shared" si="54"/>
        <v>1.9000000000000003E-2</v>
      </c>
      <c r="H58" s="126">
        <f t="shared" si="55"/>
        <v>1.9000000000000003E-2</v>
      </c>
      <c r="I58" s="126">
        <f t="shared" si="56"/>
        <v>1.9000000000000003E-2</v>
      </c>
      <c r="J58" s="126">
        <f t="shared" si="57"/>
        <v>1.7000000000000001E-2</v>
      </c>
      <c r="K58" s="126">
        <f t="shared" si="58"/>
        <v>1.7999999999999999E-2</v>
      </c>
      <c r="L58" s="126">
        <f t="shared" si="59"/>
        <v>2.1000000000000001E-2</v>
      </c>
      <c r="M58" s="126">
        <f t="shared" si="60"/>
        <v>1.9E-2</v>
      </c>
      <c r="N58" s="126">
        <f t="shared" si="61"/>
        <v>0.02</v>
      </c>
      <c r="O58" s="126">
        <f t="shared" si="62"/>
        <v>1.9000000000000003E-2</v>
      </c>
      <c r="P58" s="126">
        <f t="shared" si="63"/>
        <v>1.9000000000000003E-2</v>
      </c>
      <c r="Q58" s="126">
        <f t="shared" si="64"/>
        <v>1.9000000000000003E-2</v>
      </c>
      <c r="R58" s="126">
        <f t="shared" si="65"/>
        <v>1.9000000000000003E-2</v>
      </c>
      <c r="S58" s="126">
        <f t="shared" si="66"/>
        <v>1.9000000000000003E-2</v>
      </c>
      <c r="T58" s="126">
        <f t="shared" si="67"/>
        <v>1.9000000000000003E-2</v>
      </c>
      <c r="U58" s="126">
        <f t="shared" si="68"/>
        <v>1.9000000000000003E-2</v>
      </c>
      <c r="V58" s="126">
        <f t="shared" si="69"/>
        <v>1.9000000000000003E-2</v>
      </c>
      <c r="W58" s="126">
        <f t="shared" si="70"/>
        <v>1.9000000000000003E-2</v>
      </c>
      <c r="X58" s="126">
        <f t="shared" si="71"/>
        <v>1.9000000000000003E-2</v>
      </c>
      <c r="Y58" s="126">
        <f t="shared" si="72"/>
        <v>1.9000000000000003E-2</v>
      </c>
      <c r="Z58" s="126">
        <f t="shared" si="73"/>
        <v>1.9000000000000003E-2</v>
      </c>
      <c r="AA58" s="126">
        <f t="shared" si="74"/>
        <v>1.9000000000000003E-2</v>
      </c>
      <c r="AB58" s="126">
        <f t="shared" si="75"/>
        <v>1.9000000000000003E-2</v>
      </c>
      <c r="AC58" s="126">
        <f t="shared" si="76"/>
        <v>1.9000000000000003E-2</v>
      </c>
      <c r="AD58" s="126">
        <f t="shared" si="77"/>
        <v>1.9000000000000003E-2</v>
      </c>
      <c r="AE58" s="126">
        <f t="shared" si="78"/>
        <v>1.9000000000000003E-2</v>
      </c>
      <c r="AF58" s="126">
        <f t="shared" si="79"/>
        <v>1.9000000000000003E-2</v>
      </c>
      <c r="AG58" s="126">
        <f t="shared" si="80"/>
        <v>1.9000000000000003E-2</v>
      </c>
      <c r="AH58" s="126">
        <f t="shared" si="81"/>
        <v>1.9000000000000003E-2</v>
      </c>
      <c r="AI58" s="126">
        <f t="shared" si="30"/>
        <v>1.9000000000000003E-2</v>
      </c>
      <c r="AJ58" s="126">
        <f t="shared" si="31"/>
        <v>1.9000000000000003E-2</v>
      </c>
      <c r="AK58" s="126">
        <f t="shared" si="32"/>
        <v>1.9000000000000003E-2</v>
      </c>
      <c r="AL58" s="126">
        <f t="shared" si="33"/>
        <v>1.9000000000000003E-2</v>
      </c>
      <c r="AM58" s="126">
        <f t="shared" si="34"/>
        <v>1.9000000000000003E-2</v>
      </c>
      <c r="AN58" s="126">
        <f t="shared" si="35"/>
        <v>1.9000000000000003E-2</v>
      </c>
      <c r="AO58" s="126">
        <f t="shared" si="36"/>
        <v>1.9000000000000003E-2</v>
      </c>
      <c r="AP58" s="126">
        <f t="shared" si="37"/>
        <v>1.9000000000000003E-2</v>
      </c>
      <c r="AQ58" s="126">
        <f t="shared" si="38"/>
        <v>1.9000000000000003E-2</v>
      </c>
      <c r="AR58" s="126">
        <f t="shared" si="38"/>
        <v>1.9000000000000003E-2</v>
      </c>
      <c r="AS58" s="126">
        <f t="shared" si="39"/>
        <v>1.9000000000000003E-2</v>
      </c>
      <c r="AT58" s="126">
        <f t="shared" si="40"/>
        <v>1.9000000000000003E-2</v>
      </c>
      <c r="AU58" s="126">
        <f t="shared" si="41"/>
        <v>1.9000000000000003E-2</v>
      </c>
      <c r="AV58" s="126">
        <f t="shared" si="42"/>
        <v>1.9000000000000003E-2</v>
      </c>
      <c r="AW58" s="126">
        <f t="shared" si="43"/>
        <v>1.9000000000000003E-2</v>
      </c>
      <c r="AX58" s="126">
        <f t="shared" si="44"/>
        <v>1.9000000000000003E-2</v>
      </c>
      <c r="AY58" s="126">
        <f t="shared" si="45"/>
        <v>1.9000000000000003E-2</v>
      </c>
      <c r="AZ58" s="126">
        <f t="shared" si="46"/>
        <v>1.9000000000000003E-2</v>
      </c>
      <c r="BA58" s="126">
        <f t="shared" si="47"/>
        <v>1.9000000000000003E-2</v>
      </c>
      <c r="BB58" s="126">
        <f t="shared" si="48"/>
        <v>1.9000000000000003E-2</v>
      </c>
      <c r="BC58" s="126">
        <f t="shared" si="49"/>
        <v>1.9000000000000003E-2</v>
      </c>
      <c r="BD58" s="126">
        <f t="shared" si="50"/>
        <v>1.9000000000000003E-2</v>
      </c>
    </row>
    <row r="59" spans="2:56" ht="20.399999999999999" customHeight="1">
      <c r="B59" s="144" t="s">
        <v>113</v>
      </c>
      <c r="C59" s="125" t="s">
        <v>167</v>
      </c>
      <c r="D59" s="126">
        <f t="shared" si="51"/>
        <v>4.1800000000000004E-2</v>
      </c>
      <c r="E59" s="126">
        <f t="shared" si="52"/>
        <v>4.1800000000000004E-2</v>
      </c>
      <c r="F59" s="126">
        <f t="shared" si="53"/>
        <v>4.1800000000000004E-2</v>
      </c>
      <c r="G59" s="126">
        <f t="shared" si="54"/>
        <v>4.1800000000000004E-2</v>
      </c>
      <c r="H59" s="126">
        <f t="shared" si="55"/>
        <v>4.1800000000000004E-2</v>
      </c>
      <c r="I59" s="126">
        <f t="shared" si="56"/>
        <v>4.1800000000000004E-2</v>
      </c>
      <c r="J59" s="126">
        <f t="shared" si="57"/>
        <v>4.4999999999999998E-2</v>
      </c>
      <c r="K59" s="126">
        <f t="shared" si="58"/>
        <v>4.5999999999999999E-2</v>
      </c>
      <c r="L59" s="126">
        <f t="shared" si="59"/>
        <v>3.5999999999999997E-2</v>
      </c>
      <c r="M59" s="126">
        <f t="shared" si="60"/>
        <v>4.1000000000000002E-2</v>
      </c>
      <c r="N59" s="126">
        <f t="shared" si="61"/>
        <v>4.1000000000000002E-2</v>
      </c>
      <c r="O59" s="126">
        <f t="shared" si="62"/>
        <v>4.1800000000000004E-2</v>
      </c>
      <c r="P59" s="126">
        <f t="shared" si="63"/>
        <v>4.1800000000000004E-2</v>
      </c>
      <c r="Q59" s="126">
        <f t="shared" si="64"/>
        <v>4.1800000000000004E-2</v>
      </c>
      <c r="R59" s="126">
        <f t="shared" si="65"/>
        <v>4.1800000000000004E-2</v>
      </c>
      <c r="S59" s="126">
        <f t="shared" si="66"/>
        <v>4.1800000000000004E-2</v>
      </c>
      <c r="T59" s="126">
        <f t="shared" si="67"/>
        <v>4.1800000000000004E-2</v>
      </c>
      <c r="U59" s="126">
        <f t="shared" si="68"/>
        <v>4.1800000000000004E-2</v>
      </c>
      <c r="V59" s="126">
        <f t="shared" si="69"/>
        <v>4.1800000000000004E-2</v>
      </c>
      <c r="W59" s="126">
        <f t="shared" si="70"/>
        <v>4.1800000000000004E-2</v>
      </c>
      <c r="X59" s="126">
        <f t="shared" si="71"/>
        <v>4.1800000000000004E-2</v>
      </c>
      <c r="Y59" s="126">
        <f t="shared" si="72"/>
        <v>4.1800000000000004E-2</v>
      </c>
      <c r="Z59" s="126">
        <f t="shared" si="73"/>
        <v>4.1800000000000004E-2</v>
      </c>
      <c r="AA59" s="126">
        <f t="shared" si="74"/>
        <v>4.1800000000000004E-2</v>
      </c>
      <c r="AB59" s="126">
        <f t="shared" si="75"/>
        <v>4.1800000000000004E-2</v>
      </c>
      <c r="AC59" s="126">
        <f t="shared" si="76"/>
        <v>4.1800000000000004E-2</v>
      </c>
      <c r="AD59" s="126">
        <f t="shared" si="77"/>
        <v>4.1800000000000004E-2</v>
      </c>
      <c r="AE59" s="126">
        <f t="shared" si="78"/>
        <v>4.1800000000000004E-2</v>
      </c>
      <c r="AF59" s="126">
        <f t="shared" si="79"/>
        <v>4.1800000000000004E-2</v>
      </c>
      <c r="AG59" s="126">
        <f t="shared" si="80"/>
        <v>4.1800000000000004E-2</v>
      </c>
      <c r="AH59" s="126">
        <f t="shared" si="81"/>
        <v>4.1800000000000004E-2</v>
      </c>
      <c r="AI59" s="126">
        <f t="shared" si="30"/>
        <v>4.1800000000000004E-2</v>
      </c>
      <c r="AJ59" s="126">
        <f t="shared" si="31"/>
        <v>4.1800000000000004E-2</v>
      </c>
      <c r="AK59" s="126">
        <f t="shared" si="32"/>
        <v>4.1800000000000004E-2</v>
      </c>
      <c r="AL59" s="126">
        <f t="shared" si="33"/>
        <v>4.1800000000000004E-2</v>
      </c>
      <c r="AM59" s="126">
        <f t="shared" si="34"/>
        <v>4.1800000000000004E-2</v>
      </c>
      <c r="AN59" s="126">
        <f t="shared" si="35"/>
        <v>4.1800000000000004E-2</v>
      </c>
      <c r="AO59" s="126">
        <f t="shared" si="36"/>
        <v>4.1800000000000004E-2</v>
      </c>
      <c r="AP59" s="126">
        <f t="shared" si="37"/>
        <v>4.1800000000000004E-2</v>
      </c>
      <c r="AQ59" s="126">
        <f t="shared" si="38"/>
        <v>4.1800000000000004E-2</v>
      </c>
      <c r="AR59" s="126">
        <f t="shared" si="38"/>
        <v>4.1800000000000004E-2</v>
      </c>
      <c r="AS59" s="126">
        <f t="shared" si="39"/>
        <v>4.1800000000000004E-2</v>
      </c>
      <c r="AT59" s="126">
        <f t="shared" si="40"/>
        <v>4.1800000000000004E-2</v>
      </c>
      <c r="AU59" s="126">
        <f t="shared" si="41"/>
        <v>4.1800000000000004E-2</v>
      </c>
      <c r="AV59" s="126">
        <f t="shared" si="42"/>
        <v>4.1800000000000004E-2</v>
      </c>
      <c r="AW59" s="126">
        <f t="shared" si="43"/>
        <v>4.1800000000000004E-2</v>
      </c>
      <c r="AX59" s="126">
        <f t="shared" si="44"/>
        <v>4.1800000000000004E-2</v>
      </c>
      <c r="AY59" s="126">
        <f t="shared" si="45"/>
        <v>4.1800000000000004E-2</v>
      </c>
      <c r="AZ59" s="126">
        <f t="shared" si="46"/>
        <v>4.1800000000000004E-2</v>
      </c>
      <c r="BA59" s="126">
        <f t="shared" si="47"/>
        <v>4.1800000000000004E-2</v>
      </c>
      <c r="BB59" s="126">
        <f t="shared" si="48"/>
        <v>4.1800000000000004E-2</v>
      </c>
      <c r="BC59" s="126">
        <f t="shared" si="49"/>
        <v>4.1800000000000004E-2</v>
      </c>
      <c r="BD59" s="126">
        <f t="shared" si="50"/>
        <v>4.1800000000000004E-2</v>
      </c>
    </row>
    <row r="60" spans="2:56" ht="20.399999999999999" customHeight="1">
      <c r="B60" s="6" t="s">
        <v>100</v>
      </c>
      <c r="C60" s="125" t="s">
        <v>170</v>
      </c>
      <c r="D60" s="126">
        <f t="shared" si="51"/>
        <v>1.9000000000000003E-2</v>
      </c>
      <c r="E60" s="126">
        <f t="shared" si="52"/>
        <v>1.9000000000000003E-2</v>
      </c>
      <c r="F60" s="126">
        <f t="shared" si="53"/>
        <v>1.9000000000000003E-2</v>
      </c>
      <c r="G60" s="126">
        <f t="shared" si="54"/>
        <v>1.9000000000000003E-2</v>
      </c>
      <c r="H60" s="126">
        <f t="shared" si="55"/>
        <v>1.9000000000000003E-2</v>
      </c>
      <c r="I60" s="126">
        <f t="shared" si="56"/>
        <v>1.9000000000000003E-2</v>
      </c>
      <c r="J60" s="126">
        <f t="shared" si="57"/>
        <v>1.7000000000000001E-2</v>
      </c>
      <c r="K60" s="126">
        <f t="shared" si="58"/>
        <v>1.7999999999999999E-2</v>
      </c>
      <c r="L60" s="126">
        <f t="shared" si="59"/>
        <v>2.1000000000000001E-2</v>
      </c>
      <c r="M60" s="126">
        <f t="shared" si="60"/>
        <v>1.9E-2</v>
      </c>
      <c r="N60" s="126">
        <f t="shared" si="61"/>
        <v>0.02</v>
      </c>
      <c r="O60" s="126">
        <f t="shared" si="62"/>
        <v>1.9000000000000003E-2</v>
      </c>
      <c r="P60" s="126">
        <f t="shared" si="63"/>
        <v>1.9000000000000003E-2</v>
      </c>
      <c r="Q60" s="126">
        <f t="shared" si="64"/>
        <v>1.9000000000000003E-2</v>
      </c>
      <c r="R60" s="126">
        <f t="shared" si="65"/>
        <v>1.9000000000000003E-2</v>
      </c>
      <c r="S60" s="126">
        <f t="shared" si="66"/>
        <v>1.9000000000000003E-2</v>
      </c>
      <c r="T60" s="126">
        <f t="shared" si="67"/>
        <v>1.9000000000000003E-2</v>
      </c>
      <c r="U60" s="126">
        <f t="shared" si="68"/>
        <v>1.9000000000000003E-2</v>
      </c>
      <c r="V60" s="126">
        <f t="shared" si="69"/>
        <v>1.9000000000000003E-2</v>
      </c>
      <c r="W60" s="126">
        <f t="shared" si="70"/>
        <v>1.9000000000000003E-2</v>
      </c>
      <c r="X60" s="126">
        <f t="shared" si="71"/>
        <v>1.9000000000000003E-2</v>
      </c>
      <c r="Y60" s="126">
        <f t="shared" si="72"/>
        <v>1.9000000000000003E-2</v>
      </c>
      <c r="Z60" s="126">
        <f t="shared" si="73"/>
        <v>1.9000000000000003E-2</v>
      </c>
      <c r="AA60" s="126">
        <f t="shared" si="74"/>
        <v>1.9000000000000003E-2</v>
      </c>
      <c r="AB60" s="126">
        <f t="shared" si="75"/>
        <v>1.9000000000000003E-2</v>
      </c>
      <c r="AC60" s="126">
        <f t="shared" si="76"/>
        <v>1.9000000000000003E-2</v>
      </c>
      <c r="AD60" s="126">
        <f t="shared" si="77"/>
        <v>1.9000000000000003E-2</v>
      </c>
      <c r="AE60" s="126">
        <f t="shared" si="78"/>
        <v>1.9000000000000003E-2</v>
      </c>
      <c r="AF60" s="126">
        <f t="shared" si="79"/>
        <v>1.9000000000000003E-2</v>
      </c>
      <c r="AG60" s="126">
        <f t="shared" si="80"/>
        <v>1.9000000000000003E-2</v>
      </c>
      <c r="AH60" s="126">
        <f t="shared" si="81"/>
        <v>1.9000000000000003E-2</v>
      </c>
      <c r="AI60" s="126">
        <f t="shared" si="30"/>
        <v>1.9000000000000003E-2</v>
      </c>
      <c r="AJ60" s="126">
        <f t="shared" si="31"/>
        <v>1.9000000000000003E-2</v>
      </c>
      <c r="AK60" s="126">
        <f t="shared" si="32"/>
        <v>1.9000000000000003E-2</v>
      </c>
      <c r="AL60" s="126">
        <f t="shared" si="33"/>
        <v>1.9000000000000003E-2</v>
      </c>
      <c r="AM60" s="126">
        <f t="shared" si="34"/>
        <v>1.9000000000000003E-2</v>
      </c>
      <c r="AN60" s="126">
        <f t="shared" si="35"/>
        <v>1.9000000000000003E-2</v>
      </c>
      <c r="AO60" s="126">
        <f t="shared" si="36"/>
        <v>1.9000000000000003E-2</v>
      </c>
      <c r="AP60" s="126">
        <f t="shared" si="37"/>
        <v>1.9000000000000003E-2</v>
      </c>
      <c r="AQ60" s="126">
        <f t="shared" si="38"/>
        <v>1.9000000000000003E-2</v>
      </c>
      <c r="AR60" s="126">
        <f t="shared" si="38"/>
        <v>1.9000000000000003E-2</v>
      </c>
      <c r="AS60" s="126">
        <f t="shared" si="39"/>
        <v>1.9000000000000003E-2</v>
      </c>
      <c r="AT60" s="126">
        <f t="shared" si="40"/>
        <v>1.9000000000000003E-2</v>
      </c>
      <c r="AU60" s="126">
        <f t="shared" si="41"/>
        <v>1.9000000000000003E-2</v>
      </c>
      <c r="AV60" s="126">
        <f t="shared" si="42"/>
        <v>1.9000000000000003E-2</v>
      </c>
      <c r="AW60" s="126">
        <f t="shared" si="43"/>
        <v>1.9000000000000003E-2</v>
      </c>
      <c r="AX60" s="126">
        <f t="shared" si="44"/>
        <v>1.9000000000000003E-2</v>
      </c>
      <c r="AY60" s="126">
        <f t="shared" si="45"/>
        <v>1.9000000000000003E-2</v>
      </c>
      <c r="AZ60" s="126">
        <f t="shared" si="46"/>
        <v>1.9000000000000003E-2</v>
      </c>
      <c r="BA60" s="126">
        <f t="shared" si="47"/>
        <v>1.9000000000000003E-2</v>
      </c>
      <c r="BB60" s="126">
        <f t="shared" si="48"/>
        <v>1.9000000000000003E-2</v>
      </c>
      <c r="BC60" s="126">
        <f t="shared" si="49"/>
        <v>1.9000000000000003E-2</v>
      </c>
      <c r="BD60" s="126">
        <f t="shared" si="50"/>
        <v>1.9000000000000003E-2</v>
      </c>
    </row>
    <row r="61" spans="2:56" ht="20.399999999999999" customHeight="1">
      <c r="B61" s="6" t="s">
        <v>15</v>
      </c>
      <c r="C61" s="125" t="s">
        <v>173</v>
      </c>
      <c r="D61" s="126">
        <f t="shared" si="51"/>
        <v>2.2800000000000001E-2</v>
      </c>
      <c r="E61" s="126">
        <f t="shared" si="52"/>
        <v>2.2800000000000001E-2</v>
      </c>
      <c r="F61" s="126">
        <f t="shared" si="53"/>
        <v>2.2800000000000001E-2</v>
      </c>
      <c r="G61" s="126">
        <f t="shared" si="54"/>
        <v>2.2800000000000001E-2</v>
      </c>
      <c r="H61" s="126">
        <f t="shared" si="55"/>
        <v>2.2800000000000001E-2</v>
      </c>
      <c r="I61" s="126">
        <f t="shared" si="56"/>
        <v>2.2800000000000001E-2</v>
      </c>
      <c r="J61" s="126">
        <f t="shared" si="57"/>
        <v>3.3000000000000002E-2</v>
      </c>
      <c r="K61" s="126">
        <f t="shared" si="58"/>
        <v>0.02</v>
      </c>
      <c r="L61" s="126">
        <f t="shared" si="59"/>
        <v>1.6E-2</v>
      </c>
      <c r="M61" s="126">
        <f t="shared" si="60"/>
        <v>1.6E-2</v>
      </c>
      <c r="N61" s="126">
        <f t="shared" si="61"/>
        <v>2.9000000000000001E-2</v>
      </c>
      <c r="O61" s="126">
        <f t="shared" si="62"/>
        <v>2.2800000000000001E-2</v>
      </c>
      <c r="P61" s="126">
        <f t="shared" si="63"/>
        <v>2.2800000000000001E-2</v>
      </c>
      <c r="Q61" s="126">
        <f t="shared" si="64"/>
        <v>2.2800000000000001E-2</v>
      </c>
      <c r="R61" s="126">
        <f t="shared" si="65"/>
        <v>2.2800000000000001E-2</v>
      </c>
      <c r="S61" s="126">
        <f t="shared" si="66"/>
        <v>2.2800000000000001E-2</v>
      </c>
      <c r="T61" s="126">
        <f t="shared" si="67"/>
        <v>2.2800000000000001E-2</v>
      </c>
      <c r="U61" s="126">
        <f t="shared" si="68"/>
        <v>2.2800000000000001E-2</v>
      </c>
      <c r="V61" s="126">
        <f t="shared" si="69"/>
        <v>2.2800000000000001E-2</v>
      </c>
      <c r="W61" s="126">
        <f t="shared" si="70"/>
        <v>2.2800000000000001E-2</v>
      </c>
      <c r="X61" s="126">
        <f t="shared" si="71"/>
        <v>2.2800000000000001E-2</v>
      </c>
      <c r="Y61" s="126">
        <f t="shared" si="72"/>
        <v>2.2800000000000001E-2</v>
      </c>
      <c r="Z61" s="126">
        <f t="shared" si="73"/>
        <v>2.2800000000000001E-2</v>
      </c>
      <c r="AA61" s="126">
        <f t="shared" si="74"/>
        <v>2.2800000000000001E-2</v>
      </c>
      <c r="AB61" s="126">
        <f t="shared" si="75"/>
        <v>2.2800000000000001E-2</v>
      </c>
      <c r="AC61" s="126">
        <f t="shared" si="76"/>
        <v>2.2800000000000001E-2</v>
      </c>
      <c r="AD61" s="126">
        <f t="shared" si="77"/>
        <v>2.2800000000000001E-2</v>
      </c>
      <c r="AE61" s="126">
        <f t="shared" si="78"/>
        <v>2.2800000000000001E-2</v>
      </c>
      <c r="AF61" s="126">
        <f t="shared" si="79"/>
        <v>2.2800000000000001E-2</v>
      </c>
      <c r="AG61" s="126">
        <f t="shared" si="80"/>
        <v>2.2800000000000001E-2</v>
      </c>
      <c r="AH61" s="126">
        <f t="shared" si="81"/>
        <v>2.2800000000000001E-2</v>
      </c>
      <c r="AI61" s="126">
        <f t="shared" si="30"/>
        <v>2.2800000000000001E-2</v>
      </c>
      <c r="AJ61" s="126">
        <f t="shared" si="31"/>
        <v>2.2800000000000001E-2</v>
      </c>
      <c r="AK61" s="126">
        <f t="shared" si="32"/>
        <v>2.2800000000000001E-2</v>
      </c>
      <c r="AL61" s="126">
        <f t="shared" si="33"/>
        <v>2.2800000000000001E-2</v>
      </c>
      <c r="AM61" s="126">
        <f t="shared" si="34"/>
        <v>2.2800000000000001E-2</v>
      </c>
      <c r="AN61" s="126">
        <f t="shared" si="35"/>
        <v>2.2800000000000001E-2</v>
      </c>
      <c r="AO61" s="126">
        <f t="shared" si="36"/>
        <v>2.2800000000000001E-2</v>
      </c>
      <c r="AP61" s="126">
        <f t="shared" si="37"/>
        <v>2.2800000000000001E-2</v>
      </c>
      <c r="AQ61" s="126">
        <f t="shared" si="38"/>
        <v>2.2800000000000001E-2</v>
      </c>
      <c r="AR61" s="126">
        <f t="shared" si="38"/>
        <v>2.2800000000000001E-2</v>
      </c>
      <c r="AS61" s="126">
        <f t="shared" si="39"/>
        <v>2.2800000000000001E-2</v>
      </c>
      <c r="AT61" s="126">
        <f t="shared" si="40"/>
        <v>2.2800000000000001E-2</v>
      </c>
      <c r="AU61" s="126">
        <f t="shared" si="41"/>
        <v>2.2800000000000001E-2</v>
      </c>
      <c r="AV61" s="126">
        <f t="shared" si="42"/>
        <v>2.2800000000000001E-2</v>
      </c>
      <c r="AW61" s="126">
        <f t="shared" si="43"/>
        <v>2.2800000000000001E-2</v>
      </c>
      <c r="AX61" s="126">
        <f t="shared" si="44"/>
        <v>2.2800000000000001E-2</v>
      </c>
      <c r="AY61" s="126">
        <f t="shared" si="45"/>
        <v>2.2800000000000001E-2</v>
      </c>
      <c r="AZ61" s="126">
        <f t="shared" si="46"/>
        <v>2.2800000000000001E-2</v>
      </c>
      <c r="BA61" s="126">
        <f t="shared" si="47"/>
        <v>2.2800000000000001E-2</v>
      </c>
      <c r="BB61" s="126">
        <f t="shared" si="48"/>
        <v>2.2800000000000001E-2</v>
      </c>
      <c r="BC61" s="126">
        <f t="shared" si="49"/>
        <v>2.2800000000000001E-2</v>
      </c>
      <c r="BD61" s="126">
        <f t="shared" si="50"/>
        <v>2.2800000000000001E-2</v>
      </c>
    </row>
    <row r="62" spans="2:56" ht="20.399999999999999" customHeight="1">
      <c r="B62" s="6" t="s">
        <v>2863</v>
      </c>
      <c r="C62" s="125" t="s">
        <v>170</v>
      </c>
      <c r="D62" s="126">
        <f t="shared" si="51"/>
        <v>1.9000000000000003E-2</v>
      </c>
      <c r="E62" s="126">
        <f t="shared" si="52"/>
        <v>1.9000000000000003E-2</v>
      </c>
      <c r="F62" s="126">
        <f t="shared" si="53"/>
        <v>1.9000000000000003E-2</v>
      </c>
      <c r="G62" s="126">
        <f t="shared" si="54"/>
        <v>1.9000000000000003E-2</v>
      </c>
      <c r="H62" s="126">
        <f t="shared" si="55"/>
        <v>1.9000000000000003E-2</v>
      </c>
      <c r="I62" s="126">
        <f t="shared" si="56"/>
        <v>1.9000000000000003E-2</v>
      </c>
      <c r="J62" s="126">
        <f t="shared" si="57"/>
        <v>1.7000000000000001E-2</v>
      </c>
      <c r="K62" s="126">
        <f t="shared" si="58"/>
        <v>1.7999999999999999E-2</v>
      </c>
      <c r="L62" s="126">
        <f t="shared" si="59"/>
        <v>2.1000000000000001E-2</v>
      </c>
      <c r="M62" s="126">
        <f t="shared" si="60"/>
        <v>1.9E-2</v>
      </c>
      <c r="N62" s="126">
        <f t="shared" si="61"/>
        <v>0.02</v>
      </c>
      <c r="O62" s="126">
        <f t="shared" si="62"/>
        <v>1.9000000000000003E-2</v>
      </c>
      <c r="P62" s="126">
        <f t="shared" si="63"/>
        <v>1.9000000000000003E-2</v>
      </c>
      <c r="Q62" s="126">
        <f t="shared" si="64"/>
        <v>1.9000000000000003E-2</v>
      </c>
      <c r="R62" s="126">
        <f t="shared" si="65"/>
        <v>1.9000000000000003E-2</v>
      </c>
      <c r="S62" s="126">
        <f t="shared" si="66"/>
        <v>1.9000000000000003E-2</v>
      </c>
      <c r="T62" s="126">
        <f t="shared" si="67"/>
        <v>1.9000000000000003E-2</v>
      </c>
      <c r="U62" s="126">
        <f t="shared" si="68"/>
        <v>1.9000000000000003E-2</v>
      </c>
      <c r="V62" s="126">
        <f t="shared" si="69"/>
        <v>1.9000000000000003E-2</v>
      </c>
      <c r="W62" s="126">
        <f t="shared" si="70"/>
        <v>1.9000000000000003E-2</v>
      </c>
      <c r="X62" s="126">
        <f t="shared" si="71"/>
        <v>1.9000000000000003E-2</v>
      </c>
      <c r="Y62" s="126">
        <f t="shared" si="72"/>
        <v>1.9000000000000003E-2</v>
      </c>
      <c r="Z62" s="126">
        <f t="shared" si="73"/>
        <v>1.9000000000000003E-2</v>
      </c>
      <c r="AA62" s="126">
        <f t="shared" si="74"/>
        <v>1.9000000000000003E-2</v>
      </c>
      <c r="AB62" s="126">
        <f t="shared" si="75"/>
        <v>1.9000000000000003E-2</v>
      </c>
      <c r="AC62" s="126">
        <f t="shared" si="76"/>
        <v>1.9000000000000003E-2</v>
      </c>
      <c r="AD62" s="126">
        <f t="shared" si="77"/>
        <v>1.9000000000000003E-2</v>
      </c>
      <c r="AE62" s="126">
        <f t="shared" si="78"/>
        <v>1.9000000000000003E-2</v>
      </c>
      <c r="AF62" s="126">
        <f t="shared" si="79"/>
        <v>1.9000000000000003E-2</v>
      </c>
      <c r="AG62" s="126">
        <f t="shared" si="80"/>
        <v>1.9000000000000003E-2</v>
      </c>
      <c r="AH62" s="126">
        <f t="shared" si="81"/>
        <v>1.9000000000000003E-2</v>
      </c>
      <c r="AI62" s="126">
        <f t="shared" si="30"/>
        <v>1.9000000000000003E-2</v>
      </c>
      <c r="AJ62" s="126">
        <f t="shared" si="31"/>
        <v>1.9000000000000003E-2</v>
      </c>
      <c r="AK62" s="126">
        <f t="shared" si="32"/>
        <v>1.9000000000000003E-2</v>
      </c>
      <c r="AL62" s="126">
        <f t="shared" si="33"/>
        <v>1.9000000000000003E-2</v>
      </c>
      <c r="AM62" s="126">
        <f t="shared" si="34"/>
        <v>1.9000000000000003E-2</v>
      </c>
      <c r="AN62" s="126">
        <f t="shared" si="35"/>
        <v>1.9000000000000003E-2</v>
      </c>
      <c r="AO62" s="126">
        <f t="shared" si="36"/>
        <v>1.9000000000000003E-2</v>
      </c>
      <c r="AP62" s="126">
        <f t="shared" si="37"/>
        <v>1.9000000000000003E-2</v>
      </c>
      <c r="AQ62" s="126">
        <f t="shared" si="38"/>
        <v>1.9000000000000003E-2</v>
      </c>
      <c r="AR62" s="126">
        <f t="shared" si="38"/>
        <v>1.9000000000000003E-2</v>
      </c>
      <c r="AS62" s="126">
        <f t="shared" si="39"/>
        <v>1.9000000000000003E-2</v>
      </c>
      <c r="AT62" s="126">
        <f t="shared" si="40"/>
        <v>1.9000000000000003E-2</v>
      </c>
      <c r="AU62" s="126">
        <f t="shared" si="41"/>
        <v>1.9000000000000003E-2</v>
      </c>
      <c r="AV62" s="126">
        <f t="shared" si="42"/>
        <v>1.9000000000000003E-2</v>
      </c>
      <c r="AW62" s="126">
        <f t="shared" si="43"/>
        <v>1.9000000000000003E-2</v>
      </c>
      <c r="AX62" s="126">
        <f t="shared" si="44"/>
        <v>1.9000000000000003E-2</v>
      </c>
      <c r="AY62" s="126">
        <f t="shared" si="45"/>
        <v>1.9000000000000003E-2</v>
      </c>
      <c r="AZ62" s="126">
        <f t="shared" si="46"/>
        <v>1.9000000000000003E-2</v>
      </c>
      <c r="BA62" s="126">
        <f t="shared" si="47"/>
        <v>1.9000000000000003E-2</v>
      </c>
      <c r="BB62" s="126">
        <f t="shared" si="48"/>
        <v>1.9000000000000003E-2</v>
      </c>
      <c r="BC62" s="126">
        <f t="shared" si="49"/>
        <v>1.9000000000000003E-2</v>
      </c>
      <c r="BD62" s="126">
        <f t="shared" si="50"/>
        <v>1.9000000000000003E-2</v>
      </c>
    </row>
    <row r="63" spans="2:56" ht="20.399999999999999" customHeight="1">
      <c r="B63" s="6" t="s">
        <v>2862</v>
      </c>
      <c r="C63" s="125" t="s">
        <v>170</v>
      </c>
      <c r="D63" s="126">
        <f t="shared" si="51"/>
        <v>1.9000000000000003E-2</v>
      </c>
      <c r="E63" s="126">
        <f t="shared" si="52"/>
        <v>1.9000000000000003E-2</v>
      </c>
      <c r="F63" s="126">
        <f t="shared" si="53"/>
        <v>1.9000000000000003E-2</v>
      </c>
      <c r="G63" s="126">
        <f t="shared" si="54"/>
        <v>1.9000000000000003E-2</v>
      </c>
      <c r="H63" s="126">
        <f t="shared" si="55"/>
        <v>1.9000000000000003E-2</v>
      </c>
      <c r="I63" s="126">
        <f t="shared" si="56"/>
        <v>1.9000000000000003E-2</v>
      </c>
      <c r="J63" s="126">
        <f t="shared" si="57"/>
        <v>1.7000000000000001E-2</v>
      </c>
      <c r="K63" s="126">
        <f t="shared" si="58"/>
        <v>1.7999999999999999E-2</v>
      </c>
      <c r="L63" s="126">
        <f t="shared" si="59"/>
        <v>2.1000000000000001E-2</v>
      </c>
      <c r="M63" s="126">
        <f t="shared" si="60"/>
        <v>1.9E-2</v>
      </c>
      <c r="N63" s="126">
        <f t="shared" si="61"/>
        <v>0.02</v>
      </c>
      <c r="O63" s="126">
        <f t="shared" si="62"/>
        <v>1.9000000000000003E-2</v>
      </c>
      <c r="P63" s="126">
        <f t="shared" si="63"/>
        <v>1.9000000000000003E-2</v>
      </c>
      <c r="Q63" s="126">
        <f t="shared" si="64"/>
        <v>1.9000000000000003E-2</v>
      </c>
      <c r="R63" s="126">
        <f t="shared" si="65"/>
        <v>1.9000000000000003E-2</v>
      </c>
      <c r="S63" s="126">
        <f t="shared" si="66"/>
        <v>1.9000000000000003E-2</v>
      </c>
      <c r="T63" s="126">
        <f t="shared" si="67"/>
        <v>1.9000000000000003E-2</v>
      </c>
      <c r="U63" s="126">
        <f t="shared" si="68"/>
        <v>1.9000000000000003E-2</v>
      </c>
      <c r="V63" s="126">
        <f t="shared" si="69"/>
        <v>1.9000000000000003E-2</v>
      </c>
      <c r="W63" s="126">
        <f t="shared" si="70"/>
        <v>1.9000000000000003E-2</v>
      </c>
      <c r="X63" s="126">
        <f t="shared" si="71"/>
        <v>1.9000000000000003E-2</v>
      </c>
      <c r="Y63" s="126">
        <f t="shared" si="72"/>
        <v>1.9000000000000003E-2</v>
      </c>
      <c r="Z63" s="126">
        <f t="shared" si="73"/>
        <v>1.9000000000000003E-2</v>
      </c>
      <c r="AA63" s="126">
        <f t="shared" si="74"/>
        <v>1.9000000000000003E-2</v>
      </c>
      <c r="AB63" s="126">
        <f t="shared" si="75"/>
        <v>1.9000000000000003E-2</v>
      </c>
      <c r="AC63" s="126">
        <f t="shared" si="76"/>
        <v>1.9000000000000003E-2</v>
      </c>
      <c r="AD63" s="126">
        <f t="shared" si="77"/>
        <v>1.9000000000000003E-2</v>
      </c>
      <c r="AE63" s="126">
        <f t="shared" si="78"/>
        <v>1.9000000000000003E-2</v>
      </c>
      <c r="AF63" s="126">
        <f t="shared" si="79"/>
        <v>1.9000000000000003E-2</v>
      </c>
      <c r="AG63" s="126">
        <f t="shared" si="80"/>
        <v>1.9000000000000003E-2</v>
      </c>
      <c r="AH63" s="126">
        <f t="shared" si="81"/>
        <v>1.9000000000000003E-2</v>
      </c>
      <c r="AI63" s="126">
        <f t="shared" si="30"/>
        <v>1.9000000000000003E-2</v>
      </c>
      <c r="AJ63" s="126">
        <f t="shared" si="31"/>
        <v>1.9000000000000003E-2</v>
      </c>
      <c r="AK63" s="126">
        <f t="shared" si="32"/>
        <v>1.9000000000000003E-2</v>
      </c>
      <c r="AL63" s="126">
        <f t="shared" si="33"/>
        <v>1.9000000000000003E-2</v>
      </c>
      <c r="AM63" s="126">
        <f t="shared" si="34"/>
        <v>1.9000000000000003E-2</v>
      </c>
      <c r="AN63" s="126">
        <f t="shared" si="35"/>
        <v>1.9000000000000003E-2</v>
      </c>
      <c r="AO63" s="126">
        <f t="shared" si="36"/>
        <v>1.9000000000000003E-2</v>
      </c>
      <c r="AP63" s="126">
        <f t="shared" si="37"/>
        <v>1.9000000000000003E-2</v>
      </c>
      <c r="AQ63" s="126">
        <f t="shared" si="38"/>
        <v>1.9000000000000003E-2</v>
      </c>
      <c r="AR63" s="126">
        <f t="shared" si="38"/>
        <v>1.9000000000000003E-2</v>
      </c>
      <c r="AS63" s="126">
        <f t="shared" si="39"/>
        <v>1.9000000000000003E-2</v>
      </c>
      <c r="AT63" s="126">
        <f t="shared" si="40"/>
        <v>1.9000000000000003E-2</v>
      </c>
      <c r="AU63" s="126">
        <f t="shared" si="41"/>
        <v>1.9000000000000003E-2</v>
      </c>
      <c r="AV63" s="126">
        <f t="shared" si="42"/>
        <v>1.9000000000000003E-2</v>
      </c>
      <c r="AW63" s="126">
        <f t="shared" si="43"/>
        <v>1.9000000000000003E-2</v>
      </c>
      <c r="AX63" s="126">
        <f t="shared" si="44"/>
        <v>1.9000000000000003E-2</v>
      </c>
      <c r="AY63" s="126">
        <f t="shared" si="45"/>
        <v>1.9000000000000003E-2</v>
      </c>
      <c r="AZ63" s="126">
        <f t="shared" si="46"/>
        <v>1.9000000000000003E-2</v>
      </c>
      <c r="BA63" s="126">
        <f t="shared" si="47"/>
        <v>1.9000000000000003E-2</v>
      </c>
      <c r="BB63" s="126">
        <f t="shared" si="48"/>
        <v>1.9000000000000003E-2</v>
      </c>
      <c r="BC63" s="126">
        <f t="shared" si="49"/>
        <v>1.9000000000000003E-2</v>
      </c>
      <c r="BD63" s="126">
        <f t="shared" si="50"/>
        <v>1.9000000000000003E-2</v>
      </c>
    </row>
    <row r="64" spans="2:56" ht="20.399999999999999" customHeight="1">
      <c r="B64" s="6" t="s">
        <v>2871</v>
      </c>
      <c r="C64" s="125" t="s">
        <v>170</v>
      </c>
      <c r="D64" s="126">
        <f t="shared" si="51"/>
        <v>1.9000000000000003E-2</v>
      </c>
      <c r="E64" s="126">
        <f t="shared" si="52"/>
        <v>1.9000000000000003E-2</v>
      </c>
      <c r="F64" s="126">
        <f t="shared" si="53"/>
        <v>1.9000000000000003E-2</v>
      </c>
      <c r="G64" s="126">
        <f t="shared" si="54"/>
        <v>1.9000000000000003E-2</v>
      </c>
      <c r="H64" s="126">
        <f t="shared" si="55"/>
        <v>1.9000000000000003E-2</v>
      </c>
      <c r="I64" s="126">
        <f t="shared" si="56"/>
        <v>1.9000000000000003E-2</v>
      </c>
      <c r="J64" s="126">
        <f t="shared" si="57"/>
        <v>1.7000000000000001E-2</v>
      </c>
      <c r="K64" s="126">
        <f t="shared" si="58"/>
        <v>1.7999999999999999E-2</v>
      </c>
      <c r="L64" s="126">
        <f t="shared" si="59"/>
        <v>2.1000000000000001E-2</v>
      </c>
      <c r="M64" s="126">
        <f t="shared" si="60"/>
        <v>1.9E-2</v>
      </c>
      <c r="N64" s="126">
        <f t="shared" si="61"/>
        <v>0.02</v>
      </c>
      <c r="O64" s="126">
        <f t="shared" si="62"/>
        <v>1.9000000000000003E-2</v>
      </c>
      <c r="P64" s="126">
        <f t="shared" si="63"/>
        <v>1.9000000000000003E-2</v>
      </c>
      <c r="Q64" s="126">
        <f t="shared" si="64"/>
        <v>1.9000000000000003E-2</v>
      </c>
      <c r="R64" s="126">
        <f t="shared" si="65"/>
        <v>1.9000000000000003E-2</v>
      </c>
      <c r="S64" s="126">
        <f t="shared" si="66"/>
        <v>1.9000000000000003E-2</v>
      </c>
      <c r="T64" s="126">
        <f t="shared" si="67"/>
        <v>1.9000000000000003E-2</v>
      </c>
      <c r="U64" s="126">
        <f t="shared" si="68"/>
        <v>1.9000000000000003E-2</v>
      </c>
      <c r="V64" s="126">
        <f t="shared" si="69"/>
        <v>1.9000000000000003E-2</v>
      </c>
      <c r="W64" s="126">
        <f t="shared" si="70"/>
        <v>1.9000000000000003E-2</v>
      </c>
      <c r="X64" s="126">
        <f t="shared" si="71"/>
        <v>1.9000000000000003E-2</v>
      </c>
      <c r="Y64" s="126">
        <f t="shared" si="72"/>
        <v>1.9000000000000003E-2</v>
      </c>
      <c r="Z64" s="126">
        <f t="shared" si="73"/>
        <v>1.9000000000000003E-2</v>
      </c>
      <c r="AA64" s="126">
        <f t="shared" si="74"/>
        <v>1.9000000000000003E-2</v>
      </c>
      <c r="AB64" s="126">
        <f t="shared" si="75"/>
        <v>1.9000000000000003E-2</v>
      </c>
      <c r="AC64" s="126">
        <f t="shared" si="76"/>
        <v>1.9000000000000003E-2</v>
      </c>
      <c r="AD64" s="126">
        <f t="shared" si="77"/>
        <v>1.9000000000000003E-2</v>
      </c>
      <c r="AE64" s="126">
        <f t="shared" si="78"/>
        <v>1.9000000000000003E-2</v>
      </c>
      <c r="AF64" s="126">
        <f t="shared" si="79"/>
        <v>1.9000000000000003E-2</v>
      </c>
      <c r="AG64" s="126">
        <f t="shared" si="80"/>
        <v>1.9000000000000003E-2</v>
      </c>
      <c r="AH64" s="126">
        <f t="shared" si="81"/>
        <v>1.9000000000000003E-2</v>
      </c>
      <c r="AI64" s="126">
        <f t="shared" si="30"/>
        <v>1.9000000000000003E-2</v>
      </c>
      <c r="AJ64" s="126">
        <f t="shared" si="31"/>
        <v>1.9000000000000003E-2</v>
      </c>
      <c r="AK64" s="126">
        <f t="shared" si="32"/>
        <v>1.9000000000000003E-2</v>
      </c>
      <c r="AL64" s="126">
        <f t="shared" si="33"/>
        <v>1.9000000000000003E-2</v>
      </c>
      <c r="AM64" s="126">
        <f t="shared" si="34"/>
        <v>1.9000000000000003E-2</v>
      </c>
      <c r="AN64" s="126">
        <f t="shared" si="35"/>
        <v>1.9000000000000003E-2</v>
      </c>
      <c r="AO64" s="126">
        <f t="shared" si="36"/>
        <v>1.9000000000000003E-2</v>
      </c>
      <c r="AP64" s="126">
        <f t="shared" si="37"/>
        <v>1.9000000000000003E-2</v>
      </c>
      <c r="AQ64" s="126">
        <f t="shared" si="38"/>
        <v>1.9000000000000003E-2</v>
      </c>
      <c r="AR64" s="126">
        <f t="shared" si="38"/>
        <v>1.9000000000000003E-2</v>
      </c>
      <c r="AS64" s="126">
        <f t="shared" si="39"/>
        <v>1.9000000000000003E-2</v>
      </c>
      <c r="AT64" s="126">
        <f t="shared" si="40"/>
        <v>1.9000000000000003E-2</v>
      </c>
      <c r="AU64" s="126">
        <f t="shared" si="41"/>
        <v>1.9000000000000003E-2</v>
      </c>
      <c r="AV64" s="126">
        <f t="shared" si="42"/>
        <v>1.9000000000000003E-2</v>
      </c>
      <c r="AW64" s="126">
        <f t="shared" si="43"/>
        <v>1.9000000000000003E-2</v>
      </c>
      <c r="AX64" s="126">
        <f t="shared" si="44"/>
        <v>1.9000000000000003E-2</v>
      </c>
      <c r="AY64" s="126">
        <f t="shared" si="45"/>
        <v>1.9000000000000003E-2</v>
      </c>
      <c r="AZ64" s="126">
        <f t="shared" si="46"/>
        <v>1.9000000000000003E-2</v>
      </c>
      <c r="BA64" s="126">
        <f t="shared" si="47"/>
        <v>1.9000000000000003E-2</v>
      </c>
      <c r="BB64" s="126">
        <f t="shared" si="48"/>
        <v>1.9000000000000003E-2</v>
      </c>
      <c r="BC64" s="126">
        <f t="shared" si="49"/>
        <v>1.9000000000000003E-2</v>
      </c>
      <c r="BD64" s="126">
        <f t="shared" si="50"/>
        <v>1.9000000000000003E-2</v>
      </c>
    </row>
    <row r="65" spans="1:56" ht="20.399999999999999" customHeight="1">
      <c r="B65" s="6" t="s">
        <v>2869</v>
      </c>
      <c r="C65" s="125" t="s">
        <v>170</v>
      </c>
      <c r="D65" s="126">
        <f t="shared" si="51"/>
        <v>1.9000000000000003E-2</v>
      </c>
      <c r="E65" s="126">
        <f t="shared" si="52"/>
        <v>1.9000000000000003E-2</v>
      </c>
      <c r="F65" s="126">
        <f t="shared" si="53"/>
        <v>1.9000000000000003E-2</v>
      </c>
      <c r="G65" s="126">
        <f t="shared" si="54"/>
        <v>1.9000000000000003E-2</v>
      </c>
      <c r="H65" s="126">
        <f t="shared" si="55"/>
        <v>1.9000000000000003E-2</v>
      </c>
      <c r="I65" s="126">
        <f t="shared" si="56"/>
        <v>1.9000000000000003E-2</v>
      </c>
      <c r="J65" s="126">
        <f t="shared" si="57"/>
        <v>1.7000000000000001E-2</v>
      </c>
      <c r="K65" s="126">
        <f t="shared" si="58"/>
        <v>1.7999999999999999E-2</v>
      </c>
      <c r="L65" s="126">
        <f t="shared" si="59"/>
        <v>2.1000000000000001E-2</v>
      </c>
      <c r="M65" s="126">
        <f t="shared" si="60"/>
        <v>1.9E-2</v>
      </c>
      <c r="N65" s="126">
        <f t="shared" si="61"/>
        <v>0.02</v>
      </c>
      <c r="O65" s="126">
        <f t="shared" si="62"/>
        <v>1.9000000000000003E-2</v>
      </c>
      <c r="P65" s="126">
        <f t="shared" si="63"/>
        <v>1.9000000000000003E-2</v>
      </c>
      <c r="Q65" s="126">
        <f t="shared" si="64"/>
        <v>1.9000000000000003E-2</v>
      </c>
      <c r="R65" s="126">
        <f t="shared" si="65"/>
        <v>1.9000000000000003E-2</v>
      </c>
      <c r="S65" s="126">
        <f t="shared" si="66"/>
        <v>1.9000000000000003E-2</v>
      </c>
      <c r="T65" s="126">
        <f t="shared" si="67"/>
        <v>1.9000000000000003E-2</v>
      </c>
      <c r="U65" s="126">
        <f t="shared" si="68"/>
        <v>1.9000000000000003E-2</v>
      </c>
      <c r="V65" s="126">
        <f t="shared" si="69"/>
        <v>1.9000000000000003E-2</v>
      </c>
      <c r="W65" s="126">
        <f t="shared" si="70"/>
        <v>1.9000000000000003E-2</v>
      </c>
      <c r="X65" s="126">
        <f t="shared" si="71"/>
        <v>1.9000000000000003E-2</v>
      </c>
      <c r="Y65" s="126">
        <f t="shared" si="72"/>
        <v>1.9000000000000003E-2</v>
      </c>
      <c r="Z65" s="126">
        <f t="shared" si="73"/>
        <v>1.9000000000000003E-2</v>
      </c>
      <c r="AA65" s="126">
        <f t="shared" si="74"/>
        <v>1.9000000000000003E-2</v>
      </c>
      <c r="AB65" s="126">
        <f t="shared" si="75"/>
        <v>1.9000000000000003E-2</v>
      </c>
      <c r="AC65" s="126">
        <f t="shared" si="76"/>
        <v>1.9000000000000003E-2</v>
      </c>
      <c r="AD65" s="126">
        <f t="shared" si="77"/>
        <v>1.9000000000000003E-2</v>
      </c>
      <c r="AE65" s="126">
        <f t="shared" si="78"/>
        <v>1.9000000000000003E-2</v>
      </c>
      <c r="AF65" s="126">
        <f t="shared" si="79"/>
        <v>1.9000000000000003E-2</v>
      </c>
      <c r="AG65" s="126">
        <f t="shared" si="80"/>
        <v>1.9000000000000003E-2</v>
      </c>
      <c r="AH65" s="126">
        <f t="shared" si="81"/>
        <v>1.9000000000000003E-2</v>
      </c>
      <c r="AI65" s="126">
        <f t="shared" si="30"/>
        <v>1.9000000000000003E-2</v>
      </c>
      <c r="AJ65" s="126">
        <f t="shared" si="31"/>
        <v>1.9000000000000003E-2</v>
      </c>
      <c r="AK65" s="126">
        <f t="shared" si="32"/>
        <v>1.9000000000000003E-2</v>
      </c>
      <c r="AL65" s="126">
        <f t="shared" si="33"/>
        <v>1.9000000000000003E-2</v>
      </c>
      <c r="AM65" s="126">
        <f t="shared" si="34"/>
        <v>1.9000000000000003E-2</v>
      </c>
      <c r="AN65" s="126">
        <f t="shared" si="35"/>
        <v>1.9000000000000003E-2</v>
      </c>
      <c r="AO65" s="126">
        <f t="shared" si="36"/>
        <v>1.9000000000000003E-2</v>
      </c>
      <c r="AP65" s="126">
        <f t="shared" si="37"/>
        <v>1.9000000000000003E-2</v>
      </c>
      <c r="AQ65" s="126">
        <f t="shared" si="38"/>
        <v>1.9000000000000003E-2</v>
      </c>
      <c r="AR65" s="126">
        <f t="shared" si="38"/>
        <v>1.9000000000000003E-2</v>
      </c>
      <c r="AS65" s="126">
        <f t="shared" si="39"/>
        <v>1.9000000000000003E-2</v>
      </c>
      <c r="AT65" s="126">
        <f t="shared" si="40"/>
        <v>1.9000000000000003E-2</v>
      </c>
      <c r="AU65" s="126">
        <f t="shared" si="41"/>
        <v>1.9000000000000003E-2</v>
      </c>
      <c r="AV65" s="126">
        <f t="shared" si="42"/>
        <v>1.9000000000000003E-2</v>
      </c>
      <c r="AW65" s="126">
        <f t="shared" si="43"/>
        <v>1.9000000000000003E-2</v>
      </c>
      <c r="AX65" s="126">
        <f t="shared" si="44"/>
        <v>1.9000000000000003E-2</v>
      </c>
      <c r="AY65" s="126">
        <f t="shared" si="45"/>
        <v>1.9000000000000003E-2</v>
      </c>
      <c r="AZ65" s="126">
        <f t="shared" si="46"/>
        <v>1.9000000000000003E-2</v>
      </c>
      <c r="BA65" s="126">
        <f t="shared" si="47"/>
        <v>1.9000000000000003E-2</v>
      </c>
      <c r="BB65" s="126">
        <f t="shared" si="48"/>
        <v>1.9000000000000003E-2</v>
      </c>
      <c r="BC65" s="126">
        <f t="shared" si="49"/>
        <v>1.9000000000000003E-2</v>
      </c>
      <c r="BD65" s="126">
        <f t="shared" si="50"/>
        <v>1.9000000000000003E-2</v>
      </c>
    </row>
    <row r="66" spans="1:56" ht="20.399999999999999" customHeight="1">
      <c r="B66" s="6" t="s">
        <v>2870</v>
      </c>
      <c r="C66" s="125" t="s">
        <v>170</v>
      </c>
      <c r="D66" s="126">
        <f t="shared" si="51"/>
        <v>1.9000000000000003E-2</v>
      </c>
      <c r="E66" s="126">
        <f t="shared" si="52"/>
        <v>1.9000000000000003E-2</v>
      </c>
      <c r="F66" s="126">
        <f t="shared" si="53"/>
        <v>1.9000000000000003E-2</v>
      </c>
      <c r="G66" s="126">
        <f t="shared" si="54"/>
        <v>1.9000000000000003E-2</v>
      </c>
      <c r="H66" s="126">
        <f t="shared" si="55"/>
        <v>1.9000000000000003E-2</v>
      </c>
      <c r="I66" s="126">
        <f t="shared" si="56"/>
        <v>1.9000000000000003E-2</v>
      </c>
      <c r="J66" s="126">
        <f t="shared" si="57"/>
        <v>1.7000000000000001E-2</v>
      </c>
      <c r="K66" s="126">
        <f t="shared" si="58"/>
        <v>1.7999999999999999E-2</v>
      </c>
      <c r="L66" s="126">
        <f t="shared" si="59"/>
        <v>2.1000000000000001E-2</v>
      </c>
      <c r="M66" s="126">
        <f t="shared" si="60"/>
        <v>1.9E-2</v>
      </c>
      <c r="N66" s="126">
        <f t="shared" si="61"/>
        <v>0.02</v>
      </c>
      <c r="O66" s="126">
        <f t="shared" si="62"/>
        <v>1.9000000000000003E-2</v>
      </c>
      <c r="P66" s="126">
        <f t="shared" si="63"/>
        <v>1.9000000000000003E-2</v>
      </c>
      <c r="Q66" s="126">
        <f t="shared" si="64"/>
        <v>1.9000000000000003E-2</v>
      </c>
      <c r="R66" s="126">
        <f t="shared" si="65"/>
        <v>1.9000000000000003E-2</v>
      </c>
      <c r="S66" s="126">
        <f t="shared" si="66"/>
        <v>1.9000000000000003E-2</v>
      </c>
      <c r="T66" s="126">
        <f t="shared" si="67"/>
        <v>1.9000000000000003E-2</v>
      </c>
      <c r="U66" s="126">
        <f t="shared" si="68"/>
        <v>1.9000000000000003E-2</v>
      </c>
      <c r="V66" s="126">
        <f t="shared" si="69"/>
        <v>1.9000000000000003E-2</v>
      </c>
      <c r="W66" s="126">
        <f t="shared" si="70"/>
        <v>1.9000000000000003E-2</v>
      </c>
      <c r="X66" s="126">
        <f t="shared" si="71"/>
        <v>1.9000000000000003E-2</v>
      </c>
      <c r="Y66" s="126">
        <f t="shared" si="72"/>
        <v>1.9000000000000003E-2</v>
      </c>
      <c r="Z66" s="126">
        <f t="shared" si="73"/>
        <v>1.9000000000000003E-2</v>
      </c>
      <c r="AA66" s="126">
        <f t="shared" si="74"/>
        <v>1.9000000000000003E-2</v>
      </c>
      <c r="AB66" s="126">
        <f t="shared" si="75"/>
        <v>1.9000000000000003E-2</v>
      </c>
      <c r="AC66" s="126">
        <f t="shared" si="76"/>
        <v>1.9000000000000003E-2</v>
      </c>
      <c r="AD66" s="126">
        <f t="shared" si="77"/>
        <v>1.9000000000000003E-2</v>
      </c>
      <c r="AE66" s="126">
        <f t="shared" si="78"/>
        <v>1.9000000000000003E-2</v>
      </c>
      <c r="AF66" s="126">
        <f t="shared" si="79"/>
        <v>1.9000000000000003E-2</v>
      </c>
      <c r="AG66" s="126">
        <f t="shared" si="80"/>
        <v>1.9000000000000003E-2</v>
      </c>
      <c r="AH66" s="126">
        <f t="shared" si="81"/>
        <v>1.9000000000000003E-2</v>
      </c>
      <c r="AI66" s="126">
        <f t="shared" si="30"/>
        <v>1.9000000000000003E-2</v>
      </c>
      <c r="AJ66" s="126">
        <f t="shared" si="31"/>
        <v>1.9000000000000003E-2</v>
      </c>
      <c r="AK66" s="126">
        <f t="shared" si="32"/>
        <v>1.9000000000000003E-2</v>
      </c>
      <c r="AL66" s="126">
        <f t="shared" si="33"/>
        <v>1.9000000000000003E-2</v>
      </c>
      <c r="AM66" s="126">
        <f t="shared" si="34"/>
        <v>1.9000000000000003E-2</v>
      </c>
      <c r="AN66" s="126">
        <f t="shared" si="35"/>
        <v>1.9000000000000003E-2</v>
      </c>
      <c r="AO66" s="126">
        <f t="shared" si="36"/>
        <v>1.9000000000000003E-2</v>
      </c>
      <c r="AP66" s="126">
        <f t="shared" si="37"/>
        <v>1.9000000000000003E-2</v>
      </c>
      <c r="AQ66" s="126">
        <f t="shared" si="38"/>
        <v>1.9000000000000003E-2</v>
      </c>
      <c r="AR66" s="126">
        <f t="shared" si="38"/>
        <v>1.9000000000000003E-2</v>
      </c>
      <c r="AS66" s="126">
        <f t="shared" si="39"/>
        <v>1.9000000000000003E-2</v>
      </c>
      <c r="AT66" s="126">
        <f t="shared" si="40"/>
        <v>1.9000000000000003E-2</v>
      </c>
      <c r="AU66" s="126">
        <f t="shared" si="41"/>
        <v>1.9000000000000003E-2</v>
      </c>
      <c r="AV66" s="126">
        <f t="shared" si="42"/>
        <v>1.9000000000000003E-2</v>
      </c>
      <c r="AW66" s="126">
        <f t="shared" si="43"/>
        <v>1.9000000000000003E-2</v>
      </c>
      <c r="AX66" s="126">
        <f t="shared" si="44"/>
        <v>1.9000000000000003E-2</v>
      </c>
      <c r="AY66" s="126">
        <f t="shared" si="45"/>
        <v>1.9000000000000003E-2</v>
      </c>
      <c r="AZ66" s="126">
        <f t="shared" si="46"/>
        <v>1.9000000000000003E-2</v>
      </c>
      <c r="BA66" s="126">
        <f t="shared" si="47"/>
        <v>1.9000000000000003E-2</v>
      </c>
      <c r="BB66" s="126">
        <f t="shared" si="48"/>
        <v>1.9000000000000003E-2</v>
      </c>
      <c r="BC66" s="126">
        <f t="shared" si="49"/>
        <v>1.9000000000000003E-2</v>
      </c>
      <c r="BD66" s="126">
        <f t="shared" si="50"/>
        <v>1.9000000000000003E-2</v>
      </c>
    </row>
    <row r="67" spans="1:56" ht="20.399999999999999" customHeight="1">
      <c r="B67" s="6" t="s">
        <v>14</v>
      </c>
      <c r="C67" s="125" t="s">
        <v>173</v>
      </c>
      <c r="D67" s="126">
        <f t="shared" si="51"/>
        <v>2.2800000000000001E-2</v>
      </c>
      <c r="E67" s="126">
        <f t="shared" si="52"/>
        <v>2.2800000000000001E-2</v>
      </c>
      <c r="F67" s="126">
        <f t="shared" si="53"/>
        <v>2.2800000000000001E-2</v>
      </c>
      <c r="G67" s="126">
        <f t="shared" si="54"/>
        <v>2.2800000000000001E-2</v>
      </c>
      <c r="H67" s="126">
        <f t="shared" si="55"/>
        <v>2.2800000000000001E-2</v>
      </c>
      <c r="I67" s="126">
        <f t="shared" si="56"/>
        <v>2.2800000000000001E-2</v>
      </c>
      <c r="J67" s="126">
        <f t="shared" si="57"/>
        <v>3.3000000000000002E-2</v>
      </c>
      <c r="K67" s="126">
        <f t="shared" si="58"/>
        <v>0.02</v>
      </c>
      <c r="L67" s="126">
        <f t="shared" si="59"/>
        <v>1.6E-2</v>
      </c>
      <c r="M67" s="126">
        <f t="shared" si="60"/>
        <v>1.6E-2</v>
      </c>
      <c r="N67" s="126">
        <f t="shared" si="61"/>
        <v>2.9000000000000001E-2</v>
      </c>
      <c r="O67" s="126">
        <f t="shared" si="62"/>
        <v>2.2800000000000001E-2</v>
      </c>
      <c r="P67" s="126">
        <f t="shared" si="63"/>
        <v>2.2800000000000001E-2</v>
      </c>
      <c r="Q67" s="126">
        <f t="shared" si="64"/>
        <v>2.2800000000000001E-2</v>
      </c>
      <c r="R67" s="126">
        <f t="shared" si="65"/>
        <v>2.2800000000000001E-2</v>
      </c>
      <c r="S67" s="126">
        <f t="shared" si="66"/>
        <v>2.2800000000000001E-2</v>
      </c>
      <c r="T67" s="126">
        <f t="shared" si="67"/>
        <v>2.2800000000000001E-2</v>
      </c>
      <c r="U67" s="126">
        <f t="shared" si="68"/>
        <v>2.2800000000000001E-2</v>
      </c>
      <c r="V67" s="126">
        <f t="shared" si="69"/>
        <v>2.2800000000000001E-2</v>
      </c>
      <c r="W67" s="126">
        <f t="shared" si="70"/>
        <v>2.2800000000000001E-2</v>
      </c>
      <c r="X67" s="126">
        <f t="shared" si="71"/>
        <v>2.2800000000000001E-2</v>
      </c>
      <c r="Y67" s="126">
        <f t="shared" si="72"/>
        <v>2.2800000000000001E-2</v>
      </c>
      <c r="Z67" s="126">
        <f t="shared" si="73"/>
        <v>2.2800000000000001E-2</v>
      </c>
      <c r="AA67" s="126">
        <f t="shared" si="74"/>
        <v>2.2800000000000001E-2</v>
      </c>
      <c r="AB67" s="126">
        <f t="shared" si="75"/>
        <v>2.2800000000000001E-2</v>
      </c>
      <c r="AC67" s="126">
        <f t="shared" si="76"/>
        <v>2.2800000000000001E-2</v>
      </c>
      <c r="AD67" s="126">
        <f t="shared" si="77"/>
        <v>2.2800000000000001E-2</v>
      </c>
      <c r="AE67" s="126">
        <f t="shared" si="78"/>
        <v>2.2800000000000001E-2</v>
      </c>
      <c r="AF67" s="126">
        <f t="shared" si="79"/>
        <v>2.2800000000000001E-2</v>
      </c>
      <c r="AG67" s="126">
        <f t="shared" si="80"/>
        <v>2.2800000000000001E-2</v>
      </c>
      <c r="AH67" s="126">
        <f t="shared" si="81"/>
        <v>2.2800000000000001E-2</v>
      </c>
      <c r="AI67" s="126">
        <f t="shared" si="30"/>
        <v>2.2800000000000001E-2</v>
      </c>
      <c r="AJ67" s="126">
        <f t="shared" si="31"/>
        <v>2.2800000000000001E-2</v>
      </c>
      <c r="AK67" s="126">
        <f t="shared" si="32"/>
        <v>2.2800000000000001E-2</v>
      </c>
      <c r="AL67" s="126">
        <f t="shared" si="33"/>
        <v>2.2800000000000001E-2</v>
      </c>
      <c r="AM67" s="126">
        <f t="shared" si="34"/>
        <v>2.2800000000000001E-2</v>
      </c>
      <c r="AN67" s="126">
        <f t="shared" si="35"/>
        <v>2.2800000000000001E-2</v>
      </c>
      <c r="AO67" s="126">
        <f t="shared" si="36"/>
        <v>2.2800000000000001E-2</v>
      </c>
      <c r="AP67" s="126">
        <f t="shared" si="37"/>
        <v>2.2800000000000001E-2</v>
      </c>
      <c r="AQ67" s="126">
        <f t="shared" si="38"/>
        <v>2.2800000000000001E-2</v>
      </c>
      <c r="AR67" s="126">
        <f t="shared" si="38"/>
        <v>2.2800000000000001E-2</v>
      </c>
      <c r="AS67" s="126">
        <f t="shared" si="39"/>
        <v>2.2800000000000001E-2</v>
      </c>
      <c r="AT67" s="126">
        <f t="shared" si="40"/>
        <v>2.2800000000000001E-2</v>
      </c>
      <c r="AU67" s="126">
        <f t="shared" si="41"/>
        <v>2.2800000000000001E-2</v>
      </c>
      <c r="AV67" s="126">
        <f t="shared" si="42"/>
        <v>2.2800000000000001E-2</v>
      </c>
      <c r="AW67" s="126">
        <f t="shared" si="43"/>
        <v>2.2800000000000001E-2</v>
      </c>
      <c r="AX67" s="126">
        <f t="shared" si="44"/>
        <v>2.2800000000000001E-2</v>
      </c>
      <c r="AY67" s="126">
        <f t="shared" si="45"/>
        <v>2.2800000000000001E-2</v>
      </c>
      <c r="AZ67" s="126">
        <f t="shared" si="46"/>
        <v>2.2800000000000001E-2</v>
      </c>
      <c r="BA67" s="126">
        <f t="shared" si="47"/>
        <v>2.2800000000000001E-2</v>
      </c>
      <c r="BB67" s="126">
        <f t="shared" si="48"/>
        <v>2.2800000000000001E-2</v>
      </c>
      <c r="BC67" s="126">
        <f t="shared" si="49"/>
        <v>2.2800000000000001E-2</v>
      </c>
      <c r="BD67" s="126">
        <f t="shared" si="50"/>
        <v>2.2800000000000001E-2</v>
      </c>
    </row>
    <row r="70" spans="1:56" s="588" customFormat="1">
      <c r="A70" s="593" t="s">
        <v>2471</v>
      </c>
    </row>
    <row r="71" spans="1:56">
      <c r="A71" s="9"/>
      <c r="B71" s="9"/>
    </row>
    <row r="72" spans="1:56">
      <c r="A72" s="9" t="s">
        <v>2472</v>
      </c>
      <c r="B72" s="9" t="s">
        <v>177</v>
      </c>
    </row>
    <row r="73" spans="1:56">
      <c r="A73" s="9"/>
      <c r="B73" s="151" t="s">
        <v>3413</v>
      </c>
    </row>
    <row r="74" spans="1:56">
      <c r="A74" s="9"/>
      <c r="B74" s="9"/>
    </row>
    <row r="75" spans="1:56">
      <c r="B75" s="117" t="s">
        <v>178</v>
      </c>
      <c r="C75" s="134">
        <f>'Resource costs'!C118</f>
        <v>2018</v>
      </c>
    </row>
    <row r="77" spans="1:56">
      <c r="B77" s="7" t="s">
        <v>125</v>
      </c>
      <c r="C77" s="7">
        <f t="shared" ref="C77:AG77" si="82">C12</f>
        <v>2010</v>
      </c>
      <c r="D77" s="7">
        <f t="shared" si="82"/>
        <v>2011</v>
      </c>
      <c r="E77" s="7">
        <f t="shared" si="82"/>
        <v>2012</v>
      </c>
      <c r="F77" s="7">
        <f t="shared" si="82"/>
        <v>2013</v>
      </c>
      <c r="G77" s="7">
        <f t="shared" si="82"/>
        <v>2014</v>
      </c>
      <c r="H77" s="7">
        <f t="shared" si="82"/>
        <v>2015</v>
      </c>
      <c r="I77" s="7">
        <f t="shared" si="82"/>
        <v>2016</v>
      </c>
      <c r="J77" s="7">
        <f t="shared" si="82"/>
        <v>2017</v>
      </c>
      <c r="K77" s="7">
        <f t="shared" si="82"/>
        <v>2018</v>
      </c>
      <c r="L77" s="7">
        <f t="shared" si="82"/>
        <v>2019</v>
      </c>
      <c r="M77" s="7">
        <f t="shared" si="82"/>
        <v>2020</v>
      </c>
      <c r="N77" s="7">
        <f t="shared" si="82"/>
        <v>2021</v>
      </c>
      <c r="O77" s="7">
        <f t="shared" si="82"/>
        <v>2022</v>
      </c>
      <c r="P77" s="7">
        <f t="shared" si="82"/>
        <v>2023</v>
      </c>
      <c r="Q77" s="7">
        <f t="shared" si="82"/>
        <v>2024</v>
      </c>
      <c r="R77" s="7">
        <f t="shared" si="82"/>
        <v>2025</v>
      </c>
      <c r="S77" s="7">
        <f t="shared" si="82"/>
        <v>2026</v>
      </c>
      <c r="T77" s="7">
        <f t="shared" si="82"/>
        <v>2027</v>
      </c>
      <c r="U77" s="7">
        <f t="shared" si="82"/>
        <v>2028</v>
      </c>
      <c r="V77" s="7">
        <f t="shared" si="82"/>
        <v>2029</v>
      </c>
      <c r="W77" s="7">
        <f t="shared" si="82"/>
        <v>2030</v>
      </c>
      <c r="X77" s="7">
        <f t="shared" si="82"/>
        <v>2031</v>
      </c>
      <c r="Y77" s="7">
        <f t="shared" si="82"/>
        <v>2032</v>
      </c>
      <c r="Z77" s="7">
        <f t="shared" si="82"/>
        <v>2033</v>
      </c>
      <c r="AA77" s="7">
        <f t="shared" si="82"/>
        <v>2034</v>
      </c>
      <c r="AB77" s="7">
        <f t="shared" si="82"/>
        <v>2035</v>
      </c>
      <c r="AC77" s="7">
        <f t="shared" si="82"/>
        <v>2036</v>
      </c>
      <c r="AD77" s="7">
        <f t="shared" si="82"/>
        <v>2037</v>
      </c>
      <c r="AE77" s="7">
        <f t="shared" si="82"/>
        <v>2038</v>
      </c>
      <c r="AF77" s="7">
        <f t="shared" si="82"/>
        <v>2039</v>
      </c>
      <c r="AG77" s="7">
        <f t="shared" si="82"/>
        <v>2040</v>
      </c>
      <c r="AH77" s="7">
        <f t="shared" ref="AH77:AQ77" si="83">AH12</f>
        <v>2041</v>
      </c>
      <c r="AI77" s="7">
        <f t="shared" si="83"/>
        <v>2042</v>
      </c>
      <c r="AJ77" s="7">
        <f t="shared" si="83"/>
        <v>2043</v>
      </c>
      <c r="AK77" s="7">
        <f t="shared" si="83"/>
        <v>2044</v>
      </c>
      <c r="AL77" s="7">
        <f t="shared" si="83"/>
        <v>2045</v>
      </c>
      <c r="AM77" s="7">
        <f t="shared" si="83"/>
        <v>2046</v>
      </c>
      <c r="AN77" s="7">
        <f t="shared" si="83"/>
        <v>2047</v>
      </c>
      <c r="AO77" s="7">
        <f t="shared" si="83"/>
        <v>2048</v>
      </c>
      <c r="AP77" s="7">
        <f t="shared" si="83"/>
        <v>2049</v>
      </c>
      <c r="AQ77" s="7">
        <f t="shared" si="83"/>
        <v>2050</v>
      </c>
      <c r="AR77" s="7">
        <f t="shared" ref="AR77:BC77" si="84">AR12</f>
        <v>2051</v>
      </c>
      <c r="AS77" s="7">
        <f t="shared" si="84"/>
        <v>2052</v>
      </c>
      <c r="AT77" s="7">
        <f t="shared" si="84"/>
        <v>2053</v>
      </c>
      <c r="AU77" s="7">
        <f t="shared" si="84"/>
        <v>2054</v>
      </c>
      <c r="AV77" s="7">
        <f t="shared" si="84"/>
        <v>2055</v>
      </c>
      <c r="AW77" s="7">
        <f t="shared" si="84"/>
        <v>2056</v>
      </c>
      <c r="AX77" s="7">
        <f t="shared" si="84"/>
        <v>2057</v>
      </c>
      <c r="AY77" s="7">
        <f t="shared" si="84"/>
        <v>2058</v>
      </c>
      <c r="AZ77" s="7">
        <f t="shared" si="84"/>
        <v>2059</v>
      </c>
      <c r="BA77" s="7">
        <f t="shared" si="84"/>
        <v>2060</v>
      </c>
      <c r="BB77" s="7">
        <f t="shared" si="84"/>
        <v>2061</v>
      </c>
      <c r="BC77" s="7">
        <f t="shared" si="84"/>
        <v>2062</v>
      </c>
    </row>
    <row r="78" spans="1:56">
      <c r="B78" s="6" t="str">
        <f t="shared" ref="B78:B118" si="85">B27</f>
        <v>Amputations</v>
      </c>
      <c r="C78" s="126">
        <f t="shared" ref="C78:AG78" si="86">(IF(C$77&lt;$C$75, -1, 1) *D27)+1</f>
        <v>0.98099999999999998</v>
      </c>
      <c r="D78" s="126">
        <f t="shared" si="86"/>
        <v>0.98099999999999998</v>
      </c>
      <c r="E78" s="126">
        <f t="shared" si="86"/>
        <v>0.98099999999999998</v>
      </c>
      <c r="F78" s="126">
        <f t="shared" si="86"/>
        <v>0.98099999999999998</v>
      </c>
      <c r="G78" s="126">
        <f t="shared" si="86"/>
        <v>0.98099999999999998</v>
      </c>
      <c r="H78" s="126">
        <f t="shared" si="86"/>
        <v>0.98099999999999998</v>
      </c>
      <c r="I78" s="126">
        <f t="shared" si="86"/>
        <v>0.98299999999999998</v>
      </c>
      <c r="J78" s="126">
        <f t="shared" si="86"/>
        <v>0.98199999999999998</v>
      </c>
      <c r="K78" s="126">
        <f t="shared" si="86"/>
        <v>1.0209999999999999</v>
      </c>
      <c r="L78" s="126">
        <f t="shared" si="86"/>
        <v>1.0189999999999999</v>
      </c>
      <c r="M78" s="126">
        <f t="shared" si="86"/>
        <v>1.02</v>
      </c>
      <c r="N78" s="126">
        <f t="shared" si="86"/>
        <v>1.0189999999999999</v>
      </c>
      <c r="O78" s="126">
        <f t="shared" si="86"/>
        <v>1.0189999999999999</v>
      </c>
      <c r="P78" s="126">
        <f t="shared" si="86"/>
        <v>1.0189999999999999</v>
      </c>
      <c r="Q78" s="126">
        <f t="shared" si="86"/>
        <v>1.0189999999999999</v>
      </c>
      <c r="R78" s="126">
        <f t="shared" si="86"/>
        <v>1.0189999999999999</v>
      </c>
      <c r="S78" s="126">
        <f t="shared" si="86"/>
        <v>1.0189999999999999</v>
      </c>
      <c r="T78" s="126">
        <f t="shared" si="86"/>
        <v>1.0189999999999999</v>
      </c>
      <c r="U78" s="126">
        <f t="shared" si="86"/>
        <v>1.0189999999999999</v>
      </c>
      <c r="V78" s="126">
        <f t="shared" si="86"/>
        <v>1.0189999999999999</v>
      </c>
      <c r="W78" s="126">
        <f t="shared" si="86"/>
        <v>1.0189999999999999</v>
      </c>
      <c r="X78" s="126">
        <f t="shared" si="86"/>
        <v>1.0189999999999999</v>
      </c>
      <c r="Y78" s="126">
        <f t="shared" si="86"/>
        <v>1.0189999999999999</v>
      </c>
      <c r="Z78" s="126">
        <f t="shared" si="86"/>
        <v>1.0189999999999999</v>
      </c>
      <c r="AA78" s="126">
        <f t="shared" si="86"/>
        <v>1.0189999999999999</v>
      </c>
      <c r="AB78" s="126">
        <f t="shared" si="86"/>
        <v>1.0189999999999999</v>
      </c>
      <c r="AC78" s="126">
        <f t="shared" si="86"/>
        <v>1.0189999999999999</v>
      </c>
      <c r="AD78" s="126">
        <f t="shared" si="86"/>
        <v>1.0189999999999999</v>
      </c>
      <c r="AE78" s="126">
        <f t="shared" si="86"/>
        <v>1.0189999999999999</v>
      </c>
      <c r="AF78" s="126">
        <f t="shared" si="86"/>
        <v>1.0189999999999999</v>
      </c>
      <c r="AG78" s="126">
        <f t="shared" si="86"/>
        <v>1.0189999999999999</v>
      </c>
      <c r="AH78" s="126">
        <f t="shared" ref="AH78:AH116" si="87">(IF(AH$77&lt;$C$75, -1, 1) *AI27)+1</f>
        <v>1.0189999999999999</v>
      </c>
      <c r="AI78" s="126">
        <f t="shared" ref="AI78:AI116" si="88">(IF(AI$77&lt;$C$75, -1, 1) *AJ27)+1</f>
        <v>1.0189999999999999</v>
      </c>
      <c r="AJ78" s="126">
        <f t="shared" ref="AJ78:AJ116" si="89">(IF(AJ$77&lt;$C$75, -1, 1) *AK27)+1</f>
        <v>1.0189999999999999</v>
      </c>
      <c r="AK78" s="126">
        <f t="shared" ref="AK78:AK116" si="90">(IF(AK$77&lt;$C$75, -1, 1) *AL27)+1</f>
        <v>1.0189999999999999</v>
      </c>
      <c r="AL78" s="126">
        <f t="shared" ref="AL78:AL116" si="91">(IF(AL$77&lt;$C$75, -1, 1) *AM27)+1</f>
        <v>1.0189999999999999</v>
      </c>
      <c r="AM78" s="126">
        <f t="shared" ref="AM78:AM116" si="92">(IF(AM$77&lt;$C$75, -1, 1) *AN27)+1</f>
        <v>1.0189999999999999</v>
      </c>
      <c r="AN78" s="126">
        <f t="shared" ref="AN78:AN116" si="93">(IF(AN$77&lt;$C$75, -1, 1) *AO27)+1</f>
        <v>1.0189999999999999</v>
      </c>
      <c r="AO78" s="126">
        <f t="shared" ref="AO78:AO116" si="94">(IF(AO$77&lt;$C$75, -1, 1) *AP27)+1</f>
        <v>1.0189999999999999</v>
      </c>
      <c r="AP78" s="126">
        <f t="shared" ref="AP78:AP116" si="95">(IF(AP$77&lt;$C$75, -1, 1) *AQ27)+1</f>
        <v>1.0189999999999999</v>
      </c>
      <c r="AQ78" s="126">
        <f t="shared" ref="AQ78:AQ116" si="96">(IF(AQ$77&lt;$C$75, -1, 1) *AR27)+1</f>
        <v>1.0189999999999999</v>
      </c>
      <c r="AR78" s="126">
        <f t="shared" ref="AR78:AR118" si="97">(IF(AR$77&lt;$C$75, -1, 1) *AS27)+1</f>
        <v>1.0189999999999999</v>
      </c>
      <c r="AS78" s="126">
        <f t="shared" ref="AS78:AS118" si="98">(IF(AS$77&lt;$C$75, -1, 1) *AT27)+1</f>
        <v>1.0189999999999999</v>
      </c>
      <c r="AT78" s="126">
        <f t="shared" ref="AT78:AT118" si="99">(IF(AT$77&lt;$C$75, -1, 1) *AU27)+1</f>
        <v>1.0189999999999999</v>
      </c>
      <c r="AU78" s="126">
        <f t="shared" ref="AU78:AU118" si="100">(IF(AU$77&lt;$C$75, -1, 1) *AV27)+1</f>
        <v>1.0189999999999999</v>
      </c>
      <c r="AV78" s="126">
        <f t="shared" ref="AV78:AV118" si="101">(IF(AV$77&lt;$C$75, -1, 1) *AW27)+1</f>
        <v>1.0189999999999999</v>
      </c>
      <c r="AW78" s="126">
        <f t="shared" ref="AW78:AW118" si="102">(IF(AW$77&lt;$C$75, -1, 1) *AX27)+1</f>
        <v>1.0189999999999999</v>
      </c>
      <c r="AX78" s="126">
        <f t="shared" ref="AX78:AX118" si="103">(IF(AX$77&lt;$C$75, -1, 1) *AY27)+1</f>
        <v>1.0189999999999999</v>
      </c>
      <c r="AY78" s="126">
        <f t="shared" ref="AY78:AY118" si="104">(IF(AY$77&lt;$C$75, -1, 1) *AZ27)+1</f>
        <v>1.0189999999999999</v>
      </c>
      <c r="AZ78" s="126">
        <f t="shared" ref="AZ78:AZ118" si="105">(IF(AZ$77&lt;$C$75, -1, 1) *BA27)+1</f>
        <v>1.0189999999999999</v>
      </c>
      <c r="BA78" s="126">
        <f t="shared" ref="BA78:BA118" si="106">(IF(BA$77&lt;$C$75, -1, 1) *BB27)+1</f>
        <v>1.0189999999999999</v>
      </c>
      <c r="BB78" s="126">
        <f t="shared" ref="BB78:BC118" si="107">(IF(BB$77&lt;$C$75, -1, 1) *BC27)+1</f>
        <v>1.0189999999999999</v>
      </c>
      <c r="BC78" s="126">
        <f t="shared" si="107"/>
        <v>1.0189999999999999</v>
      </c>
    </row>
    <row r="79" spans="1:56">
      <c r="B79" s="6" t="str">
        <f t="shared" si="85"/>
        <v>Community nurse visits</v>
      </c>
      <c r="C79" s="126">
        <f t="shared" ref="C79:AG79" si="108">(IF(C$77&lt;$C$75, -1, 1) *D28)+1</f>
        <v>0.97719999999999996</v>
      </c>
      <c r="D79" s="126">
        <f t="shared" si="108"/>
        <v>0.97719999999999996</v>
      </c>
      <c r="E79" s="126">
        <f t="shared" si="108"/>
        <v>0.97719999999999996</v>
      </c>
      <c r="F79" s="126">
        <f t="shared" si="108"/>
        <v>0.97719999999999996</v>
      </c>
      <c r="G79" s="126">
        <f t="shared" si="108"/>
        <v>0.97719999999999996</v>
      </c>
      <c r="H79" s="126">
        <f t="shared" si="108"/>
        <v>0.97719999999999996</v>
      </c>
      <c r="I79" s="126">
        <f t="shared" si="108"/>
        <v>0.96699999999999997</v>
      </c>
      <c r="J79" s="126">
        <f t="shared" si="108"/>
        <v>0.98</v>
      </c>
      <c r="K79" s="126">
        <f t="shared" si="108"/>
        <v>1.016</v>
      </c>
      <c r="L79" s="126">
        <f t="shared" si="108"/>
        <v>1.016</v>
      </c>
      <c r="M79" s="126">
        <f t="shared" si="108"/>
        <v>1.0289999999999999</v>
      </c>
      <c r="N79" s="126">
        <f t="shared" si="108"/>
        <v>1.0227999999999999</v>
      </c>
      <c r="O79" s="126">
        <f t="shared" si="108"/>
        <v>1.0227999999999999</v>
      </c>
      <c r="P79" s="126">
        <f t="shared" si="108"/>
        <v>1.0227999999999999</v>
      </c>
      <c r="Q79" s="126">
        <f t="shared" si="108"/>
        <v>1.0227999999999999</v>
      </c>
      <c r="R79" s="126">
        <f t="shared" si="108"/>
        <v>1.0227999999999999</v>
      </c>
      <c r="S79" s="126">
        <f t="shared" si="108"/>
        <v>1.0227999999999999</v>
      </c>
      <c r="T79" s="126">
        <f t="shared" si="108"/>
        <v>1.0227999999999999</v>
      </c>
      <c r="U79" s="126">
        <f t="shared" si="108"/>
        <v>1.0227999999999999</v>
      </c>
      <c r="V79" s="126">
        <f t="shared" si="108"/>
        <v>1.0227999999999999</v>
      </c>
      <c r="W79" s="126">
        <f t="shared" si="108"/>
        <v>1.0227999999999999</v>
      </c>
      <c r="X79" s="126">
        <f t="shared" si="108"/>
        <v>1.0227999999999999</v>
      </c>
      <c r="Y79" s="126">
        <f t="shared" si="108"/>
        <v>1.0227999999999999</v>
      </c>
      <c r="Z79" s="126">
        <f t="shared" si="108"/>
        <v>1.0227999999999999</v>
      </c>
      <c r="AA79" s="126">
        <f t="shared" si="108"/>
        <v>1.0227999999999999</v>
      </c>
      <c r="AB79" s="126">
        <f t="shared" si="108"/>
        <v>1.0227999999999999</v>
      </c>
      <c r="AC79" s="126">
        <f t="shared" si="108"/>
        <v>1.0227999999999999</v>
      </c>
      <c r="AD79" s="126">
        <f t="shared" si="108"/>
        <v>1.0227999999999999</v>
      </c>
      <c r="AE79" s="126">
        <f t="shared" si="108"/>
        <v>1.0227999999999999</v>
      </c>
      <c r="AF79" s="126">
        <f t="shared" si="108"/>
        <v>1.0227999999999999</v>
      </c>
      <c r="AG79" s="126">
        <f t="shared" si="108"/>
        <v>1.0227999999999999</v>
      </c>
      <c r="AH79" s="126">
        <f t="shared" si="87"/>
        <v>1.0227999999999999</v>
      </c>
      <c r="AI79" s="126">
        <f t="shared" si="88"/>
        <v>1.0227999999999999</v>
      </c>
      <c r="AJ79" s="126">
        <f t="shared" si="89"/>
        <v>1.0227999999999999</v>
      </c>
      <c r="AK79" s="126">
        <f t="shared" si="90"/>
        <v>1.0227999999999999</v>
      </c>
      <c r="AL79" s="126">
        <f t="shared" si="91"/>
        <v>1.0227999999999999</v>
      </c>
      <c r="AM79" s="126">
        <f t="shared" si="92"/>
        <v>1.0227999999999999</v>
      </c>
      <c r="AN79" s="126">
        <f t="shared" si="93"/>
        <v>1.0227999999999999</v>
      </c>
      <c r="AO79" s="126">
        <f t="shared" si="94"/>
        <v>1.0227999999999999</v>
      </c>
      <c r="AP79" s="126">
        <f t="shared" si="95"/>
        <v>1.0227999999999999</v>
      </c>
      <c r="AQ79" s="126">
        <f t="shared" si="96"/>
        <v>1.0227999999999999</v>
      </c>
      <c r="AR79" s="126">
        <f t="shared" si="97"/>
        <v>1.0227999999999999</v>
      </c>
      <c r="AS79" s="126">
        <f t="shared" si="98"/>
        <v>1.0227999999999999</v>
      </c>
      <c r="AT79" s="126">
        <f t="shared" si="99"/>
        <v>1.0227999999999999</v>
      </c>
      <c r="AU79" s="126">
        <f t="shared" si="100"/>
        <v>1.0227999999999999</v>
      </c>
      <c r="AV79" s="126">
        <f t="shared" si="101"/>
        <v>1.0227999999999999</v>
      </c>
      <c r="AW79" s="126">
        <f t="shared" si="102"/>
        <v>1.0227999999999999</v>
      </c>
      <c r="AX79" s="126">
        <f t="shared" si="103"/>
        <v>1.0227999999999999</v>
      </c>
      <c r="AY79" s="126">
        <f t="shared" si="104"/>
        <v>1.0227999999999999</v>
      </c>
      <c r="AZ79" s="126">
        <f t="shared" si="105"/>
        <v>1.0227999999999999</v>
      </c>
      <c r="BA79" s="126">
        <f t="shared" si="106"/>
        <v>1.0227999999999999</v>
      </c>
      <c r="BB79" s="126">
        <f t="shared" si="107"/>
        <v>1.0227999999999999</v>
      </c>
      <c r="BC79" s="126">
        <f t="shared" si="107"/>
        <v>1.0227999999999999</v>
      </c>
    </row>
    <row r="80" spans="1:56" s="73" customFormat="1">
      <c r="B80" s="6" t="str">
        <f t="shared" si="85"/>
        <v>Practice nurse visits</v>
      </c>
      <c r="C80" s="126">
        <f t="shared" ref="C80:AG80" si="109">(IF(C$77&lt;$C$75, -1, 1) *D29)+1</f>
        <v>0.97719999999999996</v>
      </c>
      <c r="D80" s="126">
        <f t="shared" si="109"/>
        <v>0.97719999999999996</v>
      </c>
      <c r="E80" s="126">
        <f t="shared" si="109"/>
        <v>0.97719999999999996</v>
      </c>
      <c r="F80" s="126">
        <f t="shared" si="109"/>
        <v>0.97719999999999996</v>
      </c>
      <c r="G80" s="126">
        <f t="shared" si="109"/>
        <v>0.97719999999999996</v>
      </c>
      <c r="H80" s="126">
        <f t="shared" si="109"/>
        <v>0.97719999999999996</v>
      </c>
      <c r="I80" s="126">
        <f t="shared" si="109"/>
        <v>0.96699999999999997</v>
      </c>
      <c r="J80" s="126">
        <f t="shared" si="109"/>
        <v>0.98</v>
      </c>
      <c r="K80" s="126">
        <f t="shared" si="109"/>
        <v>1.016</v>
      </c>
      <c r="L80" s="126">
        <f t="shared" si="109"/>
        <v>1.016</v>
      </c>
      <c r="M80" s="126">
        <f t="shared" si="109"/>
        <v>1.0289999999999999</v>
      </c>
      <c r="N80" s="126">
        <f t="shared" si="109"/>
        <v>1.0227999999999999</v>
      </c>
      <c r="O80" s="126">
        <f t="shared" si="109"/>
        <v>1.0227999999999999</v>
      </c>
      <c r="P80" s="126">
        <f t="shared" si="109"/>
        <v>1.0227999999999999</v>
      </c>
      <c r="Q80" s="126">
        <f t="shared" si="109"/>
        <v>1.0227999999999999</v>
      </c>
      <c r="R80" s="126">
        <f t="shared" si="109"/>
        <v>1.0227999999999999</v>
      </c>
      <c r="S80" s="126">
        <f t="shared" si="109"/>
        <v>1.0227999999999999</v>
      </c>
      <c r="T80" s="126">
        <f t="shared" si="109"/>
        <v>1.0227999999999999</v>
      </c>
      <c r="U80" s="126">
        <f t="shared" si="109"/>
        <v>1.0227999999999999</v>
      </c>
      <c r="V80" s="126">
        <f t="shared" si="109"/>
        <v>1.0227999999999999</v>
      </c>
      <c r="W80" s="126">
        <f t="shared" si="109"/>
        <v>1.0227999999999999</v>
      </c>
      <c r="X80" s="126">
        <f t="shared" si="109"/>
        <v>1.0227999999999999</v>
      </c>
      <c r="Y80" s="126">
        <f t="shared" si="109"/>
        <v>1.0227999999999999</v>
      </c>
      <c r="Z80" s="126">
        <f t="shared" si="109"/>
        <v>1.0227999999999999</v>
      </c>
      <c r="AA80" s="126">
        <f t="shared" si="109"/>
        <v>1.0227999999999999</v>
      </c>
      <c r="AB80" s="126">
        <f t="shared" si="109"/>
        <v>1.0227999999999999</v>
      </c>
      <c r="AC80" s="126">
        <f t="shared" si="109"/>
        <v>1.0227999999999999</v>
      </c>
      <c r="AD80" s="126">
        <f t="shared" si="109"/>
        <v>1.0227999999999999</v>
      </c>
      <c r="AE80" s="126">
        <f t="shared" si="109"/>
        <v>1.0227999999999999</v>
      </c>
      <c r="AF80" s="126">
        <f t="shared" si="109"/>
        <v>1.0227999999999999</v>
      </c>
      <c r="AG80" s="126">
        <f t="shared" si="109"/>
        <v>1.0227999999999999</v>
      </c>
      <c r="AH80" s="126">
        <f t="shared" si="87"/>
        <v>1.0227999999999999</v>
      </c>
      <c r="AI80" s="126">
        <f t="shared" si="88"/>
        <v>1.0227999999999999</v>
      </c>
      <c r="AJ80" s="126">
        <f t="shared" si="89"/>
        <v>1.0227999999999999</v>
      </c>
      <c r="AK80" s="126">
        <f t="shared" si="90"/>
        <v>1.0227999999999999</v>
      </c>
      <c r="AL80" s="126">
        <f t="shared" si="91"/>
        <v>1.0227999999999999</v>
      </c>
      <c r="AM80" s="126">
        <f t="shared" si="92"/>
        <v>1.0227999999999999</v>
      </c>
      <c r="AN80" s="126">
        <f t="shared" si="93"/>
        <v>1.0227999999999999</v>
      </c>
      <c r="AO80" s="126">
        <f t="shared" si="94"/>
        <v>1.0227999999999999</v>
      </c>
      <c r="AP80" s="126">
        <f t="shared" si="95"/>
        <v>1.0227999999999999</v>
      </c>
      <c r="AQ80" s="126">
        <f t="shared" si="96"/>
        <v>1.0227999999999999</v>
      </c>
      <c r="AR80" s="126">
        <f t="shared" si="97"/>
        <v>1.0227999999999999</v>
      </c>
      <c r="AS80" s="126">
        <f t="shared" si="98"/>
        <v>1.0227999999999999</v>
      </c>
      <c r="AT80" s="126">
        <f t="shared" si="99"/>
        <v>1.0227999999999999</v>
      </c>
      <c r="AU80" s="126">
        <f t="shared" si="100"/>
        <v>1.0227999999999999</v>
      </c>
      <c r="AV80" s="126">
        <f t="shared" si="101"/>
        <v>1.0227999999999999</v>
      </c>
      <c r="AW80" s="126">
        <f t="shared" si="102"/>
        <v>1.0227999999999999</v>
      </c>
      <c r="AX80" s="126">
        <f t="shared" si="103"/>
        <v>1.0227999999999999</v>
      </c>
      <c r="AY80" s="126">
        <f t="shared" si="104"/>
        <v>1.0227999999999999</v>
      </c>
      <c r="AZ80" s="126">
        <f t="shared" si="105"/>
        <v>1.0227999999999999</v>
      </c>
      <c r="BA80" s="126">
        <f t="shared" si="106"/>
        <v>1.0227999999999999</v>
      </c>
      <c r="BB80" s="126">
        <f t="shared" si="107"/>
        <v>1.0227999999999999</v>
      </c>
      <c r="BC80" s="126">
        <f t="shared" si="107"/>
        <v>1.0227999999999999</v>
      </c>
    </row>
    <row r="81" spans="2:55">
      <c r="B81" s="6" t="str">
        <f t="shared" si="85"/>
        <v>Community nurses</v>
      </c>
      <c r="C81" s="126">
        <f t="shared" ref="C81:AG81" si="110">(IF(C$77&lt;$C$75, -1, 1) *D30)+1</f>
        <v>0.97719999999999996</v>
      </c>
      <c r="D81" s="126">
        <f t="shared" si="110"/>
        <v>0.97719999999999996</v>
      </c>
      <c r="E81" s="126">
        <f t="shared" si="110"/>
        <v>0.97719999999999996</v>
      </c>
      <c r="F81" s="126">
        <f t="shared" si="110"/>
        <v>0.97719999999999996</v>
      </c>
      <c r="G81" s="126">
        <f t="shared" si="110"/>
        <v>0.97719999999999996</v>
      </c>
      <c r="H81" s="126">
        <f t="shared" si="110"/>
        <v>0.97719999999999996</v>
      </c>
      <c r="I81" s="126">
        <f t="shared" si="110"/>
        <v>0.96699999999999997</v>
      </c>
      <c r="J81" s="126">
        <f t="shared" si="110"/>
        <v>0.98</v>
      </c>
      <c r="K81" s="126">
        <f t="shared" si="110"/>
        <v>1.016</v>
      </c>
      <c r="L81" s="126">
        <f t="shared" si="110"/>
        <v>1.016</v>
      </c>
      <c r="M81" s="126">
        <f t="shared" si="110"/>
        <v>1.0289999999999999</v>
      </c>
      <c r="N81" s="126">
        <f t="shared" si="110"/>
        <v>1.0227999999999999</v>
      </c>
      <c r="O81" s="126">
        <f t="shared" si="110"/>
        <v>1.0227999999999999</v>
      </c>
      <c r="P81" s="126">
        <f t="shared" si="110"/>
        <v>1.0227999999999999</v>
      </c>
      <c r="Q81" s="126">
        <f t="shared" si="110"/>
        <v>1.0227999999999999</v>
      </c>
      <c r="R81" s="126">
        <f t="shared" si="110"/>
        <v>1.0227999999999999</v>
      </c>
      <c r="S81" s="126">
        <f t="shared" si="110"/>
        <v>1.0227999999999999</v>
      </c>
      <c r="T81" s="126">
        <f t="shared" si="110"/>
        <v>1.0227999999999999</v>
      </c>
      <c r="U81" s="126">
        <f t="shared" si="110"/>
        <v>1.0227999999999999</v>
      </c>
      <c r="V81" s="126">
        <f t="shared" si="110"/>
        <v>1.0227999999999999</v>
      </c>
      <c r="W81" s="126">
        <f t="shared" si="110"/>
        <v>1.0227999999999999</v>
      </c>
      <c r="X81" s="126">
        <f t="shared" si="110"/>
        <v>1.0227999999999999</v>
      </c>
      <c r="Y81" s="126">
        <f t="shared" si="110"/>
        <v>1.0227999999999999</v>
      </c>
      <c r="Z81" s="126">
        <f t="shared" si="110"/>
        <v>1.0227999999999999</v>
      </c>
      <c r="AA81" s="126">
        <f t="shared" si="110"/>
        <v>1.0227999999999999</v>
      </c>
      <c r="AB81" s="126">
        <f t="shared" si="110"/>
        <v>1.0227999999999999</v>
      </c>
      <c r="AC81" s="126">
        <f t="shared" si="110"/>
        <v>1.0227999999999999</v>
      </c>
      <c r="AD81" s="126">
        <f t="shared" si="110"/>
        <v>1.0227999999999999</v>
      </c>
      <c r="AE81" s="126">
        <f t="shared" si="110"/>
        <v>1.0227999999999999</v>
      </c>
      <c r="AF81" s="126">
        <f t="shared" si="110"/>
        <v>1.0227999999999999</v>
      </c>
      <c r="AG81" s="126">
        <f t="shared" si="110"/>
        <v>1.0227999999999999</v>
      </c>
      <c r="AH81" s="126">
        <f t="shared" si="87"/>
        <v>1.0227999999999999</v>
      </c>
      <c r="AI81" s="126">
        <f t="shared" si="88"/>
        <v>1.0227999999999999</v>
      </c>
      <c r="AJ81" s="126">
        <f t="shared" si="89"/>
        <v>1.0227999999999999</v>
      </c>
      <c r="AK81" s="126">
        <f t="shared" si="90"/>
        <v>1.0227999999999999</v>
      </c>
      <c r="AL81" s="126">
        <f t="shared" si="91"/>
        <v>1.0227999999999999</v>
      </c>
      <c r="AM81" s="126">
        <f t="shared" si="92"/>
        <v>1.0227999999999999</v>
      </c>
      <c r="AN81" s="126">
        <f t="shared" si="93"/>
        <v>1.0227999999999999</v>
      </c>
      <c r="AO81" s="126">
        <f t="shared" si="94"/>
        <v>1.0227999999999999</v>
      </c>
      <c r="AP81" s="126">
        <f t="shared" si="95"/>
        <v>1.0227999999999999</v>
      </c>
      <c r="AQ81" s="126">
        <f t="shared" si="96"/>
        <v>1.0227999999999999</v>
      </c>
      <c r="AR81" s="126">
        <f t="shared" si="97"/>
        <v>1.0227999999999999</v>
      </c>
      <c r="AS81" s="126">
        <f t="shared" si="98"/>
        <v>1.0227999999999999</v>
      </c>
      <c r="AT81" s="126">
        <f t="shared" si="99"/>
        <v>1.0227999999999999</v>
      </c>
      <c r="AU81" s="126">
        <f t="shared" si="100"/>
        <v>1.0227999999999999</v>
      </c>
      <c r="AV81" s="126">
        <f t="shared" si="101"/>
        <v>1.0227999999999999</v>
      </c>
      <c r="AW81" s="126">
        <f t="shared" si="102"/>
        <v>1.0227999999999999</v>
      </c>
      <c r="AX81" s="126">
        <f t="shared" si="103"/>
        <v>1.0227999999999999</v>
      </c>
      <c r="AY81" s="126">
        <f t="shared" si="104"/>
        <v>1.0227999999999999</v>
      </c>
      <c r="AZ81" s="126">
        <f t="shared" si="105"/>
        <v>1.0227999999999999</v>
      </c>
      <c r="BA81" s="126">
        <f t="shared" si="106"/>
        <v>1.0227999999999999</v>
      </c>
      <c r="BB81" s="126">
        <f t="shared" si="107"/>
        <v>1.0227999999999999</v>
      </c>
      <c r="BC81" s="126">
        <f t="shared" si="107"/>
        <v>1.0227999999999999</v>
      </c>
    </row>
    <row r="82" spans="2:55">
      <c r="B82" s="6" t="str">
        <f t="shared" si="85"/>
        <v>Practice nurses</v>
      </c>
      <c r="C82" s="126">
        <f t="shared" ref="C82:AG82" si="111">(IF(C$77&lt;$C$75, -1, 1) *D31)+1</f>
        <v>0.97719999999999996</v>
      </c>
      <c r="D82" s="126">
        <f t="shared" si="111"/>
        <v>0.97719999999999996</v>
      </c>
      <c r="E82" s="126">
        <f t="shared" si="111"/>
        <v>0.97719999999999996</v>
      </c>
      <c r="F82" s="126">
        <f t="shared" si="111"/>
        <v>0.97719999999999996</v>
      </c>
      <c r="G82" s="126">
        <f t="shared" si="111"/>
        <v>0.97719999999999996</v>
      </c>
      <c r="H82" s="126">
        <f t="shared" si="111"/>
        <v>0.97719999999999996</v>
      </c>
      <c r="I82" s="126">
        <f t="shared" si="111"/>
        <v>0.96699999999999997</v>
      </c>
      <c r="J82" s="126">
        <f t="shared" si="111"/>
        <v>0.98</v>
      </c>
      <c r="K82" s="126">
        <f t="shared" si="111"/>
        <v>1.016</v>
      </c>
      <c r="L82" s="126">
        <f t="shared" si="111"/>
        <v>1.016</v>
      </c>
      <c r="M82" s="126">
        <f t="shared" si="111"/>
        <v>1.0289999999999999</v>
      </c>
      <c r="N82" s="126">
        <f t="shared" si="111"/>
        <v>1.0227999999999999</v>
      </c>
      <c r="O82" s="126">
        <f t="shared" si="111"/>
        <v>1.0227999999999999</v>
      </c>
      <c r="P82" s="126">
        <f t="shared" si="111"/>
        <v>1.0227999999999999</v>
      </c>
      <c r="Q82" s="126">
        <f t="shared" si="111"/>
        <v>1.0227999999999999</v>
      </c>
      <c r="R82" s="126">
        <f t="shared" si="111"/>
        <v>1.0227999999999999</v>
      </c>
      <c r="S82" s="126">
        <f t="shared" si="111"/>
        <v>1.0227999999999999</v>
      </c>
      <c r="T82" s="126">
        <f t="shared" si="111"/>
        <v>1.0227999999999999</v>
      </c>
      <c r="U82" s="126">
        <f t="shared" si="111"/>
        <v>1.0227999999999999</v>
      </c>
      <c r="V82" s="126">
        <f t="shared" si="111"/>
        <v>1.0227999999999999</v>
      </c>
      <c r="W82" s="126">
        <f t="shared" si="111"/>
        <v>1.0227999999999999</v>
      </c>
      <c r="X82" s="126">
        <f t="shared" si="111"/>
        <v>1.0227999999999999</v>
      </c>
      <c r="Y82" s="126">
        <f t="shared" si="111"/>
        <v>1.0227999999999999</v>
      </c>
      <c r="Z82" s="126">
        <f t="shared" si="111"/>
        <v>1.0227999999999999</v>
      </c>
      <c r="AA82" s="126">
        <f t="shared" si="111"/>
        <v>1.0227999999999999</v>
      </c>
      <c r="AB82" s="126">
        <f t="shared" si="111"/>
        <v>1.0227999999999999</v>
      </c>
      <c r="AC82" s="126">
        <f t="shared" si="111"/>
        <v>1.0227999999999999</v>
      </c>
      <c r="AD82" s="126">
        <f t="shared" si="111"/>
        <v>1.0227999999999999</v>
      </c>
      <c r="AE82" s="126">
        <f t="shared" si="111"/>
        <v>1.0227999999999999</v>
      </c>
      <c r="AF82" s="126">
        <f t="shared" si="111"/>
        <v>1.0227999999999999</v>
      </c>
      <c r="AG82" s="126">
        <f t="shared" si="111"/>
        <v>1.0227999999999999</v>
      </c>
      <c r="AH82" s="126">
        <f t="shared" si="87"/>
        <v>1.0227999999999999</v>
      </c>
      <c r="AI82" s="126">
        <f t="shared" si="88"/>
        <v>1.0227999999999999</v>
      </c>
      <c r="AJ82" s="126">
        <f t="shared" si="89"/>
        <v>1.0227999999999999</v>
      </c>
      <c r="AK82" s="126">
        <f t="shared" si="90"/>
        <v>1.0227999999999999</v>
      </c>
      <c r="AL82" s="126">
        <f t="shared" si="91"/>
        <v>1.0227999999999999</v>
      </c>
      <c r="AM82" s="126">
        <f t="shared" si="92"/>
        <v>1.0227999999999999</v>
      </c>
      <c r="AN82" s="126">
        <f t="shared" si="93"/>
        <v>1.0227999999999999</v>
      </c>
      <c r="AO82" s="126">
        <f t="shared" si="94"/>
        <v>1.0227999999999999</v>
      </c>
      <c r="AP82" s="126">
        <f t="shared" si="95"/>
        <v>1.0227999999999999</v>
      </c>
      <c r="AQ82" s="126">
        <f t="shared" si="96"/>
        <v>1.0227999999999999</v>
      </c>
      <c r="AR82" s="126">
        <f t="shared" si="97"/>
        <v>1.0227999999999999</v>
      </c>
      <c r="AS82" s="126">
        <f t="shared" si="98"/>
        <v>1.0227999999999999</v>
      </c>
      <c r="AT82" s="126">
        <f t="shared" si="99"/>
        <v>1.0227999999999999</v>
      </c>
      <c r="AU82" s="126">
        <f t="shared" si="100"/>
        <v>1.0227999999999999</v>
      </c>
      <c r="AV82" s="126">
        <f t="shared" si="101"/>
        <v>1.0227999999999999</v>
      </c>
      <c r="AW82" s="126">
        <f t="shared" si="102"/>
        <v>1.0227999999999999</v>
      </c>
      <c r="AX82" s="126">
        <f t="shared" si="103"/>
        <v>1.0227999999999999</v>
      </c>
      <c r="AY82" s="126">
        <f t="shared" si="104"/>
        <v>1.0227999999999999</v>
      </c>
      <c r="AZ82" s="126">
        <f t="shared" si="105"/>
        <v>1.0227999999999999</v>
      </c>
      <c r="BA82" s="126">
        <f t="shared" si="106"/>
        <v>1.0227999999999999</v>
      </c>
      <c r="BB82" s="126">
        <f t="shared" si="107"/>
        <v>1.0227999999999999</v>
      </c>
      <c r="BC82" s="126">
        <f t="shared" si="107"/>
        <v>1.0227999999999999</v>
      </c>
    </row>
    <row r="83" spans="2:55">
      <c r="B83" s="6" t="str">
        <f t="shared" si="85"/>
        <v>GP visits</v>
      </c>
      <c r="C83" s="126">
        <f t="shared" ref="C83:AG83" si="112">(IF(C$77&lt;$C$75, -1, 1) *D32)+1</f>
        <v>0.97719999999999996</v>
      </c>
      <c r="D83" s="126">
        <f t="shared" si="112"/>
        <v>0.97719999999999996</v>
      </c>
      <c r="E83" s="126">
        <f t="shared" si="112"/>
        <v>0.97719999999999996</v>
      </c>
      <c r="F83" s="126">
        <f t="shared" si="112"/>
        <v>0.97719999999999996</v>
      </c>
      <c r="G83" s="126">
        <f t="shared" si="112"/>
        <v>0.97719999999999996</v>
      </c>
      <c r="H83" s="126">
        <f t="shared" si="112"/>
        <v>0.97719999999999996</v>
      </c>
      <c r="I83" s="126">
        <f t="shared" si="112"/>
        <v>0.96699999999999997</v>
      </c>
      <c r="J83" s="126">
        <f t="shared" si="112"/>
        <v>0.98</v>
      </c>
      <c r="K83" s="126">
        <f t="shared" si="112"/>
        <v>1.016</v>
      </c>
      <c r="L83" s="126">
        <f t="shared" si="112"/>
        <v>1.016</v>
      </c>
      <c r="M83" s="126">
        <f t="shared" si="112"/>
        <v>1.0289999999999999</v>
      </c>
      <c r="N83" s="126">
        <f t="shared" si="112"/>
        <v>1.0227999999999999</v>
      </c>
      <c r="O83" s="126">
        <f t="shared" si="112"/>
        <v>1.0227999999999999</v>
      </c>
      <c r="P83" s="126">
        <f t="shared" si="112"/>
        <v>1.0227999999999999</v>
      </c>
      <c r="Q83" s="126">
        <f t="shared" si="112"/>
        <v>1.0227999999999999</v>
      </c>
      <c r="R83" s="126">
        <f t="shared" si="112"/>
        <v>1.0227999999999999</v>
      </c>
      <c r="S83" s="126">
        <f t="shared" si="112"/>
        <v>1.0227999999999999</v>
      </c>
      <c r="T83" s="126">
        <f t="shared" si="112"/>
        <v>1.0227999999999999</v>
      </c>
      <c r="U83" s="126">
        <f t="shared" si="112"/>
        <v>1.0227999999999999</v>
      </c>
      <c r="V83" s="126">
        <f t="shared" si="112"/>
        <v>1.0227999999999999</v>
      </c>
      <c r="W83" s="126">
        <f t="shared" si="112"/>
        <v>1.0227999999999999</v>
      </c>
      <c r="X83" s="126">
        <f t="shared" si="112"/>
        <v>1.0227999999999999</v>
      </c>
      <c r="Y83" s="126">
        <f t="shared" si="112"/>
        <v>1.0227999999999999</v>
      </c>
      <c r="Z83" s="126">
        <f t="shared" si="112"/>
        <v>1.0227999999999999</v>
      </c>
      <c r="AA83" s="126">
        <f t="shared" si="112"/>
        <v>1.0227999999999999</v>
      </c>
      <c r="AB83" s="126">
        <f t="shared" si="112"/>
        <v>1.0227999999999999</v>
      </c>
      <c r="AC83" s="126">
        <f t="shared" si="112"/>
        <v>1.0227999999999999</v>
      </c>
      <c r="AD83" s="126">
        <f t="shared" si="112"/>
        <v>1.0227999999999999</v>
      </c>
      <c r="AE83" s="126">
        <f t="shared" si="112"/>
        <v>1.0227999999999999</v>
      </c>
      <c r="AF83" s="126">
        <f t="shared" si="112"/>
        <v>1.0227999999999999</v>
      </c>
      <c r="AG83" s="126">
        <f t="shared" si="112"/>
        <v>1.0227999999999999</v>
      </c>
      <c r="AH83" s="126">
        <f t="shared" si="87"/>
        <v>1.0227999999999999</v>
      </c>
      <c r="AI83" s="126">
        <f t="shared" si="88"/>
        <v>1.0227999999999999</v>
      </c>
      <c r="AJ83" s="126">
        <f t="shared" si="89"/>
        <v>1.0227999999999999</v>
      </c>
      <c r="AK83" s="126">
        <f t="shared" si="90"/>
        <v>1.0227999999999999</v>
      </c>
      <c r="AL83" s="126">
        <f t="shared" si="91"/>
        <v>1.0227999999999999</v>
      </c>
      <c r="AM83" s="126">
        <f t="shared" si="92"/>
        <v>1.0227999999999999</v>
      </c>
      <c r="AN83" s="126">
        <f t="shared" si="93"/>
        <v>1.0227999999999999</v>
      </c>
      <c r="AO83" s="126">
        <f t="shared" si="94"/>
        <v>1.0227999999999999</v>
      </c>
      <c r="AP83" s="126">
        <f t="shared" si="95"/>
        <v>1.0227999999999999</v>
      </c>
      <c r="AQ83" s="126">
        <f t="shared" si="96"/>
        <v>1.0227999999999999</v>
      </c>
      <c r="AR83" s="126">
        <f t="shared" si="97"/>
        <v>1.0227999999999999</v>
      </c>
      <c r="AS83" s="126">
        <f t="shared" si="98"/>
        <v>1.0227999999999999</v>
      </c>
      <c r="AT83" s="126">
        <f t="shared" si="99"/>
        <v>1.0227999999999999</v>
      </c>
      <c r="AU83" s="126">
        <f t="shared" si="100"/>
        <v>1.0227999999999999</v>
      </c>
      <c r="AV83" s="126">
        <f t="shared" si="101"/>
        <v>1.0227999999999999</v>
      </c>
      <c r="AW83" s="126">
        <f t="shared" si="102"/>
        <v>1.0227999999999999</v>
      </c>
      <c r="AX83" s="126">
        <f t="shared" si="103"/>
        <v>1.0227999999999999</v>
      </c>
      <c r="AY83" s="126">
        <f t="shared" si="104"/>
        <v>1.0227999999999999</v>
      </c>
      <c r="AZ83" s="126">
        <f t="shared" si="105"/>
        <v>1.0227999999999999</v>
      </c>
      <c r="BA83" s="126">
        <f t="shared" si="106"/>
        <v>1.0227999999999999</v>
      </c>
      <c r="BB83" s="126">
        <f t="shared" si="107"/>
        <v>1.0227999999999999</v>
      </c>
      <c r="BC83" s="126">
        <f t="shared" si="107"/>
        <v>1.0227999999999999</v>
      </c>
    </row>
    <row r="84" spans="2:55">
      <c r="B84" s="6" t="str">
        <f t="shared" si="85"/>
        <v>Hospital admissions</v>
      </c>
      <c r="C84" s="126">
        <f t="shared" ref="C84:AG84" si="113">(IF(C$77&lt;$C$75, -1, 1) *D33)+1</f>
        <v>0.98099999999999998</v>
      </c>
      <c r="D84" s="126">
        <f t="shared" si="113"/>
        <v>0.98099999999999998</v>
      </c>
      <c r="E84" s="126">
        <f t="shared" si="113"/>
        <v>0.98099999999999998</v>
      </c>
      <c r="F84" s="126">
        <f t="shared" si="113"/>
        <v>0.98099999999999998</v>
      </c>
      <c r="G84" s="126">
        <f t="shared" si="113"/>
        <v>0.98099999999999998</v>
      </c>
      <c r="H84" s="126">
        <f t="shared" si="113"/>
        <v>0.98099999999999998</v>
      </c>
      <c r="I84" s="126">
        <f t="shared" si="113"/>
        <v>0.98299999999999998</v>
      </c>
      <c r="J84" s="126">
        <f t="shared" si="113"/>
        <v>0.98199999999999998</v>
      </c>
      <c r="K84" s="126">
        <f t="shared" si="113"/>
        <v>1.0209999999999999</v>
      </c>
      <c r="L84" s="126">
        <f t="shared" si="113"/>
        <v>1.0189999999999999</v>
      </c>
      <c r="M84" s="126">
        <f t="shared" si="113"/>
        <v>1.02</v>
      </c>
      <c r="N84" s="126">
        <f t="shared" si="113"/>
        <v>1.0189999999999999</v>
      </c>
      <c r="O84" s="126">
        <f t="shared" si="113"/>
        <v>1.0189999999999999</v>
      </c>
      <c r="P84" s="126">
        <f t="shared" si="113"/>
        <v>1.0189999999999999</v>
      </c>
      <c r="Q84" s="126">
        <f t="shared" si="113"/>
        <v>1.0189999999999999</v>
      </c>
      <c r="R84" s="126">
        <f t="shared" si="113"/>
        <v>1.0189999999999999</v>
      </c>
      <c r="S84" s="126">
        <f t="shared" si="113"/>
        <v>1.0189999999999999</v>
      </c>
      <c r="T84" s="126">
        <f t="shared" si="113"/>
        <v>1.0189999999999999</v>
      </c>
      <c r="U84" s="126">
        <f t="shared" si="113"/>
        <v>1.0189999999999999</v>
      </c>
      <c r="V84" s="126">
        <f t="shared" si="113"/>
        <v>1.0189999999999999</v>
      </c>
      <c r="W84" s="126">
        <f t="shared" si="113"/>
        <v>1.0189999999999999</v>
      </c>
      <c r="X84" s="126">
        <f t="shared" si="113"/>
        <v>1.0189999999999999</v>
      </c>
      <c r="Y84" s="126">
        <f t="shared" si="113"/>
        <v>1.0189999999999999</v>
      </c>
      <c r="Z84" s="126">
        <f t="shared" si="113"/>
        <v>1.0189999999999999</v>
      </c>
      <c r="AA84" s="126">
        <f t="shared" si="113"/>
        <v>1.0189999999999999</v>
      </c>
      <c r="AB84" s="126">
        <f t="shared" si="113"/>
        <v>1.0189999999999999</v>
      </c>
      <c r="AC84" s="126">
        <f t="shared" si="113"/>
        <v>1.0189999999999999</v>
      </c>
      <c r="AD84" s="126">
        <f t="shared" si="113"/>
        <v>1.0189999999999999</v>
      </c>
      <c r="AE84" s="126">
        <f t="shared" si="113"/>
        <v>1.0189999999999999</v>
      </c>
      <c r="AF84" s="126">
        <f t="shared" si="113"/>
        <v>1.0189999999999999</v>
      </c>
      <c r="AG84" s="126">
        <f t="shared" si="113"/>
        <v>1.0189999999999999</v>
      </c>
      <c r="AH84" s="126">
        <f t="shared" si="87"/>
        <v>1.0189999999999999</v>
      </c>
      <c r="AI84" s="126">
        <f t="shared" si="88"/>
        <v>1.0189999999999999</v>
      </c>
      <c r="AJ84" s="126">
        <f t="shared" si="89"/>
        <v>1.0189999999999999</v>
      </c>
      <c r="AK84" s="126">
        <f t="shared" si="90"/>
        <v>1.0189999999999999</v>
      </c>
      <c r="AL84" s="126">
        <f t="shared" si="91"/>
        <v>1.0189999999999999</v>
      </c>
      <c r="AM84" s="126">
        <f t="shared" si="92"/>
        <v>1.0189999999999999</v>
      </c>
      <c r="AN84" s="126">
        <f t="shared" si="93"/>
        <v>1.0189999999999999</v>
      </c>
      <c r="AO84" s="126">
        <f t="shared" si="94"/>
        <v>1.0189999999999999</v>
      </c>
      <c r="AP84" s="126">
        <f t="shared" si="95"/>
        <v>1.0189999999999999</v>
      </c>
      <c r="AQ84" s="126">
        <f t="shared" si="96"/>
        <v>1.0189999999999999</v>
      </c>
      <c r="AR84" s="126">
        <f t="shared" si="97"/>
        <v>1.0189999999999999</v>
      </c>
      <c r="AS84" s="126">
        <f t="shared" si="98"/>
        <v>1.0189999999999999</v>
      </c>
      <c r="AT84" s="126">
        <f t="shared" si="99"/>
        <v>1.0189999999999999</v>
      </c>
      <c r="AU84" s="126">
        <f t="shared" si="100"/>
        <v>1.0189999999999999</v>
      </c>
      <c r="AV84" s="126">
        <f t="shared" si="101"/>
        <v>1.0189999999999999</v>
      </c>
      <c r="AW84" s="126">
        <f t="shared" si="102"/>
        <v>1.0189999999999999</v>
      </c>
      <c r="AX84" s="126">
        <f t="shared" si="103"/>
        <v>1.0189999999999999</v>
      </c>
      <c r="AY84" s="126">
        <f t="shared" si="104"/>
        <v>1.0189999999999999</v>
      </c>
      <c r="AZ84" s="126">
        <f t="shared" si="105"/>
        <v>1.0189999999999999</v>
      </c>
      <c r="BA84" s="126">
        <f t="shared" si="106"/>
        <v>1.0189999999999999</v>
      </c>
      <c r="BB84" s="126">
        <f t="shared" si="107"/>
        <v>1.0189999999999999</v>
      </c>
      <c r="BC84" s="126">
        <f t="shared" si="107"/>
        <v>1.0189999999999999</v>
      </c>
    </row>
    <row r="85" spans="2:55">
      <c r="B85" s="6" t="str">
        <f t="shared" si="85"/>
        <v>Hospital outpatient visits</v>
      </c>
      <c r="C85" s="126">
        <f t="shared" ref="C85:AG85" si="114">(IF(C$77&lt;$C$75, -1, 1) *D34)+1</f>
        <v>0.97719999999999996</v>
      </c>
      <c r="D85" s="126">
        <f t="shared" si="114"/>
        <v>0.97719999999999996</v>
      </c>
      <c r="E85" s="126">
        <f t="shared" si="114"/>
        <v>0.97719999999999996</v>
      </c>
      <c r="F85" s="126">
        <f t="shared" si="114"/>
        <v>0.97719999999999996</v>
      </c>
      <c r="G85" s="126">
        <f t="shared" si="114"/>
        <v>0.97719999999999996</v>
      </c>
      <c r="H85" s="126">
        <f t="shared" si="114"/>
        <v>0.97719999999999996</v>
      </c>
      <c r="I85" s="126">
        <f t="shared" si="114"/>
        <v>0.96699999999999997</v>
      </c>
      <c r="J85" s="126">
        <f t="shared" si="114"/>
        <v>0.98</v>
      </c>
      <c r="K85" s="126">
        <f t="shared" si="114"/>
        <v>1.016</v>
      </c>
      <c r="L85" s="126">
        <f t="shared" si="114"/>
        <v>1.016</v>
      </c>
      <c r="M85" s="126">
        <f t="shared" si="114"/>
        <v>1.0289999999999999</v>
      </c>
      <c r="N85" s="126">
        <f t="shared" si="114"/>
        <v>1.0227999999999999</v>
      </c>
      <c r="O85" s="126">
        <f t="shared" si="114"/>
        <v>1.0227999999999999</v>
      </c>
      <c r="P85" s="126">
        <f t="shared" si="114"/>
        <v>1.0227999999999999</v>
      </c>
      <c r="Q85" s="126">
        <f t="shared" si="114"/>
        <v>1.0227999999999999</v>
      </c>
      <c r="R85" s="126">
        <f t="shared" si="114"/>
        <v>1.0227999999999999</v>
      </c>
      <c r="S85" s="126">
        <f t="shared" si="114"/>
        <v>1.0227999999999999</v>
      </c>
      <c r="T85" s="126">
        <f t="shared" si="114"/>
        <v>1.0227999999999999</v>
      </c>
      <c r="U85" s="126">
        <f t="shared" si="114"/>
        <v>1.0227999999999999</v>
      </c>
      <c r="V85" s="126">
        <f t="shared" si="114"/>
        <v>1.0227999999999999</v>
      </c>
      <c r="W85" s="126">
        <f t="shared" si="114"/>
        <v>1.0227999999999999</v>
      </c>
      <c r="X85" s="126">
        <f t="shared" si="114"/>
        <v>1.0227999999999999</v>
      </c>
      <c r="Y85" s="126">
        <f t="shared" si="114"/>
        <v>1.0227999999999999</v>
      </c>
      <c r="Z85" s="126">
        <f t="shared" si="114"/>
        <v>1.0227999999999999</v>
      </c>
      <c r="AA85" s="126">
        <f t="shared" si="114"/>
        <v>1.0227999999999999</v>
      </c>
      <c r="AB85" s="126">
        <f t="shared" si="114"/>
        <v>1.0227999999999999</v>
      </c>
      <c r="AC85" s="126">
        <f t="shared" si="114"/>
        <v>1.0227999999999999</v>
      </c>
      <c r="AD85" s="126">
        <f t="shared" si="114"/>
        <v>1.0227999999999999</v>
      </c>
      <c r="AE85" s="126">
        <f t="shared" si="114"/>
        <v>1.0227999999999999</v>
      </c>
      <c r="AF85" s="126">
        <f t="shared" si="114"/>
        <v>1.0227999999999999</v>
      </c>
      <c r="AG85" s="126">
        <f t="shared" si="114"/>
        <v>1.0227999999999999</v>
      </c>
      <c r="AH85" s="126">
        <f t="shared" si="87"/>
        <v>1.0227999999999999</v>
      </c>
      <c r="AI85" s="126">
        <f t="shared" si="88"/>
        <v>1.0227999999999999</v>
      </c>
      <c r="AJ85" s="126">
        <f t="shared" si="89"/>
        <v>1.0227999999999999</v>
      </c>
      <c r="AK85" s="126">
        <f t="shared" si="90"/>
        <v>1.0227999999999999</v>
      </c>
      <c r="AL85" s="126">
        <f t="shared" si="91"/>
        <v>1.0227999999999999</v>
      </c>
      <c r="AM85" s="126">
        <f t="shared" si="92"/>
        <v>1.0227999999999999</v>
      </c>
      <c r="AN85" s="126">
        <f t="shared" si="93"/>
        <v>1.0227999999999999</v>
      </c>
      <c r="AO85" s="126">
        <f t="shared" si="94"/>
        <v>1.0227999999999999</v>
      </c>
      <c r="AP85" s="126">
        <f t="shared" si="95"/>
        <v>1.0227999999999999</v>
      </c>
      <c r="AQ85" s="126">
        <f t="shared" si="96"/>
        <v>1.0227999999999999</v>
      </c>
      <c r="AR85" s="126">
        <f t="shared" si="97"/>
        <v>1.0227999999999999</v>
      </c>
      <c r="AS85" s="126">
        <f t="shared" si="98"/>
        <v>1.0227999999999999</v>
      </c>
      <c r="AT85" s="126">
        <f t="shared" si="99"/>
        <v>1.0227999999999999</v>
      </c>
      <c r="AU85" s="126">
        <f t="shared" si="100"/>
        <v>1.0227999999999999</v>
      </c>
      <c r="AV85" s="126">
        <f t="shared" si="101"/>
        <v>1.0227999999999999</v>
      </c>
      <c r="AW85" s="126">
        <f t="shared" si="102"/>
        <v>1.0227999999999999</v>
      </c>
      <c r="AX85" s="126">
        <f t="shared" si="103"/>
        <v>1.0227999999999999</v>
      </c>
      <c r="AY85" s="126">
        <f t="shared" si="104"/>
        <v>1.0227999999999999</v>
      </c>
      <c r="AZ85" s="126">
        <f t="shared" si="105"/>
        <v>1.0227999999999999</v>
      </c>
      <c r="BA85" s="126">
        <f t="shared" si="106"/>
        <v>1.0227999999999999</v>
      </c>
      <c r="BB85" s="126">
        <f t="shared" si="107"/>
        <v>1.0227999999999999</v>
      </c>
      <c r="BC85" s="126">
        <f t="shared" si="107"/>
        <v>1.0227999999999999</v>
      </c>
    </row>
    <row r="86" spans="2:55">
      <c r="B86" s="6" t="str">
        <f t="shared" si="85"/>
        <v>Laboratory tests</v>
      </c>
      <c r="C86" s="126">
        <f t="shared" ref="C86:AG86" si="115">(IF(C$77&lt;$C$75, -1, 1) *D35)+1</f>
        <v>0.98099999999999998</v>
      </c>
      <c r="D86" s="126">
        <f t="shared" si="115"/>
        <v>0.98099999999999998</v>
      </c>
      <c r="E86" s="126">
        <f t="shared" si="115"/>
        <v>0.98099999999999998</v>
      </c>
      <c r="F86" s="126">
        <f t="shared" si="115"/>
        <v>0.98099999999999998</v>
      </c>
      <c r="G86" s="126">
        <f t="shared" si="115"/>
        <v>0.98099999999999998</v>
      </c>
      <c r="H86" s="126">
        <f t="shared" si="115"/>
        <v>0.98099999999999998</v>
      </c>
      <c r="I86" s="126">
        <f t="shared" si="115"/>
        <v>0.98299999999999998</v>
      </c>
      <c r="J86" s="126">
        <f t="shared" si="115"/>
        <v>0.98199999999999998</v>
      </c>
      <c r="K86" s="126">
        <f t="shared" si="115"/>
        <v>1.0209999999999999</v>
      </c>
      <c r="L86" s="126">
        <f t="shared" si="115"/>
        <v>1.0189999999999999</v>
      </c>
      <c r="M86" s="126">
        <f t="shared" si="115"/>
        <v>1.02</v>
      </c>
      <c r="N86" s="126">
        <f t="shared" si="115"/>
        <v>1.0189999999999999</v>
      </c>
      <c r="O86" s="126">
        <f t="shared" si="115"/>
        <v>1.0189999999999999</v>
      </c>
      <c r="P86" s="126">
        <f t="shared" si="115"/>
        <v>1.0189999999999999</v>
      </c>
      <c r="Q86" s="126">
        <f t="shared" si="115"/>
        <v>1.0189999999999999</v>
      </c>
      <c r="R86" s="126">
        <f t="shared" si="115"/>
        <v>1.0189999999999999</v>
      </c>
      <c r="S86" s="126">
        <f t="shared" si="115"/>
        <v>1.0189999999999999</v>
      </c>
      <c r="T86" s="126">
        <f t="shared" si="115"/>
        <v>1.0189999999999999</v>
      </c>
      <c r="U86" s="126">
        <f t="shared" si="115"/>
        <v>1.0189999999999999</v>
      </c>
      <c r="V86" s="126">
        <f t="shared" si="115"/>
        <v>1.0189999999999999</v>
      </c>
      <c r="W86" s="126">
        <f t="shared" si="115"/>
        <v>1.0189999999999999</v>
      </c>
      <c r="X86" s="126">
        <f t="shared" si="115"/>
        <v>1.0189999999999999</v>
      </c>
      <c r="Y86" s="126">
        <f t="shared" si="115"/>
        <v>1.0189999999999999</v>
      </c>
      <c r="Z86" s="126">
        <f t="shared" si="115"/>
        <v>1.0189999999999999</v>
      </c>
      <c r="AA86" s="126">
        <f t="shared" si="115"/>
        <v>1.0189999999999999</v>
      </c>
      <c r="AB86" s="126">
        <f t="shared" si="115"/>
        <v>1.0189999999999999</v>
      </c>
      <c r="AC86" s="126">
        <f t="shared" si="115"/>
        <v>1.0189999999999999</v>
      </c>
      <c r="AD86" s="126">
        <f t="shared" si="115"/>
        <v>1.0189999999999999</v>
      </c>
      <c r="AE86" s="126">
        <f t="shared" si="115"/>
        <v>1.0189999999999999</v>
      </c>
      <c r="AF86" s="126">
        <f t="shared" si="115"/>
        <v>1.0189999999999999</v>
      </c>
      <c r="AG86" s="126">
        <f t="shared" si="115"/>
        <v>1.0189999999999999</v>
      </c>
      <c r="AH86" s="126">
        <f t="shared" si="87"/>
        <v>1.0189999999999999</v>
      </c>
      <c r="AI86" s="126">
        <f t="shared" si="88"/>
        <v>1.0189999999999999</v>
      </c>
      <c r="AJ86" s="126">
        <f t="shared" si="89"/>
        <v>1.0189999999999999</v>
      </c>
      <c r="AK86" s="126">
        <f t="shared" si="90"/>
        <v>1.0189999999999999</v>
      </c>
      <c r="AL86" s="126">
        <f t="shared" si="91"/>
        <v>1.0189999999999999</v>
      </c>
      <c r="AM86" s="126">
        <f t="shared" si="92"/>
        <v>1.0189999999999999</v>
      </c>
      <c r="AN86" s="126">
        <f t="shared" si="93"/>
        <v>1.0189999999999999</v>
      </c>
      <c r="AO86" s="126">
        <f t="shared" si="94"/>
        <v>1.0189999999999999</v>
      </c>
      <c r="AP86" s="126">
        <f t="shared" si="95"/>
        <v>1.0189999999999999</v>
      </c>
      <c r="AQ86" s="126">
        <f t="shared" si="96"/>
        <v>1.0189999999999999</v>
      </c>
      <c r="AR86" s="126">
        <f t="shared" si="97"/>
        <v>1.0189999999999999</v>
      </c>
      <c r="AS86" s="126">
        <f t="shared" si="98"/>
        <v>1.0189999999999999</v>
      </c>
      <c r="AT86" s="126">
        <f t="shared" si="99"/>
        <v>1.0189999999999999</v>
      </c>
      <c r="AU86" s="126">
        <f t="shared" si="100"/>
        <v>1.0189999999999999</v>
      </c>
      <c r="AV86" s="126">
        <f t="shared" si="101"/>
        <v>1.0189999999999999</v>
      </c>
      <c r="AW86" s="126">
        <f t="shared" si="102"/>
        <v>1.0189999999999999</v>
      </c>
      <c r="AX86" s="126">
        <f t="shared" si="103"/>
        <v>1.0189999999999999</v>
      </c>
      <c r="AY86" s="126">
        <f t="shared" si="104"/>
        <v>1.0189999999999999</v>
      </c>
      <c r="AZ86" s="126">
        <f t="shared" si="105"/>
        <v>1.0189999999999999</v>
      </c>
      <c r="BA86" s="126">
        <f t="shared" si="106"/>
        <v>1.0189999999999999</v>
      </c>
      <c r="BB86" s="126">
        <f t="shared" si="107"/>
        <v>1.0189999999999999</v>
      </c>
      <c r="BC86" s="126">
        <f t="shared" si="107"/>
        <v>1.0189999999999999</v>
      </c>
    </row>
    <row r="87" spans="2:55">
      <c r="B87" s="6" t="str">
        <f t="shared" si="85"/>
        <v>Physiotherapist visits</v>
      </c>
      <c r="C87" s="126">
        <f t="shared" ref="C87:AG87" si="116">(IF(C$77&lt;$C$75, -1, 1) *D36)+1</f>
        <v>0.97719999999999996</v>
      </c>
      <c r="D87" s="126">
        <f t="shared" si="116"/>
        <v>0.97719999999999996</v>
      </c>
      <c r="E87" s="126">
        <f t="shared" si="116"/>
        <v>0.97719999999999996</v>
      </c>
      <c r="F87" s="126">
        <f t="shared" si="116"/>
        <v>0.97719999999999996</v>
      </c>
      <c r="G87" s="126">
        <f t="shared" si="116"/>
        <v>0.97719999999999996</v>
      </c>
      <c r="H87" s="126">
        <f t="shared" si="116"/>
        <v>0.97719999999999996</v>
      </c>
      <c r="I87" s="126">
        <f t="shared" si="116"/>
        <v>0.96699999999999997</v>
      </c>
      <c r="J87" s="126">
        <f t="shared" si="116"/>
        <v>0.98</v>
      </c>
      <c r="K87" s="126">
        <f t="shared" si="116"/>
        <v>1.016</v>
      </c>
      <c r="L87" s="126">
        <f t="shared" si="116"/>
        <v>1.016</v>
      </c>
      <c r="M87" s="126">
        <f t="shared" si="116"/>
        <v>1.0289999999999999</v>
      </c>
      <c r="N87" s="126">
        <f t="shared" si="116"/>
        <v>1.0227999999999999</v>
      </c>
      <c r="O87" s="126">
        <f t="shared" si="116"/>
        <v>1.0227999999999999</v>
      </c>
      <c r="P87" s="126">
        <f t="shared" si="116"/>
        <v>1.0227999999999999</v>
      </c>
      <c r="Q87" s="126">
        <f t="shared" si="116"/>
        <v>1.0227999999999999</v>
      </c>
      <c r="R87" s="126">
        <f t="shared" si="116"/>
        <v>1.0227999999999999</v>
      </c>
      <c r="S87" s="126">
        <f t="shared" si="116"/>
        <v>1.0227999999999999</v>
      </c>
      <c r="T87" s="126">
        <f t="shared" si="116"/>
        <v>1.0227999999999999</v>
      </c>
      <c r="U87" s="126">
        <f t="shared" si="116"/>
        <v>1.0227999999999999</v>
      </c>
      <c r="V87" s="126">
        <f t="shared" si="116"/>
        <v>1.0227999999999999</v>
      </c>
      <c r="W87" s="126">
        <f t="shared" si="116"/>
        <v>1.0227999999999999</v>
      </c>
      <c r="X87" s="126">
        <f t="shared" si="116"/>
        <v>1.0227999999999999</v>
      </c>
      <c r="Y87" s="126">
        <f t="shared" si="116"/>
        <v>1.0227999999999999</v>
      </c>
      <c r="Z87" s="126">
        <f t="shared" si="116"/>
        <v>1.0227999999999999</v>
      </c>
      <c r="AA87" s="126">
        <f t="shared" si="116"/>
        <v>1.0227999999999999</v>
      </c>
      <c r="AB87" s="126">
        <f t="shared" si="116"/>
        <v>1.0227999999999999</v>
      </c>
      <c r="AC87" s="126">
        <f t="shared" si="116"/>
        <v>1.0227999999999999</v>
      </c>
      <c r="AD87" s="126">
        <f t="shared" si="116"/>
        <v>1.0227999999999999</v>
      </c>
      <c r="AE87" s="126">
        <f t="shared" si="116"/>
        <v>1.0227999999999999</v>
      </c>
      <c r="AF87" s="126">
        <f t="shared" si="116"/>
        <v>1.0227999999999999</v>
      </c>
      <c r="AG87" s="126">
        <f t="shared" si="116"/>
        <v>1.0227999999999999</v>
      </c>
      <c r="AH87" s="126">
        <f t="shared" si="87"/>
        <v>1.0227999999999999</v>
      </c>
      <c r="AI87" s="126">
        <f t="shared" si="88"/>
        <v>1.0227999999999999</v>
      </c>
      <c r="AJ87" s="126">
        <f t="shared" si="89"/>
        <v>1.0227999999999999</v>
      </c>
      <c r="AK87" s="126">
        <f t="shared" si="90"/>
        <v>1.0227999999999999</v>
      </c>
      <c r="AL87" s="126">
        <f t="shared" si="91"/>
        <v>1.0227999999999999</v>
      </c>
      <c r="AM87" s="126">
        <f t="shared" si="92"/>
        <v>1.0227999999999999</v>
      </c>
      <c r="AN87" s="126">
        <f t="shared" si="93"/>
        <v>1.0227999999999999</v>
      </c>
      <c r="AO87" s="126">
        <f t="shared" si="94"/>
        <v>1.0227999999999999</v>
      </c>
      <c r="AP87" s="126">
        <f t="shared" si="95"/>
        <v>1.0227999999999999</v>
      </c>
      <c r="AQ87" s="126">
        <f t="shared" si="96"/>
        <v>1.0227999999999999</v>
      </c>
      <c r="AR87" s="126">
        <f t="shared" si="97"/>
        <v>1.0227999999999999</v>
      </c>
      <c r="AS87" s="126">
        <f t="shared" si="98"/>
        <v>1.0227999999999999</v>
      </c>
      <c r="AT87" s="126">
        <f t="shared" si="99"/>
        <v>1.0227999999999999</v>
      </c>
      <c r="AU87" s="126">
        <f t="shared" si="100"/>
        <v>1.0227999999999999</v>
      </c>
      <c r="AV87" s="126">
        <f t="shared" si="101"/>
        <v>1.0227999999999999</v>
      </c>
      <c r="AW87" s="126">
        <f t="shared" si="102"/>
        <v>1.0227999999999999</v>
      </c>
      <c r="AX87" s="126">
        <f t="shared" si="103"/>
        <v>1.0227999999999999</v>
      </c>
      <c r="AY87" s="126">
        <f t="shared" si="104"/>
        <v>1.0227999999999999</v>
      </c>
      <c r="AZ87" s="126">
        <f t="shared" si="105"/>
        <v>1.0227999999999999</v>
      </c>
      <c r="BA87" s="126">
        <f t="shared" si="106"/>
        <v>1.0227999999999999</v>
      </c>
      <c r="BB87" s="126">
        <f t="shared" si="107"/>
        <v>1.0227999999999999</v>
      </c>
      <c r="BC87" s="126">
        <f t="shared" si="107"/>
        <v>1.0227999999999999</v>
      </c>
    </row>
    <row r="88" spans="2:55">
      <c r="B88" s="6" t="str">
        <f t="shared" si="85"/>
        <v>Podiatrist visits</v>
      </c>
      <c r="C88" s="126">
        <f t="shared" ref="C88:AG88" si="117">(IF(C$77&lt;$C$75, -1, 1) *D37)+1</f>
        <v>0.97719999999999996</v>
      </c>
      <c r="D88" s="126">
        <f t="shared" si="117"/>
        <v>0.97719999999999996</v>
      </c>
      <c r="E88" s="126">
        <f t="shared" si="117"/>
        <v>0.97719999999999996</v>
      </c>
      <c r="F88" s="126">
        <f t="shared" si="117"/>
        <v>0.97719999999999996</v>
      </c>
      <c r="G88" s="126">
        <f t="shared" si="117"/>
        <v>0.97719999999999996</v>
      </c>
      <c r="H88" s="126">
        <f t="shared" si="117"/>
        <v>0.97719999999999996</v>
      </c>
      <c r="I88" s="126">
        <f t="shared" si="117"/>
        <v>0.96699999999999997</v>
      </c>
      <c r="J88" s="126">
        <f t="shared" si="117"/>
        <v>0.98</v>
      </c>
      <c r="K88" s="126">
        <f t="shared" si="117"/>
        <v>1.016</v>
      </c>
      <c r="L88" s="126">
        <f t="shared" si="117"/>
        <v>1.016</v>
      </c>
      <c r="M88" s="126">
        <f t="shared" si="117"/>
        <v>1.0289999999999999</v>
      </c>
      <c r="N88" s="126">
        <f t="shared" si="117"/>
        <v>1.0227999999999999</v>
      </c>
      <c r="O88" s="126">
        <f t="shared" si="117"/>
        <v>1.0227999999999999</v>
      </c>
      <c r="P88" s="126">
        <f t="shared" si="117"/>
        <v>1.0227999999999999</v>
      </c>
      <c r="Q88" s="126">
        <f t="shared" si="117"/>
        <v>1.0227999999999999</v>
      </c>
      <c r="R88" s="126">
        <f t="shared" si="117"/>
        <v>1.0227999999999999</v>
      </c>
      <c r="S88" s="126">
        <f t="shared" si="117"/>
        <v>1.0227999999999999</v>
      </c>
      <c r="T88" s="126">
        <f t="shared" si="117"/>
        <v>1.0227999999999999</v>
      </c>
      <c r="U88" s="126">
        <f t="shared" si="117"/>
        <v>1.0227999999999999</v>
      </c>
      <c r="V88" s="126">
        <f t="shared" si="117"/>
        <v>1.0227999999999999</v>
      </c>
      <c r="W88" s="126">
        <f t="shared" si="117"/>
        <v>1.0227999999999999</v>
      </c>
      <c r="X88" s="126">
        <f t="shared" si="117"/>
        <v>1.0227999999999999</v>
      </c>
      <c r="Y88" s="126">
        <f t="shared" si="117"/>
        <v>1.0227999999999999</v>
      </c>
      <c r="Z88" s="126">
        <f t="shared" si="117"/>
        <v>1.0227999999999999</v>
      </c>
      <c r="AA88" s="126">
        <f t="shared" si="117"/>
        <v>1.0227999999999999</v>
      </c>
      <c r="AB88" s="126">
        <f t="shared" si="117"/>
        <v>1.0227999999999999</v>
      </c>
      <c r="AC88" s="126">
        <f t="shared" si="117"/>
        <v>1.0227999999999999</v>
      </c>
      <c r="AD88" s="126">
        <f t="shared" si="117"/>
        <v>1.0227999999999999</v>
      </c>
      <c r="AE88" s="126">
        <f t="shared" si="117"/>
        <v>1.0227999999999999</v>
      </c>
      <c r="AF88" s="126">
        <f t="shared" si="117"/>
        <v>1.0227999999999999</v>
      </c>
      <c r="AG88" s="126">
        <f t="shared" si="117"/>
        <v>1.0227999999999999</v>
      </c>
      <c r="AH88" s="126">
        <f t="shared" si="87"/>
        <v>1.0227999999999999</v>
      </c>
      <c r="AI88" s="126">
        <f t="shared" si="88"/>
        <v>1.0227999999999999</v>
      </c>
      <c r="AJ88" s="126">
        <f t="shared" si="89"/>
        <v>1.0227999999999999</v>
      </c>
      <c r="AK88" s="126">
        <f t="shared" si="90"/>
        <v>1.0227999999999999</v>
      </c>
      <c r="AL88" s="126">
        <f t="shared" si="91"/>
        <v>1.0227999999999999</v>
      </c>
      <c r="AM88" s="126">
        <f t="shared" si="92"/>
        <v>1.0227999999999999</v>
      </c>
      <c r="AN88" s="126">
        <f t="shared" si="93"/>
        <v>1.0227999999999999</v>
      </c>
      <c r="AO88" s="126">
        <f t="shared" si="94"/>
        <v>1.0227999999999999</v>
      </c>
      <c r="AP88" s="126">
        <f t="shared" si="95"/>
        <v>1.0227999999999999</v>
      </c>
      <c r="AQ88" s="126">
        <f t="shared" si="96"/>
        <v>1.0227999999999999</v>
      </c>
      <c r="AR88" s="126">
        <f t="shared" si="97"/>
        <v>1.0227999999999999</v>
      </c>
      <c r="AS88" s="126">
        <f t="shared" si="98"/>
        <v>1.0227999999999999</v>
      </c>
      <c r="AT88" s="126">
        <f t="shared" si="99"/>
        <v>1.0227999999999999</v>
      </c>
      <c r="AU88" s="126">
        <f t="shared" si="100"/>
        <v>1.0227999999999999</v>
      </c>
      <c r="AV88" s="126">
        <f t="shared" si="101"/>
        <v>1.0227999999999999</v>
      </c>
      <c r="AW88" s="126">
        <f t="shared" si="102"/>
        <v>1.0227999999999999</v>
      </c>
      <c r="AX88" s="126">
        <f t="shared" si="103"/>
        <v>1.0227999999999999</v>
      </c>
      <c r="AY88" s="126">
        <f t="shared" si="104"/>
        <v>1.0227999999999999</v>
      </c>
      <c r="AZ88" s="126">
        <f t="shared" si="105"/>
        <v>1.0227999999999999</v>
      </c>
      <c r="BA88" s="126">
        <f t="shared" si="106"/>
        <v>1.0227999999999999</v>
      </c>
      <c r="BB88" s="126">
        <f t="shared" si="107"/>
        <v>1.0227999999999999</v>
      </c>
      <c r="BC88" s="126">
        <f t="shared" si="107"/>
        <v>1.0227999999999999</v>
      </c>
    </row>
    <row r="89" spans="2:55">
      <c r="B89" s="6" t="str">
        <f t="shared" si="85"/>
        <v>Practice nurse visits</v>
      </c>
      <c r="C89" s="126">
        <f t="shared" ref="C89:AG89" si="118">(IF(C$77&lt;$C$75, -1, 1) *D38)+1</f>
        <v>0.97719999999999996</v>
      </c>
      <c r="D89" s="126">
        <f t="shared" si="118"/>
        <v>0.97719999999999996</v>
      </c>
      <c r="E89" s="126">
        <f t="shared" si="118"/>
        <v>0.97719999999999996</v>
      </c>
      <c r="F89" s="126">
        <f t="shared" si="118"/>
        <v>0.97719999999999996</v>
      </c>
      <c r="G89" s="126">
        <f t="shared" si="118"/>
        <v>0.97719999999999996</v>
      </c>
      <c r="H89" s="126">
        <f t="shared" si="118"/>
        <v>0.97719999999999996</v>
      </c>
      <c r="I89" s="126">
        <f t="shared" si="118"/>
        <v>0.96699999999999997</v>
      </c>
      <c r="J89" s="126">
        <f t="shared" si="118"/>
        <v>0.98</v>
      </c>
      <c r="K89" s="126">
        <f t="shared" si="118"/>
        <v>1.016</v>
      </c>
      <c r="L89" s="126">
        <f t="shared" si="118"/>
        <v>1.016</v>
      </c>
      <c r="M89" s="126">
        <f t="shared" si="118"/>
        <v>1.0289999999999999</v>
      </c>
      <c r="N89" s="126">
        <f t="shared" si="118"/>
        <v>1.0227999999999999</v>
      </c>
      <c r="O89" s="126">
        <f t="shared" si="118"/>
        <v>1.0227999999999999</v>
      </c>
      <c r="P89" s="126">
        <f t="shared" si="118"/>
        <v>1.0227999999999999</v>
      </c>
      <c r="Q89" s="126">
        <f t="shared" si="118"/>
        <v>1.0227999999999999</v>
      </c>
      <c r="R89" s="126">
        <f t="shared" si="118"/>
        <v>1.0227999999999999</v>
      </c>
      <c r="S89" s="126">
        <f t="shared" si="118"/>
        <v>1.0227999999999999</v>
      </c>
      <c r="T89" s="126">
        <f t="shared" si="118"/>
        <v>1.0227999999999999</v>
      </c>
      <c r="U89" s="126">
        <f t="shared" si="118"/>
        <v>1.0227999999999999</v>
      </c>
      <c r="V89" s="126">
        <f t="shared" si="118"/>
        <v>1.0227999999999999</v>
      </c>
      <c r="W89" s="126">
        <f t="shared" si="118"/>
        <v>1.0227999999999999</v>
      </c>
      <c r="X89" s="126">
        <f t="shared" si="118"/>
        <v>1.0227999999999999</v>
      </c>
      <c r="Y89" s="126">
        <f t="shared" si="118"/>
        <v>1.0227999999999999</v>
      </c>
      <c r="Z89" s="126">
        <f t="shared" si="118"/>
        <v>1.0227999999999999</v>
      </c>
      <c r="AA89" s="126">
        <f t="shared" si="118"/>
        <v>1.0227999999999999</v>
      </c>
      <c r="AB89" s="126">
        <f t="shared" si="118"/>
        <v>1.0227999999999999</v>
      </c>
      <c r="AC89" s="126">
        <f t="shared" si="118"/>
        <v>1.0227999999999999</v>
      </c>
      <c r="AD89" s="126">
        <f t="shared" si="118"/>
        <v>1.0227999999999999</v>
      </c>
      <c r="AE89" s="126">
        <f t="shared" si="118"/>
        <v>1.0227999999999999</v>
      </c>
      <c r="AF89" s="126">
        <f t="shared" si="118"/>
        <v>1.0227999999999999</v>
      </c>
      <c r="AG89" s="126">
        <f t="shared" si="118"/>
        <v>1.0227999999999999</v>
      </c>
      <c r="AH89" s="126">
        <f t="shared" si="87"/>
        <v>1.0227999999999999</v>
      </c>
      <c r="AI89" s="126">
        <f t="shared" si="88"/>
        <v>1.0227999999999999</v>
      </c>
      <c r="AJ89" s="126">
        <f t="shared" si="89"/>
        <v>1.0227999999999999</v>
      </c>
      <c r="AK89" s="126">
        <f t="shared" si="90"/>
        <v>1.0227999999999999</v>
      </c>
      <c r="AL89" s="126">
        <f t="shared" si="91"/>
        <v>1.0227999999999999</v>
      </c>
      <c r="AM89" s="126">
        <f t="shared" si="92"/>
        <v>1.0227999999999999</v>
      </c>
      <c r="AN89" s="126">
        <f t="shared" si="93"/>
        <v>1.0227999999999999</v>
      </c>
      <c r="AO89" s="126">
        <f t="shared" si="94"/>
        <v>1.0227999999999999</v>
      </c>
      <c r="AP89" s="126">
        <f t="shared" si="95"/>
        <v>1.0227999999999999</v>
      </c>
      <c r="AQ89" s="126">
        <f t="shared" si="96"/>
        <v>1.0227999999999999</v>
      </c>
      <c r="AR89" s="126">
        <f t="shared" si="97"/>
        <v>1.0227999999999999</v>
      </c>
      <c r="AS89" s="126">
        <f t="shared" si="98"/>
        <v>1.0227999999999999</v>
      </c>
      <c r="AT89" s="126">
        <f t="shared" si="99"/>
        <v>1.0227999999999999</v>
      </c>
      <c r="AU89" s="126">
        <f t="shared" si="100"/>
        <v>1.0227999999999999</v>
      </c>
      <c r="AV89" s="126">
        <f t="shared" si="101"/>
        <v>1.0227999999999999</v>
      </c>
      <c r="AW89" s="126">
        <f t="shared" si="102"/>
        <v>1.0227999999999999</v>
      </c>
      <c r="AX89" s="126">
        <f t="shared" si="103"/>
        <v>1.0227999999999999</v>
      </c>
      <c r="AY89" s="126">
        <f t="shared" si="104"/>
        <v>1.0227999999999999</v>
      </c>
      <c r="AZ89" s="126">
        <f t="shared" si="105"/>
        <v>1.0227999999999999</v>
      </c>
      <c r="BA89" s="126">
        <f t="shared" si="106"/>
        <v>1.0227999999999999</v>
      </c>
      <c r="BB89" s="126">
        <f t="shared" si="107"/>
        <v>1.0227999999999999</v>
      </c>
      <c r="BC89" s="126">
        <f t="shared" si="107"/>
        <v>1.0227999999999999</v>
      </c>
    </row>
    <row r="90" spans="2:55">
      <c r="B90" s="6" t="str">
        <f t="shared" si="85"/>
        <v>Prescriptions for analgesics</v>
      </c>
      <c r="C90" s="126">
        <f t="shared" ref="C90:AG90" si="119">(IF(C$77&lt;$C$75, -1, 1) *D39)+1</f>
        <v>0.95819999999999994</v>
      </c>
      <c r="D90" s="126">
        <f t="shared" si="119"/>
        <v>0.95819999999999994</v>
      </c>
      <c r="E90" s="126">
        <f t="shared" si="119"/>
        <v>0.95819999999999994</v>
      </c>
      <c r="F90" s="126">
        <f t="shared" si="119"/>
        <v>0.95819999999999994</v>
      </c>
      <c r="G90" s="126">
        <f t="shared" si="119"/>
        <v>0.95819999999999994</v>
      </c>
      <c r="H90" s="126">
        <f t="shared" si="119"/>
        <v>0.95819999999999994</v>
      </c>
      <c r="I90" s="126">
        <f t="shared" si="119"/>
        <v>0.95499999999999996</v>
      </c>
      <c r="J90" s="126">
        <f t="shared" si="119"/>
        <v>0.95399999999999996</v>
      </c>
      <c r="K90" s="126">
        <f t="shared" si="119"/>
        <v>1.036</v>
      </c>
      <c r="L90" s="126">
        <f t="shared" si="119"/>
        <v>1.0409999999999999</v>
      </c>
      <c r="M90" s="126">
        <f t="shared" si="119"/>
        <v>1.0409999999999999</v>
      </c>
      <c r="N90" s="126">
        <f t="shared" si="119"/>
        <v>1.0418000000000001</v>
      </c>
      <c r="O90" s="126">
        <f t="shared" si="119"/>
        <v>1.0418000000000001</v>
      </c>
      <c r="P90" s="126">
        <f t="shared" si="119"/>
        <v>1.0418000000000001</v>
      </c>
      <c r="Q90" s="126">
        <f t="shared" si="119"/>
        <v>1.0418000000000001</v>
      </c>
      <c r="R90" s="126">
        <f t="shared" si="119"/>
        <v>1.0418000000000001</v>
      </c>
      <c r="S90" s="126">
        <f t="shared" si="119"/>
        <v>1.0418000000000001</v>
      </c>
      <c r="T90" s="126">
        <f t="shared" si="119"/>
        <v>1.0418000000000001</v>
      </c>
      <c r="U90" s="126">
        <f t="shared" si="119"/>
        <v>1.0418000000000001</v>
      </c>
      <c r="V90" s="126">
        <f t="shared" si="119"/>
        <v>1.0418000000000001</v>
      </c>
      <c r="W90" s="126">
        <f t="shared" si="119"/>
        <v>1.0418000000000001</v>
      </c>
      <c r="X90" s="126">
        <f t="shared" si="119"/>
        <v>1.0418000000000001</v>
      </c>
      <c r="Y90" s="126">
        <f t="shared" si="119"/>
        <v>1.0418000000000001</v>
      </c>
      <c r="Z90" s="126">
        <f t="shared" si="119"/>
        <v>1.0418000000000001</v>
      </c>
      <c r="AA90" s="126">
        <f t="shared" si="119"/>
        <v>1.0418000000000001</v>
      </c>
      <c r="AB90" s="126">
        <f t="shared" si="119"/>
        <v>1.0418000000000001</v>
      </c>
      <c r="AC90" s="126">
        <f t="shared" si="119"/>
        <v>1.0418000000000001</v>
      </c>
      <c r="AD90" s="126">
        <f t="shared" si="119"/>
        <v>1.0418000000000001</v>
      </c>
      <c r="AE90" s="126">
        <f t="shared" si="119"/>
        <v>1.0418000000000001</v>
      </c>
      <c r="AF90" s="126">
        <f t="shared" si="119"/>
        <v>1.0418000000000001</v>
      </c>
      <c r="AG90" s="126">
        <f t="shared" si="119"/>
        <v>1.0418000000000001</v>
      </c>
      <c r="AH90" s="126">
        <f t="shared" si="87"/>
        <v>1.0418000000000001</v>
      </c>
      <c r="AI90" s="126">
        <f t="shared" si="88"/>
        <v>1.0418000000000001</v>
      </c>
      <c r="AJ90" s="126">
        <f t="shared" si="89"/>
        <v>1.0418000000000001</v>
      </c>
      <c r="AK90" s="126">
        <f t="shared" si="90"/>
        <v>1.0418000000000001</v>
      </c>
      <c r="AL90" s="126">
        <f t="shared" si="91"/>
        <v>1.0418000000000001</v>
      </c>
      <c r="AM90" s="126">
        <f t="shared" si="92"/>
        <v>1.0418000000000001</v>
      </c>
      <c r="AN90" s="126">
        <f t="shared" si="93"/>
        <v>1.0418000000000001</v>
      </c>
      <c r="AO90" s="126">
        <f t="shared" si="94"/>
        <v>1.0418000000000001</v>
      </c>
      <c r="AP90" s="126">
        <f t="shared" si="95"/>
        <v>1.0418000000000001</v>
      </c>
      <c r="AQ90" s="126">
        <f t="shared" si="96"/>
        <v>1.0418000000000001</v>
      </c>
      <c r="AR90" s="126">
        <f t="shared" si="97"/>
        <v>1.0418000000000001</v>
      </c>
      <c r="AS90" s="126">
        <f t="shared" si="98"/>
        <v>1.0418000000000001</v>
      </c>
      <c r="AT90" s="126">
        <f t="shared" si="99"/>
        <v>1.0418000000000001</v>
      </c>
      <c r="AU90" s="126">
        <f t="shared" si="100"/>
        <v>1.0418000000000001</v>
      </c>
      <c r="AV90" s="126">
        <f t="shared" si="101"/>
        <v>1.0418000000000001</v>
      </c>
      <c r="AW90" s="126">
        <f t="shared" si="102"/>
        <v>1.0418000000000001</v>
      </c>
      <c r="AX90" s="126">
        <f t="shared" si="103"/>
        <v>1.0418000000000001</v>
      </c>
      <c r="AY90" s="126">
        <f t="shared" si="104"/>
        <v>1.0418000000000001</v>
      </c>
      <c r="AZ90" s="126">
        <f t="shared" si="105"/>
        <v>1.0418000000000001</v>
      </c>
      <c r="BA90" s="126">
        <f t="shared" si="106"/>
        <v>1.0418000000000001</v>
      </c>
      <c r="BB90" s="126">
        <f t="shared" si="107"/>
        <v>1.0418000000000001</v>
      </c>
      <c r="BC90" s="126">
        <f t="shared" si="107"/>
        <v>1.0418000000000001</v>
      </c>
    </row>
    <row r="91" spans="2:55">
      <c r="B91" s="6" t="str">
        <f t="shared" si="85"/>
        <v>Prescriptions for anti-infectives</v>
      </c>
      <c r="C91" s="126">
        <f t="shared" ref="C91:AG91" si="120">(IF(C$77&lt;$C$75, -1, 1) *D40)+1</f>
        <v>0.95819999999999994</v>
      </c>
      <c r="D91" s="126">
        <f t="shared" si="120"/>
        <v>0.95819999999999994</v>
      </c>
      <c r="E91" s="126">
        <f t="shared" si="120"/>
        <v>0.95819999999999994</v>
      </c>
      <c r="F91" s="126">
        <f t="shared" si="120"/>
        <v>0.95819999999999994</v>
      </c>
      <c r="G91" s="126">
        <f t="shared" si="120"/>
        <v>0.95819999999999994</v>
      </c>
      <c r="H91" s="126">
        <f t="shared" si="120"/>
        <v>0.95819999999999994</v>
      </c>
      <c r="I91" s="126">
        <f t="shared" si="120"/>
        <v>0.95499999999999996</v>
      </c>
      <c r="J91" s="126">
        <f t="shared" si="120"/>
        <v>0.95399999999999996</v>
      </c>
      <c r="K91" s="126">
        <f t="shared" si="120"/>
        <v>1.036</v>
      </c>
      <c r="L91" s="126">
        <f t="shared" si="120"/>
        <v>1.0409999999999999</v>
      </c>
      <c r="M91" s="126">
        <f t="shared" si="120"/>
        <v>1.0409999999999999</v>
      </c>
      <c r="N91" s="126">
        <f t="shared" si="120"/>
        <v>1.0418000000000001</v>
      </c>
      <c r="O91" s="126">
        <f t="shared" si="120"/>
        <v>1.0418000000000001</v>
      </c>
      <c r="P91" s="126">
        <f t="shared" si="120"/>
        <v>1.0418000000000001</v>
      </c>
      <c r="Q91" s="126">
        <f t="shared" si="120"/>
        <v>1.0418000000000001</v>
      </c>
      <c r="R91" s="126">
        <f t="shared" si="120"/>
        <v>1.0418000000000001</v>
      </c>
      <c r="S91" s="126">
        <f t="shared" si="120"/>
        <v>1.0418000000000001</v>
      </c>
      <c r="T91" s="126">
        <f t="shared" si="120"/>
        <v>1.0418000000000001</v>
      </c>
      <c r="U91" s="126">
        <f t="shared" si="120"/>
        <v>1.0418000000000001</v>
      </c>
      <c r="V91" s="126">
        <f t="shared" si="120"/>
        <v>1.0418000000000001</v>
      </c>
      <c r="W91" s="126">
        <f t="shared" si="120"/>
        <v>1.0418000000000001</v>
      </c>
      <c r="X91" s="126">
        <f t="shared" si="120"/>
        <v>1.0418000000000001</v>
      </c>
      <c r="Y91" s="126">
        <f t="shared" si="120"/>
        <v>1.0418000000000001</v>
      </c>
      <c r="Z91" s="126">
        <f t="shared" si="120"/>
        <v>1.0418000000000001</v>
      </c>
      <c r="AA91" s="126">
        <f t="shared" si="120"/>
        <v>1.0418000000000001</v>
      </c>
      <c r="AB91" s="126">
        <f t="shared" si="120"/>
        <v>1.0418000000000001</v>
      </c>
      <c r="AC91" s="126">
        <f t="shared" si="120"/>
        <v>1.0418000000000001</v>
      </c>
      <c r="AD91" s="126">
        <f t="shared" si="120"/>
        <v>1.0418000000000001</v>
      </c>
      <c r="AE91" s="126">
        <f t="shared" si="120"/>
        <v>1.0418000000000001</v>
      </c>
      <c r="AF91" s="126">
        <f t="shared" si="120"/>
        <v>1.0418000000000001</v>
      </c>
      <c r="AG91" s="126">
        <f t="shared" si="120"/>
        <v>1.0418000000000001</v>
      </c>
      <c r="AH91" s="126">
        <f t="shared" si="87"/>
        <v>1.0418000000000001</v>
      </c>
      <c r="AI91" s="126">
        <f t="shared" si="88"/>
        <v>1.0418000000000001</v>
      </c>
      <c r="AJ91" s="126">
        <f t="shared" si="89"/>
        <v>1.0418000000000001</v>
      </c>
      <c r="AK91" s="126">
        <f t="shared" si="90"/>
        <v>1.0418000000000001</v>
      </c>
      <c r="AL91" s="126">
        <f t="shared" si="91"/>
        <v>1.0418000000000001</v>
      </c>
      <c r="AM91" s="126">
        <f t="shared" si="92"/>
        <v>1.0418000000000001</v>
      </c>
      <c r="AN91" s="126">
        <f t="shared" si="93"/>
        <v>1.0418000000000001</v>
      </c>
      <c r="AO91" s="126">
        <f t="shared" si="94"/>
        <v>1.0418000000000001</v>
      </c>
      <c r="AP91" s="126">
        <f t="shared" si="95"/>
        <v>1.0418000000000001</v>
      </c>
      <c r="AQ91" s="126">
        <f t="shared" si="96"/>
        <v>1.0418000000000001</v>
      </c>
      <c r="AR91" s="126">
        <f t="shared" si="97"/>
        <v>1.0418000000000001</v>
      </c>
      <c r="AS91" s="126">
        <f t="shared" si="98"/>
        <v>1.0418000000000001</v>
      </c>
      <c r="AT91" s="126">
        <f t="shared" si="99"/>
        <v>1.0418000000000001</v>
      </c>
      <c r="AU91" s="126">
        <f t="shared" si="100"/>
        <v>1.0418000000000001</v>
      </c>
      <c r="AV91" s="126">
        <f t="shared" si="101"/>
        <v>1.0418000000000001</v>
      </c>
      <c r="AW91" s="126">
        <f t="shared" si="102"/>
        <v>1.0418000000000001</v>
      </c>
      <c r="AX91" s="126">
        <f t="shared" si="103"/>
        <v>1.0418000000000001</v>
      </c>
      <c r="AY91" s="126">
        <f t="shared" si="104"/>
        <v>1.0418000000000001</v>
      </c>
      <c r="AZ91" s="126">
        <f t="shared" si="105"/>
        <v>1.0418000000000001</v>
      </c>
      <c r="BA91" s="126">
        <f t="shared" si="106"/>
        <v>1.0418000000000001</v>
      </c>
      <c r="BB91" s="126">
        <f t="shared" si="107"/>
        <v>1.0418000000000001</v>
      </c>
      <c r="BC91" s="126">
        <f t="shared" si="107"/>
        <v>1.0418000000000001</v>
      </c>
    </row>
    <row r="92" spans="2:55">
      <c r="B92" s="6" t="str">
        <f t="shared" si="85"/>
        <v>Neuroleptics</v>
      </c>
      <c r="C92" s="126">
        <f t="shared" ref="C92:AG92" si="121">(IF(C$77&lt;$C$75, -1, 1) *D41)+1</f>
        <v>0.95819999999999994</v>
      </c>
      <c r="D92" s="126">
        <f t="shared" si="121"/>
        <v>0.95819999999999994</v>
      </c>
      <c r="E92" s="126">
        <f t="shared" si="121"/>
        <v>0.95819999999999994</v>
      </c>
      <c r="F92" s="126">
        <f t="shared" si="121"/>
        <v>0.95819999999999994</v>
      </c>
      <c r="G92" s="126">
        <f t="shared" si="121"/>
        <v>0.95819999999999994</v>
      </c>
      <c r="H92" s="126">
        <f t="shared" si="121"/>
        <v>0.95819999999999994</v>
      </c>
      <c r="I92" s="126">
        <f t="shared" si="121"/>
        <v>0.95499999999999996</v>
      </c>
      <c r="J92" s="126">
        <f t="shared" si="121"/>
        <v>0.95399999999999996</v>
      </c>
      <c r="K92" s="126">
        <f t="shared" si="121"/>
        <v>1.036</v>
      </c>
      <c r="L92" s="126">
        <f t="shared" si="121"/>
        <v>1.0409999999999999</v>
      </c>
      <c r="M92" s="126">
        <f t="shared" si="121"/>
        <v>1.0409999999999999</v>
      </c>
      <c r="N92" s="126">
        <f t="shared" si="121"/>
        <v>1.0418000000000001</v>
      </c>
      <c r="O92" s="126">
        <f t="shared" si="121"/>
        <v>1.0418000000000001</v>
      </c>
      <c r="P92" s="126">
        <f t="shared" si="121"/>
        <v>1.0418000000000001</v>
      </c>
      <c r="Q92" s="126">
        <f t="shared" si="121"/>
        <v>1.0418000000000001</v>
      </c>
      <c r="R92" s="126">
        <f t="shared" si="121"/>
        <v>1.0418000000000001</v>
      </c>
      <c r="S92" s="126">
        <f t="shared" si="121"/>
        <v>1.0418000000000001</v>
      </c>
      <c r="T92" s="126">
        <f t="shared" si="121"/>
        <v>1.0418000000000001</v>
      </c>
      <c r="U92" s="126">
        <f t="shared" si="121"/>
        <v>1.0418000000000001</v>
      </c>
      <c r="V92" s="126">
        <f t="shared" si="121"/>
        <v>1.0418000000000001</v>
      </c>
      <c r="W92" s="126">
        <f t="shared" si="121"/>
        <v>1.0418000000000001</v>
      </c>
      <c r="X92" s="126">
        <f t="shared" si="121"/>
        <v>1.0418000000000001</v>
      </c>
      <c r="Y92" s="126">
        <f t="shared" si="121"/>
        <v>1.0418000000000001</v>
      </c>
      <c r="Z92" s="126">
        <f t="shared" si="121"/>
        <v>1.0418000000000001</v>
      </c>
      <c r="AA92" s="126">
        <f t="shared" si="121"/>
        <v>1.0418000000000001</v>
      </c>
      <c r="AB92" s="126">
        <f t="shared" si="121"/>
        <v>1.0418000000000001</v>
      </c>
      <c r="AC92" s="126">
        <f t="shared" si="121"/>
        <v>1.0418000000000001</v>
      </c>
      <c r="AD92" s="126">
        <f t="shared" si="121"/>
        <v>1.0418000000000001</v>
      </c>
      <c r="AE92" s="126">
        <f t="shared" si="121"/>
        <v>1.0418000000000001</v>
      </c>
      <c r="AF92" s="126">
        <f t="shared" si="121"/>
        <v>1.0418000000000001</v>
      </c>
      <c r="AG92" s="126">
        <f t="shared" si="121"/>
        <v>1.0418000000000001</v>
      </c>
      <c r="AH92" s="126">
        <f t="shared" si="87"/>
        <v>1.0418000000000001</v>
      </c>
      <c r="AI92" s="126">
        <f t="shared" si="88"/>
        <v>1.0418000000000001</v>
      </c>
      <c r="AJ92" s="126">
        <f t="shared" si="89"/>
        <v>1.0418000000000001</v>
      </c>
      <c r="AK92" s="126">
        <f t="shared" si="90"/>
        <v>1.0418000000000001</v>
      </c>
      <c r="AL92" s="126">
        <f t="shared" si="91"/>
        <v>1.0418000000000001</v>
      </c>
      <c r="AM92" s="126">
        <f t="shared" si="92"/>
        <v>1.0418000000000001</v>
      </c>
      <c r="AN92" s="126">
        <f t="shared" si="93"/>
        <v>1.0418000000000001</v>
      </c>
      <c r="AO92" s="126">
        <f t="shared" si="94"/>
        <v>1.0418000000000001</v>
      </c>
      <c r="AP92" s="126">
        <f t="shared" si="95"/>
        <v>1.0418000000000001</v>
      </c>
      <c r="AQ92" s="126">
        <f t="shared" si="96"/>
        <v>1.0418000000000001</v>
      </c>
      <c r="AR92" s="126">
        <f t="shared" si="97"/>
        <v>1.0418000000000001</v>
      </c>
      <c r="AS92" s="126">
        <f t="shared" si="98"/>
        <v>1.0418000000000001</v>
      </c>
      <c r="AT92" s="126">
        <f t="shared" si="99"/>
        <v>1.0418000000000001</v>
      </c>
      <c r="AU92" s="126">
        <f t="shared" si="100"/>
        <v>1.0418000000000001</v>
      </c>
      <c r="AV92" s="126">
        <f t="shared" si="101"/>
        <v>1.0418000000000001</v>
      </c>
      <c r="AW92" s="126">
        <f t="shared" si="102"/>
        <v>1.0418000000000001</v>
      </c>
      <c r="AX92" s="126">
        <f t="shared" si="103"/>
        <v>1.0418000000000001</v>
      </c>
      <c r="AY92" s="126">
        <f t="shared" si="104"/>
        <v>1.0418000000000001</v>
      </c>
      <c r="AZ92" s="126">
        <f t="shared" si="105"/>
        <v>1.0418000000000001</v>
      </c>
      <c r="BA92" s="126">
        <f t="shared" si="106"/>
        <v>1.0418000000000001</v>
      </c>
      <c r="BB92" s="126">
        <f t="shared" si="107"/>
        <v>1.0418000000000001</v>
      </c>
      <c r="BC92" s="126">
        <f t="shared" si="107"/>
        <v>1.0418000000000001</v>
      </c>
    </row>
    <row r="93" spans="2:55">
      <c r="B93" s="6" t="str">
        <f t="shared" si="85"/>
        <v>Absorbent dressing</v>
      </c>
      <c r="C93" s="126">
        <f t="shared" ref="C93:AG93" si="122">(IF(C$77&lt;$C$75, -1, 1) *D42)+1</f>
        <v>0.98099999999999998</v>
      </c>
      <c r="D93" s="126">
        <f t="shared" si="122"/>
        <v>0.98099999999999998</v>
      </c>
      <c r="E93" s="126">
        <f t="shared" si="122"/>
        <v>0.98099999999999998</v>
      </c>
      <c r="F93" s="126">
        <f t="shared" si="122"/>
        <v>0.98099999999999998</v>
      </c>
      <c r="G93" s="126">
        <f t="shared" si="122"/>
        <v>0.98099999999999998</v>
      </c>
      <c r="H93" s="126">
        <f t="shared" si="122"/>
        <v>0.98099999999999998</v>
      </c>
      <c r="I93" s="126">
        <f t="shared" si="122"/>
        <v>0.98299999999999998</v>
      </c>
      <c r="J93" s="126">
        <f t="shared" si="122"/>
        <v>0.98199999999999998</v>
      </c>
      <c r="K93" s="126">
        <f t="shared" si="122"/>
        <v>1.0209999999999999</v>
      </c>
      <c r="L93" s="126">
        <f t="shared" si="122"/>
        <v>1.0189999999999999</v>
      </c>
      <c r="M93" s="126">
        <f t="shared" si="122"/>
        <v>1.02</v>
      </c>
      <c r="N93" s="126">
        <f t="shared" si="122"/>
        <v>1.0189999999999999</v>
      </c>
      <c r="O93" s="126">
        <f t="shared" si="122"/>
        <v>1.0189999999999999</v>
      </c>
      <c r="P93" s="126">
        <f t="shared" si="122"/>
        <v>1.0189999999999999</v>
      </c>
      <c r="Q93" s="126">
        <f t="shared" si="122"/>
        <v>1.0189999999999999</v>
      </c>
      <c r="R93" s="126">
        <f t="shared" si="122"/>
        <v>1.0189999999999999</v>
      </c>
      <c r="S93" s="126">
        <f t="shared" si="122"/>
        <v>1.0189999999999999</v>
      </c>
      <c r="T93" s="126">
        <f t="shared" si="122"/>
        <v>1.0189999999999999</v>
      </c>
      <c r="U93" s="126">
        <f t="shared" si="122"/>
        <v>1.0189999999999999</v>
      </c>
      <c r="V93" s="126">
        <f t="shared" si="122"/>
        <v>1.0189999999999999</v>
      </c>
      <c r="W93" s="126">
        <f t="shared" si="122"/>
        <v>1.0189999999999999</v>
      </c>
      <c r="X93" s="126">
        <f t="shared" si="122"/>
        <v>1.0189999999999999</v>
      </c>
      <c r="Y93" s="126">
        <f t="shared" si="122"/>
        <v>1.0189999999999999</v>
      </c>
      <c r="Z93" s="126">
        <f t="shared" si="122"/>
        <v>1.0189999999999999</v>
      </c>
      <c r="AA93" s="126">
        <f t="shared" si="122"/>
        <v>1.0189999999999999</v>
      </c>
      <c r="AB93" s="126">
        <f t="shared" si="122"/>
        <v>1.0189999999999999</v>
      </c>
      <c r="AC93" s="126">
        <f t="shared" si="122"/>
        <v>1.0189999999999999</v>
      </c>
      <c r="AD93" s="126">
        <f t="shared" si="122"/>
        <v>1.0189999999999999</v>
      </c>
      <c r="AE93" s="126">
        <f t="shared" si="122"/>
        <v>1.0189999999999999</v>
      </c>
      <c r="AF93" s="126">
        <f t="shared" si="122"/>
        <v>1.0189999999999999</v>
      </c>
      <c r="AG93" s="126">
        <f t="shared" si="122"/>
        <v>1.0189999999999999</v>
      </c>
      <c r="AH93" s="126">
        <f t="shared" si="87"/>
        <v>1.0189999999999999</v>
      </c>
      <c r="AI93" s="126">
        <f t="shared" si="88"/>
        <v>1.0189999999999999</v>
      </c>
      <c r="AJ93" s="126">
        <f t="shared" si="89"/>
        <v>1.0189999999999999</v>
      </c>
      <c r="AK93" s="126">
        <f t="shared" si="90"/>
        <v>1.0189999999999999</v>
      </c>
      <c r="AL93" s="126">
        <f t="shared" si="91"/>
        <v>1.0189999999999999</v>
      </c>
      <c r="AM93" s="126">
        <f t="shared" si="92"/>
        <v>1.0189999999999999</v>
      </c>
      <c r="AN93" s="126">
        <f t="shared" si="93"/>
        <v>1.0189999999999999</v>
      </c>
      <c r="AO93" s="126">
        <f t="shared" si="94"/>
        <v>1.0189999999999999</v>
      </c>
      <c r="AP93" s="126">
        <f t="shared" si="95"/>
        <v>1.0189999999999999</v>
      </c>
      <c r="AQ93" s="126">
        <f t="shared" si="96"/>
        <v>1.0189999999999999</v>
      </c>
      <c r="AR93" s="126">
        <f t="shared" si="97"/>
        <v>1.0189999999999999</v>
      </c>
      <c r="AS93" s="126">
        <f t="shared" si="98"/>
        <v>1.0189999999999999</v>
      </c>
      <c r="AT93" s="126">
        <f t="shared" si="99"/>
        <v>1.0189999999999999</v>
      </c>
      <c r="AU93" s="126">
        <f t="shared" si="100"/>
        <v>1.0189999999999999</v>
      </c>
      <c r="AV93" s="126">
        <f t="shared" si="101"/>
        <v>1.0189999999999999</v>
      </c>
      <c r="AW93" s="126">
        <f t="shared" si="102"/>
        <v>1.0189999999999999</v>
      </c>
      <c r="AX93" s="126">
        <f t="shared" si="103"/>
        <v>1.0189999999999999</v>
      </c>
      <c r="AY93" s="126">
        <f t="shared" si="104"/>
        <v>1.0189999999999999</v>
      </c>
      <c r="AZ93" s="126">
        <f t="shared" si="105"/>
        <v>1.0189999999999999</v>
      </c>
      <c r="BA93" s="126">
        <f t="shared" si="106"/>
        <v>1.0189999999999999</v>
      </c>
      <c r="BB93" s="126">
        <f t="shared" si="107"/>
        <v>1.0189999999999999</v>
      </c>
      <c r="BC93" s="126">
        <f t="shared" si="107"/>
        <v>1.0189999999999999</v>
      </c>
    </row>
    <row r="94" spans="2:55">
      <c r="B94" s="6" t="str">
        <f t="shared" si="85"/>
        <v>Alginate dressing</v>
      </c>
      <c r="C94" s="126">
        <f t="shared" ref="C94:AG94" si="123">(IF(C$77&lt;$C$75, -1, 1) *D43)+1</f>
        <v>0.98099999999999998</v>
      </c>
      <c r="D94" s="126">
        <f t="shared" si="123"/>
        <v>0.98099999999999998</v>
      </c>
      <c r="E94" s="126">
        <f t="shared" si="123"/>
        <v>0.98099999999999998</v>
      </c>
      <c r="F94" s="126">
        <f t="shared" si="123"/>
        <v>0.98099999999999998</v>
      </c>
      <c r="G94" s="126">
        <f t="shared" si="123"/>
        <v>0.98099999999999998</v>
      </c>
      <c r="H94" s="126">
        <f t="shared" si="123"/>
        <v>0.98099999999999998</v>
      </c>
      <c r="I94" s="126">
        <f t="shared" si="123"/>
        <v>0.98299999999999998</v>
      </c>
      <c r="J94" s="126">
        <f t="shared" si="123"/>
        <v>0.98199999999999998</v>
      </c>
      <c r="K94" s="126">
        <f t="shared" si="123"/>
        <v>1.0209999999999999</v>
      </c>
      <c r="L94" s="126">
        <f t="shared" si="123"/>
        <v>1.0189999999999999</v>
      </c>
      <c r="M94" s="126">
        <f t="shared" si="123"/>
        <v>1.02</v>
      </c>
      <c r="N94" s="126">
        <f t="shared" si="123"/>
        <v>1.0189999999999999</v>
      </c>
      <c r="O94" s="126">
        <f t="shared" si="123"/>
        <v>1.0189999999999999</v>
      </c>
      <c r="P94" s="126">
        <f t="shared" si="123"/>
        <v>1.0189999999999999</v>
      </c>
      <c r="Q94" s="126">
        <f t="shared" si="123"/>
        <v>1.0189999999999999</v>
      </c>
      <c r="R94" s="126">
        <f t="shared" si="123"/>
        <v>1.0189999999999999</v>
      </c>
      <c r="S94" s="126">
        <f t="shared" si="123"/>
        <v>1.0189999999999999</v>
      </c>
      <c r="T94" s="126">
        <f t="shared" si="123"/>
        <v>1.0189999999999999</v>
      </c>
      <c r="U94" s="126">
        <f t="shared" si="123"/>
        <v>1.0189999999999999</v>
      </c>
      <c r="V94" s="126">
        <f t="shared" si="123"/>
        <v>1.0189999999999999</v>
      </c>
      <c r="W94" s="126">
        <f t="shared" si="123"/>
        <v>1.0189999999999999</v>
      </c>
      <c r="X94" s="126">
        <f t="shared" si="123"/>
        <v>1.0189999999999999</v>
      </c>
      <c r="Y94" s="126">
        <f t="shared" si="123"/>
        <v>1.0189999999999999</v>
      </c>
      <c r="Z94" s="126">
        <f t="shared" si="123"/>
        <v>1.0189999999999999</v>
      </c>
      <c r="AA94" s="126">
        <f t="shared" si="123"/>
        <v>1.0189999999999999</v>
      </c>
      <c r="AB94" s="126">
        <f t="shared" si="123"/>
        <v>1.0189999999999999</v>
      </c>
      <c r="AC94" s="126">
        <f t="shared" si="123"/>
        <v>1.0189999999999999</v>
      </c>
      <c r="AD94" s="126">
        <f t="shared" si="123"/>
        <v>1.0189999999999999</v>
      </c>
      <c r="AE94" s="126">
        <f t="shared" si="123"/>
        <v>1.0189999999999999</v>
      </c>
      <c r="AF94" s="126">
        <f t="shared" si="123"/>
        <v>1.0189999999999999</v>
      </c>
      <c r="AG94" s="126">
        <f t="shared" si="123"/>
        <v>1.0189999999999999</v>
      </c>
      <c r="AH94" s="126">
        <f t="shared" si="87"/>
        <v>1.0189999999999999</v>
      </c>
      <c r="AI94" s="126">
        <f t="shared" si="88"/>
        <v>1.0189999999999999</v>
      </c>
      <c r="AJ94" s="126">
        <f t="shared" si="89"/>
        <v>1.0189999999999999</v>
      </c>
      <c r="AK94" s="126">
        <f t="shared" si="90"/>
        <v>1.0189999999999999</v>
      </c>
      <c r="AL94" s="126">
        <f t="shared" si="91"/>
        <v>1.0189999999999999</v>
      </c>
      <c r="AM94" s="126">
        <f t="shared" si="92"/>
        <v>1.0189999999999999</v>
      </c>
      <c r="AN94" s="126">
        <f t="shared" si="93"/>
        <v>1.0189999999999999</v>
      </c>
      <c r="AO94" s="126">
        <f t="shared" si="94"/>
        <v>1.0189999999999999</v>
      </c>
      <c r="AP94" s="126">
        <f t="shared" si="95"/>
        <v>1.0189999999999999</v>
      </c>
      <c r="AQ94" s="126">
        <f t="shared" si="96"/>
        <v>1.0189999999999999</v>
      </c>
      <c r="AR94" s="126">
        <f t="shared" si="97"/>
        <v>1.0189999999999999</v>
      </c>
      <c r="AS94" s="126">
        <f t="shared" si="98"/>
        <v>1.0189999999999999</v>
      </c>
      <c r="AT94" s="126">
        <f t="shared" si="99"/>
        <v>1.0189999999999999</v>
      </c>
      <c r="AU94" s="126">
        <f t="shared" si="100"/>
        <v>1.0189999999999999</v>
      </c>
      <c r="AV94" s="126">
        <f t="shared" si="101"/>
        <v>1.0189999999999999</v>
      </c>
      <c r="AW94" s="126">
        <f t="shared" si="102"/>
        <v>1.0189999999999999</v>
      </c>
      <c r="AX94" s="126">
        <f t="shared" si="103"/>
        <v>1.0189999999999999</v>
      </c>
      <c r="AY94" s="126">
        <f t="shared" si="104"/>
        <v>1.0189999999999999</v>
      </c>
      <c r="AZ94" s="126">
        <f t="shared" si="105"/>
        <v>1.0189999999999999</v>
      </c>
      <c r="BA94" s="126">
        <f t="shared" si="106"/>
        <v>1.0189999999999999</v>
      </c>
      <c r="BB94" s="126">
        <f t="shared" si="107"/>
        <v>1.0189999999999999</v>
      </c>
      <c r="BC94" s="126">
        <f t="shared" si="107"/>
        <v>1.0189999999999999</v>
      </c>
    </row>
    <row r="95" spans="2:55">
      <c r="B95" s="6" t="str">
        <f t="shared" si="85"/>
        <v>Antimicrobial dressing</v>
      </c>
      <c r="C95" s="126">
        <f t="shared" ref="C95:AG95" si="124">(IF(C$77&lt;$C$75, -1, 1) *D44)+1</f>
        <v>0.98099999999999998</v>
      </c>
      <c r="D95" s="126">
        <f t="shared" si="124"/>
        <v>0.98099999999999998</v>
      </c>
      <c r="E95" s="126">
        <f t="shared" si="124"/>
        <v>0.98099999999999998</v>
      </c>
      <c r="F95" s="126">
        <f t="shared" si="124"/>
        <v>0.98099999999999998</v>
      </c>
      <c r="G95" s="126">
        <f t="shared" si="124"/>
        <v>0.98099999999999998</v>
      </c>
      <c r="H95" s="126">
        <f t="shared" si="124"/>
        <v>0.98099999999999998</v>
      </c>
      <c r="I95" s="126">
        <f t="shared" si="124"/>
        <v>0.98299999999999998</v>
      </c>
      <c r="J95" s="126">
        <f t="shared" si="124"/>
        <v>0.98199999999999998</v>
      </c>
      <c r="K95" s="126">
        <f t="shared" si="124"/>
        <v>1.0209999999999999</v>
      </c>
      <c r="L95" s="126">
        <f t="shared" si="124"/>
        <v>1.0189999999999999</v>
      </c>
      <c r="M95" s="126">
        <f t="shared" si="124"/>
        <v>1.02</v>
      </c>
      <c r="N95" s="126">
        <f t="shared" si="124"/>
        <v>1.0189999999999999</v>
      </c>
      <c r="O95" s="126">
        <f t="shared" si="124"/>
        <v>1.0189999999999999</v>
      </c>
      <c r="P95" s="126">
        <f t="shared" si="124"/>
        <v>1.0189999999999999</v>
      </c>
      <c r="Q95" s="126">
        <f t="shared" si="124"/>
        <v>1.0189999999999999</v>
      </c>
      <c r="R95" s="126">
        <f t="shared" si="124"/>
        <v>1.0189999999999999</v>
      </c>
      <c r="S95" s="126">
        <f t="shared" si="124"/>
        <v>1.0189999999999999</v>
      </c>
      <c r="T95" s="126">
        <f t="shared" si="124"/>
        <v>1.0189999999999999</v>
      </c>
      <c r="U95" s="126">
        <f t="shared" si="124"/>
        <v>1.0189999999999999</v>
      </c>
      <c r="V95" s="126">
        <f t="shared" si="124"/>
        <v>1.0189999999999999</v>
      </c>
      <c r="W95" s="126">
        <f t="shared" si="124"/>
        <v>1.0189999999999999</v>
      </c>
      <c r="X95" s="126">
        <f t="shared" si="124"/>
        <v>1.0189999999999999</v>
      </c>
      <c r="Y95" s="126">
        <f t="shared" si="124"/>
        <v>1.0189999999999999</v>
      </c>
      <c r="Z95" s="126">
        <f t="shared" si="124"/>
        <v>1.0189999999999999</v>
      </c>
      <c r="AA95" s="126">
        <f t="shared" si="124"/>
        <v>1.0189999999999999</v>
      </c>
      <c r="AB95" s="126">
        <f t="shared" si="124"/>
        <v>1.0189999999999999</v>
      </c>
      <c r="AC95" s="126">
        <f t="shared" si="124"/>
        <v>1.0189999999999999</v>
      </c>
      <c r="AD95" s="126">
        <f t="shared" si="124"/>
        <v>1.0189999999999999</v>
      </c>
      <c r="AE95" s="126">
        <f t="shared" si="124"/>
        <v>1.0189999999999999</v>
      </c>
      <c r="AF95" s="126">
        <f t="shared" si="124"/>
        <v>1.0189999999999999</v>
      </c>
      <c r="AG95" s="126">
        <f t="shared" si="124"/>
        <v>1.0189999999999999</v>
      </c>
      <c r="AH95" s="126">
        <f t="shared" si="87"/>
        <v>1.0189999999999999</v>
      </c>
      <c r="AI95" s="126">
        <f t="shared" si="88"/>
        <v>1.0189999999999999</v>
      </c>
      <c r="AJ95" s="126">
        <f t="shared" si="89"/>
        <v>1.0189999999999999</v>
      </c>
      <c r="AK95" s="126">
        <f t="shared" si="90"/>
        <v>1.0189999999999999</v>
      </c>
      <c r="AL95" s="126">
        <f t="shared" si="91"/>
        <v>1.0189999999999999</v>
      </c>
      <c r="AM95" s="126">
        <f t="shared" si="92"/>
        <v>1.0189999999999999</v>
      </c>
      <c r="AN95" s="126">
        <f t="shared" si="93"/>
        <v>1.0189999999999999</v>
      </c>
      <c r="AO95" s="126">
        <f t="shared" si="94"/>
        <v>1.0189999999999999</v>
      </c>
      <c r="AP95" s="126">
        <f t="shared" si="95"/>
        <v>1.0189999999999999</v>
      </c>
      <c r="AQ95" s="126">
        <f t="shared" si="96"/>
        <v>1.0189999999999999</v>
      </c>
      <c r="AR95" s="126">
        <f t="shared" si="97"/>
        <v>1.0189999999999999</v>
      </c>
      <c r="AS95" s="126">
        <f t="shared" si="98"/>
        <v>1.0189999999999999</v>
      </c>
      <c r="AT95" s="126">
        <f t="shared" si="99"/>
        <v>1.0189999999999999</v>
      </c>
      <c r="AU95" s="126">
        <f t="shared" si="100"/>
        <v>1.0189999999999999</v>
      </c>
      <c r="AV95" s="126">
        <f t="shared" si="101"/>
        <v>1.0189999999999999</v>
      </c>
      <c r="AW95" s="126">
        <f t="shared" si="102"/>
        <v>1.0189999999999999</v>
      </c>
      <c r="AX95" s="126">
        <f t="shared" si="103"/>
        <v>1.0189999999999999</v>
      </c>
      <c r="AY95" s="126">
        <f t="shared" si="104"/>
        <v>1.0189999999999999</v>
      </c>
      <c r="AZ95" s="126">
        <f t="shared" si="105"/>
        <v>1.0189999999999999</v>
      </c>
      <c r="BA95" s="126">
        <f t="shared" si="106"/>
        <v>1.0189999999999999</v>
      </c>
      <c r="BB95" s="126">
        <f t="shared" si="107"/>
        <v>1.0189999999999999</v>
      </c>
      <c r="BC95" s="126">
        <f t="shared" si="107"/>
        <v>1.0189999999999999</v>
      </c>
    </row>
    <row r="96" spans="2:55">
      <c r="B96" s="6" t="str">
        <f t="shared" si="85"/>
        <v>Capillary-action dressing</v>
      </c>
      <c r="C96" s="126">
        <f t="shared" ref="C96:AG96" si="125">(IF(C$77&lt;$C$75, -1, 1) *D45)+1</f>
        <v>0.98099999999999998</v>
      </c>
      <c r="D96" s="126">
        <f t="shared" si="125"/>
        <v>0.98099999999999998</v>
      </c>
      <c r="E96" s="126">
        <f t="shared" si="125"/>
        <v>0.98099999999999998</v>
      </c>
      <c r="F96" s="126">
        <f t="shared" si="125"/>
        <v>0.98099999999999998</v>
      </c>
      <c r="G96" s="126">
        <f t="shared" si="125"/>
        <v>0.98099999999999998</v>
      </c>
      <c r="H96" s="126">
        <f t="shared" si="125"/>
        <v>0.98099999999999998</v>
      </c>
      <c r="I96" s="126">
        <f t="shared" si="125"/>
        <v>0.98299999999999998</v>
      </c>
      <c r="J96" s="126">
        <f t="shared" si="125"/>
        <v>0.98199999999999998</v>
      </c>
      <c r="K96" s="126">
        <f t="shared" si="125"/>
        <v>1.0209999999999999</v>
      </c>
      <c r="L96" s="126">
        <f t="shared" si="125"/>
        <v>1.0189999999999999</v>
      </c>
      <c r="M96" s="126">
        <f t="shared" si="125"/>
        <v>1.02</v>
      </c>
      <c r="N96" s="126">
        <f t="shared" si="125"/>
        <v>1.0189999999999999</v>
      </c>
      <c r="O96" s="126">
        <f t="shared" si="125"/>
        <v>1.0189999999999999</v>
      </c>
      <c r="P96" s="126">
        <f t="shared" si="125"/>
        <v>1.0189999999999999</v>
      </c>
      <c r="Q96" s="126">
        <f t="shared" si="125"/>
        <v>1.0189999999999999</v>
      </c>
      <c r="R96" s="126">
        <f t="shared" si="125"/>
        <v>1.0189999999999999</v>
      </c>
      <c r="S96" s="126">
        <f t="shared" si="125"/>
        <v>1.0189999999999999</v>
      </c>
      <c r="T96" s="126">
        <f t="shared" si="125"/>
        <v>1.0189999999999999</v>
      </c>
      <c r="U96" s="126">
        <f t="shared" si="125"/>
        <v>1.0189999999999999</v>
      </c>
      <c r="V96" s="126">
        <f t="shared" si="125"/>
        <v>1.0189999999999999</v>
      </c>
      <c r="W96" s="126">
        <f t="shared" si="125"/>
        <v>1.0189999999999999</v>
      </c>
      <c r="X96" s="126">
        <f t="shared" si="125"/>
        <v>1.0189999999999999</v>
      </c>
      <c r="Y96" s="126">
        <f t="shared" si="125"/>
        <v>1.0189999999999999</v>
      </c>
      <c r="Z96" s="126">
        <f t="shared" si="125"/>
        <v>1.0189999999999999</v>
      </c>
      <c r="AA96" s="126">
        <f t="shared" si="125"/>
        <v>1.0189999999999999</v>
      </c>
      <c r="AB96" s="126">
        <f t="shared" si="125"/>
        <v>1.0189999999999999</v>
      </c>
      <c r="AC96" s="126">
        <f t="shared" si="125"/>
        <v>1.0189999999999999</v>
      </c>
      <c r="AD96" s="126">
        <f t="shared" si="125"/>
        <v>1.0189999999999999</v>
      </c>
      <c r="AE96" s="126">
        <f t="shared" si="125"/>
        <v>1.0189999999999999</v>
      </c>
      <c r="AF96" s="126">
        <f t="shared" si="125"/>
        <v>1.0189999999999999</v>
      </c>
      <c r="AG96" s="126">
        <f t="shared" si="125"/>
        <v>1.0189999999999999</v>
      </c>
      <c r="AH96" s="126">
        <f t="shared" si="87"/>
        <v>1.0189999999999999</v>
      </c>
      <c r="AI96" s="126">
        <f t="shared" si="88"/>
        <v>1.0189999999999999</v>
      </c>
      <c r="AJ96" s="126">
        <f t="shared" si="89"/>
        <v>1.0189999999999999</v>
      </c>
      <c r="AK96" s="126">
        <f t="shared" si="90"/>
        <v>1.0189999999999999</v>
      </c>
      <c r="AL96" s="126">
        <f t="shared" si="91"/>
        <v>1.0189999999999999</v>
      </c>
      <c r="AM96" s="126">
        <f t="shared" si="92"/>
        <v>1.0189999999999999</v>
      </c>
      <c r="AN96" s="126">
        <f t="shared" si="93"/>
        <v>1.0189999999999999</v>
      </c>
      <c r="AO96" s="126">
        <f t="shared" si="94"/>
        <v>1.0189999999999999</v>
      </c>
      <c r="AP96" s="126">
        <f t="shared" si="95"/>
        <v>1.0189999999999999</v>
      </c>
      <c r="AQ96" s="126">
        <f t="shared" si="96"/>
        <v>1.0189999999999999</v>
      </c>
      <c r="AR96" s="126">
        <f t="shared" si="97"/>
        <v>1.0189999999999999</v>
      </c>
      <c r="AS96" s="126">
        <f t="shared" si="98"/>
        <v>1.0189999999999999</v>
      </c>
      <c r="AT96" s="126">
        <f t="shared" si="99"/>
        <v>1.0189999999999999</v>
      </c>
      <c r="AU96" s="126">
        <f t="shared" si="100"/>
        <v>1.0189999999999999</v>
      </c>
      <c r="AV96" s="126">
        <f t="shared" si="101"/>
        <v>1.0189999999999999</v>
      </c>
      <c r="AW96" s="126">
        <f t="shared" si="102"/>
        <v>1.0189999999999999</v>
      </c>
      <c r="AX96" s="126">
        <f t="shared" si="103"/>
        <v>1.0189999999999999</v>
      </c>
      <c r="AY96" s="126">
        <f t="shared" si="104"/>
        <v>1.0189999999999999</v>
      </c>
      <c r="AZ96" s="126">
        <f t="shared" si="105"/>
        <v>1.0189999999999999</v>
      </c>
      <c r="BA96" s="126">
        <f t="shared" si="106"/>
        <v>1.0189999999999999</v>
      </c>
      <c r="BB96" s="126">
        <f t="shared" si="107"/>
        <v>1.0189999999999999</v>
      </c>
      <c r="BC96" s="126">
        <f t="shared" si="107"/>
        <v>1.0189999999999999</v>
      </c>
    </row>
    <row r="97" spans="2:55">
      <c r="B97" s="6" t="str">
        <f t="shared" si="85"/>
        <v>Foam dressing</v>
      </c>
      <c r="C97" s="126">
        <f t="shared" ref="C97:AG97" si="126">(IF(C$77&lt;$C$75, -1, 1) *D46)+1</f>
        <v>0.98099999999999998</v>
      </c>
      <c r="D97" s="126">
        <f t="shared" si="126"/>
        <v>0.98099999999999998</v>
      </c>
      <c r="E97" s="126">
        <f t="shared" si="126"/>
        <v>0.98099999999999998</v>
      </c>
      <c r="F97" s="126">
        <f t="shared" si="126"/>
        <v>0.98099999999999998</v>
      </c>
      <c r="G97" s="126">
        <f t="shared" si="126"/>
        <v>0.98099999999999998</v>
      </c>
      <c r="H97" s="126">
        <f t="shared" si="126"/>
        <v>0.98099999999999998</v>
      </c>
      <c r="I97" s="126">
        <f t="shared" si="126"/>
        <v>0.98299999999999998</v>
      </c>
      <c r="J97" s="126">
        <f t="shared" si="126"/>
        <v>0.98199999999999998</v>
      </c>
      <c r="K97" s="126">
        <f t="shared" si="126"/>
        <v>1.0209999999999999</v>
      </c>
      <c r="L97" s="126">
        <f t="shared" si="126"/>
        <v>1.0189999999999999</v>
      </c>
      <c r="M97" s="126">
        <f t="shared" si="126"/>
        <v>1.02</v>
      </c>
      <c r="N97" s="126">
        <f t="shared" si="126"/>
        <v>1.0189999999999999</v>
      </c>
      <c r="O97" s="126">
        <f t="shared" si="126"/>
        <v>1.0189999999999999</v>
      </c>
      <c r="P97" s="126">
        <f t="shared" si="126"/>
        <v>1.0189999999999999</v>
      </c>
      <c r="Q97" s="126">
        <f t="shared" si="126"/>
        <v>1.0189999999999999</v>
      </c>
      <c r="R97" s="126">
        <f t="shared" si="126"/>
        <v>1.0189999999999999</v>
      </c>
      <c r="S97" s="126">
        <f t="shared" si="126"/>
        <v>1.0189999999999999</v>
      </c>
      <c r="T97" s="126">
        <f t="shared" si="126"/>
        <v>1.0189999999999999</v>
      </c>
      <c r="U97" s="126">
        <f t="shared" si="126"/>
        <v>1.0189999999999999</v>
      </c>
      <c r="V97" s="126">
        <f t="shared" si="126"/>
        <v>1.0189999999999999</v>
      </c>
      <c r="W97" s="126">
        <f t="shared" si="126"/>
        <v>1.0189999999999999</v>
      </c>
      <c r="X97" s="126">
        <f t="shared" si="126"/>
        <v>1.0189999999999999</v>
      </c>
      <c r="Y97" s="126">
        <f t="shared" si="126"/>
        <v>1.0189999999999999</v>
      </c>
      <c r="Z97" s="126">
        <f t="shared" si="126"/>
        <v>1.0189999999999999</v>
      </c>
      <c r="AA97" s="126">
        <f t="shared" si="126"/>
        <v>1.0189999999999999</v>
      </c>
      <c r="AB97" s="126">
        <f t="shared" si="126"/>
        <v>1.0189999999999999</v>
      </c>
      <c r="AC97" s="126">
        <f t="shared" si="126"/>
        <v>1.0189999999999999</v>
      </c>
      <c r="AD97" s="126">
        <f t="shared" si="126"/>
        <v>1.0189999999999999</v>
      </c>
      <c r="AE97" s="126">
        <f t="shared" si="126"/>
        <v>1.0189999999999999</v>
      </c>
      <c r="AF97" s="126">
        <f t="shared" si="126"/>
        <v>1.0189999999999999</v>
      </c>
      <c r="AG97" s="126">
        <f t="shared" si="126"/>
        <v>1.0189999999999999</v>
      </c>
      <c r="AH97" s="126">
        <f t="shared" si="87"/>
        <v>1.0189999999999999</v>
      </c>
      <c r="AI97" s="126">
        <f t="shared" si="88"/>
        <v>1.0189999999999999</v>
      </c>
      <c r="AJ97" s="126">
        <f t="shared" si="89"/>
        <v>1.0189999999999999</v>
      </c>
      <c r="AK97" s="126">
        <f t="shared" si="90"/>
        <v>1.0189999999999999</v>
      </c>
      <c r="AL97" s="126">
        <f t="shared" si="91"/>
        <v>1.0189999999999999</v>
      </c>
      <c r="AM97" s="126">
        <f t="shared" si="92"/>
        <v>1.0189999999999999</v>
      </c>
      <c r="AN97" s="126">
        <f t="shared" si="93"/>
        <v>1.0189999999999999</v>
      </c>
      <c r="AO97" s="126">
        <f t="shared" si="94"/>
        <v>1.0189999999999999</v>
      </c>
      <c r="AP97" s="126">
        <f t="shared" si="95"/>
        <v>1.0189999999999999</v>
      </c>
      <c r="AQ97" s="126">
        <f t="shared" si="96"/>
        <v>1.0189999999999999</v>
      </c>
      <c r="AR97" s="126">
        <f t="shared" si="97"/>
        <v>1.0189999999999999</v>
      </c>
      <c r="AS97" s="126">
        <f t="shared" si="98"/>
        <v>1.0189999999999999</v>
      </c>
      <c r="AT97" s="126">
        <f t="shared" si="99"/>
        <v>1.0189999999999999</v>
      </c>
      <c r="AU97" s="126">
        <f t="shared" si="100"/>
        <v>1.0189999999999999</v>
      </c>
      <c r="AV97" s="126">
        <f t="shared" si="101"/>
        <v>1.0189999999999999</v>
      </c>
      <c r="AW97" s="126">
        <f t="shared" si="102"/>
        <v>1.0189999999999999</v>
      </c>
      <c r="AX97" s="126">
        <f t="shared" si="103"/>
        <v>1.0189999999999999</v>
      </c>
      <c r="AY97" s="126">
        <f t="shared" si="104"/>
        <v>1.0189999999999999</v>
      </c>
      <c r="AZ97" s="126">
        <f t="shared" si="105"/>
        <v>1.0189999999999999</v>
      </c>
      <c r="BA97" s="126">
        <f t="shared" si="106"/>
        <v>1.0189999999999999</v>
      </c>
      <c r="BB97" s="126">
        <f t="shared" si="107"/>
        <v>1.0189999999999999</v>
      </c>
      <c r="BC97" s="126">
        <f t="shared" si="107"/>
        <v>1.0189999999999999</v>
      </c>
    </row>
    <row r="98" spans="2:55">
      <c r="B98" s="6" t="str">
        <f t="shared" si="85"/>
        <v>Hydrocolloid dressing</v>
      </c>
      <c r="C98" s="126">
        <f t="shared" ref="C98:AG98" si="127">(IF(C$77&lt;$C$75, -1, 1) *D47)+1</f>
        <v>0.98099999999999998</v>
      </c>
      <c r="D98" s="126">
        <f t="shared" si="127"/>
        <v>0.98099999999999998</v>
      </c>
      <c r="E98" s="126">
        <f t="shared" si="127"/>
        <v>0.98099999999999998</v>
      </c>
      <c r="F98" s="126">
        <f t="shared" si="127"/>
        <v>0.98099999999999998</v>
      </c>
      <c r="G98" s="126">
        <f t="shared" si="127"/>
        <v>0.98099999999999998</v>
      </c>
      <c r="H98" s="126">
        <f t="shared" si="127"/>
        <v>0.98099999999999998</v>
      </c>
      <c r="I98" s="126">
        <f t="shared" si="127"/>
        <v>0.98299999999999998</v>
      </c>
      <c r="J98" s="126">
        <f t="shared" si="127"/>
        <v>0.98199999999999998</v>
      </c>
      <c r="K98" s="126">
        <f t="shared" si="127"/>
        <v>1.0209999999999999</v>
      </c>
      <c r="L98" s="126">
        <f t="shared" si="127"/>
        <v>1.0189999999999999</v>
      </c>
      <c r="M98" s="126">
        <f t="shared" si="127"/>
        <v>1.02</v>
      </c>
      <c r="N98" s="126">
        <f t="shared" si="127"/>
        <v>1.0189999999999999</v>
      </c>
      <c r="O98" s="126">
        <f t="shared" si="127"/>
        <v>1.0189999999999999</v>
      </c>
      <c r="P98" s="126">
        <f t="shared" si="127"/>
        <v>1.0189999999999999</v>
      </c>
      <c r="Q98" s="126">
        <f t="shared" si="127"/>
        <v>1.0189999999999999</v>
      </c>
      <c r="R98" s="126">
        <f t="shared" si="127"/>
        <v>1.0189999999999999</v>
      </c>
      <c r="S98" s="126">
        <f t="shared" si="127"/>
        <v>1.0189999999999999</v>
      </c>
      <c r="T98" s="126">
        <f t="shared" si="127"/>
        <v>1.0189999999999999</v>
      </c>
      <c r="U98" s="126">
        <f t="shared" si="127"/>
        <v>1.0189999999999999</v>
      </c>
      <c r="V98" s="126">
        <f t="shared" si="127"/>
        <v>1.0189999999999999</v>
      </c>
      <c r="W98" s="126">
        <f t="shared" si="127"/>
        <v>1.0189999999999999</v>
      </c>
      <c r="X98" s="126">
        <f t="shared" si="127"/>
        <v>1.0189999999999999</v>
      </c>
      <c r="Y98" s="126">
        <f t="shared" si="127"/>
        <v>1.0189999999999999</v>
      </c>
      <c r="Z98" s="126">
        <f t="shared" si="127"/>
        <v>1.0189999999999999</v>
      </c>
      <c r="AA98" s="126">
        <f t="shared" si="127"/>
        <v>1.0189999999999999</v>
      </c>
      <c r="AB98" s="126">
        <f t="shared" si="127"/>
        <v>1.0189999999999999</v>
      </c>
      <c r="AC98" s="126">
        <f t="shared" si="127"/>
        <v>1.0189999999999999</v>
      </c>
      <c r="AD98" s="126">
        <f t="shared" si="127"/>
        <v>1.0189999999999999</v>
      </c>
      <c r="AE98" s="126">
        <f t="shared" si="127"/>
        <v>1.0189999999999999</v>
      </c>
      <c r="AF98" s="126">
        <f t="shared" si="127"/>
        <v>1.0189999999999999</v>
      </c>
      <c r="AG98" s="126">
        <f t="shared" si="127"/>
        <v>1.0189999999999999</v>
      </c>
      <c r="AH98" s="126">
        <f t="shared" si="87"/>
        <v>1.0189999999999999</v>
      </c>
      <c r="AI98" s="126">
        <f t="shared" si="88"/>
        <v>1.0189999999999999</v>
      </c>
      <c r="AJ98" s="126">
        <f t="shared" si="89"/>
        <v>1.0189999999999999</v>
      </c>
      <c r="AK98" s="126">
        <f t="shared" si="90"/>
        <v>1.0189999999999999</v>
      </c>
      <c r="AL98" s="126">
        <f t="shared" si="91"/>
        <v>1.0189999999999999</v>
      </c>
      <c r="AM98" s="126">
        <f t="shared" si="92"/>
        <v>1.0189999999999999</v>
      </c>
      <c r="AN98" s="126">
        <f t="shared" si="93"/>
        <v>1.0189999999999999</v>
      </c>
      <c r="AO98" s="126">
        <f t="shared" si="94"/>
        <v>1.0189999999999999</v>
      </c>
      <c r="AP98" s="126">
        <f t="shared" si="95"/>
        <v>1.0189999999999999</v>
      </c>
      <c r="AQ98" s="126">
        <f t="shared" si="96"/>
        <v>1.0189999999999999</v>
      </c>
      <c r="AR98" s="126">
        <f t="shared" si="97"/>
        <v>1.0189999999999999</v>
      </c>
      <c r="AS98" s="126">
        <f t="shared" si="98"/>
        <v>1.0189999999999999</v>
      </c>
      <c r="AT98" s="126">
        <f t="shared" si="99"/>
        <v>1.0189999999999999</v>
      </c>
      <c r="AU98" s="126">
        <f t="shared" si="100"/>
        <v>1.0189999999999999</v>
      </c>
      <c r="AV98" s="126">
        <f t="shared" si="101"/>
        <v>1.0189999999999999</v>
      </c>
      <c r="AW98" s="126">
        <f t="shared" si="102"/>
        <v>1.0189999999999999</v>
      </c>
      <c r="AX98" s="126">
        <f t="shared" si="103"/>
        <v>1.0189999999999999</v>
      </c>
      <c r="AY98" s="126">
        <f t="shared" si="104"/>
        <v>1.0189999999999999</v>
      </c>
      <c r="AZ98" s="126">
        <f t="shared" si="105"/>
        <v>1.0189999999999999</v>
      </c>
      <c r="BA98" s="126">
        <f t="shared" si="106"/>
        <v>1.0189999999999999</v>
      </c>
      <c r="BB98" s="126">
        <f t="shared" si="107"/>
        <v>1.0189999999999999</v>
      </c>
      <c r="BC98" s="126">
        <f t="shared" si="107"/>
        <v>1.0189999999999999</v>
      </c>
    </row>
    <row r="99" spans="2:55">
      <c r="B99" s="6" t="str">
        <f t="shared" si="85"/>
        <v>Hydrogel dressing</v>
      </c>
      <c r="C99" s="126">
        <f t="shared" ref="C99:AG99" si="128">(IF(C$77&lt;$C$75, -1, 1) *D48)+1</f>
        <v>0.98099999999999998</v>
      </c>
      <c r="D99" s="126">
        <f t="shared" si="128"/>
        <v>0.98099999999999998</v>
      </c>
      <c r="E99" s="126">
        <f t="shared" si="128"/>
        <v>0.98099999999999998</v>
      </c>
      <c r="F99" s="126">
        <f t="shared" si="128"/>
        <v>0.98099999999999998</v>
      </c>
      <c r="G99" s="126">
        <f t="shared" si="128"/>
        <v>0.98099999999999998</v>
      </c>
      <c r="H99" s="126">
        <f t="shared" si="128"/>
        <v>0.98099999999999998</v>
      </c>
      <c r="I99" s="126">
        <f t="shared" si="128"/>
        <v>0.98299999999999998</v>
      </c>
      <c r="J99" s="126">
        <f t="shared" si="128"/>
        <v>0.98199999999999998</v>
      </c>
      <c r="K99" s="126">
        <f t="shared" si="128"/>
        <v>1.0209999999999999</v>
      </c>
      <c r="L99" s="126">
        <f t="shared" si="128"/>
        <v>1.0189999999999999</v>
      </c>
      <c r="M99" s="126">
        <f t="shared" si="128"/>
        <v>1.02</v>
      </c>
      <c r="N99" s="126">
        <f t="shared" si="128"/>
        <v>1.0189999999999999</v>
      </c>
      <c r="O99" s="126">
        <f t="shared" si="128"/>
        <v>1.0189999999999999</v>
      </c>
      <c r="P99" s="126">
        <f t="shared" si="128"/>
        <v>1.0189999999999999</v>
      </c>
      <c r="Q99" s="126">
        <f t="shared" si="128"/>
        <v>1.0189999999999999</v>
      </c>
      <c r="R99" s="126">
        <f t="shared" si="128"/>
        <v>1.0189999999999999</v>
      </c>
      <c r="S99" s="126">
        <f t="shared" si="128"/>
        <v>1.0189999999999999</v>
      </c>
      <c r="T99" s="126">
        <f t="shared" si="128"/>
        <v>1.0189999999999999</v>
      </c>
      <c r="U99" s="126">
        <f t="shared" si="128"/>
        <v>1.0189999999999999</v>
      </c>
      <c r="V99" s="126">
        <f t="shared" si="128"/>
        <v>1.0189999999999999</v>
      </c>
      <c r="W99" s="126">
        <f t="shared" si="128"/>
        <v>1.0189999999999999</v>
      </c>
      <c r="X99" s="126">
        <f t="shared" si="128"/>
        <v>1.0189999999999999</v>
      </c>
      <c r="Y99" s="126">
        <f t="shared" si="128"/>
        <v>1.0189999999999999</v>
      </c>
      <c r="Z99" s="126">
        <f t="shared" si="128"/>
        <v>1.0189999999999999</v>
      </c>
      <c r="AA99" s="126">
        <f t="shared" si="128"/>
        <v>1.0189999999999999</v>
      </c>
      <c r="AB99" s="126">
        <f t="shared" si="128"/>
        <v>1.0189999999999999</v>
      </c>
      <c r="AC99" s="126">
        <f t="shared" si="128"/>
        <v>1.0189999999999999</v>
      </c>
      <c r="AD99" s="126">
        <f t="shared" si="128"/>
        <v>1.0189999999999999</v>
      </c>
      <c r="AE99" s="126">
        <f t="shared" si="128"/>
        <v>1.0189999999999999</v>
      </c>
      <c r="AF99" s="126">
        <f t="shared" si="128"/>
        <v>1.0189999999999999</v>
      </c>
      <c r="AG99" s="126">
        <f t="shared" si="128"/>
        <v>1.0189999999999999</v>
      </c>
      <c r="AH99" s="126">
        <f t="shared" si="87"/>
        <v>1.0189999999999999</v>
      </c>
      <c r="AI99" s="126">
        <f t="shared" si="88"/>
        <v>1.0189999999999999</v>
      </c>
      <c r="AJ99" s="126">
        <f t="shared" si="89"/>
        <v>1.0189999999999999</v>
      </c>
      <c r="AK99" s="126">
        <f t="shared" si="90"/>
        <v>1.0189999999999999</v>
      </c>
      <c r="AL99" s="126">
        <f t="shared" si="91"/>
        <v>1.0189999999999999</v>
      </c>
      <c r="AM99" s="126">
        <f t="shared" si="92"/>
        <v>1.0189999999999999</v>
      </c>
      <c r="AN99" s="126">
        <f t="shared" si="93"/>
        <v>1.0189999999999999</v>
      </c>
      <c r="AO99" s="126">
        <f t="shared" si="94"/>
        <v>1.0189999999999999</v>
      </c>
      <c r="AP99" s="126">
        <f t="shared" si="95"/>
        <v>1.0189999999999999</v>
      </c>
      <c r="AQ99" s="126">
        <f t="shared" si="96"/>
        <v>1.0189999999999999</v>
      </c>
      <c r="AR99" s="126">
        <f t="shared" si="97"/>
        <v>1.0189999999999999</v>
      </c>
      <c r="AS99" s="126">
        <f t="shared" si="98"/>
        <v>1.0189999999999999</v>
      </c>
      <c r="AT99" s="126">
        <f t="shared" si="99"/>
        <v>1.0189999999999999</v>
      </c>
      <c r="AU99" s="126">
        <f t="shared" si="100"/>
        <v>1.0189999999999999</v>
      </c>
      <c r="AV99" s="126">
        <f t="shared" si="101"/>
        <v>1.0189999999999999</v>
      </c>
      <c r="AW99" s="126">
        <f t="shared" si="102"/>
        <v>1.0189999999999999</v>
      </c>
      <c r="AX99" s="126">
        <f t="shared" si="103"/>
        <v>1.0189999999999999</v>
      </c>
      <c r="AY99" s="126">
        <f t="shared" si="104"/>
        <v>1.0189999999999999</v>
      </c>
      <c r="AZ99" s="126">
        <f t="shared" si="105"/>
        <v>1.0189999999999999</v>
      </c>
      <c r="BA99" s="126">
        <f t="shared" si="106"/>
        <v>1.0189999999999999</v>
      </c>
      <c r="BB99" s="126">
        <f t="shared" si="107"/>
        <v>1.0189999999999999</v>
      </c>
      <c r="BC99" s="126">
        <f t="shared" si="107"/>
        <v>1.0189999999999999</v>
      </c>
    </row>
    <row r="100" spans="2:55">
      <c r="B100" s="6" t="str">
        <f t="shared" si="85"/>
        <v>Low-adherence dressing</v>
      </c>
      <c r="C100" s="126">
        <f t="shared" ref="C100:AG100" si="129">(IF(C$77&lt;$C$75, -1, 1) *D49)+1</f>
        <v>0.98099999999999998</v>
      </c>
      <c r="D100" s="126">
        <f t="shared" si="129"/>
        <v>0.98099999999999998</v>
      </c>
      <c r="E100" s="126">
        <f t="shared" si="129"/>
        <v>0.98099999999999998</v>
      </c>
      <c r="F100" s="126">
        <f t="shared" si="129"/>
        <v>0.98099999999999998</v>
      </c>
      <c r="G100" s="126">
        <f t="shared" si="129"/>
        <v>0.98099999999999998</v>
      </c>
      <c r="H100" s="126">
        <f t="shared" si="129"/>
        <v>0.98099999999999998</v>
      </c>
      <c r="I100" s="126">
        <f t="shared" si="129"/>
        <v>0.98299999999999998</v>
      </c>
      <c r="J100" s="126">
        <f t="shared" si="129"/>
        <v>0.98199999999999998</v>
      </c>
      <c r="K100" s="126">
        <f t="shared" si="129"/>
        <v>1.0209999999999999</v>
      </c>
      <c r="L100" s="126">
        <f t="shared" si="129"/>
        <v>1.0189999999999999</v>
      </c>
      <c r="M100" s="126">
        <f t="shared" si="129"/>
        <v>1.02</v>
      </c>
      <c r="N100" s="126">
        <f t="shared" si="129"/>
        <v>1.0189999999999999</v>
      </c>
      <c r="O100" s="126">
        <f t="shared" si="129"/>
        <v>1.0189999999999999</v>
      </c>
      <c r="P100" s="126">
        <f t="shared" si="129"/>
        <v>1.0189999999999999</v>
      </c>
      <c r="Q100" s="126">
        <f t="shared" si="129"/>
        <v>1.0189999999999999</v>
      </c>
      <c r="R100" s="126">
        <f t="shared" si="129"/>
        <v>1.0189999999999999</v>
      </c>
      <c r="S100" s="126">
        <f t="shared" si="129"/>
        <v>1.0189999999999999</v>
      </c>
      <c r="T100" s="126">
        <f t="shared" si="129"/>
        <v>1.0189999999999999</v>
      </c>
      <c r="U100" s="126">
        <f t="shared" si="129"/>
        <v>1.0189999999999999</v>
      </c>
      <c r="V100" s="126">
        <f t="shared" si="129"/>
        <v>1.0189999999999999</v>
      </c>
      <c r="W100" s="126">
        <f t="shared" si="129"/>
        <v>1.0189999999999999</v>
      </c>
      <c r="X100" s="126">
        <f t="shared" si="129"/>
        <v>1.0189999999999999</v>
      </c>
      <c r="Y100" s="126">
        <f t="shared" si="129"/>
        <v>1.0189999999999999</v>
      </c>
      <c r="Z100" s="126">
        <f t="shared" si="129"/>
        <v>1.0189999999999999</v>
      </c>
      <c r="AA100" s="126">
        <f t="shared" si="129"/>
        <v>1.0189999999999999</v>
      </c>
      <c r="AB100" s="126">
        <f t="shared" si="129"/>
        <v>1.0189999999999999</v>
      </c>
      <c r="AC100" s="126">
        <f t="shared" si="129"/>
        <v>1.0189999999999999</v>
      </c>
      <c r="AD100" s="126">
        <f t="shared" si="129"/>
        <v>1.0189999999999999</v>
      </c>
      <c r="AE100" s="126">
        <f t="shared" si="129"/>
        <v>1.0189999999999999</v>
      </c>
      <c r="AF100" s="126">
        <f t="shared" si="129"/>
        <v>1.0189999999999999</v>
      </c>
      <c r="AG100" s="126">
        <f t="shared" si="129"/>
        <v>1.0189999999999999</v>
      </c>
      <c r="AH100" s="126">
        <f t="shared" si="87"/>
        <v>1.0189999999999999</v>
      </c>
      <c r="AI100" s="126">
        <f t="shared" si="88"/>
        <v>1.0189999999999999</v>
      </c>
      <c r="AJ100" s="126">
        <f t="shared" si="89"/>
        <v>1.0189999999999999</v>
      </c>
      <c r="AK100" s="126">
        <f t="shared" si="90"/>
        <v>1.0189999999999999</v>
      </c>
      <c r="AL100" s="126">
        <f t="shared" si="91"/>
        <v>1.0189999999999999</v>
      </c>
      <c r="AM100" s="126">
        <f t="shared" si="92"/>
        <v>1.0189999999999999</v>
      </c>
      <c r="AN100" s="126">
        <f t="shared" si="93"/>
        <v>1.0189999999999999</v>
      </c>
      <c r="AO100" s="126">
        <f t="shared" si="94"/>
        <v>1.0189999999999999</v>
      </c>
      <c r="AP100" s="126">
        <f t="shared" si="95"/>
        <v>1.0189999999999999</v>
      </c>
      <c r="AQ100" s="126">
        <f t="shared" si="96"/>
        <v>1.0189999999999999</v>
      </c>
      <c r="AR100" s="126">
        <f t="shared" si="97"/>
        <v>1.0189999999999999</v>
      </c>
      <c r="AS100" s="126">
        <f t="shared" si="98"/>
        <v>1.0189999999999999</v>
      </c>
      <c r="AT100" s="126">
        <f t="shared" si="99"/>
        <v>1.0189999999999999</v>
      </c>
      <c r="AU100" s="126">
        <f t="shared" si="100"/>
        <v>1.0189999999999999</v>
      </c>
      <c r="AV100" s="126">
        <f t="shared" si="101"/>
        <v>1.0189999999999999</v>
      </c>
      <c r="AW100" s="126">
        <f t="shared" si="102"/>
        <v>1.0189999999999999</v>
      </c>
      <c r="AX100" s="126">
        <f t="shared" si="103"/>
        <v>1.0189999999999999</v>
      </c>
      <c r="AY100" s="126">
        <f t="shared" si="104"/>
        <v>1.0189999999999999</v>
      </c>
      <c r="AZ100" s="126">
        <f t="shared" si="105"/>
        <v>1.0189999999999999</v>
      </c>
      <c r="BA100" s="126">
        <f t="shared" si="106"/>
        <v>1.0189999999999999</v>
      </c>
      <c r="BB100" s="126">
        <f t="shared" si="107"/>
        <v>1.0189999999999999</v>
      </c>
      <c r="BC100" s="126">
        <f t="shared" si="107"/>
        <v>1.0189999999999999</v>
      </c>
    </row>
    <row r="101" spans="2:55">
      <c r="B101" s="6" t="str">
        <f t="shared" si="85"/>
        <v>Odour absorbent dressing</v>
      </c>
      <c r="C101" s="126">
        <f t="shared" ref="C101:AG101" si="130">(IF(C$77&lt;$C$75, -1, 1) *D50)+1</f>
        <v>0.98099999999999998</v>
      </c>
      <c r="D101" s="126">
        <f t="shared" si="130"/>
        <v>0.98099999999999998</v>
      </c>
      <c r="E101" s="126">
        <f t="shared" si="130"/>
        <v>0.98099999999999998</v>
      </c>
      <c r="F101" s="126">
        <f t="shared" si="130"/>
        <v>0.98099999999999998</v>
      </c>
      <c r="G101" s="126">
        <f t="shared" si="130"/>
        <v>0.98099999999999998</v>
      </c>
      <c r="H101" s="126">
        <f t="shared" si="130"/>
        <v>0.98099999999999998</v>
      </c>
      <c r="I101" s="126">
        <f t="shared" si="130"/>
        <v>0.98299999999999998</v>
      </c>
      <c r="J101" s="126">
        <f t="shared" si="130"/>
        <v>0.98199999999999998</v>
      </c>
      <c r="K101" s="126">
        <f t="shared" si="130"/>
        <v>1.0209999999999999</v>
      </c>
      <c r="L101" s="126">
        <f t="shared" si="130"/>
        <v>1.0189999999999999</v>
      </c>
      <c r="M101" s="126">
        <f t="shared" si="130"/>
        <v>1.02</v>
      </c>
      <c r="N101" s="126">
        <f t="shared" si="130"/>
        <v>1.0189999999999999</v>
      </c>
      <c r="O101" s="126">
        <f t="shared" si="130"/>
        <v>1.0189999999999999</v>
      </c>
      <c r="P101" s="126">
        <f t="shared" si="130"/>
        <v>1.0189999999999999</v>
      </c>
      <c r="Q101" s="126">
        <f t="shared" si="130"/>
        <v>1.0189999999999999</v>
      </c>
      <c r="R101" s="126">
        <f t="shared" si="130"/>
        <v>1.0189999999999999</v>
      </c>
      <c r="S101" s="126">
        <f t="shared" si="130"/>
        <v>1.0189999999999999</v>
      </c>
      <c r="T101" s="126">
        <f t="shared" si="130"/>
        <v>1.0189999999999999</v>
      </c>
      <c r="U101" s="126">
        <f t="shared" si="130"/>
        <v>1.0189999999999999</v>
      </c>
      <c r="V101" s="126">
        <f t="shared" si="130"/>
        <v>1.0189999999999999</v>
      </c>
      <c r="W101" s="126">
        <f t="shared" si="130"/>
        <v>1.0189999999999999</v>
      </c>
      <c r="X101" s="126">
        <f t="shared" si="130"/>
        <v>1.0189999999999999</v>
      </c>
      <c r="Y101" s="126">
        <f t="shared" si="130"/>
        <v>1.0189999999999999</v>
      </c>
      <c r="Z101" s="126">
        <f t="shared" si="130"/>
        <v>1.0189999999999999</v>
      </c>
      <c r="AA101" s="126">
        <f t="shared" si="130"/>
        <v>1.0189999999999999</v>
      </c>
      <c r="AB101" s="126">
        <f t="shared" si="130"/>
        <v>1.0189999999999999</v>
      </c>
      <c r="AC101" s="126">
        <f t="shared" si="130"/>
        <v>1.0189999999999999</v>
      </c>
      <c r="AD101" s="126">
        <f t="shared" si="130"/>
        <v>1.0189999999999999</v>
      </c>
      <c r="AE101" s="126">
        <f t="shared" si="130"/>
        <v>1.0189999999999999</v>
      </c>
      <c r="AF101" s="126">
        <f t="shared" si="130"/>
        <v>1.0189999999999999</v>
      </c>
      <c r="AG101" s="126">
        <f t="shared" si="130"/>
        <v>1.0189999999999999</v>
      </c>
      <c r="AH101" s="126">
        <f t="shared" si="87"/>
        <v>1.0189999999999999</v>
      </c>
      <c r="AI101" s="126">
        <f t="shared" si="88"/>
        <v>1.0189999999999999</v>
      </c>
      <c r="AJ101" s="126">
        <f t="shared" si="89"/>
        <v>1.0189999999999999</v>
      </c>
      <c r="AK101" s="126">
        <f t="shared" si="90"/>
        <v>1.0189999999999999</v>
      </c>
      <c r="AL101" s="126">
        <f t="shared" si="91"/>
        <v>1.0189999999999999</v>
      </c>
      <c r="AM101" s="126">
        <f t="shared" si="92"/>
        <v>1.0189999999999999</v>
      </c>
      <c r="AN101" s="126">
        <f t="shared" si="93"/>
        <v>1.0189999999999999</v>
      </c>
      <c r="AO101" s="126">
        <f t="shared" si="94"/>
        <v>1.0189999999999999</v>
      </c>
      <c r="AP101" s="126">
        <f t="shared" si="95"/>
        <v>1.0189999999999999</v>
      </c>
      <c r="AQ101" s="126">
        <f t="shared" si="96"/>
        <v>1.0189999999999999</v>
      </c>
      <c r="AR101" s="126">
        <f t="shared" si="97"/>
        <v>1.0189999999999999</v>
      </c>
      <c r="AS101" s="126">
        <f t="shared" si="98"/>
        <v>1.0189999999999999</v>
      </c>
      <c r="AT101" s="126">
        <f t="shared" si="99"/>
        <v>1.0189999999999999</v>
      </c>
      <c r="AU101" s="126">
        <f t="shared" si="100"/>
        <v>1.0189999999999999</v>
      </c>
      <c r="AV101" s="126">
        <f t="shared" si="101"/>
        <v>1.0189999999999999</v>
      </c>
      <c r="AW101" s="126">
        <f t="shared" si="102"/>
        <v>1.0189999999999999</v>
      </c>
      <c r="AX101" s="126">
        <f t="shared" si="103"/>
        <v>1.0189999999999999</v>
      </c>
      <c r="AY101" s="126">
        <f t="shared" si="104"/>
        <v>1.0189999999999999</v>
      </c>
      <c r="AZ101" s="126">
        <f t="shared" si="105"/>
        <v>1.0189999999999999</v>
      </c>
      <c r="BA101" s="126">
        <f t="shared" si="106"/>
        <v>1.0189999999999999</v>
      </c>
      <c r="BB101" s="126">
        <f t="shared" si="107"/>
        <v>1.0189999999999999</v>
      </c>
      <c r="BC101" s="126">
        <f t="shared" si="107"/>
        <v>1.0189999999999999</v>
      </c>
    </row>
    <row r="102" spans="2:55">
      <c r="B102" s="6" t="str">
        <f t="shared" si="85"/>
        <v>Other dressing</v>
      </c>
      <c r="C102" s="126">
        <f t="shared" ref="C102:AG102" si="131">(IF(C$77&lt;$C$75, -1, 1) *D51)+1</f>
        <v>0.98099999999999998</v>
      </c>
      <c r="D102" s="126">
        <f t="shared" si="131"/>
        <v>0.98099999999999998</v>
      </c>
      <c r="E102" s="126">
        <f t="shared" si="131"/>
        <v>0.98099999999999998</v>
      </c>
      <c r="F102" s="126">
        <f t="shared" si="131"/>
        <v>0.98099999999999998</v>
      </c>
      <c r="G102" s="126">
        <f t="shared" si="131"/>
        <v>0.98099999999999998</v>
      </c>
      <c r="H102" s="126">
        <f t="shared" si="131"/>
        <v>0.98099999999999998</v>
      </c>
      <c r="I102" s="126">
        <f t="shared" si="131"/>
        <v>0.98299999999999998</v>
      </c>
      <c r="J102" s="126">
        <f t="shared" si="131"/>
        <v>0.98199999999999998</v>
      </c>
      <c r="K102" s="126">
        <f t="shared" si="131"/>
        <v>1.0209999999999999</v>
      </c>
      <c r="L102" s="126">
        <f t="shared" si="131"/>
        <v>1.0189999999999999</v>
      </c>
      <c r="M102" s="126">
        <f t="shared" si="131"/>
        <v>1.02</v>
      </c>
      <c r="N102" s="126">
        <f t="shared" si="131"/>
        <v>1.0189999999999999</v>
      </c>
      <c r="O102" s="126">
        <f t="shared" si="131"/>
        <v>1.0189999999999999</v>
      </c>
      <c r="P102" s="126">
        <f t="shared" si="131"/>
        <v>1.0189999999999999</v>
      </c>
      <c r="Q102" s="126">
        <f t="shared" si="131"/>
        <v>1.0189999999999999</v>
      </c>
      <c r="R102" s="126">
        <f t="shared" si="131"/>
        <v>1.0189999999999999</v>
      </c>
      <c r="S102" s="126">
        <f t="shared" si="131"/>
        <v>1.0189999999999999</v>
      </c>
      <c r="T102" s="126">
        <f t="shared" si="131"/>
        <v>1.0189999999999999</v>
      </c>
      <c r="U102" s="126">
        <f t="shared" si="131"/>
        <v>1.0189999999999999</v>
      </c>
      <c r="V102" s="126">
        <f t="shared" si="131"/>
        <v>1.0189999999999999</v>
      </c>
      <c r="W102" s="126">
        <f t="shared" si="131"/>
        <v>1.0189999999999999</v>
      </c>
      <c r="X102" s="126">
        <f t="shared" si="131"/>
        <v>1.0189999999999999</v>
      </c>
      <c r="Y102" s="126">
        <f t="shared" si="131"/>
        <v>1.0189999999999999</v>
      </c>
      <c r="Z102" s="126">
        <f t="shared" si="131"/>
        <v>1.0189999999999999</v>
      </c>
      <c r="AA102" s="126">
        <f t="shared" si="131"/>
        <v>1.0189999999999999</v>
      </c>
      <c r="AB102" s="126">
        <f t="shared" si="131"/>
        <v>1.0189999999999999</v>
      </c>
      <c r="AC102" s="126">
        <f t="shared" si="131"/>
        <v>1.0189999999999999</v>
      </c>
      <c r="AD102" s="126">
        <f t="shared" si="131"/>
        <v>1.0189999999999999</v>
      </c>
      <c r="AE102" s="126">
        <f t="shared" si="131"/>
        <v>1.0189999999999999</v>
      </c>
      <c r="AF102" s="126">
        <f t="shared" si="131"/>
        <v>1.0189999999999999</v>
      </c>
      <c r="AG102" s="126">
        <f t="shared" si="131"/>
        <v>1.0189999999999999</v>
      </c>
      <c r="AH102" s="126">
        <f t="shared" si="87"/>
        <v>1.0189999999999999</v>
      </c>
      <c r="AI102" s="126">
        <f t="shared" si="88"/>
        <v>1.0189999999999999</v>
      </c>
      <c r="AJ102" s="126">
        <f t="shared" si="89"/>
        <v>1.0189999999999999</v>
      </c>
      <c r="AK102" s="126">
        <f t="shared" si="90"/>
        <v>1.0189999999999999</v>
      </c>
      <c r="AL102" s="126">
        <f t="shared" si="91"/>
        <v>1.0189999999999999</v>
      </c>
      <c r="AM102" s="126">
        <f t="shared" si="92"/>
        <v>1.0189999999999999</v>
      </c>
      <c r="AN102" s="126">
        <f t="shared" si="93"/>
        <v>1.0189999999999999</v>
      </c>
      <c r="AO102" s="126">
        <f t="shared" si="94"/>
        <v>1.0189999999999999</v>
      </c>
      <c r="AP102" s="126">
        <f t="shared" si="95"/>
        <v>1.0189999999999999</v>
      </c>
      <c r="AQ102" s="126">
        <f t="shared" si="96"/>
        <v>1.0189999999999999</v>
      </c>
      <c r="AR102" s="126">
        <f t="shared" si="97"/>
        <v>1.0189999999999999</v>
      </c>
      <c r="AS102" s="126">
        <f t="shared" si="98"/>
        <v>1.0189999999999999</v>
      </c>
      <c r="AT102" s="126">
        <f t="shared" si="99"/>
        <v>1.0189999999999999</v>
      </c>
      <c r="AU102" s="126">
        <f t="shared" si="100"/>
        <v>1.0189999999999999</v>
      </c>
      <c r="AV102" s="126">
        <f t="shared" si="101"/>
        <v>1.0189999999999999</v>
      </c>
      <c r="AW102" s="126">
        <f t="shared" si="102"/>
        <v>1.0189999999999999</v>
      </c>
      <c r="AX102" s="126">
        <f t="shared" si="103"/>
        <v>1.0189999999999999</v>
      </c>
      <c r="AY102" s="126">
        <f t="shared" si="104"/>
        <v>1.0189999999999999</v>
      </c>
      <c r="AZ102" s="126">
        <f t="shared" si="105"/>
        <v>1.0189999999999999</v>
      </c>
      <c r="BA102" s="126">
        <f t="shared" si="106"/>
        <v>1.0189999999999999</v>
      </c>
      <c r="BB102" s="126">
        <f t="shared" si="107"/>
        <v>1.0189999999999999</v>
      </c>
      <c r="BC102" s="126">
        <f t="shared" si="107"/>
        <v>1.0189999999999999</v>
      </c>
    </row>
    <row r="103" spans="2:55">
      <c r="B103" s="6" t="str">
        <f t="shared" si="85"/>
        <v>Permeable dressing</v>
      </c>
      <c r="C103" s="126">
        <f t="shared" ref="C103:AG103" si="132">(IF(C$77&lt;$C$75, -1, 1) *D52)+1</f>
        <v>0.98099999999999998</v>
      </c>
      <c r="D103" s="126">
        <f t="shared" si="132"/>
        <v>0.98099999999999998</v>
      </c>
      <c r="E103" s="126">
        <f t="shared" si="132"/>
        <v>0.98099999999999998</v>
      </c>
      <c r="F103" s="126">
        <f t="shared" si="132"/>
        <v>0.98099999999999998</v>
      </c>
      <c r="G103" s="126">
        <f t="shared" si="132"/>
        <v>0.98099999999999998</v>
      </c>
      <c r="H103" s="126">
        <f t="shared" si="132"/>
        <v>0.98099999999999998</v>
      </c>
      <c r="I103" s="126">
        <f t="shared" si="132"/>
        <v>0.98299999999999998</v>
      </c>
      <c r="J103" s="126">
        <f t="shared" si="132"/>
        <v>0.98199999999999998</v>
      </c>
      <c r="K103" s="126">
        <f t="shared" si="132"/>
        <v>1.0209999999999999</v>
      </c>
      <c r="L103" s="126">
        <f t="shared" si="132"/>
        <v>1.0189999999999999</v>
      </c>
      <c r="M103" s="126">
        <f t="shared" si="132"/>
        <v>1.02</v>
      </c>
      <c r="N103" s="126">
        <f t="shared" si="132"/>
        <v>1.0189999999999999</v>
      </c>
      <c r="O103" s="126">
        <f t="shared" si="132"/>
        <v>1.0189999999999999</v>
      </c>
      <c r="P103" s="126">
        <f t="shared" si="132"/>
        <v>1.0189999999999999</v>
      </c>
      <c r="Q103" s="126">
        <f t="shared" si="132"/>
        <v>1.0189999999999999</v>
      </c>
      <c r="R103" s="126">
        <f t="shared" si="132"/>
        <v>1.0189999999999999</v>
      </c>
      <c r="S103" s="126">
        <f t="shared" si="132"/>
        <v>1.0189999999999999</v>
      </c>
      <c r="T103" s="126">
        <f t="shared" si="132"/>
        <v>1.0189999999999999</v>
      </c>
      <c r="U103" s="126">
        <f t="shared" si="132"/>
        <v>1.0189999999999999</v>
      </c>
      <c r="V103" s="126">
        <f t="shared" si="132"/>
        <v>1.0189999999999999</v>
      </c>
      <c r="W103" s="126">
        <f t="shared" si="132"/>
        <v>1.0189999999999999</v>
      </c>
      <c r="X103" s="126">
        <f t="shared" si="132"/>
        <v>1.0189999999999999</v>
      </c>
      <c r="Y103" s="126">
        <f t="shared" si="132"/>
        <v>1.0189999999999999</v>
      </c>
      <c r="Z103" s="126">
        <f t="shared" si="132"/>
        <v>1.0189999999999999</v>
      </c>
      <c r="AA103" s="126">
        <f t="shared" si="132"/>
        <v>1.0189999999999999</v>
      </c>
      <c r="AB103" s="126">
        <f t="shared" si="132"/>
        <v>1.0189999999999999</v>
      </c>
      <c r="AC103" s="126">
        <f t="shared" si="132"/>
        <v>1.0189999999999999</v>
      </c>
      <c r="AD103" s="126">
        <f t="shared" si="132"/>
        <v>1.0189999999999999</v>
      </c>
      <c r="AE103" s="126">
        <f t="shared" si="132"/>
        <v>1.0189999999999999</v>
      </c>
      <c r="AF103" s="126">
        <f t="shared" si="132"/>
        <v>1.0189999999999999</v>
      </c>
      <c r="AG103" s="126">
        <f t="shared" si="132"/>
        <v>1.0189999999999999</v>
      </c>
      <c r="AH103" s="126">
        <f t="shared" si="87"/>
        <v>1.0189999999999999</v>
      </c>
      <c r="AI103" s="126">
        <f t="shared" si="88"/>
        <v>1.0189999999999999</v>
      </c>
      <c r="AJ103" s="126">
        <f t="shared" si="89"/>
        <v>1.0189999999999999</v>
      </c>
      <c r="AK103" s="126">
        <f t="shared" si="90"/>
        <v>1.0189999999999999</v>
      </c>
      <c r="AL103" s="126">
        <f t="shared" si="91"/>
        <v>1.0189999999999999</v>
      </c>
      <c r="AM103" s="126">
        <f t="shared" si="92"/>
        <v>1.0189999999999999</v>
      </c>
      <c r="AN103" s="126">
        <f t="shared" si="93"/>
        <v>1.0189999999999999</v>
      </c>
      <c r="AO103" s="126">
        <f t="shared" si="94"/>
        <v>1.0189999999999999</v>
      </c>
      <c r="AP103" s="126">
        <f t="shared" si="95"/>
        <v>1.0189999999999999</v>
      </c>
      <c r="AQ103" s="126">
        <f t="shared" si="96"/>
        <v>1.0189999999999999</v>
      </c>
      <c r="AR103" s="126">
        <f t="shared" si="97"/>
        <v>1.0189999999999999</v>
      </c>
      <c r="AS103" s="126">
        <f t="shared" si="98"/>
        <v>1.0189999999999999</v>
      </c>
      <c r="AT103" s="126">
        <f t="shared" si="99"/>
        <v>1.0189999999999999</v>
      </c>
      <c r="AU103" s="126">
        <f t="shared" si="100"/>
        <v>1.0189999999999999</v>
      </c>
      <c r="AV103" s="126">
        <f t="shared" si="101"/>
        <v>1.0189999999999999</v>
      </c>
      <c r="AW103" s="126">
        <f t="shared" si="102"/>
        <v>1.0189999999999999</v>
      </c>
      <c r="AX103" s="126">
        <f t="shared" si="103"/>
        <v>1.0189999999999999</v>
      </c>
      <c r="AY103" s="126">
        <f t="shared" si="104"/>
        <v>1.0189999999999999</v>
      </c>
      <c r="AZ103" s="126">
        <f t="shared" si="105"/>
        <v>1.0189999999999999</v>
      </c>
      <c r="BA103" s="126">
        <f t="shared" si="106"/>
        <v>1.0189999999999999</v>
      </c>
      <c r="BB103" s="126">
        <f t="shared" si="107"/>
        <v>1.0189999999999999</v>
      </c>
      <c r="BC103" s="126">
        <f t="shared" si="107"/>
        <v>1.0189999999999999</v>
      </c>
    </row>
    <row r="104" spans="2:55">
      <c r="B104" s="6" t="str">
        <f t="shared" si="85"/>
        <v>Soft polymer dressing</v>
      </c>
      <c r="C104" s="126">
        <f t="shared" ref="C104:AG104" si="133">(IF(C$77&lt;$C$75, -1, 1) *D53)+1</f>
        <v>0.98099999999999998</v>
      </c>
      <c r="D104" s="126">
        <f t="shared" si="133"/>
        <v>0.98099999999999998</v>
      </c>
      <c r="E104" s="126">
        <f t="shared" si="133"/>
        <v>0.98099999999999998</v>
      </c>
      <c r="F104" s="126">
        <f t="shared" si="133"/>
        <v>0.98099999999999998</v>
      </c>
      <c r="G104" s="126">
        <f t="shared" si="133"/>
        <v>0.98099999999999998</v>
      </c>
      <c r="H104" s="126">
        <f t="shared" si="133"/>
        <v>0.98099999999999998</v>
      </c>
      <c r="I104" s="126">
        <f t="shared" si="133"/>
        <v>0.98299999999999998</v>
      </c>
      <c r="J104" s="126">
        <f t="shared" si="133"/>
        <v>0.98199999999999998</v>
      </c>
      <c r="K104" s="126">
        <f t="shared" si="133"/>
        <v>1.0209999999999999</v>
      </c>
      <c r="L104" s="126">
        <f t="shared" si="133"/>
        <v>1.0189999999999999</v>
      </c>
      <c r="M104" s="126">
        <f t="shared" si="133"/>
        <v>1.02</v>
      </c>
      <c r="N104" s="126">
        <f t="shared" si="133"/>
        <v>1.0189999999999999</v>
      </c>
      <c r="O104" s="126">
        <f t="shared" si="133"/>
        <v>1.0189999999999999</v>
      </c>
      <c r="P104" s="126">
        <f t="shared" si="133"/>
        <v>1.0189999999999999</v>
      </c>
      <c r="Q104" s="126">
        <f t="shared" si="133"/>
        <v>1.0189999999999999</v>
      </c>
      <c r="R104" s="126">
        <f t="shared" si="133"/>
        <v>1.0189999999999999</v>
      </c>
      <c r="S104" s="126">
        <f t="shared" si="133"/>
        <v>1.0189999999999999</v>
      </c>
      <c r="T104" s="126">
        <f t="shared" si="133"/>
        <v>1.0189999999999999</v>
      </c>
      <c r="U104" s="126">
        <f t="shared" si="133"/>
        <v>1.0189999999999999</v>
      </c>
      <c r="V104" s="126">
        <f t="shared" si="133"/>
        <v>1.0189999999999999</v>
      </c>
      <c r="W104" s="126">
        <f t="shared" si="133"/>
        <v>1.0189999999999999</v>
      </c>
      <c r="X104" s="126">
        <f t="shared" si="133"/>
        <v>1.0189999999999999</v>
      </c>
      <c r="Y104" s="126">
        <f t="shared" si="133"/>
        <v>1.0189999999999999</v>
      </c>
      <c r="Z104" s="126">
        <f t="shared" si="133"/>
        <v>1.0189999999999999</v>
      </c>
      <c r="AA104" s="126">
        <f t="shared" si="133"/>
        <v>1.0189999999999999</v>
      </c>
      <c r="AB104" s="126">
        <f t="shared" si="133"/>
        <v>1.0189999999999999</v>
      </c>
      <c r="AC104" s="126">
        <f t="shared" si="133"/>
        <v>1.0189999999999999</v>
      </c>
      <c r="AD104" s="126">
        <f t="shared" si="133"/>
        <v>1.0189999999999999</v>
      </c>
      <c r="AE104" s="126">
        <f t="shared" si="133"/>
        <v>1.0189999999999999</v>
      </c>
      <c r="AF104" s="126">
        <f t="shared" si="133"/>
        <v>1.0189999999999999</v>
      </c>
      <c r="AG104" s="126">
        <f t="shared" si="133"/>
        <v>1.0189999999999999</v>
      </c>
      <c r="AH104" s="126">
        <f t="shared" si="87"/>
        <v>1.0189999999999999</v>
      </c>
      <c r="AI104" s="126">
        <f t="shared" si="88"/>
        <v>1.0189999999999999</v>
      </c>
      <c r="AJ104" s="126">
        <f t="shared" si="89"/>
        <v>1.0189999999999999</v>
      </c>
      <c r="AK104" s="126">
        <f t="shared" si="90"/>
        <v>1.0189999999999999</v>
      </c>
      <c r="AL104" s="126">
        <f t="shared" si="91"/>
        <v>1.0189999999999999</v>
      </c>
      <c r="AM104" s="126">
        <f t="shared" si="92"/>
        <v>1.0189999999999999</v>
      </c>
      <c r="AN104" s="126">
        <f t="shared" si="93"/>
        <v>1.0189999999999999</v>
      </c>
      <c r="AO104" s="126">
        <f t="shared" si="94"/>
        <v>1.0189999999999999</v>
      </c>
      <c r="AP104" s="126">
        <f t="shared" si="95"/>
        <v>1.0189999999999999</v>
      </c>
      <c r="AQ104" s="126">
        <f t="shared" si="96"/>
        <v>1.0189999999999999</v>
      </c>
      <c r="AR104" s="126">
        <f t="shared" si="97"/>
        <v>1.0189999999999999</v>
      </c>
      <c r="AS104" s="126">
        <f t="shared" si="98"/>
        <v>1.0189999999999999</v>
      </c>
      <c r="AT104" s="126">
        <f t="shared" si="99"/>
        <v>1.0189999999999999</v>
      </c>
      <c r="AU104" s="126">
        <f t="shared" si="100"/>
        <v>1.0189999999999999</v>
      </c>
      <c r="AV104" s="126">
        <f t="shared" si="101"/>
        <v>1.0189999999999999</v>
      </c>
      <c r="AW104" s="126">
        <f t="shared" si="102"/>
        <v>1.0189999999999999</v>
      </c>
      <c r="AX104" s="126">
        <f t="shared" si="103"/>
        <v>1.0189999999999999</v>
      </c>
      <c r="AY104" s="126">
        <f t="shared" si="104"/>
        <v>1.0189999999999999</v>
      </c>
      <c r="AZ104" s="126">
        <f t="shared" si="105"/>
        <v>1.0189999999999999</v>
      </c>
      <c r="BA104" s="126">
        <f t="shared" si="106"/>
        <v>1.0189999999999999</v>
      </c>
      <c r="BB104" s="126">
        <f t="shared" si="107"/>
        <v>1.0189999999999999</v>
      </c>
      <c r="BC104" s="126">
        <f t="shared" si="107"/>
        <v>1.0189999999999999</v>
      </c>
    </row>
    <row r="105" spans="2:55">
      <c r="B105" s="6" t="str">
        <f t="shared" si="85"/>
        <v>Bandages</v>
      </c>
      <c r="C105" s="126">
        <f t="shared" ref="C105:AG105" si="134">(IF(C$77&lt;$C$75, -1, 1) *D54)+1</f>
        <v>0.98099999999999998</v>
      </c>
      <c r="D105" s="126">
        <f t="shared" si="134"/>
        <v>0.98099999999999998</v>
      </c>
      <c r="E105" s="126">
        <f t="shared" si="134"/>
        <v>0.98099999999999998</v>
      </c>
      <c r="F105" s="126">
        <f t="shared" si="134"/>
        <v>0.98099999999999998</v>
      </c>
      <c r="G105" s="126">
        <f t="shared" si="134"/>
        <v>0.98099999999999998</v>
      </c>
      <c r="H105" s="126">
        <f t="shared" si="134"/>
        <v>0.98099999999999998</v>
      </c>
      <c r="I105" s="126">
        <f t="shared" si="134"/>
        <v>0.98299999999999998</v>
      </c>
      <c r="J105" s="126">
        <f t="shared" si="134"/>
        <v>0.98199999999999998</v>
      </c>
      <c r="K105" s="126">
        <f t="shared" si="134"/>
        <v>1.0209999999999999</v>
      </c>
      <c r="L105" s="126">
        <f t="shared" si="134"/>
        <v>1.0189999999999999</v>
      </c>
      <c r="M105" s="126">
        <f t="shared" si="134"/>
        <v>1.02</v>
      </c>
      <c r="N105" s="126">
        <f t="shared" si="134"/>
        <v>1.0189999999999999</v>
      </c>
      <c r="O105" s="126">
        <f t="shared" si="134"/>
        <v>1.0189999999999999</v>
      </c>
      <c r="P105" s="126">
        <f t="shared" si="134"/>
        <v>1.0189999999999999</v>
      </c>
      <c r="Q105" s="126">
        <f t="shared" si="134"/>
        <v>1.0189999999999999</v>
      </c>
      <c r="R105" s="126">
        <f t="shared" si="134"/>
        <v>1.0189999999999999</v>
      </c>
      <c r="S105" s="126">
        <f t="shared" si="134"/>
        <v>1.0189999999999999</v>
      </c>
      <c r="T105" s="126">
        <f t="shared" si="134"/>
        <v>1.0189999999999999</v>
      </c>
      <c r="U105" s="126">
        <f t="shared" si="134"/>
        <v>1.0189999999999999</v>
      </c>
      <c r="V105" s="126">
        <f t="shared" si="134"/>
        <v>1.0189999999999999</v>
      </c>
      <c r="W105" s="126">
        <f t="shared" si="134"/>
        <v>1.0189999999999999</v>
      </c>
      <c r="X105" s="126">
        <f t="shared" si="134"/>
        <v>1.0189999999999999</v>
      </c>
      <c r="Y105" s="126">
        <f t="shared" si="134"/>
        <v>1.0189999999999999</v>
      </c>
      <c r="Z105" s="126">
        <f t="shared" si="134"/>
        <v>1.0189999999999999</v>
      </c>
      <c r="AA105" s="126">
        <f t="shared" si="134"/>
        <v>1.0189999999999999</v>
      </c>
      <c r="AB105" s="126">
        <f t="shared" si="134"/>
        <v>1.0189999999999999</v>
      </c>
      <c r="AC105" s="126">
        <f t="shared" si="134"/>
        <v>1.0189999999999999</v>
      </c>
      <c r="AD105" s="126">
        <f t="shared" si="134"/>
        <v>1.0189999999999999</v>
      </c>
      <c r="AE105" s="126">
        <f t="shared" si="134"/>
        <v>1.0189999999999999</v>
      </c>
      <c r="AF105" s="126">
        <f t="shared" si="134"/>
        <v>1.0189999999999999</v>
      </c>
      <c r="AG105" s="126">
        <f t="shared" si="134"/>
        <v>1.0189999999999999</v>
      </c>
      <c r="AH105" s="126">
        <f t="shared" si="87"/>
        <v>1.0189999999999999</v>
      </c>
      <c r="AI105" s="126">
        <f t="shared" si="88"/>
        <v>1.0189999999999999</v>
      </c>
      <c r="AJ105" s="126">
        <f t="shared" si="89"/>
        <v>1.0189999999999999</v>
      </c>
      <c r="AK105" s="126">
        <f t="shared" si="90"/>
        <v>1.0189999999999999</v>
      </c>
      <c r="AL105" s="126">
        <f t="shared" si="91"/>
        <v>1.0189999999999999</v>
      </c>
      <c r="AM105" s="126">
        <f t="shared" si="92"/>
        <v>1.0189999999999999</v>
      </c>
      <c r="AN105" s="126">
        <f t="shared" si="93"/>
        <v>1.0189999999999999</v>
      </c>
      <c r="AO105" s="126">
        <f t="shared" si="94"/>
        <v>1.0189999999999999</v>
      </c>
      <c r="AP105" s="126">
        <f t="shared" si="95"/>
        <v>1.0189999999999999</v>
      </c>
      <c r="AQ105" s="126">
        <f t="shared" si="96"/>
        <v>1.0189999999999999</v>
      </c>
      <c r="AR105" s="126">
        <f t="shared" si="97"/>
        <v>1.0189999999999999</v>
      </c>
      <c r="AS105" s="126">
        <f t="shared" si="98"/>
        <v>1.0189999999999999</v>
      </c>
      <c r="AT105" s="126">
        <f t="shared" si="99"/>
        <v>1.0189999999999999</v>
      </c>
      <c r="AU105" s="126">
        <f t="shared" si="100"/>
        <v>1.0189999999999999</v>
      </c>
      <c r="AV105" s="126">
        <f t="shared" si="101"/>
        <v>1.0189999999999999</v>
      </c>
      <c r="AW105" s="126">
        <f t="shared" si="102"/>
        <v>1.0189999999999999</v>
      </c>
      <c r="AX105" s="126">
        <f t="shared" si="103"/>
        <v>1.0189999999999999</v>
      </c>
      <c r="AY105" s="126">
        <f t="shared" si="104"/>
        <v>1.0189999999999999</v>
      </c>
      <c r="AZ105" s="126">
        <f t="shared" si="105"/>
        <v>1.0189999999999999</v>
      </c>
      <c r="BA105" s="126">
        <f t="shared" si="106"/>
        <v>1.0189999999999999</v>
      </c>
      <c r="BB105" s="126">
        <f t="shared" si="107"/>
        <v>1.0189999999999999</v>
      </c>
      <c r="BC105" s="126">
        <f t="shared" si="107"/>
        <v>1.0189999999999999</v>
      </c>
    </row>
    <row r="106" spans="2:55">
      <c r="B106" s="6" t="str">
        <f t="shared" si="85"/>
        <v>Compression systems</v>
      </c>
      <c r="C106" s="126">
        <f t="shared" ref="C106:AG106" si="135">(IF(C$77&lt;$C$75, -1, 1) *D55)+1</f>
        <v>0.98099999999999998</v>
      </c>
      <c r="D106" s="126">
        <f t="shared" si="135"/>
        <v>0.98099999999999998</v>
      </c>
      <c r="E106" s="126">
        <f t="shared" si="135"/>
        <v>0.98099999999999998</v>
      </c>
      <c r="F106" s="126">
        <f t="shared" si="135"/>
        <v>0.98099999999999998</v>
      </c>
      <c r="G106" s="126">
        <f t="shared" si="135"/>
        <v>0.98099999999999998</v>
      </c>
      <c r="H106" s="126">
        <f t="shared" si="135"/>
        <v>0.98099999999999998</v>
      </c>
      <c r="I106" s="126">
        <f t="shared" si="135"/>
        <v>0.98299999999999998</v>
      </c>
      <c r="J106" s="126">
        <f t="shared" si="135"/>
        <v>0.98199999999999998</v>
      </c>
      <c r="K106" s="126">
        <f t="shared" si="135"/>
        <v>1.0209999999999999</v>
      </c>
      <c r="L106" s="126">
        <f t="shared" si="135"/>
        <v>1.0189999999999999</v>
      </c>
      <c r="M106" s="126">
        <f t="shared" si="135"/>
        <v>1.02</v>
      </c>
      <c r="N106" s="126">
        <f t="shared" si="135"/>
        <v>1.0189999999999999</v>
      </c>
      <c r="O106" s="126">
        <f t="shared" si="135"/>
        <v>1.0189999999999999</v>
      </c>
      <c r="P106" s="126">
        <f t="shared" si="135"/>
        <v>1.0189999999999999</v>
      </c>
      <c r="Q106" s="126">
        <f t="shared" si="135"/>
        <v>1.0189999999999999</v>
      </c>
      <c r="R106" s="126">
        <f t="shared" si="135"/>
        <v>1.0189999999999999</v>
      </c>
      <c r="S106" s="126">
        <f t="shared" si="135"/>
        <v>1.0189999999999999</v>
      </c>
      <c r="T106" s="126">
        <f t="shared" si="135"/>
        <v>1.0189999999999999</v>
      </c>
      <c r="U106" s="126">
        <f t="shared" si="135"/>
        <v>1.0189999999999999</v>
      </c>
      <c r="V106" s="126">
        <f t="shared" si="135"/>
        <v>1.0189999999999999</v>
      </c>
      <c r="W106" s="126">
        <f t="shared" si="135"/>
        <v>1.0189999999999999</v>
      </c>
      <c r="X106" s="126">
        <f t="shared" si="135"/>
        <v>1.0189999999999999</v>
      </c>
      <c r="Y106" s="126">
        <f t="shared" si="135"/>
        <v>1.0189999999999999</v>
      </c>
      <c r="Z106" s="126">
        <f t="shared" si="135"/>
        <v>1.0189999999999999</v>
      </c>
      <c r="AA106" s="126">
        <f t="shared" si="135"/>
        <v>1.0189999999999999</v>
      </c>
      <c r="AB106" s="126">
        <f t="shared" si="135"/>
        <v>1.0189999999999999</v>
      </c>
      <c r="AC106" s="126">
        <f t="shared" si="135"/>
        <v>1.0189999999999999</v>
      </c>
      <c r="AD106" s="126">
        <f t="shared" si="135"/>
        <v>1.0189999999999999</v>
      </c>
      <c r="AE106" s="126">
        <f t="shared" si="135"/>
        <v>1.0189999999999999</v>
      </c>
      <c r="AF106" s="126">
        <f t="shared" si="135"/>
        <v>1.0189999999999999</v>
      </c>
      <c r="AG106" s="126">
        <f t="shared" si="135"/>
        <v>1.0189999999999999</v>
      </c>
      <c r="AH106" s="126">
        <f t="shared" si="87"/>
        <v>1.0189999999999999</v>
      </c>
      <c r="AI106" s="126">
        <f t="shared" si="88"/>
        <v>1.0189999999999999</v>
      </c>
      <c r="AJ106" s="126">
        <f t="shared" si="89"/>
        <v>1.0189999999999999</v>
      </c>
      <c r="AK106" s="126">
        <f t="shared" si="90"/>
        <v>1.0189999999999999</v>
      </c>
      <c r="AL106" s="126">
        <f t="shared" si="91"/>
        <v>1.0189999999999999</v>
      </c>
      <c r="AM106" s="126">
        <f t="shared" si="92"/>
        <v>1.0189999999999999</v>
      </c>
      <c r="AN106" s="126">
        <f t="shared" si="93"/>
        <v>1.0189999999999999</v>
      </c>
      <c r="AO106" s="126">
        <f t="shared" si="94"/>
        <v>1.0189999999999999</v>
      </c>
      <c r="AP106" s="126">
        <f t="shared" si="95"/>
        <v>1.0189999999999999</v>
      </c>
      <c r="AQ106" s="126">
        <f t="shared" si="96"/>
        <v>1.0189999999999999</v>
      </c>
      <c r="AR106" s="126">
        <f t="shared" si="97"/>
        <v>1.0189999999999999</v>
      </c>
      <c r="AS106" s="126">
        <f t="shared" si="98"/>
        <v>1.0189999999999999</v>
      </c>
      <c r="AT106" s="126">
        <f t="shared" si="99"/>
        <v>1.0189999999999999</v>
      </c>
      <c r="AU106" s="126">
        <f t="shared" si="100"/>
        <v>1.0189999999999999</v>
      </c>
      <c r="AV106" s="126">
        <f t="shared" si="101"/>
        <v>1.0189999999999999</v>
      </c>
      <c r="AW106" s="126">
        <f t="shared" si="102"/>
        <v>1.0189999999999999</v>
      </c>
      <c r="AX106" s="126">
        <f t="shared" si="103"/>
        <v>1.0189999999999999</v>
      </c>
      <c r="AY106" s="126">
        <f t="shared" si="104"/>
        <v>1.0189999999999999</v>
      </c>
      <c r="AZ106" s="126">
        <f t="shared" si="105"/>
        <v>1.0189999999999999</v>
      </c>
      <c r="BA106" s="126">
        <f t="shared" si="106"/>
        <v>1.0189999999999999</v>
      </c>
      <c r="BB106" s="126">
        <f t="shared" si="107"/>
        <v>1.0189999999999999</v>
      </c>
      <c r="BC106" s="126">
        <f t="shared" si="107"/>
        <v>1.0189999999999999</v>
      </c>
    </row>
    <row r="107" spans="2:55">
      <c r="B107" s="6" t="str">
        <f t="shared" si="85"/>
        <v>Compression hosiery</v>
      </c>
      <c r="C107" s="126">
        <f t="shared" ref="C107:AG107" si="136">(IF(C$77&lt;$C$75, -1, 1) *D56)+1</f>
        <v>0.98099999999999998</v>
      </c>
      <c r="D107" s="126">
        <f t="shared" si="136"/>
        <v>0.98099999999999998</v>
      </c>
      <c r="E107" s="126">
        <f t="shared" si="136"/>
        <v>0.98099999999999998</v>
      </c>
      <c r="F107" s="126">
        <f t="shared" si="136"/>
        <v>0.98099999999999998</v>
      </c>
      <c r="G107" s="126">
        <f t="shared" si="136"/>
        <v>0.98099999999999998</v>
      </c>
      <c r="H107" s="126">
        <f t="shared" si="136"/>
        <v>0.98099999999999998</v>
      </c>
      <c r="I107" s="126">
        <f t="shared" si="136"/>
        <v>0.98299999999999998</v>
      </c>
      <c r="J107" s="126">
        <f t="shared" si="136"/>
        <v>0.98199999999999998</v>
      </c>
      <c r="K107" s="126">
        <f t="shared" si="136"/>
        <v>1.0209999999999999</v>
      </c>
      <c r="L107" s="126">
        <f t="shared" si="136"/>
        <v>1.0189999999999999</v>
      </c>
      <c r="M107" s="126">
        <f t="shared" si="136"/>
        <v>1.02</v>
      </c>
      <c r="N107" s="126">
        <f t="shared" si="136"/>
        <v>1.0189999999999999</v>
      </c>
      <c r="O107" s="126">
        <f t="shared" si="136"/>
        <v>1.0189999999999999</v>
      </c>
      <c r="P107" s="126">
        <f t="shared" si="136"/>
        <v>1.0189999999999999</v>
      </c>
      <c r="Q107" s="126">
        <f t="shared" si="136"/>
        <v>1.0189999999999999</v>
      </c>
      <c r="R107" s="126">
        <f t="shared" si="136"/>
        <v>1.0189999999999999</v>
      </c>
      <c r="S107" s="126">
        <f t="shared" si="136"/>
        <v>1.0189999999999999</v>
      </c>
      <c r="T107" s="126">
        <f t="shared" si="136"/>
        <v>1.0189999999999999</v>
      </c>
      <c r="U107" s="126">
        <f t="shared" si="136"/>
        <v>1.0189999999999999</v>
      </c>
      <c r="V107" s="126">
        <f t="shared" si="136"/>
        <v>1.0189999999999999</v>
      </c>
      <c r="W107" s="126">
        <f t="shared" si="136"/>
        <v>1.0189999999999999</v>
      </c>
      <c r="X107" s="126">
        <f t="shared" si="136"/>
        <v>1.0189999999999999</v>
      </c>
      <c r="Y107" s="126">
        <f t="shared" si="136"/>
        <v>1.0189999999999999</v>
      </c>
      <c r="Z107" s="126">
        <f t="shared" si="136"/>
        <v>1.0189999999999999</v>
      </c>
      <c r="AA107" s="126">
        <f t="shared" si="136"/>
        <v>1.0189999999999999</v>
      </c>
      <c r="AB107" s="126">
        <f t="shared" si="136"/>
        <v>1.0189999999999999</v>
      </c>
      <c r="AC107" s="126">
        <f t="shared" si="136"/>
        <v>1.0189999999999999</v>
      </c>
      <c r="AD107" s="126">
        <f t="shared" si="136"/>
        <v>1.0189999999999999</v>
      </c>
      <c r="AE107" s="126">
        <f t="shared" si="136"/>
        <v>1.0189999999999999</v>
      </c>
      <c r="AF107" s="126">
        <f t="shared" si="136"/>
        <v>1.0189999999999999</v>
      </c>
      <c r="AG107" s="126">
        <f t="shared" si="136"/>
        <v>1.0189999999999999</v>
      </c>
      <c r="AH107" s="126">
        <f t="shared" si="87"/>
        <v>1.0189999999999999</v>
      </c>
      <c r="AI107" s="126">
        <f t="shared" si="88"/>
        <v>1.0189999999999999</v>
      </c>
      <c r="AJ107" s="126">
        <f t="shared" si="89"/>
        <v>1.0189999999999999</v>
      </c>
      <c r="AK107" s="126">
        <f t="shared" si="90"/>
        <v>1.0189999999999999</v>
      </c>
      <c r="AL107" s="126">
        <f t="shared" si="91"/>
        <v>1.0189999999999999</v>
      </c>
      <c r="AM107" s="126">
        <f t="shared" si="92"/>
        <v>1.0189999999999999</v>
      </c>
      <c r="AN107" s="126">
        <f t="shared" si="93"/>
        <v>1.0189999999999999</v>
      </c>
      <c r="AO107" s="126">
        <f t="shared" si="94"/>
        <v>1.0189999999999999</v>
      </c>
      <c r="AP107" s="126">
        <f t="shared" si="95"/>
        <v>1.0189999999999999</v>
      </c>
      <c r="AQ107" s="126">
        <f t="shared" si="96"/>
        <v>1.0189999999999999</v>
      </c>
      <c r="AR107" s="126">
        <f t="shared" si="97"/>
        <v>1.0189999999999999</v>
      </c>
      <c r="AS107" s="126">
        <f t="shared" si="98"/>
        <v>1.0189999999999999</v>
      </c>
      <c r="AT107" s="126">
        <f t="shared" si="99"/>
        <v>1.0189999999999999</v>
      </c>
      <c r="AU107" s="126">
        <f t="shared" si="100"/>
        <v>1.0189999999999999</v>
      </c>
      <c r="AV107" s="126">
        <f t="shared" si="101"/>
        <v>1.0189999999999999</v>
      </c>
      <c r="AW107" s="126">
        <f t="shared" si="102"/>
        <v>1.0189999999999999</v>
      </c>
      <c r="AX107" s="126">
        <f t="shared" si="103"/>
        <v>1.0189999999999999</v>
      </c>
      <c r="AY107" s="126">
        <f t="shared" si="104"/>
        <v>1.0189999999999999</v>
      </c>
      <c r="AZ107" s="126">
        <f t="shared" si="105"/>
        <v>1.0189999999999999</v>
      </c>
      <c r="BA107" s="126">
        <f t="shared" si="106"/>
        <v>1.0189999999999999</v>
      </c>
      <c r="BB107" s="126">
        <f t="shared" si="107"/>
        <v>1.0189999999999999</v>
      </c>
      <c r="BC107" s="126">
        <f t="shared" si="107"/>
        <v>1.0189999999999999</v>
      </c>
    </row>
    <row r="108" spans="2:55">
      <c r="B108" s="6" t="str">
        <f t="shared" si="85"/>
        <v>Topical wound care products</v>
      </c>
      <c r="C108" s="126">
        <f t="shared" ref="C108:AG108" si="137">(IF(C$77&lt;$C$75, -1, 1) *D57)+1</f>
        <v>0.98099999999999998</v>
      </c>
      <c r="D108" s="126">
        <f t="shared" si="137"/>
        <v>0.98099999999999998</v>
      </c>
      <c r="E108" s="126">
        <f t="shared" si="137"/>
        <v>0.98099999999999998</v>
      </c>
      <c r="F108" s="126">
        <f t="shared" si="137"/>
        <v>0.98099999999999998</v>
      </c>
      <c r="G108" s="126">
        <f t="shared" si="137"/>
        <v>0.98099999999999998</v>
      </c>
      <c r="H108" s="126">
        <f t="shared" si="137"/>
        <v>0.98099999999999998</v>
      </c>
      <c r="I108" s="126">
        <f t="shared" si="137"/>
        <v>0.98299999999999998</v>
      </c>
      <c r="J108" s="126">
        <f t="shared" si="137"/>
        <v>0.98199999999999998</v>
      </c>
      <c r="K108" s="126">
        <f t="shared" si="137"/>
        <v>1.0209999999999999</v>
      </c>
      <c r="L108" s="126">
        <f t="shared" si="137"/>
        <v>1.0189999999999999</v>
      </c>
      <c r="M108" s="126">
        <f t="shared" si="137"/>
        <v>1.02</v>
      </c>
      <c r="N108" s="126">
        <f t="shared" si="137"/>
        <v>1.0189999999999999</v>
      </c>
      <c r="O108" s="126">
        <f t="shared" si="137"/>
        <v>1.0189999999999999</v>
      </c>
      <c r="P108" s="126">
        <f t="shared" si="137"/>
        <v>1.0189999999999999</v>
      </c>
      <c r="Q108" s="126">
        <f t="shared" si="137"/>
        <v>1.0189999999999999</v>
      </c>
      <c r="R108" s="126">
        <f t="shared" si="137"/>
        <v>1.0189999999999999</v>
      </c>
      <c r="S108" s="126">
        <f t="shared" si="137"/>
        <v>1.0189999999999999</v>
      </c>
      <c r="T108" s="126">
        <f t="shared" si="137"/>
        <v>1.0189999999999999</v>
      </c>
      <c r="U108" s="126">
        <f t="shared" si="137"/>
        <v>1.0189999999999999</v>
      </c>
      <c r="V108" s="126">
        <f t="shared" si="137"/>
        <v>1.0189999999999999</v>
      </c>
      <c r="W108" s="126">
        <f t="shared" si="137"/>
        <v>1.0189999999999999</v>
      </c>
      <c r="X108" s="126">
        <f t="shared" si="137"/>
        <v>1.0189999999999999</v>
      </c>
      <c r="Y108" s="126">
        <f t="shared" si="137"/>
        <v>1.0189999999999999</v>
      </c>
      <c r="Z108" s="126">
        <f t="shared" si="137"/>
        <v>1.0189999999999999</v>
      </c>
      <c r="AA108" s="126">
        <f t="shared" si="137"/>
        <v>1.0189999999999999</v>
      </c>
      <c r="AB108" s="126">
        <f t="shared" si="137"/>
        <v>1.0189999999999999</v>
      </c>
      <c r="AC108" s="126">
        <f t="shared" si="137"/>
        <v>1.0189999999999999</v>
      </c>
      <c r="AD108" s="126">
        <f t="shared" si="137"/>
        <v>1.0189999999999999</v>
      </c>
      <c r="AE108" s="126">
        <f t="shared" si="137"/>
        <v>1.0189999999999999</v>
      </c>
      <c r="AF108" s="126">
        <f t="shared" si="137"/>
        <v>1.0189999999999999</v>
      </c>
      <c r="AG108" s="126">
        <f t="shared" si="137"/>
        <v>1.0189999999999999</v>
      </c>
      <c r="AH108" s="126">
        <f t="shared" si="87"/>
        <v>1.0189999999999999</v>
      </c>
      <c r="AI108" s="126">
        <f t="shared" si="88"/>
        <v>1.0189999999999999</v>
      </c>
      <c r="AJ108" s="126">
        <f t="shared" si="89"/>
        <v>1.0189999999999999</v>
      </c>
      <c r="AK108" s="126">
        <f t="shared" si="90"/>
        <v>1.0189999999999999</v>
      </c>
      <c r="AL108" s="126">
        <f t="shared" si="91"/>
        <v>1.0189999999999999</v>
      </c>
      <c r="AM108" s="126">
        <f t="shared" si="92"/>
        <v>1.0189999999999999</v>
      </c>
      <c r="AN108" s="126">
        <f t="shared" si="93"/>
        <v>1.0189999999999999</v>
      </c>
      <c r="AO108" s="126">
        <f t="shared" si="94"/>
        <v>1.0189999999999999</v>
      </c>
      <c r="AP108" s="126">
        <f t="shared" si="95"/>
        <v>1.0189999999999999</v>
      </c>
      <c r="AQ108" s="126">
        <f t="shared" si="96"/>
        <v>1.0189999999999999</v>
      </c>
      <c r="AR108" s="126">
        <f t="shared" si="97"/>
        <v>1.0189999999999999</v>
      </c>
      <c r="AS108" s="126">
        <f t="shared" si="98"/>
        <v>1.0189999999999999</v>
      </c>
      <c r="AT108" s="126">
        <f t="shared" si="99"/>
        <v>1.0189999999999999</v>
      </c>
      <c r="AU108" s="126">
        <f t="shared" si="100"/>
        <v>1.0189999999999999</v>
      </c>
      <c r="AV108" s="126">
        <f t="shared" si="101"/>
        <v>1.0189999999999999</v>
      </c>
      <c r="AW108" s="126">
        <f t="shared" si="102"/>
        <v>1.0189999999999999</v>
      </c>
      <c r="AX108" s="126">
        <f t="shared" si="103"/>
        <v>1.0189999999999999</v>
      </c>
      <c r="AY108" s="126">
        <f t="shared" si="104"/>
        <v>1.0189999999999999</v>
      </c>
      <c r="AZ108" s="126">
        <f t="shared" si="105"/>
        <v>1.0189999999999999</v>
      </c>
      <c r="BA108" s="126">
        <f t="shared" si="106"/>
        <v>1.0189999999999999</v>
      </c>
      <c r="BB108" s="126">
        <f t="shared" si="107"/>
        <v>1.0189999999999999</v>
      </c>
      <c r="BC108" s="126">
        <f t="shared" si="107"/>
        <v>1.0189999999999999</v>
      </c>
    </row>
    <row r="109" spans="2:55">
      <c r="B109" s="6" t="str">
        <f t="shared" si="85"/>
        <v>Devices</v>
      </c>
      <c r="C109" s="126">
        <f t="shared" ref="C109:AG109" si="138">(IF(C$77&lt;$C$75, -1, 1) *D58)+1</f>
        <v>0.98099999999999998</v>
      </c>
      <c r="D109" s="126">
        <f t="shared" si="138"/>
        <v>0.98099999999999998</v>
      </c>
      <c r="E109" s="126">
        <f t="shared" si="138"/>
        <v>0.98099999999999998</v>
      </c>
      <c r="F109" s="126">
        <f t="shared" si="138"/>
        <v>0.98099999999999998</v>
      </c>
      <c r="G109" s="126">
        <f t="shared" si="138"/>
        <v>0.98099999999999998</v>
      </c>
      <c r="H109" s="126">
        <f t="shared" si="138"/>
        <v>0.98099999999999998</v>
      </c>
      <c r="I109" s="126">
        <f t="shared" si="138"/>
        <v>0.98299999999999998</v>
      </c>
      <c r="J109" s="126">
        <f t="shared" si="138"/>
        <v>0.98199999999999998</v>
      </c>
      <c r="K109" s="126">
        <f t="shared" si="138"/>
        <v>1.0209999999999999</v>
      </c>
      <c r="L109" s="126">
        <f t="shared" si="138"/>
        <v>1.0189999999999999</v>
      </c>
      <c r="M109" s="126">
        <f t="shared" si="138"/>
        <v>1.02</v>
      </c>
      <c r="N109" s="126">
        <f t="shared" si="138"/>
        <v>1.0189999999999999</v>
      </c>
      <c r="O109" s="126">
        <f t="shared" si="138"/>
        <v>1.0189999999999999</v>
      </c>
      <c r="P109" s="126">
        <f t="shared" si="138"/>
        <v>1.0189999999999999</v>
      </c>
      <c r="Q109" s="126">
        <f t="shared" si="138"/>
        <v>1.0189999999999999</v>
      </c>
      <c r="R109" s="126">
        <f t="shared" si="138"/>
        <v>1.0189999999999999</v>
      </c>
      <c r="S109" s="126">
        <f t="shared" si="138"/>
        <v>1.0189999999999999</v>
      </c>
      <c r="T109" s="126">
        <f t="shared" si="138"/>
        <v>1.0189999999999999</v>
      </c>
      <c r="U109" s="126">
        <f t="shared" si="138"/>
        <v>1.0189999999999999</v>
      </c>
      <c r="V109" s="126">
        <f t="shared" si="138"/>
        <v>1.0189999999999999</v>
      </c>
      <c r="W109" s="126">
        <f t="shared" si="138"/>
        <v>1.0189999999999999</v>
      </c>
      <c r="X109" s="126">
        <f t="shared" si="138"/>
        <v>1.0189999999999999</v>
      </c>
      <c r="Y109" s="126">
        <f t="shared" si="138"/>
        <v>1.0189999999999999</v>
      </c>
      <c r="Z109" s="126">
        <f t="shared" si="138"/>
        <v>1.0189999999999999</v>
      </c>
      <c r="AA109" s="126">
        <f t="shared" si="138"/>
        <v>1.0189999999999999</v>
      </c>
      <c r="AB109" s="126">
        <f t="shared" si="138"/>
        <v>1.0189999999999999</v>
      </c>
      <c r="AC109" s="126">
        <f t="shared" si="138"/>
        <v>1.0189999999999999</v>
      </c>
      <c r="AD109" s="126">
        <f t="shared" si="138"/>
        <v>1.0189999999999999</v>
      </c>
      <c r="AE109" s="126">
        <f t="shared" si="138"/>
        <v>1.0189999999999999</v>
      </c>
      <c r="AF109" s="126">
        <f t="shared" si="138"/>
        <v>1.0189999999999999</v>
      </c>
      <c r="AG109" s="126">
        <f t="shared" si="138"/>
        <v>1.0189999999999999</v>
      </c>
      <c r="AH109" s="126">
        <f t="shared" si="87"/>
        <v>1.0189999999999999</v>
      </c>
      <c r="AI109" s="126">
        <f t="shared" si="88"/>
        <v>1.0189999999999999</v>
      </c>
      <c r="AJ109" s="126">
        <f t="shared" si="89"/>
        <v>1.0189999999999999</v>
      </c>
      <c r="AK109" s="126">
        <f t="shared" si="90"/>
        <v>1.0189999999999999</v>
      </c>
      <c r="AL109" s="126">
        <f t="shared" si="91"/>
        <v>1.0189999999999999</v>
      </c>
      <c r="AM109" s="126">
        <f t="shared" si="92"/>
        <v>1.0189999999999999</v>
      </c>
      <c r="AN109" s="126">
        <f t="shared" si="93"/>
        <v>1.0189999999999999</v>
      </c>
      <c r="AO109" s="126">
        <f t="shared" si="94"/>
        <v>1.0189999999999999</v>
      </c>
      <c r="AP109" s="126">
        <f t="shared" si="95"/>
        <v>1.0189999999999999</v>
      </c>
      <c r="AQ109" s="126">
        <f t="shared" si="96"/>
        <v>1.0189999999999999</v>
      </c>
      <c r="AR109" s="126">
        <f t="shared" si="97"/>
        <v>1.0189999999999999</v>
      </c>
      <c r="AS109" s="126">
        <f t="shared" si="98"/>
        <v>1.0189999999999999</v>
      </c>
      <c r="AT109" s="126">
        <f t="shared" si="99"/>
        <v>1.0189999999999999</v>
      </c>
      <c r="AU109" s="126">
        <f t="shared" si="100"/>
        <v>1.0189999999999999</v>
      </c>
      <c r="AV109" s="126">
        <f t="shared" si="101"/>
        <v>1.0189999999999999</v>
      </c>
      <c r="AW109" s="126">
        <f t="shared" si="102"/>
        <v>1.0189999999999999</v>
      </c>
      <c r="AX109" s="126">
        <f t="shared" si="103"/>
        <v>1.0189999999999999</v>
      </c>
      <c r="AY109" s="126">
        <f t="shared" si="104"/>
        <v>1.0189999999999999</v>
      </c>
      <c r="AZ109" s="126">
        <f t="shared" si="105"/>
        <v>1.0189999999999999</v>
      </c>
      <c r="BA109" s="126">
        <f t="shared" si="106"/>
        <v>1.0189999999999999</v>
      </c>
      <c r="BB109" s="126">
        <f t="shared" si="107"/>
        <v>1.0189999999999999</v>
      </c>
      <c r="BC109" s="126">
        <f t="shared" si="107"/>
        <v>1.0189999999999999</v>
      </c>
    </row>
    <row r="110" spans="2:55" ht="29">
      <c r="B110" s="6" t="str">
        <f t="shared" si="85"/>
        <v>Prescriptions for analgesics and neuroleptics</v>
      </c>
      <c r="C110" s="126">
        <f t="shared" ref="C110:AG110" si="139">(IF(C$77&lt;$C$75, -1, 1) *D59)+1</f>
        <v>0.95819999999999994</v>
      </c>
      <c r="D110" s="126">
        <f t="shared" si="139"/>
        <v>0.95819999999999994</v>
      </c>
      <c r="E110" s="126">
        <f t="shared" si="139"/>
        <v>0.95819999999999994</v>
      </c>
      <c r="F110" s="126">
        <f t="shared" si="139"/>
        <v>0.95819999999999994</v>
      </c>
      <c r="G110" s="126">
        <f t="shared" si="139"/>
        <v>0.95819999999999994</v>
      </c>
      <c r="H110" s="126">
        <f t="shared" si="139"/>
        <v>0.95819999999999994</v>
      </c>
      <c r="I110" s="126">
        <f t="shared" si="139"/>
        <v>0.95499999999999996</v>
      </c>
      <c r="J110" s="126">
        <f t="shared" si="139"/>
        <v>0.95399999999999996</v>
      </c>
      <c r="K110" s="126">
        <f t="shared" si="139"/>
        <v>1.036</v>
      </c>
      <c r="L110" s="126">
        <f t="shared" si="139"/>
        <v>1.0409999999999999</v>
      </c>
      <c r="M110" s="126">
        <f t="shared" si="139"/>
        <v>1.0409999999999999</v>
      </c>
      <c r="N110" s="126">
        <f t="shared" si="139"/>
        <v>1.0418000000000001</v>
      </c>
      <c r="O110" s="126">
        <f t="shared" si="139"/>
        <v>1.0418000000000001</v>
      </c>
      <c r="P110" s="126">
        <f t="shared" si="139"/>
        <v>1.0418000000000001</v>
      </c>
      <c r="Q110" s="126">
        <f t="shared" si="139"/>
        <v>1.0418000000000001</v>
      </c>
      <c r="R110" s="126">
        <f t="shared" si="139"/>
        <v>1.0418000000000001</v>
      </c>
      <c r="S110" s="126">
        <f t="shared" si="139"/>
        <v>1.0418000000000001</v>
      </c>
      <c r="T110" s="126">
        <f t="shared" si="139"/>
        <v>1.0418000000000001</v>
      </c>
      <c r="U110" s="126">
        <f t="shared" si="139"/>
        <v>1.0418000000000001</v>
      </c>
      <c r="V110" s="126">
        <f t="shared" si="139"/>
        <v>1.0418000000000001</v>
      </c>
      <c r="W110" s="126">
        <f t="shared" si="139"/>
        <v>1.0418000000000001</v>
      </c>
      <c r="X110" s="126">
        <f t="shared" si="139"/>
        <v>1.0418000000000001</v>
      </c>
      <c r="Y110" s="126">
        <f t="shared" si="139"/>
        <v>1.0418000000000001</v>
      </c>
      <c r="Z110" s="126">
        <f t="shared" si="139"/>
        <v>1.0418000000000001</v>
      </c>
      <c r="AA110" s="126">
        <f t="shared" si="139"/>
        <v>1.0418000000000001</v>
      </c>
      <c r="AB110" s="126">
        <f t="shared" si="139"/>
        <v>1.0418000000000001</v>
      </c>
      <c r="AC110" s="126">
        <f t="shared" si="139"/>
        <v>1.0418000000000001</v>
      </c>
      <c r="AD110" s="126">
        <f t="shared" si="139"/>
        <v>1.0418000000000001</v>
      </c>
      <c r="AE110" s="126">
        <f t="shared" si="139"/>
        <v>1.0418000000000001</v>
      </c>
      <c r="AF110" s="126">
        <f t="shared" si="139"/>
        <v>1.0418000000000001</v>
      </c>
      <c r="AG110" s="126">
        <f t="shared" si="139"/>
        <v>1.0418000000000001</v>
      </c>
      <c r="AH110" s="126">
        <f t="shared" si="87"/>
        <v>1.0418000000000001</v>
      </c>
      <c r="AI110" s="126">
        <f t="shared" si="88"/>
        <v>1.0418000000000001</v>
      </c>
      <c r="AJ110" s="126">
        <f t="shared" si="89"/>
        <v>1.0418000000000001</v>
      </c>
      <c r="AK110" s="126">
        <f t="shared" si="90"/>
        <v>1.0418000000000001</v>
      </c>
      <c r="AL110" s="126">
        <f t="shared" si="91"/>
        <v>1.0418000000000001</v>
      </c>
      <c r="AM110" s="126">
        <f t="shared" si="92"/>
        <v>1.0418000000000001</v>
      </c>
      <c r="AN110" s="126">
        <f t="shared" si="93"/>
        <v>1.0418000000000001</v>
      </c>
      <c r="AO110" s="126">
        <f t="shared" si="94"/>
        <v>1.0418000000000001</v>
      </c>
      <c r="AP110" s="126">
        <f t="shared" si="95"/>
        <v>1.0418000000000001</v>
      </c>
      <c r="AQ110" s="126">
        <f t="shared" si="96"/>
        <v>1.0418000000000001</v>
      </c>
      <c r="AR110" s="126">
        <f t="shared" si="97"/>
        <v>1.0418000000000001</v>
      </c>
      <c r="AS110" s="126">
        <f t="shared" si="98"/>
        <v>1.0418000000000001</v>
      </c>
      <c r="AT110" s="126">
        <f t="shared" si="99"/>
        <v>1.0418000000000001</v>
      </c>
      <c r="AU110" s="126">
        <f t="shared" si="100"/>
        <v>1.0418000000000001</v>
      </c>
      <c r="AV110" s="126">
        <f t="shared" si="101"/>
        <v>1.0418000000000001</v>
      </c>
      <c r="AW110" s="126">
        <f t="shared" si="102"/>
        <v>1.0418000000000001</v>
      </c>
      <c r="AX110" s="126">
        <f t="shared" si="103"/>
        <v>1.0418000000000001</v>
      </c>
      <c r="AY110" s="126">
        <f t="shared" si="104"/>
        <v>1.0418000000000001</v>
      </c>
      <c r="AZ110" s="126">
        <f t="shared" si="105"/>
        <v>1.0418000000000001</v>
      </c>
      <c r="BA110" s="126">
        <f t="shared" si="106"/>
        <v>1.0418000000000001</v>
      </c>
      <c r="BB110" s="126">
        <f t="shared" si="107"/>
        <v>1.0418000000000001</v>
      </c>
      <c r="BC110" s="126">
        <f t="shared" si="107"/>
        <v>1.0418000000000001</v>
      </c>
    </row>
    <row r="111" spans="2:55">
      <c r="B111" s="6" t="str">
        <f t="shared" si="85"/>
        <v>Dressings</v>
      </c>
      <c r="C111" s="126">
        <f t="shared" ref="C111:AG111" si="140">(IF(C$77&lt;$C$75, -1, 1) *D60)+1</f>
        <v>0.98099999999999998</v>
      </c>
      <c r="D111" s="126">
        <f t="shared" si="140"/>
        <v>0.98099999999999998</v>
      </c>
      <c r="E111" s="126">
        <f t="shared" si="140"/>
        <v>0.98099999999999998</v>
      </c>
      <c r="F111" s="126">
        <f t="shared" si="140"/>
        <v>0.98099999999999998</v>
      </c>
      <c r="G111" s="126">
        <f t="shared" si="140"/>
        <v>0.98099999999999998</v>
      </c>
      <c r="H111" s="126">
        <f t="shared" si="140"/>
        <v>0.98099999999999998</v>
      </c>
      <c r="I111" s="126">
        <f t="shared" si="140"/>
        <v>0.98299999999999998</v>
      </c>
      <c r="J111" s="126">
        <f t="shared" si="140"/>
        <v>0.98199999999999998</v>
      </c>
      <c r="K111" s="126">
        <f t="shared" si="140"/>
        <v>1.0209999999999999</v>
      </c>
      <c r="L111" s="126">
        <f t="shared" si="140"/>
        <v>1.0189999999999999</v>
      </c>
      <c r="M111" s="126">
        <f t="shared" si="140"/>
        <v>1.02</v>
      </c>
      <c r="N111" s="126">
        <f t="shared" si="140"/>
        <v>1.0189999999999999</v>
      </c>
      <c r="O111" s="126">
        <f t="shared" si="140"/>
        <v>1.0189999999999999</v>
      </c>
      <c r="P111" s="126">
        <f t="shared" si="140"/>
        <v>1.0189999999999999</v>
      </c>
      <c r="Q111" s="126">
        <f t="shared" si="140"/>
        <v>1.0189999999999999</v>
      </c>
      <c r="R111" s="126">
        <f t="shared" si="140"/>
        <v>1.0189999999999999</v>
      </c>
      <c r="S111" s="126">
        <f t="shared" si="140"/>
        <v>1.0189999999999999</v>
      </c>
      <c r="T111" s="126">
        <f t="shared" si="140"/>
        <v>1.0189999999999999</v>
      </c>
      <c r="U111" s="126">
        <f t="shared" si="140"/>
        <v>1.0189999999999999</v>
      </c>
      <c r="V111" s="126">
        <f t="shared" si="140"/>
        <v>1.0189999999999999</v>
      </c>
      <c r="W111" s="126">
        <f t="shared" si="140"/>
        <v>1.0189999999999999</v>
      </c>
      <c r="X111" s="126">
        <f t="shared" si="140"/>
        <v>1.0189999999999999</v>
      </c>
      <c r="Y111" s="126">
        <f t="shared" si="140"/>
        <v>1.0189999999999999</v>
      </c>
      <c r="Z111" s="126">
        <f t="shared" si="140"/>
        <v>1.0189999999999999</v>
      </c>
      <c r="AA111" s="126">
        <f t="shared" si="140"/>
        <v>1.0189999999999999</v>
      </c>
      <c r="AB111" s="126">
        <f t="shared" si="140"/>
        <v>1.0189999999999999</v>
      </c>
      <c r="AC111" s="126">
        <f t="shared" si="140"/>
        <v>1.0189999999999999</v>
      </c>
      <c r="AD111" s="126">
        <f t="shared" si="140"/>
        <v>1.0189999999999999</v>
      </c>
      <c r="AE111" s="126">
        <f t="shared" si="140"/>
        <v>1.0189999999999999</v>
      </c>
      <c r="AF111" s="126">
        <f t="shared" si="140"/>
        <v>1.0189999999999999</v>
      </c>
      <c r="AG111" s="126">
        <f t="shared" si="140"/>
        <v>1.0189999999999999</v>
      </c>
      <c r="AH111" s="126">
        <f t="shared" si="87"/>
        <v>1.0189999999999999</v>
      </c>
      <c r="AI111" s="126">
        <f t="shared" si="88"/>
        <v>1.0189999999999999</v>
      </c>
      <c r="AJ111" s="126">
        <f t="shared" si="89"/>
        <v>1.0189999999999999</v>
      </c>
      <c r="AK111" s="126">
        <f t="shared" si="90"/>
        <v>1.0189999999999999</v>
      </c>
      <c r="AL111" s="126">
        <f t="shared" si="91"/>
        <v>1.0189999999999999</v>
      </c>
      <c r="AM111" s="126">
        <f t="shared" si="92"/>
        <v>1.0189999999999999</v>
      </c>
      <c r="AN111" s="126">
        <f t="shared" si="93"/>
        <v>1.0189999999999999</v>
      </c>
      <c r="AO111" s="126">
        <f t="shared" si="94"/>
        <v>1.0189999999999999</v>
      </c>
      <c r="AP111" s="126">
        <f t="shared" si="95"/>
        <v>1.0189999999999999</v>
      </c>
      <c r="AQ111" s="126">
        <f t="shared" si="96"/>
        <v>1.0189999999999999</v>
      </c>
      <c r="AR111" s="126">
        <f t="shared" si="97"/>
        <v>1.0189999999999999</v>
      </c>
      <c r="AS111" s="126">
        <f t="shared" si="98"/>
        <v>1.0189999999999999</v>
      </c>
      <c r="AT111" s="126">
        <f t="shared" si="99"/>
        <v>1.0189999999999999</v>
      </c>
      <c r="AU111" s="126">
        <f t="shared" si="100"/>
        <v>1.0189999999999999</v>
      </c>
      <c r="AV111" s="126">
        <f t="shared" si="101"/>
        <v>1.0189999999999999</v>
      </c>
      <c r="AW111" s="126">
        <f t="shared" si="102"/>
        <v>1.0189999999999999</v>
      </c>
      <c r="AX111" s="126">
        <f t="shared" si="103"/>
        <v>1.0189999999999999</v>
      </c>
      <c r="AY111" s="126">
        <f t="shared" si="104"/>
        <v>1.0189999999999999</v>
      </c>
      <c r="AZ111" s="126">
        <f t="shared" si="105"/>
        <v>1.0189999999999999</v>
      </c>
      <c r="BA111" s="126">
        <f t="shared" si="106"/>
        <v>1.0189999999999999</v>
      </c>
      <c r="BB111" s="126">
        <f t="shared" si="107"/>
        <v>1.0189999999999999</v>
      </c>
      <c r="BC111" s="126">
        <f t="shared" si="107"/>
        <v>1.0189999999999999</v>
      </c>
    </row>
    <row r="112" spans="2:55">
      <c r="B112" s="6" t="str">
        <f t="shared" si="85"/>
        <v>Allied health-care visits</v>
      </c>
      <c r="C112" s="126">
        <f t="shared" ref="C112:AG112" si="141">(IF(C$77&lt;$C$75, -1, 1) *D61)+1</f>
        <v>0.97719999999999996</v>
      </c>
      <c r="D112" s="126">
        <f t="shared" si="141"/>
        <v>0.97719999999999996</v>
      </c>
      <c r="E112" s="126">
        <f t="shared" si="141"/>
        <v>0.97719999999999996</v>
      </c>
      <c r="F112" s="126">
        <f t="shared" si="141"/>
        <v>0.97719999999999996</v>
      </c>
      <c r="G112" s="126">
        <f t="shared" si="141"/>
        <v>0.97719999999999996</v>
      </c>
      <c r="H112" s="126">
        <f t="shared" si="141"/>
        <v>0.97719999999999996</v>
      </c>
      <c r="I112" s="126">
        <f t="shared" si="141"/>
        <v>0.96699999999999997</v>
      </c>
      <c r="J112" s="126">
        <f t="shared" si="141"/>
        <v>0.98</v>
      </c>
      <c r="K112" s="126">
        <f t="shared" si="141"/>
        <v>1.016</v>
      </c>
      <c r="L112" s="126">
        <f t="shared" si="141"/>
        <v>1.016</v>
      </c>
      <c r="M112" s="126">
        <f t="shared" si="141"/>
        <v>1.0289999999999999</v>
      </c>
      <c r="N112" s="126">
        <f t="shared" si="141"/>
        <v>1.0227999999999999</v>
      </c>
      <c r="O112" s="126">
        <f t="shared" si="141"/>
        <v>1.0227999999999999</v>
      </c>
      <c r="P112" s="126">
        <f t="shared" si="141"/>
        <v>1.0227999999999999</v>
      </c>
      <c r="Q112" s="126">
        <f t="shared" si="141"/>
        <v>1.0227999999999999</v>
      </c>
      <c r="R112" s="126">
        <f t="shared" si="141"/>
        <v>1.0227999999999999</v>
      </c>
      <c r="S112" s="126">
        <f t="shared" si="141"/>
        <v>1.0227999999999999</v>
      </c>
      <c r="T112" s="126">
        <f t="shared" si="141"/>
        <v>1.0227999999999999</v>
      </c>
      <c r="U112" s="126">
        <f t="shared" si="141"/>
        <v>1.0227999999999999</v>
      </c>
      <c r="V112" s="126">
        <f t="shared" si="141"/>
        <v>1.0227999999999999</v>
      </c>
      <c r="W112" s="126">
        <f t="shared" si="141"/>
        <v>1.0227999999999999</v>
      </c>
      <c r="X112" s="126">
        <f t="shared" si="141"/>
        <v>1.0227999999999999</v>
      </c>
      <c r="Y112" s="126">
        <f t="shared" si="141"/>
        <v>1.0227999999999999</v>
      </c>
      <c r="Z112" s="126">
        <f t="shared" si="141"/>
        <v>1.0227999999999999</v>
      </c>
      <c r="AA112" s="126">
        <f t="shared" si="141"/>
        <v>1.0227999999999999</v>
      </c>
      <c r="AB112" s="126">
        <f t="shared" si="141"/>
        <v>1.0227999999999999</v>
      </c>
      <c r="AC112" s="126">
        <f t="shared" si="141"/>
        <v>1.0227999999999999</v>
      </c>
      <c r="AD112" s="126">
        <f t="shared" si="141"/>
        <v>1.0227999999999999</v>
      </c>
      <c r="AE112" s="126">
        <f t="shared" si="141"/>
        <v>1.0227999999999999</v>
      </c>
      <c r="AF112" s="126">
        <f t="shared" si="141"/>
        <v>1.0227999999999999</v>
      </c>
      <c r="AG112" s="126">
        <f t="shared" si="141"/>
        <v>1.0227999999999999</v>
      </c>
      <c r="AH112" s="126">
        <f t="shared" si="87"/>
        <v>1.0227999999999999</v>
      </c>
      <c r="AI112" s="126">
        <f t="shared" si="88"/>
        <v>1.0227999999999999</v>
      </c>
      <c r="AJ112" s="126">
        <f t="shared" si="89"/>
        <v>1.0227999999999999</v>
      </c>
      <c r="AK112" s="126">
        <f t="shared" si="90"/>
        <v>1.0227999999999999</v>
      </c>
      <c r="AL112" s="126">
        <f t="shared" si="91"/>
        <v>1.0227999999999999</v>
      </c>
      <c r="AM112" s="126">
        <f t="shared" si="92"/>
        <v>1.0227999999999999</v>
      </c>
      <c r="AN112" s="126">
        <f t="shared" si="93"/>
        <v>1.0227999999999999</v>
      </c>
      <c r="AO112" s="126">
        <f t="shared" si="94"/>
        <v>1.0227999999999999</v>
      </c>
      <c r="AP112" s="126">
        <f t="shared" si="95"/>
        <v>1.0227999999999999</v>
      </c>
      <c r="AQ112" s="126">
        <f t="shared" si="96"/>
        <v>1.0227999999999999</v>
      </c>
      <c r="AR112" s="126">
        <f t="shared" si="97"/>
        <v>1.0227999999999999</v>
      </c>
      <c r="AS112" s="126">
        <f t="shared" si="98"/>
        <v>1.0227999999999999</v>
      </c>
      <c r="AT112" s="126">
        <f t="shared" si="99"/>
        <v>1.0227999999999999</v>
      </c>
      <c r="AU112" s="126">
        <f t="shared" si="100"/>
        <v>1.0227999999999999</v>
      </c>
      <c r="AV112" s="126">
        <f t="shared" si="101"/>
        <v>1.0227999999999999</v>
      </c>
      <c r="AW112" s="126">
        <f t="shared" si="102"/>
        <v>1.0227999999999999</v>
      </c>
      <c r="AX112" s="126">
        <f t="shared" si="103"/>
        <v>1.0227999999999999</v>
      </c>
      <c r="AY112" s="126">
        <f t="shared" si="104"/>
        <v>1.0227999999999999</v>
      </c>
      <c r="AZ112" s="126">
        <f t="shared" si="105"/>
        <v>1.0227999999999999</v>
      </c>
      <c r="BA112" s="126">
        <f t="shared" si="106"/>
        <v>1.0227999999999999</v>
      </c>
      <c r="BB112" s="126">
        <f t="shared" si="107"/>
        <v>1.0227999999999999</v>
      </c>
      <c r="BC112" s="126">
        <f t="shared" si="107"/>
        <v>1.0227999999999999</v>
      </c>
    </row>
    <row r="113" spans="1:56">
      <c r="B113" s="6" t="str">
        <f t="shared" si="85"/>
        <v>Dressing pack</v>
      </c>
      <c r="C113" s="126">
        <f t="shared" ref="C113:AG113" si="142">(IF(C$77&lt;$C$75, -1, 1) *D62)+1</f>
        <v>0.98099999999999998</v>
      </c>
      <c r="D113" s="126">
        <f t="shared" si="142"/>
        <v>0.98099999999999998</v>
      </c>
      <c r="E113" s="126">
        <f t="shared" si="142"/>
        <v>0.98099999999999998</v>
      </c>
      <c r="F113" s="126">
        <f t="shared" si="142"/>
        <v>0.98099999999999998</v>
      </c>
      <c r="G113" s="126">
        <f t="shared" si="142"/>
        <v>0.98099999999999998</v>
      </c>
      <c r="H113" s="126">
        <f t="shared" si="142"/>
        <v>0.98099999999999998</v>
      </c>
      <c r="I113" s="126">
        <f t="shared" si="142"/>
        <v>0.98299999999999998</v>
      </c>
      <c r="J113" s="126">
        <f t="shared" si="142"/>
        <v>0.98199999999999998</v>
      </c>
      <c r="K113" s="126">
        <f t="shared" si="142"/>
        <v>1.0209999999999999</v>
      </c>
      <c r="L113" s="126">
        <f t="shared" si="142"/>
        <v>1.0189999999999999</v>
      </c>
      <c r="M113" s="126">
        <f t="shared" si="142"/>
        <v>1.02</v>
      </c>
      <c r="N113" s="126">
        <f t="shared" si="142"/>
        <v>1.0189999999999999</v>
      </c>
      <c r="O113" s="126">
        <f t="shared" si="142"/>
        <v>1.0189999999999999</v>
      </c>
      <c r="P113" s="126">
        <f t="shared" si="142"/>
        <v>1.0189999999999999</v>
      </c>
      <c r="Q113" s="126">
        <f t="shared" si="142"/>
        <v>1.0189999999999999</v>
      </c>
      <c r="R113" s="126">
        <f t="shared" si="142"/>
        <v>1.0189999999999999</v>
      </c>
      <c r="S113" s="126">
        <f t="shared" si="142"/>
        <v>1.0189999999999999</v>
      </c>
      <c r="T113" s="126">
        <f t="shared" si="142"/>
        <v>1.0189999999999999</v>
      </c>
      <c r="U113" s="126">
        <f t="shared" si="142"/>
        <v>1.0189999999999999</v>
      </c>
      <c r="V113" s="126">
        <f t="shared" si="142"/>
        <v>1.0189999999999999</v>
      </c>
      <c r="W113" s="126">
        <f t="shared" si="142"/>
        <v>1.0189999999999999</v>
      </c>
      <c r="X113" s="126">
        <f t="shared" si="142"/>
        <v>1.0189999999999999</v>
      </c>
      <c r="Y113" s="126">
        <f t="shared" si="142"/>
        <v>1.0189999999999999</v>
      </c>
      <c r="Z113" s="126">
        <f t="shared" si="142"/>
        <v>1.0189999999999999</v>
      </c>
      <c r="AA113" s="126">
        <f t="shared" si="142"/>
        <v>1.0189999999999999</v>
      </c>
      <c r="AB113" s="126">
        <f t="shared" si="142"/>
        <v>1.0189999999999999</v>
      </c>
      <c r="AC113" s="126">
        <f t="shared" si="142"/>
        <v>1.0189999999999999</v>
      </c>
      <c r="AD113" s="126">
        <f t="shared" si="142"/>
        <v>1.0189999999999999</v>
      </c>
      <c r="AE113" s="126">
        <f t="shared" si="142"/>
        <v>1.0189999999999999</v>
      </c>
      <c r="AF113" s="126">
        <f t="shared" si="142"/>
        <v>1.0189999999999999</v>
      </c>
      <c r="AG113" s="126">
        <f t="shared" si="142"/>
        <v>1.0189999999999999</v>
      </c>
      <c r="AH113" s="126">
        <f t="shared" si="87"/>
        <v>1.0189999999999999</v>
      </c>
      <c r="AI113" s="126">
        <f t="shared" si="88"/>
        <v>1.0189999999999999</v>
      </c>
      <c r="AJ113" s="126">
        <f t="shared" si="89"/>
        <v>1.0189999999999999</v>
      </c>
      <c r="AK113" s="126">
        <f t="shared" si="90"/>
        <v>1.0189999999999999</v>
      </c>
      <c r="AL113" s="126">
        <f t="shared" si="91"/>
        <v>1.0189999999999999</v>
      </c>
      <c r="AM113" s="126">
        <f t="shared" si="92"/>
        <v>1.0189999999999999</v>
      </c>
      <c r="AN113" s="126">
        <f t="shared" si="93"/>
        <v>1.0189999999999999</v>
      </c>
      <c r="AO113" s="126">
        <f t="shared" si="94"/>
        <v>1.0189999999999999</v>
      </c>
      <c r="AP113" s="126">
        <f t="shared" si="95"/>
        <v>1.0189999999999999</v>
      </c>
      <c r="AQ113" s="126">
        <f t="shared" si="96"/>
        <v>1.0189999999999999</v>
      </c>
      <c r="AR113" s="126">
        <f t="shared" si="97"/>
        <v>1.0189999999999999</v>
      </c>
      <c r="AS113" s="126">
        <f t="shared" si="98"/>
        <v>1.0189999999999999</v>
      </c>
      <c r="AT113" s="126">
        <f t="shared" si="99"/>
        <v>1.0189999999999999</v>
      </c>
      <c r="AU113" s="126">
        <f t="shared" si="100"/>
        <v>1.0189999999999999</v>
      </c>
      <c r="AV113" s="126">
        <f t="shared" si="101"/>
        <v>1.0189999999999999</v>
      </c>
      <c r="AW113" s="126">
        <f t="shared" si="102"/>
        <v>1.0189999999999999</v>
      </c>
      <c r="AX113" s="126">
        <f t="shared" si="103"/>
        <v>1.0189999999999999</v>
      </c>
      <c r="AY113" s="126">
        <f t="shared" si="104"/>
        <v>1.0189999999999999</v>
      </c>
      <c r="AZ113" s="126">
        <f t="shared" si="105"/>
        <v>1.0189999999999999</v>
      </c>
      <c r="BA113" s="126">
        <f t="shared" si="106"/>
        <v>1.0189999999999999</v>
      </c>
      <c r="BB113" s="126">
        <f t="shared" si="107"/>
        <v>1.0189999999999999</v>
      </c>
      <c r="BC113" s="126">
        <f t="shared" si="107"/>
        <v>1.0189999999999999</v>
      </c>
    </row>
    <row r="114" spans="1:56">
      <c r="B114" s="6" t="str">
        <f t="shared" si="85"/>
        <v>Saline</v>
      </c>
      <c r="C114" s="126">
        <f t="shared" ref="C114:AG114" si="143">(IF(C$77&lt;$C$75, -1, 1) *D63)+1</f>
        <v>0.98099999999999998</v>
      </c>
      <c r="D114" s="126">
        <f t="shared" si="143"/>
        <v>0.98099999999999998</v>
      </c>
      <c r="E114" s="126">
        <f t="shared" si="143"/>
        <v>0.98099999999999998</v>
      </c>
      <c r="F114" s="126">
        <f t="shared" si="143"/>
        <v>0.98099999999999998</v>
      </c>
      <c r="G114" s="126">
        <f t="shared" si="143"/>
        <v>0.98099999999999998</v>
      </c>
      <c r="H114" s="126">
        <f t="shared" si="143"/>
        <v>0.98099999999999998</v>
      </c>
      <c r="I114" s="126">
        <f t="shared" si="143"/>
        <v>0.98299999999999998</v>
      </c>
      <c r="J114" s="126">
        <f t="shared" si="143"/>
        <v>0.98199999999999998</v>
      </c>
      <c r="K114" s="126">
        <f t="shared" si="143"/>
        <v>1.0209999999999999</v>
      </c>
      <c r="L114" s="126">
        <f t="shared" si="143"/>
        <v>1.0189999999999999</v>
      </c>
      <c r="M114" s="126">
        <f t="shared" si="143"/>
        <v>1.02</v>
      </c>
      <c r="N114" s="126">
        <f t="shared" si="143"/>
        <v>1.0189999999999999</v>
      </c>
      <c r="O114" s="126">
        <f t="shared" si="143"/>
        <v>1.0189999999999999</v>
      </c>
      <c r="P114" s="126">
        <f t="shared" si="143"/>
        <v>1.0189999999999999</v>
      </c>
      <c r="Q114" s="126">
        <f t="shared" si="143"/>
        <v>1.0189999999999999</v>
      </c>
      <c r="R114" s="126">
        <f t="shared" si="143"/>
        <v>1.0189999999999999</v>
      </c>
      <c r="S114" s="126">
        <f t="shared" si="143"/>
        <v>1.0189999999999999</v>
      </c>
      <c r="T114" s="126">
        <f t="shared" si="143"/>
        <v>1.0189999999999999</v>
      </c>
      <c r="U114" s="126">
        <f t="shared" si="143"/>
        <v>1.0189999999999999</v>
      </c>
      <c r="V114" s="126">
        <f t="shared" si="143"/>
        <v>1.0189999999999999</v>
      </c>
      <c r="W114" s="126">
        <f t="shared" si="143"/>
        <v>1.0189999999999999</v>
      </c>
      <c r="X114" s="126">
        <f t="shared" si="143"/>
        <v>1.0189999999999999</v>
      </c>
      <c r="Y114" s="126">
        <f t="shared" si="143"/>
        <v>1.0189999999999999</v>
      </c>
      <c r="Z114" s="126">
        <f t="shared" si="143"/>
        <v>1.0189999999999999</v>
      </c>
      <c r="AA114" s="126">
        <f t="shared" si="143"/>
        <v>1.0189999999999999</v>
      </c>
      <c r="AB114" s="126">
        <f t="shared" si="143"/>
        <v>1.0189999999999999</v>
      </c>
      <c r="AC114" s="126">
        <f t="shared" si="143"/>
        <v>1.0189999999999999</v>
      </c>
      <c r="AD114" s="126">
        <f t="shared" si="143"/>
        <v>1.0189999999999999</v>
      </c>
      <c r="AE114" s="126">
        <f t="shared" si="143"/>
        <v>1.0189999999999999</v>
      </c>
      <c r="AF114" s="126">
        <f t="shared" si="143"/>
        <v>1.0189999999999999</v>
      </c>
      <c r="AG114" s="126">
        <f t="shared" si="143"/>
        <v>1.0189999999999999</v>
      </c>
      <c r="AH114" s="126">
        <f t="shared" si="87"/>
        <v>1.0189999999999999</v>
      </c>
      <c r="AI114" s="126">
        <f t="shared" si="88"/>
        <v>1.0189999999999999</v>
      </c>
      <c r="AJ114" s="126">
        <f t="shared" si="89"/>
        <v>1.0189999999999999</v>
      </c>
      <c r="AK114" s="126">
        <f t="shared" si="90"/>
        <v>1.0189999999999999</v>
      </c>
      <c r="AL114" s="126">
        <f t="shared" si="91"/>
        <v>1.0189999999999999</v>
      </c>
      <c r="AM114" s="126">
        <f t="shared" si="92"/>
        <v>1.0189999999999999</v>
      </c>
      <c r="AN114" s="126">
        <f t="shared" si="93"/>
        <v>1.0189999999999999</v>
      </c>
      <c r="AO114" s="126">
        <f t="shared" si="94"/>
        <v>1.0189999999999999</v>
      </c>
      <c r="AP114" s="126">
        <f t="shared" si="95"/>
        <v>1.0189999999999999</v>
      </c>
      <c r="AQ114" s="126">
        <f t="shared" si="96"/>
        <v>1.0189999999999999</v>
      </c>
      <c r="AR114" s="126">
        <f t="shared" si="97"/>
        <v>1.0189999999999999</v>
      </c>
      <c r="AS114" s="126">
        <f t="shared" si="98"/>
        <v>1.0189999999999999</v>
      </c>
      <c r="AT114" s="126">
        <f t="shared" si="99"/>
        <v>1.0189999999999999</v>
      </c>
      <c r="AU114" s="126">
        <f t="shared" si="100"/>
        <v>1.0189999999999999</v>
      </c>
      <c r="AV114" s="126">
        <f t="shared" si="101"/>
        <v>1.0189999999999999</v>
      </c>
      <c r="AW114" s="126">
        <f t="shared" si="102"/>
        <v>1.0189999999999999</v>
      </c>
      <c r="AX114" s="126">
        <f t="shared" si="103"/>
        <v>1.0189999999999999</v>
      </c>
      <c r="AY114" s="126">
        <f t="shared" si="104"/>
        <v>1.0189999999999999</v>
      </c>
      <c r="AZ114" s="126">
        <f t="shared" si="105"/>
        <v>1.0189999999999999</v>
      </c>
      <c r="BA114" s="126">
        <f t="shared" si="106"/>
        <v>1.0189999999999999</v>
      </c>
      <c r="BB114" s="126">
        <f t="shared" si="107"/>
        <v>1.0189999999999999</v>
      </c>
      <c r="BC114" s="126">
        <f t="shared" si="107"/>
        <v>1.0189999999999999</v>
      </c>
    </row>
    <row r="115" spans="1:56">
      <c r="B115" s="6" t="str">
        <f t="shared" si="85"/>
        <v>Wound Contact Layer</v>
      </c>
      <c r="C115" s="126">
        <f t="shared" ref="C115:AG115" si="144">(IF(C$77&lt;$C$75, -1, 1) *D64)+1</f>
        <v>0.98099999999999998</v>
      </c>
      <c r="D115" s="126">
        <f t="shared" si="144"/>
        <v>0.98099999999999998</v>
      </c>
      <c r="E115" s="126">
        <f t="shared" si="144"/>
        <v>0.98099999999999998</v>
      </c>
      <c r="F115" s="126">
        <f t="shared" si="144"/>
        <v>0.98099999999999998</v>
      </c>
      <c r="G115" s="126">
        <f t="shared" si="144"/>
        <v>0.98099999999999998</v>
      </c>
      <c r="H115" s="126">
        <f t="shared" si="144"/>
        <v>0.98099999999999998</v>
      </c>
      <c r="I115" s="126">
        <f t="shared" si="144"/>
        <v>0.98299999999999998</v>
      </c>
      <c r="J115" s="126">
        <f t="shared" si="144"/>
        <v>0.98199999999999998</v>
      </c>
      <c r="K115" s="126">
        <f t="shared" si="144"/>
        <v>1.0209999999999999</v>
      </c>
      <c r="L115" s="126">
        <f t="shared" si="144"/>
        <v>1.0189999999999999</v>
      </c>
      <c r="M115" s="126">
        <f t="shared" si="144"/>
        <v>1.02</v>
      </c>
      <c r="N115" s="126">
        <f t="shared" si="144"/>
        <v>1.0189999999999999</v>
      </c>
      <c r="O115" s="126">
        <f t="shared" si="144"/>
        <v>1.0189999999999999</v>
      </c>
      <c r="P115" s="126">
        <f t="shared" si="144"/>
        <v>1.0189999999999999</v>
      </c>
      <c r="Q115" s="126">
        <f t="shared" si="144"/>
        <v>1.0189999999999999</v>
      </c>
      <c r="R115" s="126">
        <f t="shared" si="144"/>
        <v>1.0189999999999999</v>
      </c>
      <c r="S115" s="126">
        <f t="shared" si="144"/>
        <v>1.0189999999999999</v>
      </c>
      <c r="T115" s="126">
        <f t="shared" si="144"/>
        <v>1.0189999999999999</v>
      </c>
      <c r="U115" s="126">
        <f t="shared" si="144"/>
        <v>1.0189999999999999</v>
      </c>
      <c r="V115" s="126">
        <f t="shared" si="144"/>
        <v>1.0189999999999999</v>
      </c>
      <c r="W115" s="126">
        <f t="shared" si="144"/>
        <v>1.0189999999999999</v>
      </c>
      <c r="X115" s="126">
        <f t="shared" si="144"/>
        <v>1.0189999999999999</v>
      </c>
      <c r="Y115" s="126">
        <f t="shared" si="144"/>
        <v>1.0189999999999999</v>
      </c>
      <c r="Z115" s="126">
        <f t="shared" si="144"/>
        <v>1.0189999999999999</v>
      </c>
      <c r="AA115" s="126">
        <f t="shared" si="144"/>
        <v>1.0189999999999999</v>
      </c>
      <c r="AB115" s="126">
        <f t="shared" si="144"/>
        <v>1.0189999999999999</v>
      </c>
      <c r="AC115" s="126">
        <f t="shared" si="144"/>
        <v>1.0189999999999999</v>
      </c>
      <c r="AD115" s="126">
        <f t="shared" si="144"/>
        <v>1.0189999999999999</v>
      </c>
      <c r="AE115" s="126">
        <f t="shared" si="144"/>
        <v>1.0189999999999999</v>
      </c>
      <c r="AF115" s="126">
        <f t="shared" si="144"/>
        <v>1.0189999999999999</v>
      </c>
      <c r="AG115" s="126">
        <f t="shared" si="144"/>
        <v>1.0189999999999999</v>
      </c>
      <c r="AH115" s="126">
        <f t="shared" si="87"/>
        <v>1.0189999999999999</v>
      </c>
      <c r="AI115" s="126">
        <f t="shared" si="88"/>
        <v>1.0189999999999999</v>
      </c>
      <c r="AJ115" s="126">
        <f t="shared" si="89"/>
        <v>1.0189999999999999</v>
      </c>
      <c r="AK115" s="126">
        <f t="shared" si="90"/>
        <v>1.0189999999999999</v>
      </c>
      <c r="AL115" s="126">
        <f t="shared" si="91"/>
        <v>1.0189999999999999</v>
      </c>
      <c r="AM115" s="126">
        <f t="shared" si="92"/>
        <v>1.0189999999999999</v>
      </c>
      <c r="AN115" s="126">
        <f t="shared" si="93"/>
        <v>1.0189999999999999</v>
      </c>
      <c r="AO115" s="126">
        <f t="shared" si="94"/>
        <v>1.0189999999999999</v>
      </c>
      <c r="AP115" s="126">
        <f t="shared" si="95"/>
        <v>1.0189999999999999</v>
      </c>
      <c r="AQ115" s="126">
        <f t="shared" si="96"/>
        <v>1.0189999999999999</v>
      </c>
      <c r="AR115" s="126">
        <f t="shared" si="97"/>
        <v>1.0189999999999999</v>
      </c>
      <c r="AS115" s="126">
        <f t="shared" si="98"/>
        <v>1.0189999999999999</v>
      </c>
      <c r="AT115" s="126">
        <f t="shared" si="99"/>
        <v>1.0189999999999999</v>
      </c>
      <c r="AU115" s="126">
        <f t="shared" si="100"/>
        <v>1.0189999999999999</v>
      </c>
      <c r="AV115" s="126">
        <f t="shared" si="101"/>
        <v>1.0189999999999999</v>
      </c>
      <c r="AW115" s="126">
        <f t="shared" si="102"/>
        <v>1.0189999999999999</v>
      </c>
      <c r="AX115" s="126">
        <f t="shared" si="103"/>
        <v>1.0189999999999999</v>
      </c>
      <c r="AY115" s="126">
        <f t="shared" si="104"/>
        <v>1.0189999999999999</v>
      </c>
      <c r="AZ115" s="126">
        <f t="shared" si="105"/>
        <v>1.0189999999999999</v>
      </c>
      <c r="BA115" s="126">
        <f t="shared" si="106"/>
        <v>1.0189999999999999</v>
      </c>
      <c r="BB115" s="126">
        <f t="shared" si="107"/>
        <v>1.0189999999999999</v>
      </c>
      <c r="BC115" s="126">
        <f t="shared" si="107"/>
        <v>1.0189999999999999</v>
      </c>
    </row>
    <row r="116" spans="1:56" ht="29">
      <c r="B116" s="6" t="str">
        <f t="shared" si="85"/>
        <v>Foam Adhesive dressing (sub-optimal)</v>
      </c>
      <c r="C116" s="126">
        <f t="shared" ref="C116:AG116" si="145">(IF(C$77&lt;$C$75, -1, 1) *D65)+1</f>
        <v>0.98099999999999998</v>
      </c>
      <c r="D116" s="126">
        <f t="shared" si="145"/>
        <v>0.98099999999999998</v>
      </c>
      <c r="E116" s="126">
        <f t="shared" si="145"/>
        <v>0.98099999999999998</v>
      </c>
      <c r="F116" s="126">
        <f t="shared" si="145"/>
        <v>0.98099999999999998</v>
      </c>
      <c r="G116" s="126">
        <f t="shared" si="145"/>
        <v>0.98099999999999998</v>
      </c>
      <c r="H116" s="126">
        <f t="shared" si="145"/>
        <v>0.98099999999999998</v>
      </c>
      <c r="I116" s="126">
        <f t="shared" si="145"/>
        <v>0.98299999999999998</v>
      </c>
      <c r="J116" s="126">
        <f t="shared" si="145"/>
        <v>0.98199999999999998</v>
      </c>
      <c r="K116" s="126">
        <f t="shared" si="145"/>
        <v>1.0209999999999999</v>
      </c>
      <c r="L116" s="126">
        <f t="shared" si="145"/>
        <v>1.0189999999999999</v>
      </c>
      <c r="M116" s="126">
        <f t="shared" si="145"/>
        <v>1.02</v>
      </c>
      <c r="N116" s="126">
        <f t="shared" si="145"/>
        <v>1.0189999999999999</v>
      </c>
      <c r="O116" s="126">
        <f t="shared" si="145"/>
        <v>1.0189999999999999</v>
      </c>
      <c r="P116" s="126">
        <f t="shared" si="145"/>
        <v>1.0189999999999999</v>
      </c>
      <c r="Q116" s="126">
        <f t="shared" si="145"/>
        <v>1.0189999999999999</v>
      </c>
      <c r="R116" s="126">
        <f t="shared" si="145"/>
        <v>1.0189999999999999</v>
      </c>
      <c r="S116" s="126">
        <f t="shared" si="145"/>
        <v>1.0189999999999999</v>
      </c>
      <c r="T116" s="126">
        <f t="shared" si="145"/>
        <v>1.0189999999999999</v>
      </c>
      <c r="U116" s="126">
        <f t="shared" si="145"/>
        <v>1.0189999999999999</v>
      </c>
      <c r="V116" s="126">
        <f t="shared" si="145"/>
        <v>1.0189999999999999</v>
      </c>
      <c r="W116" s="126">
        <f t="shared" si="145"/>
        <v>1.0189999999999999</v>
      </c>
      <c r="X116" s="126">
        <f t="shared" si="145"/>
        <v>1.0189999999999999</v>
      </c>
      <c r="Y116" s="126">
        <f t="shared" si="145"/>
        <v>1.0189999999999999</v>
      </c>
      <c r="Z116" s="126">
        <f t="shared" si="145"/>
        <v>1.0189999999999999</v>
      </c>
      <c r="AA116" s="126">
        <f t="shared" si="145"/>
        <v>1.0189999999999999</v>
      </c>
      <c r="AB116" s="126">
        <f t="shared" si="145"/>
        <v>1.0189999999999999</v>
      </c>
      <c r="AC116" s="126">
        <f t="shared" si="145"/>
        <v>1.0189999999999999</v>
      </c>
      <c r="AD116" s="126">
        <f t="shared" si="145"/>
        <v>1.0189999999999999</v>
      </c>
      <c r="AE116" s="126">
        <f t="shared" si="145"/>
        <v>1.0189999999999999</v>
      </c>
      <c r="AF116" s="126">
        <f t="shared" si="145"/>
        <v>1.0189999999999999</v>
      </c>
      <c r="AG116" s="126">
        <f t="shared" si="145"/>
        <v>1.0189999999999999</v>
      </c>
      <c r="AH116" s="126">
        <f t="shared" si="87"/>
        <v>1.0189999999999999</v>
      </c>
      <c r="AI116" s="126">
        <f t="shared" si="88"/>
        <v>1.0189999999999999</v>
      </c>
      <c r="AJ116" s="126">
        <f t="shared" si="89"/>
        <v>1.0189999999999999</v>
      </c>
      <c r="AK116" s="126">
        <f t="shared" si="90"/>
        <v>1.0189999999999999</v>
      </c>
      <c r="AL116" s="126">
        <f t="shared" si="91"/>
        <v>1.0189999999999999</v>
      </c>
      <c r="AM116" s="126">
        <f t="shared" si="92"/>
        <v>1.0189999999999999</v>
      </c>
      <c r="AN116" s="126">
        <f t="shared" si="93"/>
        <v>1.0189999999999999</v>
      </c>
      <c r="AO116" s="126">
        <f t="shared" si="94"/>
        <v>1.0189999999999999</v>
      </c>
      <c r="AP116" s="126">
        <f t="shared" si="95"/>
        <v>1.0189999999999999</v>
      </c>
      <c r="AQ116" s="126">
        <f t="shared" si="96"/>
        <v>1.0189999999999999</v>
      </c>
      <c r="AR116" s="126">
        <f t="shared" si="97"/>
        <v>1.0189999999999999</v>
      </c>
      <c r="AS116" s="126">
        <f t="shared" si="98"/>
        <v>1.0189999999999999</v>
      </c>
      <c r="AT116" s="126">
        <f t="shared" si="99"/>
        <v>1.0189999999999999</v>
      </c>
      <c r="AU116" s="126">
        <f t="shared" si="100"/>
        <v>1.0189999999999999</v>
      </c>
      <c r="AV116" s="126">
        <f t="shared" si="101"/>
        <v>1.0189999999999999</v>
      </c>
      <c r="AW116" s="126">
        <f t="shared" si="102"/>
        <v>1.0189999999999999</v>
      </c>
      <c r="AX116" s="126">
        <f t="shared" si="103"/>
        <v>1.0189999999999999</v>
      </c>
      <c r="AY116" s="126">
        <f t="shared" si="104"/>
        <v>1.0189999999999999</v>
      </c>
      <c r="AZ116" s="126">
        <f t="shared" si="105"/>
        <v>1.0189999999999999</v>
      </c>
      <c r="BA116" s="126">
        <f t="shared" si="106"/>
        <v>1.0189999999999999</v>
      </c>
      <c r="BB116" s="126">
        <f t="shared" si="107"/>
        <v>1.0189999999999999</v>
      </c>
      <c r="BC116" s="126">
        <f t="shared" si="107"/>
        <v>1.0189999999999999</v>
      </c>
    </row>
    <row r="117" spans="1:56">
      <c r="B117" s="6" t="str">
        <f t="shared" si="85"/>
        <v>Compression bandaging 4-layer</v>
      </c>
      <c r="C117" s="126">
        <f t="shared" ref="C117:AG117" si="146">(IF(C$77&lt;$C$75, -1, 1) *D66)+1</f>
        <v>0.98099999999999998</v>
      </c>
      <c r="D117" s="126">
        <f t="shared" si="146"/>
        <v>0.98099999999999998</v>
      </c>
      <c r="E117" s="126">
        <f t="shared" si="146"/>
        <v>0.98099999999999998</v>
      </c>
      <c r="F117" s="126">
        <f t="shared" si="146"/>
        <v>0.98099999999999998</v>
      </c>
      <c r="G117" s="126">
        <f t="shared" si="146"/>
        <v>0.98099999999999998</v>
      </c>
      <c r="H117" s="126">
        <f t="shared" si="146"/>
        <v>0.98099999999999998</v>
      </c>
      <c r="I117" s="126">
        <f t="shared" si="146"/>
        <v>0.98299999999999998</v>
      </c>
      <c r="J117" s="126">
        <f t="shared" si="146"/>
        <v>0.98199999999999998</v>
      </c>
      <c r="K117" s="126">
        <f t="shared" si="146"/>
        <v>1.0209999999999999</v>
      </c>
      <c r="L117" s="126">
        <f t="shared" si="146"/>
        <v>1.0189999999999999</v>
      </c>
      <c r="M117" s="126">
        <f t="shared" si="146"/>
        <v>1.02</v>
      </c>
      <c r="N117" s="126">
        <f t="shared" si="146"/>
        <v>1.0189999999999999</v>
      </c>
      <c r="O117" s="126">
        <f t="shared" si="146"/>
        <v>1.0189999999999999</v>
      </c>
      <c r="P117" s="126">
        <f t="shared" si="146"/>
        <v>1.0189999999999999</v>
      </c>
      <c r="Q117" s="126">
        <f t="shared" si="146"/>
        <v>1.0189999999999999</v>
      </c>
      <c r="R117" s="126">
        <f t="shared" si="146"/>
        <v>1.0189999999999999</v>
      </c>
      <c r="S117" s="126">
        <f t="shared" si="146"/>
        <v>1.0189999999999999</v>
      </c>
      <c r="T117" s="126">
        <f t="shared" si="146"/>
        <v>1.0189999999999999</v>
      </c>
      <c r="U117" s="126">
        <f t="shared" si="146"/>
        <v>1.0189999999999999</v>
      </c>
      <c r="V117" s="126">
        <f t="shared" si="146"/>
        <v>1.0189999999999999</v>
      </c>
      <c r="W117" s="126">
        <f t="shared" si="146"/>
        <v>1.0189999999999999</v>
      </c>
      <c r="X117" s="126">
        <f t="shared" si="146"/>
        <v>1.0189999999999999</v>
      </c>
      <c r="Y117" s="126">
        <f t="shared" si="146"/>
        <v>1.0189999999999999</v>
      </c>
      <c r="Z117" s="126">
        <f t="shared" si="146"/>
        <v>1.0189999999999999</v>
      </c>
      <c r="AA117" s="126">
        <f t="shared" si="146"/>
        <v>1.0189999999999999</v>
      </c>
      <c r="AB117" s="126">
        <f t="shared" si="146"/>
        <v>1.0189999999999999</v>
      </c>
      <c r="AC117" s="126">
        <f t="shared" si="146"/>
        <v>1.0189999999999999</v>
      </c>
      <c r="AD117" s="126">
        <f t="shared" si="146"/>
        <v>1.0189999999999999</v>
      </c>
      <c r="AE117" s="126">
        <f t="shared" si="146"/>
        <v>1.0189999999999999</v>
      </c>
      <c r="AF117" s="126">
        <f t="shared" si="146"/>
        <v>1.0189999999999999</v>
      </c>
      <c r="AG117" s="126">
        <f t="shared" si="146"/>
        <v>1.0189999999999999</v>
      </c>
      <c r="AH117" s="126">
        <f t="shared" ref="AH117:AQ117" si="147">(IF(AH$77&lt;$C$75, -1, 1) *AI66)+1</f>
        <v>1.0189999999999999</v>
      </c>
      <c r="AI117" s="126">
        <f t="shared" si="147"/>
        <v>1.0189999999999999</v>
      </c>
      <c r="AJ117" s="126">
        <f t="shared" si="147"/>
        <v>1.0189999999999999</v>
      </c>
      <c r="AK117" s="126">
        <f t="shared" si="147"/>
        <v>1.0189999999999999</v>
      </c>
      <c r="AL117" s="126">
        <f t="shared" si="147"/>
        <v>1.0189999999999999</v>
      </c>
      <c r="AM117" s="126">
        <f t="shared" si="147"/>
        <v>1.0189999999999999</v>
      </c>
      <c r="AN117" s="126">
        <f t="shared" si="147"/>
        <v>1.0189999999999999</v>
      </c>
      <c r="AO117" s="126">
        <f t="shared" si="147"/>
        <v>1.0189999999999999</v>
      </c>
      <c r="AP117" s="126">
        <f t="shared" si="147"/>
        <v>1.0189999999999999</v>
      </c>
      <c r="AQ117" s="126">
        <f t="shared" si="147"/>
        <v>1.0189999999999999</v>
      </c>
      <c r="AR117" s="126">
        <f t="shared" si="97"/>
        <v>1.0189999999999999</v>
      </c>
      <c r="AS117" s="126">
        <f t="shared" si="98"/>
        <v>1.0189999999999999</v>
      </c>
      <c r="AT117" s="126">
        <f t="shared" si="99"/>
        <v>1.0189999999999999</v>
      </c>
      <c r="AU117" s="126">
        <f t="shared" si="100"/>
        <v>1.0189999999999999</v>
      </c>
      <c r="AV117" s="126">
        <f t="shared" si="101"/>
        <v>1.0189999999999999</v>
      </c>
      <c r="AW117" s="126">
        <f t="shared" si="102"/>
        <v>1.0189999999999999</v>
      </c>
      <c r="AX117" s="126">
        <f t="shared" si="103"/>
        <v>1.0189999999999999</v>
      </c>
      <c r="AY117" s="126">
        <f t="shared" si="104"/>
        <v>1.0189999999999999</v>
      </c>
      <c r="AZ117" s="126">
        <f t="shared" si="105"/>
        <v>1.0189999999999999</v>
      </c>
      <c r="BA117" s="126">
        <f t="shared" si="106"/>
        <v>1.0189999999999999</v>
      </c>
      <c r="BB117" s="126">
        <f t="shared" si="107"/>
        <v>1.0189999999999999</v>
      </c>
      <c r="BC117" s="126">
        <f t="shared" si="107"/>
        <v>1.0189999999999999</v>
      </c>
    </row>
    <row r="118" spans="1:56">
      <c r="B118" s="6" t="str">
        <f t="shared" si="85"/>
        <v>Specialist nurse visits</v>
      </c>
      <c r="C118" s="126">
        <f t="shared" ref="C118:AG118" si="148">(IF(C$77&lt;$C$75, -1, 1) *D67)+1</f>
        <v>0.97719999999999996</v>
      </c>
      <c r="D118" s="126">
        <f t="shared" si="148"/>
        <v>0.97719999999999996</v>
      </c>
      <c r="E118" s="126">
        <f t="shared" si="148"/>
        <v>0.97719999999999996</v>
      </c>
      <c r="F118" s="126">
        <f t="shared" si="148"/>
        <v>0.97719999999999996</v>
      </c>
      <c r="G118" s="126">
        <f t="shared" si="148"/>
        <v>0.97719999999999996</v>
      </c>
      <c r="H118" s="126">
        <f t="shared" si="148"/>
        <v>0.97719999999999996</v>
      </c>
      <c r="I118" s="126">
        <f t="shared" si="148"/>
        <v>0.96699999999999997</v>
      </c>
      <c r="J118" s="126">
        <f t="shared" si="148"/>
        <v>0.98</v>
      </c>
      <c r="K118" s="126">
        <f t="shared" si="148"/>
        <v>1.016</v>
      </c>
      <c r="L118" s="126">
        <f t="shared" si="148"/>
        <v>1.016</v>
      </c>
      <c r="M118" s="126">
        <f t="shared" si="148"/>
        <v>1.0289999999999999</v>
      </c>
      <c r="N118" s="126">
        <f t="shared" si="148"/>
        <v>1.0227999999999999</v>
      </c>
      <c r="O118" s="126">
        <f t="shared" si="148"/>
        <v>1.0227999999999999</v>
      </c>
      <c r="P118" s="126">
        <f t="shared" si="148"/>
        <v>1.0227999999999999</v>
      </c>
      <c r="Q118" s="126">
        <f t="shared" si="148"/>
        <v>1.0227999999999999</v>
      </c>
      <c r="R118" s="126">
        <f t="shared" si="148"/>
        <v>1.0227999999999999</v>
      </c>
      <c r="S118" s="126">
        <f t="shared" si="148"/>
        <v>1.0227999999999999</v>
      </c>
      <c r="T118" s="126">
        <f t="shared" si="148"/>
        <v>1.0227999999999999</v>
      </c>
      <c r="U118" s="126">
        <f t="shared" si="148"/>
        <v>1.0227999999999999</v>
      </c>
      <c r="V118" s="126">
        <f t="shared" si="148"/>
        <v>1.0227999999999999</v>
      </c>
      <c r="W118" s="126">
        <f t="shared" si="148"/>
        <v>1.0227999999999999</v>
      </c>
      <c r="X118" s="126">
        <f t="shared" si="148"/>
        <v>1.0227999999999999</v>
      </c>
      <c r="Y118" s="126">
        <f t="shared" si="148"/>
        <v>1.0227999999999999</v>
      </c>
      <c r="Z118" s="126">
        <f t="shared" si="148"/>
        <v>1.0227999999999999</v>
      </c>
      <c r="AA118" s="126">
        <f t="shared" si="148"/>
        <v>1.0227999999999999</v>
      </c>
      <c r="AB118" s="126">
        <f t="shared" si="148"/>
        <v>1.0227999999999999</v>
      </c>
      <c r="AC118" s="126">
        <f t="shared" si="148"/>
        <v>1.0227999999999999</v>
      </c>
      <c r="AD118" s="126">
        <f t="shared" si="148"/>
        <v>1.0227999999999999</v>
      </c>
      <c r="AE118" s="126">
        <f t="shared" si="148"/>
        <v>1.0227999999999999</v>
      </c>
      <c r="AF118" s="126">
        <f t="shared" si="148"/>
        <v>1.0227999999999999</v>
      </c>
      <c r="AG118" s="126">
        <f t="shared" si="148"/>
        <v>1.0227999999999999</v>
      </c>
      <c r="AH118" s="126">
        <f t="shared" ref="AH118:AQ118" si="149">(IF(AH$77&lt;$C$75, -1, 1) *AI67)+1</f>
        <v>1.0227999999999999</v>
      </c>
      <c r="AI118" s="126">
        <f t="shared" si="149"/>
        <v>1.0227999999999999</v>
      </c>
      <c r="AJ118" s="126">
        <f t="shared" si="149"/>
        <v>1.0227999999999999</v>
      </c>
      <c r="AK118" s="126">
        <f t="shared" si="149"/>
        <v>1.0227999999999999</v>
      </c>
      <c r="AL118" s="126">
        <f t="shared" si="149"/>
        <v>1.0227999999999999</v>
      </c>
      <c r="AM118" s="126">
        <f t="shared" si="149"/>
        <v>1.0227999999999999</v>
      </c>
      <c r="AN118" s="126">
        <f t="shared" si="149"/>
        <v>1.0227999999999999</v>
      </c>
      <c r="AO118" s="126">
        <f t="shared" si="149"/>
        <v>1.0227999999999999</v>
      </c>
      <c r="AP118" s="126">
        <f t="shared" si="149"/>
        <v>1.0227999999999999</v>
      </c>
      <c r="AQ118" s="126">
        <f t="shared" si="149"/>
        <v>1.0227999999999999</v>
      </c>
      <c r="AR118" s="126">
        <f t="shared" si="97"/>
        <v>1.0227999999999999</v>
      </c>
      <c r="AS118" s="126">
        <f t="shared" si="98"/>
        <v>1.0227999999999999</v>
      </c>
      <c r="AT118" s="126">
        <f t="shared" si="99"/>
        <v>1.0227999999999999</v>
      </c>
      <c r="AU118" s="126">
        <f t="shared" si="100"/>
        <v>1.0227999999999999</v>
      </c>
      <c r="AV118" s="126">
        <f t="shared" si="101"/>
        <v>1.0227999999999999</v>
      </c>
      <c r="AW118" s="126">
        <f t="shared" si="102"/>
        <v>1.0227999999999999</v>
      </c>
      <c r="AX118" s="126">
        <f t="shared" si="103"/>
        <v>1.0227999999999999</v>
      </c>
      <c r="AY118" s="126">
        <f t="shared" si="104"/>
        <v>1.0227999999999999</v>
      </c>
      <c r="AZ118" s="126">
        <f t="shared" si="105"/>
        <v>1.0227999999999999</v>
      </c>
      <c r="BA118" s="126">
        <f t="shared" si="106"/>
        <v>1.0227999999999999</v>
      </c>
      <c r="BB118" s="126">
        <f t="shared" si="107"/>
        <v>1.0227999999999999</v>
      </c>
      <c r="BC118" s="126">
        <f t="shared" si="107"/>
        <v>1.0227999999999999</v>
      </c>
    </row>
    <row r="120" spans="1:56">
      <c r="A120" s="9" t="s">
        <v>2472</v>
      </c>
      <c r="B120" s="9" t="s">
        <v>179</v>
      </c>
    </row>
    <row r="121" spans="1:56">
      <c r="A121" s="9"/>
      <c r="B121" s="9"/>
    </row>
    <row r="122" spans="1:56">
      <c r="A122" s="9"/>
      <c r="B122" s="9"/>
    </row>
    <row r="123" spans="1:56">
      <c r="B123" s="117" t="s">
        <v>178</v>
      </c>
      <c r="C123" s="134">
        <f>'Resource costs'!C118</f>
        <v>2018</v>
      </c>
    </row>
    <row r="124" spans="1:56">
      <c r="K124" s="4" t="s">
        <v>178</v>
      </c>
    </row>
    <row r="125" spans="1:56">
      <c r="B125" s="7" t="s">
        <v>125</v>
      </c>
      <c r="D125" s="7">
        <f t="shared" ref="D125" si="150">E125-1</f>
        <v>2012</v>
      </c>
      <c r="E125" s="7">
        <f t="shared" ref="E125" si="151">F125-1</f>
        <v>2013</v>
      </c>
      <c r="F125" s="7">
        <f t="shared" ref="F125:G125" si="152">G125-1</f>
        <v>2014</v>
      </c>
      <c r="G125" s="7">
        <f t="shared" si="152"/>
        <v>2015</v>
      </c>
      <c r="H125" s="7">
        <f>I125-1</f>
        <v>2016</v>
      </c>
      <c r="I125" s="7">
        <f>K125-1</f>
        <v>2017</v>
      </c>
      <c r="K125" s="7">
        <f>C123</f>
        <v>2018</v>
      </c>
      <c r="M125" s="7">
        <f>K125+1</f>
        <v>2019</v>
      </c>
      <c r="N125" s="7">
        <f t="shared" ref="N125:AJ125" si="153">M125+1</f>
        <v>2020</v>
      </c>
      <c r="O125" s="7">
        <f t="shared" si="153"/>
        <v>2021</v>
      </c>
      <c r="P125" s="7">
        <f t="shared" si="153"/>
        <v>2022</v>
      </c>
      <c r="Q125" s="7">
        <f t="shared" si="153"/>
        <v>2023</v>
      </c>
      <c r="R125" s="7">
        <f t="shared" si="153"/>
        <v>2024</v>
      </c>
      <c r="S125" s="7">
        <f t="shared" si="153"/>
        <v>2025</v>
      </c>
      <c r="T125" s="7">
        <f t="shared" si="153"/>
        <v>2026</v>
      </c>
      <c r="U125" s="7">
        <f t="shared" si="153"/>
        <v>2027</v>
      </c>
      <c r="V125" s="7">
        <f t="shared" si="153"/>
        <v>2028</v>
      </c>
      <c r="W125" s="7">
        <f t="shared" si="153"/>
        <v>2029</v>
      </c>
      <c r="X125" s="7">
        <f t="shared" si="153"/>
        <v>2030</v>
      </c>
      <c r="Y125" s="7">
        <f t="shared" si="153"/>
        <v>2031</v>
      </c>
      <c r="Z125" s="7">
        <f t="shared" si="153"/>
        <v>2032</v>
      </c>
      <c r="AA125" s="7">
        <f t="shared" si="153"/>
        <v>2033</v>
      </c>
      <c r="AB125" s="7">
        <f t="shared" si="153"/>
        <v>2034</v>
      </c>
      <c r="AC125" s="7">
        <f t="shared" si="153"/>
        <v>2035</v>
      </c>
      <c r="AD125" s="7">
        <f t="shared" si="153"/>
        <v>2036</v>
      </c>
      <c r="AE125" s="7">
        <f t="shared" si="153"/>
        <v>2037</v>
      </c>
      <c r="AF125" s="7">
        <f t="shared" si="153"/>
        <v>2038</v>
      </c>
      <c r="AG125" s="7">
        <f t="shared" si="153"/>
        <v>2039</v>
      </c>
      <c r="AH125" s="7">
        <f t="shared" si="153"/>
        <v>2040</v>
      </c>
      <c r="AI125" s="7">
        <f t="shared" si="153"/>
        <v>2041</v>
      </c>
      <c r="AJ125" s="7">
        <f t="shared" si="153"/>
        <v>2042</v>
      </c>
      <c r="AK125" s="7">
        <f t="shared" ref="AK125:AM125" si="154">AJ125+1</f>
        <v>2043</v>
      </c>
      <c r="AL125" s="7">
        <f t="shared" si="154"/>
        <v>2044</v>
      </c>
      <c r="AM125" s="7">
        <f t="shared" si="154"/>
        <v>2045</v>
      </c>
      <c r="AN125" s="7">
        <f t="shared" ref="AN125" si="155">AM125+1</f>
        <v>2046</v>
      </c>
      <c r="AO125" s="7">
        <f t="shared" ref="AO125" si="156">AN125+1</f>
        <v>2047</v>
      </c>
      <c r="AP125" s="7">
        <f t="shared" ref="AP125" si="157">AO125+1</f>
        <v>2048</v>
      </c>
      <c r="AQ125" s="7">
        <f t="shared" ref="AQ125:AR125" si="158">AP125+1</f>
        <v>2049</v>
      </c>
      <c r="AR125" s="7">
        <f t="shared" si="158"/>
        <v>2050</v>
      </c>
      <c r="AS125" s="7">
        <f t="shared" ref="AS125" si="159">AR125+1</f>
        <v>2051</v>
      </c>
      <c r="AT125" s="7">
        <f t="shared" ref="AT125" si="160">AS125+1</f>
        <v>2052</v>
      </c>
      <c r="AU125" s="7">
        <f t="shared" ref="AU125" si="161">AT125+1</f>
        <v>2053</v>
      </c>
      <c r="AV125" s="7">
        <f t="shared" ref="AV125" si="162">AU125+1</f>
        <v>2054</v>
      </c>
      <c r="AW125" s="7">
        <f t="shared" ref="AW125" si="163">AV125+1</f>
        <v>2055</v>
      </c>
      <c r="AX125" s="7">
        <f t="shared" ref="AX125" si="164">AW125+1</f>
        <v>2056</v>
      </c>
      <c r="AY125" s="7">
        <f t="shared" ref="AY125" si="165">AX125+1</f>
        <v>2057</v>
      </c>
      <c r="AZ125" s="7">
        <f t="shared" ref="AZ125" si="166">AY125+1</f>
        <v>2058</v>
      </c>
      <c r="BA125" s="7">
        <f t="shared" ref="BA125" si="167">AZ125+1</f>
        <v>2059</v>
      </c>
      <c r="BB125" s="7">
        <f t="shared" ref="BB125" si="168">BA125+1</f>
        <v>2060</v>
      </c>
      <c r="BC125" s="7">
        <f t="shared" ref="BC125:BD125" si="169">BB125+1</f>
        <v>2061</v>
      </c>
      <c r="BD125" s="7">
        <f t="shared" si="169"/>
        <v>2062</v>
      </c>
    </row>
    <row r="126" spans="1:56">
      <c r="B126" s="6" t="str">
        <f>B78</f>
        <v>Amputations</v>
      </c>
      <c r="D126" s="126">
        <f>INDEX($C78:$AG78, MATCH(D$125, $C$77:$AG$77,0))*E126</f>
        <v>0.89400723846022712</v>
      </c>
      <c r="E126" s="126">
        <f>INDEX($C78:$AG78, MATCH(E$125, $C$77:$AG$77,0))*F126</f>
        <v>0.91132236336414596</v>
      </c>
      <c r="F126" s="126">
        <f>INDEX($C78:$AG78, MATCH(F$125, $C$77:$AG$77,0))*G126</f>
        <v>0.92897284746599995</v>
      </c>
      <c r="G126" s="126">
        <f>INDEX($C78:$AG78, MATCH(G$125, $C$77:$AG$77,0))*H126</f>
        <v>0.94696518600000001</v>
      </c>
      <c r="H126" s="126">
        <f>INDEX($C78:$AG78, MATCH(H$125, $C$77:$AG$77,0))*I126</f>
        <v>0.965306</v>
      </c>
      <c r="I126" s="126">
        <f>INDEX($C78:$AG78, MATCH(I$125, $C$77:$AG$77,0))*K126</f>
        <v>0.98199999999999998</v>
      </c>
      <c r="K126" s="123">
        <v>1</v>
      </c>
      <c r="M126" s="126">
        <f>INDEX($C78:$BC78, MATCH(M$125, $C$77:$BC$77,0))*K126</f>
        <v>1.0189999999999999</v>
      </c>
      <c r="N126" s="126">
        <f>INDEX($C78:$BC78, MATCH(N$125, $C$77:$BC$77,0))*M126</f>
        <v>1.03938</v>
      </c>
      <c r="O126" s="126">
        <f t="shared" ref="O126:BA126" si="170">INDEX($C78:$BC78, MATCH(O$125, $C$77:$BC$77,0))*N126</f>
        <v>1.0591282199999998</v>
      </c>
      <c r="P126" s="126">
        <f t="shared" si="170"/>
        <v>1.0792516561799996</v>
      </c>
      <c r="Q126" s="126">
        <f t="shared" si="170"/>
        <v>1.0997574376474195</v>
      </c>
      <c r="R126" s="126">
        <f t="shared" si="170"/>
        <v>1.1206528289627204</v>
      </c>
      <c r="S126" s="126">
        <f t="shared" si="170"/>
        <v>1.141945232713012</v>
      </c>
      <c r="T126" s="126">
        <f t="shared" si="170"/>
        <v>1.163642192134559</v>
      </c>
      <c r="U126" s="126">
        <f t="shared" si="170"/>
        <v>1.1857513937851154</v>
      </c>
      <c r="V126" s="126">
        <f t="shared" si="170"/>
        <v>1.2082806702670326</v>
      </c>
      <c r="W126" s="126">
        <f t="shared" si="170"/>
        <v>1.2312380030021062</v>
      </c>
      <c r="X126" s="126">
        <f t="shared" si="170"/>
        <v>1.254631525059146</v>
      </c>
      <c r="Y126" s="126">
        <f t="shared" si="170"/>
        <v>1.2784695240352697</v>
      </c>
      <c r="Z126" s="126">
        <f t="shared" si="170"/>
        <v>1.3027604449919397</v>
      </c>
      <c r="AA126" s="126">
        <f t="shared" si="170"/>
        <v>1.3275128934467864</v>
      </c>
      <c r="AB126" s="126">
        <f t="shared" si="170"/>
        <v>1.3527356384222751</v>
      </c>
      <c r="AC126" s="126">
        <f t="shared" si="170"/>
        <v>1.3784376155522982</v>
      </c>
      <c r="AD126" s="126">
        <f t="shared" si="170"/>
        <v>1.4046279302477918</v>
      </c>
      <c r="AE126" s="126">
        <f t="shared" si="170"/>
        <v>1.4313158609224996</v>
      </c>
      <c r="AF126" s="126">
        <f t="shared" si="170"/>
        <v>1.4585108622800269</v>
      </c>
      <c r="AG126" s="126">
        <f t="shared" si="170"/>
        <v>1.4862225686633472</v>
      </c>
      <c r="AH126" s="126">
        <f t="shared" si="170"/>
        <v>1.5144607974679507</v>
      </c>
      <c r="AI126" s="126">
        <f t="shared" si="170"/>
        <v>1.5432355526198416</v>
      </c>
      <c r="AJ126" s="126">
        <f t="shared" si="170"/>
        <v>1.5725570281196184</v>
      </c>
      <c r="AK126" s="126">
        <f t="shared" si="170"/>
        <v>1.6024356116538909</v>
      </c>
      <c r="AL126" s="126">
        <f t="shared" si="170"/>
        <v>1.6328818882753147</v>
      </c>
      <c r="AM126" s="126">
        <f t="shared" si="170"/>
        <v>1.6639066441525454</v>
      </c>
      <c r="AN126" s="126">
        <f t="shared" si="170"/>
        <v>1.6955208703914437</v>
      </c>
      <c r="AO126" s="126">
        <f t="shared" si="170"/>
        <v>1.7277357669288811</v>
      </c>
      <c r="AP126" s="126">
        <f t="shared" si="170"/>
        <v>1.7605627465005296</v>
      </c>
      <c r="AQ126" s="126">
        <f t="shared" si="170"/>
        <v>1.7940134386840394</v>
      </c>
      <c r="AR126" s="126">
        <f t="shared" si="170"/>
        <v>1.8280996940190359</v>
      </c>
      <c r="AS126" s="126">
        <f t="shared" si="170"/>
        <v>1.8628335882053975</v>
      </c>
      <c r="AT126" s="126">
        <f t="shared" si="170"/>
        <v>1.8982274263812999</v>
      </c>
      <c r="AU126" s="126">
        <f t="shared" si="170"/>
        <v>1.9342937474825443</v>
      </c>
      <c r="AV126" s="126">
        <f t="shared" si="170"/>
        <v>1.9710453286847125</v>
      </c>
      <c r="AW126" s="126">
        <f t="shared" si="170"/>
        <v>2.0084951899297216</v>
      </c>
      <c r="AX126" s="126">
        <f t="shared" si="170"/>
        <v>2.046656598538386</v>
      </c>
      <c r="AY126" s="126">
        <f t="shared" si="170"/>
        <v>2.0855430739106153</v>
      </c>
      <c r="AZ126" s="126">
        <f t="shared" si="170"/>
        <v>2.1251683923149169</v>
      </c>
      <c r="BA126" s="126">
        <f t="shared" si="170"/>
        <v>2.1655465917689001</v>
      </c>
      <c r="BB126" s="126">
        <f t="shared" ref="BB126:BC126" si="171">INDEX($C78:$BC78, MATCH(BB$125, $C$77:$BC$77,0))*BA126</f>
        <v>2.2066919770125089</v>
      </c>
      <c r="BC126" s="126">
        <f t="shared" si="171"/>
        <v>2.2486191245757463</v>
      </c>
      <c r="BD126" s="126">
        <f t="shared" ref="BD126" si="172">INDEX($C78:$BC78, MATCH(BD$125, $C$77:$BC$77,0))*BC126</f>
        <v>2.2913428879426854</v>
      </c>
    </row>
    <row r="127" spans="1:56">
      <c r="B127" s="6" t="str">
        <f t="shared" ref="B127:B166" si="173">B79</f>
        <v>Community nurse visits</v>
      </c>
      <c r="D127" s="126">
        <f t="shared" ref="D127:H127" si="174">INDEX($C79:$AG79, MATCH(D$125, $C$77:$AG$77,0))*E127</f>
        <v>0.86414452553641208</v>
      </c>
      <c r="E127" s="126">
        <f t="shared" si="174"/>
        <v>0.88430671872330346</v>
      </c>
      <c r="F127" s="126">
        <f t="shared" si="174"/>
        <v>0.90493933557439987</v>
      </c>
      <c r="G127" s="126">
        <f t="shared" si="174"/>
        <v>0.92605335199999994</v>
      </c>
      <c r="H127" s="126">
        <f t="shared" si="174"/>
        <v>0.94765999999999995</v>
      </c>
      <c r="I127" s="126">
        <f t="shared" ref="I127:I165" si="175">INDEX($C79:$AG79, MATCH(I$125, $C$77:$AG$77,0))*K127</f>
        <v>0.98</v>
      </c>
      <c r="K127" s="123">
        <v>1</v>
      </c>
      <c r="M127" s="126">
        <f t="shared" ref="M127:M166" si="176">INDEX($C79:$BC79, MATCH(M$125, $C$77:$BC$77,0))*K127</f>
        <v>1.016</v>
      </c>
      <c r="N127" s="126">
        <f t="shared" ref="N127:BA127" si="177">INDEX($C79:$BC79, MATCH(N$125, $C$77:$BC$77,0))*M127</f>
        <v>1.0454639999999999</v>
      </c>
      <c r="O127" s="126">
        <f t="shared" si="177"/>
        <v>1.0693005791999999</v>
      </c>
      <c r="P127" s="126">
        <f t="shared" si="177"/>
        <v>1.0936806324057597</v>
      </c>
      <c r="Q127" s="126">
        <f t="shared" si="177"/>
        <v>1.1186165508246111</v>
      </c>
      <c r="R127" s="126">
        <f t="shared" si="177"/>
        <v>1.1441210081834121</v>
      </c>
      <c r="S127" s="126">
        <f t="shared" si="177"/>
        <v>1.1702069671699937</v>
      </c>
      <c r="T127" s="126">
        <f t="shared" si="177"/>
        <v>1.1968876860214694</v>
      </c>
      <c r="U127" s="126">
        <f t="shared" si="177"/>
        <v>1.2241767252627589</v>
      </c>
      <c r="V127" s="126">
        <f t="shared" si="177"/>
        <v>1.2520879545987498</v>
      </c>
      <c r="W127" s="126">
        <f t="shared" si="177"/>
        <v>1.2806355599636012</v>
      </c>
      <c r="X127" s="126">
        <f t="shared" si="177"/>
        <v>1.3098340507307713</v>
      </c>
      <c r="Y127" s="126">
        <f t="shared" si="177"/>
        <v>1.3396982670874329</v>
      </c>
      <c r="Z127" s="126">
        <f t="shared" si="177"/>
        <v>1.3702433875770264</v>
      </c>
      <c r="AA127" s="126">
        <f t="shared" si="177"/>
        <v>1.4014849368137825</v>
      </c>
      <c r="AB127" s="126">
        <f t="shared" si="177"/>
        <v>1.4334387933731367</v>
      </c>
      <c r="AC127" s="126">
        <f t="shared" si="177"/>
        <v>1.4661211978620441</v>
      </c>
      <c r="AD127" s="126">
        <f t="shared" si="177"/>
        <v>1.4995487611732985</v>
      </c>
      <c r="AE127" s="126">
        <f t="shared" si="177"/>
        <v>1.5337384729280497</v>
      </c>
      <c r="AF127" s="126">
        <f t="shared" si="177"/>
        <v>1.5687077101108091</v>
      </c>
      <c r="AG127" s="126">
        <f t="shared" si="177"/>
        <v>1.6044742459013355</v>
      </c>
      <c r="AH127" s="126">
        <f t="shared" si="177"/>
        <v>1.6410562587078859</v>
      </c>
      <c r="AI127" s="126">
        <f t="shared" si="177"/>
        <v>1.6784723414064255</v>
      </c>
      <c r="AJ127" s="126">
        <f t="shared" si="177"/>
        <v>1.716741510790492</v>
      </c>
      <c r="AK127" s="126">
        <f t="shared" si="177"/>
        <v>1.7558832172365151</v>
      </c>
      <c r="AL127" s="126">
        <f t="shared" si="177"/>
        <v>1.7959173545895075</v>
      </c>
      <c r="AM127" s="126">
        <f t="shared" si="177"/>
        <v>1.8368642702741482</v>
      </c>
      <c r="AN127" s="126">
        <f t="shared" si="177"/>
        <v>1.8787447756363986</v>
      </c>
      <c r="AO127" s="126">
        <f t="shared" si="177"/>
        <v>1.9215801565209083</v>
      </c>
      <c r="AP127" s="126">
        <f t="shared" si="177"/>
        <v>1.9653921840895849</v>
      </c>
      <c r="AQ127" s="126">
        <f t="shared" si="177"/>
        <v>2.0102031258868274</v>
      </c>
      <c r="AR127" s="126">
        <f t="shared" si="177"/>
        <v>2.0560357571570469</v>
      </c>
      <c r="AS127" s="126">
        <f t="shared" si="177"/>
        <v>2.1029133724202276</v>
      </c>
      <c r="AT127" s="126">
        <f t="shared" si="177"/>
        <v>2.1508597973114085</v>
      </c>
      <c r="AU127" s="126">
        <f t="shared" si="177"/>
        <v>2.1998994006901085</v>
      </c>
      <c r="AV127" s="126">
        <f t="shared" si="177"/>
        <v>2.2500571070258428</v>
      </c>
      <c r="AW127" s="126">
        <f t="shared" si="177"/>
        <v>2.3013584090660317</v>
      </c>
      <c r="AX127" s="126">
        <f t="shared" si="177"/>
        <v>2.3538293807927371</v>
      </c>
      <c r="AY127" s="126">
        <f t="shared" si="177"/>
        <v>2.4074966906748112</v>
      </c>
      <c r="AZ127" s="126">
        <f t="shared" si="177"/>
        <v>2.4623876152221968</v>
      </c>
      <c r="BA127" s="126">
        <f t="shared" si="177"/>
        <v>2.5185300528492629</v>
      </c>
      <c r="BB127" s="126">
        <f t="shared" ref="BB127:BC127" si="178">INDEX($C79:$BC79, MATCH(BB$125, $C$77:$BC$77,0))*BA127</f>
        <v>2.5759525380542261</v>
      </c>
      <c r="BC127" s="126">
        <f t="shared" si="178"/>
        <v>2.6346842559218624</v>
      </c>
      <c r="BD127" s="126">
        <f t="shared" ref="BD127" si="179">INDEX($C79:$BC79, MATCH(BD$125, $C$77:$BC$77,0))*BC127</f>
        <v>2.6947550569568808</v>
      </c>
    </row>
    <row r="128" spans="1:56" s="73" customFormat="1">
      <c r="B128" s="6" t="str">
        <f t="shared" si="173"/>
        <v>Practice nurse visits</v>
      </c>
      <c r="C128"/>
      <c r="D128" s="126">
        <f t="shared" ref="D128:H128" si="180">INDEX($C80:$AG80, MATCH(D$125, $C$77:$AG$77,0))*E128</f>
        <v>0.86414452553641208</v>
      </c>
      <c r="E128" s="126">
        <f t="shared" si="180"/>
        <v>0.88430671872330346</v>
      </c>
      <c r="F128" s="126">
        <f t="shared" si="180"/>
        <v>0.90493933557439987</v>
      </c>
      <c r="G128" s="126">
        <f t="shared" si="180"/>
        <v>0.92605335199999994</v>
      </c>
      <c r="H128" s="126">
        <f t="shared" si="180"/>
        <v>0.94765999999999995</v>
      </c>
      <c r="I128" s="126">
        <f t="shared" si="175"/>
        <v>0.98</v>
      </c>
      <c r="J128"/>
      <c r="K128" s="123">
        <v>1</v>
      </c>
      <c r="L128"/>
      <c r="M128" s="126">
        <f t="shared" si="176"/>
        <v>1.016</v>
      </c>
      <c r="N128" s="126">
        <f t="shared" ref="N128:BA128" si="181">INDEX($C80:$BC80, MATCH(N$125, $C$77:$BC$77,0))*M128</f>
        <v>1.0454639999999999</v>
      </c>
      <c r="O128" s="126">
        <f t="shared" si="181"/>
        <v>1.0693005791999999</v>
      </c>
      <c r="P128" s="126">
        <f t="shared" si="181"/>
        <v>1.0936806324057597</v>
      </c>
      <c r="Q128" s="126">
        <f t="shared" si="181"/>
        <v>1.1186165508246111</v>
      </c>
      <c r="R128" s="126">
        <f t="shared" si="181"/>
        <v>1.1441210081834121</v>
      </c>
      <c r="S128" s="126">
        <f t="shared" si="181"/>
        <v>1.1702069671699937</v>
      </c>
      <c r="T128" s="126">
        <f t="shared" si="181"/>
        <v>1.1968876860214694</v>
      </c>
      <c r="U128" s="126">
        <f t="shared" si="181"/>
        <v>1.2241767252627589</v>
      </c>
      <c r="V128" s="126">
        <f t="shared" si="181"/>
        <v>1.2520879545987498</v>
      </c>
      <c r="W128" s="126">
        <f t="shared" si="181"/>
        <v>1.2806355599636012</v>
      </c>
      <c r="X128" s="126">
        <f t="shared" si="181"/>
        <v>1.3098340507307713</v>
      </c>
      <c r="Y128" s="126">
        <f t="shared" si="181"/>
        <v>1.3396982670874329</v>
      </c>
      <c r="Z128" s="126">
        <f t="shared" si="181"/>
        <v>1.3702433875770264</v>
      </c>
      <c r="AA128" s="126">
        <f t="shared" si="181"/>
        <v>1.4014849368137825</v>
      </c>
      <c r="AB128" s="126">
        <f t="shared" si="181"/>
        <v>1.4334387933731367</v>
      </c>
      <c r="AC128" s="126">
        <f t="shared" si="181"/>
        <v>1.4661211978620441</v>
      </c>
      <c r="AD128" s="126">
        <f t="shared" si="181"/>
        <v>1.4995487611732985</v>
      </c>
      <c r="AE128" s="126">
        <f t="shared" si="181"/>
        <v>1.5337384729280497</v>
      </c>
      <c r="AF128" s="126">
        <f t="shared" si="181"/>
        <v>1.5687077101108091</v>
      </c>
      <c r="AG128" s="126">
        <f t="shared" si="181"/>
        <v>1.6044742459013355</v>
      </c>
      <c r="AH128" s="126">
        <f t="shared" si="181"/>
        <v>1.6410562587078859</v>
      </c>
      <c r="AI128" s="126">
        <f t="shared" si="181"/>
        <v>1.6784723414064255</v>
      </c>
      <c r="AJ128" s="126">
        <f t="shared" si="181"/>
        <v>1.716741510790492</v>
      </c>
      <c r="AK128" s="126">
        <f t="shared" si="181"/>
        <v>1.7558832172365151</v>
      </c>
      <c r="AL128" s="126">
        <f t="shared" si="181"/>
        <v>1.7959173545895075</v>
      </c>
      <c r="AM128" s="126">
        <f t="shared" si="181"/>
        <v>1.8368642702741482</v>
      </c>
      <c r="AN128" s="126">
        <f t="shared" si="181"/>
        <v>1.8787447756363986</v>
      </c>
      <c r="AO128" s="126">
        <f t="shared" si="181"/>
        <v>1.9215801565209083</v>
      </c>
      <c r="AP128" s="126">
        <f t="shared" si="181"/>
        <v>1.9653921840895849</v>
      </c>
      <c r="AQ128" s="126">
        <f t="shared" si="181"/>
        <v>2.0102031258868274</v>
      </c>
      <c r="AR128" s="126">
        <f t="shared" si="181"/>
        <v>2.0560357571570469</v>
      </c>
      <c r="AS128" s="126">
        <f t="shared" si="181"/>
        <v>2.1029133724202276</v>
      </c>
      <c r="AT128" s="126">
        <f t="shared" si="181"/>
        <v>2.1508597973114085</v>
      </c>
      <c r="AU128" s="126">
        <f t="shared" si="181"/>
        <v>2.1998994006901085</v>
      </c>
      <c r="AV128" s="126">
        <f t="shared" si="181"/>
        <v>2.2500571070258428</v>
      </c>
      <c r="AW128" s="126">
        <f t="shared" si="181"/>
        <v>2.3013584090660317</v>
      </c>
      <c r="AX128" s="126">
        <f t="shared" si="181"/>
        <v>2.3538293807927371</v>
      </c>
      <c r="AY128" s="126">
        <f t="shared" si="181"/>
        <v>2.4074966906748112</v>
      </c>
      <c r="AZ128" s="126">
        <f t="shared" si="181"/>
        <v>2.4623876152221968</v>
      </c>
      <c r="BA128" s="126">
        <f t="shared" si="181"/>
        <v>2.5185300528492629</v>
      </c>
      <c r="BB128" s="126">
        <f t="shared" ref="BB128:BC128" si="182">INDEX($C80:$BC80, MATCH(BB$125, $C$77:$BC$77,0))*BA128</f>
        <v>2.5759525380542261</v>
      </c>
      <c r="BC128" s="126">
        <f t="shared" si="182"/>
        <v>2.6346842559218624</v>
      </c>
      <c r="BD128" s="126">
        <f t="shared" ref="BD128" si="183">INDEX($C80:$BC80, MATCH(BD$125, $C$77:$BC$77,0))*BC128</f>
        <v>2.6947550569568808</v>
      </c>
    </row>
    <row r="129" spans="2:56">
      <c r="B129" s="6" t="str">
        <f t="shared" si="173"/>
        <v>Community nurses</v>
      </c>
      <c r="D129" s="126">
        <f t="shared" ref="D129:H129" si="184">INDEX($C81:$AG81, MATCH(D$125, $C$77:$AG$77,0))*E129</f>
        <v>0.86414452553641208</v>
      </c>
      <c r="E129" s="126">
        <f t="shared" si="184"/>
        <v>0.88430671872330346</v>
      </c>
      <c r="F129" s="126">
        <f t="shared" si="184"/>
        <v>0.90493933557439987</v>
      </c>
      <c r="G129" s="126">
        <f t="shared" si="184"/>
        <v>0.92605335199999994</v>
      </c>
      <c r="H129" s="126">
        <f t="shared" si="184"/>
        <v>0.94765999999999995</v>
      </c>
      <c r="I129" s="126">
        <f t="shared" si="175"/>
        <v>0.98</v>
      </c>
      <c r="K129" s="123">
        <v>1</v>
      </c>
      <c r="M129" s="126">
        <f t="shared" si="176"/>
        <v>1.016</v>
      </c>
      <c r="N129" s="126">
        <f t="shared" ref="N129:BA129" si="185">INDEX($C81:$BC81, MATCH(N$125, $C$77:$BC$77,0))*M129</f>
        <v>1.0454639999999999</v>
      </c>
      <c r="O129" s="126">
        <f t="shared" si="185"/>
        <v>1.0693005791999999</v>
      </c>
      <c r="P129" s="126">
        <f t="shared" si="185"/>
        <v>1.0936806324057597</v>
      </c>
      <c r="Q129" s="126">
        <f t="shared" si="185"/>
        <v>1.1186165508246111</v>
      </c>
      <c r="R129" s="126">
        <f t="shared" si="185"/>
        <v>1.1441210081834121</v>
      </c>
      <c r="S129" s="126">
        <f t="shared" si="185"/>
        <v>1.1702069671699937</v>
      </c>
      <c r="T129" s="126">
        <f t="shared" si="185"/>
        <v>1.1968876860214694</v>
      </c>
      <c r="U129" s="126">
        <f t="shared" si="185"/>
        <v>1.2241767252627589</v>
      </c>
      <c r="V129" s="126">
        <f t="shared" si="185"/>
        <v>1.2520879545987498</v>
      </c>
      <c r="W129" s="126">
        <f t="shared" si="185"/>
        <v>1.2806355599636012</v>
      </c>
      <c r="X129" s="126">
        <f t="shared" si="185"/>
        <v>1.3098340507307713</v>
      </c>
      <c r="Y129" s="126">
        <f t="shared" si="185"/>
        <v>1.3396982670874329</v>
      </c>
      <c r="Z129" s="126">
        <f t="shared" si="185"/>
        <v>1.3702433875770264</v>
      </c>
      <c r="AA129" s="126">
        <f t="shared" si="185"/>
        <v>1.4014849368137825</v>
      </c>
      <c r="AB129" s="126">
        <f t="shared" si="185"/>
        <v>1.4334387933731367</v>
      </c>
      <c r="AC129" s="126">
        <f t="shared" si="185"/>
        <v>1.4661211978620441</v>
      </c>
      <c r="AD129" s="126">
        <f t="shared" si="185"/>
        <v>1.4995487611732985</v>
      </c>
      <c r="AE129" s="126">
        <f t="shared" si="185"/>
        <v>1.5337384729280497</v>
      </c>
      <c r="AF129" s="126">
        <f t="shared" si="185"/>
        <v>1.5687077101108091</v>
      </c>
      <c r="AG129" s="126">
        <f t="shared" si="185"/>
        <v>1.6044742459013355</v>
      </c>
      <c r="AH129" s="126">
        <f t="shared" si="185"/>
        <v>1.6410562587078859</v>
      </c>
      <c r="AI129" s="126">
        <f t="shared" si="185"/>
        <v>1.6784723414064255</v>
      </c>
      <c r="AJ129" s="126">
        <f t="shared" si="185"/>
        <v>1.716741510790492</v>
      </c>
      <c r="AK129" s="126">
        <f t="shared" si="185"/>
        <v>1.7558832172365151</v>
      </c>
      <c r="AL129" s="126">
        <f t="shared" si="185"/>
        <v>1.7959173545895075</v>
      </c>
      <c r="AM129" s="126">
        <f t="shared" si="185"/>
        <v>1.8368642702741482</v>
      </c>
      <c r="AN129" s="126">
        <f t="shared" si="185"/>
        <v>1.8787447756363986</v>
      </c>
      <c r="AO129" s="126">
        <f t="shared" si="185"/>
        <v>1.9215801565209083</v>
      </c>
      <c r="AP129" s="126">
        <f t="shared" si="185"/>
        <v>1.9653921840895849</v>
      </c>
      <c r="AQ129" s="126">
        <f t="shared" si="185"/>
        <v>2.0102031258868274</v>
      </c>
      <c r="AR129" s="126">
        <f t="shared" si="185"/>
        <v>2.0560357571570469</v>
      </c>
      <c r="AS129" s="126">
        <f t="shared" si="185"/>
        <v>2.1029133724202276</v>
      </c>
      <c r="AT129" s="126">
        <f t="shared" si="185"/>
        <v>2.1508597973114085</v>
      </c>
      <c r="AU129" s="126">
        <f t="shared" si="185"/>
        <v>2.1998994006901085</v>
      </c>
      <c r="AV129" s="126">
        <f t="shared" si="185"/>
        <v>2.2500571070258428</v>
      </c>
      <c r="AW129" s="126">
        <f t="shared" si="185"/>
        <v>2.3013584090660317</v>
      </c>
      <c r="AX129" s="126">
        <f t="shared" si="185"/>
        <v>2.3538293807927371</v>
      </c>
      <c r="AY129" s="126">
        <f t="shared" si="185"/>
        <v>2.4074966906748112</v>
      </c>
      <c r="AZ129" s="126">
        <f t="shared" si="185"/>
        <v>2.4623876152221968</v>
      </c>
      <c r="BA129" s="126">
        <f t="shared" si="185"/>
        <v>2.5185300528492629</v>
      </c>
      <c r="BB129" s="126">
        <f t="shared" ref="BB129:BC129" si="186">INDEX($C81:$BC81, MATCH(BB$125, $C$77:$BC$77,0))*BA129</f>
        <v>2.5759525380542261</v>
      </c>
      <c r="BC129" s="126">
        <f t="shared" si="186"/>
        <v>2.6346842559218624</v>
      </c>
      <c r="BD129" s="126">
        <f t="shared" ref="BD129" si="187">INDEX($C81:$BC81, MATCH(BD$125, $C$77:$BC$77,0))*BC129</f>
        <v>2.6947550569568808</v>
      </c>
    </row>
    <row r="130" spans="2:56">
      <c r="B130" s="6" t="str">
        <f t="shared" si="173"/>
        <v>Practice nurses</v>
      </c>
      <c r="D130" s="126">
        <f t="shared" ref="D130:H130" si="188">INDEX($C82:$AG82, MATCH(D$125, $C$77:$AG$77,0))*E130</f>
        <v>0.86414452553641208</v>
      </c>
      <c r="E130" s="126">
        <f t="shared" si="188"/>
        <v>0.88430671872330346</v>
      </c>
      <c r="F130" s="126">
        <f t="shared" si="188"/>
        <v>0.90493933557439987</v>
      </c>
      <c r="G130" s="126">
        <f t="shared" si="188"/>
        <v>0.92605335199999994</v>
      </c>
      <c r="H130" s="126">
        <f t="shared" si="188"/>
        <v>0.94765999999999995</v>
      </c>
      <c r="I130" s="126">
        <f t="shared" si="175"/>
        <v>0.98</v>
      </c>
      <c r="K130" s="123">
        <v>1</v>
      </c>
      <c r="M130" s="126">
        <f t="shared" si="176"/>
        <v>1.016</v>
      </c>
      <c r="N130" s="126">
        <f t="shared" ref="N130:BA130" si="189">INDEX($C82:$BC82, MATCH(N$125, $C$77:$BC$77,0))*M130</f>
        <v>1.0454639999999999</v>
      </c>
      <c r="O130" s="126">
        <f t="shared" si="189"/>
        <v>1.0693005791999999</v>
      </c>
      <c r="P130" s="126">
        <f t="shared" si="189"/>
        <v>1.0936806324057597</v>
      </c>
      <c r="Q130" s="126">
        <f t="shared" si="189"/>
        <v>1.1186165508246111</v>
      </c>
      <c r="R130" s="126">
        <f t="shared" si="189"/>
        <v>1.1441210081834121</v>
      </c>
      <c r="S130" s="126">
        <f t="shared" si="189"/>
        <v>1.1702069671699937</v>
      </c>
      <c r="T130" s="126">
        <f t="shared" si="189"/>
        <v>1.1968876860214694</v>
      </c>
      <c r="U130" s="126">
        <f t="shared" si="189"/>
        <v>1.2241767252627589</v>
      </c>
      <c r="V130" s="126">
        <f t="shared" si="189"/>
        <v>1.2520879545987498</v>
      </c>
      <c r="W130" s="126">
        <f t="shared" si="189"/>
        <v>1.2806355599636012</v>
      </c>
      <c r="X130" s="126">
        <f t="shared" si="189"/>
        <v>1.3098340507307713</v>
      </c>
      <c r="Y130" s="126">
        <f t="shared" si="189"/>
        <v>1.3396982670874329</v>
      </c>
      <c r="Z130" s="126">
        <f t="shared" si="189"/>
        <v>1.3702433875770264</v>
      </c>
      <c r="AA130" s="126">
        <f t="shared" si="189"/>
        <v>1.4014849368137825</v>
      </c>
      <c r="AB130" s="126">
        <f t="shared" si="189"/>
        <v>1.4334387933731367</v>
      </c>
      <c r="AC130" s="126">
        <f t="shared" si="189"/>
        <v>1.4661211978620441</v>
      </c>
      <c r="AD130" s="126">
        <f t="shared" si="189"/>
        <v>1.4995487611732985</v>
      </c>
      <c r="AE130" s="126">
        <f t="shared" si="189"/>
        <v>1.5337384729280497</v>
      </c>
      <c r="AF130" s="126">
        <f t="shared" si="189"/>
        <v>1.5687077101108091</v>
      </c>
      <c r="AG130" s="126">
        <f t="shared" si="189"/>
        <v>1.6044742459013355</v>
      </c>
      <c r="AH130" s="126">
        <f t="shared" si="189"/>
        <v>1.6410562587078859</v>
      </c>
      <c r="AI130" s="126">
        <f t="shared" si="189"/>
        <v>1.6784723414064255</v>
      </c>
      <c r="AJ130" s="126">
        <f t="shared" si="189"/>
        <v>1.716741510790492</v>
      </c>
      <c r="AK130" s="126">
        <f t="shared" si="189"/>
        <v>1.7558832172365151</v>
      </c>
      <c r="AL130" s="126">
        <f t="shared" si="189"/>
        <v>1.7959173545895075</v>
      </c>
      <c r="AM130" s="126">
        <f t="shared" si="189"/>
        <v>1.8368642702741482</v>
      </c>
      <c r="AN130" s="126">
        <f t="shared" si="189"/>
        <v>1.8787447756363986</v>
      </c>
      <c r="AO130" s="126">
        <f t="shared" si="189"/>
        <v>1.9215801565209083</v>
      </c>
      <c r="AP130" s="126">
        <f t="shared" si="189"/>
        <v>1.9653921840895849</v>
      </c>
      <c r="AQ130" s="126">
        <f t="shared" si="189"/>
        <v>2.0102031258868274</v>
      </c>
      <c r="AR130" s="126">
        <f t="shared" si="189"/>
        <v>2.0560357571570469</v>
      </c>
      <c r="AS130" s="126">
        <f t="shared" si="189"/>
        <v>2.1029133724202276</v>
      </c>
      <c r="AT130" s="126">
        <f t="shared" si="189"/>
        <v>2.1508597973114085</v>
      </c>
      <c r="AU130" s="126">
        <f t="shared" si="189"/>
        <v>2.1998994006901085</v>
      </c>
      <c r="AV130" s="126">
        <f t="shared" si="189"/>
        <v>2.2500571070258428</v>
      </c>
      <c r="AW130" s="126">
        <f t="shared" si="189"/>
        <v>2.3013584090660317</v>
      </c>
      <c r="AX130" s="126">
        <f t="shared" si="189"/>
        <v>2.3538293807927371</v>
      </c>
      <c r="AY130" s="126">
        <f t="shared" si="189"/>
        <v>2.4074966906748112</v>
      </c>
      <c r="AZ130" s="126">
        <f t="shared" si="189"/>
        <v>2.4623876152221968</v>
      </c>
      <c r="BA130" s="126">
        <f t="shared" si="189"/>
        <v>2.5185300528492629</v>
      </c>
      <c r="BB130" s="126">
        <f t="shared" ref="BB130:BC130" si="190">INDEX($C82:$BC82, MATCH(BB$125, $C$77:$BC$77,0))*BA130</f>
        <v>2.5759525380542261</v>
      </c>
      <c r="BC130" s="126">
        <f t="shared" si="190"/>
        <v>2.6346842559218624</v>
      </c>
      <c r="BD130" s="126">
        <f t="shared" ref="BD130" si="191">INDEX($C82:$BC82, MATCH(BD$125, $C$77:$BC$77,0))*BC130</f>
        <v>2.6947550569568808</v>
      </c>
    </row>
    <row r="131" spans="2:56">
      <c r="B131" s="6" t="str">
        <f t="shared" si="173"/>
        <v>GP visits</v>
      </c>
      <c r="D131" s="126">
        <f t="shared" ref="D131:H131" si="192">INDEX($C83:$AG83, MATCH(D$125, $C$77:$AG$77,0))*E131</f>
        <v>0.86414452553641208</v>
      </c>
      <c r="E131" s="126">
        <f t="shared" si="192"/>
        <v>0.88430671872330346</v>
      </c>
      <c r="F131" s="126">
        <f t="shared" si="192"/>
        <v>0.90493933557439987</v>
      </c>
      <c r="G131" s="126">
        <f t="shared" si="192"/>
        <v>0.92605335199999994</v>
      </c>
      <c r="H131" s="126">
        <f t="shared" si="192"/>
        <v>0.94765999999999995</v>
      </c>
      <c r="I131" s="126">
        <f t="shared" si="175"/>
        <v>0.98</v>
      </c>
      <c r="K131" s="123">
        <v>1</v>
      </c>
      <c r="M131" s="126">
        <f t="shared" si="176"/>
        <v>1.016</v>
      </c>
      <c r="N131" s="126">
        <f t="shared" ref="N131:BA131" si="193">INDEX($C83:$BC83, MATCH(N$125, $C$77:$BC$77,0))*M131</f>
        <v>1.0454639999999999</v>
      </c>
      <c r="O131" s="126">
        <f t="shared" si="193"/>
        <v>1.0693005791999999</v>
      </c>
      <c r="P131" s="126">
        <f t="shared" si="193"/>
        <v>1.0936806324057597</v>
      </c>
      <c r="Q131" s="126">
        <f t="shared" si="193"/>
        <v>1.1186165508246111</v>
      </c>
      <c r="R131" s="126">
        <f t="shared" si="193"/>
        <v>1.1441210081834121</v>
      </c>
      <c r="S131" s="126">
        <f t="shared" si="193"/>
        <v>1.1702069671699937</v>
      </c>
      <c r="T131" s="126">
        <f t="shared" si="193"/>
        <v>1.1968876860214694</v>
      </c>
      <c r="U131" s="126">
        <f t="shared" si="193"/>
        <v>1.2241767252627589</v>
      </c>
      <c r="V131" s="126">
        <f t="shared" si="193"/>
        <v>1.2520879545987498</v>
      </c>
      <c r="W131" s="126">
        <f t="shared" si="193"/>
        <v>1.2806355599636012</v>
      </c>
      <c r="X131" s="126">
        <f t="shared" si="193"/>
        <v>1.3098340507307713</v>
      </c>
      <c r="Y131" s="126">
        <f t="shared" si="193"/>
        <v>1.3396982670874329</v>
      </c>
      <c r="Z131" s="126">
        <f t="shared" si="193"/>
        <v>1.3702433875770264</v>
      </c>
      <c r="AA131" s="126">
        <f t="shared" si="193"/>
        <v>1.4014849368137825</v>
      </c>
      <c r="AB131" s="126">
        <f t="shared" si="193"/>
        <v>1.4334387933731367</v>
      </c>
      <c r="AC131" s="126">
        <f t="shared" si="193"/>
        <v>1.4661211978620441</v>
      </c>
      <c r="AD131" s="126">
        <f t="shared" si="193"/>
        <v>1.4995487611732985</v>
      </c>
      <c r="AE131" s="126">
        <f t="shared" si="193"/>
        <v>1.5337384729280497</v>
      </c>
      <c r="AF131" s="126">
        <f t="shared" si="193"/>
        <v>1.5687077101108091</v>
      </c>
      <c r="AG131" s="126">
        <f t="shared" si="193"/>
        <v>1.6044742459013355</v>
      </c>
      <c r="AH131" s="126">
        <f t="shared" si="193"/>
        <v>1.6410562587078859</v>
      </c>
      <c r="AI131" s="126">
        <f t="shared" si="193"/>
        <v>1.6784723414064255</v>
      </c>
      <c r="AJ131" s="126">
        <f t="shared" si="193"/>
        <v>1.716741510790492</v>
      </c>
      <c r="AK131" s="126">
        <f t="shared" si="193"/>
        <v>1.7558832172365151</v>
      </c>
      <c r="AL131" s="126">
        <f t="shared" si="193"/>
        <v>1.7959173545895075</v>
      </c>
      <c r="AM131" s="126">
        <f t="shared" si="193"/>
        <v>1.8368642702741482</v>
      </c>
      <c r="AN131" s="126">
        <f t="shared" si="193"/>
        <v>1.8787447756363986</v>
      </c>
      <c r="AO131" s="126">
        <f t="shared" si="193"/>
        <v>1.9215801565209083</v>
      </c>
      <c r="AP131" s="126">
        <f t="shared" si="193"/>
        <v>1.9653921840895849</v>
      </c>
      <c r="AQ131" s="126">
        <f t="shared" si="193"/>
        <v>2.0102031258868274</v>
      </c>
      <c r="AR131" s="126">
        <f t="shared" si="193"/>
        <v>2.0560357571570469</v>
      </c>
      <c r="AS131" s="126">
        <f t="shared" si="193"/>
        <v>2.1029133724202276</v>
      </c>
      <c r="AT131" s="126">
        <f t="shared" si="193"/>
        <v>2.1508597973114085</v>
      </c>
      <c r="AU131" s="126">
        <f t="shared" si="193"/>
        <v>2.1998994006901085</v>
      </c>
      <c r="AV131" s="126">
        <f t="shared" si="193"/>
        <v>2.2500571070258428</v>
      </c>
      <c r="AW131" s="126">
        <f t="shared" si="193"/>
        <v>2.3013584090660317</v>
      </c>
      <c r="AX131" s="126">
        <f t="shared" si="193"/>
        <v>2.3538293807927371</v>
      </c>
      <c r="AY131" s="126">
        <f t="shared" si="193"/>
        <v>2.4074966906748112</v>
      </c>
      <c r="AZ131" s="126">
        <f t="shared" si="193"/>
        <v>2.4623876152221968</v>
      </c>
      <c r="BA131" s="126">
        <f t="shared" si="193"/>
        <v>2.5185300528492629</v>
      </c>
      <c r="BB131" s="126">
        <f t="shared" ref="BB131:BC131" si="194">INDEX($C83:$BC83, MATCH(BB$125, $C$77:$BC$77,0))*BA131</f>
        <v>2.5759525380542261</v>
      </c>
      <c r="BC131" s="126">
        <f t="shared" si="194"/>
        <v>2.6346842559218624</v>
      </c>
      <c r="BD131" s="126">
        <f t="shared" ref="BD131" si="195">INDEX($C83:$BC83, MATCH(BD$125, $C$77:$BC$77,0))*BC131</f>
        <v>2.6947550569568808</v>
      </c>
    </row>
    <row r="132" spans="2:56">
      <c r="B132" s="6" t="str">
        <f t="shared" si="173"/>
        <v>Hospital admissions</v>
      </c>
      <c r="D132" s="126">
        <f t="shared" ref="D132:H132" si="196">INDEX($C84:$AG84, MATCH(D$125, $C$77:$AG$77,0))*E132</f>
        <v>0.89400723846022712</v>
      </c>
      <c r="E132" s="126">
        <f t="shared" si="196"/>
        <v>0.91132236336414596</v>
      </c>
      <c r="F132" s="126">
        <f t="shared" si="196"/>
        <v>0.92897284746599995</v>
      </c>
      <c r="G132" s="126">
        <f t="shared" si="196"/>
        <v>0.94696518600000001</v>
      </c>
      <c r="H132" s="126">
        <f t="shared" si="196"/>
        <v>0.965306</v>
      </c>
      <c r="I132" s="126">
        <f t="shared" si="175"/>
        <v>0.98199999999999998</v>
      </c>
      <c r="K132" s="123">
        <v>1</v>
      </c>
      <c r="M132" s="126">
        <f t="shared" si="176"/>
        <v>1.0189999999999999</v>
      </c>
      <c r="N132" s="126">
        <f t="shared" ref="N132:BA132" si="197">INDEX($C84:$BC84, MATCH(N$125, $C$77:$BC$77,0))*M132</f>
        <v>1.03938</v>
      </c>
      <c r="O132" s="126">
        <f t="shared" si="197"/>
        <v>1.0591282199999998</v>
      </c>
      <c r="P132" s="126">
        <f t="shared" si="197"/>
        <v>1.0792516561799996</v>
      </c>
      <c r="Q132" s="126">
        <f t="shared" si="197"/>
        <v>1.0997574376474195</v>
      </c>
      <c r="R132" s="126">
        <f t="shared" si="197"/>
        <v>1.1206528289627204</v>
      </c>
      <c r="S132" s="126">
        <f t="shared" si="197"/>
        <v>1.141945232713012</v>
      </c>
      <c r="T132" s="126">
        <f t="shared" si="197"/>
        <v>1.163642192134559</v>
      </c>
      <c r="U132" s="126">
        <f t="shared" si="197"/>
        <v>1.1857513937851154</v>
      </c>
      <c r="V132" s="126">
        <f t="shared" si="197"/>
        <v>1.2082806702670326</v>
      </c>
      <c r="W132" s="126">
        <f t="shared" si="197"/>
        <v>1.2312380030021062</v>
      </c>
      <c r="X132" s="126">
        <f t="shared" si="197"/>
        <v>1.254631525059146</v>
      </c>
      <c r="Y132" s="126">
        <f t="shared" si="197"/>
        <v>1.2784695240352697</v>
      </c>
      <c r="Z132" s="126">
        <f t="shared" si="197"/>
        <v>1.3027604449919397</v>
      </c>
      <c r="AA132" s="126">
        <f t="shared" si="197"/>
        <v>1.3275128934467864</v>
      </c>
      <c r="AB132" s="126">
        <f t="shared" si="197"/>
        <v>1.3527356384222751</v>
      </c>
      <c r="AC132" s="126">
        <f t="shared" si="197"/>
        <v>1.3784376155522982</v>
      </c>
      <c r="AD132" s="126">
        <f t="shared" si="197"/>
        <v>1.4046279302477918</v>
      </c>
      <c r="AE132" s="126">
        <f t="shared" si="197"/>
        <v>1.4313158609224996</v>
      </c>
      <c r="AF132" s="126">
        <f t="shared" si="197"/>
        <v>1.4585108622800269</v>
      </c>
      <c r="AG132" s="126">
        <f t="shared" si="197"/>
        <v>1.4862225686633472</v>
      </c>
      <c r="AH132" s="126">
        <f t="shared" si="197"/>
        <v>1.5144607974679507</v>
      </c>
      <c r="AI132" s="126">
        <f t="shared" si="197"/>
        <v>1.5432355526198416</v>
      </c>
      <c r="AJ132" s="126">
        <f t="shared" si="197"/>
        <v>1.5725570281196184</v>
      </c>
      <c r="AK132" s="126">
        <f t="shared" si="197"/>
        <v>1.6024356116538909</v>
      </c>
      <c r="AL132" s="126">
        <f t="shared" si="197"/>
        <v>1.6328818882753147</v>
      </c>
      <c r="AM132" s="126">
        <f t="shared" si="197"/>
        <v>1.6639066441525454</v>
      </c>
      <c r="AN132" s="126">
        <f t="shared" si="197"/>
        <v>1.6955208703914437</v>
      </c>
      <c r="AO132" s="126">
        <f t="shared" si="197"/>
        <v>1.7277357669288811</v>
      </c>
      <c r="AP132" s="126">
        <f t="shared" si="197"/>
        <v>1.7605627465005296</v>
      </c>
      <c r="AQ132" s="126">
        <f t="shared" si="197"/>
        <v>1.7940134386840394</v>
      </c>
      <c r="AR132" s="126">
        <f t="shared" si="197"/>
        <v>1.8280996940190359</v>
      </c>
      <c r="AS132" s="126">
        <f t="shared" si="197"/>
        <v>1.8628335882053975</v>
      </c>
      <c r="AT132" s="126">
        <f t="shared" si="197"/>
        <v>1.8982274263812999</v>
      </c>
      <c r="AU132" s="126">
        <f t="shared" si="197"/>
        <v>1.9342937474825443</v>
      </c>
      <c r="AV132" s="126">
        <f t="shared" si="197"/>
        <v>1.9710453286847125</v>
      </c>
      <c r="AW132" s="126">
        <f t="shared" si="197"/>
        <v>2.0084951899297216</v>
      </c>
      <c r="AX132" s="126">
        <f t="shared" si="197"/>
        <v>2.046656598538386</v>
      </c>
      <c r="AY132" s="126">
        <f t="shared" si="197"/>
        <v>2.0855430739106153</v>
      </c>
      <c r="AZ132" s="126">
        <f t="shared" si="197"/>
        <v>2.1251683923149169</v>
      </c>
      <c r="BA132" s="126">
        <f t="shared" si="197"/>
        <v>2.1655465917689001</v>
      </c>
      <c r="BB132" s="126">
        <f t="shared" ref="BB132:BC132" si="198">INDEX($C84:$BC84, MATCH(BB$125, $C$77:$BC$77,0))*BA132</f>
        <v>2.2066919770125089</v>
      </c>
      <c r="BC132" s="126">
        <f t="shared" si="198"/>
        <v>2.2486191245757463</v>
      </c>
      <c r="BD132" s="126">
        <f t="shared" ref="BD132" si="199">INDEX($C84:$BC84, MATCH(BD$125, $C$77:$BC$77,0))*BC132</f>
        <v>2.2913428879426854</v>
      </c>
    </row>
    <row r="133" spans="2:56">
      <c r="B133" s="6" t="str">
        <f t="shared" si="173"/>
        <v>Hospital outpatient visits</v>
      </c>
      <c r="D133" s="126">
        <f t="shared" ref="D133:H133" si="200">INDEX($C85:$AG85, MATCH(D$125, $C$77:$AG$77,0))*E133</f>
        <v>0.86414452553641208</v>
      </c>
      <c r="E133" s="126">
        <f t="shared" si="200"/>
        <v>0.88430671872330346</v>
      </c>
      <c r="F133" s="126">
        <f t="shared" si="200"/>
        <v>0.90493933557439987</v>
      </c>
      <c r="G133" s="126">
        <f t="shared" si="200"/>
        <v>0.92605335199999994</v>
      </c>
      <c r="H133" s="126">
        <f t="shared" si="200"/>
        <v>0.94765999999999995</v>
      </c>
      <c r="I133" s="126">
        <f t="shared" si="175"/>
        <v>0.98</v>
      </c>
      <c r="K133" s="123">
        <v>1</v>
      </c>
      <c r="M133" s="126">
        <f t="shared" si="176"/>
        <v>1.016</v>
      </c>
      <c r="N133" s="126">
        <f t="shared" ref="N133:BA133" si="201">INDEX($C85:$BC85, MATCH(N$125, $C$77:$BC$77,0))*M133</f>
        <v>1.0454639999999999</v>
      </c>
      <c r="O133" s="126">
        <f t="shared" si="201"/>
        <v>1.0693005791999999</v>
      </c>
      <c r="P133" s="126">
        <f t="shared" si="201"/>
        <v>1.0936806324057597</v>
      </c>
      <c r="Q133" s="126">
        <f t="shared" si="201"/>
        <v>1.1186165508246111</v>
      </c>
      <c r="R133" s="126">
        <f t="shared" si="201"/>
        <v>1.1441210081834121</v>
      </c>
      <c r="S133" s="126">
        <f t="shared" si="201"/>
        <v>1.1702069671699937</v>
      </c>
      <c r="T133" s="126">
        <f t="shared" si="201"/>
        <v>1.1968876860214694</v>
      </c>
      <c r="U133" s="126">
        <f t="shared" si="201"/>
        <v>1.2241767252627589</v>
      </c>
      <c r="V133" s="126">
        <f t="shared" si="201"/>
        <v>1.2520879545987498</v>
      </c>
      <c r="W133" s="126">
        <f t="shared" si="201"/>
        <v>1.2806355599636012</v>
      </c>
      <c r="X133" s="126">
        <f t="shared" si="201"/>
        <v>1.3098340507307713</v>
      </c>
      <c r="Y133" s="126">
        <f t="shared" si="201"/>
        <v>1.3396982670874329</v>
      </c>
      <c r="Z133" s="126">
        <f t="shared" si="201"/>
        <v>1.3702433875770264</v>
      </c>
      <c r="AA133" s="126">
        <f t="shared" si="201"/>
        <v>1.4014849368137825</v>
      </c>
      <c r="AB133" s="126">
        <f t="shared" si="201"/>
        <v>1.4334387933731367</v>
      </c>
      <c r="AC133" s="126">
        <f t="shared" si="201"/>
        <v>1.4661211978620441</v>
      </c>
      <c r="AD133" s="126">
        <f t="shared" si="201"/>
        <v>1.4995487611732985</v>
      </c>
      <c r="AE133" s="126">
        <f t="shared" si="201"/>
        <v>1.5337384729280497</v>
      </c>
      <c r="AF133" s="126">
        <f t="shared" si="201"/>
        <v>1.5687077101108091</v>
      </c>
      <c r="AG133" s="126">
        <f t="shared" si="201"/>
        <v>1.6044742459013355</v>
      </c>
      <c r="AH133" s="126">
        <f t="shared" si="201"/>
        <v>1.6410562587078859</v>
      </c>
      <c r="AI133" s="126">
        <f t="shared" si="201"/>
        <v>1.6784723414064255</v>
      </c>
      <c r="AJ133" s="126">
        <f t="shared" si="201"/>
        <v>1.716741510790492</v>
      </c>
      <c r="AK133" s="126">
        <f t="shared" si="201"/>
        <v>1.7558832172365151</v>
      </c>
      <c r="AL133" s="126">
        <f t="shared" si="201"/>
        <v>1.7959173545895075</v>
      </c>
      <c r="AM133" s="126">
        <f t="shared" si="201"/>
        <v>1.8368642702741482</v>
      </c>
      <c r="AN133" s="126">
        <f t="shared" si="201"/>
        <v>1.8787447756363986</v>
      </c>
      <c r="AO133" s="126">
        <f t="shared" si="201"/>
        <v>1.9215801565209083</v>
      </c>
      <c r="AP133" s="126">
        <f t="shared" si="201"/>
        <v>1.9653921840895849</v>
      </c>
      <c r="AQ133" s="126">
        <f t="shared" si="201"/>
        <v>2.0102031258868274</v>
      </c>
      <c r="AR133" s="126">
        <f t="shared" si="201"/>
        <v>2.0560357571570469</v>
      </c>
      <c r="AS133" s="126">
        <f t="shared" si="201"/>
        <v>2.1029133724202276</v>
      </c>
      <c r="AT133" s="126">
        <f t="shared" si="201"/>
        <v>2.1508597973114085</v>
      </c>
      <c r="AU133" s="126">
        <f t="shared" si="201"/>
        <v>2.1998994006901085</v>
      </c>
      <c r="AV133" s="126">
        <f t="shared" si="201"/>
        <v>2.2500571070258428</v>
      </c>
      <c r="AW133" s="126">
        <f t="shared" si="201"/>
        <v>2.3013584090660317</v>
      </c>
      <c r="AX133" s="126">
        <f t="shared" si="201"/>
        <v>2.3538293807927371</v>
      </c>
      <c r="AY133" s="126">
        <f t="shared" si="201"/>
        <v>2.4074966906748112</v>
      </c>
      <c r="AZ133" s="126">
        <f t="shared" si="201"/>
        <v>2.4623876152221968</v>
      </c>
      <c r="BA133" s="126">
        <f t="shared" si="201"/>
        <v>2.5185300528492629</v>
      </c>
      <c r="BB133" s="126">
        <f t="shared" ref="BB133:BC133" si="202">INDEX($C85:$BC85, MATCH(BB$125, $C$77:$BC$77,0))*BA133</f>
        <v>2.5759525380542261</v>
      </c>
      <c r="BC133" s="126">
        <f t="shared" si="202"/>
        <v>2.6346842559218624</v>
      </c>
      <c r="BD133" s="126">
        <f t="shared" ref="BD133" si="203">INDEX($C85:$BC85, MATCH(BD$125, $C$77:$BC$77,0))*BC133</f>
        <v>2.6947550569568808</v>
      </c>
    </row>
    <row r="134" spans="2:56">
      <c r="B134" s="6" t="str">
        <f t="shared" si="173"/>
        <v>Laboratory tests</v>
      </c>
      <c r="D134" s="126">
        <f t="shared" ref="D134:H134" si="204">INDEX($C86:$AG86, MATCH(D$125, $C$77:$AG$77,0))*E134</f>
        <v>0.89400723846022712</v>
      </c>
      <c r="E134" s="126">
        <f t="shared" si="204"/>
        <v>0.91132236336414596</v>
      </c>
      <c r="F134" s="126">
        <f t="shared" si="204"/>
        <v>0.92897284746599995</v>
      </c>
      <c r="G134" s="126">
        <f t="shared" si="204"/>
        <v>0.94696518600000001</v>
      </c>
      <c r="H134" s="126">
        <f t="shared" si="204"/>
        <v>0.965306</v>
      </c>
      <c r="I134" s="126">
        <f t="shared" si="175"/>
        <v>0.98199999999999998</v>
      </c>
      <c r="K134" s="123">
        <v>1</v>
      </c>
      <c r="M134" s="126">
        <f t="shared" si="176"/>
        <v>1.0189999999999999</v>
      </c>
      <c r="N134" s="126">
        <f t="shared" ref="N134:BA134" si="205">INDEX($C86:$BC86, MATCH(N$125, $C$77:$BC$77,0))*M134</f>
        <v>1.03938</v>
      </c>
      <c r="O134" s="126">
        <f t="shared" si="205"/>
        <v>1.0591282199999998</v>
      </c>
      <c r="P134" s="126">
        <f t="shared" si="205"/>
        <v>1.0792516561799996</v>
      </c>
      <c r="Q134" s="126">
        <f t="shared" si="205"/>
        <v>1.0997574376474195</v>
      </c>
      <c r="R134" s="126">
        <f t="shared" si="205"/>
        <v>1.1206528289627204</v>
      </c>
      <c r="S134" s="126">
        <f t="shared" si="205"/>
        <v>1.141945232713012</v>
      </c>
      <c r="T134" s="126">
        <f t="shared" si="205"/>
        <v>1.163642192134559</v>
      </c>
      <c r="U134" s="126">
        <f t="shared" si="205"/>
        <v>1.1857513937851154</v>
      </c>
      <c r="V134" s="126">
        <f t="shared" si="205"/>
        <v>1.2082806702670326</v>
      </c>
      <c r="W134" s="126">
        <f t="shared" si="205"/>
        <v>1.2312380030021062</v>
      </c>
      <c r="X134" s="126">
        <f t="shared" si="205"/>
        <v>1.254631525059146</v>
      </c>
      <c r="Y134" s="126">
        <f t="shared" si="205"/>
        <v>1.2784695240352697</v>
      </c>
      <c r="Z134" s="126">
        <f t="shared" si="205"/>
        <v>1.3027604449919397</v>
      </c>
      <c r="AA134" s="126">
        <f t="shared" si="205"/>
        <v>1.3275128934467864</v>
      </c>
      <c r="AB134" s="126">
        <f t="shared" si="205"/>
        <v>1.3527356384222751</v>
      </c>
      <c r="AC134" s="126">
        <f t="shared" si="205"/>
        <v>1.3784376155522982</v>
      </c>
      <c r="AD134" s="126">
        <f t="shared" si="205"/>
        <v>1.4046279302477918</v>
      </c>
      <c r="AE134" s="126">
        <f t="shared" si="205"/>
        <v>1.4313158609224996</v>
      </c>
      <c r="AF134" s="126">
        <f t="shared" si="205"/>
        <v>1.4585108622800269</v>
      </c>
      <c r="AG134" s="126">
        <f t="shared" si="205"/>
        <v>1.4862225686633472</v>
      </c>
      <c r="AH134" s="126">
        <f t="shared" si="205"/>
        <v>1.5144607974679507</v>
      </c>
      <c r="AI134" s="126">
        <f t="shared" si="205"/>
        <v>1.5432355526198416</v>
      </c>
      <c r="AJ134" s="126">
        <f t="shared" si="205"/>
        <v>1.5725570281196184</v>
      </c>
      <c r="AK134" s="126">
        <f t="shared" si="205"/>
        <v>1.6024356116538909</v>
      </c>
      <c r="AL134" s="126">
        <f t="shared" si="205"/>
        <v>1.6328818882753147</v>
      </c>
      <c r="AM134" s="126">
        <f t="shared" si="205"/>
        <v>1.6639066441525454</v>
      </c>
      <c r="AN134" s="126">
        <f t="shared" si="205"/>
        <v>1.6955208703914437</v>
      </c>
      <c r="AO134" s="126">
        <f t="shared" si="205"/>
        <v>1.7277357669288811</v>
      </c>
      <c r="AP134" s="126">
        <f t="shared" si="205"/>
        <v>1.7605627465005296</v>
      </c>
      <c r="AQ134" s="126">
        <f t="shared" si="205"/>
        <v>1.7940134386840394</v>
      </c>
      <c r="AR134" s="126">
        <f t="shared" si="205"/>
        <v>1.8280996940190359</v>
      </c>
      <c r="AS134" s="126">
        <f t="shared" si="205"/>
        <v>1.8628335882053975</v>
      </c>
      <c r="AT134" s="126">
        <f t="shared" si="205"/>
        <v>1.8982274263812999</v>
      </c>
      <c r="AU134" s="126">
        <f t="shared" si="205"/>
        <v>1.9342937474825443</v>
      </c>
      <c r="AV134" s="126">
        <f t="shared" si="205"/>
        <v>1.9710453286847125</v>
      </c>
      <c r="AW134" s="126">
        <f t="shared" si="205"/>
        <v>2.0084951899297216</v>
      </c>
      <c r="AX134" s="126">
        <f t="shared" si="205"/>
        <v>2.046656598538386</v>
      </c>
      <c r="AY134" s="126">
        <f t="shared" si="205"/>
        <v>2.0855430739106153</v>
      </c>
      <c r="AZ134" s="126">
        <f t="shared" si="205"/>
        <v>2.1251683923149169</v>
      </c>
      <c r="BA134" s="126">
        <f t="shared" si="205"/>
        <v>2.1655465917689001</v>
      </c>
      <c r="BB134" s="126">
        <f t="shared" ref="BB134:BC134" si="206">INDEX($C86:$BC86, MATCH(BB$125, $C$77:$BC$77,0))*BA134</f>
        <v>2.2066919770125089</v>
      </c>
      <c r="BC134" s="126">
        <f t="shared" si="206"/>
        <v>2.2486191245757463</v>
      </c>
      <c r="BD134" s="126">
        <f t="shared" ref="BD134" si="207">INDEX($C86:$BC86, MATCH(BD$125, $C$77:$BC$77,0))*BC134</f>
        <v>2.2913428879426854</v>
      </c>
    </row>
    <row r="135" spans="2:56">
      <c r="B135" s="6" t="str">
        <f t="shared" si="173"/>
        <v>Physiotherapist visits</v>
      </c>
      <c r="D135" s="126">
        <f t="shared" ref="D135:H135" si="208">INDEX($C87:$AG87, MATCH(D$125, $C$77:$AG$77,0))*E135</f>
        <v>0.86414452553641208</v>
      </c>
      <c r="E135" s="126">
        <f t="shared" si="208"/>
        <v>0.88430671872330346</v>
      </c>
      <c r="F135" s="126">
        <f t="shared" si="208"/>
        <v>0.90493933557439987</v>
      </c>
      <c r="G135" s="126">
        <f t="shared" si="208"/>
        <v>0.92605335199999994</v>
      </c>
      <c r="H135" s="126">
        <f t="shared" si="208"/>
        <v>0.94765999999999995</v>
      </c>
      <c r="I135" s="126">
        <f t="shared" si="175"/>
        <v>0.98</v>
      </c>
      <c r="K135" s="123">
        <v>1</v>
      </c>
      <c r="M135" s="126">
        <f t="shared" si="176"/>
        <v>1.016</v>
      </c>
      <c r="N135" s="126">
        <f t="shared" ref="N135:BA135" si="209">INDEX($C87:$BC87, MATCH(N$125, $C$77:$BC$77,0))*M135</f>
        <v>1.0454639999999999</v>
      </c>
      <c r="O135" s="126">
        <f t="shared" si="209"/>
        <v>1.0693005791999999</v>
      </c>
      <c r="P135" s="126">
        <f t="shared" si="209"/>
        <v>1.0936806324057597</v>
      </c>
      <c r="Q135" s="126">
        <f t="shared" si="209"/>
        <v>1.1186165508246111</v>
      </c>
      <c r="R135" s="126">
        <f t="shared" si="209"/>
        <v>1.1441210081834121</v>
      </c>
      <c r="S135" s="126">
        <f t="shared" si="209"/>
        <v>1.1702069671699937</v>
      </c>
      <c r="T135" s="126">
        <f t="shared" si="209"/>
        <v>1.1968876860214694</v>
      </c>
      <c r="U135" s="126">
        <f t="shared" si="209"/>
        <v>1.2241767252627589</v>
      </c>
      <c r="V135" s="126">
        <f t="shared" si="209"/>
        <v>1.2520879545987498</v>
      </c>
      <c r="W135" s="126">
        <f t="shared" si="209"/>
        <v>1.2806355599636012</v>
      </c>
      <c r="X135" s="126">
        <f t="shared" si="209"/>
        <v>1.3098340507307713</v>
      </c>
      <c r="Y135" s="126">
        <f t="shared" si="209"/>
        <v>1.3396982670874329</v>
      </c>
      <c r="Z135" s="126">
        <f t="shared" si="209"/>
        <v>1.3702433875770264</v>
      </c>
      <c r="AA135" s="126">
        <f t="shared" si="209"/>
        <v>1.4014849368137825</v>
      </c>
      <c r="AB135" s="126">
        <f t="shared" si="209"/>
        <v>1.4334387933731367</v>
      </c>
      <c r="AC135" s="126">
        <f t="shared" si="209"/>
        <v>1.4661211978620441</v>
      </c>
      <c r="AD135" s="126">
        <f t="shared" si="209"/>
        <v>1.4995487611732985</v>
      </c>
      <c r="AE135" s="126">
        <f t="shared" si="209"/>
        <v>1.5337384729280497</v>
      </c>
      <c r="AF135" s="126">
        <f t="shared" si="209"/>
        <v>1.5687077101108091</v>
      </c>
      <c r="AG135" s="126">
        <f t="shared" si="209"/>
        <v>1.6044742459013355</v>
      </c>
      <c r="AH135" s="126">
        <f t="shared" si="209"/>
        <v>1.6410562587078859</v>
      </c>
      <c r="AI135" s="126">
        <f t="shared" si="209"/>
        <v>1.6784723414064255</v>
      </c>
      <c r="AJ135" s="126">
        <f t="shared" si="209"/>
        <v>1.716741510790492</v>
      </c>
      <c r="AK135" s="126">
        <f t="shared" si="209"/>
        <v>1.7558832172365151</v>
      </c>
      <c r="AL135" s="126">
        <f t="shared" si="209"/>
        <v>1.7959173545895075</v>
      </c>
      <c r="AM135" s="126">
        <f t="shared" si="209"/>
        <v>1.8368642702741482</v>
      </c>
      <c r="AN135" s="126">
        <f t="shared" si="209"/>
        <v>1.8787447756363986</v>
      </c>
      <c r="AO135" s="126">
        <f t="shared" si="209"/>
        <v>1.9215801565209083</v>
      </c>
      <c r="AP135" s="126">
        <f t="shared" si="209"/>
        <v>1.9653921840895849</v>
      </c>
      <c r="AQ135" s="126">
        <f t="shared" si="209"/>
        <v>2.0102031258868274</v>
      </c>
      <c r="AR135" s="126">
        <f t="shared" si="209"/>
        <v>2.0560357571570469</v>
      </c>
      <c r="AS135" s="126">
        <f t="shared" si="209"/>
        <v>2.1029133724202276</v>
      </c>
      <c r="AT135" s="126">
        <f t="shared" si="209"/>
        <v>2.1508597973114085</v>
      </c>
      <c r="AU135" s="126">
        <f t="shared" si="209"/>
        <v>2.1998994006901085</v>
      </c>
      <c r="AV135" s="126">
        <f t="shared" si="209"/>
        <v>2.2500571070258428</v>
      </c>
      <c r="AW135" s="126">
        <f t="shared" si="209"/>
        <v>2.3013584090660317</v>
      </c>
      <c r="AX135" s="126">
        <f t="shared" si="209"/>
        <v>2.3538293807927371</v>
      </c>
      <c r="AY135" s="126">
        <f t="shared" si="209"/>
        <v>2.4074966906748112</v>
      </c>
      <c r="AZ135" s="126">
        <f t="shared" si="209"/>
        <v>2.4623876152221968</v>
      </c>
      <c r="BA135" s="126">
        <f t="shared" si="209"/>
        <v>2.5185300528492629</v>
      </c>
      <c r="BB135" s="126">
        <f t="shared" ref="BB135:BC135" si="210">INDEX($C87:$BC87, MATCH(BB$125, $C$77:$BC$77,0))*BA135</f>
        <v>2.5759525380542261</v>
      </c>
      <c r="BC135" s="126">
        <f t="shared" si="210"/>
        <v>2.6346842559218624</v>
      </c>
      <c r="BD135" s="126">
        <f t="shared" ref="BD135" si="211">INDEX($C87:$BC87, MATCH(BD$125, $C$77:$BC$77,0))*BC135</f>
        <v>2.6947550569568808</v>
      </c>
    </row>
    <row r="136" spans="2:56">
      <c r="B136" s="6" t="str">
        <f t="shared" si="173"/>
        <v>Podiatrist visits</v>
      </c>
      <c r="D136" s="126">
        <f t="shared" ref="D136:H136" si="212">INDEX($C88:$AG88, MATCH(D$125, $C$77:$AG$77,0))*E136</f>
        <v>0.86414452553641208</v>
      </c>
      <c r="E136" s="126">
        <f t="shared" si="212"/>
        <v>0.88430671872330346</v>
      </c>
      <c r="F136" s="126">
        <f t="shared" si="212"/>
        <v>0.90493933557439987</v>
      </c>
      <c r="G136" s="126">
        <f t="shared" si="212"/>
        <v>0.92605335199999994</v>
      </c>
      <c r="H136" s="126">
        <f t="shared" si="212"/>
        <v>0.94765999999999995</v>
      </c>
      <c r="I136" s="126">
        <f t="shared" si="175"/>
        <v>0.98</v>
      </c>
      <c r="K136" s="123">
        <v>1</v>
      </c>
      <c r="M136" s="126">
        <f t="shared" si="176"/>
        <v>1.016</v>
      </c>
      <c r="N136" s="126">
        <f t="shared" ref="N136:BA136" si="213">INDEX($C88:$BC88, MATCH(N$125, $C$77:$BC$77,0))*M136</f>
        <v>1.0454639999999999</v>
      </c>
      <c r="O136" s="126">
        <f t="shared" si="213"/>
        <v>1.0693005791999999</v>
      </c>
      <c r="P136" s="126">
        <f t="shared" si="213"/>
        <v>1.0936806324057597</v>
      </c>
      <c r="Q136" s="126">
        <f t="shared" si="213"/>
        <v>1.1186165508246111</v>
      </c>
      <c r="R136" s="126">
        <f t="shared" si="213"/>
        <v>1.1441210081834121</v>
      </c>
      <c r="S136" s="126">
        <f t="shared" si="213"/>
        <v>1.1702069671699937</v>
      </c>
      <c r="T136" s="126">
        <f t="shared" si="213"/>
        <v>1.1968876860214694</v>
      </c>
      <c r="U136" s="126">
        <f t="shared" si="213"/>
        <v>1.2241767252627589</v>
      </c>
      <c r="V136" s="126">
        <f t="shared" si="213"/>
        <v>1.2520879545987498</v>
      </c>
      <c r="W136" s="126">
        <f t="shared" si="213"/>
        <v>1.2806355599636012</v>
      </c>
      <c r="X136" s="126">
        <f t="shared" si="213"/>
        <v>1.3098340507307713</v>
      </c>
      <c r="Y136" s="126">
        <f t="shared" si="213"/>
        <v>1.3396982670874329</v>
      </c>
      <c r="Z136" s="126">
        <f t="shared" si="213"/>
        <v>1.3702433875770264</v>
      </c>
      <c r="AA136" s="126">
        <f t="shared" si="213"/>
        <v>1.4014849368137825</v>
      </c>
      <c r="AB136" s="126">
        <f t="shared" si="213"/>
        <v>1.4334387933731367</v>
      </c>
      <c r="AC136" s="126">
        <f t="shared" si="213"/>
        <v>1.4661211978620441</v>
      </c>
      <c r="AD136" s="126">
        <f t="shared" si="213"/>
        <v>1.4995487611732985</v>
      </c>
      <c r="AE136" s="126">
        <f t="shared" si="213"/>
        <v>1.5337384729280497</v>
      </c>
      <c r="AF136" s="126">
        <f t="shared" si="213"/>
        <v>1.5687077101108091</v>
      </c>
      <c r="AG136" s="126">
        <f t="shared" si="213"/>
        <v>1.6044742459013355</v>
      </c>
      <c r="AH136" s="126">
        <f t="shared" si="213"/>
        <v>1.6410562587078859</v>
      </c>
      <c r="AI136" s="126">
        <f t="shared" si="213"/>
        <v>1.6784723414064255</v>
      </c>
      <c r="AJ136" s="126">
        <f t="shared" si="213"/>
        <v>1.716741510790492</v>
      </c>
      <c r="AK136" s="126">
        <f t="shared" si="213"/>
        <v>1.7558832172365151</v>
      </c>
      <c r="AL136" s="126">
        <f t="shared" si="213"/>
        <v>1.7959173545895075</v>
      </c>
      <c r="AM136" s="126">
        <f t="shared" si="213"/>
        <v>1.8368642702741482</v>
      </c>
      <c r="AN136" s="126">
        <f t="shared" si="213"/>
        <v>1.8787447756363986</v>
      </c>
      <c r="AO136" s="126">
        <f t="shared" si="213"/>
        <v>1.9215801565209083</v>
      </c>
      <c r="AP136" s="126">
        <f t="shared" si="213"/>
        <v>1.9653921840895849</v>
      </c>
      <c r="AQ136" s="126">
        <f t="shared" si="213"/>
        <v>2.0102031258868274</v>
      </c>
      <c r="AR136" s="126">
        <f t="shared" si="213"/>
        <v>2.0560357571570469</v>
      </c>
      <c r="AS136" s="126">
        <f t="shared" si="213"/>
        <v>2.1029133724202276</v>
      </c>
      <c r="AT136" s="126">
        <f t="shared" si="213"/>
        <v>2.1508597973114085</v>
      </c>
      <c r="AU136" s="126">
        <f t="shared" si="213"/>
        <v>2.1998994006901085</v>
      </c>
      <c r="AV136" s="126">
        <f t="shared" si="213"/>
        <v>2.2500571070258428</v>
      </c>
      <c r="AW136" s="126">
        <f t="shared" si="213"/>
        <v>2.3013584090660317</v>
      </c>
      <c r="AX136" s="126">
        <f t="shared" si="213"/>
        <v>2.3538293807927371</v>
      </c>
      <c r="AY136" s="126">
        <f t="shared" si="213"/>
        <v>2.4074966906748112</v>
      </c>
      <c r="AZ136" s="126">
        <f t="shared" si="213"/>
        <v>2.4623876152221968</v>
      </c>
      <c r="BA136" s="126">
        <f t="shared" si="213"/>
        <v>2.5185300528492629</v>
      </c>
      <c r="BB136" s="126">
        <f t="shared" ref="BB136:BC136" si="214">INDEX($C88:$BC88, MATCH(BB$125, $C$77:$BC$77,0))*BA136</f>
        <v>2.5759525380542261</v>
      </c>
      <c r="BC136" s="126">
        <f t="shared" si="214"/>
        <v>2.6346842559218624</v>
      </c>
      <c r="BD136" s="126">
        <f t="shared" ref="BD136" si="215">INDEX($C88:$BC88, MATCH(BD$125, $C$77:$BC$77,0))*BC136</f>
        <v>2.6947550569568808</v>
      </c>
    </row>
    <row r="137" spans="2:56">
      <c r="B137" s="6" t="str">
        <f t="shared" si="173"/>
        <v>Practice nurse visits</v>
      </c>
      <c r="D137" s="126">
        <f t="shared" ref="D137:H137" si="216">INDEX($C89:$AG89, MATCH(D$125, $C$77:$AG$77,0))*E137</f>
        <v>0.86414452553641208</v>
      </c>
      <c r="E137" s="126">
        <f t="shared" si="216"/>
        <v>0.88430671872330346</v>
      </c>
      <c r="F137" s="126">
        <f t="shared" si="216"/>
        <v>0.90493933557439987</v>
      </c>
      <c r="G137" s="126">
        <f t="shared" si="216"/>
        <v>0.92605335199999994</v>
      </c>
      <c r="H137" s="126">
        <f t="shared" si="216"/>
        <v>0.94765999999999995</v>
      </c>
      <c r="I137" s="126">
        <f t="shared" si="175"/>
        <v>0.98</v>
      </c>
      <c r="K137" s="123">
        <v>1</v>
      </c>
      <c r="M137" s="126">
        <f t="shared" si="176"/>
        <v>1.016</v>
      </c>
      <c r="N137" s="126">
        <f t="shared" ref="N137:BA137" si="217">INDEX($C89:$BC89, MATCH(N$125, $C$77:$BC$77,0))*M137</f>
        <v>1.0454639999999999</v>
      </c>
      <c r="O137" s="126">
        <f t="shared" si="217"/>
        <v>1.0693005791999999</v>
      </c>
      <c r="P137" s="126">
        <f t="shared" si="217"/>
        <v>1.0936806324057597</v>
      </c>
      <c r="Q137" s="126">
        <f t="shared" si="217"/>
        <v>1.1186165508246111</v>
      </c>
      <c r="R137" s="126">
        <f t="shared" si="217"/>
        <v>1.1441210081834121</v>
      </c>
      <c r="S137" s="126">
        <f t="shared" si="217"/>
        <v>1.1702069671699937</v>
      </c>
      <c r="T137" s="126">
        <f t="shared" si="217"/>
        <v>1.1968876860214694</v>
      </c>
      <c r="U137" s="126">
        <f t="shared" si="217"/>
        <v>1.2241767252627589</v>
      </c>
      <c r="V137" s="126">
        <f t="shared" si="217"/>
        <v>1.2520879545987498</v>
      </c>
      <c r="W137" s="126">
        <f t="shared" si="217"/>
        <v>1.2806355599636012</v>
      </c>
      <c r="X137" s="126">
        <f t="shared" si="217"/>
        <v>1.3098340507307713</v>
      </c>
      <c r="Y137" s="126">
        <f t="shared" si="217"/>
        <v>1.3396982670874329</v>
      </c>
      <c r="Z137" s="126">
        <f t="shared" si="217"/>
        <v>1.3702433875770264</v>
      </c>
      <c r="AA137" s="126">
        <f t="shared" si="217"/>
        <v>1.4014849368137825</v>
      </c>
      <c r="AB137" s="126">
        <f t="shared" si="217"/>
        <v>1.4334387933731367</v>
      </c>
      <c r="AC137" s="126">
        <f t="shared" si="217"/>
        <v>1.4661211978620441</v>
      </c>
      <c r="AD137" s="126">
        <f t="shared" si="217"/>
        <v>1.4995487611732985</v>
      </c>
      <c r="AE137" s="126">
        <f t="shared" si="217"/>
        <v>1.5337384729280497</v>
      </c>
      <c r="AF137" s="126">
        <f t="shared" si="217"/>
        <v>1.5687077101108091</v>
      </c>
      <c r="AG137" s="126">
        <f t="shared" si="217"/>
        <v>1.6044742459013355</v>
      </c>
      <c r="AH137" s="126">
        <f t="shared" si="217"/>
        <v>1.6410562587078859</v>
      </c>
      <c r="AI137" s="126">
        <f t="shared" si="217"/>
        <v>1.6784723414064255</v>
      </c>
      <c r="AJ137" s="126">
        <f t="shared" si="217"/>
        <v>1.716741510790492</v>
      </c>
      <c r="AK137" s="126">
        <f t="shared" si="217"/>
        <v>1.7558832172365151</v>
      </c>
      <c r="AL137" s="126">
        <f t="shared" si="217"/>
        <v>1.7959173545895075</v>
      </c>
      <c r="AM137" s="126">
        <f t="shared" si="217"/>
        <v>1.8368642702741482</v>
      </c>
      <c r="AN137" s="126">
        <f t="shared" si="217"/>
        <v>1.8787447756363986</v>
      </c>
      <c r="AO137" s="126">
        <f t="shared" si="217"/>
        <v>1.9215801565209083</v>
      </c>
      <c r="AP137" s="126">
        <f t="shared" si="217"/>
        <v>1.9653921840895849</v>
      </c>
      <c r="AQ137" s="126">
        <f t="shared" si="217"/>
        <v>2.0102031258868274</v>
      </c>
      <c r="AR137" s="126">
        <f t="shared" si="217"/>
        <v>2.0560357571570469</v>
      </c>
      <c r="AS137" s="126">
        <f t="shared" si="217"/>
        <v>2.1029133724202276</v>
      </c>
      <c r="AT137" s="126">
        <f t="shared" si="217"/>
        <v>2.1508597973114085</v>
      </c>
      <c r="AU137" s="126">
        <f t="shared" si="217"/>
        <v>2.1998994006901085</v>
      </c>
      <c r="AV137" s="126">
        <f t="shared" si="217"/>
        <v>2.2500571070258428</v>
      </c>
      <c r="AW137" s="126">
        <f t="shared" si="217"/>
        <v>2.3013584090660317</v>
      </c>
      <c r="AX137" s="126">
        <f t="shared" si="217"/>
        <v>2.3538293807927371</v>
      </c>
      <c r="AY137" s="126">
        <f t="shared" si="217"/>
        <v>2.4074966906748112</v>
      </c>
      <c r="AZ137" s="126">
        <f t="shared" si="217"/>
        <v>2.4623876152221968</v>
      </c>
      <c r="BA137" s="126">
        <f t="shared" si="217"/>
        <v>2.5185300528492629</v>
      </c>
      <c r="BB137" s="126">
        <f t="shared" ref="BB137:BC137" si="218">INDEX($C89:$BC89, MATCH(BB$125, $C$77:$BC$77,0))*BA137</f>
        <v>2.5759525380542261</v>
      </c>
      <c r="BC137" s="126">
        <f t="shared" si="218"/>
        <v>2.6346842559218624</v>
      </c>
      <c r="BD137" s="126">
        <f t="shared" ref="BD137" si="219">INDEX($C89:$BC89, MATCH(BD$125, $C$77:$BC$77,0))*BC137</f>
        <v>2.6947550569568808</v>
      </c>
    </row>
    <row r="138" spans="2:56">
      <c r="B138" s="6" t="str">
        <f t="shared" si="173"/>
        <v>Prescriptions for analgesics</v>
      </c>
      <c r="D138" s="126">
        <f t="shared" ref="D138:H138" si="220">INDEX($C90:$AG90, MATCH(D$125, $C$77:$AG$77,0))*E138</f>
        <v>0.76802686638997386</v>
      </c>
      <c r="E138" s="126">
        <f t="shared" si="220"/>
        <v>0.80153085617822362</v>
      </c>
      <c r="F138" s="126">
        <f t="shared" si="220"/>
        <v>0.83649640594679986</v>
      </c>
      <c r="G138" s="126">
        <f t="shared" si="220"/>
        <v>0.87298727399999987</v>
      </c>
      <c r="H138" s="126">
        <f t="shared" si="220"/>
        <v>0.91106999999999994</v>
      </c>
      <c r="I138" s="126">
        <f t="shared" si="175"/>
        <v>0.95399999999999996</v>
      </c>
      <c r="K138" s="123">
        <v>1</v>
      </c>
      <c r="M138" s="126">
        <f t="shared" si="176"/>
        <v>1.0409999999999999</v>
      </c>
      <c r="N138" s="126">
        <f t="shared" ref="N138:BA138" si="221">INDEX($C90:$BC90, MATCH(N$125, $C$77:$BC$77,0))*M138</f>
        <v>1.0836809999999999</v>
      </c>
      <c r="O138" s="126">
        <f t="shared" si="221"/>
        <v>1.1289788658</v>
      </c>
      <c r="P138" s="126">
        <f t="shared" si="221"/>
        <v>1.17617018239044</v>
      </c>
      <c r="Q138" s="126">
        <f t="shared" si="221"/>
        <v>1.2253340960143604</v>
      </c>
      <c r="R138" s="126">
        <f t="shared" si="221"/>
        <v>1.2765530612277607</v>
      </c>
      <c r="S138" s="126">
        <f t="shared" si="221"/>
        <v>1.3299129791870812</v>
      </c>
      <c r="T138" s="126">
        <f t="shared" si="221"/>
        <v>1.3855033417171012</v>
      </c>
      <c r="U138" s="126">
        <f t="shared" si="221"/>
        <v>1.4434173814008762</v>
      </c>
      <c r="V138" s="126">
        <f t="shared" si="221"/>
        <v>1.5037522279434328</v>
      </c>
      <c r="W138" s="126">
        <f t="shared" si="221"/>
        <v>1.5666090710714684</v>
      </c>
      <c r="X138" s="126">
        <f t="shared" si="221"/>
        <v>1.6320933302422558</v>
      </c>
      <c r="Y138" s="126">
        <f t="shared" si="221"/>
        <v>1.7003148314463821</v>
      </c>
      <c r="Z138" s="126">
        <f t="shared" si="221"/>
        <v>1.771387991400841</v>
      </c>
      <c r="AA138" s="126">
        <f t="shared" si="221"/>
        <v>1.8454320094413963</v>
      </c>
      <c r="AB138" s="126">
        <f t="shared" si="221"/>
        <v>1.9225710674360468</v>
      </c>
      <c r="AC138" s="126">
        <f t="shared" si="221"/>
        <v>2.0029345380548738</v>
      </c>
      <c r="AD138" s="126">
        <f t="shared" si="221"/>
        <v>2.0866572017455676</v>
      </c>
      <c r="AE138" s="126">
        <f t="shared" si="221"/>
        <v>2.1738794727785322</v>
      </c>
      <c r="AF138" s="126">
        <f t="shared" si="221"/>
        <v>2.264747634740675</v>
      </c>
      <c r="AG138" s="126">
        <f t="shared" si="221"/>
        <v>2.3594140858728352</v>
      </c>
      <c r="AH138" s="126">
        <f t="shared" si="221"/>
        <v>2.4580375946623199</v>
      </c>
      <c r="AI138" s="126">
        <f t="shared" si="221"/>
        <v>2.5607835661192051</v>
      </c>
      <c r="AJ138" s="126">
        <f t="shared" si="221"/>
        <v>2.667824319182988</v>
      </c>
      <c r="AK138" s="126">
        <f t="shared" si="221"/>
        <v>2.7793393757248372</v>
      </c>
      <c r="AL138" s="126">
        <f t="shared" si="221"/>
        <v>2.8955157616301355</v>
      </c>
      <c r="AM138" s="126">
        <f t="shared" si="221"/>
        <v>3.0165483204662751</v>
      </c>
      <c r="AN138" s="126">
        <f t="shared" si="221"/>
        <v>3.1426400402617656</v>
      </c>
      <c r="AO138" s="126">
        <f t="shared" si="221"/>
        <v>3.2740023939447074</v>
      </c>
      <c r="AP138" s="126">
        <f t="shared" si="221"/>
        <v>3.4108556940115964</v>
      </c>
      <c r="AQ138" s="126">
        <f t="shared" si="221"/>
        <v>3.5534294620212812</v>
      </c>
      <c r="AR138" s="126">
        <f t="shared" si="221"/>
        <v>3.701962813533771</v>
      </c>
      <c r="AS138" s="126">
        <f t="shared" si="221"/>
        <v>3.8567048591394828</v>
      </c>
      <c r="AT138" s="126">
        <f t="shared" si="221"/>
        <v>4.0179151222515133</v>
      </c>
      <c r="AU138" s="126">
        <f t="shared" si="221"/>
        <v>4.1858639743616264</v>
      </c>
      <c r="AV138" s="126">
        <f t="shared" si="221"/>
        <v>4.3608330884899429</v>
      </c>
      <c r="AW138" s="126">
        <f t="shared" si="221"/>
        <v>4.5431159115888224</v>
      </c>
      <c r="AX138" s="126">
        <f t="shared" si="221"/>
        <v>4.7330181566932357</v>
      </c>
      <c r="AY138" s="126">
        <f t="shared" si="221"/>
        <v>4.9308583156430128</v>
      </c>
      <c r="AZ138" s="126">
        <f t="shared" si="221"/>
        <v>5.1369681932368909</v>
      </c>
      <c r="BA138" s="126">
        <f t="shared" si="221"/>
        <v>5.3516934637141933</v>
      </c>
      <c r="BB138" s="126">
        <f t="shared" ref="BB138:BC138" si="222">INDEX($C90:$BC90, MATCH(BB$125, $C$77:$BC$77,0))*BA138</f>
        <v>5.575394250497447</v>
      </c>
      <c r="BC138" s="126">
        <f t="shared" si="222"/>
        <v>5.8084457301682404</v>
      </c>
      <c r="BD138" s="126">
        <f t="shared" ref="BD138" si="223">INDEX($C90:$BC90, MATCH(BD$125, $C$77:$BC$77,0))*BC138</f>
        <v>6.0512387616892731</v>
      </c>
    </row>
    <row r="139" spans="2:56">
      <c r="B139" s="6" t="str">
        <f t="shared" si="173"/>
        <v>Prescriptions for anti-infectives</v>
      </c>
      <c r="D139" s="126">
        <f t="shared" ref="D139:H139" si="224">INDEX($C91:$AG91, MATCH(D$125, $C$77:$AG$77,0))*E139</f>
        <v>0.76802686638997386</v>
      </c>
      <c r="E139" s="126">
        <f t="shared" si="224"/>
        <v>0.80153085617822362</v>
      </c>
      <c r="F139" s="126">
        <f t="shared" si="224"/>
        <v>0.83649640594679986</v>
      </c>
      <c r="G139" s="126">
        <f t="shared" si="224"/>
        <v>0.87298727399999987</v>
      </c>
      <c r="H139" s="126">
        <f t="shared" si="224"/>
        <v>0.91106999999999994</v>
      </c>
      <c r="I139" s="126">
        <f t="shared" si="175"/>
        <v>0.95399999999999996</v>
      </c>
      <c r="K139" s="123">
        <v>1</v>
      </c>
      <c r="M139" s="126">
        <f t="shared" si="176"/>
        <v>1.0409999999999999</v>
      </c>
      <c r="N139" s="126">
        <f t="shared" ref="N139:BA139" si="225">INDEX($C91:$BC91, MATCH(N$125, $C$77:$BC$77,0))*M139</f>
        <v>1.0836809999999999</v>
      </c>
      <c r="O139" s="126">
        <f t="shared" si="225"/>
        <v>1.1289788658</v>
      </c>
      <c r="P139" s="126">
        <f t="shared" si="225"/>
        <v>1.17617018239044</v>
      </c>
      <c r="Q139" s="126">
        <f t="shared" si="225"/>
        <v>1.2253340960143604</v>
      </c>
      <c r="R139" s="126">
        <f t="shared" si="225"/>
        <v>1.2765530612277607</v>
      </c>
      <c r="S139" s="126">
        <f t="shared" si="225"/>
        <v>1.3299129791870812</v>
      </c>
      <c r="T139" s="126">
        <f t="shared" si="225"/>
        <v>1.3855033417171012</v>
      </c>
      <c r="U139" s="126">
        <f t="shared" si="225"/>
        <v>1.4434173814008762</v>
      </c>
      <c r="V139" s="126">
        <f t="shared" si="225"/>
        <v>1.5037522279434328</v>
      </c>
      <c r="W139" s="126">
        <f t="shared" si="225"/>
        <v>1.5666090710714684</v>
      </c>
      <c r="X139" s="126">
        <f t="shared" si="225"/>
        <v>1.6320933302422558</v>
      </c>
      <c r="Y139" s="126">
        <f t="shared" si="225"/>
        <v>1.7003148314463821</v>
      </c>
      <c r="Z139" s="126">
        <f t="shared" si="225"/>
        <v>1.771387991400841</v>
      </c>
      <c r="AA139" s="126">
        <f t="shared" si="225"/>
        <v>1.8454320094413963</v>
      </c>
      <c r="AB139" s="126">
        <f t="shared" si="225"/>
        <v>1.9225710674360468</v>
      </c>
      <c r="AC139" s="126">
        <f t="shared" si="225"/>
        <v>2.0029345380548738</v>
      </c>
      <c r="AD139" s="126">
        <f t="shared" si="225"/>
        <v>2.0866572017455676</v>
      </c>
      <c r="AE139" s="126">
        <f t="shared" si="225"/>
        <v>2.1738794727785322</v>
      </c>
      <c r="AF139" s="126">
        <f t="shared" si="225"/>
        <v>2.264747634740675</v>
      </c>
      <c r="AG139" s="126">
        <f t="shared" si="225"/>
        <v>2.3594140858728352</v>
      </c>
      <c r="AH139" s="126">
        <f t="shared" si="225"/>
        <v>2.4580375946623199</v>
      </c>
      <c r="AI139" s="126">
        <f t="shared" si="225"/>
        <v>2.5607835661192051</v>
      </c>
      <c r="AJ139" s="126">
        <f t="shared" si="225"/>
        <v>2.667824319182988</v>
      </c>
      <c r="AK139" s="126">
        <f t="shared" si="225"/>
        <v>2.7793393757248372</v>
      </c>
      <c r="AL139" s="126">
        <f t="shared" si="225"/>
        <v>2.8955157616301355</v>
      </c>
      <c r="AM139" s="126">
        <f t="shared" si="225"/>
        <v>3.0165483204662751</v>
      </c>
      <c r="AN139" s="126">
        <f t="shared" si="225"/>
        <v>3.1426400402617656</v>
      </c>
      <c r="AO139" s="126">
        <f t="shared" si="225"/>
        <v>3.2740023939447074</v>
      </c>
      <c r="AP139" s="126">
        <f t="shared" si="225"/>
        <v>3.4108556940115964</v>
      </c>
      <c r="AQ139" s="126">
        <f t="shared" si="225"/>
        <v>3.5534294620212812</v>
      </c>
      <c r="AR139" s="126">
        <f t="shared" si="225"/>
        <v>3.701962813533771</v>
      </c>
      <c r="AS139" s="126">
        <f t="shared" si="225"/>
        <v>3.8567048591394828</v>
      </c>
      <c r="AT139" s="126">
        <f t="shared" si="225"/>
        <v>4.0179151222515133</v>
      </c>
      <c r="AU139" s="126">
        <f t="shared" si="225"/>
        <v>4.1858639743616264</v>
      </c>
      <c r="AV139" s="126">
        <f t="shared" si="225"/>
        <v>4.3608330884899429</v>
      </c>
      <c r="AW139" s="126">
        <f t="shared" si="225"/>
        <v>4.5431159115888224</v>
      </c>
      <c r="AX139" s="126">
        <f t="shared" si="225"/>
        <v>4.7330181566932357</v>
      </c>
      <c r="AY139" s="126">
        <f t="shared" si="225"/>
        <v>4.9308583156430128</v>
      </c>
      <c r="AZ139" s="126">
        <f t="shared" si="225"/>
        <v>5.1369681932368909</v>
      </c>
      <c r="BA139" s="126">
        <f t="shared" si="225"/>
        <v>5.3516934637141933</v>
      </c>
      <c r="BB139" s="126">
        <f t="shared" ref="BB139:BC139" si="226">INDEX($C91:$BC91, MATCH(BB$125, $C$77:$BC$77,0))*BA139</f>
        <v>5.575394250497447</v>
      </c>
      <c r="BC139" s="126">
        <f t="shared" si="226"/>
        <v>5.8084457301682404</v>
      </c>
      <c r="BD139" s="126">
        <f t="shared" ref="BD139" si="227">INDEX($C91:$BC91, MATCH(BD$125, $C$77:$BC$77,0))*BC139</f>
        <v>6.0512387616892731</v>
      </c>
    </row>
    <row r="140" spans="2:56">
      <c r="B140" s="6" t="str">
        <f t="shared" si="173"/>
        <v>Neuroleptics</v>
      </c>
      <c r="D140" s="126">
        <f t="shared" ref="D140:H140" si="228">INDEX($C92:$AG92, MATCH(D$125, $C$77:$AG$77,0))*E140</f>
        <v>0.76802686638997386</v>
      </c>
      <c r="E140" s="126">
        <f t="shared" si="228"/>
        <v>0.80153085617822362</v>
      </c>
      <c r="F140" s="126">
        <f t="shared" si="228"/>
        <v>0.83649640594679986</v>
      </c>
      <c r="G140" s="126">
        <f t="shared" si="228"/>
        <v>0.87298727399999987</v>
      </c>
      <c r="H140" s="126">
        <f t="shared" si="228"/>
        <v>0.91106999999999994</v>
      </c>
      <c r="I140" s="126">
        <f t="shared" si="175"/>
        <v>0.95399999999999996</v>
      </c>
      <c r="K140" s="123">
        <v>1</v>
      </c>
      <c r="M140" s="126">
        <f t="shared" si="176"/>
        <v>1.0409999999999999</v>
      </c>
      <c r="N140" s="126">
        <f t="shared" ref="N140:BA140" si="229">INDEX($C92:$BC92, MATCH(N$125, $C$77:$BC$77,0))*M140</f>
        <v>1.0836809999999999</v>
      </c>
      <c r="O140" s="126">
        <f t="shared" si="229"/>
        <v>1.1289788658</v>
      </c>
      <c r="P140" s="126">
        <f t="shared" si="229"/>
        <v>1.17617018239044</v>
      </c>
      <c r="Q140" s="126">
        <f t="shared" si="229"/>
        <v>1.2253340960143604</v>
      </c>
      <c r="R140" s="126">
        <f t="shared" si="229"/>
        <v>1.2765530612277607</v>
      </c>
      <c r="S140" s="126">
        <f t="shared" si="229"/>
        <v>1.3299129791870812</v>
      </c>
      <c r="T140" s="126">
        <f t="shared" si="229"/>
        <v>1.3855033417171012</v>
      </c>
      <c r="U140" s="126">
        <f t="shared" si="229"/>
        <v>1.4434173814008762</v>
      </c>
      <c r="V140" s="126">
        <f t="shared" si="229"/>
        <v>1.5037522279434328</v>
      </c>
      <c r="W140" s="126">
        <f t="shared" si="229"/>
        <v>1.5666090710714684</v>
      </c>
      <c r="X140" s="126">
        <f t="shared" si="229"/>
        <v>1.6320933302422558</v>
      </c>
      <c r="Y140" s="126">
        <f t="shared" si="229"/>
        <v>1.7003148314463821</v>
      </c>
      <c r="Z140" s="126">
        <f t="shared" si="229"/>
        <v>1.771387991400841</v>
      </c>
      <c r="AA140" s="126">
        <f t="shared" si="229"/>
        <v>1.8454320094413963</v>
      </c>
      <c r="AB140" s="126">
        <f t="shared" si="229"/>
        <v>1.9225710674360468</v>
      </c>
      <c r="AC140" s="126">
        <f t="shared" si="229"/>
        <v>2.0029345380548738</v>
      </c>
      <c r="AD140" s="126">
        <f t="shared" si="229"/>
        <v>2.0866572017455676</v>
      </c>
      <c r="AE140" s="126">
        <f t="shared" si="229"/>
        <v>2.1738794727785322</v>
      </c>
      <c r="AF140" s="126">
        <f t="shared" si="229"/>
        <v>2.264747634740675</v>
      </c>
      <c r="AG140" s="126">
        <f t="shared" si="229"/>
        <v>2.3594140858728352</v>
      </c>
      <c r="AH140" s="126">
        <f t="shared" si="229"/>
        <v>2.4580375946623199</v>
      </c>
      <c r="AI140" s="126">
        <f t="shared" si="229"/>
        <v>2.5607835661192051</v>
      </c>
      <c r="AJ140" s="126">
        <f t="shared" si="229"/>
        <v>2.667824319182988</v>
      </c>
      <c r="AK140" s="126">
        <f t="shared" si="229"/>
        <v>2.7793393757248372</v>
      </c>
      <c r="AL140" s="126">
        <f t="shared" si="229"/>
        <v>2.8955157616301355</v>
      </c>
      <c r="AM140" s="126">
        <f t="shared" si="229"/>
        <v>3.0165483204662751</v>
      </c>
      <c r="AN140" s="126">
        <f t="shared" si="229"/>
        <v>3.1426400402617656</v>
      </c>
      <c r="AO140" s="126">
        <f t="shared" si="229"/>
        <v>3.2740023939447074</v>
      </c>
      <c r="AP140" s="126">
        <f t="shared" si="229"/>
        <v>3.4108556940115964</v>
      </c>
      <c r="AQ140" s="126">
        <f t="shared" si="229"/>
        <v>3.5534294620212812</v>
      </c>
      <c r="AR140" s="126">
        <f t="shared" si="229"/>
        <v>3.701962813533771</v>
      </c>
      <c r="AS140" s="126">
        <f t="shared" si="229"/>
        <v>3.8567048591394828</v>
      </c>
      <c r="AT140" s="126">
        <f t="shared" si="229"/>
        <v>4.0179151222515133</v>
      </c>
      <c r="AU140" s="126">
        <f t="shared" si="229"/>
        <v>4.1858639743616264</v>
      </c>
      <c r="AV140" s="126">
        <f t="shared" si="229"/>
        <v>4.3608330884899429</v>
      </c>
      <c r="AW140" s="126">
        <f t="shared" si="229"/>
        <v>4.5431159115888224</v>
      </c>
      <c r="AX140" s="126">
        <f t="shared" si="229"/>
        <v>4.7330181566932357</v>
      </c>
      <c r="AY140" s="126">
        <f t="shared" si="229"/>
        <v>4.9308583156430128</v>
      </c>
      <c r="AZ140" s="126">
        <f t="shared" si="229"/>
        <v>5.1369681932368909</v>
      </c>
      <c r="BA140" s="126">
        <f t="shared" si="229"/>
        <v>5.3516934637141933</v>
      </c>
      <c r="BB140" s="126">
        <f t="shared" ref="BB140:BC140" si="230">INDEX($C92:$BC92, MATCH(BB$125, $C$77:$BC$77,0))*BA140</f>
        <v>5.575394250497447</v>
      </c>
      <c r="BC140" s="126">
        <f t="shared" si="230"/>
        <v>5.8084457301682404</v>
      </c>
      <c r="BD140" s="126">
        <f t="shared" ref="BD140" si="231">INDEX($C92:$BC92, MATCH(BD$125, $C$77:$BC$77,0))*BC140</f>
        <v>6.0512387616892731</v>
      </c>
    </row>
    <row r="141" spans="2:56">
      <c r="B141" s="6" t="str">
        <f t="shared" si="173"/>
        <v>Absorbent dressing</v>
      </c>
      <c r="D141" s="126">
        <f t="shared" ref="D141:H141" si="232">INDEX($C93:$AG93, MATCH(D$125, $C$77:$AG$77,0))*E141</f>
        <v>0.89400723846022712</v>
      </c>
      <c r="E141" s="126">
        <f t="shared" si="232"/>
        <v>0.91132236336414596</v>
      </c>
      <c r="F141" s="126">
        <f t="shared" si="232"/>
        <v>0.92897284746599995</v>
      </c>
      <c r="G141" s="126">
        <f t="shared" si="232"/>
        <v>0.94696518600000001</v>
      </c>
      <c r="H141" s="126">
        <f t="shared" si="232"/>
        <v>0.965306</v>
      </c>
      <c r="I141" s="126">
        <f t="shared" si="175"/>
        <v>0.98199999999999998</v>
      </c>
      <c r="K141" s="123">
        <v>1</v>
      </c>
      <c r="M141" s="126">
        <f t="shared" si="176"/>
        <v>1.0189999999999999</v>
      </c>
      <c r="N141" s="126">
        <f t="shared" ref="N141:BA141" si="233">INDEX($C93:$BC93, MATCH(N$125, $C$77:$BC$77,0))*M141</f>
        <v>1.03938</v>
      </c>
      <c r="O141" s="126">
        <f t="shared" si="233"/>
        <v>1.0591282199999998</v>
      </c>
      <c r="P141" s="126">
        <f t="shared" si="233"/>
        <v>1.0792516561799996</v>
      </c>
      <c r="Q141" s="126">
        <f t="shared" si="233"/>
        <v>1.0997574376474195</v>
      </c>
      <c r="R141" s="126">
        <f t="shared" si="233"/>
        <v>1.1206528289627204</v>
      </c>
      <c r="S141" s="126">
        <f t="shared" si="233"/>
        <v>1.141945232713012</v>
      </c>
      <c r="T141" s="126">
        <f t="shared" si="233"/>
        <v>1.163642192134559</v>
      </c>
      <c r="U141" s="126">
        <f t="shared" si="233"/>
        <v>1.1857513937851154</v>
      </c>
      <c r="V141" s="126">
        <f t="shared" si="233"/>
        <v>1.2082806702670326</v>
      </c>
      <c r="W141" s="126">
        <f t="shared" si="233"/>
        <v>1.2312380030021062</v>
      </c>
      <c r="X141" s="126">
        <f t="shared" si="233"/>
        <v>1.254631525059146</v>
      </c>
      <c r="Y141" s="126">
        <f t="shared" si="233"/>
        <v>1.2784695240352697</v>
      </c>
      <c r="Z141" s="126">
        <f t="shared" si="233"/>
        <v>1.3027604449919397</v>
      </c>
      <c r="AA141" s="126">
        <f t="shared" si="233"/>
        <v>1.3275128934467864</v>
      </c>
      <c r="AB141" s="126">
        <f t="shared" si="233"/>
        <v>1.3527356384222751</v>
      </c>
      <c r="AC141" s="126">
        <f t="shared" si="233"/>
        <v>1.3784376155522982</v>
      </c>
      <c r="AD141" s="126">
        <f t="shared" si="233"/>
        <v>1.4046279302477918</v>
      </c>
      <c r="AE141" s="126">
        <f t="shared" si="233"/>
        <v>1.4313158609224996</v>
      </c>
      <c r="AF141" s="126">
        <f t="shared" si="233"/>
        <v>1.4585108622800269</v>
      </c>
      <c r="AG141" s="126">
        <f t="shared" si="233"/>
        <v>1.4862225686633472</v>
      </c>
      <c r="AH141" s="126">
        <f t="shared" si="233"/>
        <v>1.5144607974679507</v>
      </c>
      <c r="AI141" s="126">
        <f t="shared" si="233"/>
        <v>1.5432355526198416</v>
      </c>
      <c r="AJ141" s="126">
        <f t="shared" si="233"/>
        <v>1.5725570281196184</v>
      </c>
      <c r="AK141" s="126">
        <f t="shared" si="233"/>
        <v>1.6024356116538909</v>
      </c>
      <c r="AL141" s="126">
        <f t="shared" si="233"/>
        <v>1.6328818882753147</v>
      </c>
      <c r="AM141" s="126">
        <f t="shared" si="233"/>
        <v>1.6639066441525454</v>
      </c>
      <c r="AN141" s="126">
        <f t="shared" si="233"/>
        <v>1.6955208703914437</v>
      </c>
      <c r="AO141" s="126">
        <f t="shared" si="233"/>
        <v>1.7277357669288811</v>
      </c>
      <c r="AP141" s="126">
        <f t="shared" si="233"/>
        <v>1.7605627465005296</v>
      </c>
      <c r="AQ141" s="126">
        <f t="shared" si="233"/>
        <v>1.7940134386840394</v>
      </c>
      <c r="AR141" s="126">
        <f t="shared" si="233"/>
        <v>1.8280996940190359</v>
      </c>
      <c r="AS141" s="126">
        <f t="shared" si="233"/>
        <v>1.8628335882053975</v>
      </c>
      <c r="AT141" s="126">
        <f t="shared" si="233"/>
        <v>1.8982274263812999</v>
      </c>
      <c r="AU141" s="126">
        <f t="shared" si="233"/>
        <v>1.9342937474825443</v>
      </c>
      <c r="AV141" s="126">
        <f t="shared" si="233"/>
        <v>1.9710453286847125</v>
      </c>
      <c r="AW141" s="126">
        <f t="shared" si="233"/>
        <v>2.0084951899297216</v>
      </c>
      <c r="AX141" s="126">
        <f t="shared" si="233"/>
        <v>2.046656598538386</v>
      </c>
      <c r="AY141" s="126">
        <f t="shared" si="233"/>
        <v>2.0855430739106153</v>
      </c>
      <c r="AZ141" s="126">
        <f t="shared" si="233"/>
        <v>2.1251683923149169</v>
      </c>
      <c r="BA141" s="126">
        <f t="shared" si="233"/>
        <v>2.1655465917689001</v>
      </c>
      <c r="BB141" s="126">
        <f t="shared" ref="BB141:BC141" si="234">INDEX($C93:$BC93, MATCH(BB$125, $C$77:$BC$77,0))*BA141</f>
        <v>2.2066919770125089</v>
      </c>
      <c r="BC141" s="126">
        <f t="shared" si="234"/>
        <v>2.2486191245757463</v>
      </c>
      <c r="BD141" s="126">
        <f t="shared" ref="BD141" si="235">INDEX($C93:$BC93, MATCH(BD$125, $C$77:$BC$77,0))*BC141</f>
        <v>2.2913428879426854</v>
      </c>
    </row>
    <row r="142" spans="2:56">
      <c r="B142" s="6" t="str">
        <f t="shared" si="173"/>
        <v>Alginate dressing</v>
      </c>
      <c r="D142" s="126">
        <f t="shared" ref="D142:H142" si="236">INDEX($C94:$AG94, MATCH(D$125, $C$77:$AG$77,0))*E142</f>
        <v>0.89400723846022712</v>
      </c>
      <c r="E142" s="126">
        <f t="shared" si="236"/>
        <v>0.91132236336414596</v>
      </c>
      <c r="F142" s="126">
        <f t="shared" si="236"/>
        <v>0.92897284746599995</v>
      </c>
      <c r="G142" s="126">
        <f t="shared" si="236"/>
        <v>0.94696518600000001</v>
      </c>
      <c r="H142" s="126">
        <f t="shared" si="236"/>
        <v>0.965306</v>
      </c>
      <c r="I142" s="126">
        <f t="shared" si="175"/>
        <v>0.98199999999999998</v>
      </c>
      <c r="K142" s="123">
        <v>1</v>
      </c>
      <c r="M142" s="126">
        <f t="shared" si="176"/>
        <v>1.0189999999999999</v>
      </c>
      <c r="N142" s="126">
        <f t="shared" ref="N142:BA142" si="237">INDEX($C94:$BC94, MATCH(N$125, $C$77:$BC$77,0))*M142</f>
        <v>1.03938</v>
      </c>
      <c r="O142" s="126">
        <f t="shared" si="237"/>
        <v>1.0591282199999998</v>
      </c>
      <c r="P142" s="126">
        <f t="shared" si="237"/>
        <v>1.0792516561799996</v>
      </c>
      <c r="Q142" s="126">
        <f t="shared" si="237"/>
        <v>1.0997574376474195</v>
      </c>
      <c r="R142" s="126">
        <f t="shared" si="237"/>
        <v>1.1206528289627204</v>
      </c>
      <c r="S142" s="126">
        <f t="shared" si="237"/>
        <v>1.141945232713012</v>
      </c>
      <c r="T142" s="126">
        <f t="shared" si="237"/>
        <v>1.163642192134559</v>
      </c>
      <c r="U142" s="126">
        <f t="shared" si="237"/>
        <v>1.1857513937851154</v>
      </c>
      <c r="V142" s="126">
        <f t="shared" si="237"/>
        <v>1.2082806702670326</v>
      </c>
      <c r="W142" s="126">
        <f t="shared" si="237"/>
        <v>1.2312380030021062</v>
      </c>
      <c r="X142" s="126">
        <f t="shared" si="237"/>
        <v>1.254631525059146</v>
      </c>
      <c r="Y142" s="126">
        <f t="shared" si="237"/>
        <v>1.2784695240352697</v>
      </c>
      <c r="Z142" s="126">
        <f t="shared" si="237"/>
        <v>1.3027604449919397</v>
      </c>
      <c r="AA142" s="126">
        <f t="shared" si="237"/>
        <v>1.3275128934467864</v>
      </c>
      <c r="AB142" s="126">
        <f t="shared" si="237"/>
        <v>1.3527356384222751</v>
      </c>
      <c r="AC142" s="126">
        <f t="shared" si="237"/>
        <v>1.3784376155522982</v>
      </c>
      <c r="AD142" s="126">
        <f t="shared" si="237"/>
        <v>1.4046279302477918</v>
      </c>
      <c r="AE142" s="126">
        <f t="shared" si="237"/>
        <v>1.4313158609224996</v>
      </c>
      <c r="AF142" s="126">
        <f t="shared" si="237"/>
        <v>1.4585108622800269</v>
      </c>
      <c r="AG142" s="126">
        <f t="shared" si="237"/>
        <v>1.4862225686633472</v>
      </c>
      <c r="AH142" s="126">
        <f t="shared" si="237"/>
        <v>1.5144607974679507</v>
      </c>
      <c r="AI142" s="126">
        <f t="shared" si="237"/>
        <v>1.5432355526198416</v>
      </c>
      <c r="AJ142" s="126">
        <f t="shared" si="237"/>
        <v>1.5725570281196184</v>
      </c>
      <c r="AK142" s="126">
        <f t="shared" si="237"/>
        <v>1.6024356116538909</v>
      </c>
      <c r="AL142" s="126">
        <f t="shared" si="237"/>
        <v>1.6328818882753147</v>
      </c>
      <c r="AM142" s="126">
        <f t="shared" si="237"/>
        <v>1.6639066441525454</v>
      </c>
      <c r="AN142" s="126">
        <f t="shared" si="237"/>
        <v>1.6955208703914437</v>
      </c>
      <c r="AO142" s="126">
        <f t="shared" si="237"/>
        <v>1.7277357669288811</v>
      </c>
      <c r="AP142" s="126">
        <f t="shared" si="237"/>
        <v>1.7605627465005296</v>
      </c>
      <c r="AQ142" s="126">
        <f t="shared" si="237"/>
        <v>1.7940134386840394</v>
      </c>
      <c r="AR142" s="126">
        <f t="shared" si="237"/>
        <v>1.8280996940190359</v>
      </c>
      <c r="AS142" s="126">
        <f t="shared" si="237"/>
        <v>1.8628335882053975</v>
      </c>
      <c r="AT142" s="126">
        <f t="shared" si="237"/>
        <v>1.8982274263812999</v>
      </c>
      <c r="AU142" s="126">
        <f t="shared" si="237"/>
        <v>1.9342937474825443</v>
      </c>
      <c r="AV142" s="126">
        <f t="shared" si="237"/>
        <v>1.9710453286847125</v>
      </c>
      <c r="AW142" s="126">
        <f t="shared" si="237"/>
        <v>2.0084951899297216</v>
      </c>
      <c r="AX142" s="126">
        <f t="shared" si="237"/>
        <v>2.046656598538386</v>
      </c>
      <c r="AY142" s="126">
        <f t="shared" si="237"/>
        <v>2.0855430739106153</v>
      </c>
      <c r="AZ142" s="126">
        <f t="shared" si="237"/>
        <v>2.1251683923149169</v>
      </c>
      <c r="BA142" s="126">
        <f t="shared" si="237"/>
        <v>2.1655465917689001</v>
      </c>
      <c r="BB142" s="126">
        <f t="shared" ref="BB142:BC142" si="238">INDEX($C94:$BC94, MATCH(BB$125, $C$77:$BC$77,0))*BA142</f>
        <v>2.2066919770125089</v>
      </c>
      <c r="BC142" s="126">
        <f t="shared" si="238"/>
        <v>2.2486191245757463</v>
      </c>
      <c r="BD142" s="126">
        <f t="shared" ref="BD142" si="239">INDEX($C94:$BC94, MATCH(BD$125, $C$77:$BC$77,0))*BC142</f>
        <v>2.2913428879426854</v>
      </c>
    </row>
    <row r="143" spans="2:56">
      <c r="B143" s="6" t="str">
        <f t="shared" si="173"/>
        <v>Antimicrobial dressing</v>
      </c>
      <c r="D143" s="126">
        <f t="shared" ref="D143:H143" si="240">INDEX($C95:$AG95, MATCH(D$125, $C$77:$AG$77,0))*E143</f>
        <v>0.89400723846022712</v>
      </c>
      <c r="E143" s="126">
        <f t="shared" si="240"/>
        <v>0.91132236336414596</v>
      </c>
      <c r="F143" s="126">
        <f t="shared" si="240"/>
        <v>0.92897284746599995</v>
      </c>
      <c r="G143" s="126">
        <f t="shared" si="240"/>
        <v>0.94696518600000001</v>
      </c>
      <c r="H143" s="126">
        <f t="shared" si="240"/>
        <v>0.965306</v>
      </c>
      <c r="I143" s="126">
        <f t="shared" si="175"/>
        <v>0.98199999999999998</v>
      </c>
      <c r="K143" s="123">
        <v>1</v>
      </c>
      <c r="M143" s="126">
        <f t="shared" si="176"/>
        <v>1.0189999999999999</v>
      </c>
      <c r="N143" s="126">
        <f t="shared" ref="N143:BA143" si="241">INDEX($C95:$BC95, MATCH(N$125, $C$77:$BC$77,0))*M143</f>
        <v>1.03938</v>
      </c>
      <c r="O143" s="126">
        <f t="shared" si="241"/>
        <v>1.0591282199999998</v>
      </c>
      <c r="P143" s="126">
        <f t="shared" si="241"/>
        <v>1.0792516561799996</v>
      </c>
      <c r="Q143" s="126">
        <f t="shared" si="241"/>
        <v>1.0997574376474195</v>
      </c>
      <c r="R143" s="126">
        <f t="shared" si="241"/>
        <v>1.1206528289627204</v>
      </c>
      <c r="S143" s="126">
        <f t="shared" si="241"/>
        <v>1.141945232713012</v>
      </c>
      <c r="T143" s="126">
        <f t="shared" si="241"/>
        <v>1.163642192134559</v>
      </c>
      <c r="U143" s="126">
        <f t="shared" si="241"/>
        <v>1.1857513937851154</v>
      </c>
      <c r="V143" s="126">
        <f t="shared" si="241"/>
        <v>1.2082806702670326</v>
      </c>
      <c r="W143" s="126">
        <f t="shared" si="241"/>
        <v>1.2312380030021062</v>
      </c>
      <c r="X143" s="126">
        <f t="shared" si="241"/>
        <v>1.254631525059146</v>
      </c>
      <c r="Y143" s="126">
        <f t="shared" si="241"/>
        <v>1.2784695240352697</v>
      </c>
      <c r="Z143" s="126">
        <f t="shared" si="241"/>
        <v>1.3027604449919397</v>
      </c>
      <c r="AA143" s="126">
        <f t="shared" si="241"/>
        <v>1.3275128934467864</v>
      </c>
      <c r="AB143" s="126">
        <f t="shared" si="241"/>
        <v>1.3527356384222751</v>
      </c>
      <c r="AC143" s="126">
        <f t="shared" si="241"/>
        <v>1.3784376155522982</v>
      </c>
      <c r="AD143" s="126">
        <f t="shared" si="241"/>
        <v>1.4046279302477918</v>
      </c>
      <c r="AE143" s="126">
        <f t="shared" si="241"/>
        <v>1.4313158609224996</v>
      </c>
      <c r="AF143" s="126">
        <f t="shared" si="241"/>
        <v>1.4585108622800269</v>
      </c>
      <c r="AG143" s="126">
        <f t="shared" si="241"/>
        <v>1.4862225686633472</v>
      </c>
      <c r="AH143" s="126">
        <f t="shared" si="241"/>
        <v>1.5144607974679507</v>
      </c>
      <c r="AI143" s="126">
        <f t="shared" si="241"/>
        <v>1.5432355526198416</v>
      </c>
      <c r="AJ143" s="126">
        <f t="shared" si="241"/>
        <v>1.5725570281196184</v>
      </c>
      <c r="AK143" s="126">
        <f t="shared" si="241"/>
        <v>1.6024356116538909</v>
      </c>
      <c r="AL143" s="126">
        <f t="shared" si="241"/>
        <v>1.6328818882753147</v>
      </c>
      <c r="AM143" s="126">
        <f t="shared" si="241"/>
        <v>1.6639066441525454</v>
      </c>
      <c r="AN143" s="126">
        <f t="shared" si="241"/>
        <v>1.6955208703914437</v>
      </c>
      <c r="AO143" s="126">
        <f t="shared" si="241"/>
        <v>1.7277357669288811</v>
      </c>
      <c r="AP143" s="126">
        <f t="shared" si="241"/>
        <v>1.7605627465005296</v>
      </c>
      <c r="AQ143" s="126">
        <f t="shared" si="241"/>
        <v>1.7940134386840394</v>
      </c>
      <c r="AR143" s="126">
        <f t="shared" si="241"/>
        <v>1.8280996940190359</v>
      </c>
      <c r="AS143" s="126">
        <f t="shared" si="241"/>
        <v>1.8628335882053975</v>
      </c>
      <c r="AT143" s="126">
        <f t="shared" si="241"/>
        <v>1.8982274263812999</v>
      </c>
      <c r="AU143" s="126">
        <f t="shared" si="241"/>
        <v>1.9342937474825443</v>
      </c>
      <c r="AV143" s="126">
        <f t="shared" si="241"/>
        <v>1.9710453286847125</v>
      </c>
      <c r="AW143" s="126">
        <f t="shared" si="241"/>
        <v>2.0084951899297216</v>
      </c>
      <c r="AX143" s="126">
        <f t="shared" si="241"/>
        <v>2.046656598538386</v>
      </c>
      <c r="AY143" s="126">
        <f t="shared" si="241"/>
        <v>2.0855430739106153</v>
      </c>
      <c r="AZ143" s="126">
        <f t="shared" si="241"/>
        <v>2.1251683923149169</v>
      </c>
      <c r="BA143" s="126">
        <f t="shared" si="241"/>
        <v>2.1655465917689001</v>
      </c>
      <c r="BB143" s="126">
        <f t="shared" ref="BB143:BC143" si="242">INDEX($C95:$BC95, MATCH(BB$125, $C$77:$BC$77,0))*BA143</f>
        <v>2.2066919770125089</v>
      </c>
      <c r="BC143" s="126">
        <f t="shared" si="242"/>
        <v>2.2486191245757463</v>
      </c>
      <c r="BD143" s="126">
        <f t="shared" ref="BD143" si="243">INDEX($C95:$BC95, MATCH(BD$125, $C$77:$BC$77,0))*BC143</f>
        <v>2.2913428879426854</v>
      </c>
    </row>
    <row r="144" spans="2:56">
      <c r="B144" s="6" t="str">
        <f t="shared" si="173"/>
        <v>Capillary-action dressing</v>
      </c>
      <c r="D144" s="126">
        <f t="shared" ref="D144:H144" si="244">INDEX($C96:$AG96, MATCH(D$125, $C$77:$AG$77,0))*E144</f>
        <v>0.89400723846022712</v>
      </c>
      <c r="E144" s="126">
        <f t="shared" si="244"/>
        <v>0.91132236336414596</v>
      </c>
      <c r="F144" s="126">
        <f t="shared" si="244"/>
        <v>0.92897284746599995</v>
      </c>
      <c r="G144" s="126">
        <f t="shared" si="244"/>
        <v>0.94696518600000001</v>
      </c>
      <c r="H144" s="126">
        <f t="shared" si="244"/>
        <v>0.965306</v>
      </c>
      <c r="I144" s="126">
        <f t="shared" si="175"/>
        <v>0.98199999999999998</v>
      </c>
      <c r="K144" s="123">
        <v>1</v>
      </c>
      <c r="M144" s="126">
        <f t="shared" si="176"/>
        <v>1.0189999999999999</v>
      </c>
      <c r="N144" s="126">
        <f t="shared" ref="N144:BA144" si="245">INDEX($C96:$BC96, MATCH(N$125, $C$77:$BC$77,0))*M144</f>
        <v>1.03938</v>
      </c>
      <c r="O144" s="126">
        <f t="shared" si="245"/>
        <v>1.0591282199999998</v>
      </c>
      <c r="P144" s="126">
        <f t="shared" si="245"/>
        <v>1.0792516561799996</v>
      </c>
      <c r="Q144" s="126">
        <f t="shared" si="245"/>
        <v>1.0997574376474195</v>
      </c>
      <c r="R144" s="126">
        <f t="shared" si="245"/>
        <v>1.1206528289627204</v>
      </c>
      <c r="S144" s="126">
        <f t="shared" si="245"/>
        <v>1.141945232713012</v>
      </c>
      <c r="T144" s="126">
        <f t="shared" si="245"/>
        <v>1.163642192134559</v>
      </c>
      <c r="U144" s="126">
        <f t="shared" si="245"/>
        <v>1.1857513937851154</v>
      </c>
      <c r="V144" s="126">
        <f t="shared" si="245"/>
        <v>1.2082806702670326</v>
      </c>
      <c r="W144" s="126">
        <f t="shared" si="245"/>
        <v>1.2312380030021062</v>
      </c>
      <c r="X144" s="126">
        <f t="shared" si="245"/>
        <v>1.254631525059146</v>
      </c>
      <c r="Y144" s="126">
        <f t="shared" si="245"/>
        <v>1.2784695240352697</v>
      </c>
      <c r="Z144" s="126">
        <f t="shared" si="245"/>
        <v>1.3027604449919397</v>
      </c>
      <c r="AA144" s="126">
        <f t="shared" si="245"/>
        <v>1.3275128934467864</v>
      </c>
      <c r="AB144" s="126">
        <f t="shared" si="245"/>
        <v>1.3527356384222751</v>
      </c>
      <c r="AC144" s="126">
        <f t="shared" si="245"/>
        <v>1.3784376155522982</v>
      </c>
      <c r="AD144" s="126">
        <f t="shared" si="245"/>
        <v>1.4046279302477918</v>
      </c>
      <c r="AE144" s="126">
        <f t="shared" si="245"/>
        <v>1.4313158609224996</v>
      </c>
      <c r="AF144" s="126">
        <f t="shared" si="245"/>
        <v>1.4585108622800269</v>
      </c>
      <c r="AG144" s="126">
        <f t="shared" si="245"/>
        <v>1.4862225686633472</v>
      </c>
      <c r="AH144" s="126">
        <f t="shared" si="245"/>
        <v>1.5144607974679507</v>
      </c>
      <c r="AI144" s="126">
        <f t="shared" si="245"/>
        <v>1.5432355526198416</v>
      </c>
      <c r="AJ144" s="126">
        <f t="shared" si="245"/>
        <v>1.5725570281196184</v>
      </c>
      <c r="AK144" s="126">
        <f t="shared" si="245"/>
        <v>1.6024356116538909</v>
      </c>
      <c r="AL144" s="126">
        <f t="shared" si="245"/>
        <v>1.6328818882753147</v>
      </c>
      <c r="AM144" s="126">
        <f t="shared" si="245"/>
        <v>1.6639066441525454</v>
      </c>
      <c r="AN144" s="126">
        <f t="shared" si="245"/>
        <v>1.6955208703914437</v>
      </c>
      <c r="AO144" s="126">
        <f t="shared" si="245"/>
        <v>1.7277357669288811</v>
      </c>
      <c r="AP144" s="126">
        <f t="shared" si="245"/>
        <v>1.7605627465005296</v>
      </c>
      <c r="AQ144" s="126">
        <f t="shared" si="245"/>
        <v>1.7940134386840394</v>
      </c>
      <c r="AR144" s="126">
        <f t="shared" si="245"/>
        <v>1.8280996940190359</v>
      </c>
      <c r="AS144" s="126">
        <f t="shared" si="245"/>
        <v>1.8628335882053975</v>
      </c>
      <c r="AT144" s="126">
        <f t="shared" si="245"/>
        <v>1.8982274263812999</v>
      </c>
      <c r="AU144" s="126">
        <f t="shared" si="245"/>
        <v>1.9342937474825443</v>
      </c>
      <c r="AV144" s="126">
        <f t="shared" si="245"/>
        <v>1.9710453286847125</v>
      </c>
      <c r="AW144" s="126">
        <f t="shared" si="245"/>
        <v>2.0084951899297216</v>
      </c>
      <c r="AX144" s="126">
        <f t="shared" si="245"/>
        <v>2.046656598538386</v>
      </c>
      <c r="AY144" s="126">
        <f t="shared" si="245"/>
        <v>2.0855430739106153</v>
      </c>
      <c r="AZ144" s="126">
        <f t="shared" si="245"/>
        <v>2.1251683923149169</v>
      </c>
      <c r="BA144" s="126">
        <f t="shared" si="245"/>
        <v>2.1655465917689001</v>
      </c>
      <c r="BB144" s="126">
        <f t="shared" ref="BB144:BC144" si="246">INDEX($C96:$BC96, MATCH(BB$125, $C$77:$BC$77,0))*BA144</f>
        <v>2.2066919770125089</v>
      </c>
      <c r="BC144" s="126">
        <f t="shared" si="246"/>
        <v>2.2486191245757463</v>
      </c>
      <c r="BD144" s="126">
        <f t="shared" ref="BD144" si="247">INDEX($C96:$BC96, MATCH(BD$125, $C$77:$BC$77,0))*BC144</f>
        <v>2.2913428879426854</v>
      </c>
    </row>
    <row r="145" spans="2:56">
      <c r="B145" s="6" t="str">
        <f t="shared" si="173"/>
        <v>Foam dressing</v>
      </c>
      <c r="D145" s="126">
        <f t="shared" ref="D145:H145" si="248">INDEX($C97:$AG97, MATCH(D$125, $C$77:$AG$77,0))*E145</f>
        <v>0.89400723846022712</v>
      </c>
      <c r="E145" s="126">
        <f t="shared" si="248"/>
        <v>0.91132236336414596</v>
      </c>
      <c r="F145" s="126">
        <f t="shared" si="248"/>
        <v>0.92897284746599995</v>
      </c>
      <c r="G145" s="126">
        <f t="shared" si="248"/>
        <v>0.94696518600000001</v>
      </c>
      <c r="H145" s="126">
        <f t="shared" si="248"/>
        <v>0.965306</v>
      </c>
      <c r="I145" s="126">
        <f t="shared" si="175"/>
        <v>0.98199999999999998</v>
      </c>
      <c r="K145" s="123">
        <v>1</v>
      </c>
      <c r="M145" s="126">
        <f t="shared" si="176"/>
        <v>1.0189999999999999</v>
      </c>
      <c r="N145" s="126">
        <f t="shared" ref="N145:BA145" si="249">INDEX($C97:$BC97, MATCH(N$125, $C$77:$BC$77,0))*M145</f>
        <v>1.03938</v>
      </c>
      <c r="O145" s="126">
        <f t="shared" si="249"/>
        <v>1.0591282199999998</v>
      </c>
      <c r="P145" s="126">
        <f t="shared" si="249"/>
        <v>1.0792516561799996</v>
      </c>
      <c r="Q145" s="126">
        <f t="shared" si="249"/>
        <v>1.0997574376474195</v>
      </c>
      <c r="R145" s="126">
        <f t="shared" si="249"/>
        <v>1.1206528289627204</v>
      </c>
      <c r="S145" s="126">
        <f t="shared" si="249"/>
        <v>1.141945232713012</v>
      </c>
      <c r="T145" s="126">
        <f t="shared" si="249"/>
        <v>1.163642192134559</v>
      </c>
      <c r="U145" s="126">
        <f t="shared" si="249"/>
        <v>1.1857513937851154</v>
      </c>
      <c r="V145" s="126">
        <f t="shared" si="249"/>
        <v>1.2082806702670326</v>
      </c>
      <c r="W145" s="126">
        <f t="shared" si="249"/>
        <v>1.2312380030021062</v>
      </c>
      <c r="X145" s="126">
        <f t="shared" si="249"/>
        <v>1.254631525059146</v>
      </c>
      <c r="Y145" s="126">
        <f t="shared" si="249"/>
        <v>1.2784695240352697</v>
      </c>
      <c r="Z145" s="126">
        <f t="shared" si="249"/>
        <v>1.3027604449919397</v>
      </c>
      <c r="AA145" s="126">
        <f t="shared" si="249"/>
        <v>1.3275128934467864</v>
      </c>
      <c r="AB145" s="126">
        <f t="shared" si="249"/>
        <v>1.3527356384222751</v>
      </c>
      <c r="AC145" s="126">
        <f t="shared" si="249"/>
        <v>1.3784376155522982</v>
      </c>
      <c r="AD145" s="126">
        <f t="shared" si="249"/>
        <v>1.4046279302477918</v>
      </c>
      <c r="AE145" s="126">
        <f t="shared" si="249"/>
        <v>1.4313158609224996</v>
      </c>
      <c r="AF145" s="126">
        <f t="shared" si="249"/>
        <v>1.4585108622800269</v>
      </c>
      <c r="AG145" s="126">
        <f t="shared" si="249"/>
        <v>1.4862225686633472</v>
      </c>
      <c r="AH145" s="126">
        <f t="shared" si="249"/>
        <v>1.5144607974679507</v>
      </c>
      <c r="AI145" s="126">
        <f t="shared" si="249"/>
        <v>1.5432355526198416</v>
      </c>
      <c r="AJ145" s="126">
        <f t="shared" si="249"/>
        <v>1.5725570281196184</v>
      </c>
      <c r="AK145" s="126">
        <f t="shared" si="249"/>
        <v>1.6024356116538909</v>
      </c>
      <c r="AL145" s="126">
        <f t="shared" si="249"/>
        <v>1.6328818882753147</v>
      </c>
      <c r="AM145" s="126">
        <f t="shared" si="249"/>
        <v>1.6639066441525454</v>
      </c>
      <c r="AN145" s="126">
        <f t="shared" si="249"/>
        <v>1.6955208703914437</v>
      </c>
      <c r="AO145" s="126">
        <f t="shared" si="249"/>
        <v>1.7277357669288811</v>
      </c>
      <c r="AP145" s="126">
        <f t="shared" si="249"/>
        <v>1.7605627465005296</v>
      </c>
      <c r="AQ145" s="126">
        <f t="shared" si="249"/>
        <v>1.7940134386840394</v>
      </c>
      <c r="AR145" s="126">
        <f t="shared" si="249"/>
        <v>1.8280996940190359</v>
      </c>
      <c r="AS145" s="126">
        <f t="shared" si="249"/>
        <v>1.8628335882053975</v>
      </c>
      <c r="AT145" s="126">
        <f t="shared" si="249"/>
        <v>1.8982274263812999</v>
      </c>
      <c r="AU145" s="126">
        <f t="shared" si="249"/>
        <v>1.9342937474825443</v>
      </c>
      <c r="AV145" s="126">
        <f t="shared" si="249"/>
        <v>1.9710453286847125</v>
      </c>
      <c r="AW145" s="126">
        <f t="shared" si="249"/>
        <v>2.0084951899297216</v>
      </c>
      <c r="AX145" s="126">
        <f t="shared" si="249"/>
        <v>2.046656598538386</v>
      </c>
      <c r="AY145" s="126">
        <f t="shared" si="249"/>
        <v>2.0855430739106153</v>
      </c>
      <c r="AZ145" s="126">
        <f t="shared" si="249"/>
        <v>2.1251683923149169</v>
      </c>
      <c r="BA145" s="126">
        <f t="shared" si="249"/>
        <v>2.1655465917689001</v>
      </c>
      <c r="BB145" s="126">
        <f t="shared" ref="BB145:BC145" si="250">INDEX($C97:$BC97, MATCH(BB$125, $C$77:$BC$77,0))*BA145</f>
        <v>2.2066919770125089</v>
      </c>
      <c r="BC145" s="126">
        <f t="shared" si="250"/>
        <v>2.2486191245757463</v>
      </c>
      <c r="BD145" s="126">
        <f t="shared" ref="BD145" si="251">INDEX($C97:$BC97, MATCH(BD$125, $C$77:$BC$77,0))*BC145</f>
        <v>2.2913428879426854</v>
      </c>
    </row>
    <row r="146" spans="2:56">
      <c r="B146" s="6" t="str">
        <f t="shared" si="173"/>
        <v>Hydrocolloid dressing</v>
      </c>
      <c r="D146" s="126">
        <f t="shared" ref="D146:H146" si="252">INDEX($C98:$AG98, MATCH(D$125, $C$77:$AG$77,0))*E146</f>
        <v>0.89400723846022712</v>
      </c>
      <c r="E146" s="126">
        <f t="shared" si="252"/>
        <v>0.91132236336414596</v>
      </c>
      <c r="F146" s="126">
        <f t="shared" si="252"/>
        <v>0.92897284746599995</v>
      </c>
      <c r="G146" s="126">
        <f t="shared" si="252"/>
        <v>0.94696518600000001</v>
      </c>
      <c r="H146" s="126">
        <f t="shared" si="252"/>
        <v>0.965306</v>
      </c>
      <c r="I146" s="126">
        <f t="shared" si="175"/>
        <v>0.98199999999999998</v>
      </c>
      <c r="K146" s="123">
        <v>1</v>
      </c>
      <c r="M146" s="126">
        <f t="shared" si="176"/>
        <v>1.0189999999999999</v>
      </c>
      <c r="N146" s="126">
        <f t="shared" ref="N146:BA146" si="253">INDEX($C98:$BC98, MATCH(N$125, $C$77:$BC$77,0))*M146</f>
        <v>1.03938</v>
      </c>
      <c r="O146" s="126">
        <f t="shared" si="253"/>
        <v>1.0591282199999998</v>
      </c>
      <c r="P146" s="126">
        <f t="shared" si="253"/>
        <v>1.0792516561799996</v>
      </c>
      <c r="Q146" s="126">
        <f t="shared" si="253"/>
        <v>1.0997574376474195</v>
      </c>
      <c r="R146" s="126">
        <f t="shared" si="253"/>
        <v>1.1206528289627204</v>
      </c>
      <c r="S146" s="126">
        <f t="shared" si="253"/>
        <v>1.141945232713012</v>
      </c>
      <c r="T146" s="126">
        <f t="shared" si="253"/>
        <v>1.163642192134559</v>
      </c>
      <c r="U146" s="126">
        <f t="shared" si="253"/>
        <v>1.1857513937851154</v>
      </c>
      <c r="V146" s="126">
        <f t="shared" si="253"/>
        <v>1.2082806702670326</v>
      </c>
      <c r="W146" s="126">
        <f t="shared" si="253"/>
        <v>1.2312380030021062</v>
      </c>
      <c r="X146" s="126">
        <f t="shared" si="253"/>
        <v>1.254631525059146</v>
      </c>
      <c r="Y146" s="126">
        <f t="shared" si="253"/>
        <v>1.2784695240352697</v>
      </c>
      <c r="Z146" s="126">
        <f t="shared" si="253"/>
        <v>1.3027604449919397</v>
      </c>
      <c r="AA146" s="126">
        <f t="shared" si="253"/>
        <v>1.3275128934467864</v>
      </c>
      <c r="AB146" s="126">
        <f t="shared" si="253"/>
        <v>1.3527356384222751</v>
      </c>
      <c r="AC146" s="126">
        <f t="shared" si="253"/>
        <v>1.3784376155522982</v>
      </c>
      <c r="AD146" s="126">
        <f t="shared" si="253"/>
        <v>1.4046279302477918</v>
      </c>
      <c r="AE146" s="126">
        <f t="shared" si="253"/>
        <v>1.4313158609224996</v>
      </c>
      <c r="AF146" s="126">
        <f t="shared" si="253"/>
        <v>1.4585108622800269</v>
      </c>
      <c r="AG146" s="126">
        <f t="shared" si="253"/>
        <v>1.4862225686633472</v>
      </c>
      <c r="AH146" s="126">
        <f t="shared" si="253"/>
        <v>1.5144607974679507</v>
      </c>
      <c r="AI146" s="126">
        <f t="shared" si="253"/>
        <v>1.5432355526198416</v>
      </c>
      <c r="AJ146" s="126">
        <f t="shared" si="253"/>
        <v>1.5725570281196184</v>
      </c>
      <c r="AK146" s="126">
        <f t="shared" si="253"/>
        <v>1.6024356116538909</v>
      </c>
      <c r="AL146" s="126">
        <f t="shared" si="253"/>
        <v>1.6328818882753147</v>
      </c>
      <c r="AM146" s="126">
        <f t="shared" si="253"/>
        <v>1.6639066441525454</v>
      </c>
      <c r="AN146" s="126">
        <f t="shared" si="253"/>
        <v>1.6955208703914437</v>
      </c>
      <c r="AO146" s="126">
        <f t="shared" si="253"/>
        <v>1.7277357669288811</v>
      </c>
      <c r="AP146" s="126">
        <f t="shared" si="253"/>
        <v>1.7605627465005296</v>
      </c>
      <c r="AQ146" s="126">
        <f t="shared" si="253"/>
        <v>1.7940134386840394</v>
      </c>
      <c r="AR146" s="126">
        <f t="shared" si="253"/>
        <v>1.8280996940190359</v>
      </c>
      <c r="AS146" s="126">
        <f t="shared" si="253"/>
        <v>1.8628335882053975</v>
      </c>
      <c r="AT146" s="126">
        <f t="shared" si="253"/>
        <v>1.8982274263812999</v>
      </c>
      <c r="AU146" s="126">
        <f t="shared" si="253"/>
        <v>1.9342937474825443</v>
      </c>
      <c r="AV146" s="126">
        <f t="shared" si="253"/>
        <v>1.9710453286847125</v>
      </c>
      <c r="AW146" s="126">
        <f t="shared" si="253"/>
        <v>2.0084951899297216</v>
      </c>
      <c r="AX146" s="126">
        <f t="shared" si="253"/>
        <v>2.046656598538386</v>
      </c>
      <c r="AY146" s="126">
        <f t="shared" si="253"/>
        <v>2.0855430739106153</v>
      </c>
      <c r="AZ146" s="126">
        <f t="shared" si="253"/>
        <v>2.1251683923149169</v>
      </c>
      <c r="BA146" s="126">
        <f t="shared" si="253"/>
        <v>2.1655465917689001</v>
      </c>
      <c r="BB146" s="126">
        <f t="shared" ref="BB146:BC146" si="254">INDEX($C98:$BC98, MATCH(BB$125, $C$77:$BC$77,0))*BA146</f>
        <v>2.2066919770125089</v>
      </c>
      <c r="BC146" s="126">
        <f t="shared" si="254"/>
        <v>2.2486191245757463</v>
      </c>
      <c r="BD146" s="126">
        <f t="shared" ref="BD146" si="255">INDEX($C98:$BC98, MATCH(BD$125, $C$77:$BC$77,0))*BC146</f>
        <v>2.2913428879426854</v>
      </c>
    </row>
    <row r="147" spans="2:56">
      <c r="B147" s="6" t="str">
        <f t="shared" si="173"/>
        <v>Hydrogel dressing</v>
      </c>
      <c r="D147" s="126">
        <f t="shared" ref="D147:H147" si="256">INDEX($C99:$AG99, MATCH(D$125, $C$77:$AG$77,0))*E147</f>
        <v>0.89400723846022712</v>
      </c>
      <c r="E147" s="126">
        <f t="shared" si="256"/>
        <v>0.91132236336414596</v>
      </c>
      <c r="F147" s="126">
        <f t="shared" si="256"/>
        <v>0.92897284746599995</v>
      </c>
      <c r="G147" s="126">
        <f t="shared" si="256"/>
        <v>0.94696518600000001</v>
      </c>
      <c r="H147" s="126">
        <f t="shared" si="256"/>
        <v>0.965306</v>
      </c>
      <c r="I147" s="126">
        <f t="shared" si="175"/>
        <v>0.98199999999999998</v>
      </c>
      <c r="K147" s="123">
        <v>1</v>
      </c>
      <c r="M147" s="126">
        <f t="shared" si="176"/>
        <v>1.0189999999999999</v>
      </c>
      <c r="N147" s="126">
        <f t="shared" ref="N147:BA147" si="257">INDEX($C99:$BC99, MATCH(N$125, $C$77:$BC$77,0))*M147</f>
        <v>1.03938</v>
      </c>
      <c r="O147" s="126">
        <f t="shared" si="257"/>
        <v>1.0591282199999998</v>
      </c>
      <c r="P147" s="126">
        <f t="shared" si="257"/>
        <v>1.0792516561799996</v>
      </c>
      <c r="Q147" s="126">
        <f t="shared" si="257"/>
        <v>1.0997574376474195</v>
      </c>
      <c r="R147" s="126">
        <f t="shared" si="257"/>
        <v>1.1206528289627204</v>
      </c>
      <c r="S147" s="126">
        <f t="shared" si="257"/>
        <v>1.141945232713012</v>
      </c>
      <c r="T147" s="126">
        <f t="shared" si="257"/>
        <v>1.163642192134559</v>
      </c>
      <c r="U147" s="126">
        <f t="shared" si="257"/>
        <v>1.1857513937851154</v>
      </c>
      <c r="V147" s="126">
        <f t="shared" si="257"/>
        <v>1.2082806702670326</v>
      </c>
      <c r="W147" s="126">
        <f t="shared" si="257"/>
        <v>1.2312380030021062</v>
      </c>
      <c r="X147" s="126">
        <f t="shared" si="257"/>
        <v>1.254631525059146</v>
      </c>
      <c r="Y147" s="126">
        <f t="shared" si="257"/>
        <v>1.2784695240352697</v>
      </c>
      <c r="Z147" s="126">
        <f t="shared" si="257"/>
        <v>1.3027604449919397</v>
      </c>
      <c r="AA147" s="126">
        <f t="shared" si="257"/>
        <v>1.3275128934467864</v>
      </c>
      <c r="AB147" s="126">
        <f t="shared" si="257"/>
        <v>1.3527356384222751</v>
      </c>
      <c r="AC147" s="126">
        <f t="shared" si="257"/>
        <v>1.3784376155522982</v>
      </c>
      <c r="AD147" s="126">
        <f t="shared" si="257"/>
        <v>1.4046279302477918</v>
      </c>
      <c r="AE147" s="126">
        <f t="shared" si="257"/>
        <v>1.4313158609224996</v>
      </c>
      <c r="AF147" s="126">
        <f t="shared" si="257"/>
        <v>1.4585108622800269</v>
      </c>
      <c r="AG147" s="126">
        <f t="shared" si="257"/>
        <v>1.4862225686633472</v>
      </c>
      <c r="AH147" s="126">
        <f t="shared" si="257"/>
        <v>1.5144607974679507</v>
      </c>
      <c r="AI147" s="126">
        <f t="shared" si="257"/>
        <v>1.5432355526198416</v>
      </c>
      <c r="AJ147" s="126">
        <f t="shared" si="257"/>
        <v>1.5725570281196184</v>
      </c>
      <c r="AK147" s="126">
        <f t="shared" si="257"/>
        <v>1.6024356116538909</v>
      </c>
      <c r="AL147" s="126">
        <f t="shared" si="257"/>
        <v>1.6328818882753147</v>
      </c>
      <c r="AM147" s="126">
        <f t="shared" si="257"/>
        <v>1.6639066441525454</v>
      </c>
      <c r="AN147" s="126">
        <f t="shared" si="257"/>
        <v>1.6955208703914437</v>
      </c>
      <c r="AO147" s="126">
        <f t="shared" si="257"/>
        <v>1.7277357669288811</v>
      </c>
      <c r="AP147" s="126">
        <f t="shared" si="257"/>
        <v>1.7605627465005296</v>
      </c>
      <c r="AQ147" s="126">
        <f t="shared" si="257"/>
        <v>1.7940134386840394</v>
      </c>
      <c r="AR147" s="126">
        <f t="shared" si="257"/>
        <v>1.8280996940190359</v>
      </c>
      <c r="AS147" s="126">
        <f t="shared" si="257"/>
        <v>1.8628335882053975</v>
      </c>
      <c r="AT147" s="126">
        <f t="shared" si="257"/>
        <v>1.8982274263812999</v>
      </c>
      <c r="AU147" s="126">
        <f t="shared" si="257"/>
        <v>1.9342937474825443</v>
      </c>
      <c r="AV147" s="126">
        <f t="shared" si="257"/>
        <v>1.9710453286847125</v>
      </c>
      <c r="AW147" s="126">
        <f t="shared" si="257"/>
        <v>2.0084951899297216</v>
      </c>
      <c r="AX147" s="126">
        <f t="shared" si="257"/>
        <v>2.046656598538386</v>
      </c>
      <c r="AY147" s="126">
        <f t="shared" si="257"/>
        <v>2.0855430739106153</v>
      </c>
      <c r="AZ147" s="126">
        <f t="shared" si="257"/>
        <v>2.1251683923149169</v>
      </c>
      <c r="BA147" s="126">
        <f t="shared" si="257"/>
        <v>2.1655465917689001</v>
      </c>
      <c r="BB147" s="126">
        <f t="shared" ref="BB147:BC147" si="258">INDEX($C99:$BC99, MATCH(BB$125, $C$77:$BC$77,0))*BA147</f>
        <v>2.2066919770125089</v>
      </c>
      <c r="BC147" s="126">
        <f t="shared" si="258"/>
        <v>2.2486191245757463</v>
      </c>
      <c r="BD147" s="126">
        <f t="shared" ref="BD147" si="259">INDEX($C99:$BC99, MATCH(BD$125, $C$77:$BC$77,0))*BC147</f>
        <v>2.2913428879426854</v>
      </c>
    </row>
    <row r="148" spans="2:56">
      <c r="B148" s="6" t="str">
        <f t="shared" si="173"/>
        <v>Low-adherence dressing</v>
      </c>
      <c r="D148" s="126">
        <f t="shared" ref="D148:H148" si="260">INDEX($C100:$AG100, MATCH(D$125, $C$77:$AG$77,0))*E148</f>
        <v>0.89400723846022712</v>
      </c>
      <c r="E148" s="126">
        <f t="shared" si="260"/>
        <v>0.91132236336414596</v>
      </c>
      <c r="F148" s="126">
        <f t="shared" si="260"/>
        <v>0.92897284746599995</v>
      </c>
      <c r="G148" s="126">
        <f t="shared" si="260"/>
        <v>0.94696518600000001</v>
      </c>
      <c r="H148" s="126">
        <f t="shared" si="260"/>
        <v>0.965306</v>
      </c>
      <c r="I148" s="126">
        <f t="shared" si="175"/>
        <v>0.98199999999999998</v>
      </c>
      <c r="K148" s="123">
        <v>1</v>
      </c>
      <c r="M148" s="126">
        <f t="shared" si="176"/>
        <v>1.0189999999999999</v>
      </c>
      <c r="N148" s="126">
        <f t="shared" ref="N148:BA148" si="261">INDEX($C100:$BC100, MATCH(N$125, $C$77:$BC$77,0))*M148</f>
        <v>1.03938</v>
      </c>
      <c r="O148" s="126">
        <f t="shared" si="261"/>
        <v>1.0591282199999998</v>
      </c>
      <c r="P148" s="126">
        <f t="shared" si="261"/>
        <v>1.0792516561799996</v>
      </c>
      <c r="Q148" s="126">
        <f t="shared" si="261"/>
        <v>1.0997574376474195</v>
      </c>
      <c r="R148" s="126">
        <f t="shared" si="261"/>
        <v>1.1206528289627204</v>
      </c>
      <c r="S148" s="126">
        <f t="shared" si="261"/>
        <v>1.141945232713012</v>
      </c>
      <c r="T148" s="126">
        <f t="shared" si="261"/>
        <v>1.163642192134559</v>
      </c>
      <c r="U148" s="126">
        <f t="shared" si="261"/>
        <v>1.1857513937851154</v>
      </c>
      <c r="V148" s="126">
        <f t="shared" si="261"/>
        <v>1.2082806702670326</v>
      </c>
      <c r="W148" s="126">
        <f t="shared" si="261"/>
        <v>1.2312380030021062</v>
      </c>
      <c r="X148" s="126">
        <f t="shared" si="261"/>
        <v>1.254631525059146</v>
      </c>
      <c r="Y148" s="126">
        <f t="shared" si="261"/>
        <v>1.2784695240352697</v>
      </c>
      <c r="Z148" s="126">
        <f t="shared" si="261"/>
        <v>1.3027604449919397</v>
      </c>
      <c r="AA148" s="126">
        <f t="shared" si="261"/>
        <v>1.3275128934467864</v>
      </c>
      <c r="AB148" s="126">
        <f t="shared" si="261"/>
        <v>1.3527356384222751</v>
      </c>
      <c r="AC148" s="126">
        <f t="shared" si="261"/>
        <v>1.3784376155522982</v>
      </c>
      <c r="AD148" s="126">
        <f t="shared" si="261"/>
        <v>1.4046279302477918</v>
      </c>
      <c r="AE148" s="126">
        <f t="shared" si="261"/>
        <v>1.4313158609224996</v>
      </c>
      <c r="AF148" s="126">
        <f t="shared" si="261"/>
        <v>1.4585108622800269</v>
      </c>
      <c r="AG148" s="126">
        <f t="shared" si="261"/>
        <v>1.4862225686633472</v>
      </c>
      <c r="AH148" s="126">
        <f t="shared" si="261"/>
        <v>1.5144607974679507</v>
      </c>
      <c r="AI148" s="126">
        <f t="shared" si="261"/>
        <v>1.5432355526198416</v>
      </c>
      <c r="AJ148" s="126">
        <f t="shared" si="261"/>
        <v>1.5725570281196184</v>
      </c>
      <c r="AK148" s="126">
        <f t="shared" si="261"/>
        <v>1.6024356116538909</v>
      </c>
      <c r="AL148" s="126">
        <f t="shared" si="261"/>
        <v>1.6328818882753147</v>
      </c>
      <c r="AM148" s="126">
        <f t="shared" si="261"/>
        <v>1.6639066441525454</v>
      </c>
      <c r="AN148" s="126">
        <f t="shared" si="261"/>
        <v>1.6955208703914437</v>
      </c>
      <c r="AO148" s="126">
        <f t="shared" si="261"/>
        <v>1.7277357669288811</v>
      </c>
      <c r="AP148" s="126">
        <f t="shared" si="261"/>
        <v>1.7605627465005296</v>
      </c>
      <c r="AQ148" s="126">
        <f t="shared" si="261"/>
        <v>1.7940134386840394</v>
      </c>
      <c r="AR148" s="126">
        <f t="shared" si="261"/>
        <v>1.8280996940190359</v>
      </c>
      <c r="AS148" s="126">
        <f t="shared" si="261"/>
        <v>1.8628335882053975</v>
      </c>
      <c r="AT148" s="126">
        <f t="shared" si="261"/>
        <v>1.8982274263812999</v>
      </c>
      <c r="AU148" s="126">
        <f t="shared" si="261"/>
        <v>1.9342937474825443</v>
      </c>
      <c r="AV148" s="126">
        <f t="shared" si="261"/>
        <v>1.9710453286847125</v>
      </c>
      <c r="AW148" s="126">
        <f t="shared" si="261"/>
        <v>2.0084951899297216</v>
      </c>
      <c r="AX148" s="126">
        <f t="shared" si="261"/>
        <v>2.046656598538386</v>
      </c>
      <c r="AY148" s="126">
        <f t="shared" si="261"/>
        <v>2.0855430739106153</v>
      </c>
      <c r="AZ148" s="126">
        <f t="shared" si="261"/>
        <v>2.1251683923149169</v>
      </c>
      <c r="BA148" s="126">
        <f t="shared" si="261"/>
        <v>2.1655465917689001</v>
      </c>
      <c r="BB148" s="126">
        <f t="shared" ref="BB148:BC148" si="262">INDEX($C100:$BC100, MATCH(BB$125, $C$77:$BC$77,0))*BA148</f>
        <v>2.2066919770125089</v>
      </c>
      <c r="BC148" s="126">
        <f t="shared" si="262"/>
        <v>2.2486191245757463</v>
      </c>
      <c r="BD148" s="126">
        <f t="shared" ref="BD148" si="263">INDEX($C100:$BC100, MATCH(BD$125, $C$77:$BC$77,0))*BC148</f>
        <v>2.2913428879426854</v>
      </c>
    </row>
    <row r="149" spans="2:56">
      <c r="B149" s="6" t="str">
        <f t="shared" si="173"/>
        <v>Odour absorbent dressing</v>
      </c>
      <c r="D149" s="126">
        <f t="shared" ref="D149:H149" si="264">INDEX($C101:$AG101, MATCH(D$125, $C$77:$AG$77,0))*E149</f>
        <v>0.89400723846022712</v>
      </c>
      <c r="E149" s="126">
        <f t="shared" si="264"/>
        <v>0.91132236336414596</v>
      </c>
      <c r="F149" s="126">
        <f t="shared" si="264"/>
        <v>0.92897284746599995</v>
      </c>
      <c r="G149" s="126">
        <f t="shared" si="264"/>
        <v>0.94696518600000001</v>
      </c>
      <c r="H149" s="126">
        <f t="shared" si="264"/>
        <v>0.965306</v>
      </c>
      <c r="I149" s="126">
        <f t="shared" si="175"/>
        <v>0.98199999999999998</v>
      </c>
      <c r="K149" s="123">
        <v>1</v>
      </c>
      <c r="M149" s="126">
        <f t="shared" si="176"/>
        <v>1.0189999999999999</v>
      </c>
      <c r="N149" s="126">
        <f t="shared" ref="N149:BA149" si="265">INDEX($C101:$BC101, MATCH(N$125, $C$77:$BC$77,0))*M149</f>
        <v>1.03938</v>
      </c>
      <c r="O149" s="126">
        <f t="shared" si="265"/>
        <v>1.0591282199999998</v>
      </c>
      <c r="P149" s="126">
        <f t="shared" si="265"/>
        <v>1.0792516561799996</v>
      </c>
      <c r="Q149" s="126">
        <f t="shared" si="265"/>
        <v>1.0997574376474195</v>
      </c>
      <c r="R149" s="126">
        <f t="shared" si="265"/>
        <v>1.1206528289627204</v>
      </c>
      <c r="S149" s="126">
        <f t="shared" si="265"/>
        <v>1.141945232713012</v>
      </c>
      <c r="T149" s="126">
        <f t="shared" si="265"/>
        <v>1.163642192134559</v>
      </c>
      <c r="U149" s="126">
        <f t="shared" si="265"/>
        <v>1.1857513937851154</v>
      </c>
      <c r="V149" s="126">
        <f t="shared" si="265"/>
        <v>1.2082806702670326</v>
      </c>
      <c r="W149" s="126">
        <f t="shared" si="265"/>
        <v>1.2312380030021062</v>
      </c>
      <c r="X149" s="126">
        <f t="shared" si="265"/>
        <v>1.254631525059146</v>
      </c>
      <c r="Y149" s="126">
        <f t="shared" si="265"/>
        <v>1.2784695240352697</v>
      </c>
      <c r="Z149" s="126">
        <f t="shared" si="265"/>
        <v>1.3027604449919397</v>
      </c>
      <c r="AA149" s="126">
        <f t="shared" si="265"/>
        <v>1.3275128934467864</v>
      </c>
      <c r="AB149" s="126">
        <f t="shared" si="265"/>
        <v>1.3527356384222751</v>
      </c>
      <c r="AC149" s="126">
        <f t="shared" si="265"/>
        <v>1.3784376155522982</v>
      </c>
      <c r="AD149" s="126">
        <f t="shared" si="265"/>
        <v>1.4046279302477918</v>
      </c>
      <c r="AE149" s="126">
        <f t="shared" si="265"/>
        <v>1.4313158609224996</v>
      </c>
      <c r="AF149" s="126">
        <f t="shared" si="265"/>
        <v>1.4585108622800269</v>
      </c>
      <c r="AG149" s="126">
        <f t="shared" si="265"/>
        <v>1.4862225686633472</v>
      </c>
      <c r="AH149" s="126">
        <f t="shared" si="265"/>
        <v>1.5144607974679507</v>
      </c>
      <c r="AI149" s="126">
        <f t="shared" si="265"/>
        <v>1.5432355526198416</v>
      </c>
      <c r="AJ149" s="126">
        <f t="shared" si="265"/>
        <v>1.5725570281196184</v>
      </c>
      <c r="AK149" s="126">
        <f t="shared" si="265"/>
        <v>1.6024356116538909</v>
      </c>
      <c r="AL149" s="126">
        <f t="shared" si="265"/>
        <v>1.6328818882753147</v>
      </c>
      <c r="AM149" s="126">
        <f t="shared" si="265"/>
        <v>1.6639066441525454</v>
      </c>
      <c r="AN149" s="126">
        <f t="shared" si="265"/>
        <v>1.6955208703914437</v>
      </c>
      <c r="AO149" s="126">
        <f t="shared" si="265"/>
        <v>1.7277357669288811</v>
      </c>
      <c r="AP149" s="126">
        <f t="shared" si="265"/>
        <v>1.7605627465005296</v>
      </c>
      <c r="AQ149" s="126">
        <f t="shared" si="265"/>
        <v>1.7940134386840394</v>
      </c>
      <c r="AR149" s="126">
        <f t="shared" si="265"/>
        <v>1.8280996940190359</v>
      </c>
      <c r="AS149" s="126">
        <f t="shared" si="265"/>
        <v>1.8628335882053975</v>
      </c>
      <c r="AT149" s="126">
        <f t="shared" si="265"/>
        <v>1.8982274263812999</v>
      </c>
      <c r="AU149" s="126">
        <f t="shared" si="265"/>
        <v>1.9342937474825443</v>
      </c>
      <c r="AV149" s="126">
        <f t="shared" si="265"/>
        <v>1.9710453286847125</v>
      </c>
      <c r="AW149" s="126">
        <f t="shared" si="265"/>
        <v>2.0084951899297216</v>
      </c>
      <c r="AX149" s="126">
        <f t="shared" si="265"/>
        <v>2.046656598538386</v>
      </c>
      <c r="AY149" s="126">
        <f t="shared" si="265"/>
        <v>2.0855430739106153</v>
      </c>
      <c r="AZ149" s="126">
        <f t="shared" si="265"/>
        <v>2.1251683923149169</v>
      </c>
      <c r="BA149" s="126">
        <f t="shared" si="265"/>
        <v>2.1655465917689001</v>
      </c>
      <c r="BB149" s="126">
        <f t="shared" ref="BB149:BC149" si="266">INDEX($C101:$BC101, MATCH(BB$125, $C$77:$BC$77,0))*BA149</f>
        <v>2.2066919770125089</v>
      </c>
      <c r="BC149" s="126">
        <f t="shared" si="266"/>
        <v>2.2486191245757463</v>
      </c>
      <c r="BD149" s="126">
        <f t="shared" ref="BD149" si="267">INDEX($C101:$BC101, MATCH(BD$125, $C$77:$BC$77,0))*BC149</f>
        <v>2.2913428879426854</v>
      </c>
    </row>
    <row r="150" spans="2:56">
      <c r="B150" s="6" t="str">
        <f t="shared" si="173"/>
        <v>Other dressing</v>
      </c>
      <c r="D150" s="126">
        <f t="shared" ref="D150:H150" si="268">INDEX($C102:$AG102, MATCH(D$125, $C$77:$AG$77,0))*E150</f>
        <v>0.89400723846022712</v>
      </c>
      <c r="E150" s="126">
        <f t="shared" si="268"/>
        <v>0.91132236336414596</v>
      </c>
      <c r="F150" s="126">
        <f t="shared" si="268"/>
        <v>0.92897284746599995</v>
      </c>
      <c r="G150" s="126">
        <f t="shared" si="268"/>
        <v>0.94696518600000001</v>
      </c>
      <c r="H150" s="126">
        <f t="shared" si="268"/>
        <v>0.965306</v>
      </c>
      <c r="I150" s="126">
        <f t="shared" si="175"/>
        <v>0.98199999999999998</v>
      </c>
      <c r="K150" s="123">
        <v>1</v>
      </c>
      <c r="M150" s="126">
        <f t="shared" si="176"/>
        <v>1.0189999999999999</v>
      </c>
      <c r="N150" s="126">
        <f t="shared" ref="N150:BA150" si="269">INDEX($C102:$BC102, MATCH(N$125, $C$77:$BC$77,0))*M150</f>
        <v>1.03938</v>
      </c>
      <c r="O150" s="126">
        <f t="shared" si="269"/>
        <v>1.0591282199999998</v>
      </c>
      <c r="P150" s="126">
        <f t="shared" si="269"/>
        <v>1.0792516561799996</v>
      </c>
      <c r="Q150" s="126">
        <f t="shared" si="269"/>
        <v>1.0997574376474195</v>
      </c>
      <c r="R150" s="126">
        <f t="shared" si="269"/>
        <v>1.1206528289627204</v>
      </c>
      <c r="S150" s="126">
        <f t="shared" si="269"/>
        <v>1.141945232713012</v>
      </c>
      <c r="T150" s="126">
        <f t="shared" si="269"/>
        <v>1.163642192134559</v>
      </c>
      <c r="U150" s="126">
        <f t="shared" si="269"/>
        <v>1.1857513937851154</v>
      </c>
      <c r="V150" s="126">
        <f t="shared" si="269"/>
        <v>1.2082806702670326</v>
      </c>
      <c r="W150" s="126">
        <f t="shared" si="269"/>
        <v>1.2312380030021062</v>
      </c>
      <c r="X150" s="126">
        <f t="shared" si="269"/>
        <v>1.254631525059146</v>
      </c>
      <c r="Y150" s="126">
        <f t="shared" si="269"/>
        <v>1.2784695240352697</v>
      </c>
      <c r="Z150" s="126">
        <f t="shared" si="269"/>
        <v>1.3027604449919397</v>
      </c>
      <c r="AA150" s="126">
        <f t="shared" si="269"/>
        <v>1.3275128934467864</v>
      </c>
      <c r="AB150" s="126">
        <f t="shared" si="269"/>
        <v>1.3527356384222751</v>
      </c>
      <c r="AC150" s="126">
        <f t="shared" si="269"/>
        <v>1.3784376155522982</v>
      </c>
      <c r="AD150" s="126">
        <f t="shared" si="269"/>
        <v>1.4046279302477918</v>
      </c>
      <c r="AE150" s="126">
        <f t="shared" si="269"/>
        <v>1.4313158609224996</v>
      </c>
      <c r="AF150" s="126">
        <f t="shared" si="269"/>
        <v>1.4585108622800269</v>
      </c>
      <c r="AG150" s="126">
        <f t="shared" si="269"/>
        <v>1.4862225686633472</v>
      </c>
      <c r="AH150" s="126">
        <f t="shared" si="269"/>
        <v>1.5144607974679507</v>
      </c>
      <c r="AI150" s="126">
        <f t="shared" si="269"/>
        <v>1.5432355526198416</v>
      </c>
      <c r="AJ150" s="126">
        <f t="shared" si="269"/>
        <v>1.5725570281196184</v>
      </c>
      <c r="AK150" s="126">
        <f t="shared" si="269"/>
        <v>1.6024356116538909</v>
      </c>
      <c r="AL150" s="126">
        <f t="shared" si="269"/>
        <v>1.6328818882753147</v>
      </c>
      <c r="AM150" s="126">
        <f t="shared" si="269"/>
        <v>1.6639066441525454</v>
      </c>
      <c r="AN150" s="126">
        <f t="shared" si="269"/>
        <v>1.6955208703914437</v>
      </c>
      <c r="AO150" s="126">
        <f t="shared" si="269"/>
        <v>1.7277357669288811</v>
      </c>
      <c r="AP150" s="126">
        <f t="shared" si="269"/>
        <v>1.7605627465005296</v>
      </c>
      <c r="AQ150" s="126">
        <f t="shared" si="269"/>
        <v>1.7940134386840394</v>
      </c>
      <c r="AR150" s="126">
        <f t="shared" si="269"/>
        <v>1.8280996940190359</v>
      </c>
      <c r="AS150" s="126">
        <f t="shared" si="269"/>
        <v>1.8628335882053975</v>
      </c>
      <c r="AT150" s="126">
        <f t="shared" si="269"/>
        <v>1.8982274263812999</v>
      </c>
      <c r="AU150" s="126">
        <f t="shared" si="269"/>
        <v>1.9342937474825443</v>
      </c>
      <c r="AV150" s="126">
        <f t="shared" si="269"/>
        <v>1.9710453286847125</v>
      </c>
      <c r="AW150" s="126">
        <f t="shared" si="269"/>
        <v>2.0084951899297216</v>
      </c>
      <c r="AX150" s="126">
        <f t="shared" si="269"/>
        <v>2.046656598538386</v>
      </c>
      <c r="AY150" s="126">
        <f t="shared" si="269"/>
        <v>2.0855430739106153</v>
      </c>
      <c r="AZ150" s="126">
        <f t="shared" si="269"/>
        <v>2.1251683923149169</v>
      </c>
      <c r="BA150" s="126">
        <f t="shared" si="269"/>
        <v>2.1655465917689001</v>
      </c>
      <c r="BB150" s="126">
        <f t="shared" ref="BB150:BC150" si="270">INDEX($C102:$BC102, MATCH(BB$125, $C$77:$BC$77,0))*BA150</f>
        <v>2.2066919770125089</v>
      </c>
      <c r="BC150" s="126">
        <f t="shared" si="270"/>
        <v>2.2486191245757463</v>
      </c>
      <c r="BD150" s="126">
        <f t="shared" ref="BD150" si="271">INDEX($C102:$BC102, MATCH(BD$125, $C$77:$BC$77,0))*BC150</f>
        <v>2.2913428879426854</v>
      </c>
    </row>
    <row r="151" spans="2:56">
      <c r="B151" s="6" t="str">
        <f t="shared" si="173"/>
        <v>Permeable dressing</v>
      </c>
      <c r="D151" s="126">
        <f t="shared" ref="D151:H151" si="272">INDEX($C103:$AG103, MATCH(D$125, $C$77:$AG$77,0))*E151</f>
        <v>0.89400723846022712</v>
      </c>
      <c r="E151" s="126">
        <f t="shared" si="272"/>
        <v>0.91132236336414596</v>
      </c>
      <c r="F151" s="126">
        <f t="shared" si="272"/>
        <v>0.92897284746599995</v>
      </c>
      <c r="G151" s="126">
        <f t="shared" si="272"/>
        <v>0.94696518600000001</v>
      </c>
      <c r="H151" s="126">
        <f t="shared" si="272"/>
        <v>0.965306</v>
      </c>
      <c r="I151" s="126">
        <f t="shared" si="175"/>
        <v>0.98199999999999998</v>
      </c>
      <c r="K151" s="123">
        <v>1</v>
      </c>
      <c r="M151" s="126">
        <f t="shared" si="176"/>
        <v>1.0189999999999999</v>
      </c>
      <c r="N151" s="126">
        <f t="shared" ref="N151:BA151" si="273">INDEX($C103:$BC103, MATCH(N$125, $C$77:$BC$77,0))*M151</f>
        <v>1.03938</v>
      </c>
      <c r="O151" s="126">
        <f t="shared" si="273"/>
        <v>1.0591282199999998</v>
      </c>
      <c r="P151" s="126">
        <f t="shared" si="273"/>
        <v>1.0792516561799996</v>
      </c>
      <c r="Q151" s="126">
        <f t="shared" si="273"/>
        <v>1.0997574376474195</v>
      </c>
      <c r="R151" s="126">
        <f t="shared" si="273"/>
        <v>1.1206528289627204</v>
      </c>
      <c r="S151" s="126">
        <f t="shared" si="273"/>
        <v>1.141945232713012</v>
      </c>
      <c r="T151" s="126">
        <f t="shared" si="273"/>
        <v>1.163642192134559</v>
      </c>
      <c r="U151" s="126">
        <f t="shared" si="273"/>
        <v>1.1857513937851154</v>
      </c>
      <c r="V151" s="126">
        <f t="shared" si="273"/>
        <v>1.2082806702670326</v>
      </c>
      <c r="W151" s="126">
        <f t="shared" si="273"/>
        <v>1.2312380030021062</v>
      </c>
      <c r="X151" s="126">
        <f t="shared" si="273"/>
        <v>1.254631525059146</v>
      </c>
      <c r="Y151" s="126">
        <f t="shared" si="273"/>
        <v>1.2784695240352697</v>
      </c>
      <c r="Z151" s="126">
        <f t="shared" si="273"/>
        <v>1.3027604449919397</v>
      </c>
      <c r="AA151" s="126">
        <f t="shared" si="273"/>
        <v>1.3275128934467864</v>
      </c>
      <c r="AB151" s="126">
        <f t="shared" si="273"/>
        <v>1.3527356384222751</v>
      </c>
      <c r="AC151" s="126">
        <f t="shared" si="273"/>
        <v>1.3784376155522982</v>
      </c>
      <c r="AD151" s="126">
        <f t="shared" si="273"/>
        <v>1.4046279302477918</v>
      </c>
      <c r="AE151" s="126">
        <f t="shared" si="273"/>
        <v>1.4313158609224996</v>
      </c>
      <c r="AF151" s="126">
        <f t="shared" si="273"/>
        <v>1.4585108622800269</v>
      </c>
      <c r="AG151" s="126">
        <f t="shared" si="273"/>
        <v>1.4862225686633472</v>
      </c>
      <c r="AH151" s="126">
        <f t="shared" si="273"/>
        <v>1.5144607974679507</v>
      </c>
      <c r="AI151" s="126">
        <f t="shared" si="273"/>
        <v>1.5432355526198416</v>
      </c>
      <c r="AJ151" s="126">
        <f t="shared" si="273"/>
        <v>1.5725570281196184</v>
      </c>
      <c r="AK151" s="126">
        <f t="shared" si="273"/>
        <v>1.6024356116538909</v>
      </c>
      <c r="AL151" s="126">
        <f t="shared" si="273"/>
        <v>1.6328818882753147</v>
      </c>
      <c r="AM151" s="126">
        <f t="shared" si="273"/>
        <v>1.6639066441525454</v>
      </c>
      <c r="AN151" s="126">
        <f t="shared" si="273"/>
        <v>1.6955208703914437</v>
      </c>
      <c r="AO151" s="126">
        <f t="shared" si="273"/>
        <v>1.7277357669288811</v>
      </c>
      <c r="AP151" s="126">
        <f t="shared" si="273"/>
        <v>1.7605627465005296</v>
      </c>
      <c r="AQ151" s="126">
        <f t="shared" si="273"/>
        <v>1.7940134386840394</v>
      </c>
      <c r="AR151" s="126">
        <f t="shared" si="273"/>
        <v>1.8280996940190359</v>
      </c>
      <c r="AS151" s="126">
        <f t="shared" si="273"/>
        <v>1.8628335882053975</v>
      </c>
      <c r="AT151" s="126">
        <f t="shared" si="273"/>
        <v>1.8982274263812999</v>
      </c>
      <c r="AU151" s="126">
        <f t="shared" si="273"/>
        <v>1.9342937474825443</v>
      </c>
      <c r="AV151" s="126">
        <f t="shared" si="273"/>
        <v>1.9710453286847125</v>
      </c>
      <c r="AW151" s="126">
        <f t="shared" si="273"/>
        <v>2.0084951899297216</v>
      </c>
      <c r="AX151" s="126">
        <f t="shared" si="273"/>
        <v>2.046656598538386</v>
      </c>
      <c r="AY151" s="126">
        <f t="shared" si="273"/>
        <v>2.0855430739106153</v>
      </c>
      <c r="AZ151" s="126">
        <f t="shared" si="273"/>
        <v>2.1251683923149169</v>
      </c>
      <c r="BA151" s="126">
        <f t="shared" si="273"/>
        <v>2.1655465917689001</v>
      </c>
      <c r="BB151" s="126">
        <f t="shared" ref="BB151:BC151" si="274">INDEX($C103:$BC103, MATCH(BB$125, $C$77:$BC$77,0))*BA151</f>
        <v>2.2066919770125089</v>
      </c>
      <c r="BC151" s="126">
        <f t="shared" si="274"/>
        <v>2.2486191245757463</v>
      </c>
      <c r="BD151" s="126">
        <f t="shared" ref="BD151" si="275">INDEX($C103:$BC103, MATCH(BD$125, $C$77:$BC$77,0))*BC151</f>
        <v>2.2913428879426854</v>
      </c>
    </row>
    <row r="152" spans="2:56">
      <c r="B152" s="6" t="str">
        <f t="shared" si="173"/>
        <v>Soft polymer dressing</v>
      </c>
      <c r="D152" s="126">
        <f t="shared" ref="D152:H152" si="276">INDEX($C104:$AG104, MATCH(D$125, $C$77:$AG$77,0))*E152</f>
        <v>0.89400723846022712</v>
      </c>
      <c r="E152" s="126">
        <f t="shared" si="276"/>
        <v>0.91132236336414596</v>
      </c>
      <c r="F152" s="126">
        <f t="shared" si="276"/>
        <v>0.92897284746599995</v>
      </c>
      <c r="G152" s="126">
        <f t="shared" si="276"/>
        <v>0.94696518600000001</v>
      </c>
      <c r="H152" s="126">
        <f t="shared" si="276"/>
        <v>0.965306</v>
      </c>
      <c r="I152" s="126">
        <f t="shared" si="175"/>
        <v>0.98199999999999998</v>
      </c>
      <c r="K152" s="123">
        <v>1</v>
      </c>
      <c r="M152" s="126">
        <f t="shared" si="176"/>
        <v>1.0189999999999999</v>
      </c>
      <c r="N152" s="126">
        <f t="shared" ref="N152:BA152" si="277">INDEX($C104:$BC104, MATCH(N$125, $C$77:$BC$77,0))*M152</f>
        <v>1.03938</v>
      </c>
      <c r="O152" s="126">
        <f t="shared" si="277"/>
        <v>1.0591282199999998</v>
      </c>
      <c r="P152" s="126">
        <f t="shared" si="277"/>
        <v>1.0792516561799996</v>
      </c>
      <c r="Q152" s="126">
        <f t="shared" si="277"/>
        <v>1.0997574376474195</v>
      </c>
      <c r="R152" s="126">
        <f t="shared" si="277"/>
        <v>1.1206528289627204</v>
      </c>
      <c r="S152" s="126">
        <f t="shared" si="277"/>
        <v>1.141945232713012</v>
      </c>
      <c r="T152" s="126">
        <f t="shared" si="277"/>
        <v>1.163642192134559</v>
      </c>
      <c r="U152" s="126">
        <f t="shared" si="277"/>
        <v>1.1857513937851154</v>
      </c>
      <c r="V152" s="126">
        <f t="shared" si="277"/>
        <v>1.2082806702670326</v>
      </c>
      <c r="W152" s="126">
        <f t="shared" si="277"/>
        <v>1.2312380030021062</v>
      </c>
      <c r="X152" s="126">
        <f t="shared" si="277"/>
        <v>1.254631525059146</v>
      </c>
      <c r="Y152" s="126">
        <f t="shared" si="277"/>
        <v>1.2784695240352697</v>
      </c>
      <c r="Z152" s="126">
        <f t="shared" si="277"/>
        <v>1.3027604449919397</v>
      </c>
      <c r="AA152" s="126">
        <f t="shared" si="277"/>
        <v>1.3275128934467864</v>
      </c>
      <c r="AB152" s="126">
        <f t="shared" si="277"/>
        <v>1.3527356384222751</v>
      </c>
      <c r="AC152" s="126">
        <f t="shared" si="277"/>
        <v>1.3784376155522982</v>
      </c>
      <c r="AD152" s="126">
        <f t="shared" si="277"/>
        <v>1.4046279302477918</v>
      </c>
      <c r="AE152" s="126">
        <f t="shared" si="277"/>
        <v>1.4313158609224996</v>
      </c>
      <c r="AF152" s="126">
        <f t="shared" si="277"/>
        <v>1.4585108622800269</v>
      </c>
      <c r="AG152" s="126">
        <f t="shared" si="277"/>
        <v>1.4862225686633472</v>
      </c>
      <c r="AH152" s="126">
        <f t="shared" si="277"/>
        <v>1.5144607974679507</v>
      </c>
      <c r="AI152" s="126">
        <f t="shared" si="277"/>
        <v>1.5432355526198416</v>
      </c>
      <c r="AJ152" s="126">
        <f t="shared" si="277"/>
        <v>1.5725570281196184</v>
      </c>
      <c r="AK152" s="126">
        <f t="shared" si="277"/>
        <v>1.6024356116538909</v>
      </c>
      <c r="AL152" s="126">
        <f t="shared" si="277"/>
        <v>1.6328818882753147</v>
      </c>
      <c r="AM152" s="126">
        <f t="shared" si="277"/>
        <v>1.6639066441525454</v>
      </c>
      <c r="AN152" s="126">
        <f t="shared" si="277"/>
        <v>1.6955208703914437</v>
      </c>
      <c r="AO152" s="126">
        <f t="shared" si="277"/>
        <v>1.7277357669288811</v>
      </c>
      <c r="AP152" s="126">
        <f t="shared" si="277"/>
        <v>1.7605627465005296</v>
      </c>
      <c r="AQ152" s="126">
        <f t="shared" si="277"/>
        <v>1.7940134386840394</v>
      </c>
      <c r="AR152" s="126">
        <f t="shared" si="277"/>
        <v>1.8280996940190359</v>
      </c>
      <c r="AS152" s="126">
        <f t="shared" si="277"/>
        <v>1.8628335882053975</v>
      </c>
      <c r="AT152" s="126">
        <f t="shared" si="277"/>
        <v>1.8982274263812999</v>
      </c>
      <c r="AU152" s="126">
        <f t="shared" si="277"/>
        <v>1.9342937474825443</v>
      </c>
      <c r="AV152" s="126">
        <f t="shared" si="277"/>
        <v>1.9710453286847125</v>
      </c>
      <c r="AW152" s="126">
        <f t="shared" si="277"/>
        <v>2.0084951899297216</v>
      </c>
      <c r="AX152" s="126">
        <f t="shared" si="277"/>
        <v>2.046656598538386</v>
      </c>
      <c r="AY152" s="126">
        <f t="shared" si="277"/>
        <v>2.0855430739106153</v>
      </c>
      <c r="AZ152" s="126">
        <f t="shared" si="277"/>
        <v>2.1251683923149169</v>
      </c>
      <c r="BA152" s="126">
        <f t="shared" si="277"/>
        <v>2.1655465917689001</v>
      </c>
      <c r="BB152" s="126">
        <f t="shared" ref="BB152:BC152" si="278">INDEX($C104:$BC104, MATCH(BB$125, $C$77:$BC$77,0))*BA152</f>
        <v>2.2066919770125089</v>
      </c>
      <c r="BC152" s="126">
        <f t="shared" si="278"/>
        <v>2.2486191245757463</v>
      </c>
      <c r="BD152" s="126">
        <f t="shared" ref="BD152" si="279">INDEX($C104:$BC104, MATCH(BD$125, $C$77:$BC$77,0))*BC152</f>
        <v>2.2913428879426854</v>
      </c>
    </row>
    <row r="153" spans="2:56">
      <c r="B153" s="6" t="str">
        <f t="shared" si="173"/>
        <v>Bandages</v>
      </c>
      <c r="D153" s="126">
        <f t="shared" ref="D153:H153" si="280">INDEX($C105:$AG105, MATCH(D$125, $C$77:$AG$77,0))*E153</f>
        <v>0.89400723846022712</v>
      </c>
      <c r="E153" s="126">
        <f t="shared" si="280"/>
        <v>0.91132236336414596</v>
      </c>
      <c r="F153" s="126">
        <f t="shared" si="280"/>
        <v>0.92897284746599995</v>
      </c>
      <c r="G153" s="126">
        <f t="shared" si="280"/>
        <v>0.94696518600000001</v>
      </c>
      <c r="H153" s="126">
        <f t="shared" si="280"/>
        <v>0.965306</v>
      </c>
      <c r="I153" s="126">
        <f t="shared" si="175"/>
        <v>0.98199999999999998</v>
      </c>
      <c r="K153" s="123">
        <v>1</v>
      </c>
      <c r="M153" s="126">
        <f t="shared" si="176"/>
        <v>1.0189999999999999</v>
      </c>
      <c r="N153" s="126">
        <f t="shared" ref="N153:BA153" si="281">INDEX($C105:$BC105, MATCH(N$125, $C$77:$BC$77,0))*M153</f>
        <v>1.03938</v>
      </c>
      <c r="O153" s="126">
        <f t="shared" si="281"/>
        <v>1.0591282199999998</v>
      </c>
      <c r="P153" s="126">
        <f t="shared" si="281"/>
        <v>1.0792516561799996</v>
      </c>
      <c r="Q153" s="126">
        <f t="shared" si="281"/>
        <v>1.0997574376474195</v>
      </c>
      <c r="R153" s="126">
        <f t="shared" si="281"/>
        <v>1.1206528289627204</v>
      </c>
      <c r="S153" s="126">
        <f t="shared" si="281"/>
        <v>1.141945232713012</v>
      </c>
      <c r="T153" s="126">
        <f t="shared" si="281"/>
        <v>1.163642192134559</v>
      </c>
      <c r="U153" s="126">
        <f t="shared" si="281"/>
        <v>1.1857513937851154</v>
      </c>
      <c r="V153" s="126">
        <f t="shared" si="281"/>
        <v>1.2082806702670326</v>
      </c>
      <c r="W153" s="126">
        <f t="shared" si="281"/>
        <v>1.2312380030021062</v>
      </c>
      <c r="X153" s="126">
        <f t="shared" si="281"/>
        <v>1.254631525059146</v>
      </c>
      <c r="Y153" s="126">
        <f t="shared" si="281"/>
        <v>1.2784695240352697</v>
      </c>
      <c r="Z153" s="126">
        <f t="shared" si="281"/>
        <v>1.3027604449919397</v>
      </c>
      <c r="AA153" s="126">
        <f t="shared" si="281"/>
        <v>1.3275128934467864</v>
      </c>
      <c r="AB153" s="126">
        <f t="shared" si="281"/>
        <v>1.3527356384222751</v>
      </c>
      <c r="AC153" s="126">
        <f t="shared" si="281"/>
        <v>1.3784376155522982</v>
      </c>
      <c r="AD153" s="126">
        <f t="shared" si="281"/>
        <v>1.4046279302477918</v>
      </c>
      <c r="AE153" s="126">
        <f t="shared" si="281"/>
        <v>1.4313158609224996</v>
      </c>
      <c r="AF153" s="126">
        <f t="shared" si="281"/>
        <v>1.4585108622800269</v>
      </c>
      <c r="AG153" s="126">
        <f t="shared" si="281"/>
        <v>1.4862225686633472</v>
      </c>
      <c r="AH153" s="126">
        <f t="shared" si="281"/>
        <v>1.5144607974679507</v>
      </c>
      <c r="AI153" s="126">
        <f t="shared" si="281"/>
        <v>1.5432355526198416</v>
      </c>
      <c r="AJ153" s="126">
        <f t="shared" si="281"/>
        <v>1.5725570281196184</v>
      </c>
      <c r="AK153" s="126">
        <f t="shared" si="281"/>
        <v>1.6024356116538909</v>
      </c>
      <c r="AL153" s="126">
        <f t="shared" si="281"/>
        <v>1.6328818882753147</v>
      </c>
      <c r="AM153" s="126">
        <f t="shared" si="281"/>
        <v>1.6639066441525454</v>
      </c>
      <c r="AN153" s="126">
        <f t="shared" si="281"/>
        <v>1.6955208703914437</v>
      </c>
      <c r="AO153" s="126">
        <f t="shared" si="281"/>
        <v>1.7277357669288811</v>
      </c>
      <c r="AP153" s="126">
        <f t="shared" si="281"/>
        <v>1.7605627465005296</v>
      </c>
      <c r="AQ153" s="126">
        <f t="shared" si="281"/>
        <v>1.7940134386840394</v>
      </c>
      <c r="AR153" s="126">
        <f t="shared" si="281"/>
        <v>1.8280996940190359</v>
      </c>
      <c r="AS153" s="126">
        <f t="shared" si="281"/>
        <v>1.8628335882053975</v>
      </c>
      <c r="AT153" s="126">
        <f t="shared" si="281"/>
        <v>1.8982274263812999</v>
      </c>
      <c r="AU153" s="126">
        <f t="shared" si="281"/>
        <v>1.9342937474825443</v>
      </c>
      <c r="AV153" s="126">
        <f t="shared" si="281"/>
        <v>1.9710453286847125</v>
      </c>
      <c r="AW153" s="126">
        <f t="shared" si="281"/>
        <v>2.0084951899297216</v>
      </c>
      <c r="AX153" s="126">
        <f t="shared" si="281"/>
        <v>2.046656598538386</v>
      </c>
      <c r="AY153" s="126">
        <f t="shared" si="281"/>
        <v>2.0855430739106153</v>
      </c>
      <c r="AZ153" s="126">
        <f t="shared" si="281"/>
        <v>2.1251683923149169</v>
      </c>
      <c r="BA153" s="126">
        <f t="shared" si="281"/>
        <v>2.1655465917689001</v>
      </c>
      <c r="BB153" s="126">
        <f t="shared" ref="BB153:BC153" si="282">INDEX($C105:$BC105, MATCH(BB$125, $C$77:$BC$77,0))*BA153</f>
        <v>2.2066919770125089</v>
      </c>
      <c r="BC153" s="126">
        <f t="shared" si="282"/>
        <v>2.2486191245757463</v>
      </c>
      <c r="BD153" s="126">
        <f t="shared" ref="BD153" si="283">INDEX($C105:$BC105, MATCH(BD$125, $C$77:$BC$77,0))*BC153</f>
        <v>2.2913428879426854</v>
      </c>
    </row>
    <row r="154" spans="2:56">
      <c r="B154" s="6" t="str">
        <f t="shared" si="173"/>
        <v>Compression systems</v>
      </c>
      <c r="D154" s="126">
        <f t="shared" ref="D154:H154" si="284">INDEX($C106:$AG106, MATCH(D$125, $C$77:$AG$77,0))*E154</f>
        <v>0.89400723846022712</v>
      </c>
      <c r="E154" s="126">
        <f t="shared" si="284"/>
        <v>0.91132236336414596</v>
      </c>
      <c r="F154" s="126">
        <f t="shared" si="284"/>
        <v>0.92897284746599995</v>
      </c>
      <c r="G154" s="126">
        <f t="shared" si="284"/>
        <v>0.94696518600000001</v>
      </c>
      <c r="H154" s="126">
        <f t="shared" si="284"/>
        <v>0.965306</v>
      </c>
      <c r="I154" s="126">
        <f t="shared" si="175"/>
        <v>0.98199999999999998</v>
      </c>
      <c r="K154" s="123">
        <v>1</v>
      </c>
      <c r="M154" s="126">
        <f t="shared" si="176"/>
        <v>1.0189999999999999</v>
      </c>
      <c r="N154" s="126">
        <f t="shared" ref="N154:BA154" si="285">INDEX($C106:$BC106, MATCH(N$125, $C$77:$BC$77,0))*M154</f>
        <v>1.03938</v>
      </c>
      <c r="O154" s="126">
        <f t="shared" si="285"/>
        <v>1.0591282199999998</v>
      </c>
      <c r="P154" s="126">
        <f t="shared" si="285"/>
        <v>1.0792516561799996</v>
      </c>
      <c r="Q154" s="126">
        <f t="shared" si="285"/>
        <v>1.0997574376474195</v>
      </c>
      <c r="R154" s="126">
        <f t="shared" si="285"/>
        <v>1.1206528289627204</v>
      </c>
      <c r="S154" s="126">
        <f t="shared" si="285"/>
        <v>1.141945232713012</v>
      </c>
      <c r="T154" s="126">
        <f t="shared" si="285"/>
        <v>1.163642192134559</v>
      </c>
      <c r="U154" s="126">
        <f t="shared" si="285"/>
        <v>1.1857513937851154</v>
      </c>
      <c r="V154" s="126">
        <f t="shared" si="285"/>
        <v>1.2082806702670326</v>
      </c>
      <c r="W154" s="126">
        <f t="shared" si="285"/>
        <v>1.2312380030021062</v>
      </c>
      <c r="X154" s="126">
        <f t="shared" si="285"/>
        <v>1.254631525059146</v>
      </c>
      <c r="Y154" s="126">
        <f t="shared" si="285"/>
        <v>1.2784695240352697</v>
      </c>
      <c r="Z154" s="126">
        <f t="shared" si="285"/>
        <v>1.3027604449919397</v>
      </c>
      <c r="AA154" s="126">
        <f t="shared" si="285"/>
        <v>1.3275128934467864</v>
      </c>
      <c r="AB154" s="126">
        <f t="shared" si="285"/>
        <v>1.3527356384222751</v>
      </c>
      <c r="AC154" s="126">
        <f t="shared" si="285"/>
        <v>1.3784376155522982</v>
      </c>
      <c r="AD154" s="126">
        <f t="shared" si="285"/>
        <v>1.4046279302477918</v>
      </c>
      <c r="AE154" s="126">
        <f t="shared" si="285"/>
        <v>1.4313158609224996</v>
      </c>
      <c r="AF154" s="126">
        <f t="shared" si="285"/>
        <v>1.4585108622800269</v>
      </c>
      <c r="AG154" s="126">
        <f t="shared" si="285"/>
        <v>1.4862225686633472</v>
      </c>
      <c r="AH154" s="126">
        <f t="shared" si="285"/>
        <v>1.5144607974679507</v>
      </c>
      <c r="AI154" s="126">
        <f t="shared" si="285"/>
        <v>1.5432355526198416</v>
      </c>
      <c r="AJ154" s="126">
        <f t="shared" si="285"/>
        <v>1.5725570281196184</v>
      </c>
      <c r="AK154" s="126">
        <f t="shared" si="285"/>
        <v>1.6024356116538909</v>
      </c>
      <c r="AL154" s="126">
        <f t="shared" si="285"/>
        <v>1.6328818882753147</v>
      </c>
      <c r="AM154" s="126">
        <f t="shared" si="285"/>
        <v>1.6639066441525454</v>
      </c>
      <c r="AN154" s="126">
        <f t="shared" si="285"/>
        <v>1.6955208703914437</v>
      </c>
      <c r="AO154" s="126">
        <f t="shared" si="285"/>
        <v>1.7277357669288811</v>
      </c>
      <c r="AP154" s="126">
        <f t="shared" si="285"/>
        <v>1.7605627465005296</v>
      </c>
      <c r="AQ154" s="126">
        <f t="shared" si="285"/>
        <v>1.7940134386840394</v>
      </c>
      <c r="AR154" s="126">
        <f t="shared" si="285"/>
        <v>1.8280996940190359</v>
      </c>
      <c r="AS154" s="126">
        <f t="shared" si="285"/>
        <v>1.8628335882053975</v>
      </c>
      <c r="AT154" s="126">
        <f t="shared" si="285"/>
        <v>1.8982274263812999</v>
      </c>
      <c r="AU154" s="126">
        <f t="shared" si="285"/>
        <v>1.9342937474825443</v>
      </c>
      <c r="AV154" s="126">
        <f t="shared" si="285"/>
        <v>1.9710453286847125</v>
      </c>
      <c r="AW154" s="126">
        <f t="shared" si="285"/>
        <v>2.0084951899297216</v>
      </c>
      <c r="AX154" s="126">
        <f t="shared" si="285"/>
        <v>2.046656598538386</v>
      </c>
      <c r="AY154" s="126">
        <f t="shared" si="285"/>
        <v>2.0855430739106153</v>
      </c>
      <c r="AZ154" s="126">
        <f t="shared" si="285"/>
        <v>2.1251683923149169</v>
      </c>
      <c r="BA154" s="126">
        <f t="shared" si="285"/>
        <v>2.1655465917689001</v>
      </c>
      <c r="BB154" s="126">
        <f t="shared" ref="BB154:BC154" si="286">INDEX($C106:$BC106, MATCH(BB$125, $C$77:$BC$77,0))*BA154</f>
        <v>2.2066919770125089</v>
      </c>
      <c r="BC154" s="126">
        <f t="shared" si="286"/>
        <v>2.2486191245757463</v>
      </c>
      <c r="BD154" s="126">
        <f t="shared" ref="BD154" si="287">INDEX($C106:$BC106, MATCH(BD$125, $C$77:$BC$77,0))*BC154</f>
        <v>2.2913428879426854</v>
      </c>
    </row>
    <row r="155" spans="2:56">
      <c r="B155" s="6" t="str">
        <f t="shared" si="173"/>
        <v>Compression hosiery</v>
      </c>
      <c r="D155" s="126">
        <f t="shared" ref="D155:H155" si="288">INDEX($C107:$AG107, MATCH(D$125, $C$77:$AG$77,0))*E155</f>
        <v>0.89400723846022712</v>
      </c>
      <c r="E155" s="126">
        <f t="shared" si="288"/>
        <v>0.91132236336414596</v>
      </c>
      <c r="F155" s="126">
        <f t="shared" si="288"/>
        <v>0.92897284746599995</v>
      </c>
      <c r="G155" s="126">
        <f t="shared" si="288"/>
        <v>0.94696518600000001</v>
      </c>
      <c r="H155" s="126">
        <f t="shared" si="288"/>
        <v>0.965306</v>
      </c>
      <c r="I155" s="126">
        <f t="shared" si="175"/>
        <v>0.98199999999999998</v>
      </c>
      <c r="K155" s="123">
        <v>1</v>
      </c>
      <c r="M155" s="126">
        <f t="shared" si="176"/>
        <v>1.0189999999999999</v>
      </c>
      <c r="N155" s="126">
        <f t="shared" ref="N155:BA155" si="289">INDEX($C107:$BC107, MATCH(N$125, $C$77:$BC$77,0))*M155</f>
        <v>1.03938</v>
      </c>
      <c r="O155" s="126">
        <f t="shared" si="289"/>
        <v>1.0591282199999998</v>
      </c>
      <c r="P155" s="126">
        <f t="shared" si="289"/>
        <v>1.0792516561799996</v>
      </c>
      <c r="Q155" s="126">
        <f t="shared" si="289"/>
        <v>1.0997574376474195</v>
      </c>
      <c r="R155" s="126">
        <f t="shared" si="289"/>
        <v>1.1206528289627204</v>
      </c>
      <c r="S155" s="126">
        <f t="shared" si="289"/>
        <v>1.141945232713012</v>
      </c>
      <c r="T155" s="126">
        <f t="shared" si="289"/>
        <v>1.163642192134559</v>
      </c>
      <c r="U155" s="126">
        <f t="shared" si="289"/>
        <v>1.1857513937851154</v>
      </c>
      <c r="V155" s="126">
        <f t="shared" si="289"/>
        <v>1.2082806702670326</v>
      </c>
      <c r="W155" s="126">
        <f t="shared" si="289"/>
        <v>1.2312380030021062</v>
      </c>
      <c r="X155" s="126">
        <f t="shared" si="289"/>
        <v>1.254631525059146</v>
      </c>
      <c r="Y155" s="126">
        <f t="shared" si="289"/>
        <v>1.2784695240352697</v>
      </c>
      <c r="Z155" s="126">
        <f t="shared" si="289"/>
        <v>1.3027604449919397</v>
      </c>
      <c r="AA155" s="126">
        <f t="shared" si="289"/>
        <v>1.3275128934467864</v>
      </c>
      <c r="AB155" s="126">
        <f t="shared" si="289"/>
        <v>1.3527356384222751</v>
      </c>
      <c r="AC155" s="126">
        <f t="shared" si="289"/>
        <v>1.3784376155522982</v>
      </c>
      <c r="AD155" s="126">
        <f t="shared" si="289"/>
        <v>1.4046279302477918</v>
      </c>
      <c r="AE155" s="126">
        <f t="shared" si="289"/>
        <v>1.4313158609224996</v>
      </c>
      <c r="AF155" s="126">
        <f t="shared" si="289"/>
        <v>1.4585108622800269</v>
      </c>
      <c r="AG155" s="126">
        <f t="shared" si="289"/>
        <v>1.4862225686633472</v>
      </c>
      <c r="AH155" s="126">
        <f t="shared" si="289"/>
        <v>1.5144607974679507</v>
      </c>
      <c r="AI155" s="126">
        <f t="shared" si="289"/>
        <v>1.5432355526198416</v>
      </c>
      <c r="AJ155" s="126">
        <f t="shared" si="289"/>
        <v>1.5725570281196184</v>
      </c>
      <c r="AK155" s="126">
        <f t="shared" si="289"/>
        <v>1.6024356116538909</v>
      </c>
      <c r="AL155" s="126">
        <f t="shared" si="289"/>
        <v>1.6328818882753147</v>
      </c>
      <c r="AM155" s="126">
        <f t="shared" si="289"/>
        <v>1.6639066441525454</v>
      </c>
      <c r="AN155" s="126">
        <f t="shared" si="289"/>
        <v>1.6955208703914437</v>
      </c>
      <c r="AO155" s="126">
        <f t="shared" si="289"/>
        <v>1.7277357669288811</v>
      </c>
      <c r="AP155" s="126">
        <f t="shared" si="289"/>
        <v>1.7605627465005296</v>
      </c>
      <c r="AQ155" s="126">
        <f t="shared" si="289"/>
        <v>1.7940134386840394</v>
      </c>
      <c r="AR155" s="126">
        <f t="shared" si="289"/>
        <v>1.8280996940190359</v>
      </c>
      <c r="AS155" s="126">
        <f t="shared" si="289"/>
        <v>1.8628335882053975</v>
      </c>
      <c r="AT155" s="126">
        <f t="shared" si="289"/>
        <v>1.8982274263812999</v>
      </c>
      <c r="AU155" s="126">
        <f t="shared" si="289"/>
        <v>1.9342937474825443</v>
      </c>
      <c r="AV155" s="126">
        <f t="shared" si="289"/>
        <v>1.9710453286847125</v>
      </c>
      <c r="AW155" s="126">
        <f t="shared" si="289"/>
        <v>2.0084951899297216</v>
      </c>
      <c r="AX155" s="126">
        <f t="shared" si="289"/>
        <v>2.046656598538386</v>
      </c>
      <c r="AY155" s="126">
        <f t="shared" si="289"/>
        <v>2.0855430739106153</v>
      </c>
      <c r="AZ155" s="126">
        <f t="shared" si="289"/>
        <v>2.1251683923149169</v>
      </c>
      <c r="BA155" s="126">
        <f t="shared" si="289"/>
        <v>2.1655465917689001</v>
      </c>
      <c r="BB155" s="126">
        <f t="shared" ref="BB155:BC155" si="290">INDEX($C107:$BC107, MATCH(BB$125, $C$77:$BC$77,0))*BA155</f>
        <v>2.2066919770125089</v>
      </c>
      <c r="BC155" s="126">
        <f t="shared" si="290"/>
        <v>2.2486191245757463</v>
      </c>
      <c r="BD155" s="126">
        <f t="shared" ref="BD155" si="291">INDEX($C107:$BC107, MATCH(BD$125, $C$77:$BC$77,0))*BC155</f>
        <v>2.2913428879426854</v>
      </c>
    </row>
    <row r="156" spans="2:56">
      <c r="B156" s="6" t="str">
        <f t="shared" si="173"/>
        <v>Topical wound care products</v>
      </c>
      <c r="D156" s="126">
        <f t="shared" ref="D156:H156" si="292">INDEX($C108:$AG108, MATCH(D$125, $C$77:$AG$77,0))*E156</f>
        <v>0.89400723846022712</v>
      </c>
      <c r="E156" s="126">
        <f t="shared" si="292"/>
        <v>0.91132236336414596</v>
      </c>
      <c r="F156" s="126">
        <f t="shared" si="292"/>
        <v>0.92897284746599995</v>
      </c>
      <c r="G156" s="126">
        <f t="shared" si="292"/>
        <v>0.94696518600000001</v>
      </c>
      <c r="H156" s="126">
        <f t="shared" si="292"/>
        <v>0.965306</v>
      </c>
      <c r="I156" s="126">
        <f t="shared" si="175"/>
        <v>0.98199999999999998</v>
      </c>
      <c r="K156" s="123">
        <v>1</v>
      </c>
      <c r="M156" s="126">
        <f t="shared" si="176"/>
        <v>1.0189999999999999</v>
      </c>
      <c r="N156" s="126">
        <f t="shared" ref="N156:BA156" si="293">INDEX($C108:$BC108, MATCH(N$125, $C$77:$BC$77,0))*M156</f>
        <v>1.03938</v>
      </c>
      <c r="O156" s="126">
        <f t="shared" si="293"/>
        <v>1.0591282199999998</v>
      </c>
      <c r="P156" s="126">
        <f t="shared" si="293"/>
        <v>1.0792516561799996</v>
      </c>
      <c r="Q156" s="126">
        <f t="shared" si="293"/>
        <v>1.0997574376474195</v>
      </c>
      <c r="R156" s="126">
        <f t="shared" si="293"/>
        <v>1.1206528289627204</v>
      </c>
      <c r="S156" s="126">
        <f t="shared" si="293"/>
        <v>1.141945232713012</v>
      </c>
      <c r="T156" s="126">
        <f t="shared" si="293"/>
        <v>1.163642192134559</v>
      </c>
      <c r="U156" s="126">
        <f t="shared" si="293"/>
        <v>1.1857513937851154</v>
      </c>
      <c r="V156" s="126">
        <f t="shared" si="293"/>
        <v>1.2082806702670326</v>
      </c>
      <c r="W156" s="126">
        <f t="shared" si="293"/>
        <v>1.2312380030021062</v>
      </c>
      <c r="X156" s="126">
        <f t="shared" si="293"/>
        <v>1.254631525059146</v>
      </c>
      <c r="Y156" s="126">
        <f t="shared" si="293"/>
        <v>1.2784695240352697</v>
      </c>
      <c r="Z156" s="126">
        <f t="shared" si="293"/>
        <v>1.3027604449919397</v>
      </c>
      <c r="AA156" s="126">
        <f t="shared" si="293"/>
        <v>1.3275128934467864</v>
      </c>
      <c r="AB156" s="126">
        <f t="shared" si="293"/>
        <v>1.3527356384222751</v>
      </c>
      <c r="AC156" s="126">
        <f t="shared" si="293"/>
        <v>1.3784376155522982</v>
      </c>
      <c r="AD156" s="126">
        <f t="shared" si="293"/>
        <v>1.4046279302477918</v>
      </c>
      <c r="AE156" s="126">
        <f t="shared" si="293"/>
        <v>1.4313158609224996</v>
      </c>
      <c r="AF156" s="126">
        <f t="shared" si="293"/>
        <v>1.4585108622800269</v>
      </c>
      <c r="AG156" s="126">
        <f t="shared" si="293"/>
        <v>1.4862225686633472</v>
      </c>
      <c r="AH156" s="126">
        <f t="shared" si="293"/>
        <v>1.5144607974679507</v>
      </c>
      <c r="AI156" s="126">
        <f t="shared" si="293"/>
        <v>1.5432355526198416</v>
      </c>
      <c r="AJ156" s="126">
        <f t="shared" si="293"/>
        <v>1.5725570281196184</v>
      </c>
      <c r="AK156" s="126">
        <f t="shared" si="293"/>
        <v>1.6024356116538909</v>
      </c>
      <c r="AL156" s="126">
        <f t="shared" si="293"/>
        <v>1.6328818882753147</v>
      </c>
      <c r="AM156" s="126">
        <f t="shared" si="293"/>
        <v>1.6639066441525454</v>
      </c>
      <c r="AN156" s="126">
        <f t="shared" si="293"/>
        <v>1.6955208703914437</v>
      </c>
      <c r="AO156" s="126">
        <f t="shared" si="293"/>
        <v>1.7277357669288811</v>
      </c>
      <c r="AP156" s="126">
        <f t="shared" si="293"/>
        <v>1.7605627465005296</v>
      </c>
      <c r="AQ156" s="126">
        <f t="shared" si="293"/>
        <v>1.7940134386840394</v>
      </c>
      <c r="AR156" s="126">
        <f t="shared" si="293"/>
        <v>1.8280996940190359</v>
      </c>
      <c r="AS156" s="126">
        <f t="shared" si="293"/>
        <v>1.8628335882053975</v>
      </c>
      <c r="AT156" s="126">
        <f t="shared" si="293"/>
        <v>1.8982274263812999</v>
      </c>
      <c r="AU156" s="126">
        <f t="shared" si="293"/>
        <v>1.9342937474825443</v>
      </c>
      <c r="AV156" s="126">
        <f t="shared" si="293"/>
        <v>1.9710453286847125</v>
      </c>
      <c r="AW156" s="126">
        <f t="shared" si="293"/>
        <v>2.0084951899297216</v>
      </c>
      <c r="AX156" s="126">
        <f t="shared" si="293"/>
        <v>2.046656598538386</v>
      </c>
      <c r="AY156" s="126">
        <f t="shared" si="293"/>
        <v>2.0855430739106153</v>
      </c>
      <c r="AZ156" s="126">
        <f t="shared" si="293"/>
        <v>2.1251683923149169</v>
      </c>
      <c r="BA156" s="126">
        <f t="shared" si="293"/>
        <v>2.1655465917689001</v>
      </c>
      <c r="BB156" s="126">
        <f t="shared" ref="BB156:BC156" si="294">INDEX($C108:$BC108, MATCH(BB$125, $C$77:$BC$77,0))*BA156</f>
        <v>2.2066919770125089</v>
      </c>
      <c r="BC156" s="126">
        <f t="shared" si="294"/>
        <v>2.2486191245757463</v>
      </c>
      <c r="BD156" s="126">
        <f t="shared" ref="BD156" si="295">INDEX($C108:$BC108, MATCH(BD$125, $C$77:$BC$77,0))*BC156</f>
        <v>2.2913428879426854</v>
      </c>
    </row>
    <row r="157" spans="2:56">
      <c r="B157" s="6" t="str">
        <f t="shared" si="173"/>
        <v>Devices</v>
      </c>
      <c r="D157" s="126">
        <f t="shared" ref="D157:H157" si="296">INDEX($C109:$AG109, MATCH(D$125, $C$77:$AG$77,0))*E157</f>
        <v>0.89400723846022712</v>
      </c>
      <c r="E157" s="126">
        <f t="shared" si="296"/>
        <v>0.91132236336414596</v>
      </c>
      <c r="F157" s="126">
        <f t="shared" si="296"/>
        <v>0.92897284746599995</v>
      </c>
      <c r="G157" s="126">
        <f t="shared" si="296"/>
        <v>0.94696518600000001</v>
      </c>
      <c r="H157" s="126">
        <f t="shared" si="296"/>
        <v>0.965306</v>
      </c>
      <c r="I157" s="126">
        <f t="shared" si="175"/>
        <v>0.98199999999999998</v>
      </c>
      <c r="K157" s="123">
        <v>1</v>
      </c>
      <c r="M157" s="126">
        <f t="shared" si="176"/>
        <v>1.0189999999999999</v>
      </c>
      <c r="N157" s="126">
        <f t="shared" ref="N157:BA157" si="297">INDEX($C109:$BC109, MATCH(N$125, $C$77:$BC$77,0))*M157</f>
        <v>1.03938</v>
      </c>
      <c r="O157" s="126">
        <f t="shared" si="297"/>
        <v>1.0591282199999998</v>
      </c>
      <c r="P157" s="126">
        <f t="shared" si="297"/>
        <v>1.0792516561799996</v>
      </c>
      <c r="Q157" s="126">
        <f t="shared" si="297"/>
        <v>1.0997574376474195</v>
      </c>
      <c r="R157" s="126">
        <f t="shared" si="297"/>
        <v>1.1206528289627204</v>
      </c>
      <c r="S157" s="126">
        <f t="shared" si="297"/>
        <v>1.141945232713012</v>
      </c>
      <c r="T157" s="126">
        <f t="shared" si="297"/>
        <v>1.163642192134559</v>
      </c>
      <c r="U157" s="126">
        <f t="shared" si="297"/>
        <v>1.1857513937851154</v>
      </c>
      <c r="V157" s="126">
        <f t="shared" si="297"/>
        <v>1.2082806702670326</v>
      </c>
      <c r="W157" s="126">
        <f t="shared" si="297"/>
        <v>1.2312380030021062</v>
      </c>
      <c r="X157" s="126">
        <f t="shared" si="297"/>
        <v>1.254631525059146</v>
      </c>
      <c r="Y157" s="126">
        <f t="shared" si="297"/>
        <v>1.2784695240352697</v>
      </c>
      <c r="Z157" s="126">
        <f t="shared" si="297"/>
        <v>1.3027604449919397</v>
      </c>
      <c r="AA157" s="126">
        <f t="shared" si="297"/>
        <v>1.3275128934467864</v>
      </c>
      <c r="AB157" s="126">
        <f t="shared" si="297"/>
        <v>1.3527356384222751</v>
      </c>
      <c r="AC157" s="126">
        <f t="shared" si="297"/>
        <v>1.3784376155522982</v>
      </c>
      <c r="AD157" s="126">
        <f t="shared" si="297"/>
        <v>1.4046279302477918</v>
      </c>
      <c r="AE157" s="126">
        <f t="shared" si="297"/>
        <v>1.4313158609224996</v>
      </c>
      <c r="AF157" s="126">
        <f t="shared" si="297"/>
        <v>1.4585108622800269</v>
      </c>
      <c r="AG157" s="126">
        <f t="shared" si="297"/>
        <v>1.4862225686633472</v>
      </c>
      <c r="AH157" s="126">
        <f t="shared" si="297"/>
        <v>1.5144607974679507</v>
      </c>
      <c r="AI157" s="126">
        <f t="shared" si="297"/>
        <v>1.5432355526198416</v>
      </c>
      <c r="AJ157" s="126">
        <f t="shared" si="297"/>
        <v>1.5725570281196184</v>
      </c>
      <c r="AK157" s="126">
        <f t="shared" si="297"/>
        <v>1.6024356116538909</v>
      </c>
      <c r="AL157" s="126">
        <f t="shared" si="297"/>
        <v>1.6328818882753147</v>
      </c>
      <c r="AM157" s="126">
        <f t="shared" si="297"/>
        <v>1.6639066441525454</v>
      </c>
      <c r="AN157" s="126">
        <f t="shared" si="297"/>
        <v>1.6955208703914437</v>
      </c>
      <c r="AO157" s="126">
        <f t="shared" si="297"/>
        <v>1.7277357669288811</v>
      </c>
      <c r="AP157" s="126">
        <f t="shared" si="297"/>
        <v>1.7605627465005296</v>
      </c>
      <c r="AQ157" s="126">
        <f t="shared" si="297"/>
        <v>1.7940134386840394</v>
      </c>
      <c r="AR157" s="126">
        <f t="shared" si="297"/>
        <v>1.8280996940190359</v>
      </c>
      <c r="AS157" s="126">
        <f t="shared" si="297"/>
        <v>1.8628335882053975</v>
      </c>
      <c r="AT157" s="126">
        <f t="shared" si="297"/>
        <v>1.8982274263812999</v>
      </c>
      <c r="AU157" s="126">
        <f t="shared" si="297"/>
        <v>1.9342937474825443</v>
      </c>
      <c r="AV157" s="126">
        <f t="shared" si="297"/>
        <v>1.9710453286847125</v>
      </c>
      <c r="AW157" s="126">
        <f t="shared" si="297"/>
        <v>2.0084951899297216</v>
      </c>
      <c r="AX157" s="126">
        <f t="shared" si="297"/>
        <v>2.046656598538386</v>
      </c>
      <c r="AY157" s="126">
        <f t="shared" si="297"/>
        <v>2.0855430739106153</v>
      </c>
      <c r="AZ157" s="126">
        <f t="shared" si="297"/>
        <v>2.1251683923149169</v>
      </c>
      <c r="BA157" s="126">
        <f t="shared" si="297"/>
        <v>2.1655465917689001</v>
      </c>
      <c r="BB157" s="126">
        <f t="shared" ref="BB157:BC157" si="298">INDEX($C109:$BC109, MATCH(BB$125, $C$77:$BC$77,0))*BA157</f>
        <v>2.2066919770125089</v>
      </c>
      <c r="BC157" s="126">
        <f t="shared" si="298"/>
        <v>2.2486191245757463</v>
      </c>
      <c r="BD157" s="126">
        <f t="shared" ref="BD157" si="299">INDEX($C109:$BC109, MATCH(BD$125, $C$77:$BC$77,0))*BC157</f>
        <v>2.2913428879426854</v>
      </c>
    </row>
    <row r="158" spans="2:56" ht="29">
      <c r="B158" s="6" t="str">
        <f t="shared" si="173"/>
        <v>Prescriptions for analgesics and neuroleptics</v>
      </c>
      <c r="D158" s="126">
        <f t="shared" ref="D158:H158" si="300">INDEX($C110:$AG110, MATCH(D$125, $C$77:$AG$77,0))*E158</f>
        <v>0.76802686638997386</v>
      </c>
      <c r="E158" s="126">
        <f t="shared" si="300"/>
        <v>0.80153085617822362</v>
      </c>
      <c r="F158" s="126">
        <f t="shared" si="300"/>
        <v>0.83649640594679986</v>
      </c>
      <c r="G158" s="126">
        <f t="shared" si="300"/>
        <v>0.87298727399999987</v>
      </c>
      <c r="H158" s="126">
        <f t="shared" si="300"/>
        <v>0.91106999999999994</v>
      </c>
      <c r="I158" s="126">
        <f t="shared" si="175"/>
        <v>0.95399999999999996</v>
      </c>
      <c r="K158" s="123">
        <v>1</v>
      </c>
      <c r="M158" s="126">
        <f t="shared" si="176"/>
        <v>1.0409999999999999</v>
      </c>
      <c r="N158" s="126">
        <f t="shared" ref="N158:BA158" si="301">INDEX($C110:$BC110, MATCH(N$125, $C$77:$BC$77,0))*M158</f>
        <v>1.0836809999999999</v>
      </c>
      <c r="O158" s="126">
        <f t="shared" si="301"/>
        <v>1.1289788658</v>
      </c>
      <c r="P158" s="126">
        <f t="shared" si="301"/>
        <v>1.17617018239044</v>
      </c>
      <c r="Q158" s="126">
        <f t="shared" si="301"/>
        <v>1.2253340960143604</v>
      </c>
      <c r="R158" s="126">
        <f t="shared" si="301"/>
        <v>1.2765530612277607</v>
      </c>
      <c r="S158" s="126">
        <f t="shared" si="301"/>
        <v>1.3299129791870812</v>
      </c>
      <c r="T158" s="126">
        <f t="shared" si="301"/>
        <v>1.3855033417171012</v>
      </c>
      <c r="U158" s="126">
        <f t="shared" si="301"/>
        <v>1.4434173814008762</v>
      </c>
      <c r="V158" s="126">
        <f t="shared" si="301"/>
        <v>1.5037522279434328</v>
      </c>
      <c r="W158" s="126">
        <f t="shared" si="301"/>
        <v>1.5666090710714684</v>
      </c>
      <c r="X158" s="126">
        <f t="shared" si="301"/>
        <v>1.6320933302422558</v>
      </c>
      <c r="Y158" s="126">
        <f t="shared" si="301"/>
        <v>1.7003148314463821</v>
      </c>
      <c r="Z158" s="126">
        <f t="shared" si="301"/>
        <v>1.771387991400841</v>
      </c>
      <c r="AA158" s="126">
        <f t="shared" si="301"/>
        <v>1.8454320094413963</v>
      </c>
      <c r="AB158" s="126">
        <f t="shared" si="301"/>
        <v>1.9225710674360468</v>
      </c>
      <c r="AC158" s="126">
        <f t="shared" si="301"/>
        <v>2.0029345380548738</v>
      </c>
      <c r="AD158" s="126">
        <f t="shared" si="301"/>
        <v>2.0866572017455676</v>
      </c>
      <c r="AE158" s="126">
        <f t="shared" si="301"/>
        <v>2.1738794727785322</v>
      </c>
      <c r="AF158" s="126">
        <f t="shared" si="301"/>
        <v>2.264747634740675</v>
      </c>
      <c r="AG158" s="126">
        <f t="shared" si="301"/>
        <v>2.3594140858728352</v>
      </c>
      <c r="AH158" s="126">
        <f t="shared" si="301"/>
        <v>2.4580375946623199</v>
      </c>
      <c r="AI158" s="126">
        <f t="shared" si="301"/>
        <v>2.5607835661192051</v>
      </c>
      <c r="AJ158" s="126">
        <f t="shared" si="301"/>
        <v>2.667824319182988</v>
      </c>
      <c r="AK158" s="126">
        <f t="shared" si="301"/>
        <v>2.7793393757248372</v>
      </c>
      <c r="AL158" s="126">
        <f t="shared" si="301"/>
        <v>2.8955157616301355</v>
      </c>
      <c r="AM158" s="126">
        <f t="shared" si="301"/>
        <v>3.0165483204662751</v>
      </c>
      <c r="AN158" s="126">
        <f t="shared" si="301"/>
        <v>3.1426400402617656</v>
      </c>
      <c r="AO158" s="126">
        <f t="shared" si="301"/>
        <v>3.2740023939447074</v>
      </c>
      <c r="AP158" s="126">
        <f t="shared" si="301"/>
        <v>3.4108556940115964</v>
      </c>
      <c r="AQ158" s="126">
        <f t="shared" si="301"/>
        <v>3.5534294620212812</v>
      </c>
      <c r="AR158" s="126">
        <f t="shared" si="301"/>
        <v>3.701962813533771</v>
      </c>
      <c r="AS158" s="126">
        <f t="shared" si="301"/>
        <v>3.8567048591394828</v>
      </c>
      <c r="AT158" s="126">
        <f t="shared" si="301"/>
        <v>4.0179151222515133</v>
      </c>
      <c r="AU158" s="126">
        <f t="shared" si="301"/>
        <v>4.1858639743616264</v>
      </c>
      <c r="AV158" s="126">
        <f t="shared" si="301"/>
        <v>4.3608330884899429</v>
      </c>
      <c r="AW158" s="126">
        <f t="shared" si="301"/>
        <v>4.5431159115888224</v>
      </c>
      <c r="AX158" s="126">
        <f t="shared" si="301"/>
        <v>4.7330181566932357</v>
      </c>
      <c r="AY158" s="126">
        <f t="shared" si="301"/>
        <v>4.9308583156430128</v>
      </c>
      <c r="AZ158" s="126">
        <f t="shared" si="301"/>
        <v>5.1369681932368909</v>
      </c>
      <c r="BA158" s="126">
        <f t="shared" si="301"/>
        <v>5.3516934637141933</v>
      </c>
      <c r="BB158" s="126">
        <f t="shared" ref="BB158:BC158" si="302">INDEX($C110:$BC110, MATCH(BB$125, $C$77:$BC$77,0))*BA158</f>
        <v>5.575394250497447</v>
      </c>
      <c r="BC158" s="126">
        <f t="shared" si="302"/>
        <v>5.8084457301682404</v>
      </c>
      <c r="BD158" s="126">
        <f t="shared" ref="BD158" si="303">INDEX($C110:$BC110, MATCH(BD$125, $C$77:$BC$77,0))*BC158</f>
        <v>6.0512387616892731</v>
      </c>
    </row>
    <row r="159" spans="2:56">
      <c r="B159" s="6" t="str">
        <f t="shared" si="173"/>
        <v>Dressings</v>
      </c>
      <c r="D159" s="126">
        <f t="shared" ref="D159:H159" si="304">INDEX($C111:$AG111, MATCH(D$125, $C$77:$AG$77,0))*E159</f>
        <v>0.89400723846022712</v>
      </c>
      <c r="E159" s="126">
        <f t="shared" si="304"/>
        <v>0.91132236336414596</v>
      </c>
      <c r="F159" s="126">
        <f t="shared" si="304"/>
        <v>0.92897284746599995</v>
      </c>
      <c r="G159" s="126">
        <f t="shared" si="304"/>
        <v>0.94696518600000001</v>
      </c>
      <c r="H159" s="126">
        <f t="shared" si="304"/>
        <v>0.965306</v>
      </c>
      <c r="I159" s="126">
        <f t="shared" si="175"/>
        <v>0.98199999999999998</v>
      </c>
      <c r="K159" s="123">
        <v>1</v>
      </c>
      <c r="M159" s="126">
        <f t="shared" si="176"/>
        <v>1.0189999999999999</v>
      </c>
      <c r="N159" s="126">
        <f t="shared" ref="N159:BA159" si="305">INDEX($C111:$BC111, MATCH(N$125, $C$77:$BC$77,0))*M159</f>
        <v>1.03938</v>
      </c>
      <c r="O159" s="126">
        <f t="shared" si="305"/>
        <v>1.0591282199999998</v>
      </c>
      <c r="P159" s="126">
        <f t="shared" si="305"/>
        <v>1.0792516561799996</v>
      </c>
      <c r="Q159" s="126">
        <f t="shared" si="305"/>
        <v>1.0997574376474195</v>
      </c>
      <c r="R159" s="126">
        <f t="shared" si="305"/>
        <v>1.1206528289627204</v>
      </c>
      <c r="S159" s="126">
        <f t="shared" si="305"/>
        <v>1.141945232713012</v>
      </c>
      <c r="T159" s="126">
        <f t="shared" si="305"/>
        <v>1.163642192134559</v>
      </c>
      <c r="U159" s="126">
        <f t="shared" si="305"/>
        <v>1.1857513937851154</v>
      </c>
      <c r="V159" s="126">
        <f t="shared" si="305"/>
        <v>1.2082806702670326</v>
      </c>
      <c r="W159" s="126">
        <f t="shared" si="305"/>
        <v>1.2312380030021062</v>
      </c>
      <c r="X159" s="126">
        <f t="shared" si="305"/>
        <v>1.254631525059146</v>
      </c>
      <c r="Y159" s="126">
        <f t="shared" si="305"/>
        <v>1.2784695240352697</v>
      </c>
      <c r="Z159" s="126">
        <f t="shared" si="305"/>
        <v>1.3027604449919397</v>
      </c>
      <c r="AA159" s="126">
        <f t="shared" si="305"/>
        <v>1.3275128934467864</v>
      </c>
      <c r="AB159" s="126">
        <f t="shared" si="305"/>
        <v>1.3527356384222751</v>
      </c>
      <c r="AC159" s="126">
        <f t="shared" si="305"/>
        <v>1.3784376155522982</v>
      </c>
      <c r="AD159" s="126">
        <f t="shared" si="305"/>
        <v>1.4046279302477918</v>
      </c>
      <c r="AE159" s="126">
        <f t="shared" si="305"/>
        <v>1.4313158609224996</v>
      </c>
      <c r="AF159" s="126">
        <f t="shared" si="305"/>
        <v>1.4585108622800269</v>
      </c>
      <c r="AG159" s="126">
        <f t="shared" si="305"/>
        <v>1.4862225686633472</v>
      </c>
      <c r="AH159" s="126">
        <f t="shared" si="305"/>
        <v>1.5144607974679507</v>
      </c>
      <c r="AI159" s="126">
        <f t="shared" si="305"/>
        <v>1.5432355526198416</v>
      </c>
      <c r="AJ159" s="126">
        <f t="shared" si="305"/>
        <v>1.5725570281196184</v>
      </c>
      <c r="AK159" s="126">
        <f t="shared" si="305"/>
        <v>1.6024356116538909</v>
      </c>
      <c r="AL159" s="126">
        <f t="shared" si="305"/>
        <v>1.6328818882753147</v>
      </c>
      <c r="AM159" s="126">
        <f t="shared" si="305"/>
        <v>1.6639066441525454</v>
      </c>
      <c r="AN159" s="126">
        <f t="shared" si="305"/>
        <v>1.6955208703914437</v>
      </c>
      <c r="AO159" s="126">
        <f t="shared" si="305"/>
        <v>1.7277357669288811</v>
      </c>
      <c r="AP159" s="126">
        <f t="shared" si="305"/>
        <v>1.7605627465005296</v>
      </c>
      <c r="AQ159" s="126">
        <f t="shared" si="305"/>
        <v>1.7940134386840394</v>
      </c>
      <c r="AR159" s="126">
        <f t="shared" si="305"/>
        <v>1.8280996940190359</v>
      </c>
      <c r="AS159" s="126">
        <f t="shared" si="305"/>
        <v>1.8628335882053975</v>
      </c>
      <c r="AT159" s="126">
        <f t="shared" si="305"/>
        <v>1.8982274263812999</v>
      </c>
      <c r="AU159" s="126">
        <f t="shared" si="305"/>
        <v>1.9342937474825443</v>
      </c>
      <c r="AV159" s="126">
        <f t="shared" si="305"/>
        <v>1.9710453286847125</v>
      </c>
      <c r="AW159" s="126">
        <f t="shared" si="305"/>
        <v>2.0084951899297216</v>
      </c>
      <c r="AX159" s="126">
        <f t="shared" si="305"/>
        <v>2.046656598538386</v>
      </c>
      <c r="AY159" s="126">
        <f t="shared" si="305"/>
        <v>2.0855430739106153</v>
      </c>
      <c r="AZ159" s="126">
        <f t="shared" si="305"/>
        <v>2.1251683923149169</v>
      </c>
      <c r="BA159" s="126">
        <f t="shared" si="305"/>
        <v>2.1655465917689001</v>
      </c>
      <c r="BB159" s="126">
        <f t="shared" ref="BB159:BC159" si="306">INDEX($C111:$BC111, MATCH(BB$125, $C$77:$BC$77,0))*BA159</f>
        <v>2.2066919770125089</v>
      </c>
      <c r="BC159" s="126">
        <f t="shared" si="306"/>
        <v>2.2486191245757463</v>
      </c>
      <c r="BD159" s="126">
        <f t="shared" ref="BD159" si="307">INDEX($C111:$BC111, MATCH(BD$125, $C$77:$BC$77,0))*BC159</f>
        <v>2.2913428879426854</v>
      </c>
    </row>
    <row r="160" spans="2:56">
      <c r="B160" s="6" t="str">
        <f t="shared" si="173"/>
        <v>Allied health-care visits</v>
      </c>
      <c r="D160" s="126">
        <f t="shared" ref="D160:H160" si="308">INDEX($C112:$AG112, MATCH(D$125, $C$77:$AG$77,0))*E160</f>
        <v>0.86414452553641208</v>
      </c>
      <c r="E160" s="126">
        <f t="shared" si="308"/>
        <v>0.88430671872330346</v>
      </c>
      <c r="F160" s="126">
        <f t="shared" si="308"/>
        <v>0.90493933557439987</v>
      </c>
      <c r="G160" s="126">
        <f t="shared" si="308"/>
        <v>0.92605335199999994</v>
      </c>
      <c r="H160" s="126">
        <f t="shared" si="308"/>
        <v>0.94765999999999995</v>
      </c>
      <c r="I160" s="126">
        <f t="shared" si="175"/>
        <v>0.98</v>
      </c>
      <c r="K160" s="123">
        <v>1</v>
      </c>
      <c r="M160" s="126">
        <f t="shared" si="176"/>
        <v>1.016</v>
      </c>
      <c r="N160" s="126">
        <f t="shared" ref="N160:BA160" si="309">INDEX($C112:$BC112, MATCH(N$125, $C$77:$BC$77,0))*M160</f>
        <v>1.0454639999999999</v>
      </c>
      <c r="O160" s="126">
        <f t="shared" si="309"/>
        <v>1.0693005791999999</v>
      </c>
      <c r="P160" s="126">
        <f t="shared" si="309"/>
        <v>1.0936806324057597</v>
      </c>
      <c r="Q160" s="126">
        <f t="shared" si="309"/>
        <v>1.1186165508246111</v>
      </c>
      <c r="R160" s="126">
        <f t="shared" si="309"/>
        <v>1.1441210081834121</v>
      </c>
      <c r="S160" s="126">
        <f t="shared" si="309"/>
        <v>1.1702069671699937</v>
      </c>
      <c r="T160" s="126">
        <f t="shared" si="309"/>
        <v>1.1968876860214694</v>
      </c>
      <c r="U160" s="126">
        <f t="shared" si="309"/>
        <v>1.2241767252627589</v>
      </c>
      <c r="V160" s="126">
        <f t="shared" si="309"/>
        <v>1.2520879545987498</v>
      </c>
      <c r="W160" s="126">
        <f t="shared" si="309"/>
        <v>1.2806355599636012</v>
      </c>
      <c r="X160" s="126">
        <f t="shared" si="309"/>
        <v>1.3098340507307713</v>
      </c>
      <c r="Y160" s="126">
        <f t="shared" si="309"/>
        <v>1.3396982670874329</v>
      </c>
      <c r="Z160" s="126">
        <f t="shared" si="309"/>
        <v>1.3702433875770264</v>
      </c>
      <c r="AA160" s="126">
        <f t="shared" si="309"/>
        <v>1.4014849368137825</v>
      </c>
      <c r="AB160" s="126">
        <f t="shared" si="309"/>
        <v>1.4334387933731367</v>
      </c>
      <c r="AC160" s="126">
        <f t="shared" si="309"/>
        <v>1.4661211978620441</v>
      </c>
      <c r="AD160" s="126">
        <f t="shared" si="309"/>
        <v>1.4995487611732985</v>
      </c>
      <c r="AE160" s="126">
        <f t="shared" si="309"/>
        <v>1.5337384729280497</v>
      </c>
      <c r="AF160" s="126">
        <f t="shared" si="309"/>
        <v>1.5687077101108091</v>
      </c>
      <c r="AG160" s="126">
        <f t="shared" si="309"/>
        <v>1.6044742459013355</v>
      </c>
      <c r="AH160" s="126">
        <f t="shared" si="309"/>
        <v>1.6410562587078859</v>
      </c>
      <c r="AI160" s="126">
        <f t="shared" si="309"/>
        <v>1.6784723414064255</v>
      </c>
      <c r="AJ160" s="126">
        <f t="shared" si="309"/>
        <v>1.716741510790492</v>
      </c>
      <c r="AK160" s="126">
        <f t="shared" si="309"/>
        <v>1.7558832172365151</v>
      </c>
      <c r="AL160" s="126">
        <f t="shared" si="309"/>
        <v>1.7959173545895075</v>
      </c>
      <c r="AM160" s="126">
        <f t="shared" si="309"/>
        <v>1.8368642702741482</v>
      </c>
      <c r="AN160" s="126">
        <f t="shared" si="309"/>
        <v>1.8787447756363986</v>
      </c>
      <c r="AO160" s="126">
        <f t="shared" si="309"/>
        <v>1.9215801565209083</v>
      </c>
      <c r="AP160" s="126">
        <f t="shared" si="309"/>
        <v>1.9653921840895849</v>
      </c>
      <c r="AQ160" s="126">
        <f t="shared" si="309"/>
        <v>2.0102031258868274</v>
      </c>
      <c r="AR160" s="126">
        <f t="shared" si="309"/>
        <v>2.0560357571570469</v>
      </c>
      <c r="AS160" s="126">
        <f t="shared" si="309"/>
        <v>2.1029133724202276</v>
      </c>
      <c r="AT160" s="126">
        <f t="shared" si="309"/>
        <v>2.1508597973114085</v>
      </c>
      <c r="AU160" s="126">
        <f t="shared" si="309"/>
        <v>2.1998994006901085</v>
      </c>
      <c r="AV160" s="126">
        <f t="shared" si="309"/>
        <v>2.2500571070258428</v>
      </c>
      <c r="AW160" s="126">
        <f t="shared" si="309"/>
        <v>2.3013584090660317</v>
      </c>
      <c r="AX160" s="126">
        <f t="shared" si="309"/>
        <v>2.3538293807927371</v>
      </c>
      <c r="AY160" s="126">
        <f t="shared" si="309"/>
        <v>2.4074966906748112</v>
      </c>
      <c r="AZ160" s="126">
        <f t="shared" si="309"/>
        <v>2.4623876152221968</v>
      </c>
      <c r="BA160" s="126">
        <f t="shared" si="309"/>
        <v>2.5185300528492629</v>
      </c>
      <c r="BB160" s="126">
        <f t="shared" ref="BB160:BC160" si="310">INDEX($C112:$BC112, MATCH(BB$125, $C$77:$BC$77,0))*BA160</f>
        <v>2.5759525380542261</v>
      </c>
      <c r="BC160" s="126">
        <f t="shared" si="310"/>
        <v>2.6346842559218624</v>
      </c>
      <c r="BD160" s="126">
        <f t="shared" ref="BD160" si="311">INDEX($C112:$BC112, MATCH(BD$125, $C$77:$BC$77,0))*BC160</f>
        <v>2.6947550569568808</v>
      </c>
    </row>
    <row r="161" spans="1:56">
      <c r="B161" s="6" t="str">
        <f t="shared" si="173"/>
        <v>Dressing pack</v>
      </c>
      <c r="D161" s="126">
        <f t="shared" ref="D161:H161" si="312">INDEX($C113:$AG113, MATCH(D$125, $C$77:$AG$77,0))*E161</f>
        <v>0.89400723846022712</v>
      </c>
      <c r="E161" s="126">
        <f t="shared" si="312"/>
        <v>0.91132236336414596</v>
      </c>
      <c r="F161" s="126">
        <f t="shared" si="312"/>
        <v>0.92897284746599995</v>
      </c>
      <c r="G161" s="126">
        <f t="shared" si="312"/>
        <v>0.94696518600000001</v>
      </c>
      <c r="H161" s="126">
        <f t="shared" si="312"/>
        <v>0.965306</v>
      </c>
      <c r="I161" s="126">
        <f t="shared" si="175"/>
        <v>0.98199999999999998</v>
      </c>
      <c r="K161" s="123">
        <v>1</v>
      </c>
      <c r="M161" s="126">
        <f t="shared" si="176"/>
        <v>1.0189999999999999</v>
      </c>
      <c r="N161" s="126">
        <f t="shared" ref="N161:BA161" si="313">INDEX($C113:$BC113, MATCH(N$125, $C$77:$BC$77,0))*M161</f>
        <v>1.03938</v>
      </c>
      <c r="O161" s="126">
        <f t="shared" si="313"/>
        <v>1.0591282199999998</v>
      </c>
      <c r="P161" s="126">
        <f t="shared" si="313"/>
        <v>1.0792516561799996</v>
      </c>
      <c r="Q161" s="126">
        <f t="shared" si="313"/>
        <v>1.0997574376474195</v>
      </c>
      <c r="R161" s="126">
        <f t="shared" si="313"/>
        <v>1.1206528289627204</v>
      </c>
      <c r="S161" s="126">
        <f t="shared" si="313"/>
        <v>1.141945232713012</v>
      </c>
      <c r="T161" s="126">
        <f t="shared" si="313"/>
        <v>1.163642192134559</v>
      </c>
      <c r="U161" s="126">
        <f t="shared" si="313"/>
        <v>1.1857513937851154</v>
      </c>
      <c r="V161" s="126">
        <f t="shared" si="313"/>
        <v>1.2082806702670326</v>
      </c>
      <c r="W161" s="126">
        <f t="shared" si="313"/>
        <v>1.2312380030021062</v>
      </c>
      <c r="X161" s="126">
        <f t="shared" si="313"/>
        <v>1.254631525059146</v>
      </c>
      <c r="Y161" s="126">
        <f t="shared" si="313"/>
        <v>1.2784695240352697</v>
      </c>
      <c r="Z161" s="126">
        <f t="shared" si="313"/>
        <v>1.3027604449919397</v>
      </c>
      <c r="AA161" s="126">
        <f t="shared" si="313"/>
        <v>1.3275128934467864</v>
      </c>
      <c r="AB161" s="126">
        <f t="shared" si="313"/>
        <v>1.3527356384222751</v>
      </c>
      <c r="AC161" s="126">
        <f t="shared" si="313"/>
        <v>1.3784376155522982</v>
      </c>
      <c r="AD161" s="126">
        <f t="shared" si="313"/>
        <v>1.4046279302477918</v>
      </c>
      <c r="AE161" s="126">
        <f t="shared" si="313"/>
        <v>1.4313158609224996</v>
      </c>
      <c r="AF161" s="126">
        <f t="shared" si="313"/>
        <v>1.4585108622800269</v>
      </c>
      <c r="AG161" s="126">
        <f t="shared" si="313"/>
        <v>1.4862225686633472</v>
      </c>
      <c r="AH161" s="126">
        <f t="shared" si="313"/>
        <v>1.5144607974679507</v>
      </c>
      <c r="AI161" s="126">
        <f t="shared" si="313"/>
        <v>1.5432355526198416</v>
      </c>
      <c r="AJ161" s="126">
        <f t="shared" si="313"/>
        <v>1.5725570281196184</v>
      </c>
      <c r="AK161" s="126">
        <f t="shared" si="313"/>
        <v>1.6024356116538909</v>
      </c>
      <c r="AL161" s="126">
        <f t="shared" si="313"/>
        <v>1.6328818882753147</v>
      </c>
      <c r="AM161" s="126">
        <f t="shared" si="313"/>
        <v>1.6639066441525454</v>
      </c>
      <c r="AN161" s="126">
        <f t="shared" si="313"/>
        <v>1.6955208703914437</v>
      </c>
      <c r="AO161" s="126">
        <f t="shared" si="313"/>
        <v>1.7277357669288811</v>
      </c>
      <c r="AP161" s="126">
        <f t="shared" si="313"/>
        <v>1.7605627465005296</v>
      </c>
      <c r="AQ161" s="126">
        <f t="shared" si="313"/>
        <v>1.7940134386840394</v>
      </c>
      <c r="AR161" s="126">
        <f t="shared" si="313"/>
        <v>1.8280996940190359</v>
      </c>
      <c r="AS161" s="126">
        <f t="shared" si="313"/>
        <v>1.8628335882053975</v>
      </c>
      <c r="AT161" s="126">
        <f t="shared" si="313"/>
        <v>1.8982274263812999</v>
      </c>
      <c r="AU161" s="126">
        <f t="shared" si="313"/>
        <v>1.9342937474825443</v>
      </c>
      <c r="AV161" s="126">
        <f t="shared" si="313"/>
        <v>1.9710453286847125</v>
      </c>
      <c r="AW161" s="126">
        <f t="shared" si="313"/>
        <v>2.0084951899297216</v>
      </c>
      <c r="AX161" s="126">
        <f t="shared" si="313"/>
        <v>2.046656598538386</v>
      </c>
      <c r="AY161" s="126">
        <f t="shared" si="313"/>
        <v>2.0855430739106153</v>
      </c>
      <c r="AZ161" s="126">
        <f t="shared" si="313"/>
        <v>2.1251683923149169</v>
      </c>
      <c r="BA161" s="126">
        <f t="shared" si="313"/>
        <v>2.1655465917689001</v>
      </c>
      <c r="BB161" s="126">
        <f t="shared" ref="BB161:BC161" si="314">INDEX($C113:$BC113, MATCH(BB$125, $C$77:$BC$77,0))*BA161</f>
        <v>2.2066919770125089</v>
      </c>
      <c r="BC161" s="126">
        <f t="shared" si="314"/>
        <v>2.2486191245757463</v>
      </c>
      <c r="BD161" s="126">
        <f t="shared" ref="BD161" si="315">INDEX($C113:$BC113, MATCH(BD$125, $C$77:$BC$77,0))*BC161</f>
        <v>2.2913428879426854</v>
      </c>
    </row>
    <row r="162" spans="1:56">
      <c r="B162" s="6" t="str">
        <f t="shared" si="173"/>
        <v>Saline</v>
      </c>
      <c r="D162" s="126">
        <f t="shared" ref="D162:H162" si="316">INDEX($C114:$AG114, MATCH(D$125, $C$77:$AG$77,0))*E162</f>
        <v>0.89400723846022712</v>
      </c>
      <c r="E162" s="126">
        <f t="shared" si="316"/>
        <v>0.91132236336414596</v>
      </c>
      <c r="F162" s="126">
        <f t="shared" si="316"/>
        <v>0.92897284746599995</v>
      </c>
      <c r="G162" s="126">
        <f t="shared" si="316"/>
        <v>0.94696518600000001</v>
      </c>
      <c r="H162" s="126">
        <f t="shared" si="316"/>
        <v>0.965306</v>
      </c>
      <c r="I162" s="126">
        <f t="shared" si="175"/>
        <v>0.98199999999999998</v>
      </c>
      <c r="K162" s="123">
        <v>1</v>
      </c>
      <c r="M162" s="126">
        <f t="shared" si="176"/>
        <v>1.0189999999999999</v>
      </c>
      <c r="N162" s="126">
        <f t="shared" ref="N162:BA162" si="317">INDEX($C114:$BC114, MATCH(N$125, $C$77:$BC$77,0))*M162</f>
        <v>1.03938</v>
      </c>
      <c r="O162" s="126">
        <f t="shared" si="317"/>
        <v>1.0591282199999998</v>
      </c>
      <c r="P162" s="126">
        <f t="shared" si="317"/>
        <v>1.0792516561799996</v>
      </c>
      <c r="Q162" s="126">
        <f t="shared" si="317"/>
        <v>1.0997574376474195</v>
      </c>
      <c r="R162" s="126">
        <f t="shared" si="317"/>
        <v>1.1206528289627204</v>
      </c>
      <c r="S162" s="126">
        <f t="shared" si="317"/>
        <v>1.141945232713012</v>
      </c>
      <c r="T162" s="126">
        <f t="shared" si="317"/>
        <v>1.163642192134559</v>
      </c>
      <c r="U162" s="126">
        <f t="shared" si="317"/>
        <v>1.1857513937851154</v>
      </c>
      <c r="V162" s="126">
        <f t="shared" si="317"/>
        <v>1.2082806702670326</v>
      </c>
      <c r="W162" s="126">
        <f t="shared" si="317"/>
        <v>1.2312380030021062</v>
      </c>
      <c r="X162" s="126">
        <f t="shared" si="317"/>
        <v>1.254631525059146</v>
      </c>
      <c r="Y162" s="126">
        <f t="shared" si="317"/>
        <v>1.2784695240352697</v>
      </c>
      <c r="Z162" s="126">
        <f t="shared" si="317"/>
        <v>1.3027604449919397</v>
      </c>
      <c r="AA162" s="126">
        <f t="shared" si="317"/>
        <v>1.3275128934467864</v>
      </c>
      <c r="AB162" s="126">
        <f t="shared" si="317"/>
        <v>1.3527356384222751</v>
      </c>
      <c r="AC162" s="126">
        <f t="shared" si="317"/>
        <v>1.3784376155522982</v>
      </c>
      <c r="AD162" s="126">
        <f t="shared" si="317"/>
        <v>1.4046279302477918</v>
      </c>
      <c r="AE162" s="126">
        <f t="shared" si="317"/>
        <v>1.4313158609224996</v>
      </c>
      <c r="AF162" s="126">
        <f t="shared" si="317"/>
        <v>1.4585108622800269</v>
      </c>
      <c r="AG162" s="126">
        <f t="shared" si="317"/>
        <v>1.4862225686633472</v>
      </c>
      <c r="AH162" s="126">
        <f t="shared" si="317"/>
        <v>1.5144607974679507</v>
      </c>
      <c r="AI162" s="126">
        <f t="shared" si="317"/>
        <v>1.5432355526198416</v>
      </c>
      <c r="AJ162" s="126">
        <f t="shared" si="317"/>
        <v>1.5725570281196184</v>
      </c>
      <c r="AK162" s="126">
        <f t="shared" si="317"/>
        <v>1.6024356116538909</v>
      </c>
      <c r="AL162" s="126">
        <f t="shared" si="317"/>
        <v>1.6328818882753147</v>
      </c>
      <c r="AM162" s="126">
        <f t="shared" si="317"/>
        <v>1.6639066441525454</v>
      </c>
      <c r="AN162" s="126">
        <f t="shared" si="317"/>
        <v>1.6955208703914437</v>
      </c>
      <c r="AO162" s="126">
        <f t="shared" si="317"/>
        <v>1.7277357669288811</v>
      </c>
      <c r="AP162" s="126">
        <f t="shared" si="317"/>
        <v>1.7605627465005296</v>
      </c>
      <c r="AQ162" s="126">
        <f t="shared" si="317"/>
        <v>1.7940134386840394</v>
      </c>
      <c r="AR162" s="126">
        <f t="shared" si="317"/>
        <v>1.8280996940190359</v>
      </c>
      <c r="AS162" s="126">
        <f t="shared" si="317"/>
        <v>1.8628335882053975</v>
      </c>
      <c r="AT162" s="126">
        <f t="shared" si="317"/>
        <v>1.8982274263812999</v>
      </c>
      <c r="AU162" s="126">
        <f t="shared" si="317"/>
        <v>1.9342937474825443</v>
      </c>
      <c r="AV162" s="126">
        <f t="shared" si="317"/>
        <v>1.9710453286847125</v>
      </c>
      <c r="AW162" s="126">
        <f t="shared" si="317"/>
        <v>2.0084951899297216</v>
      </c>
      <c r="AX162" s="126">
        <f t="shared" si="317"/>
        <v>2.046656598538386</v>
      </c>
      <c r="AY162" s="126">
        <f t="shared" si="317"/>
        <v>2.0855430739106153</v>
      </c>
      <c r="AZ162" s="126">
        <f t="shared" si="317"/>
        <v>2.1251683923149169</v>
      </c>
      <c r="BA162" s="126">
        <f t="shared" si="317"/>
        <v>2.1655465917689001</v>
      </c>
      <c r="BB162" s="126">
        <f t="shared" ref="BB162:BC162" si="318">INDEX($C114:$BC114, MATCH(BB$125, $C$77:$BC$77,0))*BA162</f>
        <v>2.2066919770125089</v>
      </c>
      <c r="BC162" s="126">
        <f t="shared" si="318"/>
        <v>2.2486191245757463</v>
      </c>
      <c r="BD162" s="126">
        <f t="shared" ref="BD162" si="319">INDEX($C114:$BC114, MATCH(BD$125, $C$77:$BC$77,0))*BC162</f>
        <v>2.2913428879426854</v>
      </c>
    </row>
    <row r="163" spans="1:56">
      <c r="B163" s="6" t="str">
        <f t="shared" si="173"/>
        <v>Wound Contact Layer</v>
      </c>
      <c r="D163" s="126">
        <f t="shared" ref="D163:H163" si="320">INDEX($C115:$AG115, MATCH(D$125, $C$77:$AG$77,0))*E163</f>
        <v>0.89400723846022712</v>
      </c>
      <c r="E163" s="126">
        <f t="shared" si="320"/>
        <v>0.91132236336414596</v>
      </c>
      <c r="F163" s="126">
        <f t="shared" si="320"/>
        <v>0.92897284746599995</v>
      </c>
      <c r="G163" s="126">
        <f t="shared" si="320"/>
        <v>0.94696518600000001</v>
      </c>
      <c r="H163" s="126">
        <f t="shared" si="320"/>
        <v>0.965306</v>
      </c>
      <c r="I163" s="126">
        <f t="shared" si="175"/>
        <v>0.98199999999999998</v>
      </c>
      <c r="K163" s="123">
        <v>1</v>
      </c>
      <c r="M163" s="126">
        <f t="shared" si="176"/>
        <v>1.0189999999999999</v>
      </c>
      <c r="N163" s="126">
        <f t="shared" ref="N163:BA163" si="321">INDEX($C115:$BC115, MATCH(N$125, $C$77:$BC$77,0))*M163</f>
        <v>1.03938</v>
      </c>
      <c r="O163" s="126">
        <f t="shared" si="321"/>
        <v>1.0591282199999998</v>
      </c>
      <c r="P163" s="126">
        <f t="shared" si="321"/>
        <v>1.0792516561799996</v>
      </c>
      <c r="Q163" s="126">
        <f t="shared" si="321"/>
        <v>1.0997574376474195</v>
      </c>
      <c r="R163" s="126">
        <f t="shared" si="321"/>
        <v>1.1206528289627204</v>
      </c>
      <c r="S163" s="126">
        <f t="shared" si="321"/>
        <v>1.141945232713012</v>
      </c>
      <c r="T163" s="126">
        <f t="shared" si="321"/>
        <v>1.163642192134559</v>
      </c>
      <c r="U163" s="126">
        <f t="shared" si="321"/>
        <v>1.1857513937851154</v>
      </c>
      <c r="V163" s="126">
        <f t="shared" si="321"/>
        <v>1.2082806702670326</v>
      </c>
      <c r="W163" s="126">
        <f t="shared" si="321"/>
        <v>1.2312380030021062</v>
      </c>
      <c r="X163" s="126">
        <f t="shared" si="321"/>
        <v>1.254631525059146</v>
      </c>
      <c r="Y163" s="126">
        <f t="shared" si="321"/>
        <v>1.2784695240352697</v>
      </c>
      <c r="Z163" s="126">
        <f t="shared" si="321"/>
        <v>1.3027604449919397</v>
      </c>
      <c r="AA163" s="126">
        <f t="shared" si="321"/>
        <v>1.3275128934467864</v>
      </c>
      <c r="AB163" s="126">
        <f t="shared" si="321"/>
        <v>1.3527356384222751</v>
      </c>
      <c r="AC163" s="126">
        <f t="shared" si="321"/>
        <v>1.3784376155522982</v>
      </c>
      <c r="AD163" s="126">
        <f t="shared" si="321"/>
        <v>1.4046279302477918</v>
      </c>
      <c r="AE163" s="126">
        <f t="shared" si="321"/>
        <v>1.4313158609224996</v>
      </c>
      <c r="AF163" s="126">
        <f t="shared" si="321"/>
        <v>1.4585108622800269</v>
      </c>
      <c r="AG163" s="126">
        <f t="shared" si="321"/>
        <v>1.4862225686633472</v>
      </c>
      <c r="AH163" s="126">
        <f t="shared" si="321"/>
        <v>1.5144607974679507</v>
      </c>
      <c r="AI163" s="126">
        <f t="shared" si="321"/>
        <v>1.5432355526198416</v>
      </c>
      <c r="AJ163" s="126">
        <f t="shared" si="321"/>
        <v>1.5725570281196184</v>
      </c>
      <c r="AK163" s="126">
        <f t="shared" si="321"/>
        <v>1.6024356116538909</v>
      </c>
      <c r="AL163" s="126">
        <f t="shared" si="321"/>
        <v>1.6328818882753147</v>
      </c>
      <c r="AM163" s="126">
        <f t="shared" si="321"/>
        <v>1.6639066441525454</v>
      </c>
      <c r="AN163" s="126">
        <f t="shared" si="321"/>
        <v>1.6955208703914437</v>
      </c>
      <c r="AO163" s="126">
        <f t="shared" si="321"/>
        <v>1.7277357669288811</v>
      </c>
      <c r="AP163" s="126">
        <f t="shared" si="321"/>
        <v>1.7605627465005296</v>
      </c>
      <c r="AQ163" s="126">
        <f t="shared" si="321"/>
        <v>1.7940134386840394</v>
      </c>
      <c r="AR163" s="126">
        <f t="shared" si="321"/>
        <v>1.8280996940190359</v>
      </c>
      <c r="AS163" s="126">
        <f t="shared" si="321"/>
        <v>1.8628335882053975</v>
      </c>
      <c r="AT163" s="126">
        <f t="shared" si="321"/>
        <v>1.8982274263812999</v>
      </c>
      <c r="AU163" s="126">
        <f t="shared" si="321"/>
        <v>1.9342937474825443</v>
      </c>
      <c r="AV163" s="126">
        <f t="shared" si="321"/>
        <v>1.9710453286847125</v>
      </c>
      <c r="AW163" s="126">
        <f t="shared" si="321"/>
        <v>2.0084951899297216</v>
      </c>
      <c r="AX163" s="126">
        <f t="shared" si="321"/>
        <v>2.046656598538386</v>
      </c>
      <c r="AY163" s="126">
        <f t="shared" si="321"/>
        <v>2.0855430739106153</v>
      </c>
      <c r="AZ163" s="126">
        <f t="shared" si="321"/>
        <v>2.1251683923149169</v>
      </c>
      <c r="BA163" s="126">
        <f t="shared" si="321"/>
        <v>2.1655465917689001</v>
      </c>
      <c r="BB163" s="126">
        <f t="shared" ref="BB163:BC163" si="322">INDEX($C115:$BC115, MATCH(BB$125, $C$77:$BC$77,0))*BA163</f>
        <v>2.2066919770125089</v>
      </c>
      <c r="BC163" s="126">
        <f t="shared" si="322"/>
        <v>2.2486191245757463</v>
      </c>
      <c r="BD163" s="126">
        <f t="shared" ref="BD163" si="323">INDEX($C115:$BC115, MATCH(BD$125, $C$77:$BC$77,0))*BC163</f>
        <v>2.2913428879426854</v>
      </c>
    </row>
    <row r="164" spans="1:56" ht="29">
      <c r="B164" s="6" t="str">
        <f t="shared" si="173"/>
        <v>Foam Adhesive dressing (sub-optimal)</v>
      </c>
      <c r="D164" s="126">
        <f t="shared" ref="D164:H164" si="324">INDEX($C116:$AG116, MATCH(D$125, $C$77:$AG$77,0))*E164</f>
        <v>0.89400723846022712</v>
      </c>
      <c r="E164" s="126">
        <f t="shared" si="324"/>
        <v>0.91132236336414596</v>
      </c>
      <c r="F164" s="126">
        <f t="shared" si="324"/>
        <v>0.92897284746599995</v>
      </c>
      <c r="G164" s="126">
        <f t="shared" si="324"/>
        <v>0.94696518600000001</v>
      </c>
      <c r="H164" s="126">
        <f t="shared" si="324"/>
        <v>0.965306</v>
      </c>
      <c r="I164" s="126">
        <f t="shared" si="175"/>
        <v>0.98199999999999998</v>
      </c>
      <c r="K164" s="123">
        <v>1</v>
      </c>
      <c r="M164" s="126">
        <f t="shared" si="176"/>
        <v>1.0189999999999999</v>
      </c>
      <c r="N164" s="126">
        <f t="shared" ref="N164:BA164" si="325">INDEX($C116:$BC116, MATCH(N$125, $C$77:$BC$77,0))*M164</f>
        <v>1.03938</v>
      </c>
      <c r="O164" s="126">
        <f t="shared" si="325"/>
        <v>1.0591282199999998</v>
      </c>
      <c r="P164" s="126">
        <f t="shared" si="325"/>
        <v>1.0792516561799996</v>
      </c>
      <c r="Q164" s="126">
        <f t="shared" si="325"/>
        <v>1.0997574376474195</v>
      </c>
      <c r="R164" s="126">
        <f t="shared" si="325"/>
        <v>1.1206528289627204</v>
      </c>
      <c r="S164" s="126">
        <f t="shared" si="325"/>
        <v>1.141945232713012</v>
      </c>
      <c r="T164" s="126">
        <f t="shared" si="325"/>
        <v>1.163642192134559</v>
      </c>
      <c r="U164" s="126">
        <f t="shared" si="325"/>
        <v>1.1857513937851154</v>
      </c>
      <c r="V164" s="126">
        <f t="shared" si="325"/>
        <v>1.2082806702670326</v>
      </c>
      <c r="W164" s="126">
        <f t="shared" si="325"/>
        <v>1.2312380030021062</v>
      </c>
      <c r="X164" s="126">
        <f t="shared" si="325"/>
        <v>1.254631525059146</v>
      </c>
      <c r="Y164" s="126">
        <f t="shared" si="325"/>
        <v>1.2784695240352697</v>
      </c>
      <c r="Z164" s="126">
        <f t="shared" si="325"/>
        <v>1.3027604449919397</v>
      </c>
      <c r="AA164" s="126">
        <f t="shared" si="325"/>
        <v>1.3275128934467864</v>
      </c>
      <c r="AB164" s="126">
        <f t="shared" si="325"/>
        <v>1.3527356384222751</v>
      </c>
      <c r="AC164" s="126">
        <f t="shared" si="325"/>
        <v>1.3784376155522982</v>
      </c>
      <c r="AD164" s="126">
        <f t="shared" si="325"/>
        <v>1.4046279302477918</v>
      </c>
      <c r="AE164" s="126">
        <f t="shared" si="325"/>
        <v>1.4313158609224996</v>
      </c>
      <c r="AF164" s="126">
        <f t="shared" si="325"/>
        <v>1.4585108622800269</v>
      </c>
      <c r="AG164" s="126">
        <f t="shared" si="325"/>
        <v>1.4862225686633472</v>
      </c>
      <c r="AH164" s="126">
        <f t="shared" si="325"/>
        <v>1.5144607974679507</v>
      </c>
      <c r="AI164" s="126">
        <f t="shared" si="325"/>
        <v>1.5432355526198416</v>
      </c>
      <c r="AJ164" s="126">
        <f t="shared" si="325"/>
        <v>1.5725570281196184</v>
      </c>
      <c r="AK164" s="126">
        <f t="shared" si="325"/>
        <v>1.6024356116538909</v>
      </c>
      <c r="AL164" s="126">
        <f t="shared" si="325"/>
        <v>1.6328818882753147</v>
      </c>
      <c r="AM164" s="126">
        <f t="shared" si="325"/>
        <v>1.6639066441525454</v>
      </c>
      <c r="AN164" s="126">
        <f t="shared" si="325"/>
        <v>1.6955208703914437</v>
      </c>
      <c r="AO164" s="126">
        <f t="shared" si="325"/>
        <v>1.7277357669288811</v>
      </c>
      <c r="AP164" s="126">
        <f t="shared" si="325"/>
        <v>1.7605627465005296</v>
      </c>
      <c r="AQ164" s="126">
        <f t="shared" si="325"/>
        <v>1.7940134386840394</v>
      </c>
      <c r="AR164" s="126">
        <f t="shared" si="325"/>
        <v>1.8280996940190359</v>
      </c>
      <c r="AS164" s="126">
        <f t="shared" si="325"/>
        <v>1.8628335882053975</v>
      </c>
      <c r="AT164" s="126">
        <f t="shared" si="325"/>
        <v>1.8982274263812999</v>
      </c>
      <c r="AU164" s="126">
        <f t="shared" si="325"/>
        <v>1.9342937474825443</v>
      </c>
      <c r="AV164" s="126">
        <f t="shared" si="325"/>
        <v>1.9710453286847125</v>
      </c>
      <c r="AW164" s="126">
        <f t="shared" si="325"/>
        <v>2.0084951899297216</v>
      </c>
      <c r="AX164" s="126">
        <f t="shared" si="325"/>
        <v>2.046656598538386</v>
      </c>
      <c r="AY164" s="126">
        <f t="shared" si="325"/>
        <v>2.0855430739106153</v>
      </c>
      <c r="AZ164" s="126">
        <f t="shared" si="325"/>
        <v>2.1251683923149169</v>
      </c>
      <c r="BA164" s="126">
        <f t="shared" si="325"/>
        <v>2.1655465917689001</v>
      </c>
      <c r="BB164" s="126">
        <f t="shared" ref="BB164:BC164" si="326">INDEX($C116:$BC116, MATCH(BB$125, $C$77:$BC$77,0))*BA164</f>
        <v>2.2066919770125089</v>
      </c>
      <c r="BC164" s="126">
        <f t="shared" si="326"/>
        <v>2.2486191245757463</v>
      </c>
      <c r="BD164" s="126">
        <f t="shared" ref="BD164" si="327">INDEX($C116:$BC116, MATCH(BD$125, $C$77:$BC$77,0))*BC164</f>
        <v>2.2913428879426854</v>
      </c>
    </row>
    <row r="165" spans="1:56">
      <c r="B165" s="6" t="str">
        <f t="shared" si="173"/>
        <v>Compression bandaging 4-layer</v>
      </c>
      <c r="D165" s="126">
        <f t="shared" ref="D165:H166" si="328">INDEX($C117:$AG117, MATCH(D$125, $C$77:$AG$77,0))*E165</f>
        <v>0.89400723846022712</v>
      </c>
      <c r="E165" s="126">
        <f t="shared" si="328"/>
        <v>0.91132236336414596</v>
      </c>
      <c r="F165" s="126">
        <f t="shared" si="328"/>
        <v>0.92897284746599995</v>
      </c>
      <c r="G165" s="126">
        <f t="shared" si="328"/>
        <v>0.94696518600000001</v>
      </c>
      <c r="H165" s="126">
        <f t="shared" si="328"/>
        <v>0.965306</v>
      </c>
      <c r="I165" s="126">
        <f t="shared" si="175"/>
        <v>0.98199999999999998</v>
      </c>
      <c r="K165" s="123">
        <v>1</v>
      </c>
      <c r="M165" s="126">
        <f t="shared" si="176"/>
        <v>1.0189999999999999</v>
      </c>
      <c r="N165" s="126">
        <f t="shared" ref="N165:BA165" si="329">INDEX($C117:$BC117, MATCH(N$125, $C$77:$BC$77,0))*M165</f>
        <v>1.03938</v>
      </c>
      <c r="O165" s="126">
        <f t="shared" si="329"/>
        <v>1.0591282199999998</v>
      </c>
      <c r="P165" s="126">
        <f t="shared" si="329"/>
        <v>1.0792516561799996</v>
      </c>
      <c r="Q165" s="126">
        <f t="shared" si="329"/>
        <v>1.0997574376474195</v>
      </c>
      <c r="R165" s="126">
        <f t="shared" si="329"/>
        <v>1.1206528289627204</v>
      </c>
      <c r="S165" s="126">
        <f t="shared" si="329"/>
        <v>1.141945232713012</v>
      </c>
      <c r="T165" s="126">
        <f t="shared" si="329"/>
        <v>1.163642192134559</v>
      </c>
      <c r="U165" s="126">
        <f t="shared" si="329"/>
        <v>1.1857513937851154</v>
      </c>
      <c r="V165" s="126">
        <f t="shared" si="329"/>
        <v>1.2082806702670326</v>
      </c>
      <c r="W165" s="126">
        <f t="shared" si="329"/>
        <v>1.2312380030021062</v>
      </c>
      <c r="X165" s="126">
        <f t="shared" si="329"/>
        <v>1.254631525059146</v>
      </c>
      <c r="Y165" s="126">
        <f t="shared" si="329"/>
        <v>1.2784695240352697</v>
      </c>
      <c r="Z165" s="126">
        <f t="shared" si="329"/>
        <v>1.3027604449919397</v>
      </c>
      <c r="AA165" s="126">
        <f t="shared" si="329"/>
        <v>1.3275128934467864</v>
      </c>
      <c r="AB165" s="126">
        <f t="shared" si="329"/>
        <v>1.3527356384222751</v>
      </c>
      <c r="AC165" s="126">
        <f t="shared" si="329"/>
        <v>1.3784376155522982</v>
      </c>
      <c r="AD165" s="126">
        <f t="shared" si="329"/>
        <v>1.4046279302477918</v>
      </c>
      <c r="AE165" s="126">
        <f t="shared" si="329"/>
        <v>1.4313158609224996</v>
      </c>
      <c r="AF165" s="126">
        <f t="shared" si="329"/>
        <v>1.4585108622800269</v>
      </c>
      <c r="AG165" s="126">
        <f t="shared" si="329"/>
        <v>1.4862225686633472</v>
      </c>
      <c r="AH165" s="126">
        <f t="shared" si="329"/>
        <v>1.5144607974679507</v>
      </c>
      <c r="AI165" s="126">
        <f t="shared" si="329"/>
        <v>1.5432355526198416</v>
      </c>
      <c r="AJ165" s="126">
        <f t="shared" si="329"/>
        <v>1.5725570281196184</v>
      </c>
      <c r="AK165" s="126">
        <f t="shared" si="329"/>
        <v>1.6024356116538909</v>
      </c>
      <c r="AL165" s="126">
        <f t="shared" si="329"/>
        <v>1.6328818882753147</v>
      </c>
      <c r="AM165" s="126">
        <f t="shared" si="329"/>
        <v>1.6639066441525454</v>
      </c>
      <c r="AN165" s="126">
        <f t="shared" si="329"/>
        <v>1.6955208703914437</v>
      </c>
      <c r="AO165" s="126">
        <f t="shared" si="329"/>
        <v>1.7277357669288811</v>
      </c>
      <c r="AP165" s="126">
        <f t="shared" si="329"/>
        <v>1.7605627465005296</v>
      </c>
      <c r="AQ165" s="126">
        <f t="shared" si="329"/>
        <v>1.7940134386840394</v>
      </c>
      <c r="AR165" s="126">
        <f t="shared" si="329"/>
        <v>1.8280996940190359</v>
      </c>
      <c r="AS165" s="126">
        <f t="shared" si="329"/>
        <v>1.8628335882053975</v>
      </c>
      <c r="AT165" s="126">
        <f t="shared" si="329"/>
        <v>1.8982274263812999</v>
      </c>
      <c r="AU165" s="126">
        <f t="shared" si="329"/>
        <v>1.9342937474825443</v>
      </c>
      <c r="AV165" s="126">
        <f t="shared" si="329"/>
        <v>1.9710453286847125</v>
      </c>
      <c r="AW165" s="126">
        <f t="shared" si="329"/>
        <v>2.0084951899297216</v>
      </c>
      <c r="AX165" s="126">
        <f t="shared" si="329"/>
        <v>2.046656598538386</v>
      </c>
      <c r="AY165" s="126">
        <f t="shared" si="329"/>
        <v>2.0855430739106153</v>
      </c>
      <c r="AZ165" s="126">
        <f t="shared" si="329"/>
        <v>2.1251683923149169</v>
      </c>
      <c r="BA165" s="126">
        <f t="shared" si="329"/>
        <v>2.1655465917689001</v>
      </c>
      <c r="BB165" s="126">
        <f t="shared" ref="BB165:BC165" si="330">INDEX($C117:$BC117, MATCH(BB$125, $C$77:$BC$77,0))*BA165</f>
        <v>2.2066919770125089</v>
      </c>
      <c r="BC165" s="126">
        <f t="shared" si="330"/>
        <v>2.2486191245757463</v>
      </c>
      <c r="BD165" s="126">
        <f t="shared" ref="BD165" si="331">INDEX($C117:$BC117, MATCH(BD$125, $C$77:$BC$77,0))*BC165</f>
        <v>2.2913428879426854</v>
      </c>
    </row>
    <row r="166" spans="1:56">
      <c r="B166" s="6" t="str">
        <f t="shared" si="173"/>
        <v>Specialist nurse visits</v>
      </c>
      <c r="D166" s="126">
        <f t="shared" si="328"/>
        <v>0.86414452553641208</v>
      </c>
      <c r="E166" s="126">
        <f t="shared" si="328"/>
        <v>0.88430671872330346</v>
      </c>
      <c r="F166" s="126">
        <f t="shared" si="328"/>
        <v>0.90493933557439987</v>
      </c>
      <c r="G166" s="126">
        <f t="shared" si="328"/>
        <v>0.92605335199999994</v>
      </c>
      <c r="H166" s="126">
        <f t="shared" si="328"/>
        <v>0.94765999999999995</v>
      </c>
      <c r="I166" s="126">
        <f t="shared" ref="I166" si="332">INDEX($C118:$AG118, MATCH(I$125, $C$77:$AG$77,0))*K166</f>
        <v>0.98</v>
      </c>
      <c r="K166" s="123">
        <v>1</v>
      </c>
      <c r="M166" s="126">
        <f t="shared" si="176"/>
        <v>1.016</v>
      </c>
      <c r="N166" s="126">
        <f t="shared" ref="N166:BA166" si="333">INDEX($C118:$BC118, MATCH(N$125, $C$77:$BC$77,0))*M166</f>
        <v>1.0454639999999999</v>
      </c>
      <c r="O166" s="126">
        <f t="shared" si="333"/>
        <v>1.0693005791999999</v>
      </c>
      <c r="P166" s="126">
        <f t="shared" si="333"/>
        <v>1.0936806324057597</v>
      </c>
      <c r="Q166" s="126">
        <f t="shared" si="333"/>
        <v>1.1186165508246111</v>
      </c>
      <c r="R166" s="126">
        <f t="shared" si="333"/>
        <v>1.1441210081834121</v>
      </c>
      <c r="S166" s="126">
        <f t="shared" si="333"/>
        <v>1.1702069671699937</v>
      </c>
      <c r="T166" s="126">
        <f t="shared" si="333"/>
        <v>1.1968876860214694</v>
      </c>
      <c r="U166" s="126">
        <f t="shared" si="333"/>
        <v>1.2241767252627589</v>
      </c>
      <c r="V166" s="126">
        <f t="shared" si="333"/>
        <v>1.2520879545987498</v>
      </c>
      <c r="W166" s="126">
        <f t="shared" si="333"/>
        <v>1.2806355599636012</v>
      </c>
      <c r="X166" s="126">
        <f t="shared" si="333"/>
        <v>1.3098340507307713</v>
      </c>
      <c r="Y166" s="126">
        <f t="shared" si="333"/>
        <v>1.3396982670874329</v>
      </c>
      <c r="Z166" s="126">
        <f t="shared" si="333"/>
        <v>1.3702433875770264</v>
      </c>
      <c r="AA166" s="126">
        <f t="shared" si="333"/>
        <v>1.4014849368137825</v>
      </c>
      <c r="AB166" s="126">
        <f t="shared" si="333"/>
        <v>1.4334387933731367</v>
      </c>
      <c r="AC166" s="126">
        <f t="shared" si="333"/>
        <v>1.4661211978620441</v>
      </c>
      <c r="AD166" s="126">
        <f t="shared" si="333"/>
        <v>1.4995487611732985</v>
      </c>
      <c r="AE166" s="126">
        <f t="shared" si="333"/>
        <v>1.5337384729280497</v>
      </c>
      <c r="AF166" s="126">
        <f t="shared" si="333"/>
        <v>1.5687077101108091</v>
      </c>
      <c r="AG166" s="126">
        <f t="shared" si="333"/>
        <v>1.6044742459013355</v>
      </c>
      <c r="AH166" s="126">
        <f t="shared" si="333"/>
        <v>1.6410562587078859</v>
      </c>
      <c r="AI166" s="126">
        <f t="shared" si="333"/>
        <v>1.6784723414064255</v>
      </c>
      <c r="AJ166" s="126">
        <f t="shared" si="333"/>
        <v>1.716741510790492</v>
      </c>
      <c r="AK166" s="126">
        <f t="shared" si="333"/>
        <v>1.7558832172365151</v>
      </c>
      <c r="AL166" s="126">
        <f t="shared" si="333"/>
        <v>1.7959173545895075</v>
      </c>
      <c r="AM166" s="126">
        <f t="shared" si="333"/>
        <v>1.8368642702741482</v>
      </c>
      <c r="AN166" s="126">
        <f t="shared" si="333"/>
        <v>1.8787447756363986</v>
      </c>
      <c r="AO166" s="126">
        <f t="shared" si="333"/>
        <v>1.9215801565209083</v>
      </c>
      <c r="AP166" s="126">
        <f t="shared" si="333"/>
        <v>1.9653921840895849</v>
      </c>
      <c r="AQ166" s="126">
        <f t="shared" si="333"/>
        <v>2.0102031258868274</v>
      </c>
      <c r="AR166" s="126">
        <f t="shared" si="333"/>
        <v>2.0560357571570469</v>
      </c>
      <c r="AS166" s="126">
        <f t="shared" si="333"/>
        <v>2.1029133724202276</v>
      </c>
      <c r="AT166" s="126">
        <f t="shared" si="333"/>
        <v>2.1508597973114085</v>
      </c>
      <c r="AU166" s="126">
        <f t="shared" si="333"/>
        <v>2.1998994006901085</v>
      </c>
      <c r="AV166" s="126">
        <f t="shared" si="333"/>
        <v>2.2500571070258428</v>
      </c>
      <c r="AW166" s="126">
        <f t="shared" si="333"/>
        <v>2.3013584090660317</v>
      </c>
      <c r="AX166" s="126">
        <f t="shared" si="333"/>
        <v>2.3538293807927371</v>
      </c>
      <c r="AY166" s="126">
        <f t="shared" si="333"/>
        <v>2.4074966906748112</v>
      </c>
      <c r="AZ166" s="126">
        <f t="shared" si="333"/>
        <v>2.4623876152221968</v>
      </c>
      <c r="BA166" s="126">
        <f t="shared" si="333"/>
        <v>2.5185300528492629</v>
      </c>
      <c r="BB166" s="126">
        <f t="shared" ref="BB166:BC166" si="334">INDEX($C118:$BC118, MATCH(BB$125, $C$77:$BC$77,0))*BA166</f>
        <v>2.5759525380542261</v>
      </c>
      <c r="BC166" s="126">
        <f t="shared" si="334"/>
        <v>2.6346842559218624</v>
      </c>
      <c r="BD166" s="126">
        <f t="shared" ref="BD166" si="335">INDEX($C118:$BC118, MATCH(BD$125, $C$77:$BC$77,0))*BC166</f>
        <v>2.6947550569568808</v>
      </c>
    </row>
    <row r="167" spans="1:56">
      <c r="B167" s="52"/>
      <c r="D167" s="375"/>
      <c r="E167" s="375"/>
      <c r="F167" s="375"/>
      <c r="G167" s="375"/>
      <c r="H167" s="375"/>
      <c r="I167" s="375"/>
      <c r="M167" s="375"/>
      <c r="N167" s="375"/>
      <c r="O167" s="375"/>
      <c r="P167" s="375"/>
      <c r="Q167" s="375"/>
      <c r="R167" s="375"/>
      <c r="S167" s="375"/>
      <c r="T167" s="375"/>
      <c r="U167" s="375"/>
      <c r="V167" s="375"/>
      <c r="W167" s="375"/>
      <c r="X167" s="375"/>
      <c r="Y167" s="375"/>
      <c r="Z167" s="375"/>
      <c r="AA167" s="375"/>
      <c r="AB167" s="375"/>
      <c r="AC167" s="375"/>
      <c r="AD167" s="375"/>
      <c r="AE167" s="375"/>
      <c r="AF167" s="375"/>
      <c r="AG167" s="375"/>
      <c r="AH167" s="375"/>
      <c r="AI167" s="375"/>
      <c r="AJ167" s="375"/>
      <c r="AK167" s="375"/>
      <c r="AL167" s="375"/>
      <c r="AM167" s="375"/>
      <c r="AN167" s="375"/>
    </row>
    <row r="169" spans="1:56" s="588" customFormat="1">
      <c r="A169" s="593" t="s">
        <v>2470</v>
      </c>
      <c r="B169" s="593" t="s">
        <v>2473</v>
      </c>
    </row>
    <row r="170" spans="1:56">
      <c r="A170" s="9"/>
      <c r="B170" s="9"/>
    </row>
    <row r="171" spans="1:56">
      <c r="A171" s="9" t="s">
        <v>2472</v>
      </c>
      <c r="B171" s="9" t="s">
        <v>177</v>
      </c>
    </row>
    <row r="172" spans="1:56">
      <c r="A172" s="9"/>
      <c r="B172" s="151" t="s">
        <v>3413</v>
      </c>
    </row>
    <row r="173" spans="1:56">
      <c r="B173" s="117" t="s">
        <v>178</v>
      </c>
      <c r="C173" s="134">
        <f>'Resource costs'!D118</f>
        <v>2018</v>
      </c>
    </row>
    <row r="175" spans="1:56">
      <c r="B175" s="7" t="s">
        <v>125</v>
      </c>
      <c r="C175" s="7">
        <f t="shared" ref="C175:AG175" si="336">C12</f>
        <v>2010</v>
      </c>
      <c r="D175" s="7">
        <f t="shared" si="336"/>
        <v>2011</v>
      </c>
      <c r="E175" s="7">
        <f t="shared" si="336"/>
        <v>2012</v>
      </c>
      <c r="F175" s="7">
        <f t="shared" si="336"/>
        <v>2013</v>
      </c>
      <c r="G175" s="7">
        <f t="shared" si="336"/>
        <v>2014</v>
      </c>
      <c r="H175" s="7">
        <f t="shared" si="336"/>
        <v>2015</v>
      </c>
      <c r="I175" s="7">
        <f t="shared" si="336"/>
        <v>2016</v>
      </c>
      <c r="J175" s="7">
        <f t="shared" si="336"/>
        <v>2017</v>
      </c>
      <c r="K175" s="7">
        <f t="shared" si="336"/>
        <v>2018</v>
      </c>
      <c r="L175" s="7">
        <f t="shared" si="336"/>
        <v>2019</v>
      </c>
      <c r="M175" s="7">
        <f t="shared" si="336"/>
        <v>2020</v>
      </c>
      <c r="N175" s="7">
        <f t="shared" si="336"/>
        <v>2021</v>
      </c>
      <c r="O175" s="7">
        <f t="shared" si="336"/>
        <v>2022</v>
      </c>
      <c r="P175" s="7">
        <f t="shared" si="336"/>
        <v>2023</v>
      </c>
      <c r="Q175" s="7">
        <f t="shared" si="336"/>
        <v>2024</v>
      </c>
      <c r="R175" s="7">
        <f t="shared" si="336"/>
        <v>2025</v>
      </c>
      <c r="S175" s="7">
        <f t="shared" si="336"/>
        <v>2026</v>
      </c>
      <c r="T175" s="7">
        <f t="shared" si="336"/>
        <v>2027</v>
      </c>
      <c r="U175" s="7">
        <f t="shared" si="336"/>
        <v>2028</v>
      </c>
      <c r="V175" s="7">
        <f t="shared" si="336"/>
        <v>2029</v>
      </c>
      <c r="W175" s="7">
        <f t="shared" si="336"/>
        <v>2030</v>
      </c>
      <c r="X175" s="7">
        <f t="shared" si="336"/>
        <v>2031</v>
      </c>
      <c r="Y175" s="7">
        <f t="shared" si="336"/>
        <v>2032</v>
      </c>
      <c r="Z175" s="7">
        <f t="shared" si="336"/>
        <v>2033</v>
      </c>
      <c r="AA175" s="7">
        <f t="shared" si="336"/>
        <v>2034</v>
      </c>
      <c r="AB175" s="7">
        <f t="shared" si="336"/>
        <v>2035</v>
      </c>
      <c r="AC175" s="7">
        <f t="shared" si="336"/>
        <v>2036</v>
      </c>
      <c r="AD175" s="7">
        <f t="shared" si="336"/>
        <v>2037</v>
      </c>
      <c r="AE175" s="7">
        <f t="shared" si="336"/>
        <v>2038</v>
      </c>
      <c r="AF175" s="7">
        <f t="shared" si="336"/>
        <v>2039</v>
      </c>
      <c r="AG175" s="7">
        <f t="shared" si="336"/>
        <v>2040</v>
      </c>
      <c r="AH175" s="7">
        <f t="shared" ref="AH175:AQ175" si="337">AH12</f>
        <v>2041</v>
      </c>
      <c r="AI175" s="7">
        <f t="shared" si="337"/>
        <v>2042</v>
      </c>
      <c r="AJ175" s="7">
        <f t="shared" si="337"/>
        <v>2043</v>
      </c>
      <c r="AK175" s="7">
        <f t="shared" si="337"/>
        <v>2044</v>
      </c>
      <c r="AL175" s="7">
        <f t="shared" si="337"/>
        <v>2045</v>
      </c>
      <c r="AM175" s="7">
        <f t="shared" si="337"/>
        <v>2046</v>
      </c>
      <c r="AN175" s="7">
        <f t="shared" si="337"/>
        <v>2047</v>
      </c>
      <c r="AO175" s="7">
        <f t="shared" si="337"/>
        <v>2048</v>
      </c>
      <c r="AP175" s="7">
        <f t="shared" si="337"/>
        <v>2049</v>
      </c>
      <c r="AQ175" s="7">
        <f t="shared" si="337"/>
        <v>2050</v>
      </c>
      <c r="AR175" s="7">
        <f t="shared" ref="AR175:BB175" si="338">AR12</f>
        <v>2051</v>
      </c>
      <c r="AS175" s="7">
        <f t="shared" si="338"/>
        <v>2052</v>
      </c>
      <c r="AT175" s="7">
        <f t="shared" si="338"/>
        <v>2053</v>
      </c>
      <c r="AU175" s="7">
        <f t="shared" si="338"/>
        <v>2054</v>
      </c>
      <c r="AV175" s="7">
        <f t="shared" si="338"/>
        <v>2055</v>
      </c>
      <c r="AW175" s="7">
        <f t="shared" si="338"/>
        <v>2056</v>
      </c>
      <c r="AX175" s="7">
        <f t="shared" si="338"/>
        <v>2057</v>
      </c>
      <c r="AY175" s="7">
        <f t="shared" si="338"/>
        <v>2058</v>
      </c>
      <c r="AZ175" s="7">
        <f t="shared" si="338"/>
        <v>2059</v>
      </c>
      <c r="BA175" s="7">
        <f t="shared" si="338"/>
        <v>2060</v>
      </c>
      <c r="BB175" s="7">
        <f t="shared" si="338"/>
        <v>2061</v>
      </c>
      <c r="BC175" s="7">
        <f t="shared" ref="BC175" si="339">BC12</f>
        <v>2062</v>
      </c>
    </row>
    <row r="176" spans="1:56">
      <c r="B176" s="6" t="str">
        <f t="shared" ref="B176:B216" si="340">B126</f>
        <v>Amputations</v>
      </c>
      <c r="C176" s="126">
        <f t="shared" ref="C176:AG176" si="341">(IF(C$175&lt;$C$173, -1, 1) *D27)+1</f>
        <v>0.98099999999999998</v>
      </c>
      <c r="D176" s="126">
        <f t="shared" si="341"/>
        <v>0.98099999999999998</v>
      </c>
      <c r="E176" s="126">
        <f t="shared" si="341"/>
        <v>0.98099999999999998</v>
      </c>
      <c r="F176" s="126">
        <f t="shared" si="341"/>
        <v>0.98099999999999998</v>
      </c>
      <c r="G176" s="126">
        <f t="shared" si="341"/>
        <v>0.98099999999999998</v>
      </c>
      <c r="H176" s="126">
        <f t="shared" si="341"/>
        <v>0.98099999999999998</v>
      </c>
      <c r="I176" s="126">
        <f t="shared" si="341"/>
        <v>0.98299999999999998</v>
      </c>
      <c r="J176" s="126">
        <f t="shared" si="341"/>
        <v>0.98199999999999998</v>
      </c>
      <c r="K176" s="126">
        <f t="shared" si="341"/>
        <v>1.0209999999999999</v>
      </c>
      <c r="L176" s="126">
        <f t="shared" si="341"/>
        <v>1.0189999999999999</v>
      </c>
      <c r="M176" s="126">
        <f t="shared" si="341"/>
        <v>1.02</v>
      </c>
      <c r="N176" s="126">
        <f t="shared" si="341"/>
        <v>1.0189999999999999</v>
      </c>
      <c r="O176" s="126">
        <f t="shared" si="341"/>
        <v>1.0189999999999999</v>
      </c>
      <c r="P176" s="126">
        <f t="shared" si="341"/>
        <v>1.0189999999999999</v>
      </c>
      <c r="Q176" s="126">
        <f t="shared" si="341"/>
        <v>1.0189999999999999</v>
      </c>
      <c r="R176" s="126">
        <f t="shared" si="341"/>
        <v>1.0189999999999999</v>
      </c>
      <c r="S176" s="126">
        <f t="shared" si="341"/>
        <v>1.0189999999999999</v>
      </c>
      <c r="T176" s="126">
        <f t="shared" si="341"/>
        <v>1.0189999999999999</v>
      </c>
      <c r="U176" s="126">
        <f t="shared" si="341"/>
        <v>1.0189999999999999</v>
      </c>
      <c r="V176" s="126">
        <f t="shared" si="341"/>
        <v>1.0189999999999999</v>
      </c>
      <c r="W176" s="126">
        <f t="shared" si="341"/>
        <v>1.0189999999999999</v>
      </c>
      <c r="X176" s="126">
        <f t="shared" si="341"/>
        <v>1.0189999999999999</v>
      </c>
      <c r="Y176" s="126">
        <f t="shared" si="341"/>
        <v>1.0189999999999999</v>
      </c>
      <c r="Z176" s="126">
        <f t="shared" si="341"/>
        <v>1.0189999999999999</v>
      </c>
      <c r="AA176" s="126">
        <f t="shared" si="341"/>
        <v>1.0189999999999999</v>
      </c>
      <c r="AB176" s="126">
        <f t="shared" si="341"/>
        <v>1.0189999999999999</v>
      </c>
      <c r="AC176" s="126">
        <f t="shared" si="341"/>
        <v>1.0189999999999999</v>
      </c>
      <c r="AD176" s="126">
        <f t="shared" si="341"/>
        <v>1.0189999999999999</v>
      </c>
      <c r="AE176" s="126">
        <f t="shared" si="341"/>
        <v>1.0189999999999999</v>
      </c>
      <c r="AF176" s="126">
        <f t="shared" si="341"/>
        <v>1.0189999999999999</v>
      </c>
      <c r="AG176" s="126">
        <f t="shared" si="341"/>
        <v>1.0189999999999999</v>
      </c>
      <c r="AH176" s="126">
        <f t="shared" ref="AH176:AH214" si="342">(IF(AH$175&lt;$C$173, -1, 1) *AI27)+1</f>
        <v>1.0189999999999999</v>
      </c>
      <c r="AI176" s="126">
        <f t="shared" ref="AI176:AI214" si="343">(IF(AI$175&lt;$C$173, -1, 1) *AJ27)+1</f>
        <v>1.0189999999999999</v>
      </c>
      <c r="AJ176" s="126">
        <f t="shared" ref="AJ176:AJ214" si="344">(IF(AJ$175&lt;$C$173, -1, 1) *AK27)+1</f>
        <v>1.0189999999999999</v>
      </c>
      <c r="AK176" s="126">
        <f t="shared" ref="AK176:AK214" si="345">(IF(AK$175&lt;$C$173, -1, 1) *AL27)+1</f>
        <v>1.0189999999999999</v>
      </c>
      <c r="AL176" s="126">
        <f t="shared" ref="AL176:AL214" si="346">(IF(AL$175&lt;$C$173, -1, 1) *AM27)+1</f>
        <v>1.0189999999999999</v>
      </c>
      <c r="AM176" s="126">
        <f t="shared" ref="AM176:AM214" si="347">(IF(AM$175&lt;$C$173, -1, 1) *AN27)+1</f>
        <v>1.0189999999999999</v>
      </c>
      <c r="AN176" s="126">
        <f t="shared" ref="AN176:AN214" si="348">(IF(AN$175&lt;$C$173, -1, 1) *AO27)+1</f>
        <v>1.0189999999999999</v>
      </c>
      <c r="AO176" s="126">
        <f t="shared" ref="AO176:AO214" si="349">(IF(AO$175&lt;$C$173, -1, 1) *AP27)+1</f>
        <v>1.0189999999999999</v>
      </c>
      <c r="AP176" s="126">
        <f t="shared" ref="AP176:AP214" si="350">(IF(AP$175&lt;$C$173, -1, 1) *AQ27)+1</f>
        <v>1.0189999999999999</v>
      </c>
      <c r="AQ176" s="126">
        <f t="shared" ref="AQ176:AQ214" si="351">(IF(AQ$175&lt;$C$173, -1, 1) *AR27)+1</f>
        <v>1.0189999999999999</v>
      </c>
      <c r="AR176" s="126">
        <f t="shared" ref="AR176:AR216" si="352">(IF(AR$175&lt;$C$173, -1, 1) *AS27)+1</f>
        <v>1.0189999999999999</v>
      </c>
      <c r="AS176" s="126">
        <f t="shared" ref="AS176:AS216" si="353">(IF(AS$175&lt;$C$173, -1, 1) *AT27)+1</f>
        <v>1.0189999999999999</v>
      </c>
      <c r="AT176" s="126">
        <f t="shared" ref="AT176:AT216" si="354">(IF(AT$175&lt;$C$173, -1, 1) *AU27)+1</f>
        <v>1.0189999999999999</v>
      </c>
      <c r="AU176" s="126">
        <f t="shared" ref="AU176:AU216" si="355">(IF(AU$175&lt;$C$173, -1, 1) *AV27)+1</f>
        <v>1.0189999999999999</v>
      </c>
      <c r="AV176" s="126">
        <f t="shared" ref="AV176:AV216" si="356">(IF(AV$175&lt;$C$173, -1, 1) *AW27)+1</f>
        <v>1.0189999999999999</v>
      </c>
      <c r="AW176" s="126">
        <f t="shared" ref="AW176:AW216" si="357">(IF(AW$175&lt;$C$173, -1, 1) *AX27)+1</f>
        <v>1.0189999999999999</v>
      </c>
      <c r="AX176" s="126">
        <f t="shared" ref="AX176:AX216" si="358">(IF(AX$175&lt;$C$173, -1, 1) *AY27)+1</f>
        <v>1.0189999999999999</v>
      </c>
      <c r="AY176" s="126">
        <f t="shared" ref="AY176:AY216" si="359">(IF(AY$175&lt;$C$173, -1, 1) *AZ27)+1</f>
        <v>1.0189999999999999</v>
      </c>
      <c r="AZ176" s="126">
        <f t="shared" ref="AZ176:AZ216" si="360">(IF(AZ$175&lt;$C$173, -1, 1) *BA27)+1</f>
        <v>1.0189999999999999</v>
      </c>
      <c r="BA176" s="126">
        <f t="shared" ref="BA176:BA216" si="361">(IF(BA$175&lt;$C$173, -1, 1) *BB27)+1</f>
        <v>1.0189999999999999</v>
      </c>
      <c r="BB176" s="126">
        <f t="shared" ref="BB176:BB216" si="362">(IF(BB$175&lt;$C$173, -1, 1) *BC27)+1</f>
        <v>1.0189999999999999</v>
      </c>
      <c r="BC176" s="126">
        <f t="shared" ref="BC176:BC216" si="363">(IF(BC$175&lt;$C$173, -1, 1) *BD27)+1</f>
        <v>1.0189999999999999</v>
      </c>
    </row>
    <row r="177" spans="2:55">
      <c r="B177" s="6" t="str">
        <f t="shared" si="340"/>
        <v>Community nurse visits</v>
      </c>
      <c r="C177" s="126">
        <f t="shared" ref="C177:AG177" si="364">(IF(C$175&lt;$C$173, -1, 1) *D28)+1</f>
        <v>0.97719999999999996</v>
      </c>
      <c r="D177" s="126">
        <f t="shared" si="364"/>
        <v>0.97719999999999996</v>
      </c>
      <c r="E177" s="126">
        <f t="shared" si="364"/>
        <v>0.97719999999999996</v>
      </c>
      <c r="F177" s="126">
        <f t="shared" si="364"/>
        <v>0.97719999999999996</v>
      </c>
      <c r="G177" s="126">
        <f t="shared" si="364"/>
        <v>0.97719999999999996</v>
      </c>
      <c r="H177" s="126">
        <f t="shared" si="364"/>
        <v>0.97719999999999996</v>
      </c>
      <c r="I177" s="126">
        <f t="shared" si="364"/>
        <v>0.96699999999999997</v>
      </c>
      <c r="J177" s="126">
        <f t="shared" si="364"/>
        <v>0.98</v>
      </c>
      <c r="K177" s="126">
        <f t="shared" si="364"/>
        <v>1.016</v>
      </c>
      <c r="L177" s="126">
        <f t="shared" si="364"/>
        <v>1.016</v>
      </c>
      <c r="M177" s="126">
        <f t="shared" si="364"/>
        <v>1.0289999999999999</v>
      </c>
      <c r="N177" s="126">
        <f t="shared" si="364"/>
        <v>1.0227999999999999</v>
      </c>
      <c r="O177" s="126">
        <f t="shared" si="364"/>
        <v>1.0227999999999999</v>
      </c>
      <c r="P177" s="126">
        <f t="shared" si="364"/>
        <v>1.0227999999999999</v>
      </c>
      <c r="Q177" s="126">
        <f t="shared" si="364"/>
        <v>1.0227999999999999</v>
      </c>
      <c r="R177" s="126">
        <f t="shared" si="364"/>
        <v>1.0227999999999999</v>
      </c>
      <c r="S177" s="126">
        <f t="shared" si="364"/>
        <v>1.0227999999999999</v>
      </c>
      <c r="T177" s="126">
        <f t="shared" si="364"/>
        <v>1.0227999999999999</v>
      </c>
      <c r="U177" s="126">
        <f t="shared" si="364"/>
        <v>1.0227999999999999</v>
      </c>
      <c r="V177" s="126">
        <f t="shared" si="364"/>
        <v>1.0227999999999999</v>
      </c>
      <c r="W177" s="126">
        <f t="shared" si="364"/>
        <v>1.0227999999999999</v>
      </c>
      <c r="X177" s="126">
        <f t="shared" si="364"/>
        <v>1.0227999999999999</v>
      </c>
      <c r="Y177" s="126">
        <f t="shared" si="364"/>
        <v>1.0227999999999999</v>
      </c>
      <c r="Z177" s="126">
        <f t="shared" si="364"/>
        <v>1.0227999999999999</v>
      </c>
      <c r="AA177" s="126">
        <f t="shared" si="364"/>
        <v>1.0227999999999999</v>
      </c>
      <c r="AB177" s="126">
        <f t="shared" si="364"/>
        <v>1.0227999999999999</v>
      </c>
      <c r="AC177" s="126">
        <f t="shared" si="364"/>
        <v>1.0227999999999999</v>
      </c>
      <c r="AD177" s="126">
        <f t="shared" si="364"/>
        <v>1.0227999999999999</v>
      </c>
      <c r="AE177" s="126">
        <f t="shared" si="364"/>
        <v>1.0227999999999999</v>
      </c>
      <c r="AF177" s="126">
        <f t="shared" si="364"/>
        <v>1.0227999999999999</v>
      </c>
      <c r="AG177" s="126">
        <f t="shared" si="364"/>
        <v>1.0227999999999999</v>
      </c>
      <c r="AH177" s="126">
        <f t="shared" si="342"/>
        <v>1.0227999999999999</v>
      </c>
      <c r="AI177" s="126">
        <f t="shared" si="343"/>
        <v>1.0227999999999999</v>
      </c>
      <c r="AJ177" s="126">
        <f t="shared" si="344"/>
        <v>1.0227999999999999</v>
      </c>
      <c r="AK177" s="126">
        <f t="shared" si="345"/>
        <v>1.0227999999999999</v>
      </c>
      <c r="AL177" s="126">
        <f t="shared" si="346"/>
        <v>1.0227999999999999</v>
      </c>
      <c r="AM177" s="126">
        <f t="shared" si="347"/>
        <v>1.0227999999999999</v>
      </c>
      <c r="AN177" s="126">
        <f t="shared" si="348"/>
        <v>1.0227999999999999</v>
      </c>
      <c r="AO177" s="126">
        <f t="shared" si="349"/>
        <v>1.0227999999999999</v>
      </c>
      <c r="AP177" s="126">
        <f t="shared" si="350"/>
        <v>1.0227999999999999</v>
      </c>
      <c r="AQ177" s="126">
        <f t="shared" si="351"/>
        <v>1.0227999999999999</v>
      </c>
      <c r="AR177" s="126">
        <f t="shared" si="352"/>
        <v>1.0227999999999999</v>
      </c>
      <c r="AS177" s="126">
        <f t="shared" si="353"/>
        <v>1.0227999999999999</v>
      </c>
      <c r="AT177" s="126">
        <f t="shared" si="354"/>
        <v>1.0227999999999999</v>
      </c>
      <c r="AU177" s="126">
        <f t="shared" si="355"/>
        <v>1.0227999999999999</v>
      </c>
      <c r="AV177" s="126">
        <f t="shared" si="356"/>
        <v>1.0227999999999999</v>
      </c>
      <c r="AW177" s="126">
        <f t="shared" si="357"/>
        <v>1.0227999999999999</v>
      </c>
      <c r="AX177" s="126">
        <f t="shared" si="358"/>
        <v>1.0227999999999999</v>
      </c>
      <c r="AY177" s="126">
        <f t="shared" si="359"/>
        <v>1.0227999999999999</v>
      </c>
      <c r="AZ177" s="126">
        <f t="shared" si="360"/>
        <v>1.0227999999999999</v>
      </c>
      <c r="BA177" s="126">
        <f t="shared" si="361"/>
        <v>1.0227999999999999</v>
      </c>
      <c r="BB177" s="126">
        <f t="shared" si="362"/>
        <v>1.0227999999999999</v>
      </c>
      <c r="BC177" s="126">
        <f t="shared" si="363"/>
        <v>1.0227999999999999</v>
      </c>
    </row>
    <row r="178" spans="2:55" s="73" customFormat="1">
      <c r="B178" s="6" t="str">
        <f t="shared" si="340"/>
        <v>Practice nurse visits</v>
      </c>
      <c r="C178" s="126">
        <f t="shared" ref="C178:AG178" si="365">(IF(C$175&lt;$C$173, -1, 1) *D29)+1</f>
        <v>0.97719999999999996</v>
      </c>
      <c r="D178" s="126">
        <f t="shared" si="365"/>
        <v>0.97719999999999996</v>
      </c>
      <c r="E178" s="126">
        <f t="shared" si="365"/>
        <v>0.97719999999999996</v>
      </c>
      <c r="F178" s="126">
        <f t="shared" si="365"/>
        <v>0.97719999999999996</v>
      </c>
      <c r="G178" s="126">
        <f t="shared" si="365"/>
        <v>0.97719999999999996</v>
      </c>
      <c r="H178" s="126">
        <f t="shared" si="365"/>
        <v>0.97719999999999996</v>
      </c>
      <c r="I178" s="126">
        <f t="shared" si="365"/>
        <v>0.96699999999999997</v>
      </c>
      <c r="J178" s="126">
        <f t="shared" si="365"/>
        <v>0.98</v>
      </c>
      <c r="K178" s="126">
        <f t="shared" si="365"/>
        <v>1.016</v>
      </c>
      <c r="L178" s="126">
        <f t="shared" si="365"/>
        <v>1.016</v>
      </c>
      <c r="M178" s="126">
        <f t="shared" si="365"/>
        <v>1.0289999999999999</v>
      </c>
      <c r="N178" s="126">
        <f t="shared" si="365"/>
        <v>1.0227999999999999</v>
      </c>
      <c r="O178" s="126">
        <f t="shared" si="365"/>
        <v>1.0227999999999999</v>
      </c>
      <c r="P178" s="126">
        <f t="shared" si="365"/>
        <v>1.0227999999999999</v>
      </c>
      <c r="Q178" s="126">
        <f t="shared" si="365"/>
        <v>1.0227999999999999</v>
      </c>
      <c r="R178" s="126">
        <f t="shared" si="365"/>
        <v>1.0227999999999999</v>
      </c>
      <c r="S178" s="126">
        <f t="shared" si="365"/>
        <v>1.0227999999999999</v>
      </c>
      <c r="T178" s="126">
        <f t="shared" si="365"/>
        <v>1.0227999999999999</v>
      </c>
      <c r="U178" s="126">
        <f t="shared" si="365"/>
        <v>1.0227999999999999</v>
      </c>
      <c r="V178" s="126">
        <f t="shared" si="365"/>
        <v>1.0227999999999999</v>
      </c>
      <c r="W178" s="126">
        <f t="shared" si="365"/>
        <v>1.0227999999999999</v>
      </c>
      <c r="X178" s="126">
        <f t="shared" si="365"/>
        <v>1.0227999999999999</v>
      </c>
      <c r="Y178" s="126">
        <f t="shared" si="365"/>
        <v>1.0227999999999999</v>
      </c>
      <c r="Z178" s="126">
        <f t="shared" si="365"/>
        <v>1.0227999999999999</v>
      </c>
      <c r="AA178" s="126">
        <f t="shared" si="365"/>
        <v>1.0227999999999999</v>
      </c>
      <c r="AB178" s="126">
        <f t="shared" si="365"/>
        <v>1.0227999999999999</v>
      </c>
      <c r="AC178" s="126">
        <f t="shared" si="365"/>
        <v>1.0227999999999999</v>
      </c>
      <c r="AD178" s="126">
        <f t="shared" si="365"/>
        <v>1.0227999999999999</v>
      </c>
      <c r="AE178" s="126">
        <f t="shared" si="365"/>
        <v>1.0227999999999999</v>
      </c>
      <c r="AF178" s="126">
        <f t="shared" si="365"/>
        <v>1.0227999999999999</v>
      </c>
      <c r="AG178" s="126">
        <f t="shared" si="365"/>
        <v>1.0227999999999999</v>
      </c>
      <c r="AH178" s="126">
        <f t="shared" si="342"/>
        <v>1.0227999999999999</v>
      </c>
      <c r="AI178" s="126">
        <f t="shared" si="343"/>
        <v>1.0227999999999999</v>
      </c>
      <c r="AJ178" s="126">
        <f t="shared" si="344"/>
        <v>1.0227999999999999</v>
      </c>
      <c r="AK178" s="126">
        <f t="shared" si="345"/>
        <v>1.0227999999999999</v>
      </c>
      <c r="AL178" s="126">
        <f t="shared" si="346"/>
        <v>1.0227999999999999</v>
      </c>
      <c r="AM178" s="126">
        <f t="shared" si="347"/>
        <v>1.0227999999999999</v>
      </c>
      <c r="AN178" s="126">
        <f t="shared" si="348"/>
        <v>1.0227999999999999</v>
      </c>
      <c r="AO178" s="126">
        <f t="shared" si="349"/>
        <v>1.0227999999999999</v>
      </c>
      <c r="AP178" s="126">
        <f t="shared" si="350"/>
        <v>1.0227999999999999</v>
      </c>
      <c r="AQ178" s="126">
        <f t="shared" si="351"/>
        <v>1.0227999999999999</v>
      </c>
      <c r="AR178" s="126">
        <f t="shared" si="352"/>
        <v>1.0227999999999999</v>
      </c>
      <c r="AS178" s="126">
        <f t="shared" si="353"/>
        <v>1.0227999999999999</v>
      </c>
      <c r="AT178" s="126">
        <f t="shared" si="354"/>
        <v>1.0227999999999999</v>
      </c>
      <c r="AU178" s="126">
        <f t="shared" si="355"/>
        <v>1.0227999999999999</v>
      </c>
      <c r="AV178" s="126">
        <f t="shared" si="356"/>
        <v>1.0227999999999999</v>
      </c>
      <c r="AW178" s="126">
        <f t="shared" si="357"/>
        <v>1.0227999999999999</v>
      </c>
      <c r="AX178" s="126">
        <f t="shared" si="358"/>
        <v>1.0227999999999999</v>
      </c>
      <c r="AY178" s="126">
        <f t="shared" si="359"/>
        <v>1.0227999999999999</v>
      </c>
      <c r="AZ178" s="126">
        <f t="shared" si="360"/>
        <v>1.0227999999999999</v>
      </c>
      <c r="BA178" s="126">
        <f t="shared" si="361"/>
        <v>1.0227999999999999</v>
      </c>
      <c r="BB178" s="126">
        <f t="shared" si="362"/>
        <v>1.0227999999999999</v>
      </c>
      <c r="BC178" s="126">
        <f t="shared" si="363"/>
        <v>1.0227999999999999</v>
      </c>
    </row>
    <row r="179" spans="2:55">
      <c r="B179" s="6" t="str">
        <f t="shared" si="340"/>
        <v>Community nurses</v>
      </c>
      <c r="C179" s="126">
        <f t="shared" ref="C179:AG179" si="366">(IF(C$175&lt;$C$173, -1, 1) *D30)+1</f>
        <v>0.97719999999999996</v>
      </c>
      <c r="D179" s="126">
        <f t="shared" si="366"/>
        <v>0.97719999999999996</v>
      </c>
      <c r="E179" s="126">
        <f t="shared" si="366"/>
        <v>0.97719999999999996</v>
      </c>
      <c r="F179" s="126">
        <f t="shared" si="366"/>
        <v>0.97719999999999996</v>
      </c>
      <c r="G179" s="126">
        <f t="shared" si="366"/>
        <v>0.97719999999999996</v>
      </c>
      <c r="H179" s="126">
        <f t="shared" si="366"/>
        <v>0.97719999999999996</v>
      </c>
      <c r="I179" s="126">
        <f t="shared" si="366"/>
        <v>0.96699999999999997</v>
      </c>
      <c r="J179" s="126">
        <f t="shared" si="366"/>
        <v>0.98</v>
      </c>
      <c r="K179" s="126">
        <f t="shared" si="366"/>
        <v>1.016</v>
      </c>
      <c r="L179" s="126">
        <f t="shared" si="366"/>
        <v>1.016</v>
      </c>
      <c r="M179" s="126">
        <f t="shared" si="366"/>
        <v>1.0289999999999999</v>
      </c>
      <c r="N179" s="126">
        <f t="shared" si="366"/>
        <v>1.0227999999999999</v>
      </c>
      <c r="O179" s="126">
        <f t="shared" si="366"/>
        <v>1.0227999999999999</v>
      </c>
      <c r="P179" s="126">
        <f t="shared" si="366"/>
        <v>1.0227999999999999</v>
      </c>
      <c r="Q179" s="126">
        <f t="shared" si="366"/>
        <v>1.0227999999999999</v>
      </c>
      <c r="R179" s="126">
        <f t="shared" si="366"/>
        <v>1.0227999999999999</v>
      </c>
      <c r="S179" s="126">
        <f t="shared" si="366"/>
        <v>1.0227999999999999</v>
      </c>
      <c r="T179" s="126">
        <f t="shared" si="366"/>
        <v>1.0227999999999999</v>
      </c>
      <c r="U179" s="126">
        <f t="shared" si="366"/>
        <v>1.0227999999999999</v>
      </c>
      <c r="V179" s="126">
        <f t="shared" si="366"/>
        <v>1.0227999999999999</v>
      </c>
      <c r="W179" s="126">
        <f t="shared" si="366"/>
        <v>1.0227999999999999</v>
      </c>
      <c r="X179" s="126">
        <f t="shared" si="366"/>
        <v>1.0227999999999999</v>
      </c>
      <c r="Y179" s="126">
        <f t="shared" si="366"/>
        <v>1.0227999999999999</v>
      </c>
      <c r="Z179" s="126">
        <f t="shared" si="366"/>
        <v>1.0227999999999999</v>
      </c>
      <c r="AA179" s="126">
        <f t="shared" si="366"/>
        <v>1.0227999999999999</v>
      </c>
      <c r="AB179" s="126">
        <f t="shared" si="366"/>
        <v>1.0227999999999999</v>
      </c>
      <c r="AC179" s="126">
        <f t="shared" si="366"/>
        <v>1.0227999999999999</v>
      </c>
      <c r="AD179" s="126">
        <f t="shared" si="366"/>
        <v>1.0227999999999999</v>
      </c>
      <c r="AE179" s="126">
        <f t="shared" si="366"/>
        <v>1.0227999999999999</v>
      </c>
      <c r="AF179" s="126">
        <f t="shared" si="366"/>
        <v>1.0227999999999999</v>
      </c>
      <c r="AG179" s="126">
        <f t="shared" si="366"/>
        <v>1.0227999999999999</v>
      </c>
      <c r="AH179" s="126">
        <f t="shared" si="342"/>
        <v>1.0227999999999999</v>
      </c>
      <c r="AI179" s="126">
        <f t="shared" si="343"/>
        <v>1.0227999999999999</v>
      </c>
      <c r="AJ179" s="126">
        <f t="shared" si="344"/>
        <v>1.0227999999999999</v>
      </c>
      <c r="AK179" s="126">
        <f t="shared" si="345"/>
        <v>1.0227999999999999</v>
      </c>
      <c r="AL179" s="126">
        <f t="shared" si="346"/>
        <v>1.0227999999999999</v>
      </c>
      <c r="AM179" s="126">
        <f t="shared" si="347"/>
        <v>1.0227999999999999</v>
      </c>
      <c r="AN179" s="126">
        <f t="shared" si="348"/>
        <v>1.0227999999999999</v>
      </c>
      <c r="AO179" s="126">
        <f t="shared" si="349"/>
        <v>1.0227999999999999</v>
      </c>
      <c r="AP179" s="126">
        <f t="shared" si="350"/>
        <v>1.0227999999999999</v>
      </c>
      <c r="AQ179" s="126">
        <f t="shared" si="351"/>
        <v>1.0227999999999999</v>
      </c>
      <c r="AR179" s="126">
        <f t="shared" si="352"/>
        <v>1.0227999999999999</v>
      </c>
      <c r="AS179" s="126">
        <f t="shared" si="353"/>
        <v>1.0227999999999999</v>
      </c>
      <c r="AT179" s="126">
        <f t="shared" si="354"/>
        <v>1.0227999999999999</v>
      </c>
      <c r="AU179" s="126">
        <f t="shared" si="355"/>
        <v>1.0227999999999999</v>
      </c>
      <c r="AV179" s="126">
        <f t="shared" si="356"/>
        <v>1.0227999999999999</v>
      </c>
      <c r="AW179" s="126">
        <f t="shared" si="357"/>
        <v>1.0227999999999999</v>
      </c>
      <c r="AX179" s="126">
        <f t="shared" si="358"/>
        <v>1.0227999999999999</v>
      </c>
      <c r="AY179" s="126">
        <f t="shared" si="359"/>
        <v>1.0227999999999999</v>
      </c>
      <c r="AZ179" s="126">
        <f t="shared" si="360"/>
        <v>1.0227999999999999</v>
      </c>
      <c r="BA179" s="126">
        <f t="shared" si="361"/>
        <v>1.0227999999999999</v>
      </c>
      <c r="BB179" s="126">
        <f t="shared" si="362"/>
        <v>1.0227999999999999</v>
      </c>
      <c r="BC179" s="126">
        <f t="shared" si="363"/>
        <v>1.0227999999999999</v>
      </c>
    </row>
    <row r="180" spans="2:55">
      <c r="B180" s="6" t="str">
        <f t="shared" si="340"/>
        <v>Practice nurses</v>
      </c>
      <c r="C180" s="126">
        <f t="shared" ref="C180:AG180" si="367">(IF(C$175&lt;$C$173, -1, 1) *D31)+1</f>
        <v>0.97719999999999996</v>
      </c>
      <c r="D180" s="126">
        <f t="shared" si="367"/>
        <v>0.97719999999999996</v>
      </c>
      <c r="E180" s="126">
        <f t="shared" si="367"/>
        <v>0.97719999999999996</v>
      </c>
      <c r="F180" s="126">
        <f t="shared" si="367"/>
        <v>0.97719999999999996</v>
      </c>
      <c r="G180" s="126">
        <f t="shared" si="367"/>
        <v>0.97719999999999996</v>
      </c>
      <c r="H180" s="126">
        <f t="shared" si="367"/>
        <v>0.97719999999999996</v>
      </c>
      <c r="I180" s="126">
        <f t="shared" si="367"/>
        <v>0.96699999999999997</v>
      </c>
      <c r="J180" s="126">
        <f t="shared" si="367"/>
        <v>0.98</v>
      </c>
      <c r="K180" s="126">
        <f t="shared" si="367"/>
        <v>1.016</v>
      </c>
      <c r="L180" s="126">
        <f t="shared" si="367"/>
        <v>1.016</v>
      </c>
      <c r="M180" s="126">
        <f t="shared" si="367"/>
        <v>1.0289999999999999</v>
      </c>
      <c r="N180" s="126">
        <f t="shared" si="367"/>
        <v>1.0227999999999999</v>
      </c>
      <c r="O180" s="126">
        <f t="shared" si="367"/>
        <v>1.0227999999999999</v>
      </c>
      <c r="P180" s="126">
        <f t="shared" si="367"/>
        <v>1.0227999999999999</v>
      </c>
      <c r="Q180" s="126">
        <f t="shared" si="367"/>
        <v>1.0227999999999999</v>
      </c>
      <c r="R180" s="126">
        <f t="shared" si="367"/>
        <v>1.0227999999999999</v>
      </c>
      <c r="S180" s="126">
        <f t="shared" si="367"/>
        <v>1.0227999999999999</v>
      </c>
      <c r="T180" s="126">
        <f t="shared" si="367"/>
        <v>1.0227999999999999</v>
      </c>
      <c r="U180" s="126">
        <f t="shared" si="367"/>
        <v>1.0227999999999999</v>
      </c>
      <c r="V180" s="126">
        <f t="shared" si="367"/>
        <v>1.0227999999999999</v>
      </c>
      <c r="W180" s="126">
        <f t="shared" si="367"/>
        <v>1.0227999999999999</v>
      </c>
      <c r="X180" s="126">
        <f t="shared" si="367"/>
        <v>1.0227999999999999</v>
      </c>
      <c r="Y180" s="126">
        <f t="shared" si="367"/>
        <v>1.0227999999999999</v>
      </c>
      <c r="Z180" s="126">
        <f t="shared" si="367"/>
        <v>1.0227999999999999</v>
      </c>
      <c r="AA180" s="126">
        <f t="shared" si="367"/>
        <v>1.0227999999999999</v>
      </c>
      <c r="AB180" s="126">
        <f t="shared" si="367"/>
        <v>1.0227999999999999</v>
      </c>
      <c r="AC180" s="126">
        <f t="shared" si="367"/>
        <v>1.0227999999999999</v>
      </c>
      <c r="AD180" s="126">
        <f t="shared" si="367"/>
        <v>1.0227999999999999</v>
      </c>
      <c r="AE180" s="126">
        <f t="shared" si="367"/>
        <v>1.0227999999999999</v>
      </c>
      <c r="AF180" s="126">
        <f t="shared" si="367"/>
        <v>1.0227999999999999</v>
      </c>
      <c r="AG180" s="126">
        <f t="shared" si="367"/>
        <v>1.0227999999999999</v>
      </c>
      <c r="AH180" s="126">
        <f t="shared" si="342"/>
        <v>1.0227999999999999</v>
      </c>
      <c r="AI180" s="126">
        <f t="shared" si="343"/>
        <v>1.0227999999999999</v>
      </c>
      <c r="AJ180" s="126">
        <f t="shared" si="344"/>
        <v>1.0227999999999999</v>
      </c>
      <c r="AK180" s="126">
        <f t="shared" si="345"/>
        <v>1.0227999999999999</v>
      </c>
      <c r="AL180" s="126">
        <f t="shared" si="346"/>
        <v>1.0227999999999999</v>
      </c>
      <c r="AM180" s="126">
        <f t="shared" si="347"/>
        <v>1.0227999999999999</v>
      </c>
      <c r="AN180" s="126">
        <f t="shared" si="348"/>
        <v>1.0227999999999999</v>
      </c>
      <c r="AO180" s="126">
        <f t="shared" si="349"/>
        <v>1.0227999999999999</v>
      </c>
      <c r="AP180" s="126">
        <f t="shared" si="350"/>
        <v>1.0227999999999999</v>
      </c>
      <c r="AQ180" s="126">
        <f t="shared" si="351"/>
        <v>1.0227999999999999</v>
      </c>
      <c r="AR180" s="126">
        <f t="shared" si="352"/>
        <v>1.0227999999999999</v>
      </c>
      <c r="AS180" s="126">
        <f t="shared" si="353"/>
        <v>1.0227999999999999</v>
      </c>
      <c r="AT180" s="126">
        <f t="shared" si="354"/>
        <v>1.0227999999999999</v>
      </c>
      <c r="AU180" s="126">
        <f t="shared" si="355"/>
        <v>1.0227999999999999</v>
      </c>
      <c r="AV180" s="126">
        <f t="shared" si="356"/>
        <v>1.0227999999999999</v>
      </c>
      <c r="AW180" s="126">
        <f t="shared" si="357"/>
        <v>1.0227999999999999</v>
      </c>
      <c r="AX180" s="126">
        <f t="shared" si="358"/>
        <v>1.0227999999999999</v>
      </c>
      <c r="AY180" s="126">
        <f t="shared" si="359"/>
        <v>1.0227999999999999</v>
      </c>
      <c r="AZ180" s="126">
        <f t="shared" si="360"/>
        <v>1.0227999999999999</v>
      </c>
      <c r="BA180" s="126">
        <f t="shared" si="361"/>
        <v>1.0227999999999999</v>
      </c>
      <c r="BB180" s="126">
        <f t="shared" si="362"/>
        <v>1.0227999999999999</v>
      </c>
      <c r="BC180" s="126">
        <f t="shared" si="363"/>
        <v>1.0227999999999999</v>
      </c>
    </row>
    <row r="181" spans="2:55">
      <c r="B181" s="6" t="str">
        <f t="shared" si="340"/>
        <v>GP visits</v>
      </c>
      <c r="C181" s="126">
        <f t="shared" ref="C181:AG181" si="368">(IF(C$175&lt;$C$173, -1, 1) *D32)+1</f>
        <v>0.97719999999999996</v>
      </c>
      <c r="D181" s="126">
        <f t="shared" si="368"/>
        <v>0.97719999999999996</v>
      </c>
      <c r="E181" s="126">
        <f t="shared" si="368"/>
        <v>0.97719999999999996</v>
      </c>
      <c r="F181" s="126">
        <f t="shared" si="368"/>
        <v>0.97719999999999996</v>
      </c>
      <c r="G181" s="126">
        <f t="shared" si="368"/>
        <v>0.97719999999999996</v>
      </c>
      <c r="H181" s="126">
        <f t="shared" si="368"/>
        <v>0.97719999999999996</v>
      </c>
      <c r="I181" s="126">
        <f t="shared" si="368"/>
        <v>0.96699999999999997</v>
      </c>
      <c r="J181" s="126">
        <f t="shared" si="368"/>
        <v>0.98</v>
      </c>
      <c r="K181" s="126">
        <f t="shared" si="368"/>
        <v>1.016</v>
      </c>
      <c r="L181" s="126">
        <f t="shared" si="368"/>
        <v>1.016</v>
      </c>
      <c r="M181" s="126">
        <f t="shared" si="368"/>
        <v>1.0289999999999999</v>
      </c>
      <c r="N181" s="126">
        <f t="shared" si="368"/>
        <v>1.0227999999999999</v>
      </c>
      <c r="O181" s="126">
        <f t="shared" si="368"/>
        <v>1.0227999999999999</v>
      </c>
      <c r="P181" s="126">
        <f t="shared" si="368"/>
        <v>1.0227999999999999</v>
      </c>
      <c r="Q181" s="126">
        <f t="shared" si="368"/>
        <v>1.0227999999999999</v>
      </c>
      <c r="R181" s="126">
        <f t="shared" si="368"/>
        <v>1.0227999999999999</v>
      </c>
      <c r="S181" s="126">
        <f t="shared" si="368"/>
        <v>1.0227999999999999</v>
      </c>
      <c r="T181" s="126">
        <f t="shared" si="368"/>
        <v>1.0227999999999999</v>
      </c>
      <c r="U181" s="126">
        <f t="shared" si="368"/>
        <v>1.0227999999999999</v>
      </c>
      <c r="V181" s="126">
        <f t="shared" si="368"/>
        <v>1.0227999999999999</v>
      </c>
      <c r="W181" s="126">
        <f t="shared" si="368"/>
        <v>1.0227999999999999</v>
      </c>
      <c r="X181" s="126">
        <f t="shared" si="368"/>
        <v>1.0227999999999999</v>
      </c>
      <c r="Y181" s="126">
        <f t="shared" si="368"/>
        <v>1.0227999999999999</v>
      </c>
      <c r="Z181" s="126">
        <f t="shared" si="368"/>
        <v>1.0227999999999999</v>
      </c>
      <c r="AA181" s="126">
        <f t="shared" si="368"/>
        <v>1.0227999999999999</v>
      </c>
      <c r="AB181" s="126">
        <f t="shared" si="368"/>
        <v>1.0227999999999999</v>
      </c>
      <c r="AC181" s="126">
        <f t="shared" si="368"/>
        <v>1.0227999999999999</v>
      </c>
      <c r="AD181" s="126">
        <f t="shared" si="368"/>
        <v>1.0227999999999999</v>
      </c>
      <c r="AE181" s="126">
        <f t="shared" si="368"/>
        <v>1.0227999999999999</v>
      </c>
      <c r="AF181" s="126">
        <f t="shared" si="368"/>
        <v>1.0227999999999999</v>
      </c>
      <c r="AG181" s="126">
        <f t="shared" si="368"/>
        <v>1.0227999999999999</v>
      </c>
      <c r="AH181" s="126">
        <f t="shared" si="342"/>
        <v>1.0227999999999999</v>
      </c>
      <c r="AI181" s="126">
        <f t="shared" si="343"/>
        <v>1.0227999999999999</v>
      </c>
      <c r="AJ181" s="126">
        <f t="shared" si="344"/>
        <v>1.0227999999999999</v>
      </c>
      <c r="AK181" s="126">
        <f t="shared" si="345"/>
        <v>1.0227999999999999</v>
      </c>
      <c r="AL181" s="126">
        <f t="shared" si="346"/>
        <v>1.0227999999999999</v>
      </c>
      <c r="AM181" s="126">
        <f t="shared" si="347"/>
        <v>1.0227999999999999</v>
      </c>
      <c r="AN181" s="126">
        <f t="shared" si="348"/>
        <v>1.0227999999999999</v>
      </c>
      <c r="AO181" s="126">
        <f t="shared" si="349"/>
        <v>1.0227999999999999</v>
      </c>
      <c r="AP181" s="126">
        <f t="shared" si="350"/>
        <v>1.0227999999999999</v>
      </c>
      <c r="AQ181" s="126">
        <f t="shared" si="351"/>
        <v>1.0227999999999999</v>
      </c>
      <c r="AR181" s="126">
        <f t="shared" si="352"/>
        <v>1.0227999999999999</v>
      </c>
      <c r="AS181" s="126">
        <f t="shared" si="353"/>
        <v>1.0227999999999999</v>
      </c>
      <c r="AT181" s="126">
        <f t="shared" si="354"/>
        <v>1.0227999999999999</v>
      </c>
      <c r="AU181" s="126">
        <f t="shared" si="355"/>
        <v>1.0227999999999999</v>
      </c>
      <c r="AV181" s="126">
        <f t="shared" si="356"/>
        <v>1.0227999999999999</v>
      </c>
      <c r="AW181" s="126">
        <f t="shared" si="357"/>
        <v>1.0227999999999999</v>
      </c>
      <c r="AX181" s="126">
        <f t="shared" si="358"/>
        <v>1.0227999999999999</v>
      </c>
      <c r="AY181" s="126">
        <f t="shared" si="359"/>
        <v>1.0227999999999999</v>
      </c>
      <c r="AZ181" s="126">
        <f t="shared" si="360"/>
        <v>1.0227999999999999</v>
      </c>
      <c r="BA181" s="126">
        <f t="shared" si="361"/>
        <v>1.0227999999999999</v>
      </c>
      <c r="BB181" s="126">
        <f t="shared" si="362"/>
        <v>1.0227999999999999</v>
      </c>
      <c r="BC181" s="126">
        <f t="shared" si="363"/>
        <v>1.0227999999999999</v>
      </c>
    </row>
    <row r="182" spans="2:55">
      <c r="B182" s="6" t="str">
        <f t="shared" si="340"/>
        <v>Hospital admissions</v>
      </c>
      <c r="C182" s="126">
        <f t="shared" ref="C182:AG182" si="369">(IF(C$175&lt;$C$173, -1, 1) *D33)+1</f>
        <v>0.98099999999999998</v>
      </c>
      <c r="D182" s="126">
        <f t="shared" si="369"/>
        <v>0.98099999999999998</v>
      </c>
      <c r="E182" s="126">
        <f t="shared" si="369"/>
        <v>0.98099999999999998</v>
      </c>
      <c r="F182" s="126">
        <f t="shared" si="369"/>
        <v>0.98099999999999998</v>
      </c>
      <c r="G182" s="126">
        <f t="shared" si="369"/>
        <v>0.98099999999999998</v>
      </c>
      <c r="H182" s="126">
        <f t="shared" si="369"/>
        <v>0.98099999999999998</v>
      </c>
      <c r="I182" s="126">
        <f t="shared" si="369"/>
        <v>0.98299999999999998</v>
      </c>
      <c r="J182" s="126">
        <f t="shared" si="369"/>
        <v>0.98199999999999998</v>
      </c>
      <c r="K182" s="126">
        <f t="shared" si="369"/>
        <v>1.0209999999999999</v>
      </c>
      <c r="L182" s="126">
        <f t="shared" si="369"/>
        <v>1.0189999999999999</v>
      </c>
      <c r="M182" s="126">
        <f t="shared" si="369"/>
        <v>1.02</v>
      </c>
      <c r="N182" s="126">
        <f t="shared" si="369"/>
        <v>1.0189999999999999</v>
      </c>
      <c r="O182" s="126">
        <f t="shared" si="369"/>
        <v>1.0189999999999999</v>
      </c>
      <c r="P182" s="126">
        <f t="shared" si="369"/>
        <v>1.0189999999999999</v>
      </c>
      <c r="Q182" s="126">
        <f t="shared" si="369"/>
        <v>1.0189999999999999</v>
      </c>
      <c r="R182" s="126">
        <f t="shared" si="369"/>
        <v>1.0189999999999999</v>
      </c>
      <c r="S182" s="126">
        <f t="shared" si="369"/>
        <v>1.0189999999999999</v>
      </c>
      <c r="T182" s="126">
        <f t="shared" si="369"/>
        <v>1.0189999999999999</v>
      </c>
      <c r="U182" s="126">
        <f t="shared" si="369"/>
        <v>1.0189999999999999</v>
      </c>
      <c r="V182" s="126">
        <f t="shared" si="369"/>
        <v>1.0189999999999999</v>
      </c>
      <c r="W182" s="126">
        <f t="shared" si="369"/>
        <v>1.0189999999999999</v>
      </c>
      <c r="X182" s="126">
        <f t="shared" si="369"/>
        <v>1.0189999999999999</v>
      </c>
      <c r="Y182" s="126">
        <f t="shared" si="369"/>
        <v>1.0189999999999999</v>
      </c>
      <c r="Z182" s="126">
        <f t="shared" si="369"/>
        <v>1.0189999999999999</v>
      </c>
      <c r="AA182" s="126">
        <f t="shared" si="369"/>
        <v>1.0189999999999999</v>
      </c>
      <c r="AB182" s="126">
        <f t="shared" si="369"/>
        <v>1.0189999999999999</v>
      </c>
      <c r="AC182" s="126">
        <f t="shared" si="369"/>
        <v>1.0189999999999999</v>
      </c>
      <c r="AD182" s="126">
        <f t="shared" si="369"/>
        <v>1.0189999999999999</v>
      </c>
      <c r="AE182" s="126">
        <f t="shared" si="369"/>
        <v>1.0189999999999999</v>
      </c>
      <c r="AF182" s="126">
        <f t="shared" si="369"/>
        <v>1.0189999999999999</v>
      </c>
      <c r="AG182" s="126">
        <f t="shared" si="369"/>
        <v>1.0189999999999999</v>
      </c>
      <c r="AH182" s="126">
        <f t="shared" si="342"/>
        <v>1.0189999999999999</v>
      </c>
      <c r="AI182" s="126">
        <f t="shared" si="343"/>
        <v>1.0189999999999999</v>
      </c>
      <c r="AJ182" s="126">
        <f t="shared" si="344"/>
        <v>1.0189999999999999</v>
      </c>
      <c r="AK182" s="126">
        <f t="shared" si="345"/>
        <v>1.0189999999999999</v>
      </c>
      <c r="AL182" s="126">
        <f t="shared" si="346"/>
        <v>1.0189999999999999</v>
      </c>
      <c r="AM182" s="126">
        <f t="shared" si="347"/>
        <v>1.0189999999999999</v>
      </c>
      <c r="AN182" s="126">
        <f t="shared" si="348"/>
        <v>1.0189999999999999</v>
      </c>
      <c r="AO182" s="126">
        <f t="shared" si="349"/>
        <v>1.0189999999999999</v>
      </c>
      <c r="AP182" s="126">
        <f t="shared" si="350"/>
        <v>1.0189999999999999</v>
      </c>
      <c r="AQ182" s="126">
        <f t="shared" si="351"/>
        <v>1.0189999999999999</v>
      </c>
      <c r="AR182" s="126">
        <f t="shared" si="352"/>
        <v>1.0189999999999999</v>
      </c>
      <c r="AS182" s="126">
        <f t="shared" si="353"/>
        <v>1.0189999999999999</v>
      </c>
      <c r="AT182" s="126">
        <f t="shared" si="354"/>
        <v>1.0189999999999999</v>
      </c>
      <c r="AU182" s="126">
        <f t="shared" si="355"/>
        <v>1.0189999999999999</v>
      </c>
      <c r="AV182" s="126">
        <f t="shared" si="356"/>
        <v>1.0189999999999999</v>
      </c>
      <c r="AW182" s="126">
        <f t="shared" si="357"/>
        <v>1.0189999999999999</v>
      </c>
      <c r="AX182" s="126">
        <f t="shared" si="358"/>
        <v>1.0189999999999999</v>
      </c>
      <c r="AY182" s="126">
        <f t="shared" si="359"/>
        <v>1.0189999999999999</v>
      </c>
      <c r="AZ182" s="126">
        <f t="shared" si="360"/>
        <v>1.0189999999999999</v>
      </c>
      <c r="BA182" s="126">
        <f t="shared" si="361"/>
        <v>1.0189999999999999</v>
      </c>
      <c r="BB182" s="126">
        <f t="shared" si="362"/>
        <v>1.0189999999999999</v>
      </c>
      <c r="BC182" s="126">
        <f t="shared" si="363"/>
        <v>1.0189999999999999</v>
      </c>
    </row>
    <row r="183" spans="2:55">
      <c r="B183" s="6" t="str">
        <f t="shared" si="340"/>
        <v>Hospital outpatient visits</v>
      </c>
      <c r="C183" s="126">
        <f t="shared" ref="C183:AG183" si="370">(IF(C$175&lt;$C$173, -1, 1) *D34)+1</f>
        <v>0.97719999999999996</v>
      </c>
      <c r="D183" s="126">
        <f t="shared" si="370"/>
        <v>0.97719999999999996</v>
      </c>
      <c r="E183" s="126">
        <f t="shared" si="370"/>
        <v>0.97719999999999996</v>
      </c>
      <c r="F183" s="126">
        <f t="shared" si="370"/>
        <v>0.97719999999999996</v>
      </c>
      <c r="G183" s="126">
        <f t="shared" si="370"/>
        <v>0.97719999999999996</v>
      </c>
      <c r="H183" s="126">
        <f t="shared" si="370"/>
        <v>0.97719999999999996</v>
      </c>
      <c r="I183" s="126">
        <f t="shared" si="370"/>
        <v>0.96699999999999997</v>
      </c>
      <c r="J183" s="126">
        <f t="shared" si="370"/>
        <v>0.98</v>
      </c>
      <c r="K183" s="126">
        <f t="shared" si="370"/>
        <v>1.016</v>
      </c>
      <c r="L183" s="126">
        <f t="shared" si="370"/>
        <v>1.016</v>
      </c>
      <c r="M183" s="126">
        <f t="shared" si="370"/>
        <v>1.0289999999999999</v>
      </c>
      <c r="N183" s="126">
        <f t="shared" si="370"/>
        <v>1.0227999999999999</v>
      </c>
      <c r="O183" s="126">
        <f t="shared" si="370"/>
        <v>1.0227999999999999</v>
      </c>
      <c r="P183" s="126">
        <f t="shared" si="370"/>
        <v>1.0227999999999999</v>
      </c>
      <c r="Q183" s="126">
        <f t="shared" si="370"/>
        <v>1.0227999999999999</v>
      </c>
      <c r="R183" s="126">
        <f t="shared" si="370"/>
        <v>1.0227999999999999</v>
      </c>
      <c r="S183" s="126">
        <f t="shared" si="370"/>
        <v>1.0227999999999999</v>
      </c>
      <c r="T183" s="126">
        <f t="shared" si="370"/>
        <v>1.0227999999999999</v>
      </c>
      <c r="U183" s="126">
        <f t="shared" si="370"/>
        <v>1.0227999999999999</v>
      </c>
      <c r="V183" s="126">
        <f t="shared" si="370"/>
        <v>1.0227999999999999</v>
      </c>
      <c r="W183" s="126">
        <f t="shared" si="370"/>
        <v>1.0227999999999999</v>
      </c>
      <c r="X183" s="126">
        <f t="shared" si="370"/>
        <v>1.0227999999999999</v>
      </c>
      <c r="Y183" s="126">
        <f t="shared" si="370"/>
        <v>1.0227999999999999</v>
      </c>
      <c r="Z183" s="126">
        <f t="shared" si="370"/>
        <v>1.0227999999999999</v>
      </c>
      <c r="AA183" s="126">
        <f t="shared" si="370"/>
        <v>1.0227999999999999</v>
      </c>
      <c r="AB183" s="126">
        <f t="shared" si="370"/>
        <v>1.0227999999999999</v>
      </c>
      <c r="AC183" s="126">
        <f t="shared" si="370"/>
        <v>1.0227999999999999</v>
      </c>
      <c r="AD183" s="126">
        <f t="shared" si="370"/>
        <v>1.0227999999999999</v>
      </c>
      <c r="AE183" s="126">
        <f t="shared" si="370"/>
        <v>1.0227999999999999</v>
      </c>
      <c r="AF183" s="126">
        <f t="shared" si="370"/>
        <v>1.0227999999999999</v>
      </c>
      <c r="AG183" s="126">
        <f t="shared" si="370"/>
        <v>1.0227999999999999</v>
      </c>
      <c r="AH183" s="126">
        <f t="shared" si="342"/>
        <v>1.0227999999999999</v>
      </c>
      <c r="AI183" s="126">
        <f t="shared" si="343"/>
        <v>1.0227999999999999</v>
      </c>
      <c r="AJ183" s="126">
        <f t="shared" si="344"/>
        <v>1.0227999999999999</v>
      </c>
      <c r="AK183" s="126">
        <f t="shared" si="345"/>
        <v>1.0227999999999999</v>
      </c>
      <c r="AL183" s="126">
        <f t="shared" si="346"/>
        <v>1.0227999999999999</v>
      </c>
      <c r="AM183" s="126">
        <f t="shared" si="347"/>
        <v>1.0227999999999999</v>
      </c>
      <c r="AN183" s="126">
        <f t="shared" si="348"/>
        <v>1.0227999999999999</v>
      </c>
      <c r="AO183" s="126">
        <f t="shared" si="349"/>
        <v>1.0227999999999999</v>
      </c>
      <c r="AP183" s="126">
        <f t="shared" si="350"/>
        <v>1.0227999999999999</v>
      </c>
      <c r="AQ183" s="126">
        <f t="shared" si="351"/>
        <v>1.0227999999999999</v>
      </c>
      <c r="AR183" s="126">
        <f t="shared" si="352"/>
        <v>1.0227999999999999</v>
      </c>
      <c r="AS183" s="126">
        <f t="shared" si="353"/>
        <v>1.0227999999999999</v>
      </c>
      <c r="AT183" s="126">
        <f t="shared" si="354"/>
        <v>1.0227999999999999</v>
      </c>
      <c r="AU183" s="126">
        <f t="shared" si="355"/>
        <v>1.0227999999999999</v>
      </c>
      <c r="AV183" s="126">
        <f t="shared" si="356"/>
        <v>1.0227999999999999</v>
      </c>
      <c r="AW183" s="126">
        <f t="shared" si="357"/>
        <v>1.0227999999999999</v>
      </c>
      <c r="AX183" s="126">
        <f t="shared" si="358"/>
        <v>1.0227999999999999</v>
      </c>
      <c r="AY183" s="126">
        <f t="shared" si="359"/>
        <v>1.0227999999999999</v>
      </c>
      <c r="AZ183" s="126">
        <f t="shared" si="360"/>
        <v>1.0227999999999999</v>
      </c>
      <c r="BA183" s="126">
        <f t="shared" si="361"/>
        <v>1.0227999999999999</v>
      </c>
      <c r="BB183" s="126">
        <f t="shared" si="362"/>
        <v>1.0227999999999999</v>
      </c>
      <c r="BC183" s="126">
        <f t="shared" si="363"/>
        <v>1.0227999999999999</v>
      </c>
    </row>
    <row r="184" spans="2:55">
      <c r="B184" s="6" t="str">
        <f t="shared" si="340"/>
        <v>Laboratory tests</v>
      </c>
      <c r="C184" s="126">
        <f t="shared" ref="C184:AG184" si="371">(IF(C$175&lt;$C$173, -1, 1) *D35)+1</f>
        <v>0.98099999999999998</v>
      </c>
      <c r="D184" s="126">
        <f t="shared" si="371"/>
        <v>0.98099999999999998</v>
      </c>
      <c r="E184" s="126">
        <f t="shared" si="371"/>
        <v>0.98099999999999998</v>
      </c>
      <c r="F184" s="126">
        <f t="shared" si="371"/>
        <v>0.98099999999999998</v>
      </c>
      <c r="G184" s="126">
        <f t="shared" si="371"/>
        <v>0.98099999999999998</v>
      </c>
      <c r="H184" s="126">
        <f t="shared" si="371"/>
        <v>0.98099999999999998</v>
      </c>
      <c r="I184" s="126">
        <f t="shared" si="371"/>
        <v>0.98299999999999998</v>
      </c>
      <c r="J184" s="126">
        <f t="shared" si="371"/>
        <v>0.98199999999999998</v>
      </c>
      <c r="K184" s="126">
        <f t="shared" si="371"/>
        <v>1.0209999999999999</v>
      </c>
      <c r="L184" s="126">
        <f t="shared" si="371"/>
        <v>1.0189999999999999</v>
      </c>
      <c r="M184" s="126">
        <f t="shared" si="371"/>
        <v>1.02</v>
      </c>
      <c r="N184" s="126">
        <f t="shared" si="371"/>
        <v>1.0189999999999999</v>
      </c>
      <c r="O184" s="126">
        <f t="shared" si="371"/>
        <v>1.0189999999999999</v>
      </c>
      <c r="P184" s="126">
        <f t="shared" si="371"/>
        <v>1.0189999999999999</v>
      </c>
      <c r="Q184" s="126">
        <f t="shared" si="371"/>
        <v>1.0189999999999999</v>
      </c>
      <c r="R184" s="126">
        <f t="shared" si="371"/>
        <v>1.0189999999999999</v>
      </c>
      <c r="S184" s="126">
        <f t="shared" si="371"/>
        <v>1.0189999999999999</v>
      </c>
      <c r="T184" s="126">
        <f t="shared" si="371"/>
        <v>1.0189999999999999</v>
      </c>
      <c r="U184" s="126">
        <f t="shared" si="371"/>
        <v>1.0189999999999999</v>
      </c>
      <c r="V184" s="126">
        <f t="shared" si="371"/>
        <v>1.0189999999999999</v>
      </c>
      <c r="W184" s="126">
        <f t="shared" si="371"/>
        <v>1.0189999999999999</v>
      </c>
      <c r="X184" s="126">
        <f t="shared" si="371"/>
        <v>1.0189999999999999</v>
      </c>
      <c r="Y184" s="126">
        <f t="shared" si="371"/>
        <v>1.0189999999999999</v>
      </c>
      <c r="Z184" s="126">
        <f t="shared" si="371"/>
        <v>1.0189999999999999</v>
      </c>
      <c r="AA184" s="126">
        <f t="shared" si="371"/>
        <v>1.0189999999999999</v>
      </c>
      <c r="AB184" s="126">
        <f t="shared" si="371"/>
        <v>1.0189999999999999</v>
      </c>
      <c r="AC184" s="126">
        <f t="shared" si="371"/>
        <v>1.0189999999999999</v>
      </c>
      <c r="AD184" s="126">
        <f t="shared" si="371"/>
        <v>1.0189999999999999</v>
      </c>
      <c r="AE184" s="126">
        <f t="shared" si="371"/>
        <v>1.0189999999999999</v>
      </c>
      <c r="AF184" s="126">
        <f t="shared" si="371"/>
        <v>1.0189999999999999</v>
      </c>
      <c r="AG184" s="126">
        <f t="shared" si="371"/>
        <v>1.0189999999999999</v>
      </c>
      <c r="AH184" s="126">
        <f t="shared" si="342"/>
        <v>1.0189999999999999</v>
      </c>
      <c r="AI184" s="126">
        <f t="shared" si="343"/>
        <v>1.0189999999999999</v>
      </c>
      <c r="AJ184" s="126">
        <f t="shared" si="344"/>
        <v>1.0189999999999999</v>
      </c>
      <c r="AK184" s="126">
        <f t="shared" si="345"/>
        <v>1.0189999999999999</v>
      </c>
      <c r="AL184" s="126">
        <f t="shared" si="346"/>
        <v>1.0189999999999999</v>
      </c>
      <c r="AM184" s="126">
        <f t="shared" si="347"/>
        <v>1.0189999999999999</v>
      </c>
      <c r="AN184" s="126">
        <f t="shared" si="348"/>
        <v>1.0189999999999999</v>
      </c>
      <c r="AO184" s="126">
        <f t="shared" si="349"/>
        <v>1.0189999999999999</v>
      </c>
      <c r="AP184" s="126">
        <f t="shared" si="350"/>
        <v>1.0189999999999999</v>
      </c>
      <c r="AQ184" s="126">
        <f t="shared" si="351"/>
        <v>1.0189999999999999</v>
      </c>
      <c r="AR184" s="126">
        <f t="shared" si="352"/>
        <v>1.0189999999999999</v>
      </c>
      <c r="AS184" s="126">
        <f t="shared" si="353"/>
        <v>1.0189999999999999</v>
      </c>
      <c r="AT184" s="126">
        <f t="shared" si="354"/>
        <v>1.0189999999999999</v>
      </c>
      <c r="AU184" s="126">
        <f t="shared" si="355"/>
        <v>1.0189999999999999</v>
      </c>
      <c r="AV184" s="126">
        <f t="shared" si="356"/>
        <v>1.0189999999999999</v>
      </c>
      <c r="AW184" s="126">
        <f t="shared" si="357"/>
        <v>1.0189999999999999</v>
      </c>
      <c r="AX184" s="126">
        <f t="shared" si="358"/>
        <v>1.0189999999999999</v>
      </c>
      <c r="AY184" s="126">
        <f t="shared" si="359"/>
        <v>1.0189999999999999</v>
      </c>
      <c r="AZ184" s="126">
        <f t="shared" si="360"/>
        <v>1.0189999999999999</v>
      </c>
      <c r="BA184" s="126">
        <f t="shared" si="361"/>
        <v>1.0189999999999999</v>
      </c>
      <c r="BB184" s="126">
        <f t="shared" si="362"/>
        <v>1.0189999999999999</v>
      </c>
      <c r="BC184" s="126">
        <f t="shared" si="363"/>
        <v>1.0189999999999999</v>
      </c>
    </row>
    <row r="185" spans="2:55">
      <c r="B185" s="6" t="str">
        <f t="shared" si="340"/>
        <v>Physiotherapist visits</v>
      </c>
      <c r="C185" s="126">
        <f t="shared" ref="C185:AG185" si="372">(IF(C$175&lt;$C$173, -1, 1) *D36)+1</f>
        <v>0.97719999999999996</v>
      </c>
      <c r="D185" s="126">
        <f t="shared" si="372"/>
        <v>0.97719999999999996</v>
      </c>
      <c r="E185" s="126">
        <f t="shared" si="372"/>
        <v>0.97719999999999996</v>
      </c>
      <c r="F185" s="126">
        <f t="shared" si="372"/>
        <v>0.97719999999999996</v>
      </c>
      <c r="G185" s="126">
        <f t="shared" si="372"/>
        <v>0.97719999999999996</v>
      </c>
      <c r="H185" s="126">
        <f t="shared" si="372"/>
        <v>0.97719999999999996</v>
      </c>
      <c r="I185" s="126">
        <f t="shared" si="372"/>
        <v>0.96699999999999997</v>
      </c>
      <c r="J185" s="126">
        <f t="shared" si="372"/>
        <v>0.98</v>
      </c>
      <c r="K185" s="126">
        <f t="shared" si="372"/>
        <v>1.016</v>
      </c>
      <c r="L185" s="126">
        <f t="shared" si="372"/>
        <v>1.016</v>
      </c>
      <c r="M185" s="126">
        <f t="shared" si="372"/>
        <v>1.0289999999999999</v>
      </c>
      <c r="N185" s="126">
        <f t="shared" si="372"/>
        <v>1.0227999999999999</v>
      </c>
      <c r="O185" s="126">
        <f t="shared" si="372"/>
        <v>1.0227999999999999</v>
      </c>
      <c r="P185" s="126">
        <f t="shared" si="372"/>
        <v>1.0227999999999999</v>
      </c>
      <c r="Q185" s="126">
        <f t="shared" si="372"/>
        <v>1.0227999999999999</v>
      </c>
      <c r="R185" s="126">
        <f t="shared" si="372"/>
        <v>1.0227999999999999</v>
      </c>
      <c r="S185" s="126">
        <f t="shared" si="372"/>
        <v>1.0227999999999999</v>
      </c>
      <c r="T185" s="126">
        <f t="shared" si="372"/>
        <v>1.0227999999999999</v>
      </c>
      <c r="U185" s="126">
        <f t="shared" si="372"/>
        <v>1.0227999999999999</v>
      </c>
      <c r="V185" s="126">
        <f t="shared" si="372"/>
        <v>1.0227999999999999</v>
      </c>
      <c r="W185" s="126">
        <f t="shared" si="372"/>
        <v>1.0227999999999999</v>
      </c>
      <c r="X185" s="126">
        <f t="shared" si="372"/>
        <v>1.0227999999999999</v>
      </c>
      <c r="Y185" s="126">
        <f t="shared" si="372"/>
        <v>1.0227999999999999</v>
      </c>
      <c r="Z185" s="126">
        <f t="shared" si="372"/>
        <v>1.0227999999999999</v>
      </c>
      <c r="AA185" s="126">
        <f t="shared" si="372"/>
        <v>1.0227999999999999</v>
      </c>
      <c r="AB185" s="126">
        <f t="shared" si="372"/>
        <v>1.0227999999999999</v>
      </c>
      <c r="AC185" s="126">
        <f t="shared" si="372"/>
        <v>1.0227999999999999</v>
      </c>
      <c r="AD185" s="126">
        <f t="shared" si="372"/>
        <v>1.0227999999999999</v>
      </c>
      <c r="AE185" s="126">
        <f t="shared" si="372"/>
        <v>1.0227999999999999</v>
      </c>
      <c r="AF185" s="126">
        <f t="shared" si="372"/>
        <v>1.0227999999999999</v>
      </c>
      <c r="AG185" s="126">
        <f t="shared" si="372"/>
        <v>1.0227999999999999</v>
      </c>
      <c r="AH185" s="126">
        <f t="shared" si="342"/>
        <v>1.0227999999999999</v>
      </c>
      <c r="AI185" s="126">
        <f t="shared" si="343"/>
        <v>1.0227999999999999</v>
      </c>
      <c r="AJ185" s="126">
        <f t="shared" si="344"/>
        <v>1.0227999999999999</v>
      </c>
      <c r="AK185" s="126">
        <f t="shared" si="345"/>
        <v>1.0227999999999999</v>
      </c>
      <c r="AL185" s="126">
        <f t="shared" si="346"/>
        <v>1.0227999999999999</v>
      </c>
      <c r="AM185" s="126">
        <f t="shared" si="347"/>
        <v>1.0227999999999999</v>
      </c>
      <c r="AN185" s="126">
        <f t="shared" si="348"/>
        <v>1.0227999999999999</v>
      </c>
      <c r="AO185" s="126">
        <f t="shared" si="349"/>
        <v>1.0227999999999999</v>
      </c>
      <c r="AP185" s="126">
        <f t="shared" si="350"/>
        <v>1.0227999999999999</v>
      </c>
      <c r="AQ185" s="126">
        <f t="shared" si="351"/>
        <v>1.0227999999999999</v>
      </c>
      <c r="AR185" s="126">
        <f t="shared" si="352"/>
        <v>1.0227999999999999</v>
      </c>
      <c r="AS185" s="126">
        <f t="shared" si="353"/>
        <v>1.0227999999999999</v>
      </c>
      <c r="AT185" s="126">
        <f t="shared" si="354"/>
        <v>1.0227999999999999</v>
      </c>
      <c r="AU185" s="126">
        <f t="shared" si="355"/>
        <v>1.0227999999999999</v>
      </c>
      <c r="AV185" s="126">
        <f t="shared" si="356"/>
        <v>1.0227999999999999</v>
      </c>
      <c r="AW185" s="126">
        <f t="shared" si="357"/>
        <v>1.0227999999999999</v>
      </c>
      <c r="AX185" s="126">
        <f t="shared" si="358"/>
        <v>1.0227999999999999</v>
      </c>
      <c r="AY185" s="126">
        <f t="shared" si="359"/>
        <v>1.0227999999999999</v>
      </c>
      <c r="AZ185" s="126">
        <f t="shared" si="360"/>
        <v>1.0227999999999999</v>
      </c>
      <c r="BA185" s="126">
        <f t="shared" si="361"/>
        <v>1.0227999999999999</v>
      </c>
      <c r="BB185" s="126">
        <f t="shared" si="362"/>
        <v>1.0227999999999999</v>
      </c>
      <c r="BC185" s="126">
        <f t="shared" si="363"/>
        <v>1.0227999999999999</v>
      </c>
    </row>
    <row r="186" spans="2:55">
      <c r="B186" s="6" t="str">
        <f t="shared" si="340"/>
        <v>Podiatrist visits</v>
      </c>
      <c r="C186" s="126">
        <f t="shared" ref="C186:AG186" si="373">(IF(C$175&lt;$C$173, -1, 1) *D37)+1</f>
        <v>0.97719999999999996</v>
      </c>
      <c r="D186" s="126">
        <f t="shared" si="373"/>
        <v>0.97719999999999996</v>
      </c>
      <c r="E186" s="126">
        <f t="shared" si="373"/>
        <v>0.97719999999999996</v>
      </c>
      <c r="F186" s="126">
        <f t="shared" si="373"/>
        <v>0.97719999999999996</v>
      </c>
      <c r="G186" s="126">
        <f t="shared" si="373"/>
        <v>0.97719999999999996</v>
      </c>
      <c r="H186" s="126">
        <f t="shared" si="373"/>
        <v>0.97719999999999996</v>
      </c>
      <c r="I186" s="126">
        <f t="shared" si="373"/>
        <v>0.96699999999999997</v>
      </c>
      <c r="J186" s="126">
        <f t="shared" si="373"/>
        <v>0.98</v>
      </c>
      <c r="K186" s="126">
        <f t="shared" si="373"/>
        <v>1.016</v>
      </c>
      <c r="L186" s="126">
        <f t="shared" si="373"/>
        <v>1.016</v>
      </c>
      <c r="M186" s="126">
        <f t="shared" si="373"/>
        <v>1.0289999999999999</v>
      </c>
      <c r="N186" s="126">
        <f t="shared" si="373"/>
        <v>1.0227999999999999</v>
      </c>
      <c r="O186" s="126">
        <f t="shared" si="373"/>
        <v>1.0227999999999999</v>
      </c>
      <c r="P186" s="126">
        <f t="shared" si="373"/>
        <v>1.0227999999999999</v>
      </c>
      <c r="Q186" s="126">
        <f t="shared" si="373"/>
        <v>1.0227999999999999</v>
      </c>
      <c r="R186" s="126">
        <f t="shared" si="373"/>
        <v>1.0227999999999999</v>
      </c>
      <c r="S186" s="126">
        <f t="shared" si="373"/>
        <v>1.0227999999999999</v>
      </c>
      <c r="T186" s="126">
        <f t="shared" si="373"/>
        <v>1.0227999999999999</v>
      </c>
      <c r="U186" s="126">
        <f t="shared" si="373"/>
        <v>1.0227999999999999</v>
      </c>
      <c r="V186" s="126">
        <f t="shared" si="373"/>
        <v>1.0227999999999999</v>
      </c>
      <c r="W186" s="126">
        <f t="shared" si="373"/>
        <v>1.0227999999999999</v>
      </c>
      <c r="X186" s="126">
        <f t="shared" si="373"/>
        <v>1.0227999999999999</v>
      </c>
      <c r="Y186" s="126">
        <f t="shared" si="373"/>
        <v>1.0227999999999999</v>
      </c>
      <c r="Z186" s="126">
        <f t="shared" si="373"/>
        <v>1.0227999999999999</v>
      </c>
      <c r="AA186" s="126">
        <f t="shared" si="373"/>
        <v>1.0227999999999999</v>
      </c>
      <c r="AB186" s="126">
        <f t="shared" si="373"/>
        <v>1.0227999999999999</v>
      </c>
      <c r="AC186" s="126">
        <f t="shared" si="373"/>
        <v>1.0227999999999999</v>
      </c>
      <c r="AD186" s="126">
        <f t="shared" si="373"/>
        <v>1.0227999999999999</v>
      </c>
      <c r="AE186" s="126">
        <f t="shared" si="373"/>
        <v>1.0227999999999999</v>
      </c>
      <c r="AF186" s="126">
        <f t="shared" si="373"/>
        <v>1.0227999999999999</v>
      </c>
      <c r="AG186" s="126">
        <f t="shared" si="373"/>
        <v>1.0227999999999999</v>
      </c>
      <c r="AH186" s="126">
        <f t="shared" si="342"/>
        <v>1.0227999999999999</v>
      </c>
      <c r="AI186" s="126">
        <f t="shared" si="343"/>
        <v>1.0227999999999999</v>
      </c>
      <c r="AJ186" s="126">
        <f t="shared" si="344"/>
        <v>1.0227999999999999</v>
      </c>
      <c r="AK186" s="126">
        <f t="shared" si="345"/>
        <v>1.0227999999999999</v>
      </c>
      <c r="AL186" s="126">
        <f t="shared" si="346"/>
        <v>1.0227999999999999</v>
      </c>
      <c r="AM186" s="126">
        <f t="shared" si="347"/>
        <v>1.0227999999999999</v>
      </c>
      <c r="AN186" s="126">
        <f t="shared" si="348"/>
        <v>1.0227999999999999</v>
      </c>
      <c r="AO186" s="126">
        <f t="shared" si="349"/>
        <v>1.0227999999999999</v>
      </c>
      <c r="AP186" s="126">
        <f t="shared" si="350"/>
        <v>1.0227999999999999</v>
      </c>
      <c r="AQ186" s="126">
        <f t="shared" si="351"/>
        <v>1.0227999999999999</v>
      </c>
      <c r="AR186" s="126">
        <f t="shared" si="352"/>
        <v>1.0227999999999999</v>
      </c>
      <c r="AS186" s="126">
        <f t="shared" si="353"/>
        <v>1.0227999999999999</v>
      </c>
      <c r="AT186" s="126">
        <f t="shared" si="354"/>
        <v>1.0227999999999999</v>
      </c>
      <c r="AU186" s="126">
        <f t="shared" si="355"/>
        <v>1.0227999999999999</v>
      </c>
      <c r="AV186" s="126">
        <f t="shared" si="356"/>
        <v>1.0227999999999999</v>
      </c>
      <c r="AW186" s="126">
        <f t="shared" si="357"/>
        <v>1.0227999999999999</v>
      </c>
      <c r="AX186" s="126">
        <f t="shared" si="358"/>
        <v>1.0227999999999999</v>
      </c>
      <c r="AY186" s="126">
        <f t="shared" si="359"/>
        <v>1.0227999999999999</v>
      </c>
      <c r="AZ186" s="126">
        <f t="shared" si="360"/>
        <v>1.0227999999999999</v>
      </c>
      <c r="BA186" s="126">
        <f t="shared" si="361"/>
        <v>1.0227999999999999</v>
      </c>
      <c r="BB186" s="126">
        <f t="shared" si="362"/>
        <v>1.0227999999999999</v>
      </c>
      <c r="BC186" s="126">
        <f t="shared" si="363"/>
        <v>1.0227999999999999</v>
      </c>
    </row>
    <row r="187" spans="2:55">
      <c r="B187" s="6" t="str">
        <f t="shared" si="340"/>
        <v>Practice nurse visits</v>
      </c>
      <c r="C187" s="126">
        <f t="shared" ref="C187:AG187" si="374">(IF(C$175&lt;$C$173, -1, 1) *D38)+1</f>
        <v>0.97719999999999996</v>
      </c>
      <c r="D187" s="126">
        <f t="shared" si="374"/>
        <v>0.97719999999999996</v>
      </c>
      <c r="E187" s="126">
        <f t="shared" si="374"/>
        <v>0.97719999999999996</v>
      </c>
      <c r="F187" s="126">
        <f t="shared" si="374"/>
        <v>0.97719999999999996</v>
      </c>
      <c r="G187" s="126">
        <f t="shared" si="374"/>
        <v>0.97719999999999996</v>
      </c>
      <c r="H187" s="126">
        <f t="shared" si="374"/>
        <v>0.97719999999999996</v>
      </c>
      <c r="I187" s="126">
        <f t="shared" si="374"/>
        <v>0.96699999999999997</v>
      </c>
      <c r="J187" s="126">
        <f t="shared" si="374"/>
        <v>0.98</v>
      </c>
      <c r="K187" s="126">
        <f t="shared" si="374"/>
        <v>1.016</v>
      </c>
      <c r="L187" s="126">
        <f t="shared" si="374"/>
        <v>1.016</v>
      </c>
      <c r="M187" s="126">
        <f t="shared" si="374"/>
        <v>1.0289999999999999</v>
      </c>
      <c r="N187" s="126">
        <f t="shared" si="374"/>
        <v>1.0227999999999999</v>
      </c>
      <c r="O187" s="126">
        <f t="shared" si="374"/>
        <v>1.0227999999999999</v>
      </c>
      <c r="P187" s="126">
        <f t="shared" si="374"/>
        <v>1.0227999999999999</v>
      </c>
      <c r="Q187" s="126">
        <f t="shared" si="374"/>
        <v>1.0227999999999999</v>
      </c>
      <c r="R187" s="126">
        <f t="shared" si="374"/>
        <v>1.0227999999999999</v>
      </c>
      <c r="S187" s="126">
        <f t="shared" si="374"/>
        <v>1.0227999999999999</v>
      </c>
      <c r="T187" s="126">
        <f t="shared" si="374"/>
        <v>1.0227999999999999</v>
      </c>
      <c r="U187" s="126">
        <f t="shared" si="374"/>
        <v>1.0227999999999999</v>
      </c>
      <c r="V187" s="126">
        <f t="shared" si="374"/>
        <v>1.0227999999999999</v>
      </c>
      <c r="W187" s="126">
        <f t="shared" si="374"/>
        <v>1.0227999999999999</v>
      </c>
      <c r="X187" s="126">
        <f t="shared" si="374"/>
        <v>1.0227999999999999</v>
      </c>
      <c r="Y187" s="126">
        <f t="shared" si="374"/>
        <v>1.0227999999999999</v>
      </c>
      <c r="Z187" s="126">
        <f t="shared" si="374"/>
        <v>1.0227999999999999</v>
      </c>
      <c r="AA187" s="126">
        <f t="shared" si="374"/>
        <v>1.0227999999999999</v>
      </c>
      <c r="AB187" s="126">
        <f t="shared" si="374"/>
        <v>1.0227999999999999</v>
      </c>
      <c r="AC187" s="126">
        <f t="shared" si="374"/>
        <v>1.0227999999999999</v>
      </c>
      <c r="AD187" s="126">
        <f t="shared" si="374"/>
        <v>1.0227999999999999</v>
      </c>
      <c r="AE187" s="126">
        <f t="shared" si="374"/>
        <v>1.0227999999999999</v>
      </c>
      <c r="AF187" s="126">
        <f t="shared" si="374"/>
        <v>1.0227999999999999</v>
      </c>
      <c r="AG187" s="126">
        <f t="shared" si="374"/>
        <v>1.0227999999999999</v>
      </c>
      <c r="AH187" s="126">
        <f t="shared" si="342"/>
        <v>1.0227999999999999</v>
      </c>
      <c r="AI187" s="126">
        <f t="shared" si="343"/>
        <v>1.0227999999999999</v>
      </c>
      <c r="AJ187" s="126">
        <f t="shared" si="344"/>
        <v>1.0227999999999999</v>
      </c>
      <c r="AK187" s="126">
        <f t="shared" si="345"/>
        <v>1.0227999999999999</v>
      </c>
      <c r="AL187" s="126">
        <f t="shared" si="346"/>
        <v>1.0227999999999999</v>
      </c>
      <c r="AM187" s="126">
        <f t="shared" si="347"/>
        <v>1.0227999999999999</v>
      </c>
      <c r="AN187" s="126">
        <f t="shared" si="348"/>
        <v>1.0227999999999999</v>
      </c>
      <c r="AO187" s="126">
        <f t="shared" si="349"/>
        <v>1.0227999999999999</v>
      </c>
      <c r="AP187" s="126">
        <f t="shared" si="350"/>
        <v>1.0227999999999999</v>
      </c>
      <c r="AQ187" s="126">
        <f t="shared" si="351"/>
        <v>1.0227999999999999</v>
      </c>
      <c r="AR187" s="126">
        <f t="shared" si="352"/>
        <v>1.0227999999999999</v>
      </c>
      <c r="AS187" s="126">
        <f t="shared" si="353"/>
        <v>1.0227999999999999</v>
      </c>
      <c r="AT187" s="126">
        <f t="shared" si="354"/>
        <v>1.0227999999999999</v>
      </c>
      <c r="AU187" s="126">
        <f t="shared" si="355"/>
        <v>1.0227999999999999</v>
      </c>
      <c r="AV187" s="126">
        <f t="shared" si="356"/>
        <v>1.0227999999999999</v>
      </c>
      <c r="AW187" s="126">
        <f t="shared" si="357"/>
        <v>1.0227999999999999</v>
      </c>
      <c r="AX187" s="126">
        <f t="shared" si="358"/>
        <v>1.0227999999999999</v>
      </c>
      <c r="AY187" s="126">
        <f t="shared" si="359"/>
        <v>1.0227999999999999</v>
      </c>
      <c r="AZ187" s="126">
        <f t="shared" si="360"/>
        <v>1.0227999999999999</v>
      </c>
      <c r="BA187" s="126">
        <f t="shared" si="361"/>
        <v>1.0227999999999999</v>
      </c>
      <c r="BB187" s="126">
        <f t="shared" si="362"/>
        <v>1.0227999999999999</v>
      </c>
      <c r="BC187" s="126">
        <f t="shared" si="363"/>
        <v>1.0227999999999999</v>
      </c>
    </row>
    <row r="188" spans="2:55">
      <c r="B188" s="6" t="str">
        <f t="shared" si="340"/>
        <v>Prescriptions for analgesics</v>
      </c>
      <c r="C188" s="126">
        <f t="shared" ref="C188:AG188" si="375">(IF(C$175&lt;$C$173, -1, 1) *D39)+1</f>
        <v>0.95819999999999994</v>
      </c>
      <c r="D188" s="126">
        <f t="shared" si="375"/>
        <v>0.95819999999999994</v>
      </c>
      <c r="E188" s="126">
        <f t="shared" si="375"/>
        <v>0.95819999999999994</v>
      </c>
      <c r="F188" s="126">
        <f t="shared" si="375"/>
        <v>0.95819999999999994</v>
      </c>
      <c r="G188" s="126">
        <f t="shared" si="375"/>
        <v>0.95819999999999994</v>
      </c>
      <c r="H188" s="126">
        <f t="shared" si="375"/>
        <v>0.95819999999999994</v>
      </c>
      <c r="I188" s="126">
        <f t="shared" si="375"/>
        <v>0.95499999999999996</v>
      </c>
      <c r="J188" s="126">
        <f t="shared" si="375"/>
        <v>0.95399999999999996</v>
      </c>
      <c r="K188" s="126">
        <f t="shared" si="375"/>
        <v>1.036</v>
      </c>
      <c r="L188" s="126">
        <f t="shared" si="375"/>
        <v>1.0409999999999999</v>
      </c>
      <c r="M188" s="126">
        <f t="shared" si="375"/>
        <v>1.0409999999999999</v>
      </c>
      <c r="N188" s="126">
        <f t="shared" si="375"/>
        <v>1.0418000000000001</v>
      </c>
      <c r="O188" s="126">
        <f t="shared" si="375"/>
        <v>1.0418000000000001</v>
      </c>
      <c r="P188" s="126">
        <f t="shared" si="375"/>
        <v>1.0418000000000001</v>
      </c>
      <c r="Q188" s="126">
        <f t="shared" si="375"/>
        <v>1.0418000000000001</v>
      </c>
      <c r="R188" s="126">
        <f t="shared" si="375"/>
        <v>1.0418000000000001</v>
      </c>
      <c r="S188" s="126">
        <f t="shared" si="375"/>
        <v>1.0418000000000001</v>
      </c>
      <c r="T188" s="126">
        <f t="shared" si="375"/>
        <v>1.0418000000000001</v>
      </c>
      <c r="U188" s="126">
        <f t="shared" si="375"/>
        <v>1.0418000000000001</v>
      </c>
      <c r="V188" s="126">
        <f t="shared" si="375"/>
        <v>1.0418000000000001</v>
      </c>
      <c r="W188" s="126">
        <f t="shared" si="375"/>
        <v>1.0418000000000001</v>
      </c>
      <c r="X188" s="126">
        <f t="shared" si="375"/>
        <v>1.0418000000000001</v>
      </c>
      <c r="Y188" s="126">
        <f t="shared" si="375"/>
        <v>1.0418000000000001</v>
      </c>
      <c r="Z188" s="126">
        <f t="shared" si="375"/>
        <v>1.0418000000000001</v>
      </c>
      <c r="AA188" s="126">
        <f t="shared" si="375"/>
        <v>1.0418000000000001</v>
      </c>
      <c r="AB188" s="126">
        <f t="shared" si="375"/>
        <v>1.0418000000000001</v>
      </c>
      <c r="AC188" s="126">
        <f t="shared" si="375"/>
        <v>1.0418000000000001</v>
      </c>
      <c r="AD188" s="126">
        <f t="shared" si="375"/>
        <v>1.0418000000000001</v>
      </c>
      <c r="AE188" s="126">
        <f t="shared" si="375"/>
        <v>1.0418000000000001</v>
      </c>
      <c r="AF188" s="126">
        <f t="shared" si="375"/>
        <v>1.0418000000000001</v>
      </c>
      <c r="AG188" s="126">
        <f t="shared" si="375"/>
        <v>1.0418000000000001</v>
      </c>
      <c r="AH188" s="126">
        <f t="shared" si="342"/>
        <v>1.0418000000000001</v>
      </c>
      <c r="AI188" s="126">
        <f t="shared" si="343"/>
        <v>1.0418000000000001</v>
      </c>
      <c r="AJ188" s="126">
        <f t="shared" si="344"/>
        <v>1.0418000000000001</v>
      </c>
      <c r="AK188" s="126">
        <f t="shared" si="345"/>
        <v>1.0418000000000001</v>
      </c>
      <c r="AL188" s="126">
        <f t="shared" si="346"/>
        <v>1.0418000000000001</v>
      </c>
      <c r="AM188" s="126">
        <f t="shared" si="347"/>
        <v>1.0418000000000001</v>
      </c>
      <c r="AN188" s="126">
        <f t="shared" si="348"/>
        <v>1.0418000000000001</v>
      </c>
      <c r="AO188" s="126">
        <f t="shared" si="349"/>
        <v>1.0418000000000001</v>
      </c>
      <c r="AP188" s="126">
        <f t="shared" si="350"/>
        <v>1.0418000000000001</v>
      </c>
      <c r="AQ188" s="126">
        <f t="shared" si="351"/>
        <v>1.0418000000000001</v>
      </c>
      <c r="AR188" s="126">
        <f t="shared" si="352"/>
        <v>1.0418000000000001</v>
      </c>
      <c r="AS188" s="126">
        <f t="shared" si="353"/>
        <v>1.0418000000000001</v>
      </c>
      <c r="AT188" s="126">
        <f t="shared" si="354"/>
        <v>1.0418000000000001</v>
      </c>
      <c r="AU188" s="126">
        <f t="shared" si="355"/>
        <v>1.0418000000000001</v>
      </c>
      <c r="AV188" s="126">
        <f t="shared" si="356"/>
        <v>1.0418000000000001</v>
      </c>
      <c r="AW188" s="126">
        <f t="shared" si="357"/>
        <v>1.0418000000000001</v>
      </c>
      <c r="AX188" s="126">
        <f t="shared" si="358"/>
        <v>1.0418000000000001</v>
      </c>
      <c r="AY188" s="126">
        <f t="shared" si="359"/>
        <v>1.0418000000000001</v>
      </c>
      <c r="AZ188" s="126">
        <f t="shared" si="360"/>
        <v>1.0418000000000001</v>
      </c>
      <c r="BA188" s="126">
        <f t="shared" si="361"/>
        <v>1.0418000000000001</v>
      </c>
      <c r="BB188" s="126">
        <f t="shared" si="362"/>
        <v>1.0418000000000001</v>
      </c>
      <c r="BC188" s="126">
        <f t="shared" si="363"/>
        <v>1.0418000000000001</v>
      </c>
    </row>
    <row r="189" spans="2:55">
      <c r="B189" s="6" t="str">
        <f t="shared" si="340"/>
        <v>Prescriptions for anti-infectives</v>
      </c>
      <c r="C189" s="126">
        <f t="shared" ref="C189:AG189" si="376">(IF(C$175&lt;$C$173, -1, 1) *D40)+1</f>
        <v>0.95819999999999994</v>
      </c>
      <c r="D189" s="126">
        <f t="shared" si="376"/>
        <v>0.95819999999999994</v>
      </c>
      <c r="E189" s="126">
        <f t="shared" si="376"/>
        <v>0.95819999999999994</v>
      </c>
      <c r="F189" s="126">
        <f t="shared" si="376"/>
        <v>0.95819999999999994</v>
      </c>
      <c r="G189" s="126">
        <f t="shared" si="376"/>
        <v>0.95819999999999994</v>
      </c>
      <c r="H189" s="126">
        <f t="shared" si="376"/>
        <v>0.95819999999999994</v>
      </c>
      <c r="I189" s="126">
        <f t="shared" si="376"/>
        <v>0.95499999999999996</v>
      </c>
      <c r="J189" s="126">
        <f t="shared" si="376"/>
        <v>0.95399999999999996</v>
      </c>
      <c r="K189" s="126">
        <f t="shared" si="376"/>
        <v>1.036</v>
      </c>
      <c r="L189" s="126">
        <f t="shared" si="376"/>
        <v>1.0409999999999999</v>
      </c>
      <c r="M189" s="126">
        <f t="shared" si="376"/>
        <v>1.0409999999999999</v>
      </c>
      <c r="N189" s="126">
        <f t="shared" si="376"/>
        <v>1.0418000000000001</v>
      </c>
      <c r="O189" s="126">
        <f t="shared" si="376"/>
        <v>1.0418000000000001</v>
      </c>
      <c r="P189" s="126">
        <f t="shared" si="376"/>
        <v>1.0418000000000001</v>
      </c>
      <c r="Q189" s="126">
        <f t="shared" si="376"/>
        <v>1.0418000000000001</v>
      </c>
      <c r="R189" s="126">
        <f t="shared" si="376"/>
        <v>1.0418000000000001</v>
      </c>
      <c r="S189" s="126">
        <f t="shared" si="376"/>
        <v>1.0418000000000001</v>
      </c>
      <c r="T189" s="126">
        <f t="shared" si="376"/>
        <v>1.0418000000000001</v>
      </c>
      <c r="U189" s="126">
        <f t="shared" si="376"/>
        <v>1.0418000000000001</v>
      </c>
      <c r="V189" s="126">
        <f t="shared" si="376"/>
        <v>1.0418000000000001</v>
      </c>
      <c r="W189" s="126">
        <f t="shared" si="376"/>
        <v>1.0418000000000001</v>
      </c>
      <c r="X189" s="126">
        <f t="shared" si="376"/>
        <v>1.0418000000000001</v>
      </c>
      <c r="Y189" s="126">
        <f t="shared" si="376"/>
        <v>1.0418000000000001</v>
      </c>
      <c r="Z189" s="126">
        <f t="shared" si="376"/>
        <v>1.0418000000000001</v>
      </c>
      <c r="AA189" s="126">
        <f t="shared" si="376"/>
        <v>1.0418000000000001</v>
      </c>
      <c r="AB189" s="126">
        <f t="shared" si="376"/>
        <v>1.0418000000000001</v>
      </c>
      <c r="AC189" s="126">
        <f t="shared" si="376"/>
        <v>1.0418000000000001</v>
      </c>
      <c r="AD189" s="126">
        <f t="shared" si="376"/>
        <v>1.0418000000000001</v>
      </c>
      <c r="AE189" s="126">
        <f t="shared" si="376"/>
        <v>1.0418000000000001</v>
      </c>
      <c r="AF189" s="126">
        <f t="shared" si="376"/>
        <v>1.0418000000000001</v>
      </c>
      <c r="AG189" s="126">
        <f t="shared" si="376"/>
        <v>1.0418000000000001</v>
      </c>
      <c r="AH189" s="126">
        <f t="shared" si="342"/>
        <v>1.0418000000000001</v>
      </c>
      <c r="AI189" s="126">
        <f t="shared" si="343"/>
        <v>1.0418000000000001</v>
      </c>
      <c r="AJ189" s="126">
        <f t="shared" si="344"/>
        <v>1.0418000000000001</v>
      </c>
      <c r="AK189" s="126">
        <f t="shared" si="345"/>
        <v>1.0418000000000001</v>
      </c>
      <c r="AL189" s="126">
        <f t="shared" si="346"/>
        <v>1.0418000000000001</v>
      </c>
      <c r="AM189" s="126">
        <f t="shared" si="347"/>
        <v>1.0418000000000001</v>
      </c>
      <c r="AN189" s="126">
        <f t="shared" si="348"/>
        <v>1.0418000000000001</v>
      </c>
      <c r="AO189" s="126">
        <f t="shared" si="349"/>
        <v>1.0418000000000001</v>
      </c>
      <c r="AP189" s="126">
        <f t="shared" si="350"/>
        <v>1.0418000000000001</v>
      </c>
      <c r="AQ189" s="126">
        <f t="shared" si="351"/>
        <v>1.0418000000000001</v>
      </c>
      <c r="AR189" s="126">
        <f t="shared" si="352"/>
        <v>1.0418000000000001</v>
      </c>
      <c r="AS189" s="126">
        <f t="shared" si="353"/>
        <v>1.0418000000000001</v>
      </c>
      <c r="AT189" s="126">
        <f t="shared" si="354"/>
        <v>1.0418000000000001</v>
      </c>
      <c r="AU189" s="126">
        <f t="shared" si="355"/>
        <v>1.0418000000000001</v>
      </c>
      <c r="AV189" s="126">
        <f t="shared" si="356"/>
        <v>1.0418000000000001</v>
      </c>
      <c r="AW189" s="126">
        <f t="shared" si="357"/>
        <v>1.0418000000000001</v>
      </c>
      <c r="AX189" s="126">
        <f t="shared" si="358"/>
        <v>1.0418000000000001</v>
      </c>
      <c r="AY189" s="126">
        <f t="shared" si="359"/>
        <v>1.0418000000000001</v>
      </c>
      <c r="AZ189" s="126">
        <f t="shared" si="360"/>
        <v>1.0418000000000001</v>
      </c>
      <c r="BA189" s="126">
        <f t="shared" si="361"/>
        <v>1.0418000000000001</v>
      </c>
      <c r="BB189" s="126">
        <f t="shared" si="362"/>
        <v>1.0418000000000001</v>
      </c>
      <c r="BC189" s="126">
        <f t="shared" si="363"/>
        <v>1.0418000000000001</v>
      </c>
    </row>
    <row r="190" spans="2:55">
      <c r="B190" s="6" t="str">
        <f t="shared" si="340"/>
        <v>Neuroleptics</v>
      </c>
      <c r="C190" s="126">
        <f t="shared" ref="C190:AG190" si="377">(IF(C$175&lt;$C$173, -1, 1) *D41)+1</f>
        <v>0.95819999999999994</v>
      </c>
      <c r="D190" s="126">
        <f t="shared" si="377"/>
        <v>0.95819999999999994</v>
      </c>
      <c r="E190" s="126">
        <f t="shared" si="377"/>
        <v>0.95819999999999994</v>
      </c>
      <c r="F190" s="126">
        <f t="shared" si="377"/>
        <v>0.95819999999999994</v>
      </c>
      <c r="G190" s="126">
        <f t="shared" si="377"/>
        <v>0.95819999999999994</v>
      </c>
      <c r="H190" s="126">
        <f t="shared" si="377"/>
        <v>0.95819999999999994</v>
      </c>
      <c r="I190" s="126">
        <f t="shared" si="377"/>
        <v>0.95499999999999996</v>
      </c>
      <c r="J190" s="126">
        <f t="shared" si="377"/>
        <v>0.95399999999999996</v>
      </c>
      <c r="K190" s="126">
        <f t="shared" si="377"/>
        <v>1.036</v>
      </c>
      <c r="L190" s="126">
        <f t="shared" si="377"/>
        <v>1.0409999999999999</v>
      </c>
      <c r="M190" s="126">
        <f t="shared" si="377"/>
        <v>1.0409999999999999</v>
      </c>
      <c r="N190" s="126">
        <f t="shared" si="377"/>
        <v>1.0418000000000001</v>
      </c>
      <c r="O190" s="126">
        <f t="shared" si="377"/>
        <v>1.0418000000000001</v>
      </c>
      <c r="P190" s="126">
        <f t="shared" si="377"/>
        <v>1.0418000000000001</v>
      </c>
      <c r="Q190" s="126">
        <f t="shared" si="377"/>
        <v>1.0418000000000001</v>
      </c>
      <c r="R190" s="126">
        <f t="shared" si="377"/>
        <v>1.0418000000000001</v>
      </c>
      <c r="S190" s="126">
        <f t="shared" si="377"/>
        <v>1.0418000000000001</v>
      </c>
      <c r="T190" s="126">
        <f t="shared" si="377"/>
        <v>1.0418000000000001</v>
      </c>
      <c r="U190" s="126">
        <f t="shared" si="377"/>
        <v>1.0418000000000001</v>
      </c>
      <c r="V190" s="126">
        <f t="shared" si="377"/>
        <v>1.0418000000000001</v>
      </c>
      <c r="W190" s="126">
        <f t="shared" si="377"/>
        <v>1.0418000000000001</v>
      </c>
      <c r="X190" s="126">
        <f t="shared" si="377"/>
        <v>1.0418000000000001</v>
      </c>
      <c r="Y190" s="126">
        <f t="shared" si="377"/>
        <v>1.0418000000000001</v>
      </c>
      <c r="Z190" s="126">
        <f t="shared" si="377"/>
        <v>1.0418000000000001</v>
      </c>
      <c r="AA190" s="126">
        <f t="shared" si="377"/>
        <v>1.0418000000000001</v>
      </c>
      <c r="AB190" s="126">
        <f t="shared" si="377"/>
        <v>1.0418000000000001</v>
      </c>
      <c r="AC190" s="126">
        <f t="shared" si="377"/>
        <v>1.0418000000000001</v>
      </c>
      <c r="AD190" s="126">
        <f t="shared" si="377"/>
        <v>1.0418000000000001</v>
      </c>
      <c r="AE190" s="126">
        <f t="shared" si="377"/>
        <v>1.0418000000000001</v>
      </c>
      <c r="AF190" s="126">
        <f t="shared" si="377"/>
        <v>1.0418000000000001</v>
      </c>
      <c r="AG190" s="126">
        <f t="shared" si="377"/>
        <v>1.0418000000000001</v>
      </c>
      <c r="AH190" s="126">
        <f t="shared" si="342"/>
        <v>1.0418000000000001</v>
      </c>
      <c r="AI190" s="126">
        <f t="shared" si="343"/>
        <v>1.0418000000000001</v>
      </c>
      <c r="AJ190" s="126">
        <f t="shared" si="344"/>
        <v>1.0418000000000001</v>
      </c>
      <c r="AK190" s="126">
        <f t="shared" si="345"/>
        <v>1.0418000000000001</v>
      </c>
      <c r="AL190" s="126">
        <f t="shared" si="346"/>
        <v>1.0418000000000001</v>
      </c>
      <c r="AM190" s="126">
        <f t="shared" si="347"/>
        <v>1.0418000000000001</v>
      </c>
      <c r="AN190" s="126">
        <f t="shared" si="348"/>
        <v>1.0418000000000001</v>
      </c>
      <c r="AO190" s="126">
        <f t="shared" si="349"/>
        <v>1.0418000000000001</v>
      </c>
      <c r="AP190" s="126">
        <f t="shared" si="350"/>
        <v>1.0418000000000001</v>
      </c>
      <c r="AQ190" s="126">
        <f t="shared" si="351"/>
        <v>1.0418000000000001</v>
      </c>
      <c r="AR190" s="126">
        <f t="shared" si="352"/>
        <v>1.0418000000000001</v>
      </c>
      <c r="AS190" s="126">
        <f t="shared" si="353"/>
        <v>1.0418000000000001</v>
      </c>
      <c r="AT190" s="126">
        <f t="shared" si="354"/>
        <v>1.0418000000000001</v>
      </c>
      <c r="AU190" s="126">
        <f t="shared" si="355"/>
        <v>1.0418000000000001</v>
      </c>
      <c r="AV190" s="126">
        <f t="shared" si="356"/>
        <v>1.0418000000000001</v>
      </c>
      <c r="AW190" s="126">
        <f t="shared" si="357"/>
        <v>1.0418000000000001</v>
      </c>
      <c r="AX190" s="126">
        <f t="shared" si="358"/>
        <v>1.0418000000000001</v>
      </c>
      <c r="AY190" s="126">
        <f t="shared" si="359"/>
        <v>1.0418000000000001</v>
      </c>
      <c r="AZ190" s="126">
        <f t="shared" si="360"/>
        <v>1.0418000000000001</v>
      </c>
      <c r="BA190" s="126">
        <f t="shared" si="361"/>
        <v>1.0418000000000001</v>
      </c>
      <c r="BB190" s="126">
        <f t="shared" si="362"/>
        <v>1.0418000000000001</v>
      </c>
      <c r="BC190" s="126">
        <f t="shared" si="363"/>
        <v>1.0418000000000001</v>
      </c>
    </row>
    <row r="191" spans="2:55">
      <c r="B191" s="6" t="str">
        <f t="shared" si="340"/>
        <v>Absorbent dressing</v>
      </c>
      <c r="C191" s="126">
        <f t="shared" ref="C191:AG191" si="378">(IF(C$175&lt;$C$173, -1, 1) *D42)+1</f>
        <v>0.98099999999999998</v>
      </c>
      <c r="D191" s="126">
        <f t="shared" si="378"/>
        <v>0.98099999999999998</v>
      </c>
      <c r="E191" s="126">
        <f t="shared" si="378"/>
        <v>0.98099999999999998</v>
      </c>
      <c r="F191" s="126">
        <f t="shared" si="378"/>
        <v>0.98099999999999998</v>
      </c>
      <c r="G191" s="126">
        <f t="shared" si="378"/>
        <v>0.98099999999999998</v>
      </c>
      <c r="H191" s="126">
        <f t="shared" si="378"/>
        <v>0.98099999999999998</v>
      </c>
      <c r="I191" s="126">
        <f t="shared" si="378"/>
        <v>0.98299999999999998</v>
      </c>
      <c r="J191" s="126">
        <f t="shared" si="378"/>
        <v>0.98199999999999998</v>
      </c>
      <c r="K191" s="126">
        <f t="shared" si="378"/>
        <v>1.0209999999999999</v>
      </c>
      <c r="L191" s="126">
        <f t="shared" si="378"/>
        <v>1.0189999999999999</v>
      </c>
      <c r="M191" s="126">
        <f t="shared" si="378"/>
        <v>1.02</v>
      </c>
      <c r="N191" s="126">
        <f t="shared" si="378"/>
        <v>1.0189999999999999</v>
      </c>
      <c r="O191" s="126">
        <f t="shared" si="378"/>
        <v>1.0189999999999999</v>
      </c>
      <c r="P191" s="126">
        <f t="shared" si="378"/>
        <v>1.0189999999999999</v>
      </c>
      <c r="Q191" s="126">
        <f t="shared" si="378"/>
        <v>1.0189999999999999</v>
      </c>
      <c r="R191" s="126">
        <f t="shared" si="378"/>
        <v>1.0189999999999999</v>
      </c>
      <c r="S191" s="126">
        <f t="shared" si="378"/>
        <v>1.0189999999999999</v>
      </c>
      <c r="T191" s="126">
        <f t="shared" si="378"/>
        <v>1.0189999999999999</v>
      </c>
      <c r="U191" s="126">
        <f t="shared" si="378"/>
        <v>1.0189999999999999</v>
      </c>
      <c r="V191" s="126">
        <f t="shared" si="378"/>
        <v>1.0189999999999999</v>
      </c>
      <c r="W191" s="126">
        <f t="shared" si="378"/>
        <v>1.0189999999999999</v>
      </c>
      <c r="X191" s="126">
        <f t="shared" si="378"/>
        <v>1.0189999999999999</v>
      </c>
      <c r="Y191" s="126">
        <f t="shared" si="378"/>
        <v>1.0189999999999999</v>
      </c>
      <c r="Z191" s="126">
        <f t="shared" si="378"/>
        <v>1.0189999999999999</v>
      </c>
      <c r="AA191" s="126">
        <f t="shared" si="378"/>
        <v>1.0189999999999999</v>
      </c>
      <c r="AB191" s="126">
        <f t="shared" si="378"/>
        <v>1.0189999999999999</v>
      </c>
      <c r="AC191" s="126">
        <f t="shared" si="378"/>
        <v>1.0189999999999999</v>
      </c>
      <c r="AD191" s="126">
        <f t="shared" si="378"/>
        <v>1.0189999999999999</v>
      </c>
      <c r="AE191" s="126">
        <f t="shared" si="378"/>
        <v>1.0189999999999999</v>
      </c>
      <c r="AF191" s="126">
        <f t="shared" si="378"/>
        <v>1.0189999999999999</v>
      </c>
      <c r="AG191" s="126">
        <f t="shared" si="378"/>
        <v>1.0189999999999999</v>
      </c>
      <c r="AH191" s="126">
        <f t="shared" si="342"/>
        <v>1.0189999999999999</v>
      </c>
      <c r="AI191" s="126">
        <f t="shared" si="343"/>
        <v>1.0189999999999999</v>
      </c>
      <c r="AJ191" s="126">
        <f t="shared" si="344"/>
        <v>1.0189999999999999</v>
      </c>
      <c r="AK191" s="126">
        <f t="shared" si="345"/>
        <v>1.0189999999999999</v>
      </c>
      <c r="AL191" s="126">
        <f t="shared" si="346"/>
        <v>1.0189999999999999</v>
      </c>
      <c r="AM191" s="126">
        <f t="shared" si="347"/>
        <v>1.0189999999999999</v>
      </c>
      <c r="AN191" s="126">
        <f t="shared" si="348"/>
        <v>1.0189999999999999</v>
      </c>
      <c r="AO191" s="126">
        <f t="shared" si="349"/>
        <v>1.0189999999999999</v>
      </c>
      <c r="AP191" s="126">
        <f t="shared" si="350"/>
        <v>1.0189999999999999</v>
      </c>
      <c r="AQ191" s="126">
        <f t="shared" si="351"/>
        <v>1.0189999999999999</v>
      </c>
      <c r="AR191" s="126">
        <f t="shared" si="352"/>
        <v>1.0189999999999999</v>
      </c>
      <c r="AS191" s="126">
        <f t="shared" si="353"/>
        <v>1.0189999999999999</v>
      </c>
      <c r="AT191" s="126">
        <f t="shared" si="354"/>
        <v>1.0189999999999999</v>
      </c>
      <c r="AU191" s="126">
        <f t="shared" si="355"/>
        <v>1.0189999999999999</v>
      </c>
      <c r="AV191" s="126">
        <f t="shared" si="356"/>
        <v>1.0189999999999999</v>
      </c>
      <c r="AW191" s="126">
        <f t="shared" si="357"/>
        <v>1.0189999999999999</v>
      </c>
      <c r="AX191" s="126">
        <f t="shared" si="358"/>
        <v>1.0189999999999999</v>
      </c>
      <c r="AY191" s="126">
        <f t="shared" si="359"/>
        <v>1.0189999999999999</v>
      </c>
      <c r="AZ191" s="126">
        <f t="shared" si="360"/>
        <v>1.0189999999999999</v>
      </c>
      <c r="BA191" s="126">
        <f t="shared" si="361"/>
        <v>1.0189999999999999</v>
      </c>
      <c r="BB191" s="126">
        <f t="shared" si="362"/>
        <v>1.0189999999999999</v>
      </c>
      <c r="BC191" s="126">
        <f t="shared" si="363"/>
        <v>1.0189999999999999</v>
      </c>
    </row>
    <row r="192" spans="2:55">
      <c r="B192" s="6" t="str">
        <f t="shared" si="340"/>
        <v>Alginate dressing</v>
      </c>
      <c r="C192" s="126">
        <f t="shared" ref="C192:AG192" si="379">(IF(C$175&lt;$C$173, -1, 1) *D43)+1</f>
        <v>0.98099999999999998</v>
      </c>
      <c r="D192" s="126">
        <f t="shared" si="379"/>
        <v>0.98099999999999998</v>
      </c>
      <c r="E192" s="126">
        <f t="shared" si="379"/>
        <v>0.98099999999999998</v>
      </c>
      <c r="F192" s="126">
        <f t="shared" si="379"/>
        <v>0.98099999999999998</v>
      </c>
      <c r="G192" s="126">
        <f t="shared" si="379"/>
        <v>0.98099999999999998</v>
      </c>
      <c r="H192" s="126">
        <f t="shared" si="379"/>
        <v>0.98099999999999998</v>
      </c>
      <c r="I192" s="126">
        <f t="shared" si="379"/>
        <v>0.98299999999999998</v>
      </c>
      <c r="J192" s="126">
        <f t="shared" si="379"/>
        <v>0.98199999999999998</v>
      </c>
      <c r="K192" s="126">
        <f t="shared" si="379"/>
        <v>1.0209999999999999</v>
      </c>
      <c r="L192" s="126">
        <f t="shared" si="379"/>
        <v>1.0189999999999999</v>
      </c>
      <c r="M192" s="126">
        <f t="shared" si="379"/>
        <v>1.02</v>
      </c>
      <c r="N192" s="126">
        <f t="shared" si="379"/>
        <v>1.0189999999999999</v>
      </c>
      <c r="O192" s="126">
        <f t="shared" si="379"/>
        <v>1.0189999999999999</v>
      </c>
      <c r="P192" s="126">
        <f t="shared" si="379"/>
        <v>1.0189999999999999</v>
      </c>
      <c r="Q192" s="126">
        <f t="shared" si="379"/>
        <v>1.0189999999999999</v>
      </c>
      <c r="R192" s="126">
        <f t="shared" si="379"/>
        <v>1.0189999999999999</v>
      </c>
      <c r="S192" s="126">
        <f t="shared" si="379"/>
        <v>1.0189999999999999</v>
      </c>
      <c r="T192" s="126">
        <f t="shared" si="379"/>
        <v>1.0189999999999999</v>
      </c>
      <c r="U192" s="126">
        <f t="shared" si="379"/>
        <v>1.0189999999999999</v>
      </c>
      <c r="V192" s="126">
        <f t="shared" si="379"/>
        <v>1.0189999999999999</v>
      </c>
      <c r="W192" s="126">
        <f t="shared" si="379"/>
        <v>1.0189999999999999</v>
      </c>
      <c r="X192" s="126">
        <f t="shared" si="379"/>
        <v>1.0189999999999999</v>
      </c>
      <c r="Y192" s="126">
        <f t="shared" si="379"/>
        <v>1.0189999999999999</v>
      </c>
      <c r="Z192" s="126">
        <f t="shared" si="379"/>
        <v>1.0189999999999999</v>
      </c>
      <c r="AA192" s="126">
        <f t="shared" si="379"/>
        <v>1.0189999999999999</v>
      </c>
      <c r="AB192" s="126">
        <f t="shared" si="379"/>
        <v>1.0189999999999999</v>
      </c>
      <c r="AC192" s="126">
        <f t="shared" si="379"/>
        <v>1.0189999999999999</v>
      </c>
      <c r="AD192" s="126">
        <f t="shared" si="379"/>
        <v>1.0189999999999999</v>
      </c>
      <c r="AE192" s="126">
        <f t="shared" si="379"/>
        <v>1.0189999999999999</v>
      </c>
      <c r="AF192" s="126">
        <f t="shared" si="379"/>
        <v>1.0189999999999999</v>
      </c>
      <c r="AG192" s="126">
        <f t="shared" si="379"/>
        <v>1.0189999999999999</v>
      </c>
      <c r="AH192" s="126">
        <f t="shared" si="342"/>
        <v>1.0189999999999999</v>
      </c>
      <c r="AI192" s="126">
        <f t="shared" si="343"/>
        <v>1.0189999999999999</v>
      </c>
      <c r="AJ192" s="126">
        <f t="shared" si="344"/>
        <v>1.0189999999999999</v>
      </c>
      <c r="AK192" s="126">
        <f t="shared" si="345"/>
        <v>1.0189999999999999</v>
      </c>
      <c r="AL192" s="126">
        <f t="shared" si="346"/>
        <v>1.0189999999999999</v>
      </c>
      <c r="AM192" s="126">
        <f t="shared" si="347"/>
        <v>1.0189999999999999</v>
      </c>
      <c r="AN192" s="126">
        <f t="shared" si="348"/>
        <v>1.0189999999999999</v>
      </c>
      <c r="AO192" s="126">
        <f t="shared" si="349"/>
        <v>1.0189999999999999</v>
      </c>
      <c r="AP192" s="126">
        <f t="shared" si="350"/>
        <v>1.0189999999999999</v>
      </c>
      <c r="AQ192" s="126">
        <f t="shared" si="351"/>
        <v>1.0189999999999999</v>
      </c>
      <c r="AR192" s="126">
        <f t="shared" si="352"/>
        <v>1.0189999999999999</v>
      </c>
      <c r="AS192" s="126">
        <f t="shared" si="353"/>
        <v>1.0189999999999999</v>
      </c>
      <c r="AT192" s="126">
        <f t="shared" si="354"/>
        <v>1.0189999999999999</v>
      </c>
      <c r="AU192" s="126">
        <f t="shared" si="355"/>
        <v>1.0189999999999999</v>
      </c>
      <c r="AV192" s="126">
        <f t="shared" si="356"/>
        <v>1.0189999999999999</v>
      </c>
      <c r="AW192" s="126">
        <f t="shared" si="357"/>
        <v>1.0189999999999999</v>
      </c>
      <c r="AX192" s="126">
        <f t="shared" si="358"/>
        <v>1.0189999999999999</v>
      </c>
      <c r="AY192" s="126">
        <f t="shared" si="359"/>
        <v>1.0189999999999999</v>
      </c>
      <c r="AZ192" s="126">
        <f t="shared" si="360"/>
        <v>1.0189999999999999</v>
      </c>
      <c r="BA192" s="126">
        <f t="shared" si="361"/>
        <v>1.0189999999999999</v>
      </c>
      <c r="BB192" s="126">
        <f t="shared" si="362"/>
        <v>1.0189999999999999</v>
      </c>
      <c r="BC192" s="126">
        <f t="shared" si="363"/>
        <v>1.0189999999999999</v>
      </c>
    </row>
    <row r="193" spans="2:55">
      <c r="B193" s="6" t="str">
        <f t="shared" si="340"/>
        <v>Antimicrobial dressing</v>
      </c>
      <c r="C193" s="126">
        <f t="shared" ref="C193:AG193" si="380">(IF(C$175&lt;$C$173, -1, 1) *D44)+1</f>
        <v>0.98099999999999998</v>
      </c>
      <c r="D193" s="126">
        <f t="shared" si="380"/>
        <v>0.98099999999999998</v>
      </c>
      <c r="E193" s="126">
        <f t="shared" si="380"/>
        <v>0.98099999999999998</v>
      </c>
      <c r="F193" s="126">
        <f t="shared" si="380"/>
        <v>0.98099999999999998</v>
      </c>
      <c r="G193" s="126">
        <f t="shared" si="380"/>
        <v>0.98099999999999998</v>
      </c>
      <c r="H193" s="126">
        <f t="shared" si="380"/>
        <v>0.98099999999999998</v>
      </c>
      <c r="I193" s="126">
        <f t="shared" si="380"/>
        <v>0.98299999999999998</v>
      </c>
      <c r="J193" s="126">
        <f t="shared" si="380"/>
        <v>0.98199999999999998</v>
      </c>
      <c r="K193" s="126">
        <f t="shared" si="380"/>
        <v>1.0209999999999999</v>
      </c>
      <c r="L193" s="126">
        <f t="shared" si="380"/>
        <v>1.0189999999999999</v>
      </c>
      <c r="M193" s="126">
        <f t="shared" si="380"/>
        <v>1.02</v>
      </c>
      <c r="N193" s="126">
        <f t="shared" si="380"/>
        <v>1.0189999999999999</v>
      </c>
      <c r="O193" s="126">
        <f t="shared" si="380"/>
        <v>1.0189999999999999</v>
      </c>
      <c r="P193" s="126">
        <f t="shared" si="380"/>
        <v>1.0189999999999999</v>
      </c>
      <c r="Q193" s="126">
        <f t="shared" si="380"/>
        <v>1.0189999999999999</v>
      </c>
      <c r="R193" s="126">
        <f t="shared" si="380"/>
        <v>1.0189999999999999</v>
      </c>
      <c r="S193" s="126">
        <f t="shared" si="380"/>
        <v>1.0189999999999999</v>
      </c>
      <c r="T193" s="126">
        <f t="shared" si="380"/>
        <v>1.0189999999999999</v>
      </c>
      <c r="U193" s="126">
        <f t="shared" si="380"/>
        <v>1.0189999999999999</v>
      </c>
      <c r="V193" s="126">
        <f t="shared" si="380"/>
        <v>1.0189999999999999</v>
      </c>
      <c r="W193" s="126">
        <f t="shared" si="380"/>
        <v>1.0189999999999999</v>
      </c>
      <c r="X193" s="126">
        <f t="shared" si="380"/>
        <v>1.0189999999999999</v>
      </c>
      <c r="Y193" s="126">
        <f t="shared" si="380"/>
        <v>1.0189999999999999</v>
      </c>
      <c r="Z193" s="126">
        <f t="shared" si="380"/>
        <v>1.0189999999999999</v>
      </c>
      <c r="AA193" s="126">
        <f t="shared" si="380"/>
        <v>1.0189999999999999</v>
      </c>
      <c r="AB193" s="126">
        <f t="shared" si="380"/>
        <v>1.0189999999999999</v>
      </c>
      <c r="AC193" s="126">
        <f t="shared" si="380"/>
        <v>1.0189999999999999</v>
      </c>
      <c r="AD193" s="126">
        <f t="shared" si="380"/>
        <v>1.0189999999999999</v>
      </c>
      <c r="AE193" s="126">
        <f t="shared" si="380"/>
        <v>1.0189999999999999</v>
      </c>
      <c r="AF193" s="126">
        <f t="shared" si="380"/>
        <v>1.0189999999999999</v>
      </c>
      <c r="AG193" s="126">
        <f t="shared" si="380"/>
        <v>1.0189999999999999</v>
      </c>
      <c r="AH193" s="126">
        <f t="shared" si="342"/>
        <v>1.0189999999999999</v>
      </c>
      <c r="AI193" s="126">
        <f t="shared" si="343"/>
        <v>1.0189999999999999</v>
      </c>
      <c r="AJ193" s="126">
        <f t="shared" si="344"/>
        <v>1.0189999999999999</v>
      </c>
      <c r="AK193" s="126">
        <f t="shared" si="345"/>
        <v>1.0189999999999999</v>
      </c>
      <c r="AL193" s="126">
        <f t="shared" si="346"/>
        <v>1.0189999999999999</v>
      </c>
      <c r="AM193" s="126">
        <f t="shared" si="347"/>
        <v>1.0189999999999999</v>
      </c>
      <c r="AN193" s="126">
        <f t="shared" si="348"/>
        <v>1.0189999999999999</v>
      </c>
      <c r="AO193" s="126">
        <f t="shared" si="349"/>
        <v>1.0189999999999999</v>
      </c>
      <c r="AP193" s="126">
        <f t="shared" si="350"/>
        <v>1.0189999999999999</v>
      </c>
      <c r="AQ193" s="126">
        <f t="shared" si="351"/>
        <v>1.0189999999999999</v>
      </c>
      <c r="AR193" s="126">
        <f t="shared" si="352"/>
        <v>1.0189999999999999</v>
      </c>
      <c r="AS193" s="126">
        <f t="shared" si="353"/>
        <v>1.0189999999999999</v>
      </c>
      <c r="AT193" s="126">
        <f t="shared" si="354"/>
        <v>1.0189999999999999</v>
      </c>
      <c r="AU193" s="126">
        <f t="shared" si="355"/>
        <v>1.0189999999999999</v>
      </c>
      <c r="AV193" s="126">
        <f t="shared" si="356"/>
        <v>1.0189999999999999</v>
      </c>
      <c r="AW193" s="126">
        <f t="shared" si="357"/>
        <v>1.0189999999999999</v>
      </c>
      <c r="AX193" s="126">
        <f t="shared" si="358"/>
        <v>1.0189999999999999</v>
      </c>
      <c r="AY193" s="126">
        <f t="shared" si="359"/>
        <v>1.0189999999999999</v>
      </c>
      <c r="AZ193" s="126">
        <f t="shared" si="360"/>
        <v>1.0189999999999999</v>
      </c>
      <c r="BA193" s="126">
        <f t="shared" si="361"/>
        <v>1.0189999999999999</v>
      </c>
      <c r="BB193" s="126">
        <f t="shared" si="362"/>
        <v>1.0189999999999999</v>
      </c>
      <c r="BC193" s="126">
        <f t="shared" si="363"/>
        <v>1.0189999999999999</v>
      </c>
    </row>
    <row r="194" spans="2:55">
      <c r="B194" s="6" t="str">
        <f t="shared" si="340"/>
        <v>Capillary-action dressing</v>
      </c>
      <c r="C194" s="126">
        <f t="shared" ref="C194:AG194" si="381">(IF(C$175&lt;$C$173, -1, 1) *D45)+1</f>
        <v>0.98099999999999998</v>
      </c>
      <c r="D194" s="126">
        <f t="shared" si="381"/>
        <v>0.98099999999999998</v>
      </c>
      <c r="E194" s="126">
        <f t="shared" si="381"/>
        <v>0.98099999999999998</v>
      </c>
      <c r="F194" s="126">
        <f t="shared" si="381"/>
        <v>0.98099999999999998</v>
      </c>
      <c r="G194" s="126">
        <f t="shared" si="381"/>
        <v>0.98099999999999998</v>
      </c>
      <c r="H194" s="126">
        <f t="shared" si="381"/>
        <v>0.98099999999999998</v>
      </c>
      <c r="I194" s="126">
        <f t="shared" si="381"/>
        <v>0.98299999999999998</v>
      </c>
      <c r="J194" s="126">
        <f t="shared" si="381"/>
        <v>0.98199999999999998</v>
      </c>
      <c r="K194" s="126">
        <f t="shared" si="381"/>
        <v>1.0209999999999999</v>
      </c>
      <c r="L194" s="126">
        <f t="shared" si="381"/>
        <v>1.0189999999999999</v>
      </c>
      <c r="M194" s="126">
        <f t="shared" si="381"/>
        <v>1.02</v>
      </c>
      <c r="N194" s="126">
        <f t="shared" si="381"/>
        <v>1.0189999999999999</v>
      </c>
      <c r="O194" s="126">
        <f t="shared" si="381"/>
        <v>1.0189999999999999</v>
      </c>
      <c r="P194" s="126">
        <f t="shared" si="381"/>
        <v>1.0189999999999999</v>
      </c>
      <c r="Q194" s="126">
        <f t="shared" si="381"/>
        <v>1.0189999999999999</v>
      </c>
      <c r="R194" s="126">
        <f t="shared" si="381"/>
        <v>1.0189999999999999</v>
      </c>
      <c r="S194" s="126">
        <f t="shared" si="381"/>
        <v>1.0189999999999999</v>
      </c>
      <c r="T194" s="126">
        <f t="shared" si="381"/>
        <v>1.0189999999999999</v>
      </c>
      <c r="U194" s="126">
        <f t="shared" si="381"/>
        <v>1.0189999999999999</v>
      </c>
      <c r="V194" s="126">
        <f t="shared" si="381"/>
        <v>1.0189999999999999</v>
      </c>
      <c r="W194" s="126">
        <f t="shared" si="381"/>
        <v>1.0189999999999999</v>
      </c>
      <c r="X194" s="126">
        <f t="shared" si="381"/>
        <v>1.0189999999999999</v>
      </c>
      <c r="Y194" s="126">
        <f t="shared" si="381"/>
        <v>1.0189999999999999</v>
      </c>
      <c r="Z194" s="126">
        <f t="shared" si="381"/>
        <v>1.0189999999999999</v>
      </c>
      <c r="AA194" s="126">
        <f t="shared" si="381"/>
        <v>1.0189999999999999</v>
      </c>
      <c r="AB194" s="126">
        <f t="shared" si="381"/>
        <v>1.0189999999999999</v>
      </c>
      <c r="AC194" s="126">
        <f t="shared" si="381"/>
        <v>1.0189999999999999</v>
      </c>
      <c r="AD194" s="126">
        <f t="shared" si="381"/>
        <v>1.0189999999999999</v>
      </c>
      <c r="AE194" s="126">
        <f t="shared" si="381"/>
        <v>1.0189999999999999</v>
      </c>
      <c r="AF194" s="126">
        <f t="shared" si="381"/>
        <v>1.0189999999999999</v>
      </c>
      <c r="AG194" s="126">
        <f t="shared" si="381"/>
        <v>1.0189999999999999</v>
      </c>
      <c r="AH194" s="126">
        <f t="shared" si="342"/>
        <v>1.0189999999999999</v>
      </c>
      <c r="AI194" s="126">
        <f t="shared" si="343"/>
        <v>1.0189999999999999</v>
      </c>
      <c r="AJ194" s="126">
        <f t="shared" si="344"/>
        <v>1.0189999999999999</v>
      </c>
      <c r="AK194" s="126">
        <f t="shared" si="345"/>
        <v>1.0189999999999999</v>
      </c>
      <c r="AL194" s="126">
        <f t="shared" si="346"/>
        <v>1.0189999999999999</v>
      </c>
      <c r="AM194" s="126">
        <f t="shared" si="347"/>
        <v>1.0189999999999999</v>
      </c>
      <c r="AN194" s="126">
        <f t="shared" si="348"/>
        <v>1.0189999999999999</v>
      </c>
      <c r="AO194" s="126">
        <f t="shared" si="349"/>
        <v>1.0189999999999999</v>
      </c>
      <c r="AP194" s="126">
        <f t="shared" si="350"/>
        <v>1.0189999999999999</v>
      </c>
      <c r="AQ194" s="126">
        <f t="shared" si="351"/>
        <v>1.0189999999999999</v>
      </c>
      <c r="AR194" s="126">
        <f t="shared" si="352"/>
        <v>1.0189999999999999</v>
      </c>
      <c r="AS194" s="126">
        <f t="shared" si="353"/>
        <v>1.0189999999999999</v>
      </c>
      <c r="AT194" s="126">
        <f t="shared" si="354"/>
        <v>1.0189999999999999</v>
      </c>
      <c r="AU194" s="126">
        <f t="shared" si="355"/>
        <v>1.0189999999999999</v>
      </c>
      <c r="AV194" s="126">
        <f t="shared" si="356"/>
        <v>1.0189999999999999</v>
      </c>
      <c r="AW194" s="126">
        <f t="shared" si="357"/>
        <v>1.0189999999999999</v>
      </c>
      <c r="AX194" s="126">
        <f t="shared" si="358"/>
        <v>1.0189999999999999</v>
      </c>
      <c r="AY194" s="126">
        <f t="shared" si="359"/>
        <v>1.0189999999999999</v>
      </c>
      <c r="AZ194" s="126">
        <f t="shared" si="360"/>
        <v>1.0189999999999999</v>
      </c>
      <c r="BA194" s="126">
        <f t="shared" si="361"/>
        <v>1.0189999999999999</v>
      </c>
      <c r="BB194" s="126">
        <f t="shared" si="362"/>
        <v>1.0189999999999999</v>
      </c>
      <c r="BC194" s="126">
        <f t="shared" si="363"/>
        <v>1.0189999999999999</v>
      </c>
    </row>
    <row r="195" spans="2:55">
      <c r="B195" s="6" t="str">
        <f t="shared" si="340"/>
        <v>Foam dressing</v>
      </c>
      <c r="C195" s="126">
        <f t="shared" ref="C195:AG195" si="382">(IF(C$175&lt;$C$173, -1, 1) *D46)+1</f>
        <v>0.98099999999999998</v>
      </c>
      <c r="D195" s="126">
        <f t="shared" si="382"/>
        <v>0.98099999999999998</v>
      </c>
      <c r="E195" s="126">
        <f t="shared" si="382"/>
        <v>0.98099999999999998</v>
      </c>
      <c r="F195" s="126">
        <f t="shared" si="382"/>
        <v>0.98099999999999998</v>
      </c>
      <c r="G195" s="126">
        <f t="shared" si="382"/>
        <v>0.98099999999999998</v>
      </c>
      <c r="H195" s="126">
        <f t="shared" si="382"/>
        <v>0.98099999999999998</v>
      </c>
      <c r="I195" s="126">
        <f t="shared" si="382"/>
        <v>0.98299999999999998</v>
      </c>
      <c r="J195" s="126">
        <f t="shared" si="382"/>
        <v>0.98199999999999998</v>
      </c>
      <c r="K195" s="126">
        <f t="shared" si="382"/>
        <v>1.0209999999999999</v>
      </c>
      <c r="L195" s="126">
        <f t="shared" si="382"/>
        <v>1.0189999999999999</v>
      </c>
      <c r="M195" s="126">
        <f t="shared" si="382"/>
        <v>1.02</v>
      </c>
      <c r="N195" s="126">
        <f t="shared" si="382"/>
        <v>1.0189999999999999</v>
      </c>
      <c r="O195" s="126">
        <f t="shared" si="382"/>
        <v>1.0189999999999999</v>
      </c>
      <c r="P195" s="126">
        <f t="shared" si="382"/>
        <v>1.0189999999999999</v>
      </c>
      <c r="Q195" s="126">
        <f t="shared" si="382"/>
        <v>1.0189999999999999</v>
      </c>
      <c r="R195" s="126">
        <f t="shared" si="382"/>
        <v>1.0189999999999999</v>
      </c>
      <c r="S195" s="126">
        <f t="shared" si="382"/>
        <v>1.0189999999999999</v>
      </c>
      <c r="T195" s="126">
        <f t="shared" si="382"/>
        <v>1.0189999999999999</v>
      </c>
      <c r="U195" s="126">
        <f t="shared" si="382"/>
        <v>1.0189999999999999</v>
      </c>
      <c r="V195" s="126">
        <f t="shared" si="382"/>
        <v>1.0189999999999999</v>
      </c>
      <c r="W195" s="126">
        <f t="shared" si="382"/>
        <v>1.0189999999999999</v>
      </c>
      <c r="X195" s="126">
        <f t="shared" si="382"/>
        <v>1.0189999999999999</v>
      </c>
      <c r="Y195" s="126">
        <f t="shared" si="382"/>
        <v>1.0189999999999999</v>
      </c>
      <c r="Z195" s="126">
        <f t="shared" si="382"/>
        <v>1.0189999999999999</v>
      </c>
      <c r="AA195" s="126">
        <f t="shared" si="382"/>
        <v>1.0189999999999999</v>
      </c>
      <c r="AB195" s="126">
        <f t="shared" si="382"/>
        <v>1.0189999999999999</v>
      </c>
      <c r="AC195" s="126">
        <f t="shared" si="382"/>
        <v>1.0189999999999999</v>
      </c>
      <c r="AD195" s="126">
        <f t="shared" si="382"/>
        <v>1.0189999999999999</v>
      </c>
      <c r="AE195" s="126">
        <f t="shared" si="382"/>
        <v>1.0189999999999999</v>
      </c>
      <c r="AF195" s="126">
        <f t="shared" si="382"/>
        <v>1.0189999999999999</v>
      </c>
      <c r="AG195" s="126">
        <f t="shared" si="382"/>
        <v>1.0189999999999999</v>
      </c>
      <c r="AH195" s="126">
        <f t="shared" si="342"/>
        <v>1.0189999999999999</v>
      </c>
      <c r="AI195" s="126">
        <f t="shared" si="343"/>
        <v>1.0189999999999999</v>
      </c>
      <c r="AJ195" s="126">
        <f t="shared" si="344"/>
        <v>1.0189999999999999</v>
      </c>
      <c r="AK195" s="126">
        <f t="shared" si="345"/>
        <v>1.0189999999999999</v>
      </c>
      <c r="AL195" s="126">
        <f t="shared" si="346"/>
        <v>1.0189999999999999</v>
      </c>
      <c r="AM195" s="126">
        <f t="shared" si="347"/>
        <v>1.0189999999999999</v>
      </c>
      <c r="AN195" s="126">
        <f t="shared" si="348"/>
        <v>1.0189999999999999</v>
      </c>
      <c r="AO195" s="126">
        <f t="shared" si="349"/>
        <v>1.0189999999999999</v>
      </c>
      <c r="AP195" s="126">
        <f t="shared" si="350"/>
        <v>1.0189999999999999</v>
      </c>
      <c r="AQ195" s="126">
        <f t="shared" si="351"/>
        <v>1.0189999999999999</v>
      </c>
      <c r="AR195" s="126">
        <f t="shared" si="352"/>
        <v>1.0189999999999999</v>
      </c>
      <c r="AS195" s="126">
        <f t="shared" si="353"/>
        <v>1.0189999999999999</v>
      </c>
      <c r="AT195" s="126">
        <f t="shared" si="354"/>
        <v>1.0189999999999999</v>
      </c>
      <c r="AU195" s="126">
        <f t="shared" si="355"/>
        <v>1.0189999999999999</v>
      </c>
      <c r="AV195" s="126">
        <f t="shared" si="356"/>
        <v>1.0189999999999999</v>
      </c>
      <c r="AW195" s="126">
        <f t="shared" si="357"/>
        <v>1.0189999999999999</v>
      </c>
      <c r="AX195" s="126">
        <f t="shared" si="358"/>
        <v>1.0189999999999999</v>
      </c>
      <c r="AY195" s="126">
        <f t="shared" si="359"/>
        <v>1.0189999999999999</v>
      </c>
      <c r="AZ195" s="126">
        <f t="shared" si="360"/>
        <v>1.0189999999999999</v>
      </c>
      <c r="BA195" s="126">
        <f t="shared" si="361"/>
        <v>1.0189999999999999</v>
      </c>
      <c r="BB195" s="126">
        <f t="shared" si="362"/>
        <v>1.0189999999999999</v>
      </c>
      <c r="BC195" s="126">
        <f t="shared" si="363"/>
        <v>1.0189999999999999</v>
      </c>
    </row>
    <row r="196" spans="2:55">
      <c r="B196" s="6" t="str">
        <f t="shared" si="340"/>
        <v>Hydrocolloid dressing</v>
      </c>
      <c r="C196" s="126">
        <f t="shared" ref="C196:AG196" si="383">(IF(C$175&lt;$C$173, -1, 1) *D47)+1</f>
        <v>0.98099999999999998</v>
      </c>
      <c r="D196" s="126">
        <f t="shared" si="383"/>
        <v>0.98099999999999998</v>
      </c>
      <c r="E196" s="126">
        <f t="shared" si="383"/>
        <v>0.98099999999999998</v>
      </c>
      <c r="F196" s="126">
        <f t="shared" si="383"/>
        <v>0.98099999999999998</v>
      </c>
      <c r="G196" s="126">
        <f t="shared" si="383"/>
        <v>0.98099999999999998</v>
      </c>
      <c r="H196" s="126">
        <f t="shared" si="383"/>
        <v>0.98099999999999998</v>
      </c>
      <c r="I196" s="126">
        <f t="shared" si="383"/>
        <v>0.98299999999999998</v>
      </c>
      <c r="J196" s="126">
        <f t="shared" si="383"/>
        <v>0.98199999999999998</v>
      </c>
      <c r="K196" s="126">
        <f t="shared" si="383"/>
        <v>1.0209999999999999</v>
      </c>
      <c r="L196" s="126">
        <f t="shared" si="383"/>
        <v>1.0189999999999999</v>
      </c>
      <c r="M196" s="126">
        <f t="shared" si="383"/>
        <v>1.02</v>
      </c>
      <c r="N196" s="126">
        <f t="shared" si="383"/>
        <v>1.0189999999999999</v>
      </c>
      <c r="O196" s="126">
        <f t="shared" si="383"/>
        <v>1.0189999999999999</v>
      </c>
      <c r="P196" s="126">
        <f t="shared" si="383"/>
        <v>1.0189999999999999</v>
      </c>
      <c r="Q196" s="126">
        <f t="shared" si="383"/>
        <v>1.0189999999999999</v>
      </c>
      <c r="R196" s="126">
        <f t="shared" si="383"/>
        <v>1.0189999999999999</v>
      </c>
      <c r="S196" s="126">
        <f t="shared" si="383"/>
        <v>1.0189999999999999</v>
      </c>
      <c r="T196" s="126">
        <f t="shared" si="383"/>
        <v>1.0189999999999999</v>
      </c>
      <c r="U196" s="126">
        <f t="shared" si="383"/>
        <v>1.0189999999999999</v>
      </c>
      <c r="V196" s="126">
        <f t="shared" si="383"/>
        <v>1.0189999999999999</v>
      </c>
      <c r="W196" s="126">
        <f t="shared" si="383"/>
        <v>1.0189999999999999</v>
      </c>
      <c r="X196" s="126">
        <f t="shared" si="383"/>
        <v>1.0189999999999999</v>
      </c>
      <c r="Y196" s="126">
        <f t="shared" si="383"/>
        <v>1.0189999999999999</v>
      </c>
      <c r="Z196" s="126">
        <f t="shared" si="383"/>
        <v>1.0189999999999999</v>
      </c>
      <c r="AA196" s="126">
        <f t="shared" si="383"/>
        <v>1.0189999999999999</v>
      </c>
      <c r="AB196" s="126">
        <f t="shared" si="383"/>
        <v>1.0189999999999999</v>
      </c>
      <c r="AC196" s="126">
        <f t="shared" si="383"/>
        <v>1.0189999999999999</v>
      </c>
      <c r="AD196" s="126">
        <f t="shared" si="383"/>
        <v>1.0189999999999999</v>
      </c>
      <c r="AE196" s="126">
        <f t="shared" si="383"/>
        <v>1.0189999999999999</v>
      </c>
      <c r="AF196" s="126">
        <f t="shared" si="383"/>
        <v>1.0189999999999999</v>
      </c>
      <c r="AG196" s="126">
        <f t="shared" si="383"/>
        <v>1.0189999999999999</v>
      </c>
      <c r="AH196" s="126">
        <f t="shared" si="342"/>
        <v>1.0189999999999999</v>
      </c>
      <c r="AI196" s="126">
        <f t="shared" si="343"/>
        <v>1.0189999999999999</v>
      </c>
      <c r="AJ196" s="126">
        <f t="shared" si="344"/>
        <v>1.0189999999999999</v>
      </c>
      <c r="AK196" s="126">
        <f t="shared" si="345"/>
        <v>1.0189999999999999</v>
      </c>
      <c r="AL196" s="126">
        <f t="shared" si="346"/>
        <v>1.0189999999999999</v>
      </c>
      <c r="AM196" s="126">
        <f t="shared" si="347"/>
        <v>1.0189999999999999</v>
      </c>
      <c r="AN196" s="126">
        <f t="shared" si="348"/>
        <v>1.0189999999999999</v>
      </c>
      <c r="AO196" s="126">
        <f t="shared" si="349"/>
        <v>1.0189999999999999</v>
      </c>
      <c r="AP196" s="126">
        <f t="shared" si="350"/>
        <v>1.0189999999999999</v>
      </c>
      <c r="AQ196" s="126">
        <f t="shared" si="351"/>
        <v>1.0189999999999999</v>
      </c>
      <c r="AR196" s="126">
        <f t="shared" si="352"/>
        <v>1.0189999999999999</v>
      </c>
      <c r="AS196" s="126">
        <f t="shared" si="353"/>
        <v>1.0189999999999999</v>
      </c>
      <c r="AT196" s="126">
        <f t="shared" si="354"/>
        <v>1.0189999999999999</v>
      </c>
      <c r="AU196" s="126">
        <f t="shared" si="355"/>
        <v>1.0189999999999999</v>
      </c>
      <c r="AV196" s="126">
        <f t="shared" si="356"/>
        <v>1.0189999999999999</v>
      </c>
      <c r="AW196" s="126">
        <f t="shared" si="357"/>
        <v>1.0189999999999999</v>
      </c>
      <c r="AX196" s="126">
        <f t="shared" si="358"/>
        <v>1.0189999999999999</v>
      </c>
      <c r="AY196" s="126">
        <f t="shared" si="359"/>
        <v>1.0189999999999999</v>
      </c>
      <c r="AZ196" s="126">
        <f t="shared" si="360"/>
        <v>1.0189999999999999</v>
      </c>
      <c r="BA196" s="126">
        <f t="shared" si="361"/>
        <v>1.0189999999999999</v>
      </c>
      <c r="BB196" s="126">
        <f t="shared" si="362"/>
        <v>1.0189999999999999</v>
      </c>
      <c r="BC196" s="126">
        <f t="shared" si="363"/>
        <v>1.0189999999999999</v>
      </c>
    </row>
    <row r="197" spans="2:55">
      <c r="B197" s="6" t="str">
        <f t="shared" si="340"/>
        <v>Hydrogel dressing</v>
      </c>
      <c r="C197" s="126">
        <f t="shared" ref="C197:AG197" si="384">(IF(C$175&lt;$C$173, -1, 1) *D48)+1</f>
        <v>0.98099999999999998</v>
      </c>
      <c r="D197" s="126">
        <f t="shared" si="384"/>
        <v>0.98099999999999998</v>
      </c>
      <c r="E197" s="126">
        <f t="shared" si="384"/>
        <v>0.98099999999999998</v>
      </c>
      <c r="F197" s="126">
        <f t="shared" si="384"/>
        <v>0.98099999999999998</v>
      </c>
      <c r="G197" s="126">
        <f t="shared" si="384"/>
        <v>0.98099999999999998</v>
      </c>
      <c r="H197" s="126">
        <f t="shared" si="384"/>
        <v>0.98099999999999998</v>
      </c>
      <c r="I197" s="126">
        <f t="shared" si="384"/>
        <v>0.98299999999999998</v>
      </c>
      <c r="J197" s="126">
        <f t="shared" si="384"/>
        <v>0.98199999999999998</v>
      </c>
      <c r="K197" s="126">
        <f t="shared" si="384"/>
        <v>1.0209999999999999</v>
      </c>
      <c r="L197" s="126">
        <f t="shared" si="384"/>
        <v>1.0189999999999999</v>
      </c>
      <c r="M197" s="126">
        <f t="shared" si="384"/>
        <v>1.02</v>
      </c>
      <c r="N197" s="126">
        <f t="shared" si="384"/>
        <v>1.0189999999999999</v>
      </c>
      <c r="O197" s="126">
        <f t="shared" si="384"/>
        <v>1.0189999999999999</v>
      </c>
      <c r="P197" s="126">
        <f t="shared" si="384"/>
        <v>1.0189999999999999</v>
      </c>
      <c r="Q197" s="126">
        <f t="shared" si="384"/>
        <v>1.0189999999999999</v>
      </c>
      <c r="R197" s="126">
        <f t="shared" si="384"/>
        <v>1.0189999999999999</v>
      </c>
      <c r="S197" s="126">
        <f t="shared" si="384"/>
        <v>1.0189999999999999</v>
      </c>
      <c r="T197" s="126">
        <f t="shared" si="384"/>
        <v>1.0189999999999999</v>
      </c>
      <c r="U197" s="126">
        <f t="shared" si="384"/>
        <v>1.0189999999999999</v>
      </c>
      <c r="V197" s="126">
        <f t="shared" si="384"/>
        <v>1.0189999999999999</v>
      </c>
      <c r="W197" s="126">
        <f t="shared" si="384"/>
        <v>1.0189999999999999</v>
      </c>
      <c r="X197" s="126">
        <f t="shared" si="384"/>
        <v>1.0189999999999999</v>
      </c>
      <c r="Y197" s="126">
        <f t="shared" si="384"/>
        <v>1.0189999999999999</v>
      </c>
      <c r="Z197" s="126">
        <f t="shared" si="384"/>
        <v>1.0189999999999999</v>
      </c>
      <c r="AA197" s="126">
        <f t="shared" si="384"/>
        <v>1.0189999999999999</v>
      </c>
      <c r="AB197" s="126">
        <f t="shared" si="384"/>
        <v>1.0189999999999999</v>
      </c>
      <c r="AC197" s="126">
        <f t="shared" si="384"/>
        <v>1.0189999999999999</v>
      </c>
      <c r="AD197" s="126">
        <f t="shared" si="384"/>
        <v>1.0189999999999999</v>
      </c>
      <c r="AE197" s="126">
        <f t="shared" si="384"/>
        <v>1.0189999999999999</v>
      </c>
      <c r="AF197" s="126">
        <f t="shared" si="384"/>
        <v>1.0189999999999999</v>
      </c>
      <c r="AG197" s="126">
        <f t="shared" si="384"/>
        <v>1.0189999999999999</v>
      </c>
      <c r="AH197" s="126">
        <f t="shared" si="342"/>
        <v>1.0189999999999999</v>
      </c>
      <c r="AI197" s="126">
        <f t="shared" si="343"/>
        <v>1.0189999999999999</v>
      </c>
      <c r="AJ197" s="126">
        <f t="shared" si="344"/>
        <v>1.0189999999999999</v>
      </c>
      <c r="AK197" s="126">
        <f t="shared" si="345"/>
        <v>1.0189999999999999</v>
      </c>
      <c r="AL197" s="126">
        <f t="shared" si="346"/>
        <v>1.0189999999999999</v>
      </c>
      <c r="AM197" s="126">
        <f t="shared" si="347"/>
        <v>1.0189999999999999</v>
      </c>
      <c r="AN197" s="126">
        <f t="shared" si="348"/>
        <v>1.0189999999999999</v>
      </c>
      <c r="AO197" s="126">
        <f t="shared" si="349"/>
        <v>1.0189999999999999</v>
      </c>
      <c r="AP197" s="126">
        <f t="shared" si="350"/>
        <v>1.0189999999999999</v>
      </c>
      <c r="AQ197" s="126">
        <f t="shared" si="351"/>
        <v>1.0189999999999999</v>
      </c>
      <c r="AR197" s="126">
        <f t="shared" si="352"/>
        <v>1.0189999999999999</v>
      </c>
      <c r="AS197" s="126">
        <f t="shared" si="353"/>
        <v>1.0189999999999999</v>
      </c>
      <c r="AT197" s="126">
        <f t="shared" si="354"/>
        <v>1.0189999999999999</v>
      </c>
      <c r="AU197" s="126">
        <f t="shared" si="355"/>
        <v>1.0189999999999999</v>
      </c>
      <c r="AV197" s="126">
        <f t="shared" si="356"/>
        <v>1.0189999999999999</v>
      </c>
      <c r="AW197" s="126">
        <f t="shared" si="357"/>
        <v>1.0189999999999999</v>
      </c>
      <c r="AX197" s="126">
        <f t="shared" si="358"/>
        <v>1.0189999999999999</v>
      </c>
      <c r="AY197" s="126">
        <f t="shared" si="359"/>
        <v>1.0189999999999999</v>
      </c>
      <c r="AZ197" s="126">
        <f t="shared" si="360"/>
        <v>1.0189999999999999</v>
      </c>
      <c r="BA197" s="126">
        <f t="shared" si="361"/>
        <v>1.0189999999999999</v>
      </c>
      <c r="BB197" s="126">
        <f t="shared" si="362"/>
        <v>1.0189999999999999</v>
      </c>
      <c r="BC197" s="126">
        <f t="shared" si="363"/>
        <v>1.0189999999999999</v>
      </c>
    </row>
    <row r="198" spans="2:55">
      <c r="B198" s="6" t="str">
        <f t="shared" si="340"/>
        <v>Low-adherence dressing</v>
      </c>
      <c r="C198" s="126">
        <f t="shared" ref="C198:AG198" si="385">(IF(C$175&lt;$C$173, -1, 1) *D49)+1</f>
        <v>0.98099999999999998</v>
      </c>
      <c r="D198" s="126">
        <f t="shared" si="385"/>
        <v>0.98099999999999998</v>
      </c>
      <c r="E198" s="126">
        <f t="shared" si="385"/>
        <v>0.98099999999999998</v>
      </c>
      <c r="F198" s="126">
        <f t="shared" si="385"/>
        <v>0.98099999999999998</v>
      </c>
      <c r="G198" s="126">
        <f t="shared" si="385"/>
        <v>0.98099999999999998</v>
      </c>
      <c r="H198" s="126">
        <f t="shared" si="385"/>
        <v>0.98099999999999998</v>
      </c>
      <c r="I198" s="126">
        <f t="shared" si="385"/>
        <v>0.98299999999999998</v>
      </c>
      <c r="J198" s="126">
        <f t="shared" si="385"/>
        <v>0.98199999999999998</v>
      </c>
      <c r="K198" s="126">
        <f t="shared" si="385"/>
        <v>1.0209999999999999</v>
      </c>
      <c r="L198" s="126">
        <f t="shared" si="385"/>
        <v>1.0189999999999999</v>
      </c>
      <c r="M198" s="126">
        <f t="shared" si="385"/>
        <v>1.02</v>
      </c>
      <c r="N198" s="126">
        <f t="shared" si="385"/>
        <v>1.0189999999999999</v>
      </c>
      <c r="O198" s="126">
        <f t="shared" si="385"/>
        <v>1.0189999999999999</v>
      </c>
      <c r="P198" s="126">
        <f t="shared" si="385"/>
        <v>1.0189999999999999</v>
      </c>
      <c r="Q198" s="126">
        <f t="shared" si="385"/>
        <v>1.0189999999999999</v>
      </c>
      <c r="R198" s="126">
        <f t="shared" si="385"/>
        <v>1.0189999999999999</v>
      </c>
      <c r="S198" s="126">
        <f t="shared" si="385"/>
        <v>1.0189999999999999</v>
      </c>
      <c r="T198" s="126">
        <f t="shared" si="385"/>
        <v>1.0189999999999999</v>
      </c>
      <c r="U198" s="126">
        <f t="shared" si="385"/>
        <v>1.0189999999999999</v>
      </c>
      <c r="V198" s="126">
        <f t="shared" si="385"/>
        <v>1.0189999999999999</v>
      </c>
      <c r="W198" s="126">
        <f t="shared" si="385"/>
        <v>1.0189999999999999</v>
      </c>
      <c r="X198" s="126">
        <f t="shared" si="385"/>
        <v>1.0189999999999999</v>
      </c>
      <c r="Y198" s="126">
        <f t="shared" si="385"/>
        <v>1.0189999999999999</v>
      </c>
      <c r="Z198" s="126">
        <f t="shared" si="385"/>
        <v>1.0189999999999999</v>
      </c>
      <c r="AA198" s="126">
        <f t="shared" si="385"/>
        <v>1.0189999999999999</v>
      </c>
      <c r="AB198" s="126">
        <f t="shared" si="385"/>
        <v>1.0189999999999999</v>
      </c>
      <c r="AC198" s="126">
        <f t="shared" si="385"/>
        <v>1.0189999999999999</v>
      </c>
      <c r="AD198" s="126">
        <f t="shared" si="385"/>
        <v>1.0189999999999999</v>
      </c>
      <c r="AE198" s="126">
        <f t="shared" si="385"/>
        <v>1.0189999999999999</v>
      </c>
      <c r="AF198" s="126">
        <f t="shared" si="385"/>
        <v>1.0189999999999999</v>
      </c>
      <c r="AG198" s="126">
        <f t="shared" si="385"/>
        <v>1.0189999999999999</v>
      </c>
      <c r="AH198" s="126">
        <f t="shared" si="342"/>
        <v>1.0189999999999999</v>
      </c>
      <c r="AI198" s="126">
        <f t="shared" si="343"/>
        <v>1.0189999999999999</v>
      </c>
      <c r="AJ198" s="126">
        <f t="shared" si="344"/>
        <v>1.0189999999999999</v>
      </c>
      <c r="AK198" s="126">
        <f t="shared" si="345"/>
        <v>1.0189999999999999</v>
      </c>
      <c r="AL198" s="126">
        <f t="shared" si="346"/>
        <v>1.0189999999999999</v>
      </c>
      <c r="AM198" s="126">
        <f t="shared" si="347"/>
        <v>1.0189999999999999</v>
      </c>
      <c r="AN198" s="126">
        <f t="shared" si="348"/>
        <v>1.0189999999999999</v>
      </c>
      <c r="AO198" s="126">
        <f t="shared" si="349"/>
        <v>1.0189999999999999</v>
      </c>
      <c r="AP198" s="126">
        <f t="shared" si="350"/>
        <v>1.0189999999999999</v>
      </c>
      <c r="AQ198" s="126">
        <f t="shared" si="351"/>
        <v>1.0189999999999999</v>
      </c>
      <c r="AR198" s="126">
        <f t="shared" si="352"/>
        <v>1.0189999999999999</v>
      </c>
      <c r="AS198" s="126">
        <f t="shared" si="353"/>
        <v>1.0189999999999999</v>
      </c>
      <c r="AT198" s="126">
        <f t="shared" si="354"/>
        <v>1.0189999999999999</v>
      </c>
      <c r="AU198" s="126">
        <f t="shared" si="355"/>
        <v>1.0189999999999999</v>
      </c>
      <c r="AV198" s="126">
        <f t="shared" si="356"/>
        <v>1.0189999999999999</v>
      </c>
      <c r="AW198" s="126">
        <f t="shared" si="357"/>
        <v>1.0189999999999999</v>
      </c>
      <c r="AX198" s="126">
        <f t="shared" si="358"/>
        <v>1.0189999999999999</v>
      </c>
      <c r="AY198" s="126">
        <f t="shared" si="359"/>
        <v>1.0189999999999999</v>
      </c>
      <c r="AZ198" s="126">
        <f t="shared" si="360"/>
        <v>1.0189999999999999</v>
      </c>
      <c r="BA198" s="126">
        <f t="shared" si="361"/>
        <v>1.0189999999999999</v>
      </c>
      <c r="BB198" s="126">
        <f t="shared" si="362"/>
        <v>1.0189999999999999</v>
      </c>
      <c r="BC198" s="126">
        <f t="shared" si="363"/>
        <v>1.0189999999999999</v>
      </c>
    </row>
    <row r="199" spans="2:55">
      <c r="B199" s="6" t="str">
        <f t="shared" si="340"/>
        <v>Odour absorbent dressing</v>
      </c>
      <c r="C199" s="126">
        <f t="shared" ref="C199:AG199" si="386">(IF(C$175&lt;$C$173, -1, 1) *D50)+1</f>
        <v>0.98099999999999998</v>
      </c>
      <c r="D199" s="126">
        <f t="shared" si="386"/>
        <v>0.98099999999999998</v>
      </c>
      <c r="E199" s="126">
        <f t="shared" si="386"/>
        <v>0.98099999999999998</v>
      </c>
      <c r="F199" s="126">
        <f t="shared" si="386"/>
        <v>0.98099999999999998</v>
      </c>
      <c r="G199" s="126">
        <f t="shared" si="386"/>
        <v>0.98099999999999998</v>
      </c>
      <c r="H199" s="126">
        <f t="shared" si="386"/>
        <v>0.98099999999999998</v>
      </c>
      <c r="I199" s="126">
        <f t="shared" si="386"/>
        <v>0.98299999999999998</v>
      </c>
      <c r="J199" s="126">
        <f t="shared" si="386"/>
        <v>0.98199999999999998</v>
      </c>
      <c r="K199" s="126">
        <f t="shared" si="386"/>
        <v>1.0209999999999999</v>
      </c>
      <c r="L199" s="126">
        <f t="shared" si="386"/>
        <v>1.0189999999999999</v>
      </c>
      <c r="M199" s="126">
        <f t="shared" si="386"/>
        <v>1.02</v>
      </c>
      <c r="N199" s="126">
        <f t="shared" si="386"/>
        <v>1.0189999999999999</v>
      </c>
      <c r="O199" s="126">
        <f t="shared" si="386"/>
        <v>1.0189999999999999</v>
      </c>
      <c r="P199" s="126">
        <f t="shared" si="386"/>
        <v>1.0189999999999999</v>
      </c>
      <c r="Q199" s="126">
        <f t="shared" si="386"/>
        <v>1.0189999999999999</v>
      </c>
      <c r="R199" s="126">
        <f t="shared" si="386"/>
        <v>1.0189999999999999</v>
      </c>
      <c r="S199" s="126">
        <f t="shared" si="386"/>
        <v>1.0189999999999999</v>
      </c>
      <c r="T199" s="126">
        <f t="shared" si="386"/>
        <v>1.0189999999999999</v>
      </c>
      <c r="U199" s="126">
        <f t="shared" si="386"/>
        <v>1.0189999999999999</v>
      </c>
      <c r="V199" s="126">
        <f t="shared" si="386"/>
        <v>1.0189999999999999</v>
      </c>
      <c r="W199" s="126">
        <f t="shared" si="386"/>
        <v>1.0189999999999999</v>
      </c>
      <c r="X199" s="126">
        <f t="shared" si="386"/>
        <v>1.0189999999999999</v>
      </c>
      <c r="Y199" s="126">
        <f t="shared" si="386"/>
        <v>1.0189999999999999</v>
      </c>
      <c r="Z199" s="126">
        <f t="shared" si="386"/>
        <v>1.0189999999999999</v>
      </c>
      <c r="AA199" s="126">
        <f t="shared" si="386"/>
        <v>1.0189999999999999</v>
      </c>
      <c r="AB199" s="126">
        <f t="shared" si="386"/>
        <v>1.0189999999999999</v>
      </c>
      <c r="AC199" s="126">
        <f t="shared" si="386"/>
        <v>1.0189999999999999</v>
      </c>
      <c r="AD199" s="126">
        <f t="shared" si="386"/>
        <v>1.0189999999999999</v>
      </c>
      <c r="AE199" s="126">
        <f t="shared" si="386"/>
        <v>1.0189999999999999</v>
      </c>
      <c r="AF199" s="126">
        <f t="shared" si="386"/>
        <v>1.0189999999999999</v>
      </c>
      <c r="AG199" s="126">
        <f t="shared" si="386"/>
        <v>1.0189999999999999</v>
      </c>
      <c r="AH199" s="126">
        <f t="shared" si="342"/>
        <v>1.0189999999999999</v>
      </c>
      <c r="AI199" s="126">
        <f t="shared" si="343"/>
        <v>1.0189999999999999</v>
      </c>
      <c r="AJ199" s="126">
        <f t="shared" si="344"/>
        <v>1.0189999999999999</v>
      </c>
      <c r="AK199" s="126">
        <f t="shared" si="345"/>
        <v>1.0189999999999999</v>
      </c>
      <c r="AL199" s="126">
        <f t="shared" si="346"/>
        <v>1.0189999999999999</v>
      </c>
      <c r="AM199" s="126">
        <f t="shared" si="347"/>
        <v>1.0189999999999999</v>
      </c>
      <c r="AN199" s="126">
        <f t="shared" si="348"/>
        <v>1.0189999999999999</v>
      </c>
      <c r="AO199" s="126">
        <f t="shared" si="349"/>
        <v>1.0189999999999999</v>
      </c>
      <c r="AP199" s="126">
        <f t="shared" si="350"/>
        <v>1.0189999999999999</v>
      </c>
      <c r="AQ199" s="126">
        <f t="shared" si="351"/>
        <v>1.0189999999999999</v>
      </c>
      <c r="AR199" s="126">
        <f t="shared" si="352"/>
        <v>1.0189999999999999</v>
      </c>
      <c r="AS199" s="126">
        <f t="shared" si="353"/>
        <v>1.0189999999999999</v>
      </c>
      <c r="AT199" s="126">
        <f t="shared" si="354"/>
        <v>1.0189999999999999</v>
      </c>
      <c r="AU199" s="126">
        <f t="shared" si="355"/>
        <v>1.0189999999999999</v>
      </c>
      <c r="AV199" s="126">
        <f t="shared" si="356"/>
        <v>1.0189999999999999</v>
      </c>
      <c r="AW199" s="126">
        <f t="shared" si="357"/>
        <v>1.0189999999999999</v>
      </c>
      <c r="AX199" s="126">
        <f t="shared" si="358"/>
        <v>1.0189999999999999</v>
      </c>
      <c r="AY199" s="126">
        <f t="shared" si="359"/>
        <v>1.0189999999999999</v>
      </c>
      <c r="AZ199" s="126">
        <f t="shared" si="360"/>
        <v>1.0189999999999999</v>
      </c>
      <c r="BA199" s="126">
        <f t="shared" si="361"/>
        <v>1.0189999999999999</v>
      </c>
      <c r="BB199" s="126">
        <f t="shared" si="362"/>
        <v>1.0189999999999999</v>
      </c>
      <c r="BC199" s="126">
        <f t="shared" si="363"/>
        <v>1.0189999999999999</v>
      </c>
    </row>
    <row r="200" spans="2:55">
      <c r="B200" s="6" t="str">
        <f t="shared" si="340"/>
        <v>Other dressing</v>
      </c>
      <c r="C200" s="126">
        <f t="shared" ref="C200:AG200" si="387">(IF(C$175&lt;$C$173, -1, 1) *D51)+1</f>
        <v>0.98099999999999998</v>
      </c>
      <c r="D200" s="126">
        <f t="shared" si="387"/>
        <v>0.98099999999999998</v>
      </c>
      <c r="E200" s="126">
        <f t="shared" si="387"/>
        <v>0.98099999999999998</v>
      </c>
      <c r="F200" s="126">
        <f t="shared" si="387"/>
        <v>0.98099999999999998</v>
      </c>
      <c r="G200" s="126">
        <f t="shared" si="387"/>
        <v>0.98099999999999998</v>
      </c>
      <c r="H200" s="126">
        <f t="shared" si="387"/>
        <v>0.98099999999999998</v>
      </c>
      <c r="I200" s="126">
        <f t="shared" si="387"/>
        <v>0.98299999999999998</v>
      </c>
      <c r="J200" s="126">
        <f t="shared" si="387"/>
        <v>0.98199999999999998</v>
      </c>
      <c r="K200" s="126">
        <f t="shared" si="387"/>
        <v>1.0209999999999999</v>
      </c>
      <c r="L200" s="126">
        <f t="shared" si="387"/>
        <v>1.0189999999999999</v>
      </c>
      <c r="M200" s="126">
        <f t="shared" si="387"/>
        <v>1.02</v>
      </c>
      <c r="N200" s="126">
        <f t="shared" si="387"/>
        <v>1.0189999999999999</v>
      </c>
      <c r="O200" s="126">
        <f t="shared" si="387"/>
        <v>1.0189999999999999</v>
      </c>
      <c r="P200" s="126">
        <f t="shared" si="387"/>
        <v>1.0189999999999999</v>
      </c>
      <c r="Q200" s="126">
        <f t="shared" si="387"/>
        <v>1.0189999999999999</v>
      </c>
      <c r="R200" s="126">
        <f t="shared" si="387"/>
        <v>1.0189999999999999</v>
      </c>
      <c r="S200" s="126">
        <f t="shared" si="387"/>
        <v>1.0189999999999999</v>
      </c>
      <c r="T200" s="126">
        <f t="shared" si="387"/>
        <v>1.0189999999999999</v>
      </c>
      <c r="U200" s="126">
        <f t="shared" si="387"/>
        <v>1.0189999999999999</v>
      </c>
      <c r="V200" s="126">
        <f t="shared" si="387"/>
        <v>1.0189999999999999</v>
      </c>
      <c r="W200" s="126">
        <f t="shared" si="387"/>
        <v>1.0189999999999999</v>
      </c>
      <c r="X200" s="126">
        <f t="shared" si="387"/>
        <v>1.0189999999999999</v>
      </c>
      <c r="Y200" s="126">
        <f t="shared" si="387"/>
        <v>1.0189999999999999</v>
      </c>
      <c r="Z200" s="126">
        <f t="shared" si="387"/>
        <v>1.0189999999999999</v>
      </c>
      <c r="AA200" s="126">
        <f t="shared" si="387"/>
        <v>1.0189999999999999</v>
      </c>
      <c r="AB200" s="126">
        <f t="shared" si="387"/>
        <v>1.0189999999999999</v>
      </c>
      <c r="AC200" s="126">
        <f t="shared" si="387"/>
        <v>1.0189999999999999</v>
      </c>
      <c r="AD200" s="126">
        <f t="shared" si="387"/>
        <v>1.0189999999999999</v>
      </c>
      <c r="AE200" s="126">
        <f t="shared" si="387"/>
        <v>1.0189999999999999</v>
      </c>
      <c r="AF200" s="126">
        <f t="shared" si="387"/>
        <v>1.0189999999999999</v>
      </c>
      <c r="AG200" s="126">
        <f t="shared" si="387"/>
        <v>1.0189999999999999</v>
      </c>
      <c r="AH200" s="126">
        <f t="shared" si="342"/>
        <v>1.0189999999999999</v>
      </c>
      <c r="AI200" s="126">
        <f t="shared" si="343"/>
        <v>1.0189999999999999</v>
      </c>
      <c r="AJ200" s="126">
        <f t="shared" si="344"/>
        <v>1.0189999999999999</v>
      </c>
      <c r="AK200" s="126">
        <f t="shared" si="345"/>
        <v>1.0189999999999999</v>
      </c>
      <c r="AL200" s="126">
        <f t="shared" si="346"/>
        <v>1.0189999999999999</v>
      </c>
      <c r="AM200" s="126">
        <f t="shared" si="347"/>
        <v>1.0189999999999999</v>
      </c>
      <c r="AN200" s="126">
        <f t="shared" si="348"/>
        <v>1.0189999999999999</v>
      </c>
      <c r="AO200" s="126">
        <f t="shared" si="349"/>
        <v>1.0189999999999999</v>
      </c>
      <c r="AP200" s="126">
        <f t="shared" si="350"/>
        <v>1.0189999999999999</v>
      </c>
      <c r="AQ200" s="126">
        <f t="shared" si="351"/>
        <v>1.0189999999999999</v>
      </c>
      <c r="AR200" s="126">
        <f t="shared" si="352"/>
        <v>1.0189999999999999</v>
      </c>
      <c r="AS200" s="126">
        <f t="shared" si="353"/>
        <v>1.0189999999999999</v>
      </c>
      <c r="AT200" s="126">
        <f t="shared" si="354"/>
        <v>1.0189999999999999</v>
      </c>
      <c r="AU200" s="126">
        <f t="shared" si="355"/>
        <v>1.0189999999999999</v>
      </c>
      <c r="AV200" s="126">
        <f t="shared" si="356"/>
        <v>1.0189999999999999</v>
      </c>
      <c r="AW200" s="126">
        <f t="shared" si="357"/>
        <v>1.0189999999999999</v>
      </c>
      <c r="AX200" s="126">
        <f t="shared" si="358"/>
        <v>1.0189999999999999</v>
      </c>
      <c r="AY200" s="126">
        <f t="shared" si="359"/>
        <v>1.0189999999999999</v>
      </c>
      <c r="AZ200" s="126">
        <f t="shared" si="360"/>
        <v>1.0189999999999999</v>
      </c>
      <c r="BA200" s="126">
        <f t="shared" si="361"/>
        <v>1.0189999999999999</v>
      </c>
      <c r="BB200" s="126">
        <f t="shared" si="362"/>
        <v>1.0189999999999999</v>
      </c>
      <c r="BC200" s="126">
        <f t="shared" si="363"/>
        <v>1.0189999999999999</v>
      </c>
    </row>
    <row r="201" spans="2:55">
      <c r="B201" s="6" t="str">
        <f t="shared" si="340"/>
        <v>Permeable dressing</v>
      </c>
      <c r="C201" s="126">
        <f t="shared" ref="C201:AG201" si="388">(IF(C$175&lt;$C$173, -1, 1) *D52)+1</f>
        <v>0.98099999999999998</v>
      </c>
      <c r="D201" s="126">
        <f t="shared" si="388"/>
        <v>0.98099999999999998</v>
      </c>
      <c r="E201" s="126">
        <f t="shared" si="388"/>
        <v>0.98099999999999998</v>
      </c>
      <c r="F201" s="126">
        <f t="shared" si="388"/>
        <v>0.98099999999999998</v>
      </c>
      <c r="G201" s="126">
        <f t="shared" si="388"/>
        <v>0.98099999999999998</v>
      </c>
      <c r="H201" s="126">
        <f t="shared" si="388"/>
        <v>0.98099999999999998</v>
      </c>
      <c r="I201" s="126">
        <f t="shared" si="388"/>
        <v>0.98299999999999998</v>
      </c>
      <c r="J201" s="126">
        <f t="shared" si="388"/>
        <v>0.98199999999999998</v>
      </c>
      <c r="K201" s="126">
        <f t="shared" si="388"/>
        <v>1.0209999999999999</v>
      </c>
      <c r="L201" s="126">
        <f t="shared" si="388"/>
        <v>1.0189999999999999</v>
      </c>
      <c r="M201" s="126">
        <f t="shared" si="388"/>
        <v>1.02</v>
      </c>
      <c r="N201" s="126">
        <f t="shared" si="388"/>
        <v>1.0189999999999999</v>
      </c>
      <c r="O201" s="126">
        <f t="shared" si="388"/>
        <v>1.0189999999999999</v>
      </c>
      <c r="P201" s="126">
        <f t="shared" si="388"/>
        <v>1.0189999999999999</v>
      </c>
      <c r="Q201" s="126">
        <f t="shared" si="388"/>
        <v>1.0189999999999999</v>
      </c>
      <c r="R201" s="126">
        <f t="shared" si="388"/>
        <v>1.0189999999999999</v>
      </c>
      <c r="S201" s="126">
        <f t="shared" si="388"/>
        <v>1.0189999999999999</v>
      </c>
      <c r="T201" s="126">
        <f t="shared" si="388"/>
        <v>1.0189999999999999</v>
      </c>
      <c r="U201" s="126">
        <f t="shared" si="388"/>
        <v>1.0189999999999999</v>
      </c>
      <c r="V201" s="126">
        <f t="shared" si="388"/>
        <v>1.0189999999999999</v>
      </c>
      <c r="W201" s="126">
        <f t="shared" si="388"/>
        <v>1.0189999999999999</v>
      </c>
      <c r="X201" s="126">
        <f t="shared" si="388"/>
        <v>1.0189999999999999</v>
      </c>
      <c r="Y201" s="126">
        <f t="shared" si="388"/>
        <v>1.0189999999999999</v>
      </c>
      <c r="Z201" s="126">
        <f t="shared" si="388"/>
        <v>1.0189999999999999</v>
      </c>
      <c r="AA201" s="126">
        <f t="shared" si="388"/>
        <v>1.0189999999999999</v>
      </c>
      <c r="AB201" s="126">
        <f t="shared" si="388"/>
        <v>1.0189999999999999</v>
      </c>
      <c r="AC201" s="126">
        <f t="shared" si="388"/>
        <v>1.0189999999999999</v>
      </c>
      <c r="AD201" s="126">
        <f t="shared" si="388"/>
        <v>1.0189999999999999</v>
      </c>
      <c r="AE201" s="126">
        <f t="shared" si="388"/>
        <v>1.0189999999999999</v>
      </c>
      <c r="AF201" s="126">
        <f t="shared" si="388"/>
        <v>1.0189999999999999</v>
      </c>
      <c r="AG201" s="126">
        <f t="shared" si="388"/>
        <v>1.0189999999999999</v>
      </c>
      <c r="AH201" s="126">
        <f t="shared" si="342"/>
        <v>1.0189999999999999</v>
      </c>
      <c r="AI201" s="126">
        <f t="shared" si="343"/>
        <v>1.0189999999999999</v>
      </c>
      <c r="AJ201" s="126">
        <f t="shared" si="344"/>
        <v>1.0189999999999999</v>
      </c>
      <c r="AK201" s="126">
        <f t="shared" si="345"/>
        <v>1.0189999999999999</v>
      </c>
      <c r="AL201" s="126">
        <f t="shared" si="346"/>
        <v>1.0189999999999999</v>
      </c>
      <c r="AM201" s="126">
        <f t="shared" si="347"/>
        <v>1.0189999999999999</v>
      </c>
      <c r="AN201" s="126">
        <f t="shared" si="348"/>
        <v>1.0189999999999999</v>
      </c>
      <c r="AO201" s="126">
        <f t="shared" si="349"/>
        <v>1.0189999999999999</v>
      </c>
      <c r="AP201" s="126">
        <f t="shared" si="350"/>
        <v>1.0189999999999999</v>
      </c>
      <c r="AQ201" s="126">
        <f t="shared" si="351"/>
        <v>1.0189999999999999</v>
      </c>
      <c r="AR201" s="126">
        <f t="shared" si="352"/>
        <v>1.0189999999999999</v>
      </c>
      <c r="AS201" s="126">
        <f t="shared" si="353"/>
        <v>1.0189999999999999</v>
      </c>
      <c r="AT201" s="126">
        <f t="shared" si="354"/>
        <v>1.0189999999999999</v>
      </c>
      <c r="AU201" s="126">
        <f t="shared" si="355"/>
        <v>1.0189999999999999</v>
      </c>
      <c r="AV201" s="126">
        <f t="shared" si="356"/>
        <v>1.0189999999999999</v>
      </c>
      <c r="AW201" s="126">
        <f t="shared" si="357"/>
        <v>1.0189999999999999</v>
      </c>
      <c r="AX201" s="126">
        <f t="shared" si="358"/>
        <v>1.0189999999999999</v>
      </c>
      <c r="AY201" s="126">
        <f t="shared" si="359"/>
        <v>1.0189999999999999</v>
      </c>
      <c r="AZ201" s="126">
        <f t="shared" si="360"/>
        <v>1.0189999999999999</v>
      </c>
      <c r="BA201" s="126">
        <f t="shared" si="361"/>
        <v>1.0189999999999999</v>
      </c>
      <c r="BB201" s="126">
        <f t="shared" si="362"/>
        <v>1.0189999999999999</v>
      </c>
      <c r="BC201" s="126">
        <f t="shared" si="363"/>
        <v>1.0189999999999999</v>
      </c>
    </row>
    <row r="202" spans="2:55">
      <c r="B202" s="6" t="str">
        <f t="shared" si="340"/>
        <v>Soft polymer dressing</v>
      </c>
      <c r="C202" s="126">
        <f t="shared" ref="C202:AG202" si="389">(IF(C$175&lt;$C$173, -1, 1) *D53)+1</f>
        <v>0.98099999999999998</v>
      </c>
      <c r="D202" s="126">
        <f t="shared" si="389"/>
        <v>0.98099999999999998</v>
      </c>
      <c r="E202" s="126">
        <f t="shared" si="389"/>
        <v>0.98099999999999998</v>
      </c>
      <c r="F202" s="126">
        <f t="shared" si="389"/>
        <v>0.98099999999999998</v>
      </c>
      <c r="G202" s="126">
        <f t="shared" si="389"/>
        <v>0.98099999999999998</v>
      </c>
      <c r="H202" s="126">
        <f t="shared" si="389"/>
        <v>0.98099999999999998</v>
      </c>
      <c r="I202" s="126">
        <f t="shared" si="389"/>
        <v>0.98299999999999998</v>
      </c>
      <c r="J202" s="126">
        <f t="shared" si="389"/>
        <v>0.98199999999999998</v>
      </c>
      <c r="K202" s="126">
        <f t="shared" si="389"/>
        <v>1.0209999999999999</v>
      </c>
      <c r="L202" s="126">
        <f t="shared" si="389"/>
        <v>1.0189999999999999</v>
      </c>
      <c r="M202" s="126">
        <f t="shared" si="389"/>
        <v>1.02</v>
      </c>
      <c r="N202" s="126">
        <f t="shared" si="389"/>
        <v>1.0189999999999999</v>
      </c>
      <c r="O202" s="126">
        <f t="shared" si="389"/>
        <v>1.0189999999999999</v>
      </c>
      <c r="P202" s="126">
        <f t="shared" si="389"/>
        <v>1.0189999999999999</v>
      </c>
      <c r="Q202" s="126">
        <f t="shared" si="389"/>
        <v>1.0189999999999999</v>
      </c>
      <c r="R202" s="126">
        <f t="shared" si="389"/>
        <v>1.0189999999999999</v>
      </c>
      <c r="S202" s="126">
        <f t="shared" si="389"/>
        <v>1.0189999999999999</v>
      </c>
      <c r="T202" s="126">
        <f t="shared" si="389"/>
        <v>1.0189999999999999</v>
      </c>
      <c r="U202" s="126">
        <f t="shared" si="389"/>
        <v>1.0189999999999999</v>
      </c>
      <c r="V202" s="126">
        <f t="shared" si="389"/>
        <v>1.0189999999999999</v>
      </c>
      <c r="W202" s="126">
        <f t="shared" si="389"/>
        <v>1.0189999999999999</v>
      </c>
      <c r="X202" s="126">
        <f t="shared" si="389"/>
        <v>1.0189999999999999</v>
      </c>
      <c r="Y202" s="126">
        <f t="shared" si="389"/>
        <v>1.0189999999999999</v>
      </c>
      <c r="Z202" s="126">
        <f t="shared" si="389"/>
        <v>1.0189999999999999</v>
      </c>
      <c r="AA202" s="126">
        <f t="shared" si="389"/>
        <v>1.0189999999999999</v>
      </c>
      <c r="AB202" s="126">
        <f t="shared" si="389"/>
        <v>1.0189999999999999</v>
      </c>
      <c r="AC202" s="126">
        <f t="shared" si="389"/>
        <v>1.0189999999999999</v>
      </c>
      <c r="AD202" s="126">
        <f t="shared" si="389"/>
        <v>1.0189999999999999</v>
      </c>
      <c r="AE202" s="126">
        <f t="shared" si="389"/>
        <v>1.0189999999999999</v>
      </c>
      <c r="AF202" s="126">
        <f t="shared" si="389"/>
        <v>1.0189999999999999</v>
      </c>
      <c r="AG202" s="126">
        <f t="shared" si="389"/>
        <v>1.0189999999999999</v>
      </c>
      <c r="AH202" s="126">
        <f t="shared" si="342"/>
        <v>1.0189999999999999</v>
      </c>
      <c r="AI202" s="126">
        <f t="shared" si="343"/>
        <v>1.0189999999999999</v>
      </c>
      <c r="AJ202" s="126">
        <f t="shared" si="344"/>
        <v>1.0189999999999999</v>
      </c>
      <c r="AK202" s="126">
        <f t="shared" si="345"/>
        <v>1.0189999999999999</v>
      </c>
      <c r="AL202" s="126">
        <f t="shared" si="346"/>
        <v>1.0189999999999999</v>
      </c>
      <c r="AM202" s="126">
        <f t="shared" si="347"/>
        <v>1.0189999999999999</v>
      </c>
      <c r="AN202" s="126">
        <f t="shared" si="348"/>
        <v>1.0189999999999999</v>
      </c>
      <c r="AO202" s="126">
        <f t="shared" si="349"/>
        <v>1.0189999999999999</v>
      </c>
      <c r="AP202" s="126">
        <f t="shared" si="350"/>
        <v>1.0189999999999999</v>
      </c>
      <c r="AQ202" s="126">
        <f t="shared" si="351"/>
        <v>1.0189999999999999</v>
      </c>
      <c r="AR202" s="126">
        <f t="shared" si="352"/>
        <v>1.0189999999999999</v>
      </c>
      <c r="AS202" s="126">
        <f t="shared" si="353"/>
        <v>1.0189999999999999</v>
      </c>
      <c r="AT202" s="126">
        <f t="shared" si="354"/>
        <v>1.0189999999999999</v>
      </c>
      <c r="AU202" s="126">
        <f t="shared" si="355"/>
        <v>1.0189999999999999</v>
      </c>
      <c r="AV202" s="126">
        <f t="shared" si="356"/>
        <v>1.0189999999999999</v>
      </c>
      <c r="AW202" s="126">
        <f t="shared" si="357"/>
        <v>1.0189999999999999</v>
      </c>
      <c r="AX202" s="126">
        <f t="shared" si="358"/>
        <v>1.0189999999999999</v>
      </c>
      <c r="AY202" s="126">
        <f t="shared" si="359"/>
        <v>1.0189999999999999</v>
      </c>
      <c r="AZ202" s="126">
        <f t="shared" si="360"/>
        <v>1.0189999999999999</v>
      </c>
      <c r="BA202" s="126">
        <f t="shared" si="361"/>
        <v>1.0189999999999999</v>
      </c>
      <c r="BB202" s="126">
        <f t="shared" si="362"/>
        <v>1.0189999999999999</v>
      </c>
      <c r="BC202" s="126">
        <f t="shared" si="363"/>
        <v>1.0189999999999999</v>
      </c>
    </row>
    <row r="203" spans="2:55">
      <c r="B203" s="6" t="str">
        <f t="shared" si="340"/>
        <v>Bandages</v>
      </c>
      <c r="C203" s="126">
        <f t="shared" ref="C203:AG203" si="390">(IF(C$175&lt;$C$173, -1, 1) *D54)+1</f>
        <v>0.98099999999999998</v>
      </c>
      <c r="D203" s="126">
        <f t="shared" si="390"/>
        <v>0.98099999999999998</v>
      </c>
      <c r="E203" s="126">
        <f t="shared" si="390"/>
        <v>0.98099999999999998</v>
      </c>
      <c r="F203" s="126">
        <f t="shared" si="390"/>
        <v>0.98099999999999998</v>
      </c>
      <c r="G203" s="126">
        <f t="shared" si="390"/>
        <v>0.98099999999999998</v>
      </c>
      <c r="H203" s="126">
        <f t="shared" si="390"/>
        <v>0.98099999999999998</v>
      </c>
      <c r="I203" s="126">
        <f t="shared" si="390"/>
        <v>0.98299999999999998</v>
      </c>
      <c r="J203" s="126">
        <f t="shared" si="390"/>
        <v>0.98199999999999998</v>
      </c>
      <c r="K203" s="126">
        <f t="shared" si="390"/>
        <v>1.0209999999999999</v>
      </c>
      <c r="L203" s="126">
        <f t="shared" si="390"/>
        <v>1.0189999999999999</v>
      </c>
      <c r="M203" s="126">
        <f t="shared" si="390"/>
        <v>1.02</v>
      </c>
      <c r="N203" s="126">
        <f t="shared" si="390"/>
        <v>1.0189999999999999</v>
      </c>
      <c r="O203" s="126">
        <f t="shared" si="390"/>
        <v>1.0189999999999999</v>
      </c>
      <c r="P203" s="126">
        <f t="shared" si="390"/>
        <v>1.0189999999999999</v>
      </c>
      <c r="Q203" s="126">
        <f t="shared" si="390"/>
        <v>1.0189999999999999</v>
      </c>
      <c r="R203" s="126">
        <f t="shared" si="390"/>
        <v>1.0189999999999999</v>
      </c>
      <c r="S203" s="126">
        <f t="shared" si="390"/>
        <v>1.0189999999999999</v>
      </c>
      <c r="T203" s="126">
        <f t="shared" si="390"/>
        <v>1.0189999999999999</v>
      </c>
      <c r="U203" s="126">
        <f t="shared" si="390"/>
        <v>1.0189999999999999</v>
      </c>
      <c r="V203" s="126">
        <f t="shared" si="390"/>
        <v>1.0189999999999999</v>
      </c>
      <c r="W203" s="126">
        <f t="shared" si="390"/>
        <v>1.0189999999999999</v>
      </c>
      <c r="X203" s="126">
        <f t="shared" si="390"/>
        <v>1.0189999999999999</v>
      </c>
      <c r="Y203" s="126">
        <f t="shared" si="390"/>
        <v>1.0189999999999999</v>
      </c>
      <c r="Z203" s="126">
        <f t="shared" si="390"/>
        <v>1.0189999999999999</v>
      </c>
      <c r="AA203" s="126">
        <f t="shared" si="390"/>
        <v>1.0189999999999999</v>
      </c>
      <c r="AB203" s="126">
        <f t="shared" si="390"/>
        <v>1.0189999999999999</v>
      </c>
      <c r="AC203" s="126">
        <f t="shared" si="390"/>
        <v>1.0189999999999999</v>
      </c>
      <c r="AD203" s="126">
        <f t="shared" si="390"/>
        <v>1.0189999999999999</v>
      </c>
      <c r="AE203" s="126">
        <f t="shared" si="390"/>
        <v>1.0189999999999999</v>
      </c>
      <c r="AF203" s="126">
        <f t="shared" si="390"/>
        <v>1.0189999999999999</v>
      </c>
      <c r="AG203" s="126">
        <f t="shared" si="390"/>
        <v>1.0189999999999999</v>
      </c>
      <c r="AH203" s="126">
        <f t="shared" si="342"/>
        <v>1.0189999999999999</v>
      </c>
      <c r="AI203" s="126">
        <f t="shared" si="343"/>
        <v>1.0189999999999999</v>
      </c>
      <c r="AJ203" s="126">
        <f t="shared" si="344"/>
        <v>1.0189999999999999</v>
      </c>
      <c r="AK203" s="126">
        <f t="shared" si="345"/>
        <v>1.0189999999999999</v>
      </c>
      <c r="AL203" s="126">
        <f t="shared" si="346"/>
        <v>1.0189999999999999</v>
      </c>
      <c r="AM203" s="126">
        <f t="shared" si="347"/>
        <v>1.0189999999999999</v>
      </c>
      <c r="AN203" s="126">
        <f t="shared" si="348"/>
        <v>1.0189999999999999</v>
      </c>
      <c r="AO203" s="126">
        <f t="shared" si="349"/>
        <v>1.0189999999999999</v>
      </c>
      <c r="AP203" s="126">
        <f t="shared" si="350"/>
        <v>1.0189999999999999</v>
      </c>
      <c r="AQ203" s="126">
        <f t="shared" si="351"/>
        <v>1.0189999999999999</v>
      </c>
      <c r="AR203" s="126">
        <f t="shared" si="352"/>
        <v>1.0189999999999999</v>
      </c>
      <c r="AS203" s="126">
        <f t="shared" si="353"/>
        <v>1.0189999999999999</v>
      </c>
      <c r="AT203" s="126">
        <f t="shared" si="354"/>
        <v>1.0189999999999999</v>
      </c>
      <c r="AU203" s="126">
        <f t="shared" si="355"/>
        <v>1.0189999999999999</v>
      </c>
      <c r="AV203" s="126">
        <f t="shared" si="356"/>
        <v>1.0189999999999999</v>
      </c>
      <c r="AW203" s="126">
        <f t="shared" si="357"/>
        <v>1.0189999999999999</v>
      </c>
      <c r="AX203" s="126">
        <f t="shared" si="358"/>
        <v>1.0189999999999999</v>
      </c>
      <c r="AY203" s="126">
        <f t="shared" si="359"/>
        <v>1.0189999999999999</v>
      </c>
      <c r="AZ203" s="126">
        <f t="shared" si="360"/>
        <v>1.0189999999999999</v>
      </c>
      <c r="BA203" s="126">
        <f t="shared" si="361"/>
        <v>1.0189999999999999</v>
      </c>
      <c r="BB203" s="126">
        <f t="shared" si="362"/>
        <v>1.0189999999999999</v>
      </c>
      <c r="BC203" s="126">
        <f t="shared" si="363"/>
        <v>1.0189999999999999</v>
      </c>
    </row>
    <row r="204" spans="2:55">
      <c r="B204" s="6" t="str">
        <f t="shared" si="340"/>
        <v>Compression systems</v>
      </c>
      <c r="C204" s="126">
        <f t="shared" ref="C204:AG204" si="391">(IF(C$175&lt;$C$173, -1, 1) *D55)+1</f>
        <v>0.98099999999999998</v>
      </c>
      <c r="D204" s="126">
        <f t="shared" si="391"/>
        <v>0.98099999999999998</v>
      </c>
      <c r="E204" s="126">
        <f t="shared" si="391"/>
        <v>0.98099999999999998</v>
      </c>
      <c r="F204" s="126">
        <f t="shared" si="391"/>
        <v>0.98099999999999998</v>
      </c>
      <c r="G204" s="126">
        <f t="shared" si="391"/>
        <v>0.98099999999999998</v>
      </c>
      <c r="H204" s="126">
        <f t="shared" si="391"/>
        <v>0.98099999999999998</v>
      </c>
      <c r="I204" s="126">
        <f t="shared" si="391"/>
        <v>0.98299999999999998</v>
      </c>
      <c r="J204" s="126">
        <f t="shared" si="391"/>
        <v>0.98199999999999998</v>
      </c>
      <c r="K204" s="126">
        <f t="shared" si="391"/>
        <v>1.0209999999999999</v>
      </c>
      <c r="L204" s="126">
        <f t="shared" si="391"/>
        <v>1.0189999999999999</v>
      </c>
      <c r="M204" s="126">
        <f t="shared" si="391"/>
        <v>1.02</v>
      </c>
      <c r="N204" s="126">
        <f t="shared" si="391"/>
        <v>1.0189999999999999</v>
      </c>
      <c r="O204" s="126">
        <f t="shared" si="391"/>
        <v>1.0189999999999999</v>
      </c>
      <c r="P204" s="126">
        <f t="shared" si="391"/>
        <v>1.0189999999999999</v>
      </c>
      <c r="Q204" s="126">
        <f t="shared" si="391"/>
        <v>1.0189999999999999</v>
      </c>
      <c r="R204" s="126">
        <f t="shared" si="391"/>
        <v>1.0189999999999999</v>
      </c>
      <c r="S204" s="126">
        <f t="shared" si="391"/>
        <v>1.0189999999999999</v>
      </c>
      <c r="T204" s="126">
        <f t="shared" si="391"/>
        <v>1.0189999999999999</v>
      </c>
      <c r="U204" s="126">
        <f t="shared" si="391"/>
        <v>1.0189999999999999</v>
      </c>
      <c r="V204" s="126">
        <f t="shared" si="391"/>
        <v>1.0189999999999999</v>
      </c>
      <c r="W204" s="126">
        <f t="shared" si="391"/>
        <v>1.0189999999999999</v>
      </c>
      <c r="X204" s="126">
        <f t="shared" si="391"/>
        <v>1.0189999999999999</v>
      </c>
      <c r="Y204" s="126">
        <f t="shared" si="391"/>
        <v>1.0189999999999999</v>
      </c>
      <c r="Z204" s="126">
        <f t="shared" si="391"/>
        <v>1.0189999999999999</v>
      </c>
      <c r="AA204" s="126">
        <f t="shared" si="391"/>
        <v>1.0189999999999999</v>
      </c>
      <c r="AB204" s="126">
        <f t="shared" si="391"/>
        <v>1.0189999999999999</v>
      </c>
      <c r="AC204" s="126">
        <f t="shared" si="391"/>
        <v>1.0189999999999999</v>
      </c>
      <c r="AD204" s="126">
        <f t="shared" si="391"/>
        <v>1.0189999999999999</v>
      </c>
      <c r="AE204" s="126">
        <f t="shared" si="391"/>
        <v>1.0189999999999999</v>
      </c>
      <c r="AF204" s="126">
        <f t="shared" si="391"/>
        <v>1.0189999999999999</v>
      </c>
      <c r="AG204" s="126">
        <f t="shared" si="391"/>
        <v>1.0189999999999999</v>
      </c>
      <c r="AH204" s="126">
        <f t="shared" si="342"/>
        <v>1.0189999999999999</v>
      </c>
      <c r="AI204" s="126">
        <f t="shared" si="343"/>
        <v>1.0189999999999999</v>
      </c>
      <c r="AJ204" s="126">
        <f t="shared" si="344"/>
        <v>1.0189999999999999</v>
      </c>
      <c r="AK204" s="126">
        <f t="shared" si="345"/>
        <v>1.0189999999999999</v>
      </c>
      <c r="AL204" s="126">
        <f t="shared" si="346"/>
        <v>1.0189999999999999</v>
      </c>
      <c r="AM204" s="126">
        <f t="shared" si="347"/>
        <v>1.0189999999999999</v>
      </c>
      <c r="AN204" s="126">
        <f t="shared" si="348"/>
        <v>1.0189999999999999</v>
      </c>
      <c r="AO204" s="126">
        <f t="shared" si="349"/>
        <v>1.0189999999999999</v>
      </c>
      <c r="AP204" s="126">
        <f t="shared" si="350"/>
        <v>1.0189999999999999</v>
      </c>
      <c r="AQ204" s="126">
        <f t="shared" si="351"/>
        <v>1.0189999999999999</v>
      </c>
      <c r="AR204" s="126">
        <f t="shared" si="352"/>
        <v>1.0189999999999999</v>
      </c>
      <c r="AS204" s="126">
        <f t="shared" si="353"/>
        <v>1.0189999999999999</v>
      </c>
      <c r="AT204" s="126">
        <f t="shared" si="354"/>
        <v>1.0189999999999999</v>
      </c>
      <c r="AU204" s="126">
        <f t="shared" si="355"/>
        <v>1.0189999999999999</v>
      </c>
      <c r="AV204" s="126">
        <f t="shared" si="356"/>
        <v>1.0189999999999999</v>
      </c>
      <c r="AW204" s="126">
        <f t="shared" si="357"/>
        <v>1.0189999999999999</v>
      </c>
      <c r="AX204" s="126">
        <f t="shared" si="358"/>
        <v>1.0189999999999999</v>
      </c>
      <c r="AY204" s="126">
        <f t="shared" si="359"/>
        <v>1.0189999999999999</v>
      </c>
      <c r="AZ204" s="126">
        <f t="shared" si="360"/>
        <v>1.0189999999999999</v>
      </c>
      <c r="BA204" s="126">
        <f t="shared" si="361"/>
        <v>1.0189999999999999</v>
      </c>
      <c r="BB204" s="126">
        <f t="shared" si="362"/>
        <v>1.0189999999999999</v>
      </c>
      <c r="BC204" s="126">
        <f t="shared" si="363"/>
        <v>1.0189999999999999</v>
      </c>
    </row>
    <row r="205" spans="2:55">
      <c r="B205" s="6" t="str">
        <f t="shared" si="340"/>
        <v>Compression hosiery</v>
      </c>
      <c r="C205" s="126">
        <f t="shared" ref="C205:AG205" si="392">(IF(C$175&lt;$C$173, -1, 1) *D56)+1</f>
        <v>0.98099999999999998</v>
      </c>
      <c r="D205" s="126">
        <f t="shared" si="392"/>
        <v>0.98099999999999998</v>
      </c>
      <c r="E205" s="126">
        <f t="shared" si="392"/>
        <v>0.98099999999999998</v>
      </c>
      <c r="F205" s="126">
        <f t="shared" si="392"/>
        <v>0.98099999999999998</v>
      </c>
      <c r="G205" s="126">
        <f t="shared" si="392"/>
        <v>0.98099999999999998</v>
      </c>
      <c r="H205" s="126">
        <f t="shared" si="392"/>
        <v>0.98099999999999998</v>
      </c>
      <c r="I205" s="126">
        <f t="shared" si="392"/>
        <v>0.98299999999999998</v>
      </c>
      <c r="J205" s="126">
        <f t="shared" si="392"/>
        <v>0.98199999999999998</v>
      </c>
      <c r="K205" s="126">
        <f t="shared" si="392"/>
        <v>1.0209999999999999</v>
      </c>
      <c r="L205" s="126">
        <f t="shared" si="392"/>
        <v>1.0189999999999999</v>
      </c>
      <c r="M205" s="126">
        <f t="shared" si="392"/>
        <v>1.02</v>
      </c>
      <c r="N205" s="126">
        <f t="shared" si="392"/>
        <v>1.0189999999999999</v>
      </c>
      <c r="O205" s="126">
        <f t="shared" si="392"/>
        <v>1.0189999999999999</v>
      </c>
      <c r="P205" s="126">
        <f t="shared" si="392"/>
        <v>1.0189999999999999</v>
      </c>
      <c r="Q205" s="126">
        <f t="shared" si="392"/>
        <v>1.0189999999999999</v>
      </c>
      <c r="R205" s="126">
        <f t="shared" si="392"/>
        <v>1.0189999999999999</v>
      </c>
      <c r="S205" s="126">
        <f t="shared" si="392"/>
        <v>1.0189999999999999</v>
      </c>
      <c r="T205" s="126">
        <f t="shared" si="392"/>
        <v>1.0189999999999999</v>
      </c>
      <c r="U205" s="126">
        <f t="shared" si="392"/>
        <v>1.0189999999999999</v>
      </c>
      <c r="V205" s="126">
        <f t="shared" si="392"/>
        <v>1.0189999999999999</v>
      </c>
      <c r="W205" s="126">
        <f t="shared" si="392"/>
        <v>1.0189999999999999</v>
      </c>
      <c r="X205" s="126">
        <f t="shared" si="392"/>
        <v>1.0189999999999999</v>
      </c>
      <c r="Y205" s="126">
        <f t="shared" si="392"/>
        <v>1.0189999999999999</v>
      </c>
      <c r="Z205" s="126">
        <f t="shared" si="392"/>
        <v>1.0189999999999999</v>
      </c>
      <c r="AA205" s="126">
        <f t="shared" si="392"/>
        <v>1.0189999999999999</v>
      </c>
      <c r="AB205" s="126">
        <f t="shared" si="392"/>
        <v>1.0189999999999999</v>
      </c>
      <c r="AC205" s="126">
        <f t="shared" si="392"/>
        <v>1.0189999999999999</v>
      </c>
      <c r="AD205" s="126">
        <f t="shared" si="392"/>
        <v>1.0189999999999999</v>
      </c>
      <c r="AE205" s="126">
        <f t="shared" si="392"/>
        <v>1.0189999999999999</v>
      </c>
      <c r="AF205" s="126">
        <f t="shared" si="392"/>
        <v>1.0189999999999999</v>
      </c>
      <c r="AG205" s="126">
        <f t="shared" si="392"/>
        <v>1.0189999999999999</v>
      </c>
      <c r="AH205" s="126">
        <f t="shared" si="342"/>
        <v>1.0189999999999999</v>
      </c>
      <c r="AI205" s="126">
        <f t="shared" si="343"/>
        <v>1.0189999999999999</v>
      </c>
      <c r="AJ205" s="126">
        <f t="shared" si="344"/>
        <v>1.0189999999999999</v>
      </c>
      <c r="AK205" s="126">
        <f t="shared" si="345"/>
        <v>1.0189999999999999</v>
      </c>
      <c r="AL205" s="126">
        <f t="shared" si="346"/>
        <v>1.0189999999999999</v>
      </c>
      <c r="AM205" s="126">
        <f t="shared" si="347"/>
        <v>1.0189999999999999</v>
      </c>
      <c r="AN205" s="126">
        <f t="shared" si="348"/>
        <v>1.0189999999999999</v>
      </c>
      <c r="AO205" s="126">
        <f t="shared" si="349"/>
        <v>1.0189999999999999</v>
      </c>
      <c r="AP205" s="126">
        <f t="shared" si="350"/>
        <v>1.0189999999999999</v>
      </c>
      <c r="AQ205" s="126">
        <f t="shared" si="351"/>
        <v>1.0189999999999999</v>
      </c>
      <c r="AR205" s="126">
        <f t="shared" si="352"/>
        <v>1.0189999999999999</v>
      </c>
      <c r="AS205" s="126">
        <f t="shared" si="353"/>
        <v>1.0189999999999999</v>
      </c>
      <c r="AT205" s="126">
        <f t="shared" si="354"/>
        <v>1.0189999999999999</v>
      </c>
      <c r="AU205" s="126">
        <f t="shared" si="355"/>
        <v>1.0189999999999999</v>
      </c>
      <c r="AV205" s="126">
        <f t="shared" si="356"/>
        <v>1.0189999999999999</v>
      </c>
      <c r="AW205" s="126">
        <f t="shared" si="357"/>
        <v>1.0189999999999999</v>
      </c>
      <c r="AX205" s="126">
        <f t="shared" si="358"/>
        <v>1.0189999999999999</v>
      </c>
      <c r="AY205" s="126">
        <f t="shared" si="359"/>
        <v>1.0189999999999999</v>
      </c>
      <c r="AZ205" s="126">
        <f t="shared" si="360"/>
        <v>1.0189999999999999</v>
      </c>
      <c r="BA205" s="126">
        <f t="shared" si="361"/>
        <v>1.0189999999999999</v>
      </c>
      <c r="BB205" s="126">
        <f t="shared" si="362"/>
        <v>1.0189999999999999</v>
      </c>
      <c r="BC205" s="126">
        <f t="shared" si="363"/>
        <v>1.0189999999999999</v>
      </c>
    </row>
    <row r="206" spans="2:55">
      <c r="B206" s="6" t="str">
        <f t="shared" si="340"/>
        <v>Topical wound care products</v>
      </c>
      <c r="C206" s="126">
        <f t="shared" ref="C206:AG206" si="393">(IF(C$175&lt;$C$173, -1, 1) *D57)+1</f>
        <v>0.98099999999999998</v>
      </c>
      <c r="D206" s="126">
        <f t="shared" si="393"/>
        <v>0.98099999999999998</v>
      </c>
      <c r="E206" s="126">
        <f t="shared" si="393"/>
        <v>0.98099999999999998</v>
      </c>
      <c r="F206" s="126">
        <f t="shared" si="393"/>
        <v>0.98099999999999998</v>
      </c>
      <c r="G206" s="126">
        <f t="shared" si="393"/>
        <v>0.98099999999999998</v>
      </c>
      <c r="H206" s="126">
        <f t="shared" si="393"/>
        <v>0.98099999999999998</v>
      </c>
      <c r="I206" s="126">
        <f t="shared" si="393"/>
        <v>0.98299999999999998</v>
      </c>
      <c r="J206" s="126">
        <f t="shared" si="393"/>
        <v>0.98199999999999998</v>
      </c>
      <c r="K206" s="126">
        <f t="shared" si="393"/>
        <v>1.0209999999999999</v>
      </c>
      <c r="L206" s="126">
        <f t="shared" si="393"/>
        <v>1.0189999999999999</v>
      </c>
      <c r="M206" s="126">
        <f t="shared" si="393"/>
        <v>1.02</v>
      </c>
      <c r="N206" s="126">
        <f t="shared" si="393"/>
        <v>1.0189999999999999</v>
      </c>
      <c r="O206" s="126">
        <f t="shared" si="393"/>
        <v>1.0189999999999999</v>
      </c>
      <c r="P206" s="126">
        <f t="shared" si="393"/>
        <v>1.0189999999999999</v>
      </c>
      <c r="Q206" s="126">
        <f t="shared" si="393"/>
        <v>1.0189999999999999</v>
      </c>
      <c r="R206" s="126">
        <f t="shared" si="393"/>
        <v>1.0189999999999999</v>
      </c>
      <c r="S206" s="126">
        <f t="shared" si="393"/>
        <v>1.0189999999999999</v>
      </c>
      <c r="T206" s="126">
        <f t="shared" si="393"/>
        <v>1.0189999999999999</v>
      </c>
      <c r="U206" s="126">
        <f t="shared" si="393"/>
        <v>1.0189999999999999</v>
      </c>
      <c r="V206" s="126">
        <f t="shared" si="393"/>
        <v>1.0189999999999999</v>
      </c>
      <c r="W206" s="126">
        <f t="shared" si="393"/>
        <v>1.0189999999999999</v>
      </c>
      <c r="X206" s="126">
        <f t="shared" si="393"/>
        <v>1.0189999999999999</v>
      </c>
      <c r="Y206" s="126">
        <f t="shared" si="393"/>
        <v>1.0189999999999999</v>
      </c>
      <c r="Z206" s="126">
        <f t="shared" si="393"/>
        <v>1.0189999999999999</v>
      </c>
      <c r="AA206" s="126">
        <f t="shared" si="393"/>
        <v>1.0189999999999999</v>
      </c>
      <c r="AB206" s="126">
        <f t="shared" si="393"/>
        <v>1.0189999999999999</v>
      </c>
      <c r="AC206" s="126">
        <f t="shared" si="393"/>
        <v>1.0189999999999999</v>
      </c>
      <c r="AD206" s="126">
        <f t="shared" si="393"/>
        <v>1.0189999999999999</v>
      </c>
      <c r="AE206" s="126">
        <f t="shared" si="393"/>
        <v>1.0189999999999999</v>
      </c>
      <c r="AF206" s="126">
        <f t="shared" si="393"/>
        <v>1.0189999999999999</v>
      </c>
      <c r="AG206" s="126">
        <f t="shared" si="393"/>
        <v>1.0189999999999999</v>
      </c>
      <c r="AH206" s="126">
        <f t="shared" si="342"/>
        <v>1.0189999999999999</v>
      </c>
      <c r="AI206" s="126">
        <f t="shared" si="343"/>
        <v>1.0189999999999999</v>
      </c>
      <c r="AJ206" s="126">
        <f t="shared" si="344"/>
        <v>1.0189999999999999</v>
      </c>
      <c r="AK206" s="126">
        <f t="shared" si="345"/>
        <v>1.0189999999999999</v>
      </c>
      <c r="AL206" s="126">
        <f t="shared" si="346"/>
        <v>1.0189999999999999</v>
      </c>
      <c r="AM206" s="126">
        <f t="shared" si="347"/>
        <v>1.0189999999999999</v>
      </c>
      <c r="AN206" s="126">
        <f t="shared" si="348"/>
        <v>1.0189999999999999</v>
      </c>
      <c r="AO206" s="126">
        <f t="shared" si="349"/>
        <v>1.0189999999999999</v>
      </c>
      <c r="AP206" s="126">
        <f t="shared" si="350"/>
        <v>1.0189999999999999</v>
      </c>
      <c r="AQ206" s="126">
        <f t="shared" si="351"/>
        <v>1.0189999999999999</v>
      </c>
      <c r="AR206" s="126">
        <f t="shared" si="352"/>
        <v>1.0189999999999999</v>
      </c>
      <c r="AS206" s="126">
        <f t="shared" si="353"/>
        <v>1.0189999999999999</v>
      </c>
      <c r="AT206" s="126">
        <f t="shared" si="354"/>
        <v>1.0189999999999999</v>
      </c>
      <c r="AU206" s="126">
        <f t="shared" si="355"/>
        <v>1.0189999999999999</v>
      </c>
      <c r="AV206" s="126">
        <f t="shared" si="356"/>
        <v>1.0189999999999999</v>
      </c>
      <c r="AW206" s="126">
        <f t="shared" si="357"/>
        <v>1.0189999999999999</v>
      </c>
      <c r="AX206" s="126">
        <f t="shared" si="358"/>
        <v>1.0189999999999999</v>
      </c>
      <c r="AY206" s="126">
        <f t="shared" si="359"/>
        <v>1.0189999999999999</v>
      </c>
      <c r="AZ206" s="126">
        <f t="shared" si="360"/>
        <v>1.0189999999999999</v>
      </c>
      <c r="BA206" s="126">
        <f t="shared" si="361"/>
        <v>1.0189999999999999</v>
      </c>
      <c r="BB206" s="126">
        <f t="shared" si="362"/>
        <v>1.0189999999999999</v>
      </c>
      <c r="BC206" s="126">
        <f t="shared" si="363"/>
        <v>1.0189999999999999</v>
      </c>
    </row>
    <row r="207" spans="2:55">
      <c r="B207" s="6" t="str">
        <f t="shared" si="340"/>
        <v>Devices</v>
      </c>
      <c r="C207" s="126">
        <f t="shared" ref="C207:AG207" si="394">(IF(C$175&lt;$C$173, -1, 1) *D58)+1</f>
        <v>0.98099999999999998</v>
      </c>
      <c r="D207" s="126">
        <f t="shared" si="394"/>
        <v>0.98099999999999998</v>
      </c>
      <c r="E207" s="126">
        <f t="shared" si="394"/>
        <v>0.98099999999999998</v>
      </c>
      <c r="F207" s="126">
        <f t="shared" si="394"/>
        <v>0.98099999999999998</v>
      </c>
      <c r="G207" s="126">
        <f t="shared" si="394"/>
        <v>0.98099999999999998</v>
      </c>
      <c r="H207" s="126">
        <f t="shared" si="394"/>
        <v>0.98099999999999998</v>
      </c>
      <c r="I207" s="126">
        <f t="shared" si="394"/>
        <v>0.98299999999999998</v>
      </c>
      <c r="J207" s="126">
        <f t="shared" si="394"/>
        <v>0.98199999999999998</v>
      </c>
      <c r="K207" s="126">
        <f t="shared" si="394"/>
        <v>1.0209999999999999</v>
      </c>
      <c r="L207" s="126">
        <f t="shared" si="394"/>
        <v>1.0189999999999999</v>
      </c>
      <c r="M207" s="126">
        <f t="shared" si="394"/>
        <v>1.02</v>
      </c>
      <c r="N207" s="126">
        <f t="shared" si="394"/>
        <v>1.0189999999999999</v>
      </c>
      <c r="O207" s="126">
        <f t="shared" si="394"/>
        <v>1.0189999999999999</v>
      </c>
      <c r="P207" s="126">
        <f t="shared" si="394"/>
        <v>1.0189999999999999</v>
      </c>
      <c r="Q207" s="126">
        <f t="shared" si="394"/>
        <v>1.0189999999999999</v>
      </c>
      <c r="R207" s="126">
        <f t="shared" si="394"/>
        <v>1.0189999999999999</v>
      </c>
      <c r="S207" s="126">
        <f t="shared" si="394"/>
        <v>1.0189999999999999</v>
      </c>
      <c r="T207" s="126">
        <f t="shared" si="394"/>
        <v>1.0189999999999999</v>
      </c>
      <c r="U207" s="126">
        <f t="shared" si="394"/>
        <v>1.0189999999999999</v>
      </c>
      <c r="V207" s="126">
        <f t="shared" si="394"/>
        <v>1.0189999999999999</v>
      </c>
      <c r="W207" s="126">
        <f t="shared" si="394"/>
        <v>1.0189999999999999</v>
      </c>
      <c r="X207" s="126">
        <f t="shared" si="394"/>
        <v>1.0189999999999999</v>
      </c>
      <c r="Y207" s="126">
        <f t="shared" si="394"/>
        <v>1.0189999999999999</v>
      </c>
      <c r="Z207" s="126">
        <f t="shared" si="394"/>
        <v>1.0189999999999999</v>
      </c>
      <c r="AA207" s="126">
        <f t="shared" si="394"/>
        <v>1.0189999999999999</v>
      </c>
      <c r="AB207" s="126">
        <f t="shared" si="394"/>
        <v>1.0189999999999999</v>
      </c>
      <c r="AC207" s="126">
        <f t="shared" si="394"/>
        <v>1.0189999999999999</v>
      </c>
      <c r="AD207" s="126">
        <f t="shared" si="394"/>
        <v>1.0189999999999999</v>
      </c>
      <c r="AE207" s="126">
        <f t="shared" si="394"/>
        <v>1.0189999999999999</v>
      </c>
      <c r="AF207" s="126">
        <f t="shared" si="394"/>
        <v>1.0189999999999999</v>
      </c>
      <c r="AG207" s="126">
        <f t="shared" si="394"/>
        <v>1.0189999999999999</v>
      </c>
      <c r="AH207" s="126">
        <f t="shared" si="342"/>
        <v>1.0189999999999999</v>
      </c>
      <c r="AI207" s="126">
        <f t="shared" si="343"/>
        <v>1.0189999999999999</v>
      </c>
      <c r="AJ207" s="126">
        <f t="shared" si="344"/>
        <v>1.0189999999999999</v>
      </c>
      <c r="AK207" s="126">
        <f t="shared" si="345"/>
        <v>1.0189999999999999</v>
      </c>
      <c r="AL207" s="126">
        <f t="shared" si="346"/>
        <v>1.0189999999999999</v>
      </c>
      <c r="AM207" s="126">
        <f t="shared" si="347"/>
        <v>1.0189999999999999</v>
      </c>
      <c r="AN207" s="126">
        <f t="shared" si="348"/>
        <v>1.0189999999999999</v>
      </c>
      <c r="AO207" s="126">
        <f t="shared" si="349"/>
        <v>1.0189999999999999</v>
      </c>
      <c r="AP207" s="126">
        <f t="shared" si="350"/>
        <v>1.0189999999999999</v>
      </c>
      <c r="AQ207" s="126">
        <f t="shared" si="351"/>
        <v>1.0189999999999999</v>
      </c>
      <c r="AR207" s="126">
        <f t="shared" si="352"/>
        <v>1.0189999999999999</v>
      </c>
      <c r="AS207" s="126">
        <f t="shared" si="353"/>
        <v>1.0189999999999999</v>
      </c>
      <c r="AT207" s="126">
        <f t="shared" si="354"/>
        <v>1.0189999999999999</v>
      </c>
      <c r="AU207" s="126">
        <f t="shared" si="355"/>
        <v>1.0189999999999999</v>
      </c>
      <c r="AV207" s="126">
        <f t="shared" si="356"/>
        <v>1.0189999999999999</v>
      </c>
      <c r="AW207" s="126">
        <f t="shared" si="357"/>
        <v>1.0189999999999999</v>
      </c>
      <c r="AX207" s="126">
        <f t="shared" si="358"/>
        <v>1.0189999999999999</v>
      </c>
      <c r="AY207" s="126">
        <f t="shared" si="359"/>
        <v>1.0189999999999999</v>
      </c>
      <c r="AZ207" s="126">
        <f t="shared" si="360"/>
        <v>1.0189999999999999</v>
      </c>
      <c r="BA207" s="126">
        <f t="shared" si="361"/>
        <v>1.0189999999999999</v>
      </c>
      <c r="BB207" s="126">
        <f t="shared" si="362"/>
        <v>1.0189999999999999</v>
      </c>
      <c r="BC207" s="126">
        <f t="shared" si="363"/>
        <v>1.0189999999999999</v>
      </c>
    </row>
    <row r="208" spans="2:55" ht="29">
      <c r="B208" s="6" t="str">
        <f t="shared" si="340"/>
        <v>Prescriptions for analgesics and neuroleptics</v>
      </c>
      <c r="C208" s="126">
        <f t="shared" ref="C208:AG208" si="395">(IF(C$175&lt;$C$173, -1, 1) *D59)+1</f>
        <v>0.95819999999999994</v>
      </c>
      <c r="D208" s="126">
        <f t="shared" si="395"/>
        <v>0.95819999999999994</v>
      </c>
      <c r="E208" s="126">
        <f t="shared" si="395"/>
        <v>0.95819999999999994</v>
      </c>
      <c r="F208" s="126">
        <f t="shared" si="395"/>
        <v>0.95819999999999994</v>
      </c>
      <c r="G208" s="126">
        <f t="shared" si="395"/>
        <v>0.95819999999999994</v>
      </c>
      <c r="H208" s="126">
        <f t="shared" si="395"/>
        <v>0.95819999999999994</v>
      </c>
      <c r="I208" s="126">
        <f t="shared" si="395"/>
        <v>0.95499999999999996</v>
      </c>
      <c r="J208" s="126">
        <f t="shared" si="395"/>
        <v>0.95399999999999996</v>
      </c>
      <c r="K208" s="126">
        <f t="shared" si="395"/>
        <v>1.036</v>
      </c>
      <c r="L208" s="126">
        <f t="shared" si="395"/>
        <v>1.0409999999999999</v>
      </c>
      <c r="M208" s="126">
        <f t="shared" si="395"/>
        <v>1.0409999999999999</v>
      </c>
      <c r="N208" s="126">
        <f t="shared" si="395"/>
        <v>1.0418000000000001</v>
      </c>
      <c r="O208" s="126">
        <f t="shared" si="395"/>
        <v>1.0418000000000001</v>
      </c>
      <c r="P208" s="126">
        <f t="shared" si="395"/>
        <v>1.0418000000000001</v>
      </c>
      <c r="Q208" s="126">
        <f t="shared" si="395"/>
        <v>1.0418000000000001</v>
      </c>
      <c r="R208" s="126">
        <f t="shared" si="395"/>
        <v>1.0418000000000001</v>
      </c>
      <c r="S208" s="126">
        <f t="shared" si="395"/>
        <v>1.0418000000000001</v>
      </c>
      <c r="T208" s="126">
        <f t="shared" si="395"/>
        <v>1.0418000000000001</v>
      </c>
      <c r="U208" s="126">
        <f t="shared" si="395"/>
        <v>1.0418000000000001</v>
      </c>
      <c r="V208" s="126">
        <f t="shared" si="395"/>
        <v>1.0418000000000001</v>
      </c>
      <c r="W208" s="126">
        <f t="shared" si="395"/>
        <v>1.0418000000000001</v>
      </c>
      <c r="X208" s="126">
        <f t="shared" si="395"/>
        <v>1.0418000000000001</v>
      </c>
      <c r="Y208" s="126">
        <f t="shared" si="395"/>
        <v>1.0418000000000001</v>
      </c>
      <c r="Z208" s="126">
        <f t="shared" si="395"/>
        <v>1.0418000000000001</v>
      </c>
      <c r="AA208" s="126">
        <f t="shared" si="395"/>
        <v>1.0418000000000001</v>
      </c>
      <c r="AB208" s="126">
        <f t="shared" si="395"/>
        <v>1.0418000000000001</v>
      </c>
      <c r="AC208" s="126">
        <f t="shared" si="395"/>
        <v>1.0418000000000001</v>
      </c>
      <c r="AD208" s="126">
        <f t="shared" si="395"/>
        <v>1.0418000000000001</v>
      </c>
      <c r="AE208" s="126">
        <f t="shared" si="395"/>
        <v>1.0418000000000001</v>
      </c>
      <c r="AF208" s="126">
        <f t="shared" si="395"/>
        <v>1.0418000000000001</v>
      </c>
      <c r="AG208" s="126">
        <f t="shared" si="395"/>
        <v>1.0418000000000001</v>
      </c>
      <c r="AH208" s="126">
        <f t="shared" si="342"/>
        <v>1.0418000000000001</v>
      </c>
      <c r="AI208" s="126">
        <f t="shared" si="343"/>
        <v>1.0418000000000001</v>
      </c>
      <c r="AJ208" s="126">
        <f t="shared" si="344"/>
        <v>1.0418000000000001</v>
      </c>
      <c r="AK208" s="126">
        <f t="shared" si="345"/>
        <v>1.0418000000000001</v>
      </c>
      <c r="AL208" s="126">
        <f t="shared" si="346"/>
        <v>1.0418000000000001</v>
      </c>
      <c r="AM208" s="126">
        <f t="shared" si="347"/>
        <v>1.0418000000000001</v>
      </c>
      <c r="AN208" s="126">
        <f t="shared" si="348"/>
        <v>1.0418000000000001</v>
      </c>
      <c r="AO208" s="126">
        <f t="shared" si="349"/>
        <v>1.0418000000000001</v>
      </c>
      <c r="AP208" s="126">
        <f t="shared" si="350"/>
        <v>1.0418000000000001</v>
      </c>
      <c r="AQ208" s="126">
        <f t="shared" si="351"/>
        <v>1.0418000000000001</v>
      </c>
      <c r="AR208" s="126">
        <f t="shared" si="352"/>
        <v>1.0418000000000001</v>
      </c>
      <c r="AS208" s="126">
        <f t="shared" si="353"/>
        <v>1.0418000000000001</v>
      </c>
      <c r="AT208" s="126">
        <f t="shared" si="354"/>
        <v>1.0418000000000001</v>
      </c>
      <c r="AU208" s="126">
        <f t="shared" si="355"/>
        <v>1.0418000000000001</v>
      </c>
      <c r="AV208" s="126">
        <f t="shared" si="356"/>
        <v>1.0418000000000001</v>
      </c>
      <c r="AW208" s="126">
        <f t="shared" si="357"/>
        <v>1.0418000000000001</v>
      </c>
      <c r="AX208" s="126">
        <f t="shared" si="358"/>
        <v>1.0418000000000001</v>
      </c>
      <c r="AY208" s="126">
        <f t="shared" si="359"/>
        <v>1.0418000000000001</v>
      </c>
      <c r="AZ208" s="126">
        <f t="shared" si="360"/>
        <v>1.0418000000000001</v>
      </c>
      <c r="BA208" s="126">
        <f t="shared" si="361"/>
        <v>1.0418000000000001</v>
      </c>
      <c r="BB208" s="126">
        <f t="shared" si="362"/>
        <v>1.0418000000000001</v>
      </c>
      <c r="BC208" s="126">
        <f t="shared" si="363"/>
        <v>1.0418000000000001</v>
      </c>
    </row>
    <row r="209" spans="1:56">
      <c r="B209" s="6" t="str">
        <f t="shared" si="340"/>
        <v>Dressings</v>
      </c>
      <c r="C209" s="126">
        <f t="shared" ref="C209:AG209" si="396">(IF(C$175&lt;$C$173, -1, 1) *D60)+1</f>
        <v>0.98099999999999998</v>
      </c>
      <c r="D209" s="126">
        <f t="shared" si="396"/>
        <v>0.98099999999999998</v>
      </c>
      <c r="E209" s="126">
        <f t="shared" si="396"/>
        <v>0.98099999999999998</v>
      </c>
      <c r="F209" s="126">
        <f t="shared" si="396"/>
        <v>0.98099999999999998</v>
      </c>
      <c r="G209" s="126">
        <f t="shared" si="396"/>
        <v>0.98099999999999998</v>
      </c>
      <c r="H209" s="126">
        <f t="shared" si="396"/>
        <v>0.98099999999999998</v>
      </c>
      <c r="I209" s="126">
        <f t="shared" si="396"/>
        <v>0.98299999999999998</v>
      </c>
      <c r="J209" s="126">
        <f t="shared" si="396"/>
        <v>0.98199999999999998</v>
      </c>
      <c r="K209" s="126">
        <f t="shared" si="396"/>
        <v>1.0209999999999999</v>
      </c>
      <c r="L209" s="126">
        <f t="shared" si="396"/>
        <v>1.0189999999999999</v>
      </c>
      <c r="M209" s="126">
        <f t="shared" si="396"/>
        <v>1.02</v>
      </c>
      <c r="N209" s="126">
        <f t="shared" si="396"/>
        <v>1.0189999999999999</v>
      </c>
      <c r="O209" s="126">
        <f t="shared" si="396"/>
        <v>1.0189999999999999</v>
      </c>
      <c r="P209" s="126">
        <f t="shared" si="396"/>
        <v>1.0189999999999999</v>
      </c>
      <c r="Q209" s="126">
        <f t="shared" si="396"/>
        <v>1.0189999999999999</v>
      </c>
      <c r="R209" s="126">
        <f t="shared" si="396"/>
        <v>1.0189999999999999</v>
      </c>
      <c r="S209" s="126">
        <f t="shared" si="396"/>
        <v>1.0189999999999999</v>
      </c>
      <c r="T209" s="126">
        <f t="shared" si="396"/>
        <v>1.0189999999999999</v>
      </c>
      <c r="U209" s="126">
        <f t="shared" si="396"/>
        <v>1.0189999999999999</v>
      </c>
      <c r="V209" s="126">
        <f t="shared" si="396"/>
        <v>1.0189999999999999</v>
      </c>
      <c r="W209" s="126">
        <f t="shared" si="396"/>
        <v>1.0189999999999999</v>
      </c>
      <c r="X209" s="126">
        <f t="shared" si="396"/>
        <v>1.0189999999999999</v>
      </c>
      <c r="Y209" s="126">
        <f t="shared" si="396"/>
        <v>1.0189999999999999</v>
      </c>
      <c r="Z209" s="126">
        <f t="shared" si="396"/>
        <v>1.0189999999999999</v>
      </c>
      <c r="AA209" s="126">
        <f t="shared" si="396"/>
        <v>1.0189999999999999</v>
      </c>
      <c r="AB209" s="126">
        <f t="shared" si="396"/>
        <v>1.0189999999999999</v>
      </c>
      <c r="AC209" s="126">
        <f t="shared" si="396"/>
        <v>1.0189999999999999</v>
      </c>
      <c r="AD209" s="126">
        <f t="shared" si="396"/>
        <v>1.0189999999999999</v>
      </c>
      <c r="AE209" s="126">
        <f t="shared" si="396"/>
        <v>1.0189999999999999</v>
      </c>
      <c r="AF209" s="126">
        <f t="shared" si="396"/>
        <v>1.0189999999999999</v>
      </c>
      <c r="AG209" s="126">
        <f t="shared" si="396"/>
        <v>1.0189999999999999</v>
      </c>
      <c r="AH209" s="126">
        <f t="shared" si="342"/>
        <v>1.0189999999999999</v>
      </c>
      <c r="AI209" s="126">
        <f t="shared" si="343"/>
        <v>1.0189999999999999</v>
      </c>
      <c r="AJ209" s="126">
        <f t="shared" si="344"/>
        <v>1.0189999999999999</v>
      </c>
      <c r="AK209" s="126">
        <f t="shared" si="345"/>
        <v>1.0189999999999999</v>
      </c>
      <c r="AL209" s="126">
        <f t="shared" si="346"/>
        <v>1.0189999999999999</v>
      </c>
      <c r="AM209" s="126">
        <f t="shared" si="347"/>
        <v>1.0189999999999999</v>
      </c>
      <c r="AN209" s="126">
        <f t="shared" si="348"/>
        <v>1.0189999999999999</v>
      </c>
      <c r="AO209" s="126">
        <f t="shared" si="349"/>
        <v>1.0189999999999999</v>
      </c>
      <c r="AP209" s="126">
        <f t="shared" si="350"/>
        <v>1.0189999999999999</v>
      </c>
      <c r="AQ209" s="126">
        <f t="shared" si="351"/>
        <v>1.0189999999999999</v>
      </c>
      <c r="AR209" s="126">
        <f t="shared" si="352"/>
        <v>1.0189999999999999</v>
      </c>
      <c r="AS209" s="126">
        <f t="shared" si="353"/>
        <v>1.0189999999999999</v>
      </c>
      <c r="AT209" s="126">
        <f t="shared" si="354"/>
        <v>1.0189999999999999</v>
      </c>
      <c r="AU209" s="126">
        <f t="shared" si="355"/>
        <v>1.0189999999999999</v>
      </c>
      <c r="AV209" s="126">
        <f t="shared" si="356"/>
        <v>1.0189999999999999</v>
      </c>
      <c r="AW209" s="126">
        <f t="shared" si="357"/>
        <v>1.0189999999999999</v>
      </c>
      <c r="AX209" s="126">
        <f t="shared" si="358"/>
        <v>1.0189999999999999</v>
      </c>
      <c r="AY209" s="126">
        <f t="shared" si="359"/>
        <v>1.0189999999999999</v>
      </c>
      <c r="AZ209" s="126">
        <f t="shared" si="360"/>
        <v>1.0189999999999999</v>
      </c>
      <c r="BA209" s="126">
        <f t="shared" si="361"/>
        <v>1.0189999999999999</v>
      </c>
      <c r="BB209" s="126">
        <f t="shared" si="362"/>
        <v>1.0189999999999999</v>
      </c>
      <c r="BC209" s="126">
        <f t="shared" si="363"/>
        <v>1.0189999999999999</v>
      </c>
    </row>
    <row r="210" spans="1:56">
      <c r="B210" s="6" t="str">
        <f t="shared" si="340"/>
        <v>Allied health-care visits</v>
      </c>
      <c r="C210" s="126">
        <f t="shared" ref="C210:AG210" si="397">(IF(C$175&lt;$C$173, -1, 1) *D61)+1</f>
        <v>0.97719999999999996</v>
      </c>
      <c r="D210" s="126">
        <f t="shared" si="397"/>
        <v>0.97719999999999996</v>
      </c>
      <c r="E210" s="126">
        <f t="shared" si="397"/>
        <v>0.97719999999999996</v>
      </c>
      <c r="F210" s="126">
        <f t="shared" si="397"/>
        <v>0.97719999999999996</v>
      </c>
      <c r="G210" s="126">
        <f t="shared" si="397"/>
        <v>0.97719999999999996</v>
      </c>
      <c r="H210" s="126">
        <f t="shared" si="397"/>
        <v>0.97719999999999996</v>
      </c>
      <c r="I210" s="126">
        <f t="shared" si="397"/>
        <v>0.96699999999999997</v>
      </c>
      <c r="J210" s="126">
        <f t="shared" si="397"/>
        <v>0.98</v>
      </c>
      <c r="K210" s="126">
        <f t="shared" si="397"/>
        <v>1.016</v>
      </c>
      <c r="L210" s="126">
        <f t="shared" si="397"/>
        <v>1.016</v>
      </c>
      <c r="M210" s="126">
        <f t="shared" si="397"/>
        <v>1.0289999999999999</v>
      </c>
      <c r="N210" s="126">
        <f t="shared" si="397"/>
        <v>1.0227999999999999</v>
      </c>
      <c r="O210" s="126">
        <f t="shared" si="397"/>
        <v>1.0227999999999999</v>
      </c>
      <c r="P210" s="126">
        <f t="shared" si="397"/>
        <v>1.0227999999999999</v>
      </c>
      <c r="Q210" s="126">
        <f t="shared" si="397"/>
        <v>1.0227999999999999</v>
      </c>
      <c r="R210" s="126">
        <f t="shared" si="397"/>
        <v>1.0227999999999999</v>
      </c>
      <c r="S210" s="126">
        <f t="shared" si="397"/>
        <v>1.0227999999999999</v>
      </c>
      <c r="T210" s="126">
        <f t="shared" si="397"/>
        <v>1.0227999999999999</v>
      </c>
      <c r="U210" s="126">
        <f t="shared" si="397"/>
        <v>1.0227999999999999</v>
      </c>
      <c r="V210" s="126">
        <f t="shared" si="397"/>
        <v>1.0227999999999999</v>
      </c>
      <c r="W210" s="126">
        <f t="shared" si="397"/>
        <v>1.0227999999999999</v>
      </c>
      <c r="X210" s="126">
        <f t="shared" si="397"/>
        <v>1.0227999999999999</v>
      </c>
      <c r="Y210" s="126">
        <f t="shared" si="397"/>
        <v>1.0227999999999999</v>
      </c>
      <c r="Z210" s="126">
        <f t="shared" si="397"/>
        <v>1.0227999999999999</v>
      </c>
      <c r="AA210" s="126">
        <f t="shared" si="397"/>
        <v>1.0227999999999999</v>
      </c>
      <c r="AB210" s="126">
        <f t="shared" si="397"/>
        <v>1.0227999999999999</v>
      </c>
      <c r="AC210" s="126">
        <f t="shared" si="397"/>
        <v>1.0227999999999999</v>
      </c>
      <c r="AD210" s="126">
        <f t="shared" si="397"/>
        <v>1.0227999999999999</v>
      </c>
      <c r="AE210" s="126">
        <f t="shared" si="397"/>
        <v>1.0227999999999999</v>
      </c>
      <c r="AF210" s="126">
        <f t="shared" si="397"/>
        <v>1.0227999999999999</v>
      </c>
      <c r="AG210" s="126">
        <f t="shared" si="397"/>
        <v>1.0227999999999999</v>
      </c>
      <c r="AH210" s="126">
        <f t="shared" si="342"/>
        <v>1.0227999999999999</v>
      </c>
      <c r="AI210" s="126">
        <f t="shared" si="343"/>
        <v>1.0227999999999999</v>
      </c>
      <c r="AJ210" s="126">
        <f t="shared" si="344"/>
        <v>1.0227999999999999</v>
      </c>
      <c r="AK210" s="126">
        <f t="shared" si="345"/>
        <v>1.0227999999999999</v>
      </c>
      <c r="AL210" s="126">
        <f t="shared" si="346"/>
        <v>1.0227999999999999</v>
      </c>
      <c r="AM210" s="126">
        <f t="shared" si="347"/>
        <v>1.0227999999999999</v>
      </c>
      <c r="AN210" s="126">
        <f t="shared" si="348"/>
        <v>1.0227999999999999</v>
      </c>
      <c r="AO210" s="126">
        <f t="shared" si="349"/>
        <v>1.0227999999999999</v>
      </c>
      <c r="AP210" s="126">
        <f t="shared" si="350"/>
        <v>1.0227999999999999</v>
      </c>
      <c r="AQ210" s="126">
        <f t="shared" si="351"/>
        <v>1.0227999999999999</v>
      </c>
      <c r="AR210" s="126">
        <f t="shared" si="352"/>
        <v>1.0227999999999999</v>
      </c>
      <c r="AS210" s="126">
        <f t="shared" si="353"/>
        <v>1.0227999999999999</v>
      </c>
      <c r="AT210" s="126">
        <f t="shared" si="354"/>
        <v>1.0227999999999999</v>
      </c>
      <c r="AU210" s="126">
        <f t="shared" si="355"/>
        <v>1.0227999999999999</v>
      </c>
      <c r="AV210" s="126">
        <f t="shared" si="356"/>
        <v>1.0227999999999999</v>
      </c>
      <c r="AW210" s="126">
        <f t="shared" si="357"/>
        <v>1.0227999999999999</v>
      </c>
      <c r="AX210" s="126">
        <f t="shared" si="358"/>
        <v>1.0227999999999999</v>
      </c>
      <c r="AY210" s="126">
        <f t="shared" si="359"/>
        <v>1.0227999999999999</v>
      </c>
      <c r="AZ210" s="126">
        <f t="shared" si="360"/>
        <v>1.0227999999999999</v>
      </c>
      <c r="BA210" s="126">
        <f t="shared" si="361"/>
        <v>1.0227999999999999</v>
      </c>
      <c r="BB210" s="126">
        <f t="shared" si="362"/>
        <v>1.0227999999999999</v>
      </c>
      <c r="BC210" s="126">
        <f t="shared" si="363"/>
        <v>1.0227999999999999</v>
      </c>
    </row>
    <row r="211" spans="1:56">
      <c r="B211" s="6" t="str">
        <f t="shared" si="340"/>
        <v>Dressing pack</v>
      </c>
      <c r="C211" s="126">
        <f t="shared" ref="C211:AG211" si="398">(IF(C$175&lt;$C$173, -1, 1) *D62)+1</f>
        <v>0.98099999999999998</v>
      </c>
      <c r="D211" s="126">
        <f t="shared" si="398"/>
        <v>0.98099999999999998</v>
      </c>
      <c r="E211" s="126">
        <f t="shared" si="398"/>
        <v>0.98099999999999998</v>
      </c>
      <c r="F211" s="126">
        <f t="shared" si="398"/>
        <v>0.98099999999999998</v>
      </c>
      <c r="G211" s="126">
        <f t="shared" si="398"/>
        <v>0.98099999999999998</v>
      </c>
      <c r="H211" s="126">
        <f t="shared" si="398"/>
        <v>0.98099999999999998</v>
      </c>
      <c r="I211" s="126">
        <f t="shared" si="398"/>
        <v>0.98299999999999998</v>
      </c>
      <c r="J211" s="126">
        <f t="shared" si="398"/>
        <v>0.98199999999999998</v>
      </c>
      <c r="K211" s="126">
        <f t="shared" si="398"/>
        <v>1.0209999999999999</v>
      </c>
      <c r="L211" s="126">
        <f t="shared" si="398"/>
        <v>1.0189999999999999</v>
      </c>
      <c r="M211" s="126">
        <f t="shared" si="398"/>
        <v>1.02</v>
      </c>
      <c r="N211" s="126">
        <f t="shared" si="398"/>
        <v>1.0189999999999999</v>
      </c>
      <c r="O211" s="126">
        <f t="shared" si="398"/>
        <v>1.0189999999999999</v>
      </c>
      <c r="P211" s="126">
        <f t="shared" si="398"/>
        <v>1.0189999999999999</v>
      </c>
      <c r="Q211" s="126">
        <f t="shared" si="398"/>
        <v>1.0189999999999999</v>
      </c>
      <c r="R211" s="126">
        <f t="shared" si="398"/>
        <v>1.0189999999999999</v>
      </c>
      <c r="S211" s="126">
        <f t="shared" si="398"/>
        <v>1.0189999999999999</v>
      </c>
      <c r="T211" s="126">
        <f t="shared" si="398"/>
        <v>1.0189999999999999</v>
      </c>
      <c r="U211" s="126">
        <f t="shared" si="398"/>
        <v>1.0189999999999999</v>
      </c>
      <c r="V211" s="126">
        <f t="shared" si="398"/>
        <v>1.0189999999999999</v>
      </c>
      <c r="W211" s="126">
        <f t="shared" si="398"/>
        <v>1.0189999999999999</v>
      </c>
      <c r="X211" s="126">
        <f t="shared" si="398"/>
        <v>1.0189999999999999</v>
      </c>
      <c r="Y211" s="126">
        <f t="shared" si="398"/>
        <v>1.0189999999999999</v>
      </c>
      <c r="Z211" s="126">
        <f t="shared" si="398"/>
        <v>1.0189999999999999</v>
      </c>
      <c r="AA211" s="126">
        <f t="shared" si="398"/>
        <v>1.0189999999999999</v>
      </c>
      <c r="AB211" s="126">
        <f t="shared" si="398"/>
        <v>1.0189999999999999</v>
      </c>
      <c r="AC211" s="126">
        <f t="shared" si="398"/>
        <v>1.0189999999999999</v>
      </c>
      <c r="AD211" s="126">
        <f t="shared" si="398"/>
        <v>1.0189999999999999</v>
      </c>
      <c r="AE211" s="126">
        <f t="shared" si="398"/>
        <v>1.0189999999999999</v>
      </c>
      <c r="AF211" s="126">
        <f t="shared" si="398"/>
        <v>1.0189999999999999</v>
      </c>
      <c r="AG211" s="126">
        <f t="shared" si="398"/>
        <v>1.0189999999999999</v>
      </c>
      <c r="AH211" s="126">
        <f t="shared" si="342"/>
        <v>1.0189999999999999</v>
      </c>
      <c r="AI211" s="126">
        <f t="shared" si="343"/>
        <v>1.0189999999999999</v>
      </c>
      <c r="AJ211" s="126">
        <f t="shared" si="344"/>
        <v>1.0189999999999999</v>
      </c>
      <c r="AK211" s="126">
        <f t="shared" si="345"/>
        <v>1.0189999999999999</v>
      </c>
      <c r="AL211" s="126">
        <f t="shared" si="346"/>
        <v>1.0189999999999999</v>
      </c>
      <c r="AM211" s="126">
        <f t="shared" si="347"/>
        <v>1.0189999999999999</v>
      </c>
      <c r="AN211" s="126">
        <f t="shared" si="348"/>
        <v>1.0189999999999999</v>
      </c>
      <c r="AO211" s="126">
        <f t="shared" si="349"/>
        <v>1.0189999999999999</v>
      </c>
      <c r="AP211" s="126">
        <f t="shared" si="350"/>
        <v>1.0189999999999999</v>
      </c>
      <c r="AQ211" s="126">
        <f t="shared" si="351"/>
        <v>1.0189999999999999</v>
      </c>
      <c r="AR211" s="126">
        <f t="shared" si="352"/>
        <v>1.0189999999999999</v>
      </c>
      <c r="AS211" s="126">
        <f t="shared" si="353"/>
        <v>1.0189999999999999</v>
      </c>
      <c r="AT211" s="126">
        <f t="shared" si="354"/>
        <v>1.0189999999999999</v>
      </c>
      <c r="AU211" s="126">
        <f t="shared" si="355"/>
        <v>1.0189999999999999</v>
      </c>
      <c r="AV211" s="126">
        <f t="shared" si="356"/>
        <v>1.0189999999999999</v>
      </c>
      <c r="AW211" s="126">
        <f t="shared" si="357"/>
        <v>1.0189999999999999</v>
      </c>
      <c r="AX211" s="126">
        <f t="shared" si="358"/>
        <v>1.0189999999999999</v>
      </c>
      <c r="AY211" s="126">
        <f t="shared" si="359"/>
        <v>1.0189999999999999</v>
      </c>
      <c r="AZ211" s="126">
        <f t="shared" si="360"/>
        <v>1.0189999999999999</v>
      </c>
      <c r="BA211" s="126">
        <f t="shared" si="361"/>
        <v>1.0189999999999999</v>
      </c>
      <c r="BB211" s="126">
        <f t="shared" si="362"/>
        <v>1.0189999999999999</v>
      </c>
      <c r="BC211" s="126">
        <f t="shared" si="363"/>
        <v>1.0189999999999999</v>
      </c>
    </row>
    <row r="212" spans="1:56">
      <c r="B212" s="6" t="str">
        <f t="shared" si="340"/>
        <v>Saline</v>
      </c>
      <c r="C212" s="126">
        <f t="shared" ref="C212:AG212" si="399">(IF(C$175&lt;$C$173, -1, 1) *D63)+1</f>
        <v>0.98099999999999998</v>
      </c>
      <c r="D212" s="126">
        <f t="shared" si="399"/>
        <v>0.98099999999999998</v>
      </c>
      <c r="E212" s="126">
        <f t="shared" si="399"/>
        <v>0.98099999999999998</v>
      </c>
      <c r="F212" s="126">
        <f t="shared" si="399"/>
        <v>0.98099999999999998</v>
      </c>
      <c r="G212" s="126">
        <f t="shared" si="399"/>
        <v>0.98099999999999998</v>
      </c>
      <c r="H212" s="126">
        <f t="shared" si="399"/>
        <v>0.98099999999999998</v>
      </c>
      <c r="I212" s="126">
        <f t="shared" si="399"/>
        <v>0.98299999999999998</v>
      </c>
      <c r="J212" s="126">
        <f t="shared" si="399"/>
        <v>0.98199999999999998</v>
      </c>
      <c r="K212" s="126">
        <f t="shared" si="399"/>
        <v>1.0209999999999999</v>
      </c>
      <c r="L212" s="126">
        <f t="shared" si="399"/>
        <v>1.0189999999999999</v>
      </c>
      <c r="M212" s="126">
        <f t="shared" si="399"/>
        <v>1.02</v>
      </c>
      <c r="N212" s="126">
        <f t="shared" si="399"/>
        <v>1.0189999999999999</v>
      </c>
      <c r="O212" s="126">
        <f t="shared" si="399"/>
        <v>1.0189999999999999</v>
      </c>
      <c r="P212" s="126">
        <f t="shared" si="399"/>
        <v>1.0189999999999999</v>
      </c>
      <c r="Q212" s="126">
        <f t="shared" si="399"/>
        <v>1.0189999999999999</v>
      </c>
      <c r="R212" s="126">
        <f t="shared" si="399"/>
        <v>1.0189999999999999</v>
      </c>
      <c r="S212" s="126">
        <f t="shared" si="399"/>
        <v>1.0189999999999999</v>
      </c>
      <c r="T212" s="126">
        <f t="shared" si="399"/>
        <v>1.0189999999999999</v>
      </c>
      <c r="U212" s="126">
        <f t="shared" si="399"/>
        <v>1.0189999999999999</v>
      </c>
      <c r="V212" s="126">
        <f t="shared" si="399"/>
        <v>1.0189999999999999</v>
      </c>
      <c r="W212" s="126">
        <f t="shared" si="399"/>
        <v>1.0189999999999999</v>
      </c>
      <c r="X212" s="126">
        <f t="shared" si="399"/>
        <v>1.0189999999999999</v>
      </c>
      <c r="Y212" s="126">
        <f t="shared" si="399"/>
        <v>1.0189999999999999</v>
      </c>
      <c r="Z212" s="126">
        <f t="shared" si="399"/>
        <v>1.0189999999999999</v>
      </c>
      <c r="AA212" s="126">
        <f t="shared" si="399"/>
        <v>1.0189999999999999</v>
      </c>
      <c r="AB212" s="126">
        <f t="shared" si="399"/>
        <v>1.0189999999999999</v>
      </c>
      <c r="AC212" s="126">
        <f t="shared" si="399"/>
        <v>1.0189999999999999</v>
      </c>
      <c r="AD212" s="126">
        <f t="shared" si="399"/>
        <v>1.0189999999999999</v>
      </c>
      <c r="AE212" s="126">
        <f t="shared" si="399"/>
        <v>1.0189999999999999</v>
      </c>
      <c r="AF212" s="126">
        <f t="shared" si="399"/>
        <v>1.0189999999999999</v>
      </c>
      <c r="AG212" s="126">
        <f t="shared" si="399"/>
        <v>1.0189999999999999</v>
      </c>
      <c r="AH212" s="126">
        <f t="shared" si="342"/>
        <v>1.0189999999999999</v>
      </c>
      <c r="AI212" s="126">
        <f t="shared" si="343"/>
        <v>1.0189999999999999</v>
      </c>
      <c r="AJ212" s="126">
        <f t="shared" si="344"/>
        <v>1.0189999999999999</v>
      </c>
      <c r="AK212" s="126">
        <f t="shared" si="345"/>
        <v>1.0189999999999999</v>
      </c>
      <c r="AL212" s="126">
        <f t="shared" si="346"/>
        <v>1.0189999999999999</v>
      </c>
      <c r="AM212" s="126">
        <f t="shared" si="347"/>
        <v>1.0189999999999999</v>
      </c>
      <c r="AN212" s="126">
        <f t="shared" si="348"/>
        <v>1.0189999999999999</v>
      </c>
      <c r="AO212" s="126">
        <f t="shared" si="349"/>
        <v>1.0189999999999999</v>
      </c>
      <c r="AP212" s="126">
        <f t="shared" si="350"/>
        <v>1.0189999999999999</v>
      </c>
      <c r="AQ212" s="126">
        <f t="shared" si="351"/>
        <v>1.0189999999999999</v>
      </c>
      <c r="AR212" s="126">
        <f t="shared" si="352"/>
        <v>1.0189999999999999</v>
      </c>
      <c r="AS212" s="126">
        <f t="shared" si="353"/>
        <v>1.0189999999999999</v>
      </c>
      <c r="AT212" s="126">
        <f t="shared" si="354"/>
        <v>1.0189999999999999</v>
      </c>
      <c r="AU212" s="126">
        <f t="shared" si="355"/>
        <v>1.0189999999999999</v>
      </c>
      <c r="AV212" s="126">
        <f t="shared" si="356"/>
        <v>1.0189999999999999</v>
      </c>
      <c r="AW212" s="126">
        <f t="shared" si="357"/>
        <v>1.0189999999999999</v>
      </c>
      <c r="AX212" s="126">
        <f t="shared" si="358"/>
        <v>1.0189999999999999</v>
      </c>
      <c r="AY212" s="126">
        <f t="shared" si="359"/>
        <v>1.0189999999999999</v>
      </c>
      <c r="AZ212" s="126">
        <f t="shared" si="360"/>
        <v>1.0189999999999999</v>
      </c>
      <c r="BA212" s="126">
        <f t="shared" si="361"/>
        <v>1.0189999999999999</v>
      </c>
      <c r="BB212" s="126">
        <f t="shared" si="362"/>
        <v>1.0189999999999999</v>
      </c>
      <c r="BC212" s="126">
        <f t="shared" si="363"/>
        <v>1.0189999999999999</v>
      </c>
    </row>
    <row r="213" spans="1:56">
      <c r="B213" s="6" t="str">
        <f t="shared" si="340"/>
        <v>Wound Contact Layer</v>
      </c>
      <c r="C213" s="126">
        <f t="shared" ref="C213:AG213" si="400">(IF(C$175&lt;$C$173, -1, 1) *D64)+1</f>
        <v>0.98099999999999998</v>
      </c>
      <c r="D213" s="126">
        <f t="shared" si="400"/>
        <v>0.98099999999999998</v>
      </c>
      <c r="E213" s="126">
        <f t="shared" si="400"/>
        <v>0.98099999999999998</v>
      </c>
      <c r="F213" s="126">
        <f t="shared" si="400"/>
        <v>0.98099999999999998</v>
      </c>
      <c r="G213" s="126">
        <f t="shared" si="400"/>
        <v>0.98099999999999998</v>
      </c>
      <c r="H213" s="126">
        <f t="shared" si="400"/>
        <v>0.98099999999999998</v>
      </c>
      <c r="I213" s="126">
        <f t="shared" si="400"/>
        <v>0.98299999999999998</v>
      </c>
      <c r="J213" s="126">
        <f t="shared" si="400"/>
        <v>0.98199999999999998</v>
      </c>
      <c r="K213" s="126">
        <f t="shared" si="400"/>
        <v>1.0209999999999999</v>
      </c>
      <c r="L213" s="126">
        <f t="shared" si="400"/>
        <v>1.0189999999999999</v>
      </c>
      <c r="M213" s="126">
        <f t="shared" si="400"/>
        <v>1.02</v>
      </c>
      <c r="N213" s="126">
        <f t="shared" si="400"/>
        <v>1.0189999999999999</v>
      </c>
      <c r="O213" s="126">
        <f t="shared" si="400"/>
        <v>1.0189999999999999</v>
      </c>
      <c r="P213" s="126">
        <f t="shared" si="400"/>
        <v>1.0189999999999999</v>
      </c>
      <c r="Q213" s="126">
        <f t="shared" si="400"/>
        <v>1.0189999999999999</v>
      </c>
      <c r="R213" s="126">
        <f t="shared" si="400"/>
        <v>1.0189999999999999</v>
      </c>
      <c r="S213" s="126">
        <f t="shared" si="400"/>
        <v>1.0189999999999999</v>
      </c>
      <c r="T213" s="126">
        <f t="shared" si="400"/>
        <v>1.0189999999999999</v>
      </c>
      <c r="U213" s="126">
        <f t="shared" si="400"/>
        <v>1.0189999999999999</v>
      </c>
      <c r="V213" s="126">
        <f t="shared" si="400"/>
        <v>1.0189999999999999</v>
      </c>
      <c r="W213" s="126">
        <f t="shared" si="400"/>
        <v>1.0189999999999999</v>
      </c>
      <c r="X213" s="126">
        <f t="shared" si="400"/>
        <v>1.0189999999999999</v>
      </c>
      <c r="Y213" s="126">
        <f t="shared" si="400"/>
        <v>1.0189999999999999</v>
      </c>
      <c r="Z213" s="126">
        <f t="shared" si="400"/>
        <v>1.0189999999999999</v>
      </c>
      <c r="AA213" s="126">
        <f t="shared" si="400"/>
        <v>1.0189999999999999</v>
      </c>
      <c r="AB213" s="126">
        <f t="shared" si="400"/>
        <v>1.0189999999999999</v>
      </c>
      <c r="AC213" s="126">
        <f t="shared" si="400"/>
        <v>1.0189999999999999</v>
      </c>
      <c r="AD213" s="126">
        <f t="shared" si="400"/>
        <v>1.0189999999999999</v>
      </c>
      <c r="AE213" s="126">
        <f t="shared" si="400"/>
        <v>1.0189999999999999</v>
      </c>
      <c r="AF213" s="126">
        <f t="shared" si="400"/>
        <v>1.0189999999999999</v>
      </c>
      <c r="AG213" s="126">
        <f t="shared" si="400"/>
        <v>1.0189999999999999</v>
      </c>
      <c r="AH213" s="126">
        <f t="shared" si="342"/>
        <v>1.0189999999999999</v>
      </c>
      <c r="AI213" s="126">
        <f t="shared" si="343"/>
        <v>1.0189999999999999</v>
      </c>
      <c r="AJ213" s="126">
        <f t="shared" si="344"/>
        <v>1.0189999999999999</v>
      </c>
      <c r="AK213" s="126">
        <f t="shared" si="345"/>
        <v>1.0189999999999999</v>
      </c>
      <c r="AL213" s="126">
        <f t="shared" si="346"/>
        <v>1.0189999999999999</v>
      </c>
      <c r="AM213" s="126">
        <f t="shared" si="347"/>
        <v>1.0189999999999999</v>
      </c>
      <c r="AN213" s="126">
        <f t="shared" si="348"/>
        <v>1.0189999999999999</v>
      </c>
      <c r="AO213" s="126">
        <f t="shared" si="349"/>
        <v>1.0189999999999999</v>
      </c>
      <c r="AP213" s="126">
        <f t="shared" si="350"/>
        <v>1.0189999999999999</v>
      </c>
      <c r="AQ213" s="126">
        <f t="shared" si="351"/>
        <v>1.0189999999999999</v>
      </c>
      <c r="AR213" s="126">
        <f t="shared" si="352"/>
        <v>1.0189999999999999</v>
      </c>
      <c r="AS213" s="126">
        <f t="shared" si="353"/>
        <v>1.0189999999999999</v>
      </c>
      <c r="AT213" s="126">
        <f t="shared" si="354"/>
        <v>1.0189999999999999</v>
      </c>
      <c r="AU213" s="126">
        <f t="shared" si="355"/>
        <v>1.0189999999999999</v>
      </c>
      <c r="AV213" s="126">
        <f t="shared" si="356"/>
        <v>1.0189999999999999</v>
      </c>
      <c r="AW213" s="126">
        <f t="shared" si="357"/>
        <v>1.0189999999999999</v>
      </c>
      <c r="AX213" s="126">
        <f t="shared" si="358"/>
        <v>1.0189999999999999</v>
      </c>
      <c r="AY213" s="126">
        <f t="shared" si="359"/>
        <v>1.0189999999999999</v>
      </c>
      <c r="AZ213" s="126">
        <f t="shared" si="360"/>
        <v>1.0189999999999999</v>
      </c>
      <c r="BA213" s="126">
        <f t="shared" si="361"/>
        <v>1.0189999999999999</v>
      </c>
      <c r="BB213" s="126">
        <f t="shared" si="362"/>
        <v>1.0189999999999999</v>
      </c>
      <c r="BC213" s="126">
        <f t="shared" si="363"/>
        <v>1.0189999999999999</v>
      </c>
    </row>
    <row r="214" spans="1:56" ht="29">
      <c r="B214" s="6" t="str">
        <f t="shared" si="340"/>
        <v>Foam Adhesive dressing (sub-optimal)</v>
      </c>
      <c r="C214" s="126">
        <f t="shared" ref="C214:AG214" si="401">(IF(C$175&lt;$C$173, -1, 1) *D65)+1</f>
        <v>0.98099999999999998</v>
      </c>
      <c r="D214" s="126">
        <f t="shared" si="401"/>
        <v>0.98099999999999998</v>
      </c>
      <c r="E214" s="126">
        <f t="shared" si="401"/>
        <v>0.98099999999999998</v>
      </c>
      <c r="F214" s="126">
        <f t="shared" si="401"/>
        <v>0.98099999999999998</v>
      </c>
      <c r="G214" s="126">
        <f t="shared" si="401"/>
        <v>0.98099999999999998</v>
      </c>
      <c r="H214" s="126">
        <f t="shared" si="401"/>
        <v>0.98099999999999998</v>
      </c>
      <c r="I214" s="126">
        <f t="shared" si="401"/>
        <v>0.98299999999999998</v>
      </c>
      <c r="J214" s="126">
        <f t="shared" si="401"/>
        <v>0.98199999999999998</v>
      </c>
      <c r="K214" s="126">
        <f t="shared" si="401"/>
        <v>1.0209999999999999</v>
      </c>
      <c r="L214" s="126">
        <f t="shared" si="401"/>
        <v>1.0189999999999999</v>
      </c>
      <c r="M214" s="126">
        <f t="shared" si="401"/>
        <v>1.02</v>
      </c>
      <c r="N214" s="126">
        <f t="shared" si="401"/>
        <v>1.0189999999999999</v>
      </c>
      <c r="O214" s="126">
        <f t="shared" si="401"/>
        <v>1.0189999999999999</v>
      </c>
      <c r="P214" s="126">
        <f t="shared" si="401"/>
        <v>1.0189999999999999</v>
      </c>
      <c r="Q214" s="126">
        <f t="shared" si="401"/>
        <v>1.0189999999999999</v>
      </c>
      <c r="R214" s="126">
        <f t="shared" si="401"/>
        <v>1.0189999999999999</v>
      </c>
      <c r="S214" s="126">
        <f t="shared" si="401"/>
        <v>1.0189999999999999</v>
      </c>
      <c r="T214" s="126">
        <f t="shared" si="401"/>
        <v>1.0189999999999999</v>
      </c>
      <c r="U214" s="126">
        <f t="shared" si="401"/>
        <v>1.0189999999999999</v>
      </c>
      <c r="V214" s="126">
        <f t="shared" si="401"/>
        <v>1.0189999999999999</v>
      </c>
      <c r="W214" s="126">
        <f t="shared" si="401"/>
        <v>1.0189999999999999</v>
      </c>
      <c r="X214" s="126">
        <f t="shared" si="401"/>
        <v>1.0189999999999999</v>
      </c>
      <c r="Y214" s="126">
        <f t="shared" si="401"/>
        <v>1.0189999999999999</v>
      </c>
      <c r="Z214" s="126">
        <f t="shared" si="401"/>
        <v>1.0189999999999999</v>
      </c>
      <c r="AA214" s="126">
        <f t="shared" si="401"/>
        <v>1.0189999999999999</v>
      </c>
      <c r="AB214" s="126">
        <f t="shared" si="401"/>
        <v>1.0189999999999999</v>
      </c>
      <c r="AC214" s="126">
        <f t="shared" si="401"/>
        <v>1.0189999999999999</v>
      </c>
      <c r="AD214" s="126">
        <f t="shared" si="401"/>
        <v>1.0189999999999999</v>
      </c>
      <c r="AE214" s="126">
        <f t="shared" si="401"/>
        <v>1.0189999999999999</v>
      </c>
      <c r="AF214" s="126">
        <f t="shared" si="401"/>
        <v>1.0189999999999999</v>
      </c>
      <c r="AG214" s="126">
        <f t="shared" si="401"/>
        <v>1.0189999999999999</v>
      </c>
      <c r="AH214" s="126">
        <f t="shared" si="342"/>
        <v>1.0189999999999999</v>
      </c>
      <c r="AI214" s="126">
        <f t="shared" si="343"/>
        <v>1.0189999999999999</v>
      </c>
      <c r="AJ214" s="126">
        <f t="shared" si="344"/>
        <v>1.0189999999999999</v>
      </c>
      <c r="AK214" s="126">
        <f t="shared" si="345"/>
        <v>1.0189999999999999</v>
      </c>
      <c r="AL214" s="126">
        <f t="shared" si="346"/>
        <v>1.0189999999999999</v>
      </c>
      <c r="AM214" s="126">
        <f t="shared" si="347"/>
        <v>1.0189999999999999</v>
      </c>
      <c r="AN214" s="126">
        <f t="shared" si="348"/>
        <v>1.0189999999999999</v>
      </c>
      <c r="AO214" s="126">
        <f t="shared" si="349"/>
        <v>1.0189999999999999</v>
      </c>
      <c r="AP214" s="126">
        <f t="shared" si="350"/>
        <v>1.0189999999999999</v>
      </c>
      <c r="AQ214" s="126">
        <f t="shared" si="351"/>
        <v>1.0189999999999999</v>
      </c>
      <c r="AR214" s="126">
        <f t="shared" si="352"/>
        <v>1.0189999999999999</v>
      </c>
      <c r="AS214" s="126">
        <f t="shared" si="353"/>
        <v>1.0189999999999999</v>
      </c>
      <c r="AT214" s="126">
        <f t="shared" si="354"/>
        <v>1.0189999999999999</v>
      </c>
      <c r="AU214" s="126">
        <f t="shared" si="355"/>
        <v>1.0189999999999999</v>
      </c>
      <c r="AV214" s="126">
        <f t="shared" si="356"/>
        <v>1.0189999999999999</v>
      </c>
      <c r="AW214" s="126">
        <f t="shared" si="357"/>
        <v>1.0189999999999999</v>
      </c>
      <c r="AX214" s="126">
        <f t="shared" si="358"/>
        <v>1.0189999999999999</v>
      </c>
      <c r="AY214" s="126">
        <f t="shared" si="359"/>
        <v>1.0189999999999999</v>
      </c>
      <c r="AZ214" s="126">
        <f t="shared" si="360"/>
        <v>1.0189999999999999</v>
      </c>
      <c r="BA214" s="126">
        <f t="shared" si="361"/>
        <v>1.0189999999999999</v>
      </c>
      <c r="BB214" s="126">
        <f t="shared" si="362"/>
        <v>1.0189999999999999</v>
      </c>
      <c r="BC214" s="126">
        <f t="shared" si="363"/>
        <v>1.0189999999999999</v>
      </c>
    </row>
    <row r="215" spans="1:56">
      <c r="B215" s="6" t="str">
        <f t="shared" si="340"/>
        <v>Compression bandaging 4-layer</v>
      </c>
      <c r="C215" s="126">
        <f t="shared" ref="C215:AG215" si="402">(IF(C$175&lt;$C$173, -1, 1) *D66)+1</f>
        <v>0.98099999999999998</v>
      </c>
      <c r="D215" s="126">
        <f t="shared" si="402"/>
        <v>0.98099999999999998</v>
      </c>
      <c r="E215" s="126">
        <f t="shared" si="402"/>
        <v>0.98099999999999998</v>
      </c>
      <c r="F215" s="126">
        <f t="shared" si="402"/>
        <v>0.98099999999999998</v>
      </c>
      <c r="G215" s="126">
        <f t="shared" si="402"/>
        <v>0.98099999999999998</v>
      </c>
      <c r="H215" s="126">
        <f t="shared" si="402"/>
        <v>0.98099999999999998</v>
      </c>
      <c r="I215" s="126">
        <f t="shared" si="402"/>
        <v>0.98299999999999998</v>
      </c>
      <c r="J215" s="126">
        <f t="shared" si="402"/>
        <v>0.98199999999999998</v>
      </c>
      <c r="K215" s="126">
        <f t="shared" si="402"/>
        <v>1.0209999999999999</v>
      </c>
      <c r="L215" s="126">
        <f t="shared" si="402"/>
        <v>1.0189999999999999</v>
      </c>
      <c r="M215" s="126">
        <f t="shared" si="402"/>
        <v>1.02</v>
      </c>
      <c r="N215" s="126">
        <f t="shared" si="402"/>
        <v>1.0189999999999999</v>
      </c>
      <c r="O215" s="126">
        <f t="shared" si="402"/>
        <v>1.0189999999999999</v>
      </c>
      <c r="P215" s="126">
        <f t="shared" si="402"/>
        <v>1.0189999999999999</v>
      </c>
      <c r="Q215" s="126">
        <f t="shared" si="402"/>
        <v>1.0189999999999999</v>
      </c>
      <c r="R215" s="126">
        <f t="shared" si="402"/>
        <v>1.0189999999999999</v>
      </c>
      <c r="S215" s="126">
        <f t="shared" si="402"/>
        <v>1.0189999999999999</v>
      </c>
      <c r="T215" s="126">
        <f t="shared" si="402"/>
        <v>1.0189999999999999</v>
      </c>
      <c r="U215" s="126">
        <f t="shared" si="402"/>
        <v>1.0189999999999999</v>
      </c>
      <c r="V215" s="126">
        <f t="shared" si="402"/>
        <v>1.0189999999999999</v>
      </c>
      <c r="W215" s="126">
        <f t="shared" si="402"/>
        <v>1.0189999999999999</v>
      </c>
      <c r="X215" s="126">
        <f t="shared" si="402"/>
        <v>1.0189999999999999</v>
      </c>
      <c r="Y215" s="126">
        <f t="shared" si="402"/>
        <v>1.0189999999999999</v>
      </c>
      <c r="Z215" s="126">
        <f t="shared" si="402"/>
        <v>1.0189999999999999</v>
      </c>
      <c r="AA215" s="126">
        <f t="shared" si="402"/>
        <v>1.0189999999999999</v>
      </c>
      <c r="AB215" s="126">
        <f t="shared" si="402"/>
        <v>1.0189999999999999</v>
      </c>
      <c r="AC215" s="126">
        <f t="shared" si="402"/>
        <v>1.0189999999999999</v>
      </c>
      <c r="AD215" s="126">
        <f t="shared" si="402"/>
        <v>1.0189999999999999</v>
      </c>
      <c r="AE215" s="126">
        <f t="shared" si="402"/>
        <v>1.0189999999999999</v>
      </c>
      <c r="AF215" s="126">
        <f t="shared" si="402"/>
        <v>1.0189999999999999</v>
      </c>
      <c r="AG215" s="126">
        <f t="shared" si="402"/>
        <v>1.0189999999999999</v>
      </c>
      <c r="AH215" s="126">
        <f t="shared" ref="AH215:AQ215" si="403">(IF(AH$175&lt;$C$173, -1, 1) *AI66)+1</f>
        <v>1.0189999999999999</v>
      </c>
      <c r="AI215" s="126">
        <f t="shared" si="403"/>
        <v>1.0189999999999999</v>
      </c>
      <c r="AJ215" s="126">
        <f t="shared" si="403"/>
        <v>1.0189999999999999</v>
      </c>
      <c r="AK215" s="126">
        <f t="shared" si="403"/>
        <v>1.0189999999999999</v>
      </c>
      <c r="AL215" s="126">
        <f t="shared" si="403"/>
        <v>1.0189999999999999</v>
      </c>
      <c r="AM215" s="126">
        <f t="shared" si="403"/>
        <v>1.0189999999999999</v>
      </c>
      <c r="AN215" s="126">
        <f t="shared" si="403"/>
        <v>1.0189999999999999</v>
      </c>
      <c r="AO215" s="126">
        <f t="shared" si="403"/>
        <v>1.0189999999999999</v>
      </c>
      <c r="AP215" s="126">
        <f t="shared" si="403"/>
        <v>1.0189999999999999</v>
      </c>
      <c r="AQ215" s="126">
        <f t="shared" si="403"/>
        <v>1.0189999999999999</v>
      </c>
      <c r="AR215" s="126">
        <f t="shared" si="352"/>
        <v>1.0189999999999999</v>
      </c>
      <c r="AS215" s="126">
        <f t="shared" si="353"/>
        <v>1.0189999999999999</v>
      </c>
      <c r="AT215" s="126">
        <f t="shared" si="354"/>
        <v>1.0189999999999999</v>
      </c>
      <c r="AU215" s="126">
        <f t="shared" si="355"/>
        <v>1.0189999999999999</v>
      </c>
      <c r="AV215" s="126">
        <f t="shared" si="356"/>
        <v>1.0189999999999999</v>
      </c>
      <c r="AW215" s="126">
        <f t="shared" si="357"/>
        <v>1.0189999999999999</v>
      </c>
      <c r="AX215" s="126">
        <f t="shared" si="358"/>
        <v>1.0189999999999999</v>
      </c>
      <c r="AY215" s="126">
        <f t="shared" si="359"/>
        <v>1.0189999999999999</v>
      </c>
      <c r="AZ215" s="126">
        <f t="shared" si="360"/>
        <v>1.0189999999999999</v>
      </c>
      <c r="BA215" s="126">
        <f t="shared" si="361"/>
        <v>1.0189999999999999</v>
      </c>
      <c r="BB215" s="126">
        <f t="shared" si="362"/>
        <v>1.0189999999999999</v>
      </c>
      <c r="BC215" s="126">
        <f t="shared" si="363"/>
        <v>1.0189999999999999</v>
      </c>
    </row>
    <row r="216" spans="1:56">
      <c r="B216" s="6" t="str">
        <f t="shared" si="340"/>
        <v>Specialist nurse visits</v>
      </c>
      <c r="C216" s="126">
        <f t="shared" ref="C216:AG216" si="404">(IF(C$175&lt;$C$173, -1, 1) *D67)+1</f>
        <v>0.97719999999999996</v>
      </c>
      <c r="D216" s="126">
        <f t="shared" si="404"/>
        <v>0.97719999999999996</v>
      </c>
      <c r="E216" s="126">
        <f t="shared" si="404"/>
        <v>0.97719999999999996</v>
      </c>
      <c r="F216" s="126">
        <f t="shared" si="404"/>
        <v>0.97719999999999996</v>
      </c>
      <c r="G216" s="126">
        <f t="shared" si="404"/>
        <v>0.97719999999999996</v>
      </c>
      <c r="H216" s="126">
        <f t="shared" si="404"/>
        <v>0.97719999999999996</v>
      </c>
      <c r="I216" s="126">
        <f t="shared" si="404"/>
        <v>0.96699999999999997</v>
      </c>
      <c r="J216" s="126">
        <f t="shared" si="404"/>
        <v>0.98</v>
      </c>
      <c r="K216" s="126">
        <f t="shared" si="404"/>
        <v>1.016</v>
      </c>
      <c r="L216" s="126">
        <f t="shared" si="404"/>
        <v>1.016</v>
      </c>
      <c r="M216" s="126">
        <f t="shared" si="404"/>
        <v>1.0289999999999999</v>
      </c>
      <c r="N216" s="126">
        <f t="shared" si="404"/>
        <v>1.0227999999999999</v>
      </c>
      <c r="O216" s="126">
        <f t="shared" si="404"/>
        <v>1.0227999999999999</v>
      </c>
      <c r="P216" s="126">
        <f t="shared" si="404"/>
        <v>1.0227999999999999</v>
      </c>
      <c r="Q216" s="126">
        <f t="shared" si="404"/>
        <v>1.0227999999999999</v>
      </c>
      <c r="R216" s="126">
        <f t="shared" si="404"/>
        <v>1.0227999999999999</v>
      </c>
      <c r="S216" s="126">
        <f t="shared" si="404"/>
        <v>1.0227999999999999</v>
      </c>
      <c r="T216" s="126">
        <f t="shared" si="404"/>
        <v>1.0227999999999999</v>
      </c>
      <c r="U216" s="126">
        <f t="shared" si="404"/>
        <v>1.0227999999999999</v>
      </c>
      <c r="V216" s="126">
        <f t="shared" si="404"/>
        <v>1.0227999999999999</v>
      </c>
      <c r="W216" s="126">
        <f t="shared" si="404"/>
        <v>1.0227999999999999</v>
      </c>
      <c r="X216" s="126">
        <f t="shared" si="404"/>
        <v>1.0227999999999999</v>
      </c>
      <c r="Y216" s="126">
        <f t="shared" si="404"/>
        <v>1.0227999999999999</v>
      </c>
      <c r="Z216" s="126">
        <f t="shared" si="404"/>
        <v>1.0227999999999999</v>
      </c>
      <c r="AA216" s="126">
        <f t="shared" si="404"/>
        <v>1.0227999999999999</v>
      </c>
      <c r="AB216" s="126">
        <f t="shared" si="404"/>
        <v>1.0227999999999999</v>
      </c>
      <c r="AC216" s="126">
        <f t="shared" si="404"/>
        <v>1.0227999999999999</v>
      </c>
      <c r="AD216" s="126">
        <f t="shared" si="404"/>
        <v>1.0227999999999999</v>
      </c>
      <c r="AE216" s="126">
        <f t="shared" si="404"/>
        <v>1.0227999999999999</v>
      </c>
      <c r="AF216" s="126">
        <f t="shared" si="404"/>
        <v>1.0227999999999999</v>
      </c>
      <c r="AG216" s="126">
        <f t="shared" si="404"/>
        <v>1.0227999999999999</v>
      </c>
      <c r="AH216" s="126">
        <f t="shared" ref="AH216:AQ216" si="405">(IF(AH$175&lt;$C$173, -1, 1) *AI67)+1</f>
        <v>1.0227999999999999</v>
      </c>
      <c r="AI216" s="126">
        <f t="shared" si="405"/>
        <v>1.0227999999999999</v>
      </c>
      <c r="AJ216" s="126">
        <f t="shared" si="405"/>
        <v>1.0227999999999999</v>
      </c>
      <c r="AK216" s="126">
        <f t="shared" si="405"/>
        <v>1.0227999999999999</v>
      </c>
      <c r="AL216" s="126">
        <f t="shared" si="405"/>
        <v>1.0227999999999999</v>
      </c>
      <c r="AM216" s="126">
        <f t="shared" si="405"/>
        <v>1.0227999999999999</v>
      </c>
      <c r="AN216" s="126">
        <f t="shared" si="405"/>
        <v>1.0227999999999999</v>
      </c>
      <c r="AO216" s="126">
        <f t="shared" si="405"/>
        <v>1.0227999999999999</v>
      </c>
      <c r="AP216" s="126">
        <f t="shared" si="405"/>
        <v>1.0227999999999999</v>
      </c>
      <c r="AQ216" s="126">
        <f t="shared" si="405"/>
        <v>1.0227999999999999</v>
      </c>
      <c r="AR216" s="126">
        <f t="shared" si="352"/>
        <v>1.0227999999999999</v>
      </c>
      <c r="AS216" s="126">
        <f t="shared" si="353"/>
        <v>1.0227999999999999</v>
      </c>
      <c r="AT216" s="126">
        <f t="shared" si="354"/>
        <v>1.0227999999999999</v>
      </c>
      <c r="AU216" s="126">
        <f t="shared" si="355"/>
        <v>1.0227999999999999</v>
      </c>
      <c r="AV216" s="126">
        <f t="shared" si="356"/>
        <v>1.0227999999999999</v>
      </c>
      <c r="AW216" s="126">
        <f t="shared" si="357"/>
        <v>1.0227999999999999</v>
      </c>
      <c r="AX216" s="126">
        <f t="shared" si="358"/>
        <v>1.0227999999999999</v>
      </c>
      <c r="AY216" s="126">
        <f t="shared" si="359"/>
        <v>1.0227999999999999</v>
      </c>
      <c r="AZ216" s="126">
        <f t="shared" si="360"/>
        <v>1.0227999999999999</v>
      </c>
      <c r="BA216" s="126">
        <f t="shared" si="361"/>
        <v>1.0227999999999999</v>
      </c>
      <c r="BB216" s="126">
        <f t="shared" si="362"/>
        <v>1.0227999999999999</v>
      </c>
      <c r="BC216" s="126">
        <f t="shared" si="363"/>
        <v>1.0227999999999999</v>
      </c>
    </row>
    <row r="219" spans="1:56">
      <c r="A219" s="9" t="s">
        <v>2472</v>
      </c>
      <c r="B219" s="9" t="s">
        <v>179</v>
      </c>
    </row>
    <row r="220" spans="1:56">
      <c r="A220" s="9"/>
      <c r="B220" s="9"/>
    </row>
    <row r="221" spans="1:56">
      <c r="A221" s="9"/>
      <c r="B221" s="9"/>
    </row>
    <row r="222" spans="1:56">
      <c r="B222" s="117" t="s">
        <v>178</v>
      </c>
      <c r="C222" s="134">
        <f>C173</f>
        <v>2018</v>
      </c>
    </row>
    <row r="223" spans="1:56">
      <c r="K223" s="4" t="s">
        <v>178</v>
      </c>
    </row>
    <row r="224" spans="1:56">
      <c r="B224" s="7" t="s">
        <v>125</v>
      </c>
      <c r="D224" s="7">
        <f t="shared" ref="D224" si="406">E224-1</f>
        <v>2012</v>
      </c>
      <c r="E224" s="7">
        <f t="shared" ref="E224" si="407">F224-1</f>
        <v>2013</v>
      </c>
      <c r="F224" s="7">
        <f t="shared" ref="F224" si="408">G224-1</f>
        <v>2014</v>
      </c>
      <c r="G224" s="7">
        <f t="shared" ref="G224" si="409">H224-1</f>
        <v>2015</v>
      </c>
      <c r="H224" s="7">
        <f>I224-1</f>
        <v>2016</v>
      </c>
      <c r="I224" s="7">
        <f>K224-1</f>
        <v>2017</v>
      </c>
      <c r="K224" s="7">
        <f>C222</f>
        <v>2018</v>
      </c>
      <c r="M224" s="7">
        <f>K224+1</f>
        <v>2019</v>
      </c>
      <c r="N224" s="7">
        <f t="shared" ref="N224" si="410">M224+1</f>
        <v>2020</v>
      </c>
      <c r="O224" s="7">
        <f t="shared" ref="O224" si="411">N224+1</f>
        <v>2021</v>
      </c>
      <c r="P224" s="7">
        <f t="shared" ref="P224" si="412">O224+1</f>
        <v>2022</v>
      </c>
      <c r="Q224" s="7">
        <f t="shared" ref="Q224" si="413">P224+1</f>
        <v>2023</v>
      </c>
      <c r="R224" s="7">
        <f t="shared" ref="R224" si="414">Q224+1</f>
        <v>2024</v>
      </c>
      <c r="S224" s="7">
        <f t="shared" ref="S224" si="415">R224+1</f>
        <v>2025</v>
      </c>
      <c r="T224" s="7">
        <f t="shared" ref="T224" si="416">S224+1</f>
        <v>2026</v>
      </c>
      <c r="U224" s="7">
        <f t="shared" ref="U224" si="417">T224+1</f>
        <v>2027</v>
      </c>
      <c r="V224" s="7">
        <f t="shared" ref="V224" si="418">U224+1</f>
        <v>2028</v>
      </c>
      <c r="W224" s="7">
        <f t="shared" ref="W224" si="419">V224+1</f>
        <v>2029</v>
      </c>
      <c r="X224" s="7">
        <f t="shared" ref="X224" si="420">W224+1</f>
        <v>2030</v>
      </c>
      <c r="Y224" s="7">
        <f t="shared" ref="Y224" si="421">X224+1</f>
        <v>2031</v>
      </c>
      <c r="Z224" s="7">
        <f t="shared" ref="Z224" si="422">Y224+1</f>
        <v>2032</v>
      </c>
      <c r="AA224" s="7">
        <f t="shared" ref="AA224" si="423">Z224+1</f>
        <v>2033</v>
      </c>
      <c r="AB224" s="7">
        <f t="shared" ref="AB224" si="424">AA224+1</f>
        <v>2034</v>
      </c>
      <c r="AC224" s="7">
        <f t="shared" ref="AC224" si="425">AB224+1</f>
        <v>2035</v>
      </c>
      <c r="AD224" s="7">
        <f t="shared" ref="AD224" si="426">AC224+1</f>
        <v>2036</v>
      </c>
      <c r="AE224" s="7">
        <f t="shared" ref="AE224" si="427">AD224+1</f>
        <v>2037</v>
      </c>
      <c r="AF224" s="7">
        <f t="shared" ref="AF224" si="428">AE224+1</f>
        <v>2038</v>
      </c>
      <c r="AG224" s="7">
        <f t="shared" ref="AG224" si="429">AF224+1</f>
        <v>2039</v>
      </c>
      <c r="AH224" s="7">
        <f t="shared" ref="AH224" si="430">AG224+1</f>
        <v>2040</v>
      </c>
      <c r="AI224" s="7">
        <f t="shared" ref="AI224" si="431">AH224+1</f>
        <v>2041</v>
      </c>
      <c r="AJ224" s="7">
        <f t="shared" ref="AJ224" si="432">AI224+1</f>
        <v>2042</v>
      </c>
      <c r="AK224" s="7">
        <f t="shared" ref="AK224" si="433">AJ224+1</f>
        <v>2043</v>
      </c>
      <c r="AL224" s="7">
        <f t="shared" ref="AL224" si="434">AK224+1</f>
        <v>2044</v>
      </c>
      <c r="AM224" s="7">
        <f t="shared" ref="AM224" si="435">AL224+1</f>
        <v>2045</v>
      </c>
      <c r="AN224" s="7">
        <f t="shared" ref="AN224" si="436">AM224+1</f>
        <v>2046</v>
      </c>
      <c r="AO224" s="7">
        <f t="shared" ref="AO224" si="437">AN224+1</f>
        <v>2047</v>
      </c>
      <c r="AP224" s="7">
        <f t="shared" ref="AP224" si="438">AO224+1</f>
        <v>2048</v>
      </c>
      <c r="AQ224" s="7">
        <f t="shared" ref="AQ224:AR224" si="439">AP224+1</f>
        <v>2049</v>
      </c>
      <c r="AR224" s="7">
        <f t="shared" si="439"/>
        <v>2050</v>
      </c>
      <c r="AS224" s="7">
        <f t="shared" ref="AS224" si="440">AR224+1</f>
        <v>2051</v>
      </c>
      <c r="AT224" s="7">
        <f t="shared" ref="AT224" si="441">AS224+1</f>
        <v>2052</v>
      </c>
      <c r="AU224" s="7">
        <f t="shared" ref="AU224" si="442">AT224+1</f>
        <v>2053</v>
      </c>
      <c r="AV224" s="7">
        <f t="shared" ref="AV224" si="443">AU224+1</f>
        <v>2054</v>
      </c>
      <c r="AW224" s="7">
        <f t="shared" ref="AW224" si="444">AV224+1</f>
        <v>2055</v>
      </c>
      <c r="AX224" s="7">
        <f t="shared" ref="AX224" si="445">AW224+1</f>
        <v>2056</v>
      </c>
      <c r="AY224" s="7">
        <f t="shared" ref="AY224" si="446">AX224+1</f>
        <v>2057</v>
      </c>
      <c r="AZ224" s="7">
        <f t="shared" ref="AZ224" si="447">AY224+1</f>
        <v>2058</v>
      </c>
      <c r="BA224" s="7">
        <f t="shared" ref="BA224" si="448">AZ224+1</f>
        <v>2059</v>
      </c>
      <c r="BB224" s="7">
        <f t="shared" ref="BB224" si="449">BA224+1</f>
        <v>2060</v>
      </c>
      <c r="BC224" s="7">
        <f t="shared" ref="BC224" si="450">BB224+1</f>
        <v>2061</v>
      </c>
      <c r="BD224" s="7">
        <f t="shared" ref="BD224" si="451">BC224+1</f>
        <v>2062</v>
      </c>
    </row>
    <row r="225" spans="2:56">
      <c r="B225" s="6" t="str">
        <f>B176</f>
        <v>Amputations</v>
      </c>
      <c r="D225" s="126">
        <f>INDEX($C176:$AG176, MATCH(D$224, $C$175:$AG$175))*E225</f>
        <v>0.89400723846022712</v>
      </c>
      <c r="E225" s="126">
        <f>INDEX($C176:$AG176, MATCH(E$224, $C$175:$AG$175))*F225</f>
        <v>0.91132236336414596</v>
      </c>
      <c r="F225" s="126">
        <f>INDEX($C176:$AG176, MATCH(F$224, $C$175:$AG$175))*G225</f>
        <v>0.92897284746599995</v>
      </c>
      <c r="G225" s="126">
        <f>INDEX($C176:$AG176, MATCH(G$224, $C$175:$AG$175))*H225</f>
        <v>0.94696518600000001</v>
      </c>
      <c r="H225" s="126">
        <f>INDEX($C176:$AG176, MATCH(H$224, $C$175:$AG$175))*I225</f>
        <v>0.965306</v>
      </c>
      <c r="I225" s="126">
        <f t="shared" ref="I225:I265" si="452">INDEX($C176:$AG176, MATCH(I$224, $C$175:$AG$175))*K225</f>
        <v>0.98199999999999998</v>
      </c>
      <c r="K225" s="123">
        <v>1</v>
      </c>
      <c r="M225" s="126">
        <f>INDEX($C176:$BC176, MATCH(M$224, $C$175:$BC$175,0))*K225</f>
        <v>1.0189999999999999</v>
      </c>
      <c r="N225" s="126">
        <f>INDEX($C176:$BC176, MATCH(N$224, $C$175:$BC$175,0))*M225</f>
        <v>1.03938</v>
      </c>
      <c r="O225" s="126">
        <f t="shared" ref="O225:BD225" si="453">INDEX($C176:$BC176, MATCH(O$224, $C$175:$BC$175,0))*N225</f>
        <v>1.0591282199999998</v>
      </c>
      <c r="P225" s="126">
        <f t="shared" si="453"/>
        <v>1.0792516561799996</v>
      </c>
      <c r="Q225" s="126">
        <f t="shared" si="453"/>
        <v>1.0997574376474195</v>
      </c>
      <c r="R225" s="126">
        <f t="shared" si="453"/>
        <v>1.1206528289627204</v>
      </c>
      <c r="S225" s="126">
        <f t="shared" si="453"/>
        <v>1.141945232713012</v>
      </c>
      <c r="T225" s="126">
        <f t="shared" si="453"/>
        <v>1.163642192134559</v>
      </c>
      <c r="U225" s="126">
        <f t="shared" si="453"/>
        <v>1.1857513937851154</v>
      </c>
      <c r="V225" s="126">
        <f t="shared" si="453"/>
        <v>1.2082806702670326</v>
      </c>
      <c r="W225" s="126">
        <f t="shared" si="453"/>
        <v>1.2312380030021062</v>
      </c>
      <c r="X225" s="126">
        <f t="shared" si="453"/>
        <v>1.254631525059146</v>
      </c>
      <c r="Y225" s="126">
        <f t="shared" si="453"/>
        <v>1.2784695240352697</v>
      </c>
      <c r="Z225" s="126">
        <f t="shared" si="453"/>
        <v>1.3027604449919397</v>
      </c>
      <c r="AA225" s="126">
        <f t="shared" si="453"/>
        <v>1.3275128934467864</v>
      </c>
      <c r="AB225" s="126">
        <f t="shared" si="453"/>
        <v>1.3527356384222751</v>
      </c>
      <c r="AC225" s="126">
        <f t="shared" si="453"/>
        <v>1.3784376155522982</v>
      </c>
      <c r="AD225" s="126">
        <f t="shared" si="453"/>
        <v>1.4046279302477918</v>
      </c>
      <c r="AE225" s="126">
        <f t="shared" si="453"/>
        <v>1.4313158609224996</v>
      </c>
      <c r="AF225" s="126">
        <f t="shared" si="453"/>
        <v>1.4585108622800269</v>
      </c>
      <c r="AG225" s="126">
        <f t="shared" si="453"/>
        <v>1.4862225686633472</v>
      </c>
      <c r="AH225" s="126">
        <f t="shared" si="453"/>
        <v>1.5144607974679507</v>
      </c>
      <c r="AI225" s="126">
        <f t="shared" si="453"/>
        <v>1.5432355526198416</v>
      </c>
      <c r="AJ225" s="126">
        <f t="shared" si="453"/>
        <v>1.5725570281196184</v>
      </c>
      <c r="AK225" s="126">
        <f t="shared" si="453"/>
        <v>1.6024356116538909</v>
      </c>
      <c r="AL225" s="126">
        <f t="shared" si="453"/>
        <v>1.6328818882753147</v>
      </c>
      <c r="AM225" s="126">
        <f t="shared" si="453"/>
        <v>1.6639066441525454</v>
      </c>
      <c r="AN225" s="126">
        <f t="shared" si="453"/>
        <v>1.6955208703914437</v>
      </c>
      <c r="AO225" s="126">
        <f t="shared" si="453"/>
        <v>1.7277357669288811</v>
      </c>
      <c r="AP225" s="126">
        <f t="shared" si="453"/>
        <v>1.7605627465005296</v>
      </c>
      <c r="AQ225" s="126">
        <f t="shared" si="453"/>
        <v>1.7940134386840394</v>
      </c>
      <c r="AR225" s="126">
        <f t="shared" si="453"/>
        <v>1.8280996940190359</v>
      </c>
      <c r="AS225" s="126">
        <f t="shared" si="453"/>
        <v>1.8628335882053975</v>
      </c>
      <c r="AT225" s="126">
        <f t="shared" si="453"/>
        <v>1.8982274263812999</v>
      </c>
      <c r="AU225" s="126">
        <f t="shared" si="453"/>
        <v>1.9342937474825443</v>
      </c>
      <c r="AV225" s="126">
        <f t="shared" si="453"/>
        <v>1.9710453286847125</v>
      </c>
      <c r="AW225" s="126">
        <f t="shared" si="453"/>
        <v>2.0084951899297216</v>
      </c>
      <c r="AX225" s="126">
        <f t="shared" si="453"/>
        <v>2.046656598538386</v>
      </c>
      <c r="AY225" s="126">
        <f t="shared" si="453"/>
        <v>2.0855430739106153</v>
      </c>
      <c r="AZ225" s="126">
        <f t="shared" si="453"/>
        <v>2.1251683923149169</v>
      </c>
      <c r="BA225" s="126">
        <f t="shared" si="453"/>
        <v>2.1655465917689001</v>
      </c>
      <c r="BB225" s="126">
        <f t="shared" si="453"/>
        <v>2.2066919770125089</v>
      </c>
      <c r="BC225" s="126">
        <f t="shared" si="453"/>
        <v>2.2486191245757463</v>
      </c>
      <c r="BD225" s="126">
        <f t="shared" si="453"/>
        <v>2.2913428879426854</v>
      </c>
    </row>
    <row r="226" spans="2:56">
      <c r="B226" s="6" t="str">
        <f t="shared" ref="B226:B265" si="454">B177</f>
        <v>Community nurse visits</v>
      </c>
      <c r="D226" s="126">
        <f t="shared" ref="D226:H226" si="455">INDEX($C177:$AG177, MATCH(D$224, $C$175:$AG$175))*E226</f>
        <v>0.86414452553641208</v>
      </c>
      <c r="E226" s="126">
        <f t="shared" si="455"/>
        <v>0.88430671872330346</v>
      </c>
      <c r="F226" s="126">
        <f t="shared" si="455"/>
        <v>0.90493933557439987</v>
      </c>
      <c r="G226" s="126">
        <f t="shared" si="455"/>
        <v>0.92605335199999994</v>
      </c>
      <c r="H226" s="126">
        <f t="shared" si="455"/>
        <v>0.94765999999999995</v>
      </c>
      <c r="I226" s="126">
        <f t="shared" si="452"/>
        <v>0.98</v>
      </c>
      <c r="K226" s="123">
        <v>1</v>
      </c>
      <c r="M226" s="126">
        <f t="shared" ref="M226:M265" si="456">INDEX($C177:$BC177, MATCH(M$224, $C$175:$BC$175,0))*K226</f>
        <v>1.016</v>
      </c>
      <c r="N226" s="126">
        <f t="shared" ref="N226:BD226" si="457">INDEX($C177:$BC177, MATCH(N$224, $C$175:$BC$175,0))*M226</f>
        <v>1.0454639999999999</v>
      </c>
      <c r="O226" s="126">
        <f t="shared" si="457"/>
        <v>1.0693005791999999</v>
      </c>
      <c r="P226" s="126">
        <f t="shared" si="457"/>
        <v>1.0936806324057597</v>
      </c>
      <c r="Q226" s="126">
        <f t="shared" si="457"/>
        <v>1.1186165508246111</v>
      </c>
      <c r="R226" s="126">
        <f t="shared" si="457"/>
        <v>1.1441210081834121</v>
      </c>
      <c r="S226" s="126">
        <f t="shared" si="457"/>
        <v>1.1702069671699937</v>
      </c>
      <c r="T226" s="126">
        <f t="shared" si="457"/>
        <v>1.1968876860214694</v>
      </c>
      <c r="U226" s="126">
        <f t="shared" si="457"/>
        <v>1.2241767252627589</v>
      </c>
      <c r="V226" s="126">
        <f t="shared" si="457"/>
        <v>1.2520879545987498</v>
      </c>
      <c r="W226" s="126">
        <f t="shared" si="457"/>
        <v>1.2806355599636012</v>
      </c>
      <c r="X226" s="126">
        <f t="shared" si="457"/>
        <v>1.3098340507307713</v>
      </c>
      <c r="Y226" s="126">
        <f t="shared" si="457"/>
        <v>1.3396982670874329</v>
      </c>
      <c r="Z226" s="126">
        <f t="shared" si="457"/>
        <v>1.3702433875770264</v>
      </c>
      <c r="AA226" s="126">
        <f t="shared" si="457"/>
        <v>1.4014849368137825</v>
      </c>
      <c r="AB226" s="126">
        <f t="shared" si="457"/>
        <v>1.4334387933731367</v>
      </c>
      <c r="AC226" s="126">
        <f t="shared" si="457"/>
        <v>1.4661211978620441</v>
      </c>
      <c r="AD226" s="126">
        <f t="shared" si="457"/>
        <v>1.4995487611732985</v>
      </c>
      <c r="AE226" s="126">
        <f t="shared" si="457"/>
        <v>1.5337384729280497</v>
      </c>
      <c r="AF226" s="126">
        <f t="shared" si="457"/>
        <v>1.5687077101108091</v>
      </c>
      <c r="AG226" s="126">
        <f t="shared" si="457"/>
        <v>1.6044742459013355</v>
      </c>
      <c r="AH226" s="126">
        <f t="shared" si="457"/>
        <v>1.6410562587078859</v>
      </c>
      <c r="AI226" s="126">
        <f t="shared" si="457"/>
        <v>1.6784723414064255</v>
      </c>
      <c r="AJ226" s="126">
        <f t="shared" si="457"/>
        <v>1.716741510790492</v>
      </c>
      <c r="AK226" s="126">
        <f t="shared" si="457"/>
        <v>1.7558832172365151</v>
      </c>
      <c r="AL226" s="126">
        <f t="shared" si="457"/>
        <v>1.7959173545895075</v>
      </c>
      <c r="AM226" s="126">
        <f t="shared" si="457"/>
        <v>1.8368642702741482</v>
      </c>
      <c r="AN226" s="126">
        <f t="shared" si="457"/>
        <v>1.8787447756363986</v>
      </c>
      <c r="AO226" s="126">
        <f t="shared" si="457"/>
        <v>1.9215801565209083</v>
      </c>
      <c r="AP226" s="126">
        <f t="shared" si="457"/>
        <v>1.9653921840895849</v>
      </c>
      <c r="AQ226" s="126">
        <f t="shared" si="457"/>
        <v>2.0102031258868274</v>
      </c>
      <c r="AR226" s="126">
        <f t="shared" si="457"/>
        <v>2.0560357571570469</v>
      </c>
      <c r="AS226" s="126">
        <f t="shared" si="457"/>
        <v>2.1029133724202276</v>
      </c>
      <c r="AT226" s="126">
        <f t="shared" si="457"/>
        <v>2.1508597973114085</v>
      </c>
      <c r="AU226" s="126">
        <f t="shared" si="457"/>
        <v>2.1998994006901085</v>
      </c>
      <c r="AV226" s="126">
        <f t="shared" si="457"/>
        <v>2.2500571070258428</v>
      </c>
      <c r="AW226" s="126">
        <f t="shared" si="457"/>
        <v>2.3013584090660317</v>
      </c>
      <c r="AX226" s="126">
        <f t="shared" si="457"/>
        <v>2.3538293807927371</v>
      </c>
      <c r="AY226" s="126">
        <f t="shared" si="457"/>
        <v>2.4074966906748112</v>
      </c>
      <c r="AZ226" s="126">
        <f t="shared" si="457"/>
        <v>2.4623876152221968</v>
      </c>
      <c r="BA226" s="126">
        <f t="shared" si="457"/>
        <v>2.5185300528492629</v>
      </c>
      <c r="BB226" s="126">
        <f t="shared" si="457"/>
        <v>2.5759525380542261</v>
      </c>
      <c r="BC226" s="126">
        <f t="shared" si="457"/>
        <v>2.6346842559218624</v>
      </c>
      <c r="BD226" s="126">
        <f t="shared" si="457"/>
        <v>2.6947550569568808</v>
      </c>
    </row>
    <row r="227" spans="2:56" s="73" customFormat="1">
      <c r="B227" s="6" t="str">
        <f t="shared" si="454"/>
        <v>Practice nurse visits</v>
      </c>
      <c r="C227"/>
      <c r="D227" s="126">
        <f t="shared" ref="D227:H227" si="458">INDEX($C178:$AG178, MATCH(D$224, $C$175:$AG$175))*E227</f>
        <v>0.86414452553641208</v>
      </c>
      <c r="E227" s="126">
        <f t="shared" si="458"/>
        <v>0.88430671872330346</v>
      </c>
      <c r="F227" s="126">
        <f t="shared" si="458"/>
        <v>0.90493933557439987</v>
      </c>
      <c r="G227" s="126">
        <f t="shared" si="458"/>
        <v>0.92605335199999994</v>
      </c>
      <c r="H227" s="126">
        <f t="shared" si="458"/>
        <v>0.94765999999999995</v>
      </c>
      <c r="I227" s="126">
        <f t="shared" si="452"/>
        <v>0.98</v>
      </c>
      <c r="J227"/>
      <c r="K227" s="123">
        <v>1</v>
      </c>
      <c r="L227"/>
      <c r="M227" s="126">
        <f t="shared" si="456"/>
        <v>1.016</v>
      </c>
      <c r="N227" s="126">
        <f t="shared" ref="N227:BD227" si="459">INDEX($C178:$BC178, MATCH(N$224, $C$175:$BC$175,0))*M227</f>
        <v>1.0454639999999999</v>
      </c>
      <c r="O227" s="126">
        <f t="shared" si="459"/>
        <v>1.0693005791999999</v>
      </c>
      <c r="P227" s="126">
        <f t="shared" si="459"/>
        <v>1.0936806324057597</v>
      </c>
      <c r="Q227" s="126">
        <f t="shared" si="459"/>
        <v>1.1186165508246111</v>
      </c>
      <c r="R227" s="126">
        <f t="shared" si="459"/>
        <v>1.1441210081834121</v>
      </c>
      <c r="S227" s="126">
        <f t="shared" si="459"/>
        <v>1.1702069671699937</v>
      </c>
      <c r="T227" s="126">
        <f t="shared" si="459"/>
        <v>1.1968876860214694</v>
      </c>
      <c r="U227" s="126">
        <f t="shared" si="459"/>
        <v>1.2241767252627589</v>
      </c>
      <c r="V227" s="126">
        <f t="shared" si="459"/>
        <v>1.2520879545987498</v>
      </c>
      <c r="W227" s="126">
        <f t="shared" si="459"/>
        <v>1.2806355599636012</v>
      </c>
      <c r="X227" s="126">
        <f t="shared" si="459"/>
        <v>1.3098340507307713</v>
      </c>
      <c r="Y227" s="126">
        <f t="shared" si="459"/>
        <v>1.3396982670874329</v>
      </c>
      <c r="Z227" s="126">
        <f t="shared" si="459"/>
        <v>1.3702433875770264</v>
      </c>
      <c r="AA227" s="126">
        <f t="shared" si="459"/>
        <v>1.4014849368137825</v>
      </c>
      <c r="AB227" s="126">
        <f t="shared" si="459"/>
        <v>1.4334387933731367</v>
      </c>
      <c r="AC227" s="126">
        <f t="shared" si="459"/>
        <v>1.4661211978620441</v>
      </c>
      <c r="AD227" s="126">
        <f t="shared" si="459"/>
        <v>1.4995487611732985</v>
      </c>
      <c r="AE227" s="126">
        <f t="shared" si="459"/>
        <v>1.5337384729280497</v>
      </c>
      <c r="AF227" s="126">
        <f t="shared" si="459"/>
        <v>1.5687077101108091</v>
      </c>
      <c r="AG227" s="126">
        <f t="shared" si="459"/>
        <v>1.6044742459013355</v>
      </c>
      <c r="AH227" s="126">
        <f t="shared" si="459"/>
        <v>1.6410562587078859</v>
      </c>
      <c r="AI227" s="126">
        <f t="shared" si="459"/>
        <v>1.6784723414064255</v>
      </c>
      <c r="AJ227" s="126">
        <f t="shared" si="459"/>
        <v>1.716741510790492</v>
      </c>
      <c r="AK227" s="126">
        <f t="shared" si="459"/>
        <v>1.7558832172365151</v>
      </c>
      <c r="AL227" s="126">
        <f t="shared" si="459"/>
        <v>1.7959173545895075</v>
      </c>
      <c r="AM227" s="126">
        <f t="shared" si="459"/>
        <v>1.8368642702741482</v>
      </c>
      <c r="AN227" s="126">
        <f t="shared" si="459"/>
        <v>1.8787447756363986</v>
      </c>
      <c r="AO227" s="126">
        <f t="shared" si="459"/>
        <v>1.9215801565209083</v>
      </c>
      <c r="AP227" s="126">
        <f t="shared" si="459"/>
        <v>1.9653921840895849</v>
      </c>
      <c r="AQ227" s="126">
        <f t="shared" si="459"/>
        <v>2.0102031258868274</v>
      </c>
      <c r="AR227" s="126">
        <f t="shared" si="459"/>
        <v>2.0560357571570469</v>
      </c>
      <c r="AS227" s="126">
        <f t="shared" si="459"/>
        <v>2.1029133724202276</v>
      </c>
      <c r="AT227" s="126">
        <f t="shared" si="459"/>
        <v>2.1508597973114085</v>
      </c>
      <c r="AU227" s="126">
        <f t="shared" si="459"/>
        <v>2.1998994006901085</v>
      </c>
      <c r="AV227" s="126">
        <f t="shared" si="459"/>
        <v>2.2500571070258428</v>
      </c>
      <c r="AW227" s="126">
        <f t="shared" si="459"/>
        <v>2.3013584090660317</v>
      </c>
      <c r="AX227" s="126">
        <f t="shared" si="459"/>
        <v>2.3538293807927371</v>
      </c>
      <c r="AY227" s="126">
        <f t="shared" si="459"/>
        <v>2.4074966906748112</v>
      </c>
      <c r="AZ227" s="126">
        <f t="shared" si="459"/>
        <v>2.4623876152221968</v>
      </c>
      <c r="BA227" s="126">
        <f t="shared" si="459"/>
        <v>2.5185300528492629</v>
      </c>
      <c r="BB227" s="126">
        <f t="shared" si="459"/>
        <v>2.5759525380542261</v>
      </c>
      <c r="BC227" s="126">
        <f t="shared" si="459"/>
        <v>2.6346842559218624</v>
      </c>
      <c r="BD227" s="126">
        <f t="shared" si="459"/>
        <v>2.6947550569568808</v>
      </c>
    </row>
    <row r="228" spans="2:56">
      <c r="B228" s="6" t="str">
        <f t="shared" si="454"/>
        <v>Community nurses</v>
      </c>
      <c r="D228" s="126">
        <f t="shared" ref="D228:H228" si="460">INDEX($C179:$AG179, MATCH(D$224, $C$175:$AG$175))*E228</f>
        <v>0.86414452553641208</v>
      </c>
      <c r="E228" s="126">
        <f t="shared" si="460"/>
        <v>0.88430671872330346</v>
      </c>
      <c r="F228" s="126">
        <f t="shared" si="460"/>
        <v>0.90493933557439987</v>
      </c>
      <c r="G228" s="126">
        <f t="shared" si="460"/>
        <v>0.92605335199999994</v>
      </c>
      <c r="H228" s="126">
        <f t="shared" si="460"/>
        <v>0.94765999999999995</v>
      </c>
      <c r="I228" s="126">
        <f t="shared" si="452"/>
        <v>0.98</v>
      </c>
      <c r="K228" s="123">
        <v>1</v>
      </c>
      <c r="M228" s="126">
        <f t="shared" si="456"/>
        <v>1.016</v>
      </c>
      <c r="N228" s="126">
        <f t="shared" ref="N228:BD228" si="461">INDEX($C179:$BC179, MATCH(N$224, $C$175:$BC$175,0))*M228</f>
        <v>1.0454639999999999</v>
      </c>
      <c r="O228" s="126">
        <f t="shared" si="461"/>
        <v>1.0693005791999999</v>
      </c>
      <c r="P228" s="126">
        <f t="shared" si="461"/>
        <v>1.0936806324057597</v>
      </c>
      <c r="Q228" s="126">
        <f t="shared" si="461"/>
        <v>1.1186165508246111</v>
      </c>
      <c r="R228" s="126">
        <f t="shared" si="461"/>
        <v>1.1441210081834121</v>
      </c>
      <c r="S228" s="126">
        <f t="shared" si="461"/>
        <v>1.1702069671699937</v>
      </c>
      <c r="T228" s="126">
        <f t="shared" si="461"/>
        <v>1.1968876860214694</v>
      </c>
      <c r="U228" s="126">
        <f t="shared" si="461"/>
        <v>1.2241767252627589</v>
      </c>
      <c r="V228" s="126">
        <f t="shared" si="461"/>
        <v>1.2520879545987498</v>
      </c>
      <c r="W228" s="126">
        <f t="shared" si="461"/>
        <v>1.2806355599636012</v>
      </c>
      <c r="X228" s="126">
        <f t="shared" si="461"/>
        <v>1.3098340507307713</v>
      </c>
      <c r="Y228" s="126">
        <f t="shared" si="461"/>
        <v>1.3396982670874329</v>
      </c>
      <c r="Z228" s="126">
        <f t="shared" si="461"/>
        <v>1.3702433875770264</v>
      </c>
      <c r="AA228" s="126">
        <f t="shared" si="461"/>
        <v>1.4014849368137825</v>
      </c>
      <c r="AB228" s="126">
        <f t="shared" si="461"/>
        <v>1.4334387933731367</v>
      </c>
      <c r="AC228" s="126">
        <f t="shared" si="461"/>
        <v>1.4661211978620441</v>
      </c>
      <c r="AD228" s="126">
        <f t="shared" si="461"/>
        <v>1.4995487611732985</v>
      </c>
      <c r="AE228" s="126">
        <f t="shared" si="461"/>
        <v>1.5337384729280497</v>
      </c>
      <c r="AF228" s="126">
        <f t="shared" si="461"/>
        <v>1.5687077101108091</v>
      </c>
      <c r="AG228" s="126">
        <f t="shared" si="461"/>
        <v>1.6044742459013355</v>
      </c>
      <c r="AH228" s="126">
        <f t="shared" si="461"/>
        <v>1.6410562587078859</v>
      </c>
      <c r="AI228" s="126">
        <f t="shared" si="461"/>
        <v>1.6784723414064255</v>
      </c>
      <c r="AJ228" s="126">
        <f t="shared" si="461"/>
        <v>1.716741510790492</v>
      </c>
      <c r="AK228" s="126">
        <f t="shared" si="461"/>
        <v>1.7558832172365151</v>
      </c>
      <c r="AL228" s="126">
        <f t="shared" si="461"/>
        <v>1.7959173545895075</v>
      </c>
      <c r="AM228" s="126">
        <f t="shared" si="461"/>
        <v>1.8368642702741482</v>
      </c>
      <c r="AN228" s="126">
        <f t="shared" si="461"/>
        <v>1.8787447756363986</v>
      </c>
      <c r="AO228" s="126">
        <f t="shared" si="461"/>
        <v>1.9215801565209083</v>
      </c>
      <c r="AP228" s="126">
        <f t="shared" si="461"/>
        <v>1.9653921840895849</v>
      </c>
      <c r="AQ228" s="126">
        <f t="shared" si="461"/>
        <v>2.0102031258868274</v>
      </c>
      <c r="AR228" s="126">
        <f t="shared" si="461"/>
        <v>2.0560357571570469</v>
      </c>
      <c r="AS228" s="126">
        <f t="shared" si="461"/>
        <v>2.1029133724202276</v>
      </c>
      <c r="AT228" s="126">
        <f t="shared" si="461"/>
        <v>2.1508597973114085</v>
      </c>
      <c r="AU228" s="126">
        <f t="shared" si="461"/>
        <v>2.1998994006901085</v>
      </c>
      <c r="AV228" s="126">
        <f t="shared" si="461"/>
        <v>2.2500571070258428</v>
      </c>
      <c r="AW228" s="126">
        <f t="shared" si="461"/>
        <v>2.3013584090660317</v>
      </c>
      <c r="AX228" s="126">
        <f t="shared" si="461"/>
        <v>2.3538293807927371</v>
      </c>
      <c r="AY228" s="126">
        <f t="shared" si="461"/>
        <v>2.4074966906748112</v>
      </c>
      <c r="AZ228" s="126">
        <f t="shared" si="461"/>
        <v>2.4623876152221968</v>
      </c>
      <c r="BA228" s="126">
        <f t="shared" si="461"/>
        <v>2.5185300528492629</v>
      </c>
      <c r="BB228" s="126">
        <f t="shared" si="461"/>
        <v>2.5759525380542261</v>
      </c>
      <c r="BC228" s="126">
        <f t="shared" si="461"/>
        <v>2.6346842559218624</v>
      </c>
      <c r="BD228" s="126">
        <f t="shared" si="461"/>
        <v>2.6947550569568808</v>
      </c>
    </row>
    <row r="229" spans="2:56">
      <c r="B229" s="6" t="str">
        <f t="shared" si="454"/>
        <v>Practice nurses</v>
      </c>
      <c r="D229" s="126">
        <f t="shared" ref="D229:H229" si="462">INDEX($C180:$AG180, MATCH(D$224, $C$175:$AG$175))*E229</f>
        <v>0.86414452553641208</v>
      </c>
      <c r="E229" s="126">
        <f t="shared" si="462"/>
        <v>0.88430671872330346</v>
      </c>
      <c r="F229" s="126">
        <f t="shared" si="462"/>
        <v>0.90493933557439987</v>
      </c>
      <c r="G229" s="126">
        <f t="shared" si="462"/>
        <v>0.92605335199999994</v>
      </c>
      <c r="H229" s="126">
        <f t="shared" si="462"/>
        <v>0.94765999999999995</v>
      </c>
      <c r="I229" s="126">
        <f t="shared" si="452"/>
        <v>0.98</v>
      </c>
      <c r="K229" s="123">
        <v>1</v>
      </c>
      <c r="M229" s="126">
        <f t="shared" si="456"/>
        <v>1.016</v>
      </c>
      <c r="N229" s="126">
        <f t="shared" ref="N229:BD229" si="463">INDEX($C180:$BC180, MATCH(N$224, $C$175:$BC$175,0))*M229</f>
        <v>1.0454639999999999</v>
      </c>
      <c r="O229" s="126">
        <f t="shared" si="463"/>
        <v>1.0693005791999999</v>
      </c>
      <c r="P229" s="126">
        <f t="shared" si="463"/>
        <v>1.0936806324057597</v>
      </c>
      <c r="Q229" s="126">
        <f t="shared" si="463"/>
        <v>1.1186165508246111</v>
      </c>
      <c r="R229" s="126">
        <f t="shared" si="463"/>
        <v>1.1441210081834121</v>
      </c>
      <c r="S229" s="126">
        <f t="shared" si="463"/>
        <v>1.1702069671699937</v>
      </c>
      <c r="T229" s="126">
        <f t="shared" si="463"/>
        <v>1.1968876860214694</v>
      </c>
      <c r="U229" s="126">
        <f t="shared" si="463"/>
        <v>1.2241767252627589</v>
      </c>
      <c r="V229" s="126">
        <f t="shared" si="463"/>
        <v>1.2520879545987498</v>
      </c>
      <c r="W229" s="126">
        <f t="shared" si="463"/>
        <v>1.2806355599636012</v>
      </c>
      <c r="X229" s="126">
        <f t="shared" si="463"/>
        <v>1.3098340507307713</v>
      </c>
      <c r="Y229" s="126">
        <f t="shared" si="463"/>
        <v>1.3396982670874329</v>
      </c>
      <c r="Z229" s="126">
        <f t="shared" si="463"/>
        <v>1.3702433875770264</v>
      </c>
      <c r="AA229" s="126">
        <f t="shared" si="463"/>
        <v>1.4014849368137825</v>
      </c>
      <c r="AB229" s="126">
        <f t="shared" si="463"/>
        <v>1.4334387933731367</v>
      </c>
      <c r="AC229" s="126">
        <f t="shared" si="463"/>
        <v>1.4661211978620441</v>
      </c>
      <c r="AD229" s="126">
        <f t="shared" si="463"/>
        <v>1.4995487611732985</v>
      </c>
      <c r="AE229" s="126">
        <f t="shared" si="463"/>
        <v>1.5337384729280497</v>
      </c>
      <c r="AF229" s="126">
        <f t="shared" si="463"/>
        <v>1.5687077101108091</v>
      </c>
      <c r="AG229" s="126">
        <f t="shared" si="463"/>
        <v>1.6044742459013355</v>
      </c>
      <c r="AH229" s="126">
        <f t="shared" si="463"/>
        <v>1.6410562587078859</v>
      </c>
      <c r="AI229" s="126">
        <f t="shared" si="463"/>
        <v>1.6784723414064255</v>
      </c>
      <c r="AJ229" s="126">
        <f t="shared" si="463"/>
        <v>1.716741510790492</v>
      </c>
      <c r="AK229" s="126">
        <f t="shared" si="463"/>
        <v>1.7558832172365151</v>
      </c>
      <c r="AL229" s="126">
        <f t="shared" si="463"/>
        <v>1.7959173545895075</v>
      </c>
      <c r="AM229" s="126">
        <f t="shared" si="463"/>
        <v>1.8368642702741482</v>
      </c>
      <c r="AN229" s="126">
        <f t="shared" si="463"/>
        <v>1.8787447756363986</v>
      </c>
      <c r="AO229" s="126">
        <f t="shared" si="463"/>
        <v>1.9215801565209083</v>
      </c>
      <c r="AP229" s="126">
        <f t="shared" si="463"/>
        <v>1.9653921840895849</v>
      </c>
      <c r="AQ229" s="126">
        <f t="shared" si="463"/>
        <v>2.0102031258868274</v>
      </c>
      <c r="AR229" s="126">
        <f t="shared" si="463"/>
        <v>2.0560357571570469</v>
      </c>
      <c r="AS229" s="126">
        <f t="shared" si="463"/>
        <v>2.1029133724202276</v>
      </c>
      <c r="AT229" s="126">
        <f t="shared" si="463"/>
        <v>2.1508597973114085</v>
      </c>
      <c r="AU229" s="126">
        <f t="shared" si="463"/>
        <v>2.1998994006901085</v>
      </c>
      <c r="AV229" s="126">
        <f t="shared" si="463"/>
        <v>2.2500571070258428</v>
      </c>
      <c r="AW229" s="126">
        <f t="shared" si="463"/>
        <v>2.3013584090660317</v>
      </c>
      <c r="AX229" s="126">
        <f t="shared" si="463"/>
        <v>2.3538293807927371</v>
      </c>
      <c r="AY229" s="126">
        <f t="shared" si="463"/>
        <v>2.4074966906748112</v>
      </c>
      <c r="AZ229" s="126">
        <f t="shared" si="463"/>
        <v>2.4623876152221968</v>
      </c>
      <c r="BA229" s="126">
        <f t="shared" si="463"/>
        <v>2.5185300528492629</v>
      </c>
      <c r="BB229" s="126">
        <f t="shared" si="463"/>
        <v>2.5759525380542261</v>
      </c>
      <c r="BC229" s="126">
        <f t="shared" si="463"/>
        <v>2.6346842559218624</v>
      </c>
      <c r="BD229" s="126">
        <f t="shared" si="463"/>
        <v>2.6947550569568808</v>
      </c>
    </row>
    <row r="230" spans="2:56">
      <c r="B230" s="6" t="str">
        <f t="shared" si="454"/>
        <v>GP visits</v>
      </c>
      <c r="D230" s="126">
        <f t="shared" ref="D230:H230" si="464">INDEX($C181:$AG181, MATCH(D$224, $C$175:$AG$175))*E230</f>
        <v>0.86414452553641208</v>
      </c>
      <c r="E230" s="126">
        <f t="shared" si="464"/>
        <v>0.88430671872330346</v>
      </c>
      <c r="F230" s="126">
        <f t="shared" si="464"/>
        <v>0.90493933557439987</v>
      </c>
      <c r="G230" s="126">
        <f t="shared" si="464"/>
        <v>0.92605335199999994</v>
      </c>
      <c r="H230" s="126">
        <f t="shared" si="464"/>
        <v>0.94765999999999995</v>
      </c>
      <c r="I230" s="126">
        <f t="shared" si="452"/>
        <v>0.98</v>
      </c>
      <c r="K230" s="123">
        <v>1</v>
      </c>
      <c r="M230" s="126">
        <f t="shared" si="456"/>
        <v>1.016</v>
      </c>
      <c r="N230" s="126">
        <f t="shared" ref="N230:BD230" si="465">INDEX($C181:$BC181, MATCH(N$224, $C$175:$BC$175,0))*M230</f>
        <v>1.0454639999999999</v>
      </c>
      <c r="O230" s="126">
        <f t="shared" si="465"/>
        <v>1.0693005791999999</v>
      </c>
      <c r="P230" s="126">
        <f t="shared" si="465"/>
        <v>1.0936806324057597</v>
      </c>
      <c r="Q230" s="126">
        <f t="shared" si="465"/>
        <v>1.1186165508246111</v>
      </c>
      <c r="R230" s="126">
        <f t="shared" si="465"/>
        <v>1.1441210081834121</v>
      </c>
      <c r="S230" s="126">
        <f t="shared" si="465"/>
        <v>1.1702069671699937</v>
      </c>
      <c r="T230" s="126">
        <f t="shared" si="465"/>
        <v>1.1968876860214694</v>
      </c>
      <c r="U230" s="126">
        <f t="shared" si="465"/>
        <v>1.2241767252627589</v>
      </c>
      <c r="V230" s="126">
        <f t="shared" si="465"/>
        <v>1.2520879545987498</v>
      </c>
      <c r="W230" s="126">
        <f t="shared" si="465"/>
        <v>1.2806355599636012</v>
      </c>
      <c r="X230" s="126">
        <f t="shared" si="465"/>
        <v>1.3098340507307713</v>
      </c>
      <c r="Y230" s="126">
        <f t="shared" si="465"/>
        <v>1.3396982670874329</v>
      </c>
      <c r="Z230" s="126">
        <f t="shared" si="465"/>
        <v>1.3702433875770264</v>
      </c>
      <c r="AA230" s="126">
        <f t="shared" si="465"/>
        <v>1.4014849368137825</v>
      </c>
      <c r="AB230" s="126">
        <f t="shared" si="465"/>
        <v>1.4334387933731367</v>
      </c>
      <c r="AC230" s="126">
        <f t="shared" si="465"/>
        <v>1.4661211978620441</v>
      </c>
      <c r="AD230" s="126">
        <f t="shared" si="465"/>
        <v>1.4995487611732985</v>
      </c>
      <c r="AE230" s="126">
        <f t="shared" si="465"/>
        <v>1.5337384729280497</v>
      </c>
      <c r="AF230" s="126">
        <f t="shared" si="465"/>
        <v>1.5687077101108091</v>
      </c>
      <c r="AG230" s="126">
        <f t="shared" si="465"/>
        <v>1.6044742459013355</v>
      </c>
      <c r="AH230" s="126">
        <f t="shared" si="465"/>
        <v>1.6410562587078859</v>
      </c>
      <c r="AI230" s="126">
        <f t="shared" si="465"/>
        <v>1.6784723414064255</v>
      </c>
      <c r="AJ230" s="126">
        <f t="shared" si="465"/>
        <v>1.716741510790492</v>
      </c>
      <c r="AK230" s="126">
        <f t="shared" si="465"/>
        <v>1.7558832172365151</v>
      </c>
      <c r="AL230" s="126">
        <f t="shared" si="465"/>
        <v>1.7959173545895075</v>
      </c>
      <c r="AM230" s="126">
        <f t="shared" si="465"/>
        <v>1.8368642702741482</v>
      </c>
      <c r="AN230" s="126">
        <f t="shared" si="465"/>
        <v>1.8787447756363986</v>
      </c>
      <c r="AO230" s="126">
        <f t="shared" si="465"/>
        <v>1.9215801565209083</v>
      </c>
      <c r="AP230" s="126">
        <f t="shared" si="465"/>
        <v>1.9653921840895849</v>
      </c>
      <c r="AQ230" s="126">
        <f t="shared" si="465"/>
        <v>2.0102031258868274</v>
      </c>
      <c r="AR230" s="126">
        <f t="shared" si="465"/>
        <v>2.0560357571570469</v>
      </c>
      <c r="AS230" s="126">
        <f t="shared" si="465"/>
        <v>2.1029133724202276</v>
      </c>
      <c r="AT230" s="126">
        <f t="shared" si="465"/>
        <v>2.1508597973114085</v>
      </c>
      <c r="AU230" s="126">
        <f t="shared" si="465"/>
        <v>2.1998994006901085</v>
      </c>
      <c r="AV230" s="126">
        <f t="shared" si="465"/>
        <v>2.2500571070258428</v>
      </c>
      <c r="AW230" s="126">
        <f t="shared" si="465"/>
        <v>2.3013584090660317</v>
      </c>
      <c r="AX230" s="126">
        <f t="shared" si="465"/>
        <v>2.3538293807927371</v>
      </c>
      <c r="AY230" s="126">
        <f t="shared" si="465"/>
        <v>2.4074966906748112</v>
      </c>
      <c r="AZ230" s="126">
        <f t="shared" si="465"/>
        <v>2.4623876152221968</v>
      </c>
      <c r="BA230" s="126">
        <f t="shared" si="465"/>
        <v>2.5185300528492629</v>
      </c>
      <c r="BB230" s="126">
        <f t="shared" si="465"/>
        <v>2.5759525380542261</v>
      </c>
      <c r="BC230" s="126">
        <f t="shared" si="465"/>
        <v>2.6346842559218624</v>
      </c>
      <c r="BD230" s="126">
        <f t="shared" si="465"/>
        <v>2.6947550569568808</v>
      </c>
    </row>
    <row r="231" spans="2:56">
      <c r="B231" s="6" t="str">
        <f t="shared" si="454"/>
        <v>Hospital admissions</v>
      </c>
      <c r="D231" s="126">
        <f t="shared" ref="D231:H231" si="466">INDEX($C182:$AG182, MATCH(D$224, $C$175:$AG$175))*E231</f>
        <v>0.89400723846022712</v>
      </c>
      <c r="E231" s="126">
        <f t="shared" si="466"/>
        <v>0.91132236336414596</v>
      </c>
      <c r="F231" s="126">
        <f t="shared" si="466"/>
        <v>0.92897284746599995</v>
      </c>
      <c r="G231" s="126">
        <f t="shared" si="466"/>
        <v>0.94696518600000001</v>
      </c>
      <c r="H231" s="126">
        <f t="shared" si="466"/>
        <v>0.965306</v>
      </c>
      <c r="I231" s="126">
        <f t="shared" si="452"/>
        <v>0.98199999999999998</v>
      </c>
      <c r="K231" s="123">
        <v>1</v>
      </c>
      <c r="M231" s="126">
        <f t="shared" si="456"/>
        <v>1.0189999999999999</v>
      </c>
      <c r="N231" s="126">
        <f t="shared" ref="N231:BD231" si="467">INDEX($C182:$BC182, MATCH(N$224, $C$175:$BC$175,0))*M231</f>
        <v>1.03938</v>
      </c>
      <c r="O231" s="126">
        <f t="shared" si="467"/>
        <v>1.0591282199999998</v>
      </c>
      <c r="P231" s="126">
        <f t="shared" si="467"/>
        <v>1.0792516561799996</v>
      </c>
      <c r="Q231" s="126">
        <f t="shared" si="467"/>
        <v>1.0997574376474195</v>
      </c>
      <c r="R231" s="126">
        <f t="shared" si="467"/>
        <v>1.1206528289627204</v>
      </c>
      <c r="S231" s="126">
        <f t="shared" si="467"/>
        <v>1.141945232713012</v>
      </c>
      <c r="T231" s="126">
        <f t="shared" si="467"/>
        <v>1.163642192134559</v>
      </c>
      <c r="U231" s="126">
        <f t="shared" si="467"/>
        <v>1.1857513937851154</v>
      </c>
      <c r="V231" s="126">
        <f t="shared" si="467"/>
        <v>1.2082806702670326</v>
      </c>
      <c r="W231" s="126">
        <f t="shared" si="467"/>
        <v>1.2312380030021062</v>
      </c>
      <c r="X231" s="126">
        <f t="shared" si="467"/>
        <v>1.254631525059146</v>
      </c>
      <c r="Y231" s="126">
        <f t="shared" si="467"/>
        <v>1.2784695240352697</v>
      </c>
      <c r="Z231" s="126">
        <f t="shared" si="467"/>
        <v>1.3027604449919397</v>
      </c>
      <c r="AA231" s="126">
        <f t="shared" si="467"/>
        <v>1.3275128934467864</v>
      </c>
      <c r="AB231" s="126">
        <f t="shared" si="467"/>
        <v>1.3527356384222751</v>
      </c>
      <c r="AC231" s="126">
        <f t="shared" si="467"/>
        <v>1.3784376155522982</v>
      </c>
      <c r="AD231" s="126">
        <f t="shared" si="467"/>
        <v>1.4046279302477918</v>
      </c>
      <c r="AE231" s="126">
        <f t="shared" si="467"/>
        <v>1.4313158609224996</v>
      </c>
      <c r="AF231" s="126">
        <f t="shared" si="467"/>
        <v>1.4585108622800269</v>
      </c>
      <c r="AG231" s="126">
        <f t="shared" si="467"/>
        <v>1.4862225686633472</v>
      </c>
      <c r="AH231" s="126">
        <f t="shared" si="467"/>
        <v>1.5144607974679507</v>
      </c>
      <c r="AI231" s="126">
        <f t="shared" si="467"/>
        <v>1.5432355526198416</v>
      </c>
      <c r="AJ231" s="126">
        <f t="shared" si="467"/>
        <v>1.5725570281196184</v>
      </c>
      <c r="AK231" s="126">
        <f t="shared" si="467"/>
        <v>1.6024356116538909</v>
      </c>
      <c r="AL231" s="126">
        <f t="shared" si="467"/>
        <v>1.6328818882753147</v>
      </c>
      <c r="AM231" s="126">
        <f t="shared" si="467"/>
        <v>1.6639066441525454</v>
      </c>
      <c r="AN231" s="126">
        <f t="shared" si="467"/>
        <v>1.6955208703914437</v>
      </c>
      <c r="AO231" s="126">
        <f t="shared" si="467"/>
        <v>1.7277357669288811</v>
      </c>
      <c r="AP231" s="126">
        <f t="shared" si="467"/>
        <v>1.7605627465005296</v>
      </c>
      <c r="AQ231" s="126">
        <f t="shared" si="467"/>
        <v>1.7940134386840394</v>
      </c>
      <c r="AR231" s="126">
        <f t="shared" si="467"/>
        <v>1.8280996940190359</v>
      </c>
      <c r="AS231" s="126">
        <f t="shared" si="467"/>
        <v>1.8628335882053975</v>
      </c>
      <c r="AT231" s="126">
        <f t="shared" si="467"/>
        <v>1.8982274263812999</v>
      </c>
      <c r="AU231" s="126">
        <f t="shared" si="467"/>
        <v>1.9342937474825443</v>
      </c>
      <c r="AV231" s="126">
        <f t="shared" si="467"/>
        <v>1.9710453286847125</v>
      </c>
      <c r="AW231" s="126">
        <f t="shared" si="467"/>
        <v>2.0084951899297216</v>
      </c>
      <c r="AX231" s="126">
        <f t="shared" si="467"/>
        <v>2.046656598538386</v>
      </c>
      <c r="AY231" s="126">
        <f t="shared" si="467"/>
        <v>2.0855430739106153</v>
      </c>
      <c r="AZ231" s="126">
        <f t="shared" si="467"/>
        <v>2.1251683923149169</v>
      </c>
      <c r="BA231" s="126">
        <f t="shared" si="467"/>
        <v>2.1655465917689001</v>
      </c>
      <c r="BB231" s="126">
        <f t="shared" si="467"/>
        <v>2.2066919770125089</v>
      </c>
      <c r="BC231" s="126">
        <f t="shared" si="467"/>
        <v>2.2486191245757463</v>
      </c>
      <c r="BD231" s="126">
        <f t="shared" si="467"/>
        <v>2.2913428879426854</v>
      </c>
    </row>
    <row r="232" spans="2:56">
      <c r="B232" s="6" t="str">
        <f t="shared" si="454"/>
        <v>Hospital outpatient visits</v>
      </c>
      <c r="D232" s="126">
        <f t="shared" ref="D232:H232" si="468">INDEX($C183:$AG183, MATCH(D$224, $C$175:$AG$175))*E232</f>
        <v>0.86414452553641208</v>
      </c>
      <c r="E232" s="126">
        <f t="shared" si="468"/>
        <v>0.88430671872330346</v>
      </c>
      <c r="F232" s="126">
        <f t="shared" si="468"/>
        <v>0.90493933557439987</v>
      </c>
      <c r="G232" s="126">
        <f t="shared" si="468"/>
        <v>0.92605335199999994</v>
      </c>
      <c r="H232" s="126">
        <f t="shared" si="468"/>
        <v>0.94765999999999995</v>
      </c>
      <c r="I232" s="126">
        <f t="shared" si="452"/>
        <v>0.98</v>
      </c>
      <c r="K232" s="123">
        <v>1</v>
      </c>
      <c r="M232" s="126">
        <f t="shared" si="456"/>
        <v>1.016</v>
      </c>
      <c r="N232" s="126">
        <f t="shared" ref="N232:BD232" si="469">INDEX($C183:$BC183, MATCH(N$224, $C$175:$BC$175,0))*M232</f>
        <v>1.0454639999999999</v>
      </c>
      <c r="O232" s="126">
        <f t="shared" si="469"/>
        <v>1.0693005791999999</v>
      </c>
      <c r="P232" s="126">
        <f t="shared" si="469"/>
        <v>1.0936806324057597</v>
      </c>
      <c r="Q232" s="126">
        <f t="shared" si="469"/>
        <v>1.1186165508246111</v>
      </c>
      <c r="R232" s="126">
        <f t="shared" si="469"/>
        <v>1.1441210081834121</v>
      </c>
      <c r="S232" s="126">
        <f t="shared" si="469"/>
        <v>1.1702069671699937</v>
      </c>
      <c r="T232" s="126">
        <f t="shared" si="469"/>
        <v>1.1968876860214694</v>
      </c>
      <c r="U232" s="126">
        <f t="shared" si="469"/>
        <v>1.2241767252627589</v>
      </c>
      <c r="V232" s="126">
        <f t="shared" si="469"/>
        <v>1.2520879545987498</v>
      </c>
      <c r="W232" s="126">
        <f t="shared" si="469"/>
        <v>1.2806355599636012</v>
      </c>
      <c r="X232" s="126">
        <f t="shared" si="469"/>
        <v>1.3098340507307713</v>
      </c>
      <c r="Y232" s="126">
        <f t="shared" si="469"/>
        <v>1.3396982670874329</v>
      </c>
      <c r="Z232" s="126">
        <f t="shared" si="469"/>
        <v>1.3702433875770264</v>
      </c>
      <c r="AA232" s="126">
        <f t="shared" si="469"/>
        <v>1.4014849368137825</v>
      </c>
      <c r="AB232" s="126">
        <f t="shared" si="469"/>
        <v>1.4334387933731367</v>
      </c>
      <c r="AC232" s="126">
        <f t="shared" si="469"/>
        <v>1.4661211978620441</v>
      </c>
      <c r="AD232" s="126">
        <f t="shared" si="469"/>
        <v>1.4995487611732985</v>
      </c>
      <c r="AE232" s="126">
        <f t="shared" si="469"/>
        <v>1.5337384729280497</v>
      </c>
      <c r="AF232" s="126">
        <f t="shared" si="469"/>
        <v>1.5687077101108091</v>
      </c>
      <c r="AG232" s="126">
        <f t="shared" si="469"/>
        <v>1.6044742459013355</v>
      </c>
      <c r="AH232" s="126">
        <f t="shared" si="469"/>
        <v>1.6410562587078859</v>
      </c>
      <c r="AI232" s="126">
        <f t="shared" si="469"/>
        <v>1.6784723414064255</v>
      </c>
      <c r="AJ232" s="126">
        <f t="shared" si="469"/>
        <v>1.716741510790492</v>
      </c>
      <c r="AK232" s="126">
        <f t="shared" si="469"/>
        <v>1.7558832172365151</v>
      </c>
      <c r="AL232" s="126">
        <f t="shared" si="469"/>
        <v>1.7959173545895075</v>
      </c>
      <c r="AM232" s="126">
        <f t="shared" si="469"/>
        <v>1.8368642702741482</v>
      </c>
      <c r="AN232" s="126">
        <f t="shared" si="469"/>
        <v>1.8787447756363986</v>
      </c>
      <c r="AO232" s="126">
        <f t="shared" si="469"/>
        <v>1.9215801565209083</v>
      </c>
      <c r="AP232" s="126">
        <f t="shared" si="469"/>
        <v>1.9653921840895849</v>
      </c>
      <c r="AQ232" s="126">
        <f t="shared" si="469"/>
        <v>2.0102031258868274</v>
      </c>
      <c r="AR232" s="126">
        <f t="shared" si="469"/>
        <v>2.0560357571570469</v>
      </c>
      <c r="AS232" s="126">
        <f t="shared" si="469"/>
        <v>2.1029133724202276</v>
      </c>
      <c r="AT232" s="126">
        <f t="shared" si="469"/>
        <v>2.1508597973114085</v>
      </c>
      <c r="AU232" s="126">
        <f t="shared" si="469"/>
        <v>2.1998994006901085</v>
      </c>
      <c r="AV232" s="126">
        <f t="shared" si="469"/>
        <v>2.2500571070258428</v>
      </c>
      <c r="AW232" s="126">
        <f t="shared" si="469"/>
        <v>2.3013584090660317</v>
      </c>
      <c r="AX232" s="126">
        <f t="shared" si="469"/>
        <v>2.3538293807927371</v>
      </c>
      <c r="AY232" s="126">
        <f t="shared" si="469"/>
        <v>2.4074966906748112</v>
      </c>
      <c r="AZ232" s="126">
        <f t="shared" si="469"/>
        <v>2.4623876152221968</v>
      </c>
      <c r="BA232" s="126">
        <f t="shared" si="469"/>
        <v>2.5185300528492629</v>
      </c>
      <c r="BB232" s="126">
        <f t="shared" si="469"/>
        <v>2.5759525380542261</v>
      </c>
      <c r="BC232" s="126">
        <f t="shared" si="469"/>
        <v>2.6346842559218624</v>
      </c>
      <c r="BD232" s="126">
        <f t="shared" si="469"/>
        <v>2.6947550569568808</v>
      </c>
    </row>
    <row r="233" spans="2:56">
      <c r="B233" s="6" t="str">
        <f t="shared" si="454"/>
        <v>Laboratory tests</v>
      </c>
      <c r="D233" s="126">
        <f t="shared" ref="D233:H233" si="470">INDEX($C184:$AG184, MATCH(D$224, $C$175:$AG$175))*E233</f>
        <v>0.89400723846022712</v>
      </c>
      <c r="E233" s="126">
        <f t="shared" si="470"/>
        <v>0.91132236336414596</v>
      </c>
      <c r="F233" s="126">
        <f t="shared" si="470"/>
        <v>0.92897284746599995</v>
      </c>
      <c r="G233" s="126">
        <f t="shared" si="470"/>
        <v>0.94696518600000001</v>
      </c>
      <c r="H233" s="126">
        <f t="shared" si="470"/>
        <v>0.965306</v>
      </c>
      <c r="I233" s="126">
        <f t="shared" si="452"/>
        <v>0.98199999999999998</v>
      </c>
      <c r="K233" s="123">
        <v>1</v>
      </c>
      <c r="M233" s="126">
        <f t="shared" si="456"/>
        <v>1.0189999999999999</v>
      </c>
      <c r="N233" s="126">
        <f t="shared" ref="N233:BD233" si="471">INDEX($C184:$BC184, MATCH(N$224, $C$175:$BC$175,0))*M233</f>
        <v>1.03938</v>
      </c>
      <c r="O233" s="126">
        <f t="shared" si="471"/>
        <v>1.0591282199999998</v>
      </c>
      <c r="P233" s="126">
        <f t="shared" si="471"/>
        <v>1.0792516561799996</v>
      </c>
      <c r="Q233" s="126">
        <f t="shared" si="471"/>
        <v>1.0997574376474195</v>
      </c>
      <c r="R233" s="126">
        <f t="shared" si="471"/>
        <v>1.1206528289627204</v>
      </c>
      <c r="S233" s="126">
        <f t="shared" si="471"/>
        <v>1.141945232713012</v>
      </c>
      <c r="T233" s="126">
        <f t="shared" si="471"/>
        <v>1.163642192134559</v>
      </c>
      <c r="U233" s="126">
        <f t="shared" si="471"/>
        <v>1.1857513937851154</v>
      </c>
      <c r="V233" s="126">
        <f t="shared" si="471"/>
        <v>1.2082806702670326</v>
      </c>
      <c r="W233" s="126">
        <f t="shared" si="471"/>
        <v>1.2312380030021062</v>
      </c>
      <c r="X233" s="126">
        <f t="shared" si="471"/>
        <v>1.254631525059146</v>
      </c>
      <c r="Y233" s="126">
        <f t="shared" si="471"/>
        <v>1.2784695240352697</v>
      </c>
      <c r="Z233" s="126">
        <f t="shared" si="471"/>
        <v>1.3027604449919397</v>
      </c>
      <c r="AA233" s="126">
        <f t="shared" si="471"/>
        <v>1.3275128934467864</v>
      </c>
      <c r="AB233" s="126">
        <f t="shared" si="471"/>
        <v>1.3527356384222751</v>
      </c>
      <c r="AC233" s="126">
        <f t="shared" si="471"/>
        <v>1.3784376155522982</v>
      </c>
      <c r="AD233" s="126">
        <f t="shared" si="471"/>
        <v>1.4046279302477918</v>
      </c>
      <c r="AE233" s="126">
        <f t="shared" si="471"/>
        <v>1.4313158609224996</v>
      </c>
      <c r="AF233" s="126">
        <f t="shared" si="471"/>
        <v>1.4585108622800269</v>
      </c>
      <c r="AG233" s="126">
        <f t="shared" si="471"/>
        <v>1.4862225686633472</v>
      </c>
      <c r="AH233" s="126">
        <f t="shared" si="471"/>
        <v>1.5144607974679507</v>
      </c>
      <c r="AI233" s="126">
        <f t="shared" si="471"/>
        <v>1.5432355526198416</v>
      </c>
      <c r="AJ233" s="126">
        <f t="shared" si="471"/>
        <v>1.5725570281196184</v>
      </c>
      <c r="AK233" s="126">
        <f t="shared" si="471"/>
        <v>1.6024356116538909</v>
      </c>
      <c r="AL233" s="126">
        <f t="shared" si="471"/>
        <v>1.6328818882753147</v>
      </c>
      <c r="AM233" s="126">
        <f t="shared" si="471"/>
        <v>1.6639066441525454</v>
      </c>
      <c r="AN233" s="126">
        <f t="shared" si="471"/>
        <v>1.6955208703914437</v>
      </c>
      <c r="AO233" s="126">
        <f t="shared" si="471"/>
        <v>1.7277357669288811</v>
      </c>
      <c r="AP233" s="126">
        <f t="shared" si="471"/>
        <v>1.7605627465005296</v>
      </c>
      <c r="AQ233" s="126">
        <f t="shared" si="471"/>
        <v>1.7940134386840394</v>
      </c>
      <c r="AR233" s="126">
        <f t="shared" si="471"/>
        <v>1.8280996940190359</v>
      </c>
      <c r="AS233" s="126">
        <f t="shared" si="471"/>
        <v>1.8628335882053975</v>
      </c>
      <c r="AT233" s="126">
        <f t="shared" si="471"/>
        <v>1.8982274263812999</v>
      </c>
      <c r="AU233" s="126">
        <f t="shared" si="471"/>
        <v>1.9342937474825443</v>
      </c>
      <c r="AV233" s="126">
        <f t="shared" si="471"/>
        <v>1.9710453286847125</v>
      </c>
      <c r="AW233" s="126">
        <f t="shared" si="471"/>
        <v>2.0084951899297216</v>
      </c>
      <c r="AX233" s="126">
        <f t="shared" si="471"/>
        <v>2.046656598538386</v>
      </c>
      <c r="AY233" s="126">
        <f t="shared" si="471"/>
        <v>2.0855430739106153</v>
      </c>
      <c r="AZ233" s="126">
        <f t="shared" si="471"/>
        <v>2.1251683923149169</v>
      </c>
      <c r="BA233" s="126">
        <f t="shared" si="471"/>
        <v>2.1655465917689001</v>
      </c>
      <c r="BB233" s="126">
        <f t="shared" si="471"/>
        <v>2.2066919770125089</v>
      </c>
      <c r="BC233" s="126">
        <f t="shared" si="471"/>
        <v>2.2486191245757463</v>
      </c>
      <c r="BD233" s="126">
        <f t="shared" si="471"/>
        <v>2.2913428879426854</v>
      </c>
    </row>
    <row r="234" spans="2:56">
      <c r="B234" s="6" t="str">
        <f t="shared" si="454"/>
        <v>Physiotherapist visits</v>
      </c>
      <c r="D234" s="126">
        <f t="shared" ref="D234:H234" si="472">INDEX($C185:$AG185, MATCH(D$224, $C$175:$AG$175))*E234</f>
        <v>0.86414452553641208</v>
      </c>
      <c r="E234" s="126">
        <f t="shared" si="472"/>
        <v>0.88430671872330346</v>
      </c>
      <c r="F234" s="126">
        <f t="shared" si="472"/>
        <v>0.90493933557439987</v>
      </c>
      <c r="G234" s="126">
        <f t="shared" si="472"/>
        <v>0.92605335199999994</v>
      </c>
      <c r="H234" s="126">
        <f t="shared" si="472"/>
        <v>0.94765999999999995</v>
      </c>
      <c r="I234" s="126">
        <f t="shared" si="452"/>
        <v>0.98</v>
      </c>
      <c r="K234" s="123">
        <v>1</v>
      </c>
      <c r="M234" s="126">
        <f t="shared" si="456"/>
        <v>1.016</v>
      </c>
      <c r="N234" s="126">
        <f t="shared" ref="N234:BD234" si="473">INDEX($C185:$BC185, MATCH(N$224, $C$175:$BC$175,0))*M234</f>
        <v>1.0454639999999999</v>
      </c>
      <c r="O234" s="126">
        <f t="shared" si="473"/>
        <v>1.0693005791999999</v>
      </c>
      <c r="P234" s="126">
        <f t="shared" si="473"/>
        <v>1.0936806324057597</v>
      </c>
      <c r="Q234" s="126">
        <f t="shared" si="473"/>
        <v>1.1186165508246111</v>
      </c>
      <c r="R234" s="126">
        <f t="shared" si="473"/>
        <v>1.1441210081834121</v>
      </c>
      <c r="S234" s="126">
        <f t="shared" si="473"/>
        <v>1.1702069671699937</v>
      </c>
      <c r="T234" s="126">
        <f t="shared" si="473"/>
        <v>1.1968876860214694</v>
      </c>
      <c r="U234" s="126">
        <f t="shared" si="473"/>
        <v>1.2241767252627589</v>
      </c>
      <c r="V234" s="126">
        <f t="shared" si="473"/>
        <v>1.2520879545987498</v>
      </c>
      <c r="W234" s="126">
        <f t="shared" si="473"/>
        <v>1.2806355599636012</v>
      </c>
      <c r="X234" s="126">
        <f t="shared" si="473"/>
        <v>1.3098340507307713</v>
      </c>
      <c r="Y234" s="126">
        <f t="shared" si="473"/>
        <v>1.3396982670874329</v>
      </c>
      <c r="Z234" s="126">
        <f t="shared" si="473"/>
        <v>1.3702433875770264</v>
      </c>
      <c r="AA234" s="126">
        <f t="shared" si="473"/>
        <v>1.4014849368137825</v>
      </c>
      <c r="AB234" s="126">
        <f t="shared" si="473"/>
        <v>1.4334387933731367</v>
      </c>
      <c r="AC234" s="126">
        <f t="shared" si="473"/>
        <v>1.4661211978620441</v>
      </c>
      <c r="AD234" s="126">
        <f t="shared" si="473"/>
        <v>1.4995487611732985</v>
      </c>
      <c r="AE234" s="126">
        <f t="shared" si="473"/>
        <v>1.5337384729280497</v>
      </c>
      <c r="AF234" s="126">
        <f t="shared" si="473"/>
        <v>1.5687077101108091</v>
      </c>
      <c r="AG234" s="126">
        <f t="shared" si="473"/>
        <v>1.6044742459013355</v>
      </c>
      <c r="AH234" s="126">
        <f t="shared" si="473"/>
        <v>1.6410562587078859</v>
      </c>
      <c r="AI234" s="126">
        <f t="shared" si="473"/>
        <v>1.6784723414064255</v>
      </c>
      <c r="AJ234" s="126">
        <f t="shared" si="473"/>
        <v>1.716741510790492</v>
      </c>
      <c r="AK234" s="126">
        <f t="shared" si="473"/>
        <v>1.7558832172365151</v>
      </c>
      <c r="AL234" s="126">
        <f t="shared" si="473"/>
        <v>1.7959173545895075</v>
      </c>
      <c r="AM234" s="126">
        <f t="shared" si="473"/>
        <v>1.8368642702741482</v>
      </c>
      <c r="AN234" s="126">
        <f t="shared" si="473"/>
        <v>1.8787447756363986</v>
      </c>
      <c r="AO234" s="126">
        <f t="shared" si="473"/>
        <v>1.9215801565209083</v>
      </c>
      <c r="AP234" s="126">
        <f t="shared" si="473"/>
        <v>1.9653921840895849</v>
      </c>
      <c r="AQ234" s="126">
        <f t="shared" si="473"/>
        <v>2.0102031258868274</v>
      </c>
      <c r="AR234" s="126">
        <f t="shared" si="473"/>
        <v>2.0560357571570469</v>
      </c>
      <c r="AS234" s="126">
        <f t="shared" si="473"/>
        <v>2.1029133724202276</v>
      </c>
      <c r="AT234" s="126">
        <f t="shared" si="473"/>
        <v>2.1508597973114085</v>
      </c>
      <c r="AU234" s="126">
        <f t="shared" si="473"/>
        <v>2.1998994006901085</v>
      </c>
      <c r="AV234" s="126">
        <f t="shared" si="473"/>
        <v>2.2500571070258428</v>
      </c>
      <c r="AW234" s="126">
        <f t="shared" si="473"/>
        <v>2.3013584090660317</v>
      </c>
      <c r="AX234" s="126">
        <f t="shared" si="473"/>
        <v>2.3538293807927371</v>
      </c>
      <c r="AY234" s="126">
        <f t="shared" si="473"/>
        <v>2.4074966906748112</v>
      </c>
      <c r="AZ234" s="126">
        <f t="shared" si="473"/>
        <v>2.4623876152221968</v>
      </c>
      <c r="BA234" s="126">
        <f t="shared" si="473"/>
        <v>2.5185300528492629</v>
      </c>
      <c r="BB234" s="126">
        <f t="shared" si="473"/>
        <v>2.5759525380542261</v>
      </c>
      <c r="BC234" s="126">
        <f t="shared" si="473"/>
        <v>2.6346842559218624</v>
      </c>
      <c r="BD234" s="126">
        <f t="shared" si="473"/>
        <v>2.6947550569568808</v>
      </c>
    </row>
    <row r="235" spans="2:56">
      <c r="B235" s="6" t="str">
        <f t="shared" si="454"/>
        <v>Podiatrist visits</v>
      </c>
      <c r="D235" s="126">
        <f t="shared" ref="D235:H235" si="474">INDEX($C186:$AG186, MATCH(D$224, $C$175:$AG$175))*E235</f>
        <v>0.86414452553641208</v>
      </c>
      <c r="E235" s="126">
        <f t="shared" si="474"/>
        <v>0.88430671872330346</v>
      </c>
      <c r="F235" s="126">
        <f t="shared" si="474"/>
        <v>0.90493933557439987</v>
      </c>
      <c r="G235" s="126">
        <f t="shared" si="474"/>
        <v>0.92605335199999994</v>
      </c>
      <c r="H235" s="126">
        <f t="shared" si="474"/>
        <v>0.94765999999999995</v>
      </c>
      <c r="I235" s="126">
        <f t="shared" si="452"/>
        <v>0.98</v>
      </c>
      <c r="K235" s="123">
        <v>1</v>
      </c>
      <c r="M235" s="126">
        <f t="shared" si="456"/>
        <v>1.016</v>
      </c>
      <c r="N235" s="126">
        <f t="shared" ref="N235:BD235" si="475">INDEX($C186:$BC186, MATCH(N$224, $C$175:$BC$175,0))*M235</f>
        <v>1.0454639999999999</v>
      </c>
      <c r="O235" s="126">
        <f t="shared" si="475"/>
        <v>1.0693005791999999</v>
      </c>
      <c r="P235" s="126">
        <f t="shared" si="475"/>
        <v>1.0936806324057597</v>
      </c>
      <c r="Q235" s="126">
        <f t="shared" si="475"/>
        <v>1.1186165508246111</v>
      </c>
      <c r="R235" s="126">
        <f t="shared" si="475"/>
        <v>1.1441210081834121</v>
      </c>
      <c r="S235" s="126">
        <f t="shared" si="475"/>
        <v>1.1702069671699937</v>
      </c>
      <c r="T235" s="126">
        <f t="shared" si="475"/>
        <v>1.1968876860214694</v>
      </c>
      <c r="U235" s="126">
        <f t="shared" si="475"/>
        <v>1.2241767252627589</v>
      </c>
      <c r="V235" s="126">
        <f t="shared" si="475"/>
        <v>1.2520879545987498</v>
      </c>
      <c r="W235" s="126">
        <f t="shared" si="475"/>
        <v>1.2806355599636012</v>
      </c>
      <c r="X235" s="126">
        <f t="shared" si="475"/>
        <v>1.3098340507307713</v>
      </c>
      <c r="Y235" s="126">
        <f t="shared" si="475"/>
        <v>1.3396982670874329</v>
      </c>
      <c r="Z235" s="126">
        <f t="shared" si="475"/>
        <v>1.3702433875770264</v>
      </c>
      <c r="AA235" s="126">
        <f t="shared" si="475"/>
        <v>1.4014849368137825</v>
      </c>
      <c r="AB235" s="126">
        <f t="shared" si="475"/>
        <v>1.4334387933731367</v>
      </c>
      <c r="AC235" s="126">
        <f t="shared" si="475"/>
        <v>1.4661211978620441</v>
      </c>
      <c r="AD235" s="126">
        <f t="shared" si="475"/>
        <v>1.4995487611732985</v>
      </c>
      <c r="AE235" s="126">
        <f t="shared" si="475"/>
        <v>1.5337384729280497</v>
      </c>
      <c r="AF235" s="126">
        <f t="shared" si="475"/>
        <v>1.5687077101108091</v>
      </c>
      <c r="AG235" s="126">
        <f t="shared" si="475"/>
        <v>1.6044742459013355</v>
      </c>
      <c r="AH235" s="126">
        <f t="shared" si="475"/>
        <v>1.6410562587078859</v>
      </c>
      <c r="AI235" s="126">
        <f t="shared" si="475"/>
        <v>1.6784723414064255</v>
      </c>
      <c r="AJ235" s="126">
        <f t="shared" si="475"/>
        <v>1.716741510790492</v>
      </c>
      <c r="AK235" s="126">
        <f t="shared" si="475"/>
        <v>1.7558832172365151</v>
      </c>
      <c r="AL235" s="126">
        <f t="shared" si="475"/>
        <v>1.7959173545895075</v>
      </c>
      <c r="AM235" s="126">
        <f t="shared" si="475"/>
        <v>1.8368642702741482</v>
      </c>
      <c r="AN235" s="126">
        <f t="shared" si="475"/>
        <v>1.8787447756363986</v>
      </c>
      <c r="AO235" s="126">
        <f t="shared" si="475"/>
        <v>1.9215801565209083</v>
      </c>
      <c r="AP235" s="126">
        <f t="shared" si="475"/>
        <v>1.9653921840895849</v>
      </c>
      <c r="AQ235" s="126">
        <f t="shared" si="475"/>
        <v>2.0102031258868274</v>
      </c>
      <c r="AR235" s="126">
        <f t="shared" si="475"/>
        <v>2.0560357571570469</v>
      </c>
      <c r="AS235" s="126">
        <f t="shared" si="475"/>
        <v>2.1029133724202276</v>
      </c>
      <c r="AT235" s="126">
        <f t="shared" si="475"/>
        <v>2.1508597973114085</v>
      </c>
      <c r="AU235" s="126">
        <f t="shared" si="475"/>
        <v>2.1998994006901085</v>
      </c>
      <c r="AV235" s="126">
        <f t="shared" si="475"/>
        <v>2.2500571070258428</v>
      </c>
      <c r="AW235" s="126">
        <f t="shared" si="475"/>
        <v>2.3013584090660317</v>
      </c>
      <c r="AX235" s="126">
        <f t="shared" si="475"/>
        <v>2.3538293807927371</v>
      </c>
      <c r="AY235" s="126">
        <f t="shared" si="475"/>
        <v>2.4074966906748112</v>
      </c>
      <c r="AZ235" s="126">
        <f t="shared" si="475"/>
        <v>2.4623876152221968</v>
      </c>
      <c r="BA235" s="126">
        <f t="shared" si="475"/>
        <v>2.5185300528492629</v>
      </c>
      <c r="BB235" s="126">
        <f t="shared" si="475"/>
        <v>2.5759525380542261</v>
      </c>
      <c r="BC235" s="126">
        <f t="shared" si="475"/>
        <v>2.6346842559218624</v>
      </c>
      <c r="BD235" s="126">
        <f t="shared" si="475"/>
        <v>2.6947550569568808</v>
      </c>
    </row>
    <row r="236" spans="2:56">
      <c r="B236" s="6" t="str">
        <f t="shared" si="454"/>
        <v>Practice nurse visits</v>
      </c>
      <c r="D236" s="126">
        <f t="shared" ref="D236:H236" si="476">INDEX($C187:$AG187, MATCH(D$224, $C$175:$AG$175))*E236</f>
        <v>0.86414452553641208</v>
      </c>
      <c r="E236" s="126">
        <f t="shared" si="476"/>
        <v>0.88430671872330346</v>
      </c>
      <c r="F236" s="126">
        <f t="shared" si="476"/>
        <v>0.90493933557439987</v>
      </c>
      <c r="G236" s="126">
        <f t="shared" si="476"/>
        <v>0.92605335199999994</v>
      </c>
      <c r="H236" s="126">
        <f t="shared" si="476"/>
        <v>0.94765999999999995</v>
      </c>
      <c r="I236" s="126">
        <f t="shared" si="452"/>
        <v>0.98</v>
      </c>
      <c r="K236" s="123">
        <v>1</v>
      </c>
      <c r="M236" s="126">
        <f t="shared" si="456"/>
        <v>1.016</v>
      </c>
      <c r="N236" s="126">
        <f t="shared" ref="N236:BD236" si="477">INDEX($C187:$BC187, MATCH(N$224, $C$175:$BC$175,0))*M236</f>
        <v>1.0454639999999999</v>
      </c>
      <c r="O236" s="126">
        <f t="shared" si="477"/>
        <v>1.0693005791999999</v>
      </c>
      <c r="P236" s="126">
        <f t="shared" si="477"/>
        <v>1.0936806324057597</v>
      </c>
      <c r="Q236" s="126">
        <f t="shared" si="477"/>
        <v>1.1186165508246111</v>
      </c>
      <c r="R236" s="126">
        <f t="shared" si="477"/>
        <v>1.1441210081834121</v>
      </c>
      <c r="S236" s="126">
        <f t="shared" si="477"/>
        <v>1.1702069671699937</v>
      </c>
      <c r="T236" s="126">
        <f t="shared" si="477"/>
        <v>1.1968876860214694</v>
      </c>
      <c r="U236" s="126">
        <f t="shared" si="477"/>
        <v>1.2241767252627589</v>
      </c>
      <c r="V236" s="126">
        <f t="shared" si="477"/>
        <v>1.2520879545987498</v>
      </c>
      <c r="W236" s="126">
        <f t="shared" si="477"/>
        <v>1.2806355599636012</v>
      </c>
      <c r="X236" s="126">
        <f t="shared" si="477"/>
        <v>1.3098340507307713</v>
      </c>
      <c r="Y236" s="126">
        <f t="shared" si="477"/>
        <v>1.3396982670874329</v>
      </c>
      <c r="Z236" s="126">
        <f t="shared" si="477"/>
        <v>1.3702433875770264</v>
      </c>
      <c r="AA236" s="126">
        <f t="shared" si="477"/>
        <v>1.4014849368137825</v>
      </c>
      <c r="AB236" s="126">
        <f t="shared" si="477"/>
        <v>1.4334387933731367</v>
      </c>
      <c r="AC236" s="126">
        <f t="shared" si="477"/>
        <v>1.4661211978620441</v>
      </c>
      <c r="AD236" s="126">
        <f t="shared" si="477"/>
        <v>1.4995487611732985</v>
      </c>
      <c r="AE236" s="126">
        <f t="shared" si="477"/>
        <v>1.5337384729280497</v>
      </c>
      <c r="AF236" s="126">
        <f t="shared" si="477"/>
        <v>1.5687077101108091</v>
      </c>
      <c r="AG236" s="126">
        <f t="shared" si="477"/>
        <v>1.6044742459013355</v>
      </c>
      <c r="AH236" s="126">
        <f t="shared" si="477"/>
        <v>1.6410562587078859</v>
      </c>
      <c r="AI236" s="126">
        <f t="shared" si="477"/>
        <v>1.6784723414064255</v>
      </c>
      <c r="AJ236" s="126">
        <f t="shared" si="477"/>
        <v>1.716741510790492</v>
      </c>
      <c r="AK236" s="126">
        <f t="shared" si="477"/>
        <v>1.7558832172365151</v>
      </c>
      <c r="AL236" s="126">
        <f t="shared" si="477"/>
        <v>1.7959173545895075</v>
      </c>
      <c r="AM236" s="126">
        <f t="shared" si="477"/>
        <v>1.8368642702741482</v>
      </c>
      <c r="AN236" s="126">
        <f t="shared" si="477"/>
        <v>1.8787447756363986</v>
      </c>
      <c r="AO236" s="126">
        <f t="shared" si="477"/>
        <v>1.9215801565209083</v>
      </c>
      <c r="AP236" s="126">
        <f t="shared" si="477"/>
        <v>1.9653921840895849</v>
      </c>
      <c r="AQ236" s="126">
        <f t="shared" si="477"/>
        <v>2.0102031258868274</v>
      </c>
      <c r="AR236" s="126">
        <f t="shared" si="477"/>
        <v>2.0560357571570469</v>
      </c>
      <c r="AS236" s="126">
        <f t="shared" si="477"/>
        <v>2.1029133724202276</v>
      </c>
      <c r="AT236" s="126">
        <f t="shared" si="477"/>
        <v>2.1508597973114085</v>
      </c>
      <c r="AU236" s="126">
        <f t="shared" si="477"/>
        <v>2.1998994006901085</v>
      </c>
      <c r="AV236" s="126">
        <f t="shared" si="477"/>
        <v>2.2500571070258428</v>
      </c>
      <c r="AW236" s="126">
        <f t="shared" si="477"/>
        <v>2.3013584090660317</v>
      </c>
      <c r="AX236" s="126">
        <f t="shared" si="477"/>
        <v>2.3538293807927371</v>
      </c>
      <c r="AY236" s="126">
        <f t="shared" si="477"/>
        <v>2.4074966906748112</v>
      </c>
      <c r="AZ236" s="126">
        <f t="shared" si="477"/>
        <v>2.4623876152221968</v>
      </c>
      <c r="BA236" s="126">
        <f t="shared" si="477"/>
        <v>2.5185300528492629</v>
      </c>
      <c r="BB236" s="126">
        <f t="shared" si="477"/>
        <v>2.5759525380542261</v>
      </c>
      <c r="BC236" s="126">
        <f t="shared" si="477"/>
        <v>2.6346842559218624</v>
      </c>
      <c r="BD236" s="126">
        <f t="shared" si="477"/>
        <v>2.6947550569568808</v>
      </c>
    </row>
    <row r="237" spans="2:56">
      <c r="B237" s="6" t="str">
        <f t="shared" si="454"/>
        <v>Prescriptions for analgesics</v>
      </c>
      <c r="D237" s="126">
        <f t="shared" ref="D237:H237" si="478">INDEX($C188:$AG188, MATCH(D$224, $C$175:$AG$175))*E237</f>
        <v>0.76802686638997386</v>
      </c>
      <c r="E237" s="126">
        <f t="shared" si="478"/>
        <v>0.80153085617822362</v>
      </c>
      <c r="F237" s="126">
        <f t="shared" si="478"/>
        <v>0.83649640594679986</v>
      </c>
      <c r="G237" s="126">
        <f t="shared" si="478"/>
        <v>0.87298727399999987</v>
      </c>
      <c r="H237" s="126">
        <f t="shared" si="478"/>
        <v>0.91106999999999994</v>
      </c>
      <c r="I237" s="126">
        <f t="shared" si="452"/>
        <v>0.95399999999999996</v>
      </c>
      <c r="K237" s="123">
        <v>1</v>
      </c>
      <c r="M237" s="126">
        <f t="shared" si="456"/>
        <v>1.0409999999999999</v>
      </c>
      <c r="N237" s="126">
        <f t="shared" ref="N237:BD237" si="479">INDEX($C188:$BC188, MATCH(N$224, $C$175:$BC$175,0))*M237</f>
        <v>1.0836809999999999</v>
      </c>
      <c r="O237" s="126">
        <f t="shared" si="479"/>
        <v>1.1289788658</v>
      </c>
      <c r="P237" s="126">
        <f t="shared" si="479"/>
        <v>1.17617018239044</v>
      </c>
      <c r="Q237" s="126">
        <f t="shared" si="479"/>
        <v>1.2253340960143604</v>
      </c>
      <c r="R237" s="126">
        <f t="shared" si="479"/>
        <v>1.2765530612277607</v>
      </c>
      <c r="S237" s="126">
        <f t="shared" si="479"/>
        <v>1.3299129791870812</v>
      </c>
      <c r="T237" s="126">
        <f t="shared" si="479"/>
        <v>1.3855033417171012</v>
      </c>
      <c r="U237" s="126">
        <f t="shared" si="479"/>
        <v>1.4434173814008762</v>
      </c>
      <c r="V237" s="126">
        <f t="shared" si="479"/>
        <v>1.5037522279434328</v>
      </c>
      <c r="W237" s="126">
        <f t="shared" si="479"/>
        <v>1.5666090710714684</v>
      </c>
      <c r="X237" s="126">
        <f t="shared" si="479"/>
        <v>1.6320933302422558</v>
      </c>
      <c r="Y237" s="126">
        <f t="shared" si="479"/>
        <v>1.7003148314463821</v>
      </c>
      <c r="Z237" s="126">
        <f t="shared" si="479"/>
        <v>1.771387991400841</v>
      </c>
      <c r="AA237" s="126">
        <f t="shared" si="479"/>
        <v>1.8454320094413963</v>
      </c>
      <c r="AB237" s="126">
        <f t="shared" si="479"/>
        <v>1.9225710674360468</v>
      </c>
      <c r="AC237" s="126">
        <f t="shared" si="479"/>
        <v>2.0029345380548738</v>
      </c>
      <c r="AD237" s="126">
        <f t="shared" si="479"/>
        <v>2.0866572017455676</v>
      </c>
      <c r="AE237" s="126">
        <f t="shared" si="479"/>
        <v>2.1738794727785322</v>
      </c>
      <c r="AF237" s="126">
        <f t="shared" si="479"/>
        <v>2.264747634740675</v>
      </c>
      <c r="AG237" s="126">
        <f t="shared" si="479"/>
        <v>2.3594140858728352</v>
      </c>
      <c r="AH237" s="126">
        <f t="shared" si="479"/>
        <v>2.4580375946623199</v>
      </c>
      <c r="AI237" s="126">
        <f t="shared" si="479"/>
        <v>2.5607835661192051</v>
      </c>
      <c r="AJ237" s="126">
        <f t="shared" si="479"/>
        <v>2.667824319182988</v>
      </c>
      <c r="AK237" s="126">
        <f t="shared" si="479"/>
        <v>2.7793393757248372</v>
      </c>
      <c r="AL237" s="126">
        <f t="shared" si="479"/>
        <v>2.8955157616301355</v>
      </c>
      <c r="AM237" s="126">
        <f t="shared" si="479"/>
        <v>3.0165483204662751</v>
      </c>
      <c r="AN237" s="126">
        <f t="shared" si="479"/>
        <v>3.1426400402617656</v>
      </c>
      <c r="AO237" s="126">
        <f t="shared" si="479"/>
        <v>3.2740023939447074</v>
      </c>
      <c r="AP237" s="126">
        <f t="shared" si="479"/>
        <v>3.4108556940115964</v>
      </c>
      <c r="AQ237" s="126">
        <f t="shared" si="479"/>
        <v>3.5534294620212812</v>
      </c>
      <c r="AR237" s="126">
        <f t="shared" si="479"/>
        <v>3.701962813533771</v>
      </c>
      <c r="AS237" s="126">
        <f t="shared" si="479"/>
        <v>3.8567048591394828</v>
      </c>
      <c r="AT237" s="126">
        <f t="shared" si="479"/>
        <v>4.0179151222515133</v>
      </c>
      <c r="AU237" s="126">
        <f t="shared" si="479"/>
        <v>4.1858639743616264</v>
      </c>
      <c r="AV237" s="126">
        <f t="shared" si="479"/>
        <v>4.3608330884899429</v>
      </c>
      <c r="AW237" s="126">
        <f t="shared" si="479"/>
        <v>4.5431159115888224</v>
      </c>
      <c r="AX237" s="126">
        <f t="shared" si="479"/>
        <v>4.7330181566932357</v>
      </c>
      <c r="AY237" s="126">
        <f t="shared" si="479"/>
        <v>4.9308583156430128</v>
      </c>
      <c r="AZ237" s="126">
        <f t="shared" si="479"/>
        <v>5.1369681932368909</v>
      </c>
      <c r="BA237" s="126">
        <f t="shared" si="479"/>
        <v>5.3516934637141933</v>
      </c>
      <c r="BB237" s="126">
        <f t="shared" si="479"/>
        <v>5.575394250497447</v>
      </c>
      <c r="BC237" s="126">
        <f t="shared" si="479"/>
        <v>5.8084457301682404</v>
      </c>
      <c r="BD237" s="126">
        <f t="shared" si="479"/>
        <v>6.0512387616892731</v>
      </c>
    </row>
    <row r="238" spans="2:56">
      <c r="B238" s="6" t="str">
        <f t="shared" si="454"/>
        <v>Prescriptions for anti-infectives</v>
      </c>
      <c r="D238" s="126">
        <f t="shared" ref="D238:H238" si="480">INDEX($C189:$AG189, MATCH(D$224, $C$175:$AG$175))*E238</f>
        <v>0.76802686638997386</v>
      </c>
      <c r="E238" s="126">
        <f t="shared" si="480"/>
        <v>0.80153085617822362</v>
      </c>
      <c r="F238" s="126">
        <f t="shared" si="480"/>
        <v>0.83649640594679986</v>
      </c>
      <c r="G238" s="126">
        <f t="shared" si="480"/>
        <v>0.87298727399999987</v>
      </c>
      <c r="H238" s="126">
        <f t="shared" si="480"/>
        <v>0.91106999999999994</v>
      </c>
      <c r="I238" s="126">
        <f t="shared" si="452"/>
        <v>0.95399999999999996</v>
      </c>
      <c r="K238" s="123">
        <v>1</v>
      </c>
      <c r="M238" s="126">
        <f t="shared" si="456"/>
        <v>1.0409999999999999</v>
      </c>
      <c r="N238" s="126">
        <f t="shared" ref="N238:BD238" si="481">INDEX($C189:$BC189, MATCH(N$224, $C$175:$BC$175,0))*M238</f>
        <v>1.0836809999999999</v>
      </c>
      <c r="O238" s="126">
        <f t="shared" si="481"/>
        <v>1.1289788658</v>
      </c>
      <c r="P238" s="126">
        <f t="shared" si="481"/>
        <v>1.17617018239044</v>
      </c>
      <c r="Q238" s="126">
        <f t="shared" si="481"/>
        <v>1.2253340960143604</v>
      </c>
      <c r="R238" s="126">
        <f t="shared" si="481"/>
        <v>1.2765530612277607</v>
      </c>
      <c r="S238" s="126">
        <f t="shared" si="481"/>
        <v>1.3299129791870812</v>
      </c>
      <c r="T238" s="126">
        <f t="shared" si="481"/>
        <v>1.3855033417171012</v>
      </c>
      <c r="U238" s="126">
        <f t="shared" si="481"/>
        <v>1.4434173814008762</v>
      </c>
      <c r="V238" s="126">
        <f t="shared" si="481"/>
        <v>1.5037522279434328</v>
      </c>
      <c r="W238" s="126">
        <f t="shared" si="481"/>
        <v>1.5666090710714684</v>
      </c>
      <c r="X238" s="126">
        <f t="shared" si="481"/>
        <v>1.6320933302422558</v>
      </c>
      <c r="Y238" s="126">
        <f t="shared" si="481"/>
        <v>1.7003148314463821</v>
      </c>
      <c r="Z238" s="126">
        <f t="shared" si="481"/>
        <v>1.771387991400841</v>
      </c>
      <c r="AA238" s="126">
        <f t="shared" si="481"/>
        <v>1.8454320094413963</v>
      </c>
      <c r="AB238" s="126">
        <f t="shared" si="481"/>
        <v>1.9225710674360468</v>
      </c>
      <c r="AC238" s="126">
        <f t="shared" si="481"/>
        <v>2.0029345380548738</v>
      </c>
      <c r="AD238" s="126">
        <f t="shared" si="481"/>
        <v>2.0866572017455676</v>
      </c>
      <c r="AE238" s="126">
        <f t="shared" si="481"/>
        <v>2.1738794727785322</v>
      </c>
      <c r="AF238" s="126">
        <f t="shared" si="481"/>
        <v>2.264747634740675</v>
      </c>
      <c r="AG238" s="126">
        <f t="shared" si="481"/>
        <v>2.3594140858728352</v>
      </c>
      <c r="AH238" s="126">
        <f t="shared" si="481"/>
        <v>2.4580375946623199</v>
      </c>
      <c r="AI238" s="126">
        <f t="shared" si="481"/>
        <v>2.5607835661192051</v>
      </c>
      <c r="AJ238" s="126">
        <f t="shared" si="481"/>
        <v>2.667824319182988</v>
      </c>
      <c r="AK238" s="126">
        <f t="shared" si="481"/>
        <v>2.7793393757248372</v>
      </c>
      <c r="AL238" s="126">
        <f t="shared" si="481"/>
        <v>2.8955157616301355</v>
      </c>
      <c r="AM238" s="126">
        <f t="shared" si="481"/>
        <v>3.0165483204662751</v>
      </c>
      <c r="AN238" s="126">
        <f t="shared" si="481"/>
        <v>3.1426400402617656</v>
      </c>
      <c r="AO238" s="126">
        <f t="shared" si="481"/>
        <v>3.2740023939447074</v>
      </c>
      <c r="AP238" s="126">
        <f t="shared" si="481"/>
        <v>3.4108556940115964</v>
      </c>
      <c r="AQ238" s="126">
        <f t="shared" si="481"/>
        <v>3.5534294620212812</v>
      </c>
      <c r="AR238" s="126">
        <f t="shared" si="481"/>
        <v>3.701962813533771</v>
      </c>
      <c r="AS238" s="126">
        <f t="shared" si="481"/>
        <v>3.8567048591394828</v>
      </c>
      <c r="AT238" s="126">
        <f t="shared" si="481"/>
        <v>4.0179151222515133</v>
      </c>
      <c r="AU238" s="126">
        <f t="shared" si="481"/>
        <v>4.1858639743616264</v>
      </c>
      <c r="AV238" s="126">
        <f t="shared" si="481"/>
        <v>4.3608330884899429</v>
      </c>
      <c r="AW238" s="126">
        <f t="shared" si="481"/>
        <v>4.5431159115888224</v>
      </c>
      <c r="AX238" s="126">
        <f t="shared" si="481"/>
        <v>4.7330181566932357</v>
      </c>
      <c r="AY238" s="126">
        <f t="shared" si="481"/>
        <v>4.9308583156430128</v>
      </c>
      <c r="AZ238" s="126">
        <f t="shared" si="481"/>
        <v>5.1369681932368909</v>
      </c>
      <c r="BA238" s="126">
        <f t="shared" si="481"/>
        <v>5.3516934637141933</v>
      </c>
      <c r="BB238" s="126">
        <f t="shared" si="481"/>
        <v>5.575394250497447</v>
      </c>
      <c r="BC238" s="126">
        <f t="shared" si="481"/>
        <v>5.8084457301682404</v>
      </c>
      <c r="BD238" s="126">
        <f t="shared" si="481"/>
        <v>6.0512387616892731</v>
      </c>
    </row>
    <row r="239" spans="2:56">
      <c r="B239" s="6" t="str">
        <f t="shared" si="454"/>
        <v>Neuroleptics</v>
      </c>
      <c r="D239" s="126">
        <f t="shared" ref="D239:H239" si="482">INDEX($C190:$AG190, MATCH(D$224, $C$175:$AG$175))*E239</f>
        <v>0.76802686638997386</v>
      </c>
      <c r="E239" s="126">
        <f t="shared" si="482"/>
        <v>0.80153085617822362</v>
      </c>
      <c r="F239" s="126">
        <f t="shared" si="482"/>
        <v>0.83649640594679986</v>
      </c>
      <c r="G239" s="126">
        <f t="shared" si="482"/>
        <v>0.87298727399999987</v>
      </c>
      <c r="H239" s="126">
        <f t="shared" si="482"/>
        <v>0.91106999999999994</v>
      </c>
      <c r="I239" s="126">
        <f t="shared" si="452"/>
        <v>0.95399999999999996</v>
      </c>
      <c r="K239" s="123">
        <v>1</v>
      </c>
      <c r="M239" s="126">
        <f t="shared" si="456"/>
        <v>1.0409999999999999</v>
      </c>
      <c r="N239" s="126">
        <f t="shared" ref="N239:BD239" si="483">INDEX($C190:$BC190, MATCH(N$224, $C$175:$BC$175,0))*M239</f>
        <v>1.0836809999999999</v>
      </c>
      <c r="O239" s="126">
        <f t="shared" si="483"/>
        <v>1.1289788658</v>
      </c>
      <c r="P239" s="126">
        <f t="shared" si="483"/>
        <v>1.17617018239044</v>
      </c>
      <c r="Q239" s="126">
        <f t="shared" si="483"/>
        <v>1.2253340960143604</v>
      </c>
      <c r="R239" s="126">
        <f t="shared" si="483"/>
        <v>1.2765530612277607</v>
      </c>
      <c r="S239" s="126">
        <f t="shared" si="483"/>
        <v>1.3299129791870812</v>
      </c>
      <c r="T239" s="126">
        <f t="shared" si="483"/>
        <v>1.3855033417171012</v>
      </c>
      <c r="U239" s="126">
        <f t="shared" si="483"/>
        <v>1.4434173814008762</v>
      </c>
      <c r="V239" s="126">
        <f t="shared" si="483"/>
        <v>1.5037522279434328</v>
      </c>
      <c r="W239" s="126">
        <f t="shared" si="483"/>
        <v>1.5666090710714684</v>
      </c>
      <c r="X239" s="126">
        <f t="shared" si="483"/>
        <v>1.6320933302422558</v>
      </c>
      <c r="Y239" s="126">
        <f t="shared" si="483"/>
        <v>1.7003148314463821</v>
      </c>
      <c r="Z239" s="126">
        <f t="shared" si="483"/>
        <v>1.771387991400841</v>
      </c>
      <c r="AA239" s="126">
        <f t="shared" si="483"/>
        <v>1.8454320094413963</v>
      </c>
      <c r="AB239" s="126">
        <f t="shared" si="483"/>
        <v>1.9225710674360468</v>
      </c>
      <c r="AC239" s="126">
        <f t="shared" si="483"/>
        <v>2.0029345380548738</v>
      </c>
      <c r="AD239" s="126">
        <f t="shared" si="483"/>
        <v>2.0866572017455676</v>
      </c>
      <c r="AE239" s="126">
        <f t="shared" si="483"/>
        <v>2.1738794727785322</v>
      </c>
      <c r="AF239" s="126">
        <f t="shared" si="483"/>
        <v>2.264747634740675</v>
      </c>
      <c r="AG239" s="126">
        <f t="shared" si="483"/>
        <v>2.3594140858728352</v>
      </c>
      <c r="AH239" s="126">
        <f t="shared" si="483"/>
        <v>2.4580375946623199</v>
      </c>
      <c r="AI239" s="126">
        <f t="shared" si="483"/>
        <v>2.5607835661192051</v>
      </c>
      <c r="AJ239" s="126">
        <f t="shared" si="483"/>
        <v>2.667824319182988</v>
      </c>
      <c r="AK239" s="126">
        <f t="shared" si="483"/>
        <v>2.7793393757248372</v>
      </c>
      <c r="AL239" s="126">
        <f t="shared" si="483"/>
        <v>2.8955157616301355</v>
      </c>
      <c r="AM239" s="126">
        <f t="shared" si="483"/>
        <v>3.0165483204662751</v>
      </c>
      <c r="AN239" s="126">
        <f t="shared" si="483"/>
        <v>3.1426400402617656</v>
      </c>
      <c r="AO239" s="126">
        <f t="shared" si="483"/>
        <v>3.2740023939447074</v>
      </c>
      <c r="AP239" s="126">
        <f t="shared" si="483"/>
        <v>3.4108556940115964</v>
      </c>
      <c r="AQ239" s="126">
        <f t="shared" si="483"/>
        <v>3.5534294620212812</v>
      </c>
      <c r="AR239" s="126">
        <f t="shared" si="483"/>
        <v>3.701962813533771</v>
      </c>
      <c r="AS239" s="126">
        <f t="shared" si="483"/>
        <v>3.8567048591394828</v>
      </c>
      <c r="AT239" s="126">
        <f t="shared" si="483"/>
        <v>4.0179151222515133</v>
      </c>
      <c r="AU239" s="126">
        <f t="shared" si="483"/>
        <v>4.1858639743616264</v>
      </c>
      <c r="AV239" s="126">
        <f t="shared" si="483"/>
        <v>4.3608330884899429</v>
      </c>
      <c r="AW239" s="126">
        <f t="shared" si="483"/>
        <v>4.5431159115888224</v>
      </c>
      <c r="AX239" s="126">
        <f t="shared" si="483"/>
        <v>4.7330181566932357</v>
      </c>
      <c r="AY239" s="126">
        <f t="shared" si="483"/>
        <v>4.9308583156430128</v>
      </c>
      <c r="AZ239" s="126">
        <f t="shared" si="483"/>
        <v>5.1369681932368909</v>
      </c>
      <c r="BA239" s="126">
        <f t="shared" si="483"/>
        <v>5.3516934637141933</v>
      </c>
      <c r="BB239" s="126">
        <f t="shared" si="483"/>
        <v>5.575394250497447</v>
      </c>
      <c r="BC239" s="126">
        <f t="shared" si="483"/>
        <v>5.8084457301682404</v>
      </c>
      <c r="BD239" s="126">
        <f t="shared" si="483"/>
        <v>6.0512387616892731</v>
      </c>
    </row>
    <row r="240" spans="2:56">
      <c r="B240" s="6" t="str">
        <f t="shared" si="454"/>
        <v>Absorbent dressing</v>
      </c>
      <c r="D240" s="126">
        <f t="shared" ref="D240:H240" si="484">INDEX($C191:$AG191, MATCH(D$224, $C$175:$AG$175))*E240</f>
        <v>0.89400723846022712</v>
      </c>
      <c r="E240" s="126">
        <f t="shared" si="484"/>
        <v>0.91132236336414596</v>
      </c>
      <c r="F240" s="126">
        <f t="shared" si="484"/>
        <v>0.92897284746599995</v>
      </c>
      <c r="G240" s="126">
        <f t="shared" si="484"/>
        <v>0.94696518600000001</v>
      </c>
      <c r="H240" s="126">
        <f t="shared" si="484"/>
        <v>0.965306</v>
      </c>
      <c r="I240" s="126">
        <f t="shared" si="452"/>
        <v>0.98199999999999998</v>
      </c>
      <c r="K240" s="123">
        <v>1</v>
      </c>
      <c r="M240" s="126">
        <f t="shared" si="456"/>
        <v>1.0189999999999999</v>
      </c>
      <c r="N240" s="126">
        <f t="shared" ref="N240:BD240" si="485">INDEX($C191:$BC191, MATCH(N$224, $C$175:$BC$175,0))*M240</f>
        <v>1.03938</v>
      </c>
      <c r="O240" s="126">
        <f t="shared" si="485"/>
        <v>1.0591282199999998</v>
      </c>
      <c r="P240" s="126">
        <f t="shared" si="485"/>
        <v>1.0792516561799996</v>
      </c>
      <c r="Q240" s="126">
        <f t="shared" si="485"/>
        <v>1.0997574376474195</v>
      </c>
      <c r="R240" s="126">
        <f t="shared" si="485"/>
        <v>1.1206528289627204</v>
      </c>
      <c r="S240" s="126">
        <f t="shared" si="485"/>
        <v>1.141945232713012</v>
      </c>
      <c r="T240" s="126">
        <f t="shared" si="485"/>
        <v>1.163642192134559</v>
      </c>
      <c r="U240" s="126">
        <f t="shared" si="485"/>
        <v>1.1857513937851154</v>
      </c>
      <c r="V240" s="126">
        <f t="shared" si="485"/>
        <v>1.2082806702670326</v>
      </c>
      <c r="W240" s="126">
        <f t="shared" si="485"/>
        <v>1.2312380030021062</v>
      </c>
      <c r="X240" s="126">
        <f t="shared" si="485"/>
        <v>1.254631525059146</v>
      </c>
      <c r="Y240" s="126">
        <f t="shared" si="485"/>
        <v>1.2784695240352697</v>
      </c>
      <c r="Z240" s="126">
        <f t="shared" si="485"/>
        <v>1.3027604449919397</v>
      </c>
      <c r="AA240" s="126">
        <f t="shared" si="485"/>
        <v>1.3275128934467864</v>
      </c>
      <c r="AB240" s="126">
        <f t="shared" si="485"/>
        <v>1.3527356384222751</v>
      </c>
      <c r="AC240" s="126">
        <f t="shared" si="485"/>
        <v>1.3784376155522982</v>
      </c>
      <c r="AD240" s="126">
        <f t="shared" si="485"/>
        <v>1.4046279302477918</v>
      </c>
      <c r="AE240" s="126">
        <f t="shared" si="485"/>
        <v>1.4313158609224996</v>
      </c>
      <c r="AF240" s="126">
        <f t="shared" si="485"/>
        <v>1.4585108622800269</v>
      </c>
      <c r="AG240" s="126">
        <f t="shared" si="485"/>
        <v>1.4862225686633472</v>
      </c>
      <c r="AH240" s="126">
        <f t="shared" si="485"/>
        <v>1.5144607974679507</v>
      </c>
      <c r="AI240" s="126">
        <f t="shared" si="485"/>
        <v>1.5432355526198416</v>
      </c>
      <c r="AJ240" s="126">
        <f t="shared" si="485"/>
        <v>1.5725570281196184</v>
      </c>
      <c r="AK240" s="126">
        <f t="shared" si="485"/>
        <v>1.6024356116538909</v>
      </c>
      <c r="AL240" s="126">
        <f t="shared" si="485"/>
        <v>1.6328818882753147</v>
      </c>
      <c r="AM240" s="126">
        <f t="shared" si="485"/>
        <v>1.6639066441525454</v>
      </c>
      <c r="AN240" s="126">
        <f t="shared" si="485"/>
        <v>1.6955208703914437</v>
      </c>
      <c r="AO240" s="126">
        <f t="shared" si="485"/>
        <v>1.7277357669288811</v>
      </c>
      <c r="AP240" s="126">
        <f t="shared" si="485"/>
        <v>1.7605627465005296</v>
      </c>
      <c r="AQ240" s="126">
        <f t="shared" si="485"/>
        <v>1.7940134386840394</v>
      </c>
      <c r="AR240" s="126">
        <f t="shared" si="485"/>
        <v>1.8280996940190359</v>
      </c>
      <c r="AS240" s="126">
        <f t="shared" si="485"/>
        <v>1.8628335882053975</v>
      </c>
      <c r="AT240" s="126">
        <f t="shared" si="485"/>
        <v>1.8982274263812999</v>
      </c>
      <c r="AU240" s="126">
        <f t="shared" si="485"/>
        <v>1.9342937474825443</v>
      </c>
      <c r="AV240" s="126">
        <f t="shared" si="485"/>
        <v>1.9710453286847125</v>
      </c>
      <c r="AW240" s="126">
        <f t="shared" si="485"/>
        <v>2.0084951899297216</v>
      </c>
      <c r="AX240" s="126">
        <f t="shared" si="485"/>
        <v>2.046656598538386</v>
      </c>
      <c r="AY240" s="126">
        <f t="shared" si="485"/>
        <v>2.0855430739106153</v>
      </c>
      <c r="AZ240" s="126">
        <f t="shared" si="485"/>
        <v>2.1251683923149169</v>
      </c>
      <c r="BA240" s="126">
        <f t="shared" si="485"/>
        <v>2.1655465917689001</v>
      </c>
      <c r="BB240" s="126">
        <f t="shared" si="485"/>
        <v>2.2066919770125089</v>
      </c>
      <c r="BC240" s="126">
        <f t="shared" si="485"/>
        <v>2.2486191245757463</v>
      </c>
      <c r="BD240" s="126">
        <f t="shared" si="485"/>
        <v>2.2913428879426854</v>
      </c>
    </row>
    <row r="241" spans="2:56">
      <c r="B241" s="6" t="str">
        <f t="shared" si="454"/>
        <v>Alginate dressing</v>
      </c>
      <c r="D241" s="126">
        <f t="shared" ref="D241:H241" si="486">INDEX($C192:$AG192, MATCH(D$224, $C$175:$AG$175))*E241</f>
        <v>0.89400723846022712</v>
      </c>
      <c r="E241" s="126">
        <f t="shared" si="486"/>
        <v>0.91132236336414596</v>
      </c>
      <c r="F241" s="126">
        <f t="shared" si="486"/>
        <v>0.92897284746599995</v>
      </c>
      <c r="G241" s="126">
        <f t="shared" si="486"/>
        <v>0.94696518600000001</v>
      </c>
      <c r="H241" s="126">
        <f t="shared" si="486"/>
        <v>0.965306</v>
      </c>
      <c r="I241" s="126">
        <f t="shared" si="452"/>
        <v>0.98199999999999998</v>
      </c>
      <c r="K241" s="123">
        <v>1</v>
      </c>
      <c r="M241" s="126">
        <f t="shared" si="456"/>
        <v>1.0189999999999999</v>
      </c>
      <c r="N241" s="126">
        <f t="shared" ref="N241:BD241" si="487">INDEX($C192:$BC192, MATCH(N$224, $C$175:$BC$175,0))*M241</f>
        <v>1.03938</v>
      </c>
      <c r="O241" s="126">
        <f t="shared" si="487"/>
        <v>1.0591282199999998</v>
      </c>
      <c r="P241" s="126">
        <f t="shared" si="487"/>
        <v>1.0792516561799996</v>
      </c>
      <c r="Q241" s="126">
        <f t="shared" si="487"/>
        <v>1.0997574376474195</v>
      </c>
      <c r="R241" s="126">
        <f t="shared" si="487"/>
        <v>1.1206528289627204</v>
      </c>
      <c r="S241" s="126">
        <f t="shared" si="487"/>
        <v>1.141945232713012</v>
      </c>
      <c r="T241" s="126">
        <f t="shared" si="487"/>
        <v>1.163642192134559</v>
      </c>
      <c r="U241" s="126">
        <f t="shared" si="487"/>
        <v>1.1857513937851154</v>
      </c>
      <c r="V241" s="126">
        <f t="shared" si="487"/>
        <v>1.2082806702670326</v>
      </c>
      <c r="W241" s="126">
        <f t="shared" si="487"/>
        <v>1.2312380030021062</v>
      </c>
      <c r="X241" s="126">
        <f t="shared" si="487"/>
        <v>1.254631525059146</v>
      </c>
      <c r="Y241" s="126">
        <f t="shared" si="487"/>
        <v>1.2784695240352697</v>
      </c>
      <c r="Z241" s="126">
        <f t="shared" si="487"/>
        <v>1.3027604449919397</v>
      </c>
      <c r="AA241" s="126">
        <f t="shared" si="487"/>
        <v>1.3275128934467864</v>
      </c>
      <c r="AB241" s="126">
        <f t="shared" si="487"/>
        <v>1.3527356384222751</v>
      </c>
      <c r="AC241" s="126">
        <f t="shared" si="487"/>
        <v>1.3784376155522982</v>
      </c>
      <c r="AD241" s="126">
        <f t="shared" si="487"/>
        <v>1.4046279302477918</v>
      </c>
      <c r="AE241" s="126">
        <f t="shared" si="487"/>
        <v>1.4313158609224996</v>
      </c>
      <c r="AF241" s="126">
        <f t="shared" si="487"/>
        <v>1.4585108622800269</v>
      </c>
      <c r="AG241" s="126">
        <f t="shared" si="487"/>
        <v>1.4862225686633472</v>
      </c>
      <c r="AH241" s="126">
        <f t="shared" si="487"/>
        <v>1.5144607974679507</v>
      </c>
      <c r="AI241" s="126">
        <f t="shared" si="487"/>
        <v>1.5432355526198416</v>
      </c>
      <c r="AJ241" s="126">
        <f t="shared" si="487"/>
        <v>1.5725570281196184</v>
      </c>
      <c r="AK241" s="126">
        <f t="shared" si="487"/>
        <v>1.6024356116538909</v>
      </c>
      <c r="AL241" s="126">
        <f t="shared" si="487"/>
        <v>1.6328818882753147</v>
      </c>
      <c r="AM241" s="126">
        <f t="shared" si="487"/>
        <v>1.6639066441525454</v>
      </c>
      <c r="AN241" s="126">
        <f t="shared" si="487"/>
        <v>1.6955208703914437</v>
      </c>
      <c r="AO241" s="126">
        <f t="shared" si="487"/>
        <v>1.7277357669288811</v>
      </c>
      <c r="AP241" s="126">
        <f t="shared" si="487"/>
        <v>1.7605627465005296</v>
      </c>
      <c r="AQ241" s="126">
        <f t="shared" si="487"/>
        <v>1.7940134386840394</v>
      </c>
      <c r="AR241" s="126">
        <f t="shared" si="487"/>
        <v>1.8280996940190359</v>
      </c>
      <c r="AS241" s="126">
        <f t="shared" si="487"/>
        <v>1.8628335882053975</v>
      </c>
      <c r="AT241" s="126">
        <f t="shared" si="487"/>
        <v>1.8982274263812999</v>
      </c>
      <c r="AU241" s="126">
        <f t="shared" si="487"/>
        <v>1.9342937474825443</v>
      </c>
      <c r="AV241" s="126">
        <f t="shared" si="487"/>
        <v>1.9710453286847125</v>
      </c>
      <c r="AW241" s="126">
        <f t="shared" si="487"/>
        <v>2.0084951899297216</v>
      </c>
      <c r="AX241" s="126">
        <f t="shared" si="487"/>
        <v>2.046656598538386</v>
      </c>
      <c r="AY241" s="126">
        <f t="shared" si="487"/>
        <v>2.0855430739106153</v>
      </c>
      <c r="AZ241" s="126">
        <f t="shared" si="487"/>
        <v>2.1251683923149169</v>
      </c>
      <c r="BA241" s="126">
        <f t="shared" si="487"/>
        <v>2.1655465917689001</v>
      </c>
      <c r="BB241" s="126">
        <f t="shared" si="487"/>
        <v>2.2066919770125089</v>
      </c>
      <c r="BC241" s="126">
        <f t="shared" si="487"/>
        <v>2.2486191245757463</v>
      </c>
      <c r="BD241" s="126">
        <f t="shared" si="487"/>
        <v>2.2913428879426854</v>
      </c>
    </row>
    <row r="242" spans="2:56">
      <c r="B242" s="6" t="str">
        <f t="shared" si="454"/>
        <v>Antimicrobial dressing</v>
      </c>
      <c r="D242" s="126">
        <f t="shared" ref="D242:H242" si="488">INDEX($C193:$AG193, MATCH(D$224, $C$175:$AG$175))*E242</f>
        <v>0.89400723846022712</v>
      </c>
      <c r="E242" s="126">
        <f t="shared" si="488"/>
        <v>0.91132236336414596</v>
      </c>
      <c r="F242" s="126">
        <f t="shared" si="488"/>
        <v>0.92897284746599995</v>
      </c>
      <c r="G242" s="126">
        <f t="shared" si="488"/>
        <v>0.94696518600000001</v>
      </c>
      <c r="H242" s="126">
        <f t="shared" si="488"/>
        <v>0.965306</v>
      </c>
      <c r="I242" s="126">
        <f t="shared" si="452"/>
        <v>0.98199999999999998</v>
      </c>
      <c r="K242" s="123">
        <v>1</v>
      </c>
      <c r="M242" s="126">
        <f t="shared" si="456"/>
        <v>1.0189999999999999</v>
      </c>
      <c r="N242" s="126">
        <f t="shared" ref="N242:BD242" si="489">INDEX($C193:$BC193, MATCH(N$224, $C$175:$BC$175,0))*M242</f>
        <v>1.03938</v>
      </c>
      <c r="O242" s="126">
        <f t="shared" si="489"/>
        <v>1.0591282199999998</v>
      </c>
      <c r="P242" s="126">
        <f t="shared" si="489"/>
        <v>1.0792516561799996</v>
      </c>
      <c r="Q242" s="126">
        <f t="shared" si="489"/>
        <v>1.0997574376474195</v>
      </c>
      <c r="R242" s="126">
        <f t="shared" si="489"/>
        <v>1.1206528289627204</v>
      </c>
      <c r="S242" s="126">
        <f t="shared" si="489"/>
        <v>1.141945232713012</v>
      </c>
      <c r="T242" s="126">
        <f t="shared" si="489"/>
        <v>1.163642192134559</v>
      </c>
      <c r="U242" s="126">
        <f t="shared" si="489"/>
        <v>1.1857513937851154</v>
      </c>
      <c r="V242" s="126">
        <f t="shared" si="489"/>
        <v>1.2082806702670326</v>
      </c>
      <c r="W242" s="126">
        <f t="shared" si="489"/>
        <v>1.2312380030021062</v>
      </c>
      <c r="X242" s="126">
        <f t="shared" si="489"/>
        <v>1.254631525059146</v>
      </c>
      <c r="Y242" s="126">
        <f t="shared" si="489"/>
        <v>1.2784695240352697</v>
      </c>
      <c r="Z242" s="126">
        <f t="shared" si="489"/>
        <v>1.3027604449919397</v>
      </c>
      <c r="AA242" s="126">
        <f t="shared" si="489"/>
        <v>1.3275128934467864</v>
      </c>
      <c r="AB242" s="126">
        <f t="shared" si="489"/>
        <v>1.3527356384222751</v>
      </c>
      <c r="AC242" s="126">
        <f t="shared" si="489"/>
        <v>1.3784376155522982</v>
      </c>
      <c r="AD242" s="126">
        <f t="shared" si="489"/>
        <v>1.4046279302477918</v>
      </c>
      <c r="AE242" s="126">
        <f t="shared" si="489"/>
        <v>1.4313158609224996</v>
      </c>
      <c r="AF242" s="126">
        <f t="shared" si="489"/>
        <v>1.4585108622800269</v>
      </c>
      <c r="AG242" s="126">
        <f t="shared" si="489"/>
        <v>1.4862225686633472</v>
      </c>
      <c r="AH242" s="126">
        <f t="shared" si="489"/>
        <v>1.5144607974679507</v>
      </c>
      <c r="AI242" s="126">
        <f t="shared" si="489"/>
        <v>1.5432355526198416</v>
      </c>
      <c r="AJ242" s="126">
        <f t="shared" si="489"/>
        <v>1.5725570281196184</v>
      </c>
      <c r="AK242" s="126">
        <f t="shared" si="489"/>
        <v>1.6024356116538909</v>
      </c>
      <c r="AL242" s="126">
        <f t="shared" si="489"/>
        <v>1.6328818882753147</v>
      </c>
      <c r="AM242" s="126">
        <f t="shared" si="489"/>
        <v>1.6639066441525454</v>
      </c>
      <c r="AN242" s="126">
        <f t="shared" si="489"/>
        <v>1.6955208703914437</v>
      </c>
      <c r="AO242" s="126">
        <f t="shared" si="489"/>
        <v>1.7277357669288811</v>
      </c>
      <c r="AP242" s="126">
        <f t="shared" si="489"/>
        <v>1.7605627465005296</v>
      </c>
      <c r="AQ242" s="126">
        <f t="shared" si="489"/>
        <v>1.7940134386840394</v>
      </c>
      <c r="AR242" s="126">
        <f t="shared" si="489"/>
        <v>1.8280996940190359</v>
      </c>
      <c r="AS242" s="126">
        <f t="shared" si="489"/>
        <v>1.8628335882053975</v>
      </c>
      <c r="AT242" s="126">
        <f t="shared" si="489"/>
        <v>1.8982274263812999</v>
      </c>
      <c r="AU242" s="126">
        <f t="shared" si="489"/>
        <v>1.9342937474825443</v>
      </c>
      <c r="AV242" s="126">
        <f t="shared" si="489"/>
        <v>1.9710453286847125</v>
      </c>
      <c r="AW242" s="126">
        <f t="shared" si="489"/>
        <v>2.0084951899297216</v>
      </c>
      <c r="AX242" s="126">
        <f t="shared" si="489"/>
        <v>2.046656598538386</v>
      </c>
      <c r="AY242" s="126">
        <f t="shared" si="489"/>
        <v>2.0855430739106153</v>
      </c>
      <c r="AZ242" s="126">
        <f t="shared" si="489"/>
        <v>2.1251683923149169</v>
      </c>
      <c r="BA242" s="126">
        <f t="shared" si="489"/>
        <v>2.1655465917689001</v>
      </c>
      <c r="BB242" s="126">
        <f t="shared" si="489"/>
        <v>2.2066919770125089</v>
      </c>
      <c r="BC242" s="126">
        <f t="shared" si="489"/>
        <v>2.2486191245757463</v>
      </c>
      <c r="BD242" s="126">
        <f t="shared" si="489"/>
        <v>2.2913428879426854</v>
      </c>
    </row>
    <row r="243" spans="2:56">
      <c r="B243" s="6" t="str">
        <f t="shared" si="454"/>
        <v>Capillary-action dressing</v>
      </c>
      <c r="D243" s="126">
        <f t="shared" ref="D243:H243" si="490">INDEX($C194:$AG194, MATCH(D$224, $C$175:$AG$175))*E243</f>
        <v>0.89400723846022712</v>
      </c>
      <c r="E243" s="126">
        <f t="shared" si="490"/>
        <v>0.91132236336414596</v>
      </c>
      <c r="F243" s="126">
        <f t="shared" si="490"/>
        <v>0.92897284746599995</v>
      </c>
      <c r="G243" s="126">
        <f t="shared" si="490"/>
        <v>0.94696518600000001</v>
      </c>
      <c r="H243" s="126">
        <f t="shared" si="490"/>
        <v>0.965306</v>
      </c>
      <c r="I243" s="126">
        <f t="shared" si="452"/>
        <v>0.98199999999999998</v>
      </c>
      <c r="K243" s="123">
        <v>1</v>
      </c>
      <c r="M243" s="126">
        <f t="shared" si="456"/>
        <v>1.0189999999999999</v>
      </c>
      <c r="N243" s="126">
        <f t="shared" ref="N243:BD243" si="491">INDEX($C194:$BC194, MATCH(N$224, $C$175:$BC$175,0))*M243</f>
        <v>1.03938</v>
      </c>
      <c r="O243" s="126">
        <f t="shared" si="491"/>
        <v>1.0591282199999998</v>
      </c>
      <c r="P243" s="126">
        <f t="shared" si="491"/>
        <v>1.0792516561799996</v>
      </c>
      <c r="Q243" s="126">
        <f t="shared" si="491"/>
        <v>1.0997574376474195</v>
      </c>
      <c r="R243" s="126">
        <f t="shared" si="491"/>
        <v>1.1206528289627204</v>
      </c>
      <c r="S243" s="126">
        <f t="shared" si="491"/>
        <v>1.141945232713012</v>
      </c>
      <c r="T243" s="126">
        <f t="shared" si="491"/>
        <v>1.163642192134559</v>
      </c>
      <c r="U243" s="126">
        <f t="shared" si="491"/>
        <v>1.1857513937851154</v>
      </c>
      <c r="V243" s="126">
        <f t="shared" si="491"/>
        <v>1.2082806702670326</v>
      </c>
      <c r="W243" s="126">
        <f t="shared" si="491"/>
        <v>1.2312380030021062</v>
      </c>
      <c r="X243" s="126">
        <f t="shared" si="491"/>
        <v>1.254631525059146</v>
      </c>
      <c r="Y243" s="126">
        <f t="shared" si="491"/>
        <v>1.2784695240352697</v>
      </c>
      <c r="Z243" s="126">
        <f t="shared" si="491"/>
        <v>1.3027604449919397</v>
      </c>
      <c r="AA243" s="126">
        <f t="shared" si="491"/>
        <v>1.3275128934467864</v>
      </c>
      <c r="AB243" s="126">
        <f t="shared" si="491"/>
        <v>1.3527356384222751</v>
      </c>
      <c r="AC243" s="126">
        <f t="shared" si="491"/>
        <v>1.3784376155522982</v>
      </c>
      <c r="AD243" s="126">
        <f t="shared" si="491"/>
        <v>1.4046279302477918</v>
      </c>
      <c r="AE243" s="126">
        <f t="shared" si="491"/>
        <v>1.4313158609224996</v>
      </c>
      <c r="AF243" s="126">
        <f t="shared" si="491"/>
        <v>1.4585108622800269</v>
      </c>
      <c r="AG243" s="126">
        <f t="shared" si="491"/>
        <v>1.4862225686633472</v>
      </c>
      <c r="AH243" s="126">
        <f t="shared" si="491"/>
        <v>1.5144607974679507</v>
      </c>
      <c r="AI243" s="126">
        <f t="shared" si="491"/>
        <v>1.5432355526198416</v>
      </c>
      <c r="AJ243" s="126">
        <f t="shared" si="491"/>
        <v>1.5725570281196184</v>
      </c>
      <c r="AK243" s="126">
        <f t="shared" si="491"/>
        <v>1.6024356116538909</v>
      </c>
      <c r="AL243" s="126">
        <f t="shared" si="491"/>
        <v>1.6328818882753147</v>
      </c>
      <c r="AM243" s="126">
        <f t="shared" si="491"/>
        <v>1.6639066441525454</v>
      </c>
      <c r="AN243" s="126">
        <f t="shared" si="491"/>
        <v>1.6955208703914437</v>
      </c>
      <c r="AO243" s="126">
        <f t="shared" si="491"/>
        <v>1.7277357669288811</v>
      </c>
      <c r="AP243" s="126">
        <f t="shared" si="491"/>
        <v>1.7605627465005296</v>
      </c>
      <c r="AQ243" s="126">
        <f t="shared" si="491"/>
        <v>1.7940134386840394</v>
      </c>
      <c r="AR243" s="126">
        <f t="shared" si="491"/>
        <v>1.8280996940190359</v>
      </c>
      <c r="AS243" s="126">
        <f t="shared" si="491"/>
        <v>1.8628335882053975</v>
      </c>
      <c r="AT243" s="126">
        <f t="shared" si="491"/>
        <v>1.8982274263812999</v>
      </c>
      <c r="AU243" s="126">
        <f t="shared" si="491"/>
        <v>1.9342937474825443</v>
      </c>
      <c r="AV243" s="126">
        <f t="shared" si="491"/>
        <v>1.9710453286847125</v>
      </c>
      <c r="AW243" s="126">
        <f t="shared" si="491"/>
        <v>2.0084951899297216</v>
      </c>
      <c r="AX243" s="126">
        <f t="shared" si="491"/>
        <v>2.046656598538386</v>
      </c>
      <c r="AY243" s="126">
        <f t="shared" si="491"/>
        <v>2.0855430739106153</v>
      </c>
      <c r="AZ243" s="126">
        <f t="shared" si="491"/>
        <v>2.1251683923149169</v>
      </c>
      <c r="BA243" s="126">
        <f t="shared" si="491"/>
        <v>2.1655465917689001</v>
      </c>
      <c r="BB243" s="126">
        <f t="shared" si="491"/>
        <v>2.2066919770125089</v>
      </c>
      <c r="BC243" s="126">
        <f t="shared" si="491"/>
        <v>2.2486191245757463</v>
      </c>
      <c r="BD243" s="126">
        <f t="shared" si="491"/>
        <v>2.2913428879426854</v>
      </c>
    </row>
    <row r="244" spans="2:56">
      <c r="B244" s="6" t="str">
        <f t="shared" si="454"/>
        <v>Foam dressing</v>
      </c>
      <c r="D244" s="126">
        <f t="shared" ref="D244:H244" si="492">INDEX($C195:$AG195, MATCH(D$224, $C$175:$AG$175))*E244</f>
        <v>0.89400723846022712</v>
      </c>
      <c r="E244" s="126">
        <f t="shared" si="492"/>
        <v>0.91132236336414596</v>
      </c>
      <c r="F244" s="126">
        <f t="shared" si="492"/>
        <v>0.92897284746599995</v>
      </c>
      <c r="G244" s="126">
        <f t="shared" si="492"/>
        <v>0.94696518600000001</v>
      </c>
      <c r="H244" s="126">
        <f t="shared" si="492"/>
        <v>0.965306</v>
      </c>
      <c r="I244" s="126">
        <f t="shared" si="452"/>
        <v>0.98199999999999998</v>
      </c>
      <c r="K244" s="123">
        <v>1</v>
      </c>
      <c r="M244" s="126">
        <f t="shared" si="456"/>
        <v>1.0189999999999999</v>
      </c>
      <c r="N244" s="126">
        <f t="shared" ref="N244:BD244" si="493">INDEX($C195:$BC195, MATCH(N$224, $C$175:$BC$175,0))*M244</f>
        <v>1.03938</v>
      </c>
      <c r="O244" s="126">
        <f t="shared" si="493"/>
        <v>1.0591282199999998</v>
      </c>
      <c r="P244" s="126">
        <f t="shared" si="493"/>
        <v>1.0792516561799996</v>
      </c>
      <c r="Q244" s="126">
        <f t="shared" si="493"/>
        <v>1.0997574376474195</v>
      </c>
      <c r="R244" s="126">
        <f t="shared" si="493"/>
        <v>1.1206528289627204</v>
      </c>
      <c r="S244" s="126">
        <f t="shared" si="493"/>
        <v>1.141945232713012</v>
      </c>
      <c r="T244" s="126">
        <f t="shared" si="493"/>
        <v>1.163642192134559</v>
      </c>
      <c r="U244" s="126">
        <f t="shared" si="493"/>
        <v>1.1857513937851154</v>
      </c>
      <c r="V244" s="126">
        <f t="shared" si="493"/>
        <v>1.2082806702670326</v>
      </c>
      <c r="W244" s="126">
        <f t="shared" si="493"/>
        <v>1.2312380030021062</v>
      </c>
      <c r="X244" s="126">
        <f t="shared" si="493"/>
        <v>1.254631525059146</v>
      </c>
      <c r="Y244" s="126">
        <f t="shared" si="493"/>
        <v>1.2784695240352697</v>
      </c>
      <c r="Z244" s="126">
        <f t="shared" si="493"/>
        <v>1.3027604449919397</v>
      </c>
      <c r="AA244" s="126">
        <f t="shared" si="493"/>
        <v>1.3275128934467864</v>
      </c>
      <c r="AB244" s="126">
        <f t="shared" si="493"/>
        <v>1.3527356384222751</v>
      </c>
      <c r="AC244" s="126">
        <f t="shared" si="493"/>
        <v>1.3784376155522982</v>
      </c>
      <c r="AD244" s="126">
        <f t="shared" si="493"/>
        <v>1.4046279302477918</v>
      </c>
      <c r="AE244" s="126">
        <f t="shared" si="493"/>
        <v>1.4313158609224996</v>
      </c>
      <c r="AF244" s="126">
        <f t="shared" si="493"/>
        <v>1.4585108622800269</v>
      </c>
      <c r="AG244" s="126">
        <f t="shared" si="493"/>
        <v>1.4862225686633472</v>
      </c>
      <c r="AH244" s="126">
        <f t="shared" si="493"/>
        <v>1.5144607974679507</v>
      </c>
      <c r="AI244" s="126">
        <f t="shared" si="493"/>
        <v>1.5432355526198416</v>
      </c>
      <c r="AJ244" s="126">
        <f t="shared" si="493"/>
        <v>1.5725570281196184</v>
      </c>
      <c r="AK244" s="126">
        <f t="shared" si="493"/>
        <v>1.6024356116538909</v>
      </c>
      <c r="AL244" s="126">
        <f t="shared" si="493"/>
        <v>1.6328818882753147</v>
      </c>
      <c r="AM244" s="126">
        <f t="shared" si="493"/>
        <v>1.6639066441525454</v>
      </c>
      <c r="AN244" s="126">
        <f t="shared" si="493"/>
        <v>1.6955208703914437</v>
      </c>
      <c r="AO244" s="126">
        <f t="shared" si="493"/>
        <v>1.7277357669288811</v>
      </c>
      <c r="AP244" s="126">
        <f t="shared" si="493"/>
        <v>1.7605627465005296</v>
      </c>
      <c r="AQ244" s="126">
        <f t="shared" si="493"/>
        <v>1.7940134386840394</v>
      </c>
      <c r="AR244" s="126">
        <f t="shared" si="493"/>
        <v>1.8280996940190359</v>
      </c>
      <c r="AS244" s="126">
        <f t="shared" si="493"/>
        <v>1.8628335882053975</v>
      </c>
      <c r="AT244" s="126">
        <f t="shared" si="493"/>
        <v>1.8982274263812999</v>
      </c>
      <c r="AU244" s="126">
        <f t="shared" si="493"/>
        <v>1.9342937474825443</v>
      </c>
      <c r="AV244" s="126">
        <f t="shared" si="493"/>
        <v>1.9710453286847125</v>
      </c>
      <c r="AW244" s="126">
        <f t="shared" si="493"/>
        <v>2.0084951899297216</v>
      </c>
      <c r="AX244" s="126">
        <f t="shared" si="493"/>
        <v>2.046656598538386</v>
      </c>
      <c r="AY244" s="126">
        <f t="shared" si="493"/>
        <v>2.0855430739106153</v>
      </c>
      <c r="AZ244" s="126">
        <f t="shared" si="493"/>
        <v>2.1251683923149169</v>
      </c>
      <c r="BA244" s="126">
        <f t="shared" si="493"/>
        <v>2.1655465917689001</v>
      </c>
      <c r="BB244" s="126">
        <f t="shared" si="493"/>
        <v>2.2066919770125089</v>
      </c>
      <c r="BC244" s="126">
        <f t="shared" si="493"/>
        <v>2.2486191245757463</v>
      </c>
      <c r="BD244" s="126">
        <f t="shared" si="493"/>
        <v>2.2913428879426854</v>
      </c>
    </row>
    <row r="245" spans="2:56">
      <c r="B245" s="6" t="str">
        <f t="shared" si="454"/>
        <v>Hydrocolloid dressing</v>
      </c>
      <c r="D245" s="126">
        <f t="shared" ref="D245:H245" si="494">INDEX($C196:$AG196, MATCH(D$224, $C$175:$AG$175))*E245</f>
        <v>0.89400723846022712</v>
      </c>
      <c r="E245" s="126">
        <f t="shared" si="494"/>
        <v>0.91132236336414596</v>
      </c>
      <c r="F245" s="126">
        <f t="shared" si="494"/>
        <v>0.92897284746599995</v>
      </c>
      <c r="G245" s="126">
        <f t="shared" si="494"/>
        <v>0.94696518600000001</v>
      </c>
      <c r="H245" s="126">
        <f t="shared" si="494"/>
        <v>0.965306</v>
      </c>
      <c r="I245" s="126">
        <f t="shared" si="452"/>
        <v>0.98199999999999998</v>
      </c>
      <c r="K245" s="123">
        <v>1</v>
      </c>
      <c r="M245" s="126">
        <f t="shared" si="456"/>
        <v>1.0189999999999999</v>
      </c>
      <c r="N245" s="126">
        <f t="shared" ref="N245:BD245" si="495">INDEX($C196:$BC196, MATCH(N$224, $C$175:$BC$175,0))*M245</f>
        <v>1.03938</v>
      </c>
      <c r="O245" s="126">
        <f t="shared" si="495"/>
        <v>1.0591282199999998</v>
      </c>
      <c r="P245" s="126">
        <f t="shared" si="495"/>
        <v>1.0792516561799996</v>
      </c>
      <c r="Q245" s="126">
        <f t="shared" si="495"/>
        <v>1.0997574376474195</v>
      </c>
      <c r="R245" s="126">
        <f t="shared" si="495"/>
        <v>1.1206528289627204</v>
      </c>
      <c r="S245" s="126">
        <f t="shared" si="495"/>
        <v>1.141945232713012</v>
      </c>
      <c r="T245" s="126">
        <f t="shared" si="495"/>
        <v>1.163642192134559</v>
      </c>
      <c r="U245" s="126">
        <f t="shared" si="495"/>
        <v>1.1857513937851154</v>
      </c>
      <c r="V245" s="126">
        <f t="shared" si="495"/>
        <v>1.2082806702670326</v>
      </c>
      <c r="W245" s="126">
        <f t="shared" si="495"/>
        <v>1.2312380030021062</v>
      </c>
      <c r="X245" s="126">
        <f t="shared" si="495"/>
        <v>1.254631525059146</v>
      </c>
      <c r="Y245" s="126">
        <f t="shared" si="495"/>
        <v>1.2784695240352697</v>
      </c>
      <c r="Z245" s="126">
        <f t="shared" si="495"/>
        <v>1.3027604449919397</v>
      </c>
      <c r="AA245" s="126">
        <f t="shared" si="495"/>
        <v>1.3275128934467864</v>
      </c>
      <c r="AB245" s="126">
        <f t="shared" si="495"/>
        <v>1.3527356384222751</v>
      </c>
      <c r="AC245" s="126">
        <f t="shared" si="495"/>
        <v>1.3784376155522982</v>
      </c>
      <c r="AD245" s="126">
        <f t="shared" si="495"/>
        <v>1.4046279302477918</v>
      </c>
      <c r="AE245" s="126">
        <f t="shared" si="495"/>
        <v>1.4313158609224996</v>
      </c>
      <c r="AF245" s="126">
        <f t="shared" si="495"/>
        <v>1.4585108622800269</v>
      </c>
      <c r="AG245" s="126">
        <f t="shared" si="495"/>
        <v>1.4862225686633472</v>
      </c>
      <c r="AH245" s="126">
        <f t="shared" si="495"/>
        <v>1.5144607974679507</v>
      </c>
      <c r="AI245" s="126">
        <f t="shared" si="495"/>
        <v>1.5432355526198416</v>
      </c>
      <c r="AJ245" s="126">
        <f t="shared" si="495"/>
        <v>1.5725570281196184</v>
      </c>
      <c r="AK245" s="126">
        <f t="shared" si="495"/>
        <v>1.6024356116538909</v>
      </c>
      <c r="AL245" s="126">
        <f t="shared" si="495"/>
        <v>1.6328818882753147</v>
      </c>
      <c r="AM245" s="126">
        <f t="shared" si="495"/>
        <v>1.6639066441525454</v>
      </c>
      <c r="AN245" s="126">
        <f t="shared" si="495"/>
        <v>1.6955208703914437</v>
      </c>
      <c r="AO245" s="126">
        <f t="shared" si="495"/>
        <v>1.7277357669288811</v>
      </c>
      <c r="AP245" s="126">
        <f t="shared" si="495"/>
        <v>1.7605627465005296</v>
      </c>
      <c r="AQ245" s="126">
        <f t="shared" si="495"/>
        <v>1.7940134386840394</v>
      </c>
      <c r="AR245" s="126">
        <f t="shared" si="495"/>
        <v>1.8280996940190359</v>
      </c>
      <c r="AS245" s="126">
        <f t="shared" si="495"/>
        <v>1.8628335882053975</v>
      </c>
      <c r="AT245" s="126">
        <f t="shared" si="495"/>
        <v>1.8982274263812999</v>
      </c>
      <c r="AU245" s="126">
        <f t="shared" si="495"/>
        <v>1.9342937474825443</v>
      </c>
      <c r="AV245" s="126">
        <f t="shared" si="495"/>
        <v>1.9710453286847125</v>
      </c>
      <c r="AW245" s="126">
        <f t="shared" si="495"/>
        <v>2.0084951899297216</v>
      </c>
      <c r="AX245" s="126">
        <f t="shared" si="495"/>
        <v>2.046656598538386</v>
      </c>
      <c r="AY245" s="126">
        <f t="shared" si="495"/>
        <v>2.0855430739106153</v>
      </c>
      <c r="AZ245" s="126">
        <f t="shared" si="495"/>
        <v>2.1251683923149169</v>
      </c>
      <c r="BA245" s="126">
        <f t="shared" si="495"/>
        <v>2.1655465917689001</v>
      </c>
      <c r="BB245" s="126">
        <f t="shared" si="495"/>
        <v>2.2066919770125089</v>
      </c>
      <c r="BC245" s="126">
        <f t="shared" si="495"/>
        <v>2.2486191245757463</v>
      </c>
      <c r="BD245" s="126">
        <f t="shared" si="495"/>
        <v>2.2913428879426854</v>
      </c>
    </row>
    <row r="246" spans="2:56">
      <c r="B246" s="6" t="str">
        <f t="shared" si="454"/>
        <v>Hydrogel dressing</v>
      </c>
      <c r="D246" s="126">
        <f t="shared" ref="D246:H246" si="496">INDEX($C197:$AG197, MATCH(D$224, $C$175:$AG$175))*E246</f>
        <v>0.89400723846022712</v>
      </c>
      <c r="E246" s="126">
        <f t="shared" si="496"/>
        <v>0.91132236336414596</v>
      </c>
      <c r="F246" s="126">
        <f t="shared" si="496"/>
        <v>0.92897284746599995</v>
      </c>
      <c r="G246" s="126">
        <f t="shared" si="496"/>
        <v>0.94696518600000001</v>
      </c>
      <c r="H246" s="126">
        <f t="shared" si="496"/>
        <v>0.965306</v>
      </c>
      <c r="I246" s="126">
        <f t="shared" si="452"/>
        <v>0.98199999999999998</v>
      </c>
      <c r="K246" s="123">
        <v>1</v>
      </c>
      <c r="M246" s="126">
        <f t="shared" si="456"/>
        <v>1.0189999999999999</v>
      </c>
      <c r="N246" s="126">
        <f t="shared" ref="N246:BD246" si="497">INDEX($C197:$BC197, MATCH(N$224, $C$175:$BC$175,0))*M246</f>
        <v>1.03938</v>
      </c>
      <c r="O246" s="126">
        <f t="shared" si="497"/>
        <v>1.0591282199999998</v>
      </c>
      <c r="P246" s="126">
        <f t="shared" si="497"/>
        <v>1.0792516561799996</v>
      </c>
      <c r="Q246" s="126">
        <f t="shared" si="497"/>
        <v>1.0997574376474195</v>
      </c>
      <c r="R246" s="126">
        <f t="shared" si="497"/>
        <v>1.1206528289627204</v>
      </c>
      <c r="S246" s="126">
        <f t="shared" si="497"/>
        <v>1.141945232713012</v>
      </c>
      <c r="T246" s="126">
        <f t="shared" si="497"/>
        <v>1.163642192134559</v>
      </c>
      <c r="U246" s="126">
        <f t="shared" si="497"/>
        <v>1.1857513937851154</v>
      </c>
      <c r="V246" s="126">
        <f t="shared" si="497"/>
        <v>1.2082806702670326</v>
      </c>
      <c r="W246" s="126">
        <f t="shared" si="497"/>
        <v>1.2312380030021062</v>
      </c>
      <c r="X246" s="126">
        <f t="shared" si="497"/>
        <v>1.254631525059146</v>
      </c>
      <c r="Y246" s="126">
        <f t="shared" si="497"/>
        <v>1.2784695240352697</v>
      </c>
      <c r="Z246" s="126">
        <f t="shared" si="497"/>
        <v>1.3027604449919397</v>
      </c>
      <c r="AA246" s="126">
        <f t="shared" si="497"/>
        <v>1.3275128934467864</v>
      </c>
      <c r="AB246" s="126">
        <f t="shared" si="497"/>
        <v>1.3527356384222751</v>
      </c>
      <c r="AC246" s="126">
        <f t="shared" si="497"/>
        <v>1.3784376155522982</v>
      </c>
      <c r="AD246" s="126">
        <f t="shared" si="497"/>
        <v>1.4046279302477918</v>
      </c>
      <c r="AE246" s="126">
        <f t="shared" si="497"/>
        <v>1.4313158609224996</v>
      </c>
      <c r="AF246" s="126">
        <f t="shared" si="497"/>
        <v>1.4585108622800269</v>
      </c>
      <c r="AG246" s="126">
        <f t="shared" si="497"/>
        <v>1.4862225686633472</v>
      </c>
      <c r="AH246" s="126">
        <f t="shared" si="497"/>
        <v>1.5144607974679507</v>
      </c>
      <c r="AI246" s="126">
        <f t="shared" si="497"/>
        <v>1.5432355526198416</v>
      </c>
      <c r="AJ246" s="126">
        <f t="shared" si="497"/>
        <v>1.5725570281196184</v>
      </c>
      <c r="AK246" s="126">
        <f t="shared" si="497"/>
        <v>1.6024356116538909</v>
      </c>
      <c r="AL246" s="126">
        <f t="shared" si="497"/>
        <v>1.6328818882753147</v>
      </c>
      <c r="AM246" s="126">
        <f t="shared" si="497"/>
        <v>1.6639066441525454</v>
      </c>
      <c r="AN246" s="126">
        <f t="shared" si="497"/>
        <v>1.6955208703914437</v>
      </c>
      <c r="AO246" s="126">
        <f t="shared" si="497"/>
        <v>1.7277357669288811</v>
      </c>
      <c r="AP246" s="126">
        <f t="shared" si="497"/>
        <v>1.7605627465005296</v>
      </c>
      <c r="AQ246" s="126">
        <f t="shared" si="497"/>
        <v>1.7940134386840394</v>
      </c>
      <c r="AR246" s="126">
        <f t="shared" si="497"/>
        <v>1.8280996940190359</v>
      </c>
      <c r="AS246" s="126">
        <f t="shared" si="497"/>
        <v>1.8628335882053975</v>
      </c>
      <c r="AT246" s="126">
        <f t="shared" si="497"/>
        <v>1.8982274263812999</v>
      </c>
      <c r="AU246" s="126">
        <f t="shared" si="497"/>
        <v>1.9342937474825443</v>
      </c>
      <c r="AV246" s="126">
        <f t="shared" si="497"/>
        <v>1.9710453286847125</v>
      </c>
      <c r="AW246" s="126">
        <f t="shared" si="497"/>
        <v>2.0084951899297216</v>
      </c>
      <c r="AX246" s="126">
        <f t="shared" si="497"/>
        <v>2.046656598538386</v>
      </c>
      <c r="AY246" s="126">
        <f t="shared" si="497"/>
        <v>2.0855430739106153</v>
      </c>
      <c r="AZ246" s="126">
        <f t="shared" si="497"/>
        <v>2.1251683923149169</v>
      </c>
      <c r="BA246" s="126">
        <f t="shared" si="497"/>
        <v>2.1655465917689001</v>
      </c>
      <c r="BB246" s="126">
        <f t="shared" si="497"/>
        <v>2.2066919770125089</v>
      </c>
      <c r="BC246" s="126">
        <f t="shared" si="497"/>
        <v>2.2486191245757463</v>
      </c>
      <c r="BD246" s="126">
        <f t="shared" si="497"/>
        <v>2.2913428879426854</v>
      </c>
    </row>
    <row r="247" spans="2:56">
      <c r="B247" s="6" t="str">
        <f t="shared" si="454"/>
        <v>Low-adherence dressing</v>
      </c>
      <c r="D247" s="126">
        <f t="shared" ref="D247:H247" si="498">INDEX($C198:$AG198, MATCH(D$224, $C$175:$AG$175))*E247</f>
        <v>0.89400723846022712</v>
      </c>
      <c r="E247" s="126">
        <f t="shared" si="498"/>
        <v>0.91132236336414596</v>
      </c>
      <c r="F247" s="126">
        <f t="shared" si="498"/>
        <v>0.92897284746599995</v>
      </c>
      <c r="G247" s="126">
        <f t="shared" si="498"/>
        <v>0.94696518600000001</v>
      </c>
      <c r="H247" s="126">
        <f t="shared" si="498"/>
        <v>0.965306</v>
      </c>
      <c r="I247" s="126">
        <f t="shared" si="452"/>
        <v>0.98199999999999998</v>
      </c>
      <c r="K247" s="123">
        <v>1</v>
      </c>
      <c r="M247" s="126">
        <f t="shared" si="456"/>
        <v>1.0189999999999999</v>
      </c>
      <c r="N247" s="126">
        <f t="shared" ref="N247:BD247" si="499">INDEX($C198:$BC198, MATCH(N$224, $C$175:$BC$175,0))*M247</f>
        <v>1.03938</v>
      </c>
      <c r="O247" s="126">
        <f t="shared" si="499"/>
        <v>1.0591282199999998</v>
      </c>
      <c r="P247" s="126">
        <f t="shared" si="499"/>
        <v>1.0792516561799996</v>
      </c>
      <c r="Q247" s="126">
        <f t="shared" si="499"/>
        <v>1.0997574376474195</v>
      </c>
      <c r="R247" s="126">
        <f t="shared" si="499"/>
        <v>1.1206528289627204</v>
      </c>
      <c r="S247" s="126">
        <f t="shared" si="499"/>
        <v>1.141945232713012</v>
      </c>
      <c r="T247" s="126">
        <f t="shared" si="499"/>
        <v>1.163642192134559</v>
      </c>
      <c r="U247" s="126">
        <f t="shared" si="499"/>
        <v>1.1857513937851154</v>
      </c>
      <c r="V247" s="126">
        <f t="shared" si="499"/>
        <v>1.2082806702670326</v>
      </c>
      <c r="W247" s="126">
        <f t="shared" si="499"/>
        <v>1.2312380030021062</v>
      </c>
      <c r="X247" s="126">
        <f t="shared" si="499"/>
        <v>1.254631525059146</v>
      </c>
      <c r="Y247" s="126">
        <f t="shared" si="499"/>
        <v>1.2784695240352697</v>
      </c>
      <c r="Z247" s="126">
        <f t="shared" si="499"/>
        <v>1.3027604449919397</v>
      </c>
      <c r="AA247" s="126">
        <f t="shared" si="499"/>
        <v>1.3275128934467864</v>
      </c>
      <c r="AB247" s="126">
        <f t="shared" si="499"/>
        <v>1.3527356384222751</v>
      </c>
      <c r="AC247" s="126">
        <f t="shared" si="499"/>
        <v>1.3784376155522982</v>
      </c>
      <c r="AD247" s="126">
        <f t="shared" si="499"/>
        <v>1.4046279302477918</v>
      </c>
      <c r="AE247" s="126">
        <f t="shared" si="499"/>
        <v>1.4313158609224996</v>
      </c>
      <c r="AF247" s="126">
        <f t="shared" si="499"/>
        <v>1.4585108622800269</v>
      </c>
      <c r="AG247" s="126">
        <f t="shared" si="499"/>
        <v>1.4862225686633472</v>
      </c>
      <c r="AH247" s="126">
        <f t="shared" si="499"/>
        <v>1.5144607974679507</v>
      </c>
      <c r="AI247" s="126">
        <f t="shared" si="499"/>
        <v>1.5432355526198416</v>
      </c>
      <c r="AJ247" s="126">
        <f t="shared" si="499"/>
        <v>1.5725570281196184</v>
      </c>
      <c r="AK247" s="126">
        <f t="shared" si="499"/>
        <v>1.6024356116538909</v>
      </c>
      <c r="AL247" s="126">
        <f t="shared" si="499"/>
        <v>1.6328818882753147</v>
      </c>
      <c r="AM247" s="126">
        <f t="shared" si="499"/>
        <v>1.6639066441525454</v>
      </c>
      <c r="AN247" s="126">
        <f t="shared" si="499"/>
        <v>1.6955208703914437</v>
      </c>
      <c r="AO247" s="126">
        <f t="shared" si="499"/>
        <v>1.7277357669288811</v>
      </c>
      <c r="AP247" s="126">
        <f t="shared" si="499"/>
        <v>1.7605627465005296</v>
      </c>
      <c r="AQ247" s="126">
        <f t="shared" si="499"/>
        <v>1.7940134386840394</v>
      </c>
      <c r="AR247" s="126">
        <f t="shared" si="499"/>
        <v>1.8280996940190359</v>
      </c>
      <c r="AS247" s="126">
        <f t="shared" si="499"/>
        <v>1.8628335882053975</v>
      </c>
      <c r="AT247" s="126">
        <f t="shared" si="499"/>
        <v>1.8982274263812999</v>
      </c>
      <c r="AU247" s="126">
        <f t="shared" si="499"/>
        <v>1.9342937474825443</v>
      </c>
      <c r="AV247" s="126">
        <f t="shared" si="499"/>
        <v>1.9710453286847125</v>
      </c>
      <c r="AW247" s="126">
        <f t="shared" si="499"/>
        <v>2.0084951899297216</v>
      </c>
      <c r="AX247" s="126">
        <f t="shared" si="499"/>
        <v>2.046656598538386</v>
      </c>
      <c r="AY247" s="126">
        <f t="shared" si="499"/>
        <v>2.0855430739106153</v>
      </c>
      <c r="AZ247" s="126">
        <f t="shared" si="499"/>
        <v>2.1251683923149169</v>
      </c>
      <c r="BA247" s="126">
        <f t="shared" si="499"/>
        <v>2.1655465917689001</v>
      </c>
      <c r="BB247" s="126">
        <f t="shared" si="499"/>
        <v>2.2066919770125089</v>
      </c>
      <c r="BC247" s="126">
        <f t="shared" si="499"/>
        <v>2.2486191245757463</v>
      </c>
      <c r="BD247" s="126">
        <f t="shared" si="499"/>
        <v>2.2913428879426854</v>
      </c>
    </row>
    <row r="248" spans="2:56">
      <c r="B248" s="6" t="str">
        <f t="shared" si="454"/>
        <v>Odour absorbent dressing</v>
      </c>
      <c r="D248" s="126">
        <f t="shared" ref="D248:H248" si="500">INDEX($C199:$AG199, MATCH(D$224, $C$175:$AG$175))*E248</f>
        <v>0.89400723846022712</v>
      </c>
      <c r="E248" s="126">
        <f t="shared" si="500"/>
        <v>0.91132236336414596</v>
      </c>
      <c r="F248" s="126">
        <f t="shared" si="500"/>
        <v>0.92897284746599995</v>
      </c>
      <c r="G248" s="126">
        <f t="shared" si="500"/>
        <v>0.94696518600000001</v>
      </c>
      <c r="H248" s="126">
        <f t="shared" si="500"/>
        <v>0.965306</v>
      </c>
      <c r="I248" s="126">
        <f t="shared" si="452"/>
        <v>0.98199999999999998</v>
      </c>
      <c r="K248" s="123">
        <v>1</v>
      </c>
      <c r="M248" s="126">
        <f t="shared" si="456"/>
        <v>1.0189999999999999</v>
      </c>
      <c r="N248" s="126">
        <f t="shared" ref="N248:BD248" si="501">INDEX($C199:$BC199, MATCH(N$224, $C$175:$BC$175,0))*M248</f>
        <v>1.03938</v>
      </c>
      <c r="O248" s="126">
        <f t="shared" si="501"/>
        <v>1.0591282199999998</v>
      </c>
      <c r="P248" s="126">
        <f t="shared" si="501"/>
        <v>1.0792516561799996</v>
      </c>
      <c r="Q248" s="126">
        <f t="shared" si="501"/>
        <v>1.0997574376474195</v>
      </c>
      <c r="R248" s="126">
        <f t="shared" si="501"/>
        <v>1.1206528289627204</v>
      </c>
      <c r="S248" s="126">
        <f t="shared" si="501"/>
        <v>1.141945232713012</v>
      </c>
      <c r="T248" s="126">
        <f t="shared" si="501"/>
        <v>1.163642192134559</v>
      </c>
      <c r="U248" s="126">
        <f t="shared" si="501"/>
        <v>1.1857513937851154</v>
      </c>
      <c r="V248" s="126">
        <f t="shared" si="501"/>
        <v>1.2082806702670326</v>
      </c>
      <c r="W248" s="126">
        <f t="shared" si="501"/>
        <v>1.2312380030021062</v>
      </c>
      <c r="X248" s="126">
        <f t="shared" si="501"/>
        <v>1.254631525059146</v>
      </c>
      <c r="Y248" s="126">
        <f t="shared" si="501"/>
        <v>1.2784695240352697</v>
      </c>
      <c r="Z248" s="126">
        <f t="shared" si="501"/>
        <v>1.3027604449919397</v>
      </c>
      <c r="AA248" s="126">
        <f t="shared" si="501"/>
        <v>1.3275128934467864</v>
      </c>
      <c r="AB248" s="126">
        <f t="shared" si="501"/>
        <v>1.3527356384222751</v>
      </c>
      <c r="AC248" s="126">
        <f t="shared" si="501"/>
        <v>1.3784376155522982</v>
      </c>
      <c r="AD248" s="126">
        <f t="shared" si="501"/>
        <v>1.4046279302477918</v>
      </c>
      <c r="AE248" s="126">
        <f t="shared" si="501"/>
        <v>1.4313158609224996</v>
      </c>
      <c r="AF248" s="126">
        <f t="shared" si="501"/>
        <v>1.4585108622800269</v>
      </c>
      <c r="AG248" s="126">
        <f t="shared" si="501"/>
        <v>1.4862225686633472</v>
      </c>
      <c r="AH248" s="126">
        <f t="shared" si="501"/>
        <v>1.5144607974679507</v>
      </c>
      <c r="AI248" s="126">
        <f t="shared" si="501"/>
        <v>1.5432355526198416</v>
      </c>
      <c r="AJ248" s="126">
        <f t="shared" si="501"/>
        <v>1.5725570281196184</v>
      </c>
      <c r="AK248" s="126">
        <f t="shared" si="501"/>
        <v>1.6024356116538909</v>
      </c>
      <c r="AL248" s="126">
        <f t="shared" si="501"/>
        <v>1.6328818882753147</v>
      </c>
      <c r="AM248" s="126">
        <f t="shared" si="501"/>
        <v>1.6639066441525454</v>
      </c>
      <c r="AN248" s="126">
        <f t="shared" si="501"/>
        <v>1.6955208703914437</v>
      </c>
      <c r="AO248" s="126">
        <f t="shared" si="501"/>
        <v>1.7277357669288811</v>
      </c>
      <c r="AP248" s="126">
        <f t="shared" si="501"/>
        <v>1.7605627465005296</v>
      </c>
      <c r="AQ248" s="126">
        <f t="shared" si="501"/>
        <v>1.7940134386840394</v>
      </c>
      <c r="AR248" s="126">
        <f t="shared" si="501"/>
        <v>1.8280996940190359</v>
      </c>
      <c r="AS248" s="126">
        <f t="shared" si="501"/>
        <v>1.8628335882053975</v>
      </c>
      <c r="AT248" s="126">
        <f t="shared" si="501"/>
        <v>1.8982274263812999</v>
      </c>
      <c r="AU248" s="126">
        <f t="shared" si="501"/>
        <v>1.9342937474825443</v>
      </c>
      <c r="AV248" s="126">
        <f t="shared" si="501"/>
        <v>1.9710453286847125</v>
      </c>
      <c r="AW248" s="126">
        <f t="shared" si="501"/>
        <v>2.0084951899297216</v>
      </c>
      <c r="AX248" s="126">
        <f t="shared" si="501"/>
        <v>2.046656598538386</v>
      </c>
      <c r="AY248" s="126">
        <f t="shared" si="501"/>
        <v>2.0855430739106153</v>
      </c>
      <c r="AZ248" s="126">
        <f t="shared" si="501"/>
        <v>2.1251683923149169</v>
      </c>
      <c r="BA248" s="126">
        <f t="shared" si="501"/>
        <v>2.1655465917689001</v>
      </c>
      <c r="BB248" s="126">
        <f t="shared" si="501"/>
        <v>2.2066919770125089</v>
      </c>
      <c r="BC248" s="126">
        <f t="shared" si="501"/>
        <v>2.2486191245757463</v>
      </c>
      <c r="BD248" s="126">
        <f t="shared" si="501"/>
        <v>2.2913428879426854</v>
      </c>
    </row>
    <row r="249" spans="2:56">
      <c r="B249" s="6" t="str">
        <f t="shared" si="454"/>
        <v>Other dressing</v>
      </c>
      <c r="D249" s="126">
        <f t="shared" ref="D249:H249" si="502">INDEX($C200:$AG200, MATCH(D$224, $C$175:$AG$175))*E249</f>
        <v>0.89400723846022712</v>
      </c>
      <c r="E249" s="126">
        <f t="shared" si="502"/>
        <v>0.91132236336414596</v>
      </c>
      <c r="F249" s="126">
        <f t="shared" si="502"/>
        <v>0.92897284746599995</v>
      </c>
      <c r="G249" s="126">
        <f t="shared" si="502"/>
        <v>0.94696518600000001</v>
      </c>
      <c r="H249" s="126">
        <f t="shared" si="502"/>
        <v>0.965306</v>
      </c>
      <c r="I249" s="126">
        <f t="shared" si="452"/>
        <v>0.98199999999999998</v>
      </c>
      <c r="K249" s="123">
        <v>1</v>
      </c>
      <c r="M249" s="126">
        <f t="shared" si="456"/>
        <v>1.0189999999999999</v>
      </c>
      <c r="N249" s="126">
        <f t="shared" ref="N249:BD249" si="503">INDEX($C200:$BC200, MATCH(N$224, $C$175:$BC$175,0))*M249</f>
        <v>1.03938</v>
      </c>
      <c r="O249" s="126">
        <f t="shared" si="503"/>
        <v>1.0591282199999998</v>
      </c>
      <c r="P249" s="126">
        <f t="shared" si="503"/>
        <v>1.0792516561799996</v>
      </c>
      <c r="Q249" s="126">
        <f t="shared" si="503"/>
        <v>1.0997574376474195</v>
      </c>
      <c r="R249" s="126">
        <f t="shared" si="503"/>
        <v>1.1206528289627204</v>
      </c>
      <c r="S249" s="126">
        <f t="shared" si="503"/>
        <v>1.141945232713012</v>
      </c>
      <c r="T249" s="126">
        <f t="shared" si="503"/>
        <v>1.163642192134559</v>
      </c>
      <c r="U249" s="126">
        <f t="shared" si="503"/>
        <v>1.1857513937851154</v>
      </c>
      <c r="V249" s="126">
        <f t="shared" si="503"/>
        <v>1.2082806702670326</v>
      </c>
      <c r="W249" s="126">
        <f t="shared" si="503"/>
        <v>1.2312380030021062</v>
      </c>
      <c r="X249" s="126">
        <f t="shared" si="503"/>
        <v>1.254631525059146</v>
      </c>
      <c r="Y249" s="126">
        <f t="shared" si="503"/>
        <v>1.2784695240352697</v>
      </c>
      <c r="Z249" s="126">
        <f t="shared" si="503"/>
        <v>1.3027604449919397</v>
      </c>
      <c r="AA249" s="126">
        <f t="shared" si="503"/>
        <v>1.3275128934467864</v>
      </c>
      <c r="AB249" s="126">
        <f t="shared" si="503"/>
        <v>1.3527356384222751</v>
      </c>
      <c r="AC249" s="126">
        <f t="shared" si="503"/>
        <v>1.3784376155522982</v>
      </c>
      <c r="AD249" s="126">
        <f t="shared" si="503"/>
        <v>1.4046279302477918</v>
      </c>
      <c r="AE249" s="126">
        <f t="shared" si="503"/>
        <v>1.4313158609224996</v>
      </c>
      <c r="AF249" s="126">
        <f t="shared" si="503"/>
        <v>1.4585108622800269</v>
      </c>
      <c r="AG249" s="126">
        <f t="shared" si="503"/>
        <v>1.4862225686633472</v>
      </c>
      <c r="AH249" s="126">
        <f t="shared" si="503"/>
        <v>1.5144607974679507</v>
      </c>
      <c r="AI249" s="126">
        <f t="shared" si="503"/>
        <v>1.5432355526198416</v>
      </c>
      <c r="AJ249" s="126">
        <f t="shared" si="503"/>
        <v>1.5725570281196184</v>
      </c>
      <c r="AK249" s="126">
        <f t="shared" si="503"/>
        <v>1.6024356116538909</v>
      </c>
      <c r="AL249" s="126">
        <f t="shared" si="503"/>
        <v>1.6328818882753147</v>
      </c>
      <c r="AM249" s="126">
        <f t="shared" si="503"/>
        <v>1.6639066441525454</v>
      </c>
      <c r="AN249" s="126">
        <f t="shared" si="503"/>
        <v>1.6955208703914437</v>
      </c>
      <c r="AO249" s="126">
        <f t="shared" si="503"/>
        <v>1.7277357669288811</v>
      </c>
      <c r="AP249" s="126">
        <f t="shared" si="503"/>
        <v>1.7605627465005296</v>
      </c>
      <c r="AQ249" s="126">
        <f t="shared" si="503"/>
        <v>1.7940134386840394</v>
      </c>
      <c r="AR249" s="126">
        <f t="shared" si="503"/>
        <v>1.8280996940190359</v>
      </c>
      <c r="AS249" s="126">
        <f t="shared" si="503"/>
        <v>1.8628335882053975</v>
      </c>
      <c r="AT249" s="126">
        <f t="shared" si="503"/>
        <v>1.8982274263812999</v>
      </c>
      <c r="AU249" s="126">
        <f t="shared" si="503"/>
        <v>1.9342937474825443</v>
      </c>
      <c r="AV249" s="126">
        <f t="shared" si="503"/>
        <v>1.9710453286847125</v>
      </c>
      <c r="AW249" s="126">
        <f t="shared" si="503"/>
        <v>2.0084951899297216</v>
      </c>
      <c r="AX249" s="126">
        <f t="shared" si="503"/>
        <v>2.046656598538386</v>
      </c>
      <c r="AY249" s="126">
        <f t="shared" si="503"/>
        <v>2.0855430739106153</v>
      </c>
      <c r="AZ249" s="126">
        <f t="shared" si="503"/>
        <v>2.1251683923149169</v>
      </c>
      <c r="BA249" s="126">
        <f t="shared" si="503"/>
        <v>2.1655465917689001</v>
      </c>
      <c r="BB249" s="126">
        <f t="shared" si="503"/>
        <v>2.2066919770125089</v>
      </c>
      <c r="BC249" s="126">
        <f t="shared" si="503"/>
        <v>2.2486191245757463</v>
      </c>
      <c r="BD249" s="126">
        <f t="shared" si="503"/>
        <v>2.2913428879426854</v>
      </c>
    </row>
    <row r="250" spans="2:56">
      <c r="B250" s="6" t="str">
        <f t="shared" si="454"/>
        <v>Permeable dressing</v>
      </c>
      <c r="D250" s="126">
        <f t="shared" ref="D250:H250" si="504">INDEX($C201:$AG201, MATCH(D$224, $C$175:$AG$175))*E250</f>
        <v>0.89400723846022712</v>
      </c>
      <c r="E250" s="126">
        <f t="shared" si="504"/>
        <v>0.91132236336414596</v>
      </c>
      <c r="F250" s="126">
        <f t="shared" si="504"/>
        <v>0.92897284746599995</v>
      </c>
      <c r="G250" s="126">
        <f t="shared" si="504"/>
        <v>0.94696518600000001</v>
      </c>
      <c r="H250" s="126">
        <f t="shared" si="504"/>
        <v>0.965306</v>
      </c>
      <c r="I250" s="126">
        <f t="shared" si="452"/>
        <v>0.98199999999999998</v>
      </c>
      <c r="K250" s="123">
        <v>1</v>
      </c>
      <c r="M250" s="126">
        <f t="shared" si="456"/>
        <v>1.0189999999999999</v>
      </c>
      <c r="N250" s="126">
        <f t="shared" ref="N250:BD250" si="505">INDEX($C201:$BC201, MATCH(N$224, $C$175:$BC$175,0))*M250</f>
        <v>1.03938</v>
      </c>
      <c r="O250" s="126">
        <f t="shared" si="505"/>
        <v>1.0591282199999998</v>
      </c>
      <c r="P250" s="126">
        <f t="shared" si="505"/>
        <v>1.0792516561799996</v>
      </c>
      <c r="Q250" s="126">
        <f t="shared" si="505"/>
        <v>1.0997574376474195</v>
      </c>
      <c r="R250" s="126">
        <f t="shared" si="505"/>
        <v>1.1206528289627204</v>
      </c>
      <c r="S250" s="126">
        <f t="shared" si="505"/>
        <v>1.141945232713012</v>
      </c>
      <c r="T250" s="126">
        <f t="shared" si="505"/>
        <v>1.163642192134559</v>
      </c>
      <c r="U250" s="126">
        <f t="shared" si="505"/>
        <v>1.1857513937851154</v>
      </c>
      <c r="V250" s="126">
        <f t="shared" si="505"/>
        <v>1.2082806702670326</v>
      </c>
      <c r="W250" s="126">
        <f t="shared" si="505"/>
        <v>1.2312380030021062</v>
      </c>
      <c r="X250" s="126">
        <f t="shared" si="505"/>
        <v>1.254631525059146</v>
      </c>
      <c r="Y250" s="126">
        <f t="shared" si="505"/>
        <v>1.2784695240352697</v>
      </c>
      <c r="Z250" s="126">
        <f t="shared" si="505"/>
        <v>1.3027604449919397</v>
      </c>
      <c r="AA250" s="126">
        <f t="shared" si="505"/>
        <v>1.3275128934467864</v>
      </c>
      <c r="AB250" s="126">
        <f t="shared" si="505"/>
        <v>1.3527356384222751</v>
      </c>
      <c r="AC250" s="126">
        <f t="shared" si="505"/>
        <v>1.3784376155522982</v>
      </c>
      <c r="AD250" s="126">
        <f t="shared" si="505"/>
        <v>1.4046279302477918</v>
      </c>
      <c r="AE250" s="126">
        <f t="shared" si="505"/>
        <v>1.4313158609224996</v>
      </c>
      <c r="AF250" s="126">
        <f t="shared" si="505"/>
        <v>1.4585108622800269</v>
      </c>
      <c r="AG250" s="126">
        <f t="shared" si="505"/>
        <v>1.4862225686633472</v>
      </c>
      <c r="AH250" s="126">
        <f t="shared" si="505"/>
        <v>1.5144607974679507</v>
      </c>
      <c r="AI250" s="126">
        <f t="shared" si="505"/>
        <v>1.5432355526198416</v>
      </c>
      <c r="AJ250" s="126">
        <f t="shared" si="505"/>
        <v>1.5725570281196184</v>
      </c>
      <c r="AK250" s="126">
        <f t="shared" si="505"/>
        <v>1.6024356116538909</v>
      </c>
      <c r="AL250" s="126">
        <f t="shared" si="505"/>
        <v>1.6328818882753147</v>
      </c>
      <c r="AM250" s="126">
        <f t="shared" si="505"/>
        <v>1.6639066441525454</v>
      </c>
      <c r="AN250" s="126">
        <f t="shared" si="505"/>
        <v>1.6955208703914437</v>
      </c>
      <c r="AO250" s="126">
        <f t="shared" si="505"/>
        <v>1.7277357669288811</v>
      </c>
      <c r="AP250" s="126">
        <f t="shared" si="505"/>
        <v>1.7605627465005296</v>
      </c>
      <c r="AQ250" s="126">
        <f t="shared" si="505"/>
        <v>1.7940134386840394</v>
      </c>
      <c r="AR250" s="126">
        <f t="shared" si="505"/>
        <v>1.8280996940190359</v>
      </c>
      <c r="AS250" s="126">
        <f t="shared" si="505"/>
        <v>1.8628335882053975</v>
      </c>
      <c r="AT250" s="126">
        <f t="shared" si="505"/>
        <v>1.8982274263812999</v>
      </c>
      <c r="AU250" s="126">
        <f t="shared" si="505"/>
        <v>1.9342937474825443</v>
      </c>
      <c r="AV250" s="126">
        <f t="shared" si="505"/>
        <v>1.9710453286847125</v>
      </c>
      <c r="AW250" s="126">
        <f t="shared" si="505"/>
        <v>2.0084951899297216</v>
      </c>
      <c r="AX250" s="126">
        <f t="shared" si="505"/>
        <v>2.046656598538386</v>
      </c>
      <c r="AY250" s="126">
        <f t="shared" si="505"/>
        <v>2.0855430739106153</v>
      </c>
      <c r="AZ250" s="126">
        <f t="shared" si="505"/>
        <v>2.1251683923149169</v>
      </c>
      <c r="BA250" s="126">
        <f t="shared" si="505"/>
        <v>2.1655465917689001</v>
      </c>
      <c r="BB250" s="126">
        <f t="shared" si="505"/>
        <v>2.2066919770125089</v>
      </c>
      <c r="BC250" s="126">
        <f t="shared" si="505"/>
        <v>2.2486191245757463</v>
      </c>
      <c r="BD250" s="126">
        <f t="shared" si="505"/>
        <v>2.2913428879426854</v>
      </c>
    </row>
    <row r="251" spans="2:56">
      <c r="B251" s="6" t="str">
        <f t="shared" si="454"/>
        <v>Soft polymer dressing</v>
      </c>
      <c r="D251" s="126">
        <f t="shared" ref="D251:H251" si="506">INDEX($C202:$AG202, MATCH(D$224, $C$175:$AG$175))*E251</f>
        <v>0.89400723846022712</v>
      </c>
      <c r="E251" s="126">
        <f t="shared" si="506"/>
        <v>0.91132236336414596</v>
      </c>
      <c r="F251" s="126">
        <f t="shared" si="506"/>
        <v>0.92897284746599995</v>
      </c>
      <c r="G251" s="126">
        <f t="shared" si="506"/>
        <v>0.94696518600000001</v>
      </c>
      <c r="H251" s="126">
        <f t="shared" si="506"/>
        <v>0.965306</v>
      </c>
      <c r="I251" s="126">
        <f t="shared" si="452"/>
        <v>0.98199999999999998</v>
      </c>
      <c r="K251" s="123">
        <v>1</v>
      </c>
      <c r="M251" s="126">
        <f t="shared" si="456"/>
        <v>1.0189999999999999</v>
      </c>
      <c r="N251" s="126">
        <f t="shared" ref="N251:BD251" si="507">INDEX($C202:$BC202, MATCH(N$224, $C$175:$BC$175,0))*M251</f>
        <v>1.03938</v>
      </c>
      <c r="O251" s="126">
        <f t="shared" si="507"/>
        <v>1.0591282199999998</v>
      </c>
      <c r="P251" s="126">
        <f t="shared" si="507"/>
        <v>1.0792516561799996</v>
      </c>
      <c r="Q251" s="126">
        <f t="shared" si="507"/>
        <v>1.0997574376474195</v>
      </c>
      <c r="R251" s="126">
        <f t="shared" si="507"/>
        <v>1.1206528289627204</v>
      </c>
      <c r="S251" s="126">
        <f t="shared" si="507"/>
        <v>1.141945232713012</v>
      </c>
      <c r="T251" s="126">
        <f t="shared" si="507"/>
        <v>1.163642192134559</v>
      </c>
      <c r="U251" s="126">
        <f t="shared" si="507"/>
        <v>1.1857513937851154</v>
      </c>
      <c r="V251" s="126">
        <f t="shared" si="507"/>
        <v>1.2082806702670326</v>
      </c>
      <c r="W251" s="126">
        <f t="shared" si="507"/>
        <v>1.2312380030021062</v>
      </c>
      <c r="X251" s="126">
        <f t="shared" si="507"/>
        <v>1.254631525059146</v>
      </c>
      <c r="Y251" s="126">
        <f t="shared" si="507"/>
        <v>1.2784695240352697</v>
      </c>
      <c r="Z251" s="126">
        <f t="shared" si="507"/>
        <v>1.3027604449919397</v>
      </c>
      <c r="AA251" s="126">
        <f t="shared" si="507"/>
        <v>1.3275128934467864</v>
      </c>
      <c r="AB251" s="126">
        <f t="shared" si="507"/>
        <v>1.3527356384222751</v>
      </c>
      <c r="AC251" s="126">
        <f t="shared" si="507"/>
        <v>1.3784376155522982</v>
      </c>
      <c r="AD251" s="126">
        <f t="shared" si="507"/>
        <v>1.4046279302477918</v>
      </c>
      <c r="AE251" s="126">
        <f t="shared" si="507"/>
        <v>1.4313158609224996</v>
      </c>
      <c r="AF251" s="126">
        <f t="shared" si="507"/>
        <v>1.4585108622800269</v>
      </c>
      <c r="AG251" s="126">
        <f t="shared" si="507"/>
        <v>1.4862225686633472</v>
      </c>
      <c r="AH251" s="126">
        <f t="shared" si="507"/>
        <v>1.5144607974679507</v>
      </c>
      <c r="AI251" s="126">
        <f t="shared" si="507"/>
        <v>1.5432355526198416</v>
      </c>
      <c r="AJ251" s="126">
        <f t="shared" si="507"/>
        <v>1.5725570281196184</v>
      </c>
      <c r="AK251" s="126">
        <f t="shared" si="507"/>
        <v>1.6024356116538909</v>
      </c>
      <c r="AL251" s="126">
        <f t="shared" si="507"/>
        <v>1.6328818882753147</v>
      </c>
      <c r="AM251" s="126">
        <f t="shared" si="507"/>
        <v>1.6639066441525454</v>
      </c>
      <c r="AN251" s="126">
        <f t="shared" si="507"/>
        <v>1.6955208703914437</v>
      </c>
      <c r="AO251" s="126">
        <f t="shared" si="507"/>
        <v>1.7277357669288811</v>
      </c>
      <c r="AP251" s="126">
        <f t="shared" si="507"/>
        <v>1.7605627465005296</v>
      </c>
      <c r="AQ251" s="126">
        <f t="shared" si="507"/>
        <v>1.7940134386840394</v>
      </c>
      <c r="AR251" s="126">
        <f t="shared" si="507"/>
        <v>1.8280996940190359</v>
      </c>
      <c r="AS251" s="126">
        <f t="shared" si="507"/>
        <v>1.8628335882053975</v>
      </c>
      <c r="AT251" s="126">
        <f t="shared" si="507"/>
        <v>1.8982274263812999</v>
      </c>
      <c r="AU251" s="126">
        <f t="shared" si="507"/>
        <v>1.9342937474825443</v>
      </c>
      <c r="AV251" s="126">
        <f t="shared" si="507"/>
        <v>1.9710453286847125</v>
      </c>
      <c r="AW251" s="126">
        <f t="shared" si="507"/>
        <v>2.0084951899297216</v>
      </c>
      <c r="AX251" s="126">
        <f t="shared" si="507"/>
        <v>2.046656598538386</v>
      </c>
      <c r="AY251" s="126">
        <f t="shared" si="507"/>
        <v>2.0855430739106153</v>
      </c>
      <c r="AZ251" s="126">
        <f t="shared" si="507"/>
        <v>2.1251683923149169</v>
      </c>
      <c r="BA251" s="126">
        <f t="shared" si="507"/>
        <v>2.1655465917689001</v>
      </c>
      <c r="BB251" s="126">
        <f t="shared" si="507"/>
        <v>2.2066919770125089</v>
      </c>
      <c r="BC251" s="126">
        <f t="shared" si="507"/>
        <v>2.2486191245757463</v>
      </c>
      <c r="BD251" s="126">
        <f t="shared" si="507"/>
        <v>2.2913428879426854</v>
      </c>
    </row>
    <row r="252" spans="2:56">
      <c r="B252" s="6" t="str">
        <f t="shared" si="454"/>
        <v>Bandages</v>
      </c>
      <c r="D252" s="126">
        <f t="shared" ref="D252:H252" si="508">INDEX($C203:$AG203, MATCH(D$224, $C$175:$AG$175))*E252</f>
        <v>0.89400723846022712</v>
      </c>
      <c r="E252" s="126">
        <f t="shared" si="508"/>
        <v>0.91132236336414596</v>
      </c>
      <c r="F252" s="126">
        <f t="shared" si="508"/>
        <v>0.92897284746599995</v>
      </c>
      <c r="G252" s="126">
        <f t="shared" si="508"/>
        <v>0.94696518600000001</v>
      </c>
      <c r="H252" s="126">
        <f t="shared" si="508"/>
        <v>0.965306</v>
      </c>
      <c r="I252" s="126">
        <f t="shared" si="452"/>
        <v>0.98199999999999998</v>
      </c>
      <c r="K252" s="123">
        <v>1</v>
      </c>
      <c r="M252" s="126">
        <f t="shared" si="456"/>
        <v>1.0189999999999999</v>
      </c>
      <c r="N252" s="126">
        <f t="shared" ref="N252:BD252" si="509">INDEX($C203:$BC203, MATCH(N$224, $C$175:$BC$175,0))*M252</f>
        <v>1.03938</v>
      </c>
      <c r="O252" s="126">
        <f t="shared" si="509"/>
        <v>1.0591282199999998</v>
      </c>
      <c r="P252" s="126">
        <f t="shared" si="509"/>
        <v>1.0792516561799996</v>
      </c>
      <c r="Q252" s="126">
        <f t="shared" si="509"/>
        <v>1.0997574376474195</v>
      </c>
      <c r="R252" s="126">
        <f t="shared" si="509"/>
        <v>1.1206528289627204</v>
      </c>
      <c r="S252" s="126">
        <f t="shared" si="509"/>
        <v>1.141945232713012</v>
      </c>
      <c r="T252" s="126">
        <f t="shared" si="509"/>
        <v>1.163642192134559</v>
      </c>
      <c r="U252" s="126">
        <f t="shared" si="509"/>
        <v>1.1857513937851154</v>
      </c>
      <c r="V252" s="126">
        <f t="shared" si="509"/>
        <v>1.2082806702670326</v>
      </c>
      <c r="W252" s="126">
        <f t="shared" si="509"/>
        <v>1.2312380030021062</v>
      </c>
      <c r="X252" s="126">
        <f t="shared" si="509"/>
        <v>1.254631525059146</v>
      </c>
      <c r="Y252" s="126">
        <f t="shared" si="509"/>
        <v>1.2784695240352697</v>
      </c>
      <c r="Z252" s="126">
        <f t="shared" si="509"/>
        <v>1.3027604449919397</v>
      </c>
      <c r="AA252" s="126">
        <f t="shared" si="509"/>
        <v>1.3275128934467864</v>
      </c>
      <c r="AB252" s="126">
        <f t="shared" si="509"/>
        <v>1.3527356384222751</v>
      </c>
      <c r="AC252" s="126">
        <f t="shared" si="509"/>
        <v>1.3784376155522982</v>
      </c>
      <c r="AD252" s="126">
        <f t="shared" si="509"/>
        <v>1.4046279302477918</v>
      </c>
      <c r="AE252" s="126">
        <f t="shared" si="509"/>
        <v>1.4313158609224996</v>
      </c>
      <c r="AF252" s="126">
        <f t="shared" si="509"/>
        <v>1.4585108622800269</v>
      </c>
      <c r="AG252" s="126">
        <f t="shared" si="509"/>
        <v>1.4862225686633472</v>
      </c>
      <c r="AH252" s="126">
        <f t="shared" si="509"/>
        <v>1.5144607974679507</v>
      </c>
      <c r="AI252" s="126">
        <f t="shared" si="509"/>
        <v>1.5432355526198416</v>
      </c>
      <c r="AJ252" s="126">
        <f t="shared" si="509"/>
        <v>1.5725570281196184</v>
      </c>
      <c r="AK252" s="126">
        <f t="shared" si="509"/>
        <v>1.6024356116538909</v>
      </c>
      <c r="AL252" s="126">
        <f t="shared" si="509"/>
        <v>1.6328818882753147</v>
      </c>
      <c r="AM252" s="126">
        <f t="shared" si="509"/>
        <v>1.6639066441525454</v>
      </c>
      <c r="AN252" s="126">
        <f t="shared" si="509"/>
        <v>1.6955208703914437</v>
      </c>
      <c r="AO252" s="126">
        <f t="shared" si="509"/>
        <v>1.7277357669288811</v>
      </c>
      <c r="AP252" s="126">
        <f t="shared" si="509"/>
        <v>1.7605627465005296</v>
      </c>
      <c r="AQ252" s="126">
        <f t="shared" si="509"/>
        <v>1.7940134386840394</v>
      </c>
      <c r="AR252" s="126">
        <f t="shared" si="509"/>
        <v>1.8280996940190359</v>
      </c>
      <c r="AS252" s="126">
        <f t="shared" si="509"/>
        <v>1.8628335882053975</v>
      </c>
      <c r="AT252" s="126">
        <f t="shared" si="509"/>
        <v>1.8982274263812999</v>
      </c>
      <c r="AU252" s="126">
        <f t="shared" si="509"/>
        <v>1.9342937474825443</v>
      </c>
      <c r="AV252" s="126">
        <f t="shared" si="509"/>
        <v>1.9710453286847125</v>
      </c>
      <c r="AW252" s="126">
        <f t="shared" si="509"/>
        <v>2.0084951899297216</v>
      </c>
      <c r="AX252" s="126">
        <f t="shared" si="509"/>
        <v>2.046656598538386</v>
      </c>
      <c r="AY252" s="126">
        <f t="shared" si="509"/>
        <v>2.0855430739106153</v>
      </c>
      <c r="AZ252" s="126">
        <f t="shared" si="509"/>
        <v>2.1251683923149169</v>
      </c>
      <c r="BA252" s="126">
        <f t="shared" si="509"/>
        <v>2.1655465917689001</v>
      </c>
      <c r="BB252" s="126">
        <f t="shared" si="509"/>
        <v>2.2066919770125089</v>
      </c>
      <c r="BC252" s="126">
        <f t="shared" si="509"/>
        <v>2.2486191245757463</v>
      </c>
      <c r="BD252" s="126">
        <f t="shared" si="509"/>
        <v>2.2913428879426854</v>
      </c>
    </row>
    <row r="253" spans="2:56">
      <c r="B253" s="6" t="str">
        <f t="shared" si="454"/>
        <v>Compression systems</v>
      </c>
      <c r="D253" s="126">
        <f t="shared" ref="D253:H253" si="510">INDEX($C204:$AG204, MATCH(D$224, $C$175:$AG$175))*E253</f>
        <v>0.89400723846022712</v>
      </c>
      <c r="E253" s="126">
        <f t="shared" si="510"/>
        <v>0.91132236336414596</v>
      </c>
      <c r="F253" s="126">
        <f t="shared" si="510"/>
        <v>0.92897284746599995</v>
      </c>
      <c r="G253" s="126">
        <f t="shared" si="510"/>
        <v>0.94696518600000001</v>
      </c>
      <c r="H253" s="126">
        <f t="shared" si="510"/>
        <v>0.965306</v>
      </c>
      <c r="I253" s="126">
        <f t="shared" si="452"/>
        <v>0.98199999999999998</v>
      </c>
      <c r="K253" s="123">
        <v>1</v>
      </c>
      <c r="M253" s="126">
        <f t="shared" si="456"/>
        <v>1.0189999999999999</v>
      </c>
      <c r="N253" s="126">
        <f t="shared" ref="N253:BD253" si="511">INDEX($C204:$BC204, MATCH(N$224, $C$175:$BC$175,0))*M253</f>
        <v>1.03938</v>
      </c>
      <c r="O253" s="126">
        <f t="shared" si="511"/>
        <v>1.0591282199999998</v>
      </c>
      <c r="P253" s="126">
        <f t="shared" si="511"/>
        <v>1.0792516561799996</v>
      </c>
      <c r="Q253" s="126">
        <f t="shared" si="511"/>
        <v>1.0997574376474195</v>
      </c>
      <c r="R253" s="126">
        <f t="shared" si="511"/>
        <v>1.1206528289627204</v>
      </c>
      <c r="S253" s="126">
        <f t="shared" si="511"/>
        <v>1.141945232713012</v>
      </c>
      <c r="T253" s="126">
        <f t="shared" si="511"/>
        <v>1.163642192134559</v>
      </c>
      <c r="U253" s="126">
        <f t="shared" si="511"/>
        <v>1.1857513937851154</v>
      </c>
      <c r="V253" s="126">
        <f t="shared" si="511"/>
        <v>1.2082806702670326</v>
      </c>
      <c r="W253" s="126">
        <f t="shared" si="511"/>
        <v>1.2312380030021062</v>
      </c>
      <c r="X253" s="126">
        <f t="shared" si="511"/>
        <v>1.254631525059146</v>
      </c>
      <c r="Y253" s="126">
        <f t="shared" si="511"/>
        <v>1.2784695240352697</v>
      </c>
      <c r="Z253" s="126">
        <f t="shared" si="511"/>
        <v>1.3027604449919397</v>
      </c>
      <c r="AA253" s="126">
        <f t="shared" si="511"/>
        <v>1.3275128934467864</v>
      </c>
      <c r="AB253" s="126">
        <f t="shared" si="511"/>
        <v>1.3527356384222751</v>
      </c>
      <c r="AC253" s="126">
        <f t="shared" si="511"/>
        <v>1.3784376155522982</v>
      </c>
      <c r="AD253" s="126">
        <f t="shared" si="511"/>
        <v>1.4046279302477918</v>
      </c>
      <c r="AE253" s="126">
        <f t="shared" si="511"/>
        <v>1.4313158609224996</v>
      </c>
      <c r="AF253" s="126">
        <f t="shared" si="511"/>
        <v>1.4585108622800269</v>
      </c>
      <c r="AG253" s="126">
        <f t="shared" si="511"/>
        <v>1.4862225686633472</v>
      </c>
      <c r="AH253" s="126">
        <f t="shared" si="511"/>
        <v>1.5144607974679507</v>
      </c>
      <c r="AI253" s="126">
        <f t="shared" si="511"/>
        <v>1.5432355526198416</v>
      </c>
      <c r="AJ253" s="126">
        <f t="shared" si="511"/>
        <v>1.5725570281196184</v>
      </c>
      <c r="AK253" s="126">
        <f t="shared" si="511"/>
        <v>1.6024356116538909</v>
      </c>
      <c r="AL253" s="126">
        <f t="shared" si="511"/>
        <v>1.6328818882753147</v>
      </c>
      <c r="AM253" s="126">
        <f t="shared" si="511"/>
        <v>1.6639066441525454</v>
      </c>
      <c r="AN253" s="126">
        <f t="shared" si="511"/>
        <v>1.6955208703914437</v>
      </c>
      <c r="AO253" s="126">
        <f t="shared" si="511"/>
        <v>1.7277357669288811</v>
      </c>
      <c r="AP253" s="126">
        <f t="shared" si="511"/>
        <v>1.7605627465005296</v>
      </c>
      <c r="AQ253" s="126">
        <f t="shared" si="511"/>
        <v>1.7940134386840394</v>
      </c>
      <c r="AR253" s="126">
        <f t="shared" si="511"/>
        <v>1.8280996940190359</v>
      </c>
      <c r="AS253" s="126">
        <f t="shared" si="511"/>
        <v>1.8628335882053975</v>
      </c>
      <c r="AT253" s="126">
        <f t="shared" si="511"/>
        <v>1.8982274263812999</v>
      </c>
      <c r="AU253" s="126">
        <f t="shared" si="511"/>
        <v>1.9342937474825443</v>
      </c>
      <c r="AV253" s="126">
        <f t="shared" si="511"/>
        <v>1.9710453286847125</v>
      </c>
      <c r="AW253" s="126">
        <f t="shared" si="511"/>
        <v>2.0084951899297216</v>
      </c>
      <c r="AX253" s="126">
        <f t="shared" si="511"/>
        <v>2.046656598538386</v>
      </c>
      <c r="AY253" s="126">
        <f t="shared" si="511"/>
        <v>2.0855430739106153</v>
      </c>
      <c r="AZ253" s="126">
        <f t="shared" si="511"/>
        <v>2.1251683923149169</v>
      </c>
      <c r="BA253" s="126">
        <f t="shared" si="511"/>
        <v>2.1655465917689001</v>
      </c>
      <c r="BB253" s="126">
        <f t="shared" si="511"/>
        <v>2.2066919770125089</v>
      </c>
      <c r="BC253" s="126">
        <f t="shared" si="511"/>
        <v>2.2486191245757463</v>
      </c>
      <c r="BD253" s="126">
        <f t="shared" si="511"/>
        <v>2.2913428879426854</v>
      </c>
    </row>
    <row r="254" spans="2:56">
      <c r="B254" s="6" t="str">
        <f t="shared" si="454"/>
        <v>Compression hosiery</v>
      </c>
      <c r="D254" s="126">
        <f t="shared" ref="D254:H254" si="512">INDEX($C205:$AG205, MATCH(D$224, $C$175:$AG$175))*E254</f>
        <v>0.89400723846022712</v>
      </c>
      <c r="E254" s="126">
        <f t="shared" si="512"/>
        <v>0.91132236336414596</v>
      </c>
      <c r="F254" s="126">
        <f t="shared" si="512"/>
        <v>0.92897284746599995</v>
      </c>
      <c r="G254" s="126">
        <f t="shared" si="512"/>
        <v>0.94696518600000001</v>
      </c>
      <c r="H254" s="126">
        <f t="shared" si="512"/>
        <v>0.965306</v>
      </c>
      <c r="I254" s="126">
        <f t="shared" si="452"/>
        <v>0.98199999999999998</v>
      </c>
      <c r="K254" s="123">
        <v>1</v>
      </c>
      <c r="M254" s="126">
        <f t="shared" si="456"/>
        <v>1.0189999999999999</v>
      </c>
      <c r="N254" s="126">
        <f t="shared" ref="N254:BD254" si="513">INDEX($C205:$BC205, MATCH(N$224, $C$175:$BC$175,0))*M254</f>
        <v>1.03938</v>
      </c>
      <c r="O254" s="126">
        <f t="shared" si="513"/>
        <v>1.0591282199999998</v>
      </c>
      <c r="P254" s="126">
        <f t="shared" si="513"/>
        <v>1.0792516561799996</v>
      </c>
      <c r="Q254" s="126">
        <f t="shared" si="513"/>
        <v>1.0997574376474195</v>
      </c>
      <c r="R254" s="126">
        <f t="shared" si="513"/>
        <v>1.1206528289627204</v>
      </c>
      <c r="S254" s="126">
        <f t="shared" si="513"/>
        <v>1.141945232713012</v>
      </c>
      <c r="T254" s="126">
        <f t="shared" si="513"/>
        <v>1.163642192134559</v>
      </c>
      <c r="U254" s="126">
        <f t="shared" si="513"/>
        <v>1.1857513937851154</v>
      </c>
      <c r="V254" s="126">
        <f t="shared" si="513"/>
        <v>1.2082806702670326</v>
      </c>
      <c r="W254" s="126">
        <f t="shared" si="513"/>
        <v>1.2312380030021062</v>
      </c>
      <c r="X254" s="126">
        <f t="shared" si="513"/>
        <v>1.254631525059146</v>
      </c>
      <c r="Y254" s="126">
        <f t="shared" si="513"/>
        <v>1.2784695240352697</v>
      </c>
      <c r="Z254" s="126">
        <f t="shared" si="513"/>
        <v>1.3027604449919397</v>
      </c>
      <c r="AA254" s="126">
        <f t="shared" si="513"/>
        <v>1.3275128934467864</v>
      </c>
      <c r="AB254" s="126">
        <f t="shared" si="513"/>
        <v>1.3527356384222751</v>
      </c>
      <c r="AC254" s="126">
        <f t="shared" si="513"/>
        <v>1.3784376155522982</v>
      </c>
      <c r="AD254" s="126">
        <f t="shared" si="513"/>
        <v>1.4046279302477918</v>
      </c>
      <c r="AE254" s="126">
        <f t="shared" si="513"/>
        <v>1.4313158609224996</v>
      </c>
      <c r="AF254" s="126">
        <f t="shared" si="513"/>
        <v>1.4585108622800269</v>
      </c>
      <c r="AG254" s="126">
        <f t="shared" si="513"/>
        <v>1.4862225686633472</v>
      </c>
      <c r="AH254" s="126">
        <f t="shared" si="513"/>
        <v>1.5144607974679507</v>
      </c>
      <c r="AI254" s="126">
        <f t="shared" si="513"/>
        <v>1.5432355526198416</v>
      </c>
      <c r="AJ254" s="126">
        <f t="shared" si="513"/>
        <v>1.5725570281196184</v>
      </c>
      <c r="AK254" s="126">
        <f t="shared" si="513"/>
        <v>1.6024356116538909</v>
      </c>
      <c r="AL254" s="126">
        <f t="shared" si="513"/>
        <v>1.6328818882753147</v>
      </c>
      <c r="AM254" s="126">
        <f t="shared" si="513"/>
        <v>1.6639066441525454</v>
      </c>
      <c r="AN254" s="126">
        <f t="shared" si="513"/>
        <v>1.6955208703914437</v>
      </c>
      <c r="AO254" s="126">
        <f t="shared" si="513"/>
        <v>1.7277357669288811</v>
      </c>
      <c r="AP254" s="126">
        <f t="shared" si="513"/>
        <v>1.7605627465005296</v>
      </c>
      <c r="AQ254" s="126">
        <f t="shared" si="513"/>
        <v>1.7940134386840394</v>
      </c>
      <c r="AR254" s="126">
        <f t="shared" si="513"/>
        <v>1.8280996940190359</v>
      </c>
      <c r="AS254" s="126">
        <f t="shared" si="513"/>
        <v>1.8628335882053975</v>
      </c>
      <c r="AT254" s="126">
        <f t="shared" si="513"/>
        <v>1.8982274263812999</v>
      </c>
      <c r="AU254" s="126">
        <f t="shared" si="513"/>
        <v>1.9342937474825443</v>
      </c>
      <c r="AV254" s="126">
        <f t="shared" si="513"/>
        <v>1.9710453286847125</v>
      </c>
      <c r="AW254" s="126">
        <f t="shared" si="513"/>
        <v>2.0084951899297216</v>
      </c>
      <c r="AX254" s="126">
        <f t="shared" si="513"/>
        <v>2.046656598538386</v>
      </c>
      <c r="AY254" s="126">
        <f t="shared" si="513"/>
        <v>2.0855430739106153</v>
      </c>
      <c r="AZ254" s="126">
        <f t="shared" si="513"/>
        <v>2.1251683923149169</v>
      </c>
      <c r="BA254" s="126">
        <f t="shared" si="513"/>
        <v>2.1655465917689001</v>
      </c>
      <c r="BB254" s="126">
        <f t="shared" si="513"/>
        <v>2.2066919770125089</v>
      </c>
      <c r="BC254" s="126">
        <f t="shared" si="513"/>
        <v>2.2486191245757463</v>
      </c>
      <c r="BD254" s="126">
        <f t="shared" si="513"/>
        <v>2.2913428879426854</v>
      </c>
    </row>
    <row r="255" spans="2:56">
      <c r="B255" s="6" t="str">
        <f t="shared" si="454"/>
        <v>Topical wound care products</v>
      </c>
      <c r="D255" s="126">
        <f t="shared" ref="D255:H255" si="514">INDEX($C206:$AG206, MATCH(D$224, $C$175:$AG$175))*E255</f>
        <v>0.89400723846022712</v>
      </c>
      <c r="E255" s="126">
        <f t="shared" si="514"/>
        <v>0.91132236336414596</v>
      </c>
      <c r="F255" s="126">
        <f t="shared" si="514"/>
        <v>0.92897284746599995</v>
      </c>
      <c r="G255" s="126">
        <f t="shared" si="514"/>
        <v>0.94696518600000001</v>
      </c>
      <c r="H255" s="126">
        <f t="shared" si="514"/>
        <v>0.965306</v>
      </c>
      <c r="I255" s="126">
        <f t="shared" si="452"/>
        <v>0.98199999999999998</v>
      </c>
      <c r="K255" s="123">
        <v>1</v>
      </c>
      <c r="M255" s="126">
        <f t="shared" si="456"/>
        <v>1.0189999999999999</v>
      </c>
      <c r="N255" s="126">
        <f t="shared" ref="N255:BD255" si="515">INDEX($C206:$BC206, MATCH(N$224, $C$175:$BC$175,0))*M255</f>
        <v>1.03938</v>
      </c>
      <c r="O255" s="126">
        <f t="shared" si="515"/>
        <v>1.0591282199999998</v>
      </c>
      <c r="P255" s="126">
        <f t="shared" si="515"/>
        <v>1.0792516561799996</v>
      </c>
      <c r="Q255" s="126">
        <f t="shared" si="515"/>
        <v>1.0997574376474195</v>
      </c>
      <c r="R255" s="126">
        <f t="shared" si="515"/>
        <v>1.1206528289627204</v>
      </c>
      <c r="S255" s="126">
        <f t="shared" si="515"/>
        <v>1.141945232713012</v>
      </c>
      <c r="T255" s="126">
        <f t="shared" si="515"/>
        <v>1.163642192134559</v>
      </c>
      <c r="U255" s="126">
        <f t="shared" si="515"/>
        <v>1.1857513937851154</v>
      </c>
      <c r="V255" s="126">
        <f t="shared" si="515"/>
        <v>1.2082806702670326</v>
      </c>
      <c r="W255" s="126">
        <f t="shared" si="515"/>
        <v>1.2312380030021062</v>
      </c>
      <c r="X255" s="126">
        <f t="shared" si="515"/>
        <v>1.254631525059146</v>
      </c>
      <c r="Y255" s="126">
        <f t="shared" si="515"/>
        <v>1.2784695240352697</v>
      </c>
      <c r="Z255" s="126">
        <f t="shared" si="515"/>
        <v>1.3027604449919397</v>
      </c>
      <c r="AA255" s="126">
        <f t="shared" si="515"/>
        <v>1.3275128934467864</v>
      </c>
      <c r="AB255" s="126">
        <f t="shared" si="515"/>
        <v>1.3527356384222751</v>
      </c>
      <c r="AC255" s="126">
        <f t="shared" si="515"/>
        <v>1.3784376155522982</v>
      </c>
      <c r="AD255" s="126">
        <f t="shared" si="515"/>
        <v>1.4046279302477918</v>
      </c>
      <c r="AE255" s="126">
        <f t="shared" si="515"/>
        <v>1.4313158609224996</v>
      </c>
      <c r="AF255" s="126">
        <f t="shared" si="515"/>
        <v>1.4585108622800269</v>
      </c>
      <c r="AG255" s="126">
        <f t="shared" si="515"/>
        <v>1.4862225686633472</v>
      </c>
      <c r="AH255" s="126">
        <f t="shared" si="515"/>
        <v>1.5144607974679507</v>
      </c>
      <c r="AI255" s="126">
        <f t="shared" si="515"/>
        <v>1.5432355526198416</v>
      </c>
      <c r="AJ255" s="126">
        <f t="shared" si="515"/>
        <v>1.5725570281196184</v>
      </c>
      <c r="AK255" s="126">
        <f t="shared" si="515"/>
        <v>1.6024356116538909</v>
      </c>
      <c r="AL255" s="126">
        <f t="shared" si="515"/>
        <v>1.6328818882753147</v>
      </c>
      <c r="AM255" s="126">
        <f t="shared" si="515"/>
        <v>1.6639066441525454</v>
      </c>
      <c r="AN255" s="126">
        <f t="shared" si="515"/>
        <v>1.6955208703914437</v>
      </c>
      <c r="AO255" s="126">
        <f t="shared" si="515"/>
        <v>1.7277357669288811</v>
      </c>
      <c r="AP255" s="126">
        <f t="shared" si="515"/>
        <v>1.7605627465005296</v>
      </c>
      <c r="AQ255" s="126">
        <f t="shared" si="515"/>
        <v>1.7940134386840394</v>
      </c>
      <c r="AR255" s="126">
        <f t="shared" si="515"/>
        <v>1.8280996940190359</v>
      </c>
      <c r="AS255" s="126">
        <f t="shared" si="515"/>
        <v>1.8628335882053975</v>
      </c>
      <c r="AT255" s="126">
        <f t="shared" si="515"/>
        <v>1.8982274263812999</v>
      </c>
      <c r="AU255" s="126">
        <f t="shared" si="515"/>
        <v>1.9342937474825443</v>
      </c>
      <c r="AV255" s="126">
        <f t="shared" si="515"/>
        <v>1.9710453286847125</v>
      </c>
      <c r="AW255" s="126">
        <f t="shared" si="515"/>
        <v>2.0084951899297216</v>
      </c>
      <c r="AX255" s="126">
        <f t="shared" si="515"/>
        <v>2.046656598538386</v>
      </c>
      <c r="AY255" s="126">
        <f t="shared" si="515"/>
        <v>2.0855430739106153</v>
      </c>
      <c r="AZ255" s="126">
        <f t="shared" si="515"/>
        <v>2.1251683923149169</v>
      </c>
      <c r="BA255" s="126">
        <f t="shared" si="515"/>
        <v>2.1655465917689001</v>
      </c>
      <c r="BB255" s="126">
        <f t="shared" si="515"/>
        <v>2.2066919770125089</v>
      </c>
      <c r="BC255" s="126">
        <f t="shared" si="515"/>
        <v>2.2486191245757463</v>
      </c>
      <c r="BD255" s="126">
        <f t="shared" si="515"/>
        <v>2.2913428879426854</v>
      </c>
    </row>
    <row r="256" spans="2:56">
      <c r="B256" s="6" t="str">
        <f t="shared" si="454"/>
        <v>Devices</v>
      </c>
      <c r="D256" s="126">
        <f t="shared" ref="D256:H256" si="516">INDEX($C207:$AG207, MATCH(D$224, $C$175:$AG$175))*E256</f>
        <v>0.89400723846022712</v>
      </c>
      <c r="E256" s="126">
        <f t="shared" si="516"/>
        <v>0.91132236336414596</v>
      </c>
      <c r="F256" s="126">
        <f t="shared" si="516"/>
        <v>0.92897284746599995</v>
      </c>
      <c r="G256" s="126">
        <f t="shared" si="516"/>
        <v>0.94696518600000001</v>
      </c>
      <c r="H256" s="126">
        <f t="shared" si="516"/>
        <v>0.965306</v>
      </c>
      <c r="I256" s="126">
        <f t="shared" si="452"/>
        <v>0.98199999999999998</v>
      </c>
      <c r="K256" s="123">
        <v>1</v>
      </c>
      <c r="M256" s="126">
        <f t="shared" si="456"/>
        <v>1.0189999999999999</v>
      </c>
      <c r="N256" s="126">
        <f t="shared" ref="N256:BD256" si="517">INDEX($C207:$BC207, MATCH(N$224, $C$175:$BC$175,0))*M256</f>
        <v>1.03938</v>
      </c>
      <c r="O256" s="126">
        <f t="shared" si="517"/>
        <v>1.0591282199999998</v>
      </c>
      <c r="P256" s="126">
        <f t="shared" si="517"/>
        <v>1.0792516561799996</v>
      </c>
      <c r="Q256" s="126">
        <f t="shared" si="517"/>
        <v>1.0997574376474195</v>
      </c>
      <c r="R256" s="126">
        <f t="shared" si="517"/>
        <v>1.1206528289627204</v>
      </c>
      <c r="S256" s="126">
        <f t="shared" si="517"/>
        <v>1.141945232713012</v>
      </c>
      <c r="T256" s="126">
        <f t="shared" si="517"/>
        <v>1.163642192134559</v>
      </c>
      <c r="U256" s="126">
        <f t="shared" si="517"/>
        <v>1.1857513937851154</v>
      </c>
      <c r="V256" s="126">
        <f t="shared" si="517"/>
        <v>1.2082806702670326</v>
      </c>
      <c r="W256" s="126">
        <f t="shared" si="517"/>
        <v>1.2312380030021062</v>
      </c>
      <c r="X256" s="126">
        <f t="shared" si="517"/>
        <v>1.254631525059146</v>
      </c>
      <c r="Y256" s="126">
        <f t="shared" si="517"/>
        <v>1.2784695240352697</v>
      </c>
      <c r="Z256" s="126">
        <f t="shared" si="517"/>
        <v>1.3027604449919397</v>
      </c>
      <c r="AA256" s="126">
        <f t="shared" si="517"/>
        <v>1.3275128934467864</v>
      </c>
      <c r="AB256" s="126">
        <f t="shared" si="517"/>
        <v>1.3527356384222751</v>
      </c>
      <c r="AC256" s="126">
        <f t="shared" si="517"/>
        <v>1.3784376155522982</v>
      </c>
      <c r="AD256" s="126">
        <f t="shared" si="517"/>
        <v>1.4046279302477918</v>
      </c>
      <c r="AE256" s="126">
        <f t="shared" si="517"/>
        <v>1.4313158609224996</v>
      </c>
      <c r="AF256" s="126">
        <f t="shared" si="517"/>
        <v>1.4585108622800269</v>
      </c>
      <c r="AG256" s="126">
        <f t="shared" si="517"/>
        <v>1.4862225686633472</v>
      </c>
      <c r="AH256" s="126">
        <f t="shared" si="517"/>
        <v>1.5144607974679507</v>
      </c>
      <c r="AI256" s="126">
        <f t="shared" si="517"/>
        <v>1.5432355526198416</v>
      </c>
      <c r="AJ256" s="126">
        <f t="shared" si="517"/>
        <v>1.5725570281196184</v>
      </c>
      <c r="AK256" s="126">
        <f t="shared" si="517"/>
        <v>1.6024356116538909</v>
      </c>
      <c r="AL256" s="126">
        <f t="shared" si="517"/>
        <v>1.6328818882753147</v>
      </c>
      <c r="AM256" s="126">
        <f t="shared" si="517"/>
        <v>1.6639066441525454</v>
      </c>
      <c r="AN256" s="126">
        <f t="shared" si="517"/>
        <v>1.6955208703914437</v>
      </c>
      <c r="AO256" s="126">
        <f t="shared" si="517"/>
        <v>1.7277357669288811</v>
      </c>
      <c r="AP256" s="126">
        <f t="shared" si="517"/>
        <v>1.7605627465005296</v>
      </c>
      <c r="AQ256" s="126">
        <f t="shared" si="517"/>
        <v>1.7940134386840394</v>
      </c>
      <c r="AR256" s="126">
        <f t="shared" si="517"/>
        <v>1.8280996940190359</v>
      </c>
      <c r="AS256" s="126">
        <f t="shared" si="517"/>
        <v>1.8628335882053975</v>
      </c>
      <c r="AT256" s="126">
        <f t="shared" si="517"/>
        <v>1.8982274263812999</v>
      </c>
      <c r="AU256" s="126">
        <f t="shared" si="517"/>
        <v>1.9342937474825443</v>
      </c>
      <c r="AV256" s="126">
        <f t="shared" si="517"/>
        <v>1.9710453286847125</v>
      </c>
      <c r="AW256" s="126">
        <f t="shared" si="517"/>
        <v>2.0084951899297216</v>
      </c>
      <c r="AX256" s="126">
        <f t="shared" si="517"/>
        <v>2.046656598538386</v>
      </c>
      <c r="AY256" s="126">
        <f t="shared" si="517"/>
        <v>2.0855430739106153</v>
      </c>
      <c r="AZ256" s="126">
        <f t="shared" si="517"/>
        <v>2.1251683923149169</v>
      </c>
      <c r="BA256" s="126">
        <f t="shared" si="517"/>
        <v>2.1655465917689001</v>
      </c>
      <c r="BB256" s="126">
        <f t="shared" si="517"/>
        <v>2.2066919770125089</v>
      </c>
      <c r="BC256" s="126">
        <f t="shared" si="517"/>
        <v>2.2486191245757463</v>
      </c>
      <c r="BD256" s="126">
        <f t="shared" si="517"/>
        <v>2.2913428879426854</v>
      </c>
    </row>
    <row r="257" spans="2:56" ht="29">
      <c r="B257" s="6" t="str">
        <f t="shared" si="454"/>
        <v>Prescriptions for analgesics and neuroleptics</v>
      </c>
      <c r="D257" s="126">
        <f t="shared" ref="D257:H257" si="518">INDEX($C208:$AG208, MATCH(D$224, $C$175:$AG$175))*E257</f>
        <v>0.76802686638997386</v>
      </c>
      <c r="E257" s="126">
        <f t="shared" si="518"/>
        <v>0.80153085617822362</v>
      </c>
      <c r="F257" s="126">
        <f t="shared" si="518"/>
        <v>0.83649640594679986</v>
      </c>
      <c r="G257" s="126">
        <f t="shared" si="518"/>
        <v>0.87298727399999987</v>
      </c>
      <c r="H257" s="126">
        <f t="shared" si="518"/>
        <v>0.91106999999999994</v>
      </c>
      <c r="I257" s="126">
        <f t="shared" si="452"/>
        <v>0.95399999999999996</v>
      </c>
      <c r="K257" s="123">
        <v>1</v>
      </c>
      <c r="M257" s="126">
        <f t="shared" si="456"/>
        <v>1.0409999999999999</v>
      </c>
      <c r="N257" s="126">
        <f t="shared" ref="N257:BD257" si="519">INDEX($C208:$BC208, MATCH(N$224, $C$175:$BC$175,0))*M257</f>
        <v>1.0836809999999999</v>
      </c>
      <c r="O257" s="126">
        <f t="shared" si="519"/>
        <v>1.1289788658</v>
      </c>
      <c r="P257" s="126">
        <f t="shared" si="519"/>
        <v>1.17617018239044</v>
      </c>
      <c r="Q257" s="126">
        <f t="shared" si="519"/>
        <v>1.2253340960143604</v>
      </c>
      <c r="R257" s="126">
        <f t="shared" si="519"/>
        <v>1.2765530612277607</v>
      </c>
      <c r="S257" s="126">
        <f t="shared" si="519"/>
        <v>1.3299129791870812</v>
      </c>
      <c r="T257" s="126">
        <f t="shared" si="519"/>
        <v>1.3855033417171012</v>
      </c>
      <c r="U257" s="126">
        <f t="shared" si="519"/>
        <v>1.4434173814008762</v>
      </c>
      <c r="V257" s="126">
        <f t="shared" si="519"/>
        <v>1.5037522279434328</v>
      </c>
      <c r="W257" s="126">
        <f t="shared" si="519"/>
        <v>1.5666090710714684</v>
      </c>
      <c r="X257" s="126">
        <f t="shared" si="519"/>
        <v>1.6320933302422558</v>
      </c>
      <c r="Y257" s="126">
        <f t="shared" si="519"/>
        <v>1.7003148314463821</v>
      </c>
      <c r="Z257" s="126">
        <f t="shared" si="519"/>
        <v>1.771387991400841</v>
      </c>
      <c r="AA257" s="126">
        <f t="shared" si="519"/>
        <v>1.8454320094413963</v>
      </c>
      <c r="AB257" s="126">
        <f t="shared" si="519"/>
        <v>1.9225710674360468</v>
      </c>
      <c r="AC257" s="126">
        <f t="shared" si="519"/>
        <v>2.0029345380548738</v>
      </c>
      <c r="AD257" s="126">
        <f t="shared" si="519"/>
        <v>2.0866572017455676</v>
      </c>
      <c r="AE257" s="126">
        <f t="shared" si="519"/>
        <v>2.1738794727785322</v>
      </c>
      <c r="AF257" s="126">
        <f t="shared" si="519"/>
        <v>2.264747634740675</v>
      </c>
      <c r="AG257" s="126">
        <f t="shared" si="519"/>
        <v>2.3594140858728352</v>
      </c>
      <c r="AH257" s="126">
        <f t="shared" si="519"/>
        <v>2.4580375946623199</v>
      </c>
      <c r="AI257" s="126">
        <f t="shared" si="519"/>
        <v>2.5607835661192051</v>
      </c>
      <c r="AJ257" s="126">
        <f t="shared" si="519"/>
        <v>2.667824319182988</v>
      </c>
      <c r="AK257" s="126">
        <f t="shared" si="519"/>
        <v>2.7793393757248372</v>
      </c>
      <c r="AL257" s="126">
        <f t="shared" si="519"/>
        <v>2.8955157616301355</v>
      </c>
      <c r="AM257" s="126">
        <f t="shared" si="519"/>
        <v>3.0165483204662751</v>
      </c>
      <c r="AN257" s="126">
        <f t="shared" si="519"/>
        <v>3.1426400402617656</v>
      </c>
      <c r="AO257" s="126">
        <f t="shared" si="519"/>
        <v>3.2740023939447074</v>
      </c>
      <c r="AP257" s="126">
        <f t="shared" si="519"/>
        <v>3.4108556940115964</v>
      </c>
      <c r="AQ257" s="126">
        <f t="shared" si="519"/>
        <v>3.5534294620212812</v>
      </c>
      <c r="AR257" s="126">
        <f t="shared" si="519"/>
        <v>3.701962813533771</v>
      </c>
      <c r="AS257" s="126">
        <f t="shared" si="519"/>
        <v>3.8567048591394828</v>
      </c>
      <c r="AT257" s="126">
        <f t="shared" si="519"/>
        <v>4.0179151222515133</v>
      </c>
      <c r="AU257" s="126">
        <f t="shared" si="519"/>
        <v>4.1858639743616264</v>
      </c>
      <c r="AV257" s="126">
        <f t="shared" si="519"/>
        <v>4.3608330884899429</v>
      </c>
      <c r="AW257" s="126">
        <f t="shared" si="519"/>
        <v>4.5431159115888224</v>
      </c>
      <c r="AX257" s="126">
        <f t="shared" si="519"/>
        <v>4.7330181566932357</v>
      </c>
      <c r="AY257" s="126">
        <f t="shared" si="519"/>
        <v>4.9308583156430128</v>
      </c>
      <c r="AZ257" s="126">
        <f t="shared" si="519"/>
        <v>5.1369681932368909</v>
      </c>
      <c r="BA257" s="126">
        <f t="shared" si="519"/>
        <v>5.3516934637141933</v>
      </c>
      <c r="BB257" s="126">
        <f t="shared" si="519"/>
        <v>5.575394250497447</v>
      </c>
      <c r="BC257" s="126">
        <f t="shared" si="519"/>
        <v>5.8084457301682404</v>
      </c>
      <c r="BD257" s="126">
        <f t="shared" si="519"/>
        <v>6.0512387616892731</v>
      </c>
    </row>
    <row r="258" spans="2:56">
      <c r="B258" s="6" t="str">
        <f t="shared" si="454"/>
        <v>Dressings</v>
      </c>
      <c r="D258" s="126">
        <f t="shared" ref="D258:H258" si="520">INDEX($C209:$AG209, MATCH(D$224, $C$175:$AG$175))*E258</f>
        <v>0.89400723846022712</v>
      </c>
      <c r="E258" s="126">
        <f t="shared" si="520"/>
        <v>0.91132236336414596</v>
      </c>
      <c r="F258" s="126">
        <f t="shared" si="520"/>
        <v>0.92897284746599995</v>
      </c>
      <c r="G258" s="126">
        <f t="shared" si="520"/>
        <v>0.94696518600000001</v>
      </c>
      <c r="H258" s="126">
        <f t="shared" si="520"/>
        <v>0.965306</v>
      </c>
      <c r="I258" s="126">
        <f t="shared" si="452"/>
        <v>0.98199999999999998</v>
      </c>
      <c r="K258" s="123">
        <v>1</v>
      </c>
      <c r="M258" s="126">
        <f t="shared" si="456"/>
        <v>1.0189999999999999</v>
      </c>
      <c r="N258" s="126">
        <f t="shared" ref="N258:BD258" si="521">INDEX($C209:$BC209, MATCH(N$224, $C$175:$BC$175,0))*M258</f>
        <v>1.03938</v>
      </c>
      <c r="O258" s="126">
        <f t="shared" si="521"/>
        <v>1.0591282199999998</v>
      </c>
      <c r="P258" s="126">
        <f t="shared" si="521"/>
        <v>1.0792516561799996</v>
      </c>
      <c r="Q258" s="126">
        <f t="shared" si="521"/>
        <v>1.0997574376474195</v>
      </c>
      <c r="R258" s="126">
        <f t="shared" si="521"/>
        <v>1.1206528289627204</v>
      </c>
      <c r="S258" s="126">
        <f t="shared" si="521"/>
        <v>1.141945232713012</v>
      </c>
      <c r="T258" s="126">
        <f t="shared" si="521"/>
        <v>1.163642192134559</v>
      </c>
      <c r="U258" s="126">
        <f t="shared" si="521"/>
        <v>1.1857513937851154</v>
      </c>
      <c r="V258" s="126">
        <f t="shared" si="521"/>
        <v>1.2082806702670326</v>
      </c>
      <c r="W258" s="126">
        <f t="shared" si="521"/>
        <v>1.2312380030021062</v>
      </c>
      <c r="X258" s="126">
        <f t="shared" si="521"/>
        <v>1.254631525059146</v>
      </c>
      <c r="Y258" s="126">
        <f t="shared" si="521"/>
        <v>1.2784695240352697</v>
      </c>
      <c r="Z258" s="126">
        <f t="shared" si="521"/>
        <v>1.3027604449919397</v>
      </c>
      <c r="AA258" s="126">
        <f t="shared" si="521"/>
        <v>1.3275128934467864</v>
      </c>
      <c r="AB258" s="126">
        <f t="shared" si="521"/>
        <v>1.3527356384222751</v>
      </c>
      <c r="AC258" s="126">
        <f t="shared" si="521"/>
        <v>1.3784376155522982</v>
      </c>
      <c r="AD258" s="126">
        <f t="shared" si="521"/>
        <v>1.4046279302477918</v>
      </c>
      <c r="AE258" s="126">
        <f t="shared" si="521"/>
        <v>1.4313158609224996</v>
      </c>
      <c r="AF258" s="126">
        <f t="shared" si="521"/>
        <v>1.4585108622800269</v>
      </c>
      <c r="AG258" s="126">
        <f t="shared" si="521"/>
        <v>1.4862225686633472</v>
      </c>
      <c r="AH258" s="126">
        <f t="shared" si="521"/>
        <v>1.5144607974679507</v>
      </c>
      <c r="AI258" s="126">
        <f t="shared" si="521"/>
        <v>1.5432355526198416</v>
      </c>
      <c r="AJ258" s="126">
        <f t="shared" si="521"/>
        <v>1.5725570281196184</v>
      </c>
      <c r="AK258" s="126">
        <f t="shared" si="521"/>
        <v>1.6024356116538909</v>
      </c>
      <c r="AL258" s="126">
        <f t="shared" si="521"/>
        <v>1.6328818882753147</v>
      </c>
      <c r="AM258" s="126">
        <f t="shared" si="521"/>
        <v>1.6639066441525454</v>
      </c>
      <c r="AN258" s="126">
        <f t="shared" si="521"/>
        <v>1.6955208703914437</v>
      </c>
      <c r="AO258" s="126">
        <f t="shared" si="521"/>
        <v>1.7277357669288811</v>
      </c>
      <c r="AP258" s="126">
        <f t="shared" si="521"/>
        <v>1.7605627465005296</v>
      </c>
      <c r="AQ258" s="126">
        <f t="shared" si="521"/>
        <v>1.7940134386840394</v>
      </c>
      <c r="AR258" s="126">
        <f t="shared" si="521"/>
        <v>1.8280996940190359</v>
      </c>
      <c r="AS258" s="126">
        <f t="shared" si="521"/>
        <v>1.8628335882053975</v>
      </c>
      <c r="AT258" s="126">
        <f t="shared" si="521"/>
        <v>1.8982274263812999</v>
      </c>
      <c r="AU258" s="126">
        <f t="shared" si="521"/>
        <v>1.9342937474825443</v>
      </c>
      <c r="AV258" s="126">
        <f t="shared" si="521"/>
        <v>1.9710453286847125</v>
      </c>
      <c r="AW258" s="126">
        <f t="shared" si="521"/>
        <v>2.0084951899297216</v>
      </c>
      <c r="AX258" s="126">
        <f t="shared" si="521"/>
        <v>2.046656598538386</v>
      </c>
      <c r="AY258" s="126">
        <f t="shared" si="521"/>
        <v>2.0855430739106153</v>
      </c>
      <c r="AZ258" s="126">
        <f t="shared" si="521"/>
        <v>2.1251683923149169</v>
      </c>
      <c r="BA258" s="126">
        <f t="shared" si="521"/>
        <v>2.1655465917689001</v>
      </c>
      <c r="BB258" s="126">
        <f t="shared" si="521"/>
        <v>2.2066919770125089</v>
      </c>
      <c r="BC258" s="126">
        <f t="shared" si="521"/>
        <v>2.2486191245757463</v>
      </c>
      <c r="BD258" s="126">
        <f t="shared" si="521"/>
        <v>2.2913428879426854</v>
      </c>
    </row>
    <row r="259" spans="2:56">
      <c r="B259" s="6" t="str">
        <f t="shared" si="454"/>
        <v>Allied health-care visits</v>
      </c>
      <c r="D259" s="126">
        <f t="shared" ref="D259:H259" si="522">INDEX($C210:$AG210, MATCH(D$224, $C$175:$AG$175))*E259</f>
        <v>0.86414452553641208</v>
      </c>
      <c r="E259" s="126">
        <f t="shared" si="522"/>
        <v>0.88430671872330346</v>
      </c>
      <c r="F259" s="126">
        <f t="shared" si="522"/>
        <v>0.90493933557439987</v>
      </c>
      <c r="G259" s="126">
        <f t="shared" si="522"/>
        <v>0.92605335199999994</v>
      </c>
      <c r="H259" s="126">
        <f t="shared" si="522"/>
        <v>0.94765999999999995</v>
      </c>
      <c r="I259" s="126">
        <f t="shared" si="452"/>
        <v>0.98</v>
      </c>
      <c r="K259" s="123">
        <v>1</v>
      </c>
      <c r="M259" s="126">
        <f t="shared" si="456"/>
        <v>1.016</v>
      </c>
      <c r="N259" s="126">
        <f t="shared" ref="N259:BD259" si="523">INDEX($C210:$BC210, MATCH(N$224, $C$175:$BC$175,0))*M259</f>
        <v>1.0454639999999999</v>
      </c>
      <c r="O259" s="126">
        <f t="shared" si="523"/>
        <v>1.0693005791999999</v>
      </c>
      <c r="P259" s="126">
        <f t="shared" si="523"/>
        <v>1.0936806324057597</v>
      </c>
      <c r="Q259" s="126">
        <f t="shared" si="523"/>
        <v>1.1186165508246111</v>
      </c>
      <c r="R259" s="126">
        <f t="shared" si="523"/>
        <v>1.1441210081834121</v>
      </c>
      <c r="S259" s="126">
        <f t="shared" si="523"/>
        <v>1.1702069671699937</v>
      </c>
      <c r="T259" s="126">
        <f t="shared" si="523"/>
        <v>1.1968876860214694</v>
      </c>
      <c r="U259" s="126">
        <f t="shared" si="523"/>
        <v>1.2241767252627589</v>
      </c>
      <c r="V259" s="126">
        <f t="shared" si="523"/>
        <v>1.2520879545987498</v>
      </c>
      <c r="W259" s="126">
        <f t="shared" si="523"/>
        <v>1.2806355599636012</v>
      </c>
      <c r="X259" s="126">
        <f t="shared" si="523"/>
        <v>1.3098340507307713</v>
      </c>
      <c r="Y259" s="126">
        <f t="shared" si="523"/>
        <v>1.3396982670874329</v>
      </c>
      <c r="Z259" s="126">
        <f t="shared" si="523"/>
        <v>1.3702433875770264</v>
      </c>
      <c r="AA259" s="126">
        <f t="shared" si="523"/>
        <v>1.4014849368137825</v>
      </c>
      <c r="AB259" s="126">
        <f t="shared" si="523"/>
        <v>1.4334387933731367</v>
      </c>
      <c r="AC259" s="126">
        <f t="shared" si="523"/>
        <v>1.4661211978620441</v>
      </c>
      <c r="AD259" s="126">
        <f t="shared" si="523"/>
        <v>1.4995487611732985</v>
      </c>
      <c r="AE259" s="126">
        <f t="shared" si="523"/>
        <v>1.5337384729280497</v>
      </c>
      <c r="AF259" s="126">
        <f t="shared" si="523"/>
        <v>1.5687077101108091</v>
      </c>
      <c r="AG259" s="126">
        <f t="shared" si="523"/>
        <v>1.6044742459013355</v>
      </c>
      <c r="AH259" s="126">
        <f t="shared" si="523"/>
        <v>1.6410562587078859</v>
      </c>
      <c r="AI259" s="126">
        <f t="shared" si="523"/>
        <v>1.6784723414064255</v>
      </c>
      <c r="AJ259" s="126">
        <f t="shared" si="523"/>
        <v>1.716741510790492</v>
      </c>
      <c r="AK259" s="126">
        <f t="shared" si="523"/>
        <v>1.7558832172365151</v>
      </c>
      <c r="AL259" s="126">
        <f t="shared" si="523"/>
        <v>1.7959173545895075</v>
      </c>
      <c r="AM259" s="126">
        <f t="shared" si="523"/>
        <v>1.8368642702741482</v>
      </c>
      <c r="AN259" s="126">
        <f t="shared" si="523"/>
        <v>1.8787447756363986</v>
      </c>
      <c r="AO259" s="126">
        <f t="shared" si="523"/>
        <v>1.9215801565209083</v>
      </c>
      <c r="AP259" s="126">
        <f t="shared" si="523"/>
        <v>1.9653921840895849</v>
      </c>
      <c r="AQ259" s="126">
        <f t="shared" si="523"/>
        <v>2.0102031258868274</v>
      </c>
      <c r="AR259" s="126">
        <f t="shared" si="523"/>
        <v>2.0560357571570469</v>
      </c>
      <c r="AS259" s="126">
        <f t="shared" si="523"/>
        <v>2.1029133724202276</v>
      </c>
      <c r="AT259" s="126">
        <f t="shared" si="523"/>
        <v>2.1508597973114085</v>
      </c>
      <c r="AU259" s="126">
        <f t="shared" si="523"/>
        <v>2.1998994006901085</v>
      </c>
      <c r="AV259" s="126">
        <f t="shared" si="523"/>
        <v>2.2500571070258428</v>
      </c>
      <c r="AW259" s="126">
        <f t="shared" si="523"/>
        <v>2.3013584090660317</v>
      </c>
      <c r="AX259" s="126">
        <f t="shared" si="523"/>
        <v>2.3538293807927371</v>
      </c>
      <c r="AY259" s="126">
        <f t="shared" si="523"/>
        <v>2.4074966906748112</v>
      </c>
      <c r="AZ259" s="126">
        <f t="shared" si="523"/>
        <v>2.4623876152221968</v>
      </c>
      <c r="BA259" s="126">
        <f t="shared" si="523"/>
        <v>2.5185300528492629</v>
      </c>
      <c r="BB259" s="126">
        <f t="shared" si="523"/>
        <v>2.5759525380542261</v>
      </c>
      <c r="BC259" s="126">
        <f t="shared" si="523"/>
        <v>2.6346842559218624</v>
      </c>
      <c r="BD259" s="126">
        <f t="shared" si="523"/>
        <v>2.6947550569568808</v>
      </c>
    </row>
    <row r="260" spans="2:56">
      <c r="B260" s="6" t="str">
        <f t="shared" si="454"/>
        <v>Dressing pack</v>
      </c>
      <c r="D260" s="126">
        <f t="shared" ref="D260:H260" si="524">INDEX($C211:$AG211, MATCH(D$224, $C$175:$AG$175))*E260</f>
        <v>0.89400723846022712</v>
      </c>
      <c r="E260" s="126">
        <f t="shared" si="524"/>
        <v>0.91132236336414596</v>
      </c>
      <c r="F260" s="126">
        <f t="shared" si="524"/>
        <v>0.92897284746599995</v>
      </c>
      <c r="G260" s="126">
        <f t="shared" si="524"/>
        <v>0.94696518600000001</v>
      </c>
      <c r="H260" s="126">
        <f t="shared" si="524"/>
        <v>0.965306</v>
      </c>
      <c r="I260" s="126">
        <f t="shared" si="452"/>
        <v>0.98199999999999998</v>
      </c>
      <c r="K260" s="123">
        <v>1</v>
      </c>
      <c r="M260" s="126">
        <f t="shared" si="456"/>
        <v>1.0189999999999999</v>
      </c>
      <c r="N260" s="126">
        <f t="shared" ref="N260:BD260" si="525">INDEX($C211:$BC211, MATCH(N$224, $C$175:$BC$175,0))*M260</f>
        <v>1.03938</v>
      </c>
      <c r="O260" s="126">
        <f t="shared" si="525"/>
        <v>1.0591282199999998</v>
      </c>
      <c r="P260" s="126">
        <f t="shared" si="525"/>
        <v>1.0792516561799996</v>
      </c>
      <c r="Q260" s="126">
        <f t="shared" si="525"/>
        <v>1.0997574376474195</v>
      </c>
      <c r="R260" s="126">
        <f t="shared" si="525"/>
        <v>1.1206528289627204</v>
      </c>
      <c r="S260" s="126">
        <f t="shared" si="525"/>
        <v>1.141945232713012</v>
      </c>
      <c r="T260" s="126">
        <f t="shared" si="525"/>
        <v>1.163642192134559</v>
      </c>
      <c r="U260" s="126">
        <f t="shared" si="525"/>
        <v>1.1857513937851154</v>
      </c>
      <c r="V260" s="126">
        <f t="shared" si="525"/>
        <v>1.2082806702670326</v>
      </c>
      <c r="W260" s="126">
        <f t="shared" si="525"/>
        <v>1.2312380030021062</v>
      </c>
      <c r="X260" s="126">
        <f t="shared" si="525"/>
        <v>1.254631525059146</v>
      </c>
      <c r="Y260" s="126">
        <f t="shared" si="525"/>
        <v>1.2784695240352697</v>
      </c>
      <c r="Z260" s="126">
        <f t="shared" si="525"/>
        <v>1.3027604449919397</v>
      </c>
      <c r="AA260" s="126">
        <f t="shared" si="525"/>
        <v>1.3275128934467864</v>
      </c>
      <c r="AB260" s="126">
        <f t="shared" si="525"/>
        <v>1.3527356384222751</v>
      </c>
      <c r="AC260" s="126">
        <f t="shared" si="525"/>
        <v>1.3784376155522982</v>
      </c>
      <c r="AD260" s="126">
        <f t="shared" si="525"/>
        <v>1.4046279302477918</v>
      </c>
      <c r="AE260" s="126">
        <f t="shared" si="525"/>
        <v>1.4313158609224996</v>
      </c>
      <c r="AF260" s="126">
        <f t="shared" si="525"/>
        <v>1.4585108622800269</v>
      </c>
      <c r="AG260" s="126">
        <f t="shared" si="525"/>
        <v>1.4862225686633472</v>
      </c>
      <c r="AH260" s="126">
        <f t="shared" si="525"/>
        <v>1.5144607974679507</v>
      </c>
      <c r="AI260" s="126">
        <f t="shared" si="525"/>
        <v>1.5432355526198416</v>
      </c>
      <c r="AJ260" s="126">
        <f t="shared" si="525"/>
        <v>1.5725570281196184</v>
      </c>
      <c r="AK260" s="126">
        <f t="shared" si="525"/>
        <v>1.6024356116538909</v>
      </c>
      <c r="AL260" s="126">
        <f t="shared" si="525"/>
        <v>1.6328818882753147</v>
      </c>
      <c r="AM260" s="126">
        <f t="shared" si="525"/>
        <v>1.6639066441525454</v>
      </c>
      <c r="AN260" s="126">
        <f t="shared" si="525"/>
        <v>1.6955208703914437</v>
      </c>
      <c r="AO260" s="126">
        <f t="shared" si="525"/>
        <v>1.7277357669288811</v>
      </c>
      <c r="AP260" s="126">
        <f t="shared" si="525"/>
        <v>1.7605627465005296</v>
      </c>
      <c r="AQ260" s="126">
        <f t="shared" si="525"/>
        <v>1.7940134386840394</v>
      </c>
      <c r="AR260" s="126">
        <f t="shared" si="525"/>
        <v>1.8280996940190359</v>
      </c>
      <c r="AS260" s="126">
        <f t="shared" si="525"/>
        <v>1.8628335882053975</v>
      </c>
      <c r="AT260" s="126">
        <f t="shared" si="525"/>
        <v>1.8982274263812999</v>
      </c>
      <c r="AU260" s="126">
        <f t="shared" si="525"/>
        <v>1.9342937474825443</v>
      </c>
      <c r="AV260" s="126">
        <f t="shared" si="525"/>
        <v>1.9710453286847125</v>
      </c>
      <c r="AW260" s="126">
        <f t="shared" si="525"/>
        <v>2.0084951899297216</v>
      </c>
      <c r="AX260" s="126">
        <f t="shared" si="525"/>
        <v>2.046656598538386</v>
      </c>
      <c r="AY260" s="126">
        <f t="shared" si="525"/>
        <v>2.0855430739106153</v>
      </c>
      <c r="AZ260" s="126">
        <f t="shared" si="525"/>
        <v>2.1251683923149169</v>
      </c>
      <c r="BA260" s="126">
        <f t="shared" si="525"/>
        <v>2.1655465917689001</v>
      </c>
      <c r="BB260" s="126">
        <f t="shared" si="525"/>
        <v>2.2066919770125089</v>
      </c>
      <c r="BC260" s="126">
        <f t="shared" si="525"/>
        <v>2.2486191245757463</v>
      </c>
      <c r="BD260" s="126">
        <f t="shared" si="525"/>
        <v>2.2913428879426854</v>
      </c>
    </row>
    <row r="261" spans="2:56">
      <c r="B261" s="6" t="str">
        <f t="shared" si="454"/>
        <v>Saline</v>
      </c>
      <c r="D261" s="126">
        <f t="shared" ref="D261:H261" si="526">INDEX($C212:$AG212, MATCH(D$224, $C$175:$AG$175))*E261</f>
        <v>0.89400723846022712</v>
      </c>
      <c r="E261" s="126">
        <f t="shared" si="526"/>
        <v>0.91132236336414596</v>
      </c>
      <c r="F261" s="126">
        <f t="shared" si="526"/>
        <v>0.92897284746599995</v>
      </c>
      <c r="G261" s="126">
        <f t="shared" si="526"/>
        <v>0.94696518600000001</v>
      </c>
      <c r="H261" s="126">
        <f t="shared" si="526"/>
        <v>0.965306</v>
      </c>
      <c r="I261" s="126">
        <f t="shared" si="452"/>
        <v>0.98199999999999998</v>
      </c>
      <c r="K261" s="123">
        <v>1</v>
      </c>
      <c r="M261" s="126">
        <f t="shared" si="456"/>
        <v>1.0189999999999999</v>
      </c>
      <c r="N261" s="126">
        <f t="shared" ref="N261:BD261" si="527">INDEX($C212:$BC212, MATCH(N$224, $C$175:$BC$175,0))*M261</f>
        <v>1.03938</v>
      </c>
      <c r="O261" s="126">
        <f t="shared" si="527"/>
        <v>1.0591282199999998</v>
      </c>
      <c r="P261" s="126">
        <f t="shared" si="527"/>
        <v>1.0792516561799996</v>
      </c>
      <c r="Q261" s="126">
        <f t="shared" si="527"/>
        <v>1.0997574376474195</v>
      </c>
      <c r="R261" s="126">
        <f t="shared" si="527"/>
        <v>1.1206528289627204</v>
      </c>
      <c r="S261" s="126">
        <f t="shared" si="527"/>
        <v>1.141945232713012</v>
      </c>
      <c r="T261" s="126">
        <f t="shared" si="527"/>
        <v>1.163642192134559</v>
      </c>
      <c r="U261" s="126">
        <f t="shared" si="527"/>
        <v>1.1857513937851154</v>
      </c>
      <c r="V261" s="126">
        <f t="shared" si="527"/>
        <v>1.2082806702670326</v>
      </c>
      <c r="W261" s="126">
        <f t="shared" si="527"/>
        <v>1.2312380030021062</v>
      </c>
      <c r="X261" s="126">
        <f t="shared" si="527"/>
        <v>1.254631525059146</v>
      </c>
      <c r="Y261" s="126">
        <f t="shared" si="527"/>
        <v>1.2784695240352697</v>
      </c>
      <c r="Z261" s="126">
        <f t="shared" si="527"/>
        <v>1.3027604449919397</v>
      </c>
      <c r="AA261" s="126">
        <f t="shared" si="527"/>
        <v>1.3275128934467864</v>
      </c>
      <c r="AB261" s="126">
        <f t="shared" si="527"/>
        <v>1.3527356384222751</v>
      </c>
      <c r="AC261" s="126">
        <f t="shared" si="527"/>
        <v>1.3784376155522982</v>
      </c>
      <c r="AD261" s="126">
        <f t="shared" si="527"/>
        <v>1.4046279302477918</v>
      </c>
      <c r="AE261" s="126">
        <f t="shared" si="527"/>
        <v>1.4313158609224996</v>
      </c>
      <c r="AF261" s="126">
        <f t="shared" si="527"/>
        <v>1.4585108622800269</v>
      </c>
      <c r="AG261" s="126">
        <f t="shared" si="527"/>
        <v>1.4862225686633472</v>
      </c>
      <c r="AH261" s="126">
        <f t="shared" si="527"/>
        <v>1.5144607974679507</v>
      </c>
      <c r="AI261" s="126">
        <f t="shared" si="527"/>
        <v>1.5432355526198416</v>
      </c>
      <c r="AJ261" s="126">
        <f t="shared" si="527"/>
        <v>1.5725570281196184</v>
      </c>
      <c r="AK261" s="126">
        <f t="shared" si="527"/>
        <v>1.6024356116538909</v>
      </c>
      <c r="AL261" s="126">
        <f t="shared" si="527"/>
        <v>1.6328818882753147</v>
      </c>
      <c r="AM261" s="126">
        <f t="shared" si="527"/>
        <v>1.6639066441525454</v>
      </c>
      <c r="AN261" s="126">
        <f t="shared" si="527"/>
        <v>1.6955208703914437</v>
      </c>
      <c r="AO261" s="126">
        <f t="shared" si="527"/>
        <v>1.7277357669288811</v>
      </c>
      <c r="AP261" s="126">
        <f t="shared" si="527"/>
        <v>1.7605627465005296</v>
      </c>
      <c r="AQ261" s="126">
        <f t="shared" si="527"/>
        <v>1.7940134386840394</v>
      </c>
      <c r="AR261" s="126">
        <f t="shared" si="527"/>
        <v>1.8280996940190359</v>
      </c>
      <c r="AS261" s="126">
        <f t="shared" si="527"/>
        <v>1.8628335882053975</v>
      </c>
      <c r="AT261" s="126">
        <f t="shared" si="527"/>
        <v>1.8982274263812999</v>
      </c>
      <c r="AU261" s="126">
        <f t="shared" si="527"/>
        <v>1.9342937474825443</v>
      </c>
      <c r="AV261" s="126">
        <f t="shared" si="527"/>
        <v>1.9710453286847125</v>
      </c>
      <c r="AW261" s="126">
        <f t="shared" si="527"/>
        <v>2.0084951899297216</v>
      </c>
      <c r="AX261" s="126">
        <f t="shared" si="527"/>
        <v>2.046656598538386</v>
      </c>
      <c r="AY261" s="126">
        <f t="shared" si="527"/>
        <v>2.0855430739106153</v>
      </c>
      <c r="AZ261" s="126">
        <f t="shared" si="527"/>
        <v>2.1251683923149169</v>
      </c>
      <c r="BA261" s="126">
        <f t="shared" si="527"/>
        <v>2.1655465917689001</v>
      </c>
      <c r="BB261" s="126">
        <f t="shared" si="527"/>
        <v>2.2066919770125089</v>
      </c>
      <c r="BC261" s="126">
        <f t="shared" si="527"/>
        <v>2.2486191245757463</v>
      </c>
      <c r="BD261" s="126">
        <f t="shared" si="527"/>
        <v>2.2913428879426854</v>
      </c>
    </row>
    <row r="262" spans="2:56">
      <c r="B262" s="6" t="str">
        <f t="shared" si="454"/>
        <v>Wound Contact Layer</v>
      </c>
      <c r="D262" s="126">
        <f t="shared" ref="D262:H262" si="528">INDEX($C213:$AG213, MATCH(D$224, $C$175:$AG$175))*E262</f>
        <v>0.89400723846022712</v>
      </c>
      <c r="E262" s="126">
        <f t="shared" si="528"/>
        <v>0.91132236336414596</v>
      </c>
      <c r="F262" s="126">
        <f t="shared" si="528"/>
        <v>0.92897284746599995</v>
      </c>
      <c r="G262" s="126">
        <f t="shared" si="528"/>
        <v>0.94696518600000001</v>
      </c>
      <c r="H262" s="126">
        <f t="shared" si="528"/>
        <v>0.965306</v>
      </c>
      <c r="I262" s="126">
        <f t="shared" si="452"/>
        <v>0.98199999999999998</v>
      </c>
      <c r="K262" s="123">
        <v>1</v>
      </c>
      <c r="M262" s="126">
        <f t="shared" si="456"/>
        <v>1.0189999999999999</v>
      </c>
      <c r="N262" s="126">
        <f t="shared" ref="N262:BD262" si="529">INDEX($C213:$BC213, MATCH(N$224, $C$175:$BC$175,0))*M262</f>
        <v>1.03938</v>
      </c>
      <c r="O262" s="126">
        <f t="shared" si="529"/>
        <v>1.0591282199999998</v>
      </c>
      <c r="P262" s="126">
        <f t="shared" si="529"/>
        <v>1.0792516561799996</v>
      </c>
      <c r="Q262" s="126">
        <f t="shared" si="529"/>
        <v>1.0997574376474195</v>
      </c>
      <c r="R262" s="126">
        <f t="shared" si="529"/>
        <v>1.1206528289627204</v>
      </c>
      <c r="S262" s="126">
        <f t="shared" si="529"/>
        <v>1.141945232713012</v>
      </c>
      <c r="T262" s="126">
        <f t="shared" si="529"/>
        <v>1.163642192134559</v>
      </c>
      <c r="U262" s="126">
        <f t="shared" si="529"/>
        <v>1.1857513937851154</v>
      </c>
      <c r="V262" s="126">
        <f t="shared" si="529"/>
        <v>1.2082806702670326</v>
      </c>
      <c r="W262" s="126">
        <f t="shared" si="529"/>
        <v>1.2312380030021062</v>
      </c>
      <c r="X262" s="126">
        <f t="shared" si="529"/>
        <v>1.254631525059146</v>
      </c>
      <c r="Y262" s="126">
        <f t="shared" si="529"/>
        <v>1.2784695240352697</v>
      </c>
      <c r="Z262" s="126">
        <f t="shared" si="529"/>
        <v>1.3027604449919397</v>
      </c>
      <c r="AA262" s="126">
        <f t="shared" si="529"/>
        <v>1.3275128934467864</v>
      </c>
      <c r="AB262" s="126">
        <f t="shared" si="529"/>
        <v>1.3527356384222751</v>
      </c>
      <c r="AC262" s="126">
        <f t="shared" si="529"/>
        <v>1.3784376155522982</v>
      </c>
      <c r="AD262" s="126">
        <f t="shared" si="529"/>
        <v>1.4046279302477918</v>
      </c>
      <c r="AE262" s="126">
        <f t="shared" si="529"/>
        <v>1.4313158609224996</v>
      </c>
      <c r="AF262" s="126">
        <f t="shared" si="529"/>
        <v>1.4585108622800269</v>
      </c>
      <c r="AG262" s="126">
        <f t="shared" si="529"/>
        <v>1.4862225686633472</v>
      </c>
      <c r="AH262" s="126">
        <f t="shared" si="529"/>
        <v>1.5144607974679507</v>
      </c>
      <c r="AI262" s="126">
        <f t="shared" si="529"/>
        <v>1.5432355526198416</v>
      </c>
      <c r="AJ262" s="126">
        <f t="shared" si="529"/>
        <v>1.5725570281196184</v>
      </c>
      <c r="AK262" s="126">
        <f t="shared" si="529"/>
        <v>1.6024356116538909</v>
      </c>
      <c r="AL262" s="126">
        <f t="shared" si="529"/>
        <v>1.6328818882753147</v>
      </c>
      <c r="AM262" s="126">
        <f t="shared" si="529"/>
        <v>1.6639066441525454</v>
      </c>
      <c r="AN262" s="126">
        <f t="shared" si="529"/>
        <v>1.6955208703914437</v>
      </c>
      <c r="AO262" s="126">
        <f t="shared" si="529"/>
        <v>1.7277357669288811</v>
      </c>
      <c r="AP262" s="126">
        <f t="shared" si="529"/>
        <v>1.7605627465005296</v>
      </c>
      <c r="AQ262" s="126">
        <f t="shared" si="529"/>
        <v>1.7940134386840394</v>
      </c>
      <c r="AR262" s="126">
        <f t="shared" si="529"/>
        <v>1.8280996940190359</v>
      </c>
      <c r="AS262" s="126">
        <f t="shared" si="529"/>
        <v>1.8628335882053975</v>
      </c>
      <c r="AT262" s="126">
        <f t="shared" si="529"/>
        <v>1.8982274263812999</v>
      </c>
      <c r="AU262" s="126">
        <f t="shared" si="529"/>
        <v>1.9342937474825443</v>
      </c>
      <c r="AV262" s="126">
        <f t="shared" si="529"/>
        <v>1.9710453286847125</v>
      </c>
      <c r="AW262" s="126">
        <f t="shared" si="529"/>
        <v>2.0084951899297216</v>
      </c>
      <c r="AX262" s="126">
        <f t="shared" si="529"/>
        <v>2.046656598538386</v>
      </c>
      <c r="AY262" s="126">
        <f t="shared" si="529"/>
        <v>2.0855430739106153</v>
      </c>
      <c r="AZ262" s="126">
        <f t="shared" si="529"/>
        <v>2.1251683923149169</v>
      </c>
      <c r="BA262" s="126">
        <f t="shared" si="529"/>
        <v>2.1655465917689001</v>
      </c>
      <c r="BB262" s="126">
        <f t="shared" si="529"/>
        <v>2.2066919770125089</v>
      </c>
      <c r="BC262" s="126">
        <f t="shared" si="529"/>
        <v>2.2486191245757463</v>
      </c>
      <c r="BD262" s="126">
        <f t="shared" si="529"/>
        <v>2.2913428879426854</v>
      </c>
    </row>
    <row r="263" spans="2:56" ht="29">
      <c r="B263" s="6" t="str">
        <f t="shared" si="454"/>
        <v>Foam Adhesive dressing (sub-optimal)</v>
      </c>
      <c r="D263" s="126">
        <f t="shared" ref="D263:H263" si="530">INDEX($C214:$AG214, MATCH(D$224, $C$175:$AG$175))*E263</f>
        <v>0.89400723846022712</v>
      </c>
      <c r="E263" s="126">
        <f t="shared" si="530"/>
        <v>0.91132236336414596</v>
      </c>
      <c r="F263" s="126">
        <f t="shared" si="530"/>
        <v>0.92897284746599995</v>
      </c>
      <c r="G263" s="126">
        <f t="shared" si="530"/>
        <v>0.94696518600000001</v>
      </c>
      <c r="H263" s="126">
        <f t="shared" si="530"/>
        <v>0.965306</v>
      </c>
      <c r="I263" s="126">
        <f t="shared" si="452"/>
        <v>0.98199999999999998</v>
      </c>
      <c r="K263" s="123">
        <v>1</v>
      </c>
      <c r="M263" s="126">
        <f t="shared" si="456"/>
        <v>1.0189999999999999</v>
      </c>
      <c r="N263" s="126">
        <f t="shared" ref="N263:BD263" si="531">INDEX($C214:$BC214, MATCH(N$224, $C$175:$BC$175,0))*M263</f>
        <v>1.03938</v>
      </c>
      <c r="O263" s="126">
        <f t="shared" si="531"/>
        <v>1.0591282199999998</v>
      </c>
      <c r="P263" s="126">
        <f t="shared" si="531"/>
        <v>1.0792516561799996</v>
      </c>
      <c r="Q263" s="126">
        <f t="shared" si="531"/>
        <v>1.0997574376474195</v>
      </c>
      <c r="R263" s="126">
        <f t="shared" si="531"/>
        <v>1.1206528289627204</v>
      </c>
      <c r="S263" s="126">
        <f t="shared" si="531"/>
        <v>1.141945232713012</v>
      </c>
      <c r="T263" s="126">
        <f t="shared" si="531"/>
        <v>1.163642192134559</v>
      </c>
      <c r="U263" s="126">
        <f t="shared" si="531"/>
        <v>1.1857513937851154</v>
      </c>
      <c r="V263" s="126">
        <f t="shared" si="531"/>
        <v>1.2082806702670326</v>
      </c>
      <c r="W263" s="126">
        <f t="shared" si="531"/>
        <v>1.2312380030021062</v>
      </c>
      <c r="X263" s="126">
        <f t="shared" si="531"/>
        <v>1.254631525059146</v>
      </c>
      <c r="Y263" s="126">
        <f t="shared" si="531"/>
        <v>1.2784695240352697</v>
      </c>
      <c r="Z263" s="126">
        <f t="shared" si="531"/>
        <v>1.3027604449919397</v>
      </c>
      <c r="AA263" s="126">
        <f t="shared" si="531"/>
        <v>1.3275128934467864</v>
      </c>
      <c r="AB263" s="126">
        <f t="shared" si="531"/>
        <v>1.3527356384222751</v>
      </c>
      <c r="AC263" s="126">
        <f t="shared" si="531"/>
        <v>1.3784376155522982</v>
      </c>
      <c r="AD263" s="126">
        <f t="shared" si="531"/>
        <v>1.4046279302477918</v>
      </c>
      <c r="AE263" s="126">
        <f t="shared" si="531"/>
        <v>1.4313158609224996</v>
      </c>
      <c r="AF263" s="126">
        <f t="shared" si="531"/>
        <v>1.4585108622800269</v>
      </c>
      <c r="AG263" s="126">
        <f t="shared" si="531"/>
        <v>1.4862225686633472</v>
      </c>
      <c r="AH263" s="126">
        <f t="shared" si="531"/>
        <v>1.5144607974679507</v>
      </c>
      <c r="AI263" s="126">
        <f t="shared" si="531"/>
        <v>1.5432355526198416</v>
      </c>
      <c r="AJ263" s="126">
        <f t="shared" si="531"/>
        <v>1.5725570281196184</v>
      </c>
      <c r="AK263" s="126">
        <f t="shared" si="531"/>
        <v>1.6024356116538909</v>
      </c>
      <c r="AL263" s="126">
        <f t="shared" si="531"/>
        <v>1.6328818882753147</v>
      </c>
      <c r="AM263" s="126">
        <f t="shared" si="531"/>
        <v>1.6639066441525454</v>
      </c>
      <c r="AN263" s="126">
        <f t="shared" si="531"/>
        <v>1.6955208703914437</v>
      </c>
      <c r="AO263" s="126">
        <f t="shared" si="531"/>
        <v>1.7277357669288811</v>
      </c>
      <c r="AP263" s="126">
        <f t="shared" si="531"/>
        <v>1.7605627465005296</v>
      </c>
      <c r="AQ263" s="126">
        <f t="shared" si="531"/>
        <v>1.7940134386840394</v>
      </c>
      <c r="AR263" s="126">
        <f t="shared" si="531"/>
        <v>1.8280996940190359</v>
      </c>
      <c r="AS263" s="126">
        <f t="shared" si="531"/>
        <v>1.8628335882053975</v>
      </c>
      <c r="AT263" s="126">
        <f t="shared" si="531"/>
        <v>1.8982274263812999</v>
      </c>
      <c r="AU263" s="126">
        <f t="shared" si="531"/>
        <v>1.9342937474825443</v>
      </c>
      <c r="AV263" s="126">
        <f t="shared" si="531"/>
        <v>1.9710453286847125</v>
      </c>
      <c r="AW263" s="126">
        <f t="shared" si="531"/>
        <v>2.0084951899297216</v>
      </c>
      <c r="AX263" s="126">
        <f t="shared" si="531"/>
        <v>2.046656598538386</v>
      </c>
      <c r="AY263" s="126">
        <f t="shared" si="531"/>
        <v>2.0855430739106153</v>
      </c>
      <c r="AZ263" s="126">
        <f t="shared" si="531"/>
        <v>2.1251683923149169</v>
      </c>
      <c r="BA263" s="126">
        <f t="shared" si="531"/>
        <v>2.1655465917689001</v>
      </c>
      <c r="BB263" s="126">
        <f t="shared" si="531"/>
        <v>2.2066919770125089</v>
      </c>
      <c r="BC263" s="126">
        <f t="shared" si="531"/>
        <v>2.2486191245757463</v>
      </c>
      <c r="BD263" s="126">
        <f t="shared" si="531"/>
        <v>2.2913428879426854</v>
      </c>
    </row>
    <row r="264" spans="2:56">
      <c r="B264" s="6" t="str">
        <f t="shared" si="454"/>
        <v>Compression bandaging 4-layer</v>
      </c>
      <c r="D264" s="126">
        <f t="shared" ref="D264:H265" si="532">INDEX($C215:$AG215, MATCH(D$224, $C$175:$AG$175))*E264</f>
        <v>0.89400723846022712</v>
      </c>
      <c r="E264" s="126">
        <f t="shared" si="532"/>
        <v>0.91132236336414596</v>
      </c>
      <c r="F264" s="126">
        <f t="shared" si="532"/>
        <v>0.92897284746599995</v>
      </c>
      <c r="G264" s="126">
        <f t="shared" si="532"/>
        <v>0.94696518600000001</v>
      </c>
      <c r="H264" s="126">
        <f t="shared" si="532"/>
        <v>0.965306</v>
      </c>
      <c r="I264" s="126">
        <f t="shared" si="452"/>
        <v>0.98199999999999998</v>
      </c>
      <c r="K264" s="123">
        <v>1</v>
      </c>
      <c r="M264" s="126">
        <f t="shared" si="456"/>
        <v>1.0189999999999999</v>
      </c>
      <c r="N264" s="126">
        <f t="shared" ref="N264:BD264" si="533">INDEX($C215:$BC215, MATCH(N$224, $C$175:$BC$175,0))*M264</f>
        <v>1.03938</v>
      </c>
      <c r="O264" s="126">
        <f t="shared" si="533"/>
        <v>1.0591282199999998</v>
      </c>
      <c r="P264" s="126">
        <f t="shared" si="533"/>
        <v>1.0792516561799996</v>
      </c>
      <c r="Q264" s="126">
        <f t="shared" si="533"/>
        <v>1.0997574376474195</v>
      </c>
      <c r="R264" s="126">
        <f t="shared" si="533"/>
        <v>1.1206528289627204</v>
      </c>
      <c r="S264" s="126">
        <f t="shared" si="533"/>
        <v>1.141945232713012</v>
      </c>
      <c r="T264" s="126">
        <f t="shared" si="533"/>
        <v>1.163642192134559</v>
      </c>
      <c r="U264" s="126">
        <f t="shared" si="533"/>
        <v>1.1857513937851154</v>
      </c>
      <c r="V264" s="126">
        <f t="shared" si="533"/>
        <v>1.2082806702670326</v>
      </c>
      <c r="W264" s="126">
        <f t="shared" si="533"/>
        <v>1.2312380030021062</v>
      </c>
      <c r="X264" s="126">
        <f t="shared" si="533"/>
        <v>1.254631525059146</v>
      </c>
      <c r="Y264" s="126">
        <f t="shared" si="533"/>
        <v>1.2784695240352697</v>
      </c>
      <c r="Z264" s="126">
        <f t="shared" si="533"/>
        <v>1.3027604449919397</v>
      </c>
      <c r="AA264" s="126">
        <f t="shared" si="533"/>
        <v>1.3275128934467864</v>
      </c>
      <c r="AB264" s="126">
        <f t="shared" si="533"/>
        <v>1.3527356384222751</v>
      </c>
      <c r="AC264" s="126">
        <f t="shared" si="533"/>
        <v>1.3784376155522982</v>
      </c>
      <c r="AD264" s="126">
        <f t="shared" si="533"/>
        <v>1.4046279302477918</v>
      </c>
      <c r="AE264" s="126">
        <f t="shared" si="533"/>
        <v>1.4313158609224996</v>
      </c>
      <c r="AF264" s="126">
        <f t="shared" si="533"/>
        <v>1.4585108622800269</v>
      </c>
      <c r="AG264" s="126">
        <f t="shared" si="533"/>
        <v>1.4862225686633472</v>
      </c>
      <c r="AH264" s="126">
        <f t="shared" si="533"/>
        <v>1.5144607974679507</v>
      </c>
      <c r="AI264" s="126">
        <f t="shared" si="533"/>
        <v>1.5432355526198416</v>
      </c>
      <c r="AJ264" s="126">
        <f t="shared" si="533"/>
        <v>1.5725570281196184</v>
      </c>
      <c r="AK264" s="126">
        <f t="shared" si="533"/>
        <v>1.6024356116538909</v>
      </c>
      <c r="AL264" s="126">
        <f t="shared" si="533"/>
        <v>1.6328818882753147</v>
      </c>
      <c r="AM264" s="126">
        <f t="shared" si="533"/>
        <v>1.6639066441525454</v>
      </c>
      <c r="AN264" s="126">
        <f t="shared" si="533"/>
        <v>1.6955208703914437</v>
      </c>
      <c r="AO264" s="126">
        <f t="shared" si="533"/>
        <v>1.7277357669288811</v>
      </c>
      <c r="AP264" s="126">
        <f t="shared" si="533"/>
        <v>1.7605627465005296</v>
      </c>
      <c r="AQ264" s="126">
        <f t="shared" si="533"/>
        <v>1.7940134386840394</v>
      </c>
      <c r="AR264" s="126">
        <f t="shared" si="533"/>
        <v>1.8280996940190359</v>
      </c>
      <c r="AS264" s="126">
        <f t="shared" si="533"/>
        <v>1.8628335882053975</v>
      </c>
      <c r="AT264" s="126">
        <f t="shared" si="533"/>
        <v>1.8982274263812999</v>
      </c>
      <c r="AU264" s="126">
        <f t="shared" si="533"/>
        <v>1.9342937474825443</v>
      </c>
      <c r="AV264" s="126">
        <f t="shared" si="533"/>
        <v>1.9710453286847125</v>
      </c>
      <c r="AW264" s="126">
        <f t="shared" si="533"/>
        <v>2.0084951899297216</v>
      </c>
      <c r="AX264" s="126">
        <f t="shared" si="533"/>
        <v>2.046656598538386</v>
      </c>
      <c r="AY264" s="126">
        <f t="shared" si="533"/>
        <v>2.0855430739106153</v>
      </c>
      <c r="AZ264" s="126">
        <f t="shared" si="533"/>
        <v>2.1251683923149169</v>
      </c>
      <c r="BA264" s="126">
        <f t="shared" si="533"/>
        <v>2.1655465917689001</v>
      </c>
      <c r="BB264" s="126">
        <f t="shared" si="533"/>
        <v>2.2066919770125089</v>
      </c>
      <c r="BC264" s="126">
        <f t="shared" si="533"/>
        <v>2.2486191245757463</v>
      </c>
      <c r="BD264" s="126">
        <f t="shared" si="533"/>
        <v>2.2913428879426854</v>
      </c>
    </row>
    <row r="265" spans="2:56">
      <c r="B265" s="6" t="str">
        <f t="shared" si="454"/>
        <v>Specialist nurse visits</v>
      </c>
      <c r="D265" s="126">
        <f t="shared" si="532"/>
        <v>0.86414452553641208</v>
      </c>
      <c r="E265" s="126">
        <f t="shared" si="532"/>
        <v>0.88430671872330346</v>
      </c>
      <c r="F265" s="126">
        <f t="shared" si="532"/>
        <v>0.90493933557439987</v>
      </c>
      <c r="G265" s="126">
        <f t="shared" si="532"/>
        <v>0.92605335199999994</v>
      </c>
      <c r="H265" s="126">
        <f t="shared" si="532"/>
        <v>0.94765999999999995</v>
      </c>
      <c r="I265" s="126">
        <f t="shared" si="452"/>
        <v>0.98</v>
      </c>
      <c r="K265" s="123">
        <v>1</v>
      </c>
      <c r="M265" s="126">
        <f t="shared" si="456"/>
        <v>1.016</v>
      </c>
      <c r="N265" s="126">
        <f t="shared" ref="N265:BD265" si="534">INDEX($C216:$BC216, MATCH(N$224, $C$175:$BC$175,0))*M265</f>
        <v>1.0454639999999999</v>
      </c>
      <c r="O265" s="126">
        <f t="shared" si="534"/>
        <v>1.0693005791999999</v>
      </c>
      <c r="P265" s="126">
        <f t="shared" si="534"/>
        <v>1.0936806324057597</v>
      </c>
      <c r="Q265" s="126">
        <f t="shared" si="534"/>
        <v>1.1186165508246111</v>
      </c>
      <c r="R265" s="126">
        <f t="shared" si="534"/>
        <v>1.1441210081834121</v>
      </c>
      <c r="S265" s="126">
        <f t="shared" si="534"/>
        <v>1.1702069671699937</v>
      </c>
      <c r="T265" s="126">
        <f t="shared" si="534"/>
        <v>1.1968876860214694</v>
      </c>
      <c r="U265" s="126">
        <f t="shared" si="534"/>
        <v>1.2241767252627589</v>
      </c>
      <c r="V265" s="126">
        <f t="shared" si="534"/>
        <v>1.2520879545987498</v>
      </c>
      <c r="W265" s="126">
        <f t="shared" si="534"/>
        <v>1.2806355599636012</v>
      </c>
      <c r="X265" s="126">
        <f t="shared" si="534"/>
        <v>1.3098340507307713</v>
      </c>
      <c r="Y265" s="126">
        <f t="shared" si="534"/>
        <v>1.3396982670874329</v>
      </c>
      <c r="Z265" s="126">
        <f t="shared" si="534"/>
        <v>1.3702433875770264</v>
      </c>
      <c r="AA265" s="126">
        <f t="shared" si="534"/>
        <v>1.4014849368137825</v>
      </c>
      <c r="AB265" s="126">
        <f t="shared" si="534"/>
        <v>1.4334387933731367</v>
      </c>
      <c r="AC265" s="126">
        <f t="shared" si="534"/>
        <v>1.4661211978620441</v>
      </c>
      <c r="AD265" s="126">
        <f t="shared" si="534"/>
        <v>1.4995487611732985</v>
      </c>
      <c r="AE265" s="126">
        <f t="shared" si="534"/>
        <v>1.5337384729280497</v>
      </c>
      <c r="AF265" s="126">
        <f t="shared" si="534"/>
        <v>1.5687077101108091</v>
      </c>
      <c r="AG265" s="126">
        <f t="shared" si="534"/>
        <v>1.6044742459013355</v>
      </c>
      <c r="AH265" s="126">
        <f t="shared" si="534"/>
        <v>1.6410562587078859</v>
      </c>
      <c r="AI265" s="126">
        <f t="shared" si="534"/>
        <v>1.6784723414064255</v>
      </c>
      <c r="AJ265" s="126">
        <f t="shared" si="534"/>
        <v>1.716741510790492</v>
      </c>
      <c r="AK265" s="126">
        <f t="shared" si="534"/>
        <v>1.7558832172365151</v>
      </c>
      <c r="AL265" s="126">
        <f t="shared" si="534"/>
        <v>1.7959173545895075</v>
      </c>
      <c r="AM265" s="126">
        <f t="shared" si="534"/>
        <v>1.8368642702741482</v>
      </c>
      <c r="AN265" s="126">
        <f t="shared" si="534"/>
        <v>1.8787447756363986</v>
      </c>
      <c r="AO265" s="126">
        <f t="shared" si="534"/>
        <v>1.9215801565209083</v>
      </c>
      <c r="AP265" s="126">
        <f t="shared" si="534"/>
        <v>1.9653921840895849</v>
      </c>
      <c r="AQ265" s="126">
        <f t="shared" si="534"/>
        <v>2.0102031258868274</v>
      </c>
      <c r="AR265" s="126">
        <f t="shared" si="534"/>
        <v>2.0560357571570469</v>
      </c>
      <c r="AS265" s="126">
        <f t="shared" si="534"/>
        <v>2.1029133724202276</v>
      </c>
      <c r="AT265" s="126">
        <f t="shared" si="534"/>
        <v>2.1508597973114085</v>
      </c>
      <c r="AU265" s="126">
        <f t="shared" si="534"/>
        <v>2.1998994006901085</v>
      </c>
      <c r="AV265" s="126">
        <f t="shared" si="534"/>
        <v>2.2500571070258428</v>
      </c>
      <c r="AW265" s="126">
        <f t="shared" si="534"/>
        <v>2.3013584090660317</v>
      </c>
      <c r="AX265" s="126">
        <f t="shared" si="534"/>
        <v>2.3538293807927371</v>
      </c>
      <c r="AY265" s="126">
        <f t="shared" si="534"/>
        <v>2.4074966906748112</v>
      </c>
      <c r="AZ265" s="126">
        <f t="shared" si="534"/>
        <v>2.4623876152221968</v>
      </c>
      <c r="BA265" s="126">
        <f t="shared" si="534"/>
        <v>2.5185300528492629</v>
      </c>
      <c r="BB265" s="126">
        <f t="shared" si="534"/>
        <v>2.5759525380542261</v>
      </c>
      <c r="BC265" s="126">
        <f t="shared" si="534"/>
        <v>2.6346842559218624</v>
      </c>
      <c r="BD265" s="126">
        <f t="shared" si="534"/>
        <v>2.6947550569568808</v>
      </c>
    </row>
  </sheetData>
  <dataValidations count="1">
    <dataValidation type="list" allowBlank="1" showInputMessage="1" showErrorMessage="1" sqref="C27:C67" xr:uid="{00000000-0002-0000-2200-000000000000}">
      <formula1>$B$13:$B$17</formula1>
    </dataValidation>
  </dataValidations>
  <pageMargins left="0.7" right="0.7" top="0.75" bottom="0.75" header="0.3" footer="0.3"/>
  <pageSetup paperSize="9" orientation="portrait"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BC8FDD"/>
  </sheetPr>
  <dimension ref="A1:W1679"/>
  <sheetViews>
    <sheetView workbookViewId="0"/>
  </sheetViews>
  <sheetFormatPr defaultRowHeight="14.5"/>
  <cols>
    <col min="2" max="2" width="21.453125" customWidth="1"/>
    <col min="3" max="3" width="52.54296875" customWidth="1"/>
    <col min="4" max="4" width="43.6328125" customWidth="1"/>
    <col min="5" max="5" width="22.90625" customWidth="1"/>
    <col min="20" max="20" width="12" bestFit="1" customWidth="1"/>
    <col min="22" max="22" width="11" bestFit="1" customWidth="1"/>
  </cols>
  <sheetData>
    <row r="1" spans="1:3" s="782" customFormat="1" ht="18.5">
      <c r="A1" s="780" t="s">
        <v>3288</v>
      </c>
    </row>
    <row r="2" spans="1:3" s="782" customFormat="1">
      <c r="A2" s="782" t="s">
        <v>3289</v>
      </c>
    </row>
    <row r="3" spans="1:3" s="782" customFormat="1">
      <c r="A3" s="786" t="s">
        <v>212</v>
      </c>
    </row>
    <row r="4" spans="1:3" s="782" customFormat="1"/>
    <row r="5" spans="1:3" s="783" customFormat="1"/>
    <row r="6" spans="1:3">
      <c r="A6" s="9"/>
    </row>
    <row r="7" spans="1:3">
      <c r="A7" s="29"/>
    </row>
    <row r="8" spans="1:3">
      <c r="A8" s="29"/>
      <c r="B8" s="16"/>
    </row>
    <row r="9" spans="1:3">
      <c r="A9" s="29"/>
      <c r="B9" s="16"/>
    </row>
    <row r="10" spans="1:3">
      <c r="A10" s="9" t="s">
        <v>10</v>
      </c>
      <c r="B10" s="9" t="s">
        <v>214</v>
      </c>
    </row>
    <row r="11" spans="1:3">
      <c r="A11" s="9"/>
      <c r="B11" s="29" t="s">
        <v>213</v>
      </c>
    </row>
    <row r="12" spans="1:3">
      <c r="A12" s="9"/>
      <c r="B12" s="29"/>
    </row>
    <row r="13" spans="1:3">
      <c r="A13" s="29"/>
      <c r="B13" s="158" t="s">
        <v>125</v>
      </c>
      <c r="C13" s="158" t="s">
        <v>215</v>
      </c>
    </row>
    <row r="14" spans="1:3">
      <c r="A14" s="29"/>
      <c r="B14" s="159" t="s">
        <v>216</v>
      </c>
      <c r="C14" s="159">
        <f>V1519</f>
        <v>7.039410874060688</v>
      </c>
    </row>
    <row r="15" spans="1:3">
      <c r="A15" s="29"/>
      <c r="B15" s="159" t="s">
        <v>102</v>
      </c>
      <c r="C15" s="159">
        <f>W38</f>
        <v>23.098297183563602</v>
      </c>
    </row>
    <row r="16" spans="1:3">
      <c r="A16" s="29"/>
      <c r="B16" s="159" t="s">
        <v>2862</v>
      </c>
      <c r="C16" s="159">
        <f>V1651</f>
        <v>0.38928260032847312</v>
      </c>
    </row>
    <row r="17" spans="1:3">
      <c r="A17" s="29"/>
      <c r="B17" s="159" t="s">
        <v>2863</v>
      </c>
      <c r="C17" s="383">
        <v>0.5</v>
      </c>
    </row>
    <row r="18" spans="1:3">
      <c r="A18" s="29"/>
      <c r="B18" s="159" t="s">
        <v>100</v>
      </c>
      <c r="C18" s="159">
        <f>W195</f>
        <v>3.139765878429948</v>
      </c>
    </row>
    <row r="19" spans="1:3">
      <c r="A19" s="29"/>
      <c r="B19" s="160" t="str">
        <f>B195</f>
        <v>Antibacterial</v>
      </c>
      <c r="C19" s="85">
        <f>W198</f>
        <v>4.5345835929387333</v>
      </c>
    </row>
    <row r="20" spans="1:3">
      <c r="A20" s="29"/>
      <c r="B20" s="160" t="str">
        <f>B203</f>
        <v>Foam</v>
      </c>
      <c r="C20" s="85">
        <f>W206</f>
        <v>2.649607261160202</v>
      </c>
    </row>
    <row r="21" spans="1:3">
      <c r="A21" s="29"/>
      <c r="B21" s="160" t="s">
        <v>210</v>
      </c>
      <c r="C21" s="85">
        <f>W465</f>
        <v>3.8296759226955519</v>
      </c>
    </row>
    <row r="22" spans="1:3">
      <c r="A22" s="29"/>
      <c r="B22" s="160" t="str">
        <f>B489</f>
        <v>Polymer</v>
      </c>
      <c r="C22" s="85">
        <f>W492</f>
        <v>3.8395960248989289</v>
      </c>
    </row>
    <row r="23" spans="1:3">
      <c r="A23" s="29"/>
      <c r="B23" s="160" t="str">
        <f>B620</f>
        <v>Hydrogel</v>
      </c>
      <c r="C23" s="85">
        <f>W622</f>
        <v>1.2997263583902288</v>
      </c>
    </row>
    <row r="24" spans="1:3">
      <c r="A24" s="29"/>
      <c r="B24" s="160" t="str">
        <f>B625</f>
        <v>Silver</v>
      </c>
      <c r="C24" s="85">
        <f>W629</f>
        <v>6.4455089314329248</v>
      </c>
    </row>
    <row r="25" spans="1:3">
      <c r="A25" s="29"/>
      <c r="B25" s="160" t="str">
        <f>B693</f>
        <v>Alginate</v>
      </c>
      <c r="C25" s="85">
        <f>W697</f>
        <v>1.4541610731703309</v>
      </c>
    </row>
    <row r="26" spans="1:3">
      <c r="A26" s="29"/>
      <c r="B26" s="314" t="str">
        <f>B722</f>
        <v>Cavity</v>
      </c>
      <c r="C26" s="282">
        <f>W725</f>
        <v>0</v>
      </c>
    </row>
    <row r="27" spans="1:3">
      <c r="A27" s="29"/>
      <c r="B27" s="159" t="s">
        <v>217</v>
      </c>
      <c r="C27" s="85"/>
    </row>
    <row r="28" spans="1:3">
      <c r="A28" s="29"/>
      <c r="B28" s="160" t="s">
        <v>218</v>
      </c>
      <c r="C28" s="85">
        <f>V802</f>
        <v>16.261147422097082</v>
      </c>
    </row>
    <row r="29" spans="1:3">
      <c r="A29" s="29"/>
      <c r="B29" s="160" t="s">
        <v>219</v>
      </c>
      <c r="C29" s="85">
        <f>V876</f>
        <v>4.6362210390219314</v>
      </c>
    </row>
    <row r="30" spans="1:3">
      <c r="A30" s="29"/>
      <c r="B30" s="164" t="s">
        <v>99</v>
      </c>
      <c r="C30" s="159">
        <f>V1531</f>
        <v>1.5930969506538537</v>
      </c>
    </row>
    <row r="31" spans="1:3">
      <c r="A31" s="29"/>
      <c r="B31" s="16"/>
    </row>
    <row r="32" spans="1:3">
      <c r="A32" s="29"/>
      <c r="B32" s="16"/>
    </row>
    <row r="33" spans="1:23">
      <c r="A33" s="29"/>
      <c r="B33" s="16"/>
    </row>
    <row r="35" spans="1:23">
      <c r="A35" s="9" t="s">
        <v>10</v>
      </c>
      <c r="B35" s="9" t="s">
        <v>216</v>
      </c>
    </row>
    <row r="37" spans="1:23">
      <c r="B37" s="141" t="s">
        <v>3</v>
      </c>
      <c r="C37" s="141" t="s">
        <v>220</v>
      </c>
      <c r="D37" s="141" t="s">
        <v>221</v>
      </c>
      <c r="E37" s="141" t="s">
        <v>222</v>
      </c>
      <c r="F37" s="141" t="s">
        <v>223</v>
      </c>
      <c r="G37" s="141" t="s">
        <v>224</v>
      </c>
      <c r="H37" s="141" t="s">
        <v>225</v>
      </c>
      <c r="I37" s="141" t="s">
        <v>226</v>
      </c>
      <c r="J37" s="141" t="s">
        <v>227</v>
      </c>
      <c r="K37" s="141" t="s">
        <v>228</v>
      </c>
      <c r="L37" s="141" t="s">
        <v>229</v>
      </c>
      <c r="M37" s="141" t="s">
        <v>230</v>
      </c>
      <c r="N37" s="141" t="s">
        <v>231</v>
      </c>
      <c r="O37" s="141" t="s">
        <v>232</v>
      </c>
      <c r="P37" s="141" t="s">
        <v>233</v>
      </c>
      <c r="Q37" s="141" t="s">
        <v>234</v>
      </c>
      <c r="R37" s="141" t="s">
        <v>235</v>
      </c>
      <c r="S37" s="141" t="s">
        <v>236</v>
      </c>
      <c r="T37" s="141" t="s">
        <v>237</v>
      </c>
      <c r="U37" s="141" t="s">
        <v>238</v>
      </c>
    </row>
    <row r="38" spans="1:23">
      <c r="B38" s="163">
        <v>2018</v>
      </c>
      <c r="C38" s="163">
        <v>21200000042</v>
      </c>
      <c r="D38" s="163" t="s">
        <v>262</v>
      </c>
      <c r="E38" s="163" t="s">
        <v>240</v>
      </c>
      <c r="F38" s="163" t="s">
        <v>241</v>
      </c>
      <c r="G38" s="163"/>
      <c r="H38" s="163">
        <v>21</v>
      </c>
      <c r="I38" s="163">
        <v>20</v>
      </c>
      <c r="J38" s="163">
        <v>0</v>
      </c>
      <c r="K38" s="163">
        <v>0</v>
      </c>
      <c r="L38" s="163">
        <v>1</v>
      </c>
      <c r="M38" s="163">
        <v>4</v>
      </c>
      <c r="N38" s="163">
        <v>13386</v>
      </c>
      <c r="O38" s="163">
        <v>0</v>
      </c>
      <c r="P38" s="163">
        <v>19216</v>
      </c>
      <c r="Q38" s="163">
        <v>333297.03999999998</v>
      </c>
      <c r="R38" s="163">
        <v>24.898927236999999</v>
      </c>
      <c r="S38" s="163">
        <v>17.344766861</v>
      </c>
      <c r="T38" s="163">
        <v>1.4355296579000001</v>
      </c>
      <c r="U38" s="140">
        <f t="shared" ref="U38:U69" si="0">P38/SUM($P$38:$P$167)</f>
        <v>0.12320239018791955</v>
      </c>
      <c r="W38" s="2">
        <f>SUMPRODUCT($S$38:$S$167, $U$38:$U$167)</f>
        <v>23.098297183563602</v>
      </c>
    </row>
    <row r="39" spans="1:23">
      <c r="B39" s="163">
        <v>2018</v>
      </c>
      <c r="C39" s="163">
        <v>21200000041</v>
      </c>
      <c r="D39" s="163" t="s">
        <v>261</v>
      </c>
      <c r="E39" s="163" t="s">
        <v>240</v>
      </c>
      <c r="F39" s="163" t="s">
        <v>241</v>
      </c>
      <c r="G39" s="163"/>
      <c r="H39" s="163">
        <v>21</v>
      </c>
      <c r="I39" s="163">
        <v>20</v>
      </c>
      <c r="J39" s="163">
        <v>0</v>
      </c>
      <c r="K39" s="163">
        <v>0</v>
      </c>
      <c r="L39" s="163">
        <v>1</v>
      </c>
      <c r="M39" s="163">
        <v>4</v>
      </c>
      <c r="N39" s="163">
        <v>12716</v>
      </c>
      <c r="O39" s="163">
        <v>0</v>
      </c>
      <c r="P39" s="163">
        <v>18264</v>
      </c>
      <c r="Q39" s="163">
        <v>316781.15000000002</v>
      </c>
      <c r="R39" s="163">
        <v>24.912012425</v>
      </c>
      <c r="S39" s="163">
        <v>17.344565812999999</v>
      </c>
      <c r="T39" s="163">
        <v>1.4363007235</v>
      </c>
      <c r="U39" s="140">
        <f t="shared" si="0"/>
        <v>0.11709869142340563</v>
      </c>
    </row>
    <row r="40" spans="1:23">
      <c r="B40" s="163">
        <v>2018</v>
      </c>
      <c r="C40" s="163">
        <v>21200000043</v>
      </c>
      <c r="D40" s="163" t="s">
        <v>263</v>
      </c>
      <c r="E40" s="163" t="s">
        <v>240</v>
      </c>
      <c r="F40" s="163" t="s">
        <v>241</v>
      </c>
      <c r="G40" s="163"/>
      <c r="H40" s="163">
        <v>21</v>
      </c>
      <c r="I40" s="163">
        <v>20</v>
      </c>
      <c r="J40" s="163">
        <v>0</v>
      </c>
      <c r="K40" s="163">
        <v>0</v>
      </c>
      <c r="L40" s="163">
        <v>1</v>
      </c>
      <c r="M40" s="163">
        <v>4</v>
      </c>
      <c r="N40" s="163">
        <v>8773</v>
      </c>
      <c r="O40" s="163">
        <v>0</v>
      </c>
      <c r="P40" s="163">
        <v>12718</v>
      </c>
      <c r="Q40" s="163">
        <v>220591.96</v>
      </c>
      <c r="R40" s="163">
        <v>25.144415820999999</v>
      </c>
      <c r="S40" s="163">
        <v>17.3448624</v>
      </c>
      <c r="T40" s="163">
        <v>1.4496751396000001</v>
      </c>
      <c r="U40" s="140">
        <f t="shared" si="0"/>
        <v>8.154079925114284E-2</v>
      </c>
    </row>
    <row r="41" spans="1:23">
      <c r="B41" s="163">
        <v>2018</v>
      </c>
      <c r="C41" s="163">
        <v>21200000040</v>
      </c>
      <c r="D41" s="163" t="s">
        <v>260</v>
      </c>
      <c r="E41" s="163" t="s">
        <v>240</v>
      </c>
      <c r="F41" s="163" t="s">
        <v>241</v>
      </c>
      <c r="G41" s="163"/>
      <c r="H41" s="163">
        <v>21</v>
      </c>
      <c r="I41" s="163">
        <v>20</v>
      </c>
      <c r="J41" s="163">
        <v>0</v>
      </c>
      <c r="K41" s="163">
        <v>0</v>
      </c>
      <c r="L41" s="163">
        <v>1</v>
      </c>
      <c r="M41" s="163">
        <v>4</v>
      </c>
      <c r="N41" s="163">
        <v>5722</v>
      </c>
      <c r="O41" s="163">
        <v>0</v>
      </c>
      <c r="P41" s="163">
        <v>8122</v>
      </c>
      <c r="Q41" s="163">
        <v>140883.18</v>
      </c>
      <c r="R41" s="163">
        <v>24.621317721</v>
      </c>
      <c r="S41" s="163">
        <v>17.345872937999999</v>
      </c>
      <c r="T41" s="163">
        <v>1.4194337643999999</v>
      </c>
      <c r="U41" s="140">
        <f t="shared" si="0"/>
        <v>5.2073782946829857E-2</v>
      </c>
    </row>
    <row r="42" spans="1:23">
      <c r="B42" s="163">
        <v>2018</v>
      </c>
      <c r="C42" s="163">
        <v>21200000044</v>
      </c>
      <c r="D42" s="163" t="s">
        <v>264</v>
      </c>
      <c r="E42" s="163" t="s">
        <v>240</v>
      </c>
      <c r="F42" s="163" t="s">
        <v>241</v>
      </c>
      <c r="G42" s="163"/>
      <c r="H42" s="163">
        <v>21</v>
      </c>
      <c r="I42" s="163">
        <v>20</v>
      </c>
      <c r="J42" s="163">
        <v>0</v>
      </c>
      <c r="K42" s="163">
        <v>0</v>
      </c>
      <c r="L42" s="163">
        <v>1</v>
      </c>
      <c r="M42" s="163">
        <v>4</v>
      </c>
      <c r="N42" s="163">
        <v>4979</v>
      </c>
      <c r="O42" s="163">
        <v>0</v>
      </c>
      <c r="P42" s="163">
        <v>7389</v>
      </c>
      <c r="Q42" s="163">
        <v>128154.47</v>
      </c>
      <c r="R42" s="163">
        <v>25.738997790999999</v>
      </c>
      <c r="S42" s="163">
        <v>17.343953173999999</v>
      </c>
      <c r="T42" s="163">
        <v>1.4840329382999999</v>
      </c>
      <c r="U42" s="140">
        <f t="shared" si="0"/>
        <v>4.7374191356085428E-2</v>
      </c>
    </row>
    <row r="43" spans="1:23">
      <c r="B43" s="163">
        <v>2018</v>
      </c>
      <c r="C43" s="163">
        <v>21200000032</v>
      </c>
      <c r="D43" s="163" t="s">
        <v>257</v>
      </c>
      <c r="E43" s="163" t="s">
        <v>240</v>
      </c>
      <c r="F43" s="163" t="s">
        <v>241</v>
      </c>
      <c r="G43" s="163"/>
      <c r="H43" s="163">
        <v>21</v>
      </c>
      <c r="I43" s="163">
        <v>20</v>
      </c>
      <c r="J43" s="163">
        <v>0</v>
      </c>
      <c r="K43" s="163">
        <v>0</v>
      </c>
      <c r="L43" s="163">
        <v>1</v>
      </c>
      <c r="M43" s="163">
        <v>4</v>
      </c>
      <c r="N43" s="163">
        <v>3585</v>
      </c>
      <c r="O43" s="163">
        <v>0</v>
      </c>
      <c r="P43" s="163">
        <v>6514</v>
      </c>
      <c r="Q43" s="163">
        <v>150729.74</v>
      </c>
      <c r="R43" s="163">
        <v>42.044557879999999</v>
      </c>
      <c r="S43" s="163">
        <v>23.139352164999998</v>
      </c>
      <c r="T43" s="163">
        <v>1.8170153416999999</v>
      </c>
      <c r="U43" s="140">
        <f t="shared" si="0"/>
        <v>4.1764174109289551E-2</v>
      </c>
    </row>
    <row r="44" spans="1:23">
      <c r="B44" s="163">
        <v>2018</v>
      </c>
      <c r="C44" s="163">
        <v>21200000031</v>
      </c>
      <c r="D44" s="163" t="s">
        <v>256</v>
      </c>
      <c r="E44" s="163" t="s">
        <v>240</v>
      </c>
      <c r="F44" s="163" t="s">
        <v>241</v>
      </c>
      <c r="G44" s="163"/>
      <c r="H44" s="163">
        <v>21</v>
      </c>
      <c r="I44" s="163">
        <v>20</v>
      </c>
      <c r="J44" s="163">
        <v>0</v>
      </c>
      <c r="K44" s="163">
        <v>0</v>
      </c>
      <c r="L44" s="163">
        <v>1</v>
      </c>
      <c r="M44" s="163">
        <v>4</v>
      </c>
      <c r="N44" s="163">
        <v>3171</v>
      </c>
      <c r="O44" s="163">
        <v>0</v>
      </c>
      <c r="P44" s="163">
        <v>5562</v>
      </c>
      <c r="Q44" s="163">
        <v>128716.33</v>
      </c>
      <c r="R44" s="163">
        <v>40.591715547</v>
      </c>
      <c r="S44" s="163">
        <v>23.142094570000001</v>
      </c>
      <c r="T44" s="163">
        <v>1.7540208136</v>
      </c>
      <c r="U44" s="140">
        <f t="shared" si="0"/>
        <v>3.5660475344775629E-2</v>
      </c>
    </row>
    <row r="45" spans="1:23">
      <c r="B45" s="163">
        <v>2018</v>
      </c>
      <c r="C45" s="163">
        <v>21200000046</v>
      </c>
      <c r="D45" s="163" t="s">
        <v>266</v>
      </c>
      <c r="E45" s="163" t="s">
        <v>240</v>
      </c>
      <c r="F45" s="163" t="s">
        <v>241</v>
      </c>
      <c r="G45" s="163"/>
      <c r="H45" s="163">
        <v>21</v>
      </c>
      <c r="I45" s="163">
        <v>20</v>
      </c>
      <c r="J45" s="163">
        <v>0</v>
      </c>
      <c r="K45" s="163">
        <v>0</v>
      </c>
      <c r="L45" s="163">
        <v>1</v>
      </c>
      <c r="M45" s="163">
        <v>4</v>
      </c>
      <c r="N45" s="163">
        <v>3529</v>
      </c>
      <c r="O45" s="163">
        <v>0</v>
      </c>
      <c r="P45" s="163">
        <v>4900</v>
      </c>
      <c r="Q45" s="163">
        <v>83314.7</v>
      </c>
      <c r="R45" s="163">
        <v>23.608586001999999</v>
      </c>
      <c r="S45" s="163">
        <v>17.003</v>
      </c>
      <c r="T45" s="163">
        <v>1.3884953245</v>
      </c>
      <c r="U45" s="140">
        <f t="shared" si="0"/>
        <v>3.1416096582056921E-2</v>
      </c>
    </row>
    <row r="46" spans="1:23">
      <c r="B46" s="163">
        <v>2018</v>
      </c>
      <c r="C46" s="163">
        <v>21200000047</v>
      </c>
      <c r="D46" s="163" t="s">
        <v>267</v>
      </c>
      <c r="E46" s="163" t="s">
        <v>240</v>
      </c>
      <c r="F46" s="163" t="s">
        <v>241</v>
      </c>
      <c r="G46" s="163"/>
      <c r="H46" s="163">
        <v>21</v>
      </c>
      <c r="I46" s="163">
        <v>20</v>
      </c>
      <c r="J46" s="163">
        <v>0</v>
      </c>
      <c r="K46" s="163">
        <v>0</v>
      </c>
      <c r="L46" s="163">
        <v>1</v>
      </c>
      <c r="M46" s="163">
        <v>4</v>
      </c>
      <c r="N46" s="163">
        <v>3152</v>
      </c>
      <c r="O46" s="163">
        <v>0</v>
      </c>
      <c r="P46" s="163">
        <v>4388</v>
      </c>
      <c r="Q46" s="163">
        <v>74609.399999999994</v>
      </c>
      <c r="R46" s="163">
        <v>23.670494924</v>
      </c>
      <c r="S46" s="163">
        <v>17.003053782999999</v>
      </c>
      <c r="T46" s="163">
        <v>1.3921319797</v>
      </c>
      <c r="U46" s="140">
        <f t="shared" si="0"/>
        <v>2.8133435061646075E-2</v>
      </c>
    </row>
    <row r="47" spans="1:23">
      <c r="B47" s="163">
        <v>2018</v>
      </c>
      <c r="C47" s="163">
        <v>21200000033</v>
      </c>
      <c r="D47" s="163" t="s">
        <v>258</v>
      </c>
      <c r="E47" s="163" t="s">
        <v>240</v>
      </c>
      <c r="F47" s="163" t="s">
        <v>241</v>
      </c>
      <c r="G47" s="163"/>
      <c r="H47" s="163">
        <v>21</v>
      </c>
      <c r="I47" s="163">
        <v>20</v>
      </c>
      <c r="J47" s="163">
        <v>0</v>
      </c>
      <c r="K47" s="163">
        <v>0</v>
      </c>
      <c r="L47" s="163">
        <v>1</v>
      </c>
      <c r="M47" s="163">
        <v>4</v>
      </c>
      <c r="N47" s="163">
        <v>2154</v>
      </c>
      <c r="O47" s="163">
        <v>0</v>
      </c>
      <c r="P47" s="163">
        <v>4098</v>
      </c>
      <c r="Q47" s="163">
        <v>94833.91</v>
      </c>
      <c r="R47" s="163">
        <v>44.026884865</v>
      </c>
      <c r="S47" s="163">
        <v>23.141510492999998</v>
      </c>
      <c r="T47" s="163">
        <v>1.9025069638000001</v>
      </c>
      <c r="U47" s="140">
        <f t="shared" si="0"/>
        <v>2.6274115059850868E-2</v>
      </c>
    </row>
    <row r="48" spans="1:23">
      <c r="B48" s="163">
        <v>2018</v>
      </c>
      <c r="C48" s="163">
        <v>21200000152</v>
      </c>
      <c r="D48" s="163" t="s">
        <v>355</v>
      </c>
      <c r="E48" s="163" t="s">
        <v>240</v>
      </c>
      <c r="F48" s="163" t="s">
        <v>241</v>
      </c>
      <c r="G48" s="163"/>
      <c r="H48" s="163">
        <v>21</v>
      </c>
      <c r="I48" s="163">
        <v>20</v>
      </c>
      <c r="J48" s="163">
        <v>0</v>
      </c>
      <c r="K48" s="163">
        <v>0</v>
      </c>
      <c r="L48" s="163">
        <v>1</v>
      </c>
      <c r="M48" s="163">
        <v>4</v>
      </c>
      <c r="N48" s="163">
        <v>2323</v>
      </c>
      <c r="O48" s="163">
        <v>0</v>
      </c>
      <c r="P48" s="163">
        <v>3973</v>
      </c>
      <c r="Q48" s="163">
        <v>126809.77</v>
      </c>
      <c r="R48" s="163">
        <v>54.588794661999998</v>
      </c>
      <c r="S48" s="163">
        <v>31.917888246</v>
      </c>
      <c r="T48" s="163">
        <v>1.7102884200999999</v>
      </c>
      <c r="U48" s="140">
        <f t="shared" si="0"/>
        <v>2.5472684024594315E-2</v>
      </c>
    </row>
    <row r="49" spans="2:21">
      <c r="B49" s="163">
        <v>2018</v>
      </c>
      <c r="C49" s="163">
        <v>21200000151</v>
      </c>
      <c r="D49" s="163" t="s">
        <v>354</v>
      </c>
      <c r="E49" s="163" t="s">
        <v>240</v>
      </c>
      <c r="F49" s="163" t="s">
        <v>241</v>
      </c>
      <c r="G49" s="163"/>
      <c r="H49" s="163">
        <v>21</v>
      </c>
      <c r="I49" s="163">
        <v>20</v>
      </c>
      <c r="J49" s="163">
        <v>0</v>
      </c>
      <c r="K49" s="163">
        <v>0</v>
      </c>
      <c r="L49" s="163">
        <v>1</v>
      </c>
      <c r="M49" s="163">
        <v>4</v>
      </c>
      <c r="N49" s="163">
        <v>2294</v>
      </c>
      <c r="O49" s="163">
        <v>0</v>
      </c>
      <c r="P49" s="163">
        <v>3866</v>
      </c>
      <c r="Q49" s="163">
        <v>123389.54</v>
      </c>
      <c r="R49" s="163">
        <v>53.787942459</v>
      </c>
      <c r="S49" s="163">
        <v>31.916590792000001</v>
      </c>
      <c r="T49" s="163">
        <v>1.6852659110999999</v>
      </c>
      <c r="U49" s="140">
        <f t="shared" si="0"/>
        <v>2.4786659058414706E-2</v>
      </c>
    </row>
    <row r="50" spans="2:21">
      <c r="B50" s="163">
        <v>2018</v>
      </c>
      <c r="C50" s="163">
        <v>21200000164</v>
      </c>
      <c r="D50" s="163" t="s">
        <v>363</v>
      </c>
      <c r="E50" s="163" t="s">
        <v>240</v>
      </c>
      <c r="F50" s="163" t="s">
        <v>241</v>
      </c>
      <c r="G50" s="163"/>
      <c r="H50" s="163">
        <v>21</v>
      </c>
      <c r="I50" s="163">
        <v>20</v>
      </c>
      <c r="J50" s="163">
        <v>0</v>
      </c>
      <c r="K50" s="163">
        <v>0</v>
      </c>
      <c r="L50" s="163">
        <v>1</v>
      </c>
      <c r="M50" s="163">
        <v>4</v>
      </c>
      <c r="N50" s="163">
        <v>2217</v>
      </c>
      <c r="O50" s="163">
        <v>0</v>
      </c>
      <c r="P50" s="163">
        <v>3268</v>
      </c>
      <c r="Q50" s="163">
        <v>318426.46000000002</v>
      </c>
      <c r="R50" s="163">
        <v>143.62943618</v>
      </c>
      <c r="S50" s="163">
        <v>97.437717258000006</v>
      </c>
      <c r="T50" s="163">
        <v>1.4740640505</v>
      </c>
      <c r="U50" s="140">
        <f t="shared" si="0"/>
        <v>2.0952612985747351E-2</v>
      </c>
    </row>
    <row r="51" spans="2:21">
      <c r="B51" s="163">
        <v>2018</v>
      </c>
      <c r="C51" s="163">
        <v>21200000034</v>
      </c>
      <c r="D51" s="163" t="s">
        <v>259</v>
      </c>
      <c r="E51" s="163" t="s">
        <v>240</v>
      </c>
      <c r="F51" s="163" t="s">
        <v>241</v>
      </c>
      <c r="G51" s="163"/>
      <c r="H51" s="163">
        <v>21</v>
      </c>
      <c r="I51" s="163">
        <v>20</v>
      </c>
      <c r="J51" s="163">
        <v>0</v>
      </c>
      <c r="K51" s="163">
        <v>0</v>
      </c>
      <c r="L51" s="163">
        <v>1</v>
      </c>
      <c r="M51" s="163">
        <v>4</v>
      </c>
      <c r="N51" s="163">
        <v>1454</v>
      </c>
      <c r="O51" s="163">
        <v>0</v>
      </c>
      <c r="P51" s="163">
        <v>2862</v>
      </c>
      <c r="Q51" s="163">
        <v>66227.98</v>
      </c>
      <c r="R51" s="163">
        <v>45.548817055999997</v>
      </c>
      <c r="S51" s="163">
        <v>23.140454227999999</v>
      </c>
      <c r="T51" s="163">
        <v>1.9683631362</v>
      </c>
      <c r="U51" s="140">
        <f t="shared" si="0"/>
        <v>1.8349564983234062E-2</v>
      </c>
    </row>
    <row r="52" spans="2:21">
      <c r="B52" s="163">
        <v>2018</v>
      </c>
      <c r="C52" s="163">
        <v>21200000048</v>
      </c>
      <c r="D52" s="163" t="s">
        <v>268</v>
      </c>
      <c r="E52" s="163" t="s">
        <v>240</v>
      </c>
      <c r="F52" s="163" t="s">
        <v>241</v>
      </c>
      <c r="G52" s="163"/>
      <c r="H52" s="163">
        <v>21</v>
      </c>
      <c r="I52" s="163">
        <v>20</v>
      </c>
      <c r="J52" s="163">
        <v>0</v>
      </c>
      <c r="K52" s="163">
        <v>0</v>
      </c>
      <c r="L52" s="163">
        <v>1</v>
      </c>
      <c r="M52" s="163">
        <v>4</v>
      </c>
      <c r="N52" s="163">
        <v>2007</v>
      </c>
      <c r="O52" s="163">
        <v>0</v>
      </c>
      <c r="P52" s="163">
        <v>2814</v>
      </c>
      <c r="Q52" s="163">
        <v>47858.02</v>
      </c>
      <c r="R52" s="163">
        <v>23.845550573000001</v>
      </c>
      <c r="S52" s="163">
        <v>17.007114428000001</v>
      </c>
      <c r="T52" s="163">
        <v>1.4020926756000001</v>
      </c>
      <c r="U52" s="140">
        <f t="shared" si="0"/>
        <v>1.8041815465695547E-2</v>
      </c>
    </row>
    <row r="53" spans="2:21">
      <c r="B53" s="163">
        <v>2018</v>
      </c>
      <c r="C53" s="163">
        <v>21200000045</v>
      </c>
      <c r="D53" s="163" t="s">
        <v>265</v>
      </c>
      <c r="E53" s="163" t="s">
        <v>240</v>
      </c>
      <c r="F53" s="163" t="s">
        <v>241</v>
      </c>
      <c r="G53" s="163"/>
      <c r="H53" s="163">
        <v>21</v>
      </c>
      <c r="I53" s="163">
        <v>20</v>
      </c>
      <c r="J53" s="163">
        <v>0</v>
      </c>
      <c r="K53" s="163">
        <v>0</v>
      </c>
      <c r="L53" s="163">
        <v>1</v>
      </c>
      <c r="M53" s="163">
        <v>4</v>
      </c>
      <c r="N53" s="163">
        <v>1948</v>
      </c>
      <c r="O53" s="163">
        <v>0</v>
      </c>
      <c r="P53" s="163">
        <v>2665</v>
      </c>
      <c r="Q53" s="163">
        <v>45312.27</v>
      </c>
      <c r="R53" s="163">
        <v>23.260918890999999</v>
      </c>
      <c r="S53" s="163">
        <v>17.002727955000001</v>
      </c>
      <c r="T53" s="163">
        <v>1.3680698151999999</v>
      </c>
      <c r="U53" s="140">
        <f t="shared" si="0"/>
        <v>1.7086509671669733E-2</v>
      </c>
    </row>
    <row r="54" spans="2:21">
      <c r="B54" s="163">
        <v>2018</v>
      </c>
      <c r="C54" s="163">
        <v>21200000030</v>
      </c>
      <c r="D54" s="163" t="s">
        <v>255</v>
      </c>
      <c r="E54" s="163" t="s">
        <v>240</v>
      </c>
      <c r="F54" s="163" t="s">
        <v>241</v>
      </c>
      <c r="G54" s="163"/>
      <c r="H54" s="163">
        <v>21</v>
      </c>
      <c r="I54" s="163">
        <v>20</v>
      </c>
      <c r="J54" s="163">
        <v>0</v>
      </c>
      <c r="K54" s="163">
        <v>0</v>
      </c>
      <c r="L54" s="163">
        <v>1</v>
      </c>
      <c r="M54" s="163">
        <v>4</v>
      </c>
      <c r="N54" s="163">
        <v>1326</v>
      </c>
      <c r="O54" s="163">
        <v>0</v>
      </c>
      <c r="P54" s="163">
        <v>2278</v>
      </c>
      <c r="Q54" s="163">
        <v>52726.32</v>
      </c>
      <c r="R54" s="163">
        <v>39.763438913999998</v>
      </c>
      <c r="S54" s="163">
        <v>23.145882353000001</v>
      </c>
      <c r="T54" s="163">
        <v>1.7179487178999999</v>
      </c>
      <c r="U54" s="140">
        <f t="shared" si="0"/>
        <v>1.4605279186515443E-2</v>
      </c>
    </row>
    <row r="55" spans="2:21">
      <c r="B55" s="163">
        <v>2018</v>
      </c>
      <c r="C55" s="163">
        <v>21200000153</v>
      </c>
      <c r="D55" s="163" t="s">
        <v>356</v>
      </c>
      <c r="E55" s="163" t="s">
        <v>240</v>
      </c>
      <c r="F55" s="163" t="s">
        <v>241</v>
      </c>
      <c r="G55" s="163"/>
      <c r="H55" s="163">
        <v>21</v>
      </c>
      <c r="I55" s="163">
        <v>20</v>
      </c>
      <c r="J55" s="163">
        <v>0</v>
      </c>
      <c r="K55" s="163">
        <v>0</v>
      </c>
      <c r="L55" s="163">
        <v>1</v>
      </c>
      <c r="M55" s="163">
        <v>4</v>
      </c>
      <c r="N55" s="163">
        <v>1212</v>
      </c>
      <c r="O55" s="163">
        <v>0</v>
      </c>
      <c r="P55" s="163">
        <v>2171</v>
      </c>
      <c r="Q55" s="163">
        <v>69287.27</v>
      </c>
      <c r="R55" s="163">
        <v>57.167714521000001</v>
      </c>
      <c r="S55" s="163">
        <v>31.91491018</v>
      </c>
      <c r="T55" s="163">
        <v>1.7912541254000001</v>
      </c>
      <c r="U55" s="140">
        <f t="shared" si="0"/>
        <v>1.3919254220335832E-2</v>
      </c>
    </row>
    <row r="56" spans="2:21">
      <c r="B56" s="163">
        <v>2018</v>
      </c>
      <c r="C56" s="163">
        <v>21200000136</v>
      </c>
      <c r="D56" s="163" t="s">
        <v>343</v>
      </c>
      <c r="E56" s="163" t="s">
        <v>240</v>
      </c>
      <c r="F56" s="163" t="s">
        <v>241</v>
      </c>
      <c r="G56" s="163"/>
      <c r="H56" s="163">
        <v>21</v>
      </c>
      <c r="I56" s="163">
        <v>20</v>
      </c>
      <c r="J56" s="163">
        <v>0</v>
      </c>
      <c r="K56" s="163">
        <v>0</v>
      </c>
      <c r="L56" s="163">
        <v>1</v>
      </c>
      <c r="M56" s="163">
        <v>4</v>
      </c>
      <c r="N56" s="163">
        <v>1222</v>
      </c>
      <c r="O56" s="163">
        <v>0</v>
      </c>
      <c r="P56" s="163">
        <v>2149</v>
      </c>
      <c r="Q56" s="163">
        <v>65555.06</v>
      </c>
      <c r="R56" s="163">
        <v>53.645711947999999</v>
      </c>
      <c r="S56" s="163">
        <v>30.504913912999999</v>
      </c>
      <c r="T56" s="163">
        <v>1.7585924714000001</v>
      </c>
      <c r="U56" s="140">
        <f t="shared" si="0"/>
        <v>1.3778202358130678E-2</v>
      </c>
    </row>
    <row r="57" spans="2:21">
      <c r="B57" s="163">
        <v>2018</v>
      </c>
      <c r="C57" s="163">
        <v>21200000162</v>
      </c>
      <c r="D57" s="163" t="s">
        <v>361</v>
      </c>
      <c r="E57" s="163" t="s">
        <v>240</v>
      </c>
      <c r="F57" s="163" t="s">
        <v>241</v>
      </c>
      <c r="G57" s="163"/>
      <c r="H57" s="163">
        <v>21</v>
      </c>
      <c r="I57" s="163">
        <v>20</v>
      </c>
      <c r="J57" s="163">
        <v>0</v>
      </c>
      <c r="K57" s="163">
        <v>0</v>
      </c>
      <c r="L57" s="163">
        <v>1</v>
      </c>
      <c r="M57" s="163">
        <v>4</v>
      </c>
      <c r="N57" s="163">
        <v>724</v>
      </c>
      <c r="O57" s="163">
        <v>0</v>
      </c>
      <c r="P57" s="163">
        <v>2044</v>
      </c>
      <c r="Q57" s="163">
        <v>13852.78</v>
      </c>
      <c r="R57" s="163">
        <v>19.133674032999998</v>
      </c>
      <c r="S57" s="163">
        <v>6.7772896282000001</v>
      </c>
      <c r="T57" s="163">
        <v>2.8232044199000002</v>
      </c>
      <c r="U57" s="140">
        <f t="shared" si="0"/>
        <v>1.3105000288515172E-2</v>
      </c>
    </row>
    <row r="58" spans="2:21">
      <c r="B58" s="163">
        <v>2018</v>
      </c>
      <c r="C58" s="163">
        <v>21200000049</v>
      </c>
      <c r="D58" s="163" t="s">
        <v>269</v>
      </c>
      <c r="E58" s="163" t="s">
        <v>240</v>
      </c>
      <c r="F58" s="163" t="s">
        <v>241</v>
      </c>
      <c r="G58" s="163"/>
      <c r="H58" s="163">
        <v>21</v>
      </c>
      <c r="I58" s="163">
        <v>20</v>
      </c>
      <c r="J58" s="163">
        <v>0</v>
      </c>
      <c r="K58" s="163">
        <v>0</v>
      </c>
      <c r="L58" s="163">
        <v>1</v>
      </c>
      <c r="M58" s="163">
        <v>4</v>
      </c>
      <c r="N58" s="163">
        <v>1348</v>
      </c>
      <c r="O58" s="163">
        <v>0</v>
      </c>
      <c r="P58" s="163">
        <v>1954</v>
      </c>
      <c r="Q58" s="163">
        <v>33217.06</v>
      </c>
      <c r="R58" s="163">
        <v>24.641735905000001</v>
      </c>
      <c r="S58" s="163">
        <v>16.999518936000001</v>
      </c>
      <c r="T58" s="163">
        <v>1.4495548961</v>
      </c>
      <c r="U58" s="140">
        <f t="shared" si="0"/>
        <v>1.2527969943130454E-2</v>
      </c>
    </row>
    <row r="59" spans="2:21">
      <c r="B59" s="163">
        <v>2018</v>
      </c>
      <c r="C59" s="163">
        <v>21200000163</v>
      </c>
      <c r="D59" s="163" t="s">
        <v>362</v>
      </c>
      <c r="E59" s="163" t="s">
        <v>240</v>
      </c>
      <c r="F59" s="163" t="s">
        <v>241</v>
      </c>
      <c r="G59" s="163"/>
      <c r="H59" s="163">
        <v>21</v>
      </c>
      <c r="I59" s="163">
        <v>20</v>
      </c>
      <c r="J59" s="163">
        <v>0</v>
      </c>
      <c r="K59" s="163">
        <v>0</v>
      </c>
      <c r="L59" s="163">
        <v>1</v>
      </c>
      <c r="M59" s="163">
        <v>4</v>
      </c>
      <c r="N59" s="163">
        <v>630</v>
      </c>
      <c r="O59" s="163">
        <v>0</v>
      </c>
      <c r="P59" s="163">
        <v>1828</v>
      </c>
      <c r="Q59" s="163">
        <v>10484.86</v>
      </c>
      <c r="R59" s="163">
        <v>16.642634920999999</v>
      </c>
      <c r="S59" s="163">
        <v>5.7357002187999999</v>
      </c>
      <c r="T59" s="163">
        <v>2.9015873015999998</v>
      </c>
      <c r="U59" s="140">
        <f t="shared" si="0"/>
        <v>1.1720127459591848E-2</v>
      </c>
    </row>
    <row r="60" spans="2:21">
      <c r="B60" s="163">
        <v>2018</v>
      </c>
      <c r="C60" s="163">
        <v>21200000007</v>
      </c>
      <c r="D60" s="163" t="s">
        <v>243</v>
      </c>
      <c r="E60" s="163" t="s">
        <v>240</v>
      </c>
      <c r="F60" s="163" t="s">
        <v>241</v>
      </c>
      <c r="G60" s="163"/>
      <c r="H60" s="163">
        <v>21</v>
      </c>
      <c r="I60" s="163">
        <v>20</v>
      </c>
      <c r="J60" s="163">
        <v>0</v>
      </c>
      <c r="K60" s="163">
        <v>0</v>
      </c>
      <c r="L60" s="163">
        <v>1</v>
      </c>
      <c r="M60" s="163">
        <v>4</v>
      </c>
      <c r="N60" s="163">
        <v>1366</v>
      </c>
      <c r="O60" s="163">
        <v>0</v>
      </c>
      <c r="P60" s="163">
        <v>1808</v>
      </c>
      <c r="Q60" s="163">
        <v>34851.83</v>
      </c>
      <c r="R60" s="163">
        <v>25.513784773000001</v>
      </c>
      <c r="S60" s="163">
        <v>19.276454646000001</v>
      </c>
      <c r="T60" s="163">
        <v>1.3235724743999999</v>
      </c>
      <c r="U60" s="140">
        <f t="shared" si="0"/>
        <v>1.1591898493950798E-2</v>
      </c>
    </row>
    <row r="61" spans="2:21">
      <c r="B61" s="163">
        <v>2018</v>
      </c>
      <c r="C61" s="163">
        <v>21200000006</v>
      </c>
      <c r="D61" s="163" t="s">
        <v>242</v>
      </c>
      <c r="E61" s="163" t="s">
        <v>240</v>
      </c>
      <c r="F61" s="163" t="s">
        <v>241</v>
      </c>
      <c r="G61" s="163"/>
      <c r="H61" s="163">
        <v>21</v>
      </c>
      <c r="I61" s="163">
        <v>20</v>
      </c>
      <c r="J61" s="163">
        <v>0</v>
      </c>
      <c r="K61" s="163">
        <v>0</v>
      </c>
      <c r="L61" s="163">
        <v>1</v>
      </c>
      <c r="M61" s="163">
        <v>4</v>
      </c>
      <c r="N61" s="163">
        <v>1200</v>
      </c>
      <c r="O61" s="163">
        <v>0</v>
      </c>
      <c r="P61" s="163">
        <v>1608</v>
      </c>
      <c r="Q61" s="163">
        <v>30994.23</v>
      </c>
      <c r="R61" s="163">
        <v>25.828524999999999</v>
      </c>
      <c r="S61" s="163">
        <v>19.275018657</v>
      </c>
      <c r="T61" s="163">
        <v>1.34</v>
      </c>
      <c r="U61" s="140">
        <f t="shared" si="0"/>
        <v>1.0309608837540313E-2</v>
      </c>
    </row>
    <row r="62" spans="2:21">
      <c r="B62" s="163">
        <v>2018</v>
      </c>
      <c r="C62" s="163">
        <v>21200000121</v>
      </c>
      <c r="D62" s="163" t="s">
        <v>331</v>
      </c>
      <c r="E62" s="163" t="s">
        <v>240</v>
      </c>
      <c r="F62" s="163" t="s">
        <v>241</v>
      </c>
      <c r="G62" s="163"/>
      <c r="H62" s="163">
        <v>21</v>
      </c>
      <c r="I62" s="163">
        <v>20</v>
      </c>
      <c r="J62" s="163">
        <v>0</v>
      </c>
      <c r="K62" s="163">
        <v>0</v>
      </c>
      <c r="L62" s="163">
        <v>1</v>
      </c>
      <c r="M62" s="163">
        <v>4</v>
      </c>
      <c r="N62" s="163">
        <v>770</v>
      </c>
      <c r="O62" s="163">
        <v>0</v>
      </c>
      <c r="P62" s="163">
        <v>1554</v>
      </c>
      <c r="Q62" s="163">
        <v>37385.14</v>
      </c>
      <c r="R62" s="163">
        <v>48.552129870000002</v>
      </c>
      <c r="S62" s="163">
        <v>24.057361647</v>
      </c>
      <c r="T62" s="163">
        <v>2.0181818182</v>
      </c>
      <c r="U62" s="140">
        <f t="shared" si="0"/>
        <v>9.9633906303094807E-3</v>
      </c>
    </row>
    <row r="63" spans="2:21">
      <c r="B63" s="163">
        <v>2018</v>
      </c>
      <c r="C63" s="163">
        <v>21200000137</v>
      </c>
      <c r="D63" s="163" t="s">
        <v>344</v>
      </c>
      <c r="E63" s="163" t="s">
        <v>240</v>
      </c>
      <c r="F63" s="163" t="s">
        <v>241</v>
      </c>
      <c r="G63" s="163"/>
      <c r="H63" s="163">
        <v>21</v>
      </c>
      <c r="I63" s="163">
        <v>20</v>
      </c>
      <c r="J63" s="163">
        <v>0</v>
      </c>
      <c r="K63" s="163">
        <v>0</v>
      </c>
      <c r="L63" s="163">
        <v>1</v>
      </c>
      <c r="M63" s="163">
        <v>4</v>
      </c>
      <c r="N63" s="163">
        <v>889</v>
      </c>
      <c r="O63" s="163">
        <v>0</v>
      </c>
      <c r="P63" s="163">
        <v>1524</v>
      </c>
      <c r="Q63" s="163">
        <v>46493.06</v>
      </c>
      <c r="R63" s="163">
        <v>52.298155231000003</v>
      </c>
      <c r="S63" s="163">
        <v>30.507257217999999</v>
      </c>
      <c r="T63" s="163">
        <v>1.7142857143000001</v>
      </c>
      <c r="U63" s="140">
        <f t="shared" si="0"/>
        <v>9.771047181847908E-3</v>
      </c>
    </row>
    <row r="64" spans="2:21">
      <c r="B64" s="163">
        <v>2018</v>
      </c>
      <c r="C64" s="163">
        <v>21200000161</v>
      </c>
      <c r="D64" s="163" t="s">
        <v>360</v>
      </c>
      <c r="E64" s="163" t="s">
        <v>240</v>
      </c>
      <c r="F64" s="163" t="s">
        <v>241</v>
      </c>
      <c r="G64" s="163"/>
      <c r="H64" s="163">
        <v>21</v>
      </c>
      <c r="I64" s="163">
        <v>20</v>
      </c>
      <c r="J64" s="163">
        <v>0</v>
      </c>
      <c r="K64" s="163">
        <v>0</v>
      </c>
      <c r="L64" s="163">
        <v>1</v>
      </c>
      <c r="M64" s="163">
        <v>4</v>
      </c>
      <c r="N64" s="163">
        <v>1055</v>
      </c>
      <c r="O64" s="163">
        <v>0</v>
      </c>
      <c r="P64" s="163">
        <v>1445</v>
      </c>
      <c r="Q64" s="163">
        <v>224910.51</v>
      </c>
      <c r="R64" s="163">
        <v>213.18531754</v>
      </c>
      <c r="S64" s="163">
        <v>155.64741176000001</v>
      </c>
      <c r="T64" s="163">
        <v>1.3696682464000001</v>
      </c>
      <c r="U64" s="140">
        <f t="shared" si="0"/>
        <v>9.264542767565765E-3</v>
      </c>
    </row>
    <row r="65" spans="2:21">
      <c r="B65" s="163">
        <v>2018</v>
      </c>
      <c r="C65" s="163">
        <v>21200000070</v>
      </c>
      <c r="D65" s="163" t="s">
        <v>287</v>
      </c>
      <c r="E65" s="163" t="s">
        <v>240</v>
      </c>
      <c r="F65" s="163" t="s">
        <v>241</v>
      </c>
      <c r="G65" s="163"/>
      <c r="H65" s="163">
        <v>21</v>
      </c>
      <c r="I65" s="163">
        <v>20</v>
      </c>
      <c r="J65" s="163">
        <v>0</v>
      </c>
      <c r="K65" s="163">
        <v>0</v>
      </c>
      <c r="L65" s="163">
        <v>1</v>
      </c>
      <c r="M65" s="163">
        <v>4</v>
      </c>
      <c r="N65" s="163">
        <v>701</v>
      </c>
      <c r="O65" s="163">
        <v>0</v>
      </c>
      <c r="P65" s="163">
        <v>1334</v>
      </c>
      <c r="Q65" s="163">
        <v>43526.07</v>
      </c>
      <c r="R65" s="163">
        <v>62.091398003000002</v>
      </c>
      <c r="S65" s="163">
        <v>32.628238381000003</v>
      </c>
      <c r="T65" s="163">
        <v>1.9029957204000001</v>
      </c>
      <c r="U65" s="140">
        <f t="shared" si="0"/>
        <v>8.552872008257946E-3</v>
      </c>
    </row>
    <row r="66" spans="2:21">
      <c r="B66" s="163">
        <v>2018</v>
      </c>
      <c r="C66" s="163">
        <v>21200000072</v>
      </c>
      <c r="D66" s="163" t="s">
        <v>289</v>
      </c>
      <c r="E66" s="163" t="s">
        <v>240</v>
      </c>
      <c r="F66" s="163" t="s">
        <v>241</v>
      </c>
      <c r="G66" s="163"/>
      <c r="H66" s="163">
        <v>21</v>
      </c>
      <c r="I66" s="163">
        <v>20</v>
      </c>
      <c r="J66" s="163">
        <v>0</v>
      </c>
      <c r="K66" s="163">
        <v>0</v>
      </c>
      <c r="L66" s="163">
        <v>1</v>
      </c>
      <c r="M66" s="163">
        <v>4</v>
      </c>
      <c r="N66" s="163">
        <v>680</v>
      </c>
      <c r="O66" s="163">
        <v>0</v>
      </c>
      <c r="P66" s="163">
        <v>1201</v>
      </c>
      <c r="Q66" s="163">
        <v>21014.13</v>
      </c>
      <c r="R66" s="163">
        <v>30.903132353</v>
      </c>
      <c r="S66" s="163">
        <v>17.497194005000001</v>
      </c>
      <c r="T66" s="163">
        <v>1.7661764706</v>
      </c>
      <c r="U66" s="140">
        <f t="shared" si="0"/>
        <v>7.7001493867449719E-3</v>
      </c>
    </row>
    <row r="67" spans="2:21">
      <c r="B67" s="163">
        <v>2018</v>
      </c>
      <c r="C67" s="163">
        <v>21200000150</v>
      </c>
      <c r="D67" s="163" t="s">
        <v>353</v>
      </c>
      <c r="E67" s="163" t="s">
        <v>240</v>
      </c>
      <c r="F67" s="163" t="s">
        <v>241</v>
      </c>
      <c r="G67" s="163"/>
      <c r="H67" s="163">
        <v>21</v>
      </c>
      <c r="I67" s="163">
        <v>20</v>
      </c>
      <c r="J67" s="163">
        <v>0</v>
      </c>
      <c r="K67" s="163">
        <v>0</v>
      </c>
      <c r="L67" s="163">
        <v>1</v>
      </c>
      <c r="M67" s="163">
        <v>4</v>
      </c>
      <c r="N67" s="163">
        <v>686</v>
      </c>
      <c r="O67" s="163">
        <v>0</v>
      </c>
      <c r="P67" s="163">
        <v>1153</v>
      </c>
      <c r="Q67" s="163">
        <v>36804.61</v>
      </c>
      <c r="R67" s="163">
        <v>53.651034985000003</v>
      </c>
      <c r="S67" s="163">
        <v>31.920737206999998</v>
      </c>
      <c r="T67" s="163">
        <v>1.6807580175000001</v>
      </c>
      <c r="U67" s="140">
        <f t="shared" si="0"/>
        <v>7.3923998692064551E-3</v>
      </c>
    </row>
    <row r="68" spans="2:21">
      <c r="B68" s="163">
        <v>2018</v>
      </c>
      <c r="C68" s="163">
        <v>21200000008</v>
      </c>
      <c r="D68" s="163" t="s">
        <v>244</v>
      </c>
      <c r="E68" s="163" t="s">
        <v>240</v>
      </c>
      <c r="F68" s="163" t="s">
        <v>241</v>
      </c>
      <c r="G68" s="163"/>
      <c r="H68" s="163">
        <v>21</v>
      </c>
      <c r="I68" s="163">
        <v>20</v>
      </c>
      <c r="J68" s="163">
        <v>0</v>
      </c>
      <c r="K68" s="163">
        <v>0</v>
      </c>
      <c r="L68" s="163">
        <v>1</v>
      </c>
      <c r="M68" s="163">
        <v>4</v>
      </c>
      <c r="N68" s="163">
        <v>808</v>
      </c>
      <c r="O68" s="163">
        <v>0</v>
      </c>
      <c r="P68" s="163">
        <v>1118</v>
      </c>
      <c r="Q68" s="163">
        <v>21554.03</v>
      </c>
      <c r="R68" s="163">
        <v>26.675779703</v>
      </c>
      <c r="S68" s="163">
        <v>19.279096600999999</v>
      </c>
      <c r="T68" s="163">
        <v>1.3836633663</v>
      </c>
      <c r="U68" s="140">
        <f t="shared" si="0"/>
        <v>7.1679991793346196E-3</v>
      </c>
    </row>
    <row r="69" spans="2:21">
      <c r="B69" s="163">
        <v>2018</v>
      </c>
      <c r="C69" s="163">
        <v>21200000135</v>
      </c>
      <c r="D69" s="163" t="s">
        <v>342</v>
      </c>
      <c r="E69" s="163" t="s">
        <v>240</v>
      </c>
      <c r="F69" s="163" t="s">
        <v>241</v>
      </c>
      <c r="G69" s="163"/>
      <c r="H69" s="163">
        <v>21</v>
      </c>
      <c r="I69" s="163">
        <v>20</v>
      </c>
      <c r="J69" s="163">
        <v>0</v>
      </c>
      <c r="K69" s="163">
        <v>0</v>
      </c>
      <c r="L69" s="163">
        <v>1</v>
      </c>
      <c r="M69" s="163">
        <v>4</v>
      </c>
      <c r="N69" s="163">
        <v>637</v>
      </c>
      <c r="O69" s="163">
        <v>0</v>
      </c>
      <c r="P69" s="163">
        <v>1079</v>
      </c>
      <c r="Q69" s="163">
        <v>32927.01</v>
      </c>
      <c r="R69" s="163">
        <v>51.690753532000002</v>
      </c>
      <c r="S69" s="163">
        <v>30.516227989000001</v>
      </c>
      <c r="T69" s="163">
        <v>1.6938775509999999</v>
      </c>
      <c r="U69" s="140">
        <f t="shared" si="0"/>
        <v>6.9179526963345749E-3</v>
      </c>
    </row>
    <row r="70" spans="2:21">
      <c r="B70" s="163">
        <v>2018</v>
      </c>
      <c r="C70" s="163">
        <v>21200000154</v>
      </c>
      <c r="D70" s="163" t="s">
        <v>357</v>
      </c>
      <c r="E70" s="163" t="s">
        <v>240</v>
      </c>
      <c r="F70" s="163" t="s">
        <v>241</v>
      </c>
      <c r="G70" s="163"/>
      <c r="H70" s="163">
        <v>21</v>
      </c>
      <c r="I70" s="163">
        <v>20</v>
      </c>
      <c r="J70" s="163">
        <v>0</v>
      </c>
      <c r="K70" s="163">
        <v>0</v>
      </c>
      <c r="L70" s="163">
        <v>1</v>
      </c>
      <c r="M70" s="163">
        <v>4</v>
      </c>
      <c r="N70" s="163">
        <v>572</v>
      </c>
      <c r="O70" s="163">
        <v>0</v>
      </c>
      <c r="P70" s="163">
        <v>1019</v>
      </c>
      <c r="Q70" s="163">
        <v>32520.95</v>
      </c>
      <c r="R70" s="163">
        <v>56.854807692000001</v>
      </c>
      <c r="S70" s="163">
        <v>31.914573110999999</v>
      </c>
      <c r="T70" s="163">
        <v>1.7814685315000001</v>
      </c>
      <c r="U70" s="140">
        <f t="shared" ref="U70:U101" si="1">P70/SUM($P$38:$P$167)</f>
        <v>6.5332657994114293E-3</v>
      </c>
    </row>
    <row r="71" spans="2:21">
      <c r="B71" s="163">
        <v>2018</v>
      </c>
      <c r="C71" s="163">
        <v>21200000120</v>
      </c>
      <c r="D71" s="163" t="s">
        <v>330</v>
      </c>
      <c r="E71" s="163" t="s">
        <v>240</v>
      </c>
      <c r="F71" s="163" t="s">
        <v>241</v>
      </c>
      <c r="G71" s="163"/>
      <c r="H71" s="163">
        <v>21</v>
      </c>
      <c r="I71" s="163">
        <v>20</v>
      </c>
      <c r="J71" s="163">
        <v>0</v>
      </c>
      <c r="K71" s="163">
        <v>0</v>
      </c>
      <c r="L71" s="163">
        <v>1</v>
      </c>
      <c r="M71" s="163">
        <v>4</v>
      </c>
      <c r="N71" s="163">
        <v>429</v>
      </c>
      <c r="O71" s="163">
        <v>0</v>
      </c>
      <c r="P71" s="163">
        <v>970</v>
      </c>
      <c r="Q71" s="163">
        <v>41201.949999999997</v>
      </c>
      <c r="R71" s="163">
        <v>96.041841492000003</v>
      </c>
      <c r="S71" s="163">
        <v>42.476237113000003</v>
      </c>
      <c r="T71" s="163">
        <v>2.2610722610999998</v>
      </c>
      <c r="U71" s="140">
        <f t="shared" si="1"/>
        <v>6.21910483359086E-3</v>
      </c>
    </row>
    <row r="72" spans="2:21">
      <c r="B72" s="163">
        <v>2018</v>
      </c>
      <c r="C72" s="163">
        <v>21200000138</v>
      </c>
      <c r="D72" s="163" t="s">
        <v>345</v>
      </c>
      <c r="E72" s="163" t="s">
        <v>240</v>
      </c>
      <c r="F72" s="163" t="s">
        <v>241</v>
      </c>
      <c r="G72" s="163"/>
      <c r="H72" s="163">
        <v>21</v>
      </c>
      <c r="I72" s="163">
        <v>20</v>
      </c>
      <c r="J72" s="163">
        <v>0</v>
      </c>
      <c r="K72" s="163">
        <v>0</v>
      </c>
      <c r="L72" s="163">
        <v>1</v>
      </c>
      <c r="M72" s="163">
        <v>4</v>
      </c>
      <c r="N72" s="163">
        <v>494</v>
      </c>
      <c r="O72" s="163">
        <v>0</v>
      </c>
      <c r="P72" s="163">
        <v>843</v>
      </c>
      <c r="Q72" s="163">
        <v>25724.67</v>
      </c>
      <c r="R72" s="163">
        <v>52.074230769000003</v>
      </c>
      <c r="S72" s="163">
        <v>30.515622776000001</v>
      </c>
      <c r="T72" s="163">
        <v>1.7064777328</v>
      </c>
      <c r="U72" s="140">
        <f t="shared" si="1"/>
        <v>5.4048509017702012E-3</v>
      </c>
    </row>
    <row r="73" spans="2:21">
      <c r="B73" s="163">
        <v>2018</v>
      </c>
      <c r="C73" s="163">
        <v>21200000111</v>
      </c>
      <c r="D73" s="163" t="s">
        <v>321</v>
      </c>
      <c r="E73" s="163" t="s">
        <v>240</v>
      </c>
      <c r="F73" s="163" t="s">
        <v>241</v>
      </c>
      <c r="G73" s="163"/>
      <c r="H73" s="163">
        <v>21</v>
      </c>
      <c r="I73" s="163">
        <v>20</v>
      </c>
      <c r="J73" s="163">
        <v>0</v>
      </c>
      <c r="K73" s="163">
        <v>0</v>
      </c>
      <c r="L73" s="163">
        <v>1</v>
      </c>
      <c r="M73" s="163">
        <v>4</v>
      </c>
      <c r="N73" s="163">
        <v>590</v>
      </c>
      <c r="O73" s="163">
        <v>0</v>
      </c>
      <c r="P73" s="163">
        <v>821</v>
      </c>
      <c r="Q73" s="163">
        <v>9509.93</v>
      </c>
      <c r="R73" s="163">
        <v>16.118525424000001</v>
      </c>
      <c r="S73" s="163">
        <v>11.583349574</v>
      </c>
      <c r="T73" s="163">
        <v>1.3915254237000001</v>
      </c>
      <c r="U73" s="140">
        <f t="shared" si="1"/>
        <v>5.263799039565047E-3</v>
      </c>
    </row>
    <row r="74" spans="2:21">
      <c r="B74" s="163">
        <v>2018</v>
      </c>
      <c r="C74" s="163">
        <v>21200000009</v>
      </c>
      <c r="D74" s="163" t="s">
        <v>245</v>
      </c>
      <c r="E74" s="163" t="s">
        <v>240</v>
      </c>
      <c r="F74" s="163" t="s">
        <v>241</v>
      </c>
      <c r="G74" s="163"/>
      <c r="H74" s="163">
        <v>21</v>
      </c>
      <c r="I74" s="163">
        <v>20</v>
      </c>
      <c r="J74" s="163">
        <v>0</v>
      </c>
      <c r="K74" s="163">
        <v>0</v>
      </c>
      <c r="L74" s="163">
        <v>1</v>
      </c>
      <c r="M74" s="163">
        <v>4</v>
      </c>
      <c r="N74" s="163">
        <v>370</v>
      </c>
      <c r="O74" s="163">
        <v>0</v>
      </c>
      <c r="P74" s="163">
        <v>800</v>
      </c>
      <c r="Q74" s="163">
        <v>51747</v>
      </c>
      <c r="R74" s="163">
        <v>139.85675676</v>
      </c>
      <c r="S74" s="163">
        <v>64.683750000000003</v>
      </c>
      <c r="T74" s="163">
        <v>2.1621621622</v>
      </c>
      <c r="U74" s="140">
        <f t="shared" si="1"/>
        <v>5.1291586256419462E-3</v>
      </c>
    </row>
    <row r="75" spans="2:21">
      <c r="B75" s="163">
        <v>2018</v>
      </c>
      <c r="C75" s="163">
        <v>21200000119</v>
      </c>
      <c r="D75" s="163" t="s">
        <v>329</v>
      </c>
      <c r="E75" s="163" t="s">
        <v>240</v>
      </c>
      <c r="F75" s="163" t="s">
        <v>241</v>
      </c>
      <c r="G75" s="163"/>
      <c r="H75" s="163">
        <v>21</v>
      </c>
      <c r="I75" s="163">
        <v>20</v>
      </c>
      <c r="J75" s="163">
        <v>0</v>
      </c>
      <c r="K75" s="163">
        <v>0</v>
      </c>
      <c r="L75" s="163">
        <v>1</v>
      </c>
      <c r="M75" s="163">
        <v>4</v>
      </c>
      <c r="N75" s="163">
        <v>395</v>
      </c>
      <c r="O75" s="163">
        <v>0</v>
      </c>
      <c r="P75" s="163">
        <v>798</v>
      </c>
      <c r="Q75" s="163">
        <v>9244.23</v>
      </c>
      <c r="R75" s="163">
        <v>23.403113923999999</v>
      </c>
      <c r="S75" s="163">
        <v>11.58424812</v>
      </c>
      <c r="T75" s="163">
        <v>2.0202531646000002</v>
      </c>
      <c r="U75" s="140">
        <f t="shared" si="1"/>
        <v>5.1163357290778411E-3</v>
      </c>
    </row>
    <row r="76" spans="2:21">
      <c r="B76" s="163">
        <v>2018</v>
      </c>
      <c r="C76" s="163">
        <v>21200000112</v>
      </c>
      <c r="D76" s="163" t="s">
        <v>322</v>
      </c>
      <c r="E76" s="163" t="s">
        <v>240</v>
      </c>
      <c r="F76" s="163" t="s">
        <v>241</v>
      </c>
      <c r="G76" s="163"/>
      <c r="H76" s="163">
        <v>21</v>
      </c>
      <c r="I76" s="163">
        <v>20</v>
      </c>
      <c r="J76" s="163">
        <v>0</v>
      </c>
      <c r="K76" s="163">
        <v>0</v>
      </c>
      <c r="L76" s="163">
        <v>1</v>
      </c>
      <c r="M76" s="163">
        <v>4</v>
      </c>
      <c r="N76" s="163">
        <v>497</v>
      </c>
      <c r="O76" s="163">
        <v>0</v>
      </c>
      <c r="P76" s="163">
        <v>739</v>
      </c>
      <c r="Q76" s="163">
        <v>8559.85</v>
      </c>
      <c r="R76" s="163">
        <v>17.223038229</v>
      </c>
      <c r="S76" s="163">
        <v>11.583017591000001</v>
      </c>
      <c r="T76" s="163">
        <v>1.4869215292</v>
      </c>
      <c r="U76" s="140">
        <f t="shared" si="1"/>
        <v>4.7380602804367481E-3</v>
      </c>
    </row>
    <row r="77" spans="2:21">
      <c r="B77" s="163">
        <v>2018</v>
      </c>
      <c r="C77" s="163">
        <v>21200000010</v>
      </c>
      <c r="D77" s="163" t="s">
        <v>246</v>
      </c>
      <c r="E77" s="163" t="s">
        <v>240</v>
      </c>
      <c r="F77" s="163" t="s">
        <v>241</v>
      </c>
      <c r="G77" s="163"/>
      <c r="H77" s="163">
        <v>21</v>
      </c>
      <c r="I77" s="163">
        <v>20</v>
      </c>
      <c r="J77" s="163">
        <v>0</v>
      </c>
      <c r="K77" s="163">
        <v>0</v>
      </c>
      <c r="L77" s="163">
        <v>1</v>
      </c>
      <c r="M77" s="163">
        <v>4</v>
      </c>
      <c r="N77" s="163">
        <v>417</v>
      </c>
      <c r="O77" s="163">
        <v>0</v>
      </c>
      <c r="P77" s="163">
        <v>731</v>
      </c>
      <c r="Q77" s="163">
        <v>23641.13</v>
      </c>
      <c r="R77" s="163">
        <v>56.693357313999996</v>
      </c>
      <c r="S77" s="163">
        <v>32.340807114</v>
      </c>
      <c r="T77" s="163">
        <v>1.7529976019</v>
      </c>
      <c r="U77" s="140">
        <f t="shared" si="1"/>
        <v>4.6867686941803287E-3</v>
      </c>
    </row>
    <row r="78" spans="2:21">
      <c r="B78" s="163">
        <v>2018</v>
      </c>
      <c r="C78" s="163">
        <v>21200000117</v>
      </c>
      <c r="D78" s="163" t="s">
        <v>327</v>
      </c>
      <c r="E78" s="163" t="s">
        <v>240</v>
      </c>
      <c r="F78" s="163" t="s">
        <v>241</v>
      </c>
      <c r="G78" s="163"/>
      <c r="H78" s="163">
        <v>21</v>
      </c>
      <c r="I78" s="163">
        <v>20</v>
      </c>
      <c r="J78" s="163">
        <v>0</v>
      </c>
      <c r="K78" s="163">
        <v>0</v>
      </c>
      <c r="L78" s="163">
        <v>1</v>
      </c>
      <c r="M78" s="163">
        <v>4</v>
      </c>
      <c r="N78" s="163">
        <v>452</v>
      </c>
      <c r="O78" s="163">
        <v>0</v>
      </c>
      <c r="P78" s="163">
        <v>717</v>
      </c>
      <c r="Q78" s="163">
        <v>8307.51</v>
      </c>
      <c r="R78" s="163">
        <v>18.379446903000002</v>
      </c>
      <c r="S78" s="163">
        <v>11.586485356000001</v>
      </c>
      <c r="T78" s="163">
        <v>1.5862831857999999</v>
      </c>
      <c r="U78" s="140">
        <f t="shared" si="1"/>
        <v>4.597008418231594E-3</v>
      </c>
    </row>
    <row r="79" spans="2:21">
      <c r="B79" s="163">
        <v>2018</v>
      </c>
      <c r="C79" s="163">
        <v>21200000118</v>
      </c>
      <c r="D79" s="163" t="s">
        <v>328</v>
      </c>
      <c r="E79" s="163" t="s">
        <v>240</v>
      </c>
      <c r="F79" s="163" t="s">
        <v>241</v>
      </c>
      <c r="G79" s="163"/>
      <c r="H79" s="163">
        <v>21</v>
      </c>
      <c r="I79" s="163">
        <v>20</v>
      </c>
      <c r="J79" s="163">
        <v>0</v>
      </c>
      <c r="K79" s="163">
        <v>0</v>
      </c>
      <c r="L79" s="163">
        <v>1</v>
      </c>
      <c r="M79" s="163">
        <v>4</v>
      </c>
      <c r="N79" s="163">
        <v>382</v>
      </c>
      <c r="O79" s="163">
        <v>0</v>
      </c>
      <c r="P79" s="163">
        <v>648</v>
      </c>
      <c r="Q79" s="163">
        <v>7506.9</v>
      </c>
      <c r="R79" s="163">
        <v>19.651570680999999</v>
      </c>
      <c r="S79" s="163">
        <v>11.584722222</v>
      </c>
      <c r="T79" s="163">
        <v>1.6963350785</v>
      </c>
      <c r="U79" s="140">
        <f t="shared" si="1"/>
        <v>4.1546184867699764E-3</v>
      </c>
    </row>
    <row r="80" spans="2:21">
      <c r="B80" s="163">
        <v>2018</v>
      </c>
      <c r="C80" s="163">
        <v>21200000116</v>
      </c>
      <c r="D80" s="163" t="s">
        <v>326</v>
      </c>
      <c r="E80" s="163" t="s">
        <v>240</v>
      </c>
      <c r="F80" s="163" t="s">
        <v>241</v>
      </c>
      <c r="G80" s="163"/>
      <c r="H80" s="163">
        <v>21</v>
      </c>
      <c r="I80" s="163">
        <v>20</v>
      </c>
      <c r="J80" s="163">
        <v>0</v>
      </c>
      <c r="K80" s="163">
        <v>0</v>
      </c>
      <c r="L80" s="163">
        <v>1</v>
      </c>
      <c r="M80" s="163">
        <v>4</v>
      </c>
      <c r="N80" s="163">
        <v>363</v>
      </c>
      <c r="O80" s="163">
        <v>0</v>
      </c>
      <c r="P80" s="163">
        <v>561</v>
      </c>
      <c r="Q80" s="163">
        <v>6501.63</v>
      </c>
      <c r="R80" s="163">
        <v>17.910826446000002</v>
      </c>
      <c r="S80" s="163">
        <v>11.589358289</v>
      </c>
      <c r="T80" s="163">
        <v>1.5454545454999999</v>
      </c>
      <c r="U80" s="140">
        <f t="shared" si="1"/>
        <v>3.5968224862314149E-3</v>
      </c>
    </row>
    <row r="81" spans="2:21">
      <c r="B81" s="163">
        <v>2018</v>
      </c>
      <c r="C81" s="163">
        <v>21200000110</v>
      </c>
      <c r="D81" s="163" t="s">
        <v>320</v>
      </c>
      <c r="E81" s="163" t="s">
        <v>240</v>
      </c>
      <c r="F81" s="163" t="s">
        <v>241</v>
      </c>
      <c r="G81" s="163"/>
      <c r="H81" s="163">
        <v>21</v>
      </c>
      <c r="I81" s="163">
        <v>20</v>
      </c>
      <c r="J81" s="163">
        <v>0</v>
      </c>
      <c r="K81" s="163">
        <v>0</v>
      </c>
      <c r="L81" s="163">
        <v>1</v>
      </c>
      <c r="M81" s="163">
        <v>4</v>
      </c>
      <c r="N81" s="163">
        <v>340</v>
      </c>
      <c r="O81" s="163">
        <v>0</v>
      </c>
      <c r="P81" s="163">
        <v>520</v>
      </c>
      <c r="Q81" s="163">
        <v>6022.9</v>
      </c>
      <c r="R81" s="163">
        <v>17.714411765000001</v>
      </c>
      <c r="S81" s="163">
        <v>11.5825</v>
      </c>
      <c r="T81" s="163">
        <v>1.5294117647000001</v>
      </c>
      <c r="U81" s="140">
        <f t="shared" si="1"/>
        <v>3.333953106667265E-3</v>
      </c>
    </row>
    <row r="82" spans="2:21">
      <c r="B82" s="163">
        <v>2018</v>
      </c>
      <c r="C82" s="163">
        <v>21200000011</v>
      </c>
      <c r="D82" s="163" t="s">
        <v>247</v>
      </c>
      <c r="E82" s="163" t="s">
        <v>240</v>
      </c>
      <c r="F82" s="163" t="s">
        <v>241</v>
      </c>
      <c r="G82" s="163"/>
      <c r="H82" s="163">
        <v>21</v>
      </c>
      <c r="I82" s="163">
        <v>20</v>
      </c>
      <c r="J82" s="163">
        <v>0</v>
      </c>
      <c r="K82" s="163">
        <v>0</v>
      </c>
      <c r="L82" s="163">
        <v>1</v>
      </c>
      <c r="M82" s="163">
        <v>4</v>
      </c>
      <c r="N82" s="163">
        <v>353</v>
      </c>
      <c r="O82" s="163">
        <v>0</v>
      </c>
      <c r="P82" s="163">
        <v>507</v>
      </c>
      <c r="Q82" s="163">
        <v>9769.92</v>
      </c>
      <c r="R82" s="163">
        <v>27.676827195000001</v>
      </c>
      <c r="S82" s="163">
        <v>19.270059172</v>
      </c>
      <c r="T82" s="163">
        <v>1.4362606231999999</v>
      </c>
      <c r="U82" s="140">
        <f t="shared" si="1"/>
        <v>3.2506042790005833E-3</v>
      </c>
    </row>
    <row r="83" spans="2:21">
      <c r="B83" s="163">
        <v>2018</v>
      </c>
      <c r="C83" s="163">
        <v>21200000005</v>
      </c>
      <c r="D83" s="163" t="s">
        <v>239</v>
      </c>
      <c r="E83" s="163" t="s">
        <v>240</v>
      </c>
      <c r="F83" s="163" t="s">
        <v>241</v>
      </c>
      <c r="G83" s="163"/>
      <c r="H83" s="163">
        <v>21</v>
      </c>
      <c r="I83" s="163">
        <v>20</v>
      </c>
      <c r="J83" s="163">
        <v>0</v>
      </c>
      <c r="K83" s="163">
        <v>0</v>
      </c>
      <c r="L83" s="163">
        <v>1</v>
      </c>
      <c r="M83" s="163">
        <v>4</v>
      </c>
      <c r="N83" s="163">
        <v>375</v>
      </c>
      <c r="O83" s="163">
        <v>0</v>
      </c>
      <c r="P83" s="163">
        <v>475</v>
      </c>
      <c r="Q83" s="163">
        <v>9154.75</v>
      </c>
      <c r="R83" s="163">
        <v>24.412666667</v>
      </c>
      <c r="S83" s="163">
        <v>19.273157895000001</v>
      </c>
      <c r="T83" s="163">
        <v>1.2666666666999999</v>
      </c>
      <c r="U83" s="140">
        <f t="shared" si="1"/>
        <v>3.0454379339749055E-3</v>
      </c>
    </row>
    <row r="84" spans="2:21">
      <c r="B84" s="163">
        <v>2018</v>
      </c>
      <c r="C84" s="163">
        <v>21200000113</v>
      </c>
      <c r="D84" s="163" t="s">
        <v>323</v>
      </c>
      <c r="E84" s="163" t="s">
        <v>240</v>
      </c>
      <c r="F84" s="163" t="s">
        <v>241</v>
      </c>
      <c r="G84" s="163"/>
      <c r="H84" s="163">
        <v>21</v>
      </c>
      <c r="I84" s="163">
        <v>20</v>
      </c>
      <c r="J84" s="163">
        <v>0</v>
      </c>
      <c r="K84" s="163">
        <v>0</v>
      </c>
      <c r="L84" s="163">
        <v>1</v>
      </c>
      <c r="M84" s="163">
        <v>4</v>
      </c>
      <c r="N84" s="163">
        <v>276</v>
      </c>
      <c r="O84" s="163">
        <v>0</v>
      </c>
      <c r="P84" s="163">
        <v>458</v>
      </c>
      <c r="Q84" s="163">
        <v>5306.72</v>
      </c>
      <c r="R84" s="163">
        <v>19.227246377</v>
      </c>
      <c r="S84" s="163">
        <v>11.586724890999999</v>
      </c>
      <c r="T84" s="163">
        <v>1.6594202898999999</v>
      </c>
      <c r="U84" s="140">
        <f t="shared" si="1"/>
        <v>2.9364433131800144E-3</v>
      </c>
    </row>
    <row r="85" spans="2:21">
      <c r="B85" s="163">
        <v>2018</v>
      </c>
      <c r="C85" s="163">
        <v>21200000155</v>
      </c>
      <c r="D85" s="163" t="s">
        <v>358</v>
      </c>
      <c r="E85" s="163" t="s">
        <v>240</v>
      </c>
      <c r="F85" s="163" t="s">
        <v>241</v>
      </c>
      <c r="G85" s="163"/>
      <c r="H85" s="163">
        <v>21</v>
      </c>
      <c r="I85" s="163">
        <v>20</v>
      </c>
      <c r="J85" s="163">
        <v>0</v>
      </c>
      <c r="K85" s="163">
        <v>0</v>
      </c>
      <c r="L85" s="163">
        <v>1</v>
      </c>
      <c r="M85" s="163">
        <v>4</v>
      </c>
      <c r="N85" s="163">
        <v>212</v>
      </c>
      <c r="O85" s="163">
        <v>0</v>
      </c>
      <c r="P85" s="163">
        <v>347</v>
      </c>
      <c r="Q85" s="163">
        <v>11078.39</v>
      </c>
      <c r="R85" s="163">
        <v>52.256556603999996</v>
      </c>
      <c r="S85" s="163">
        <v>31.926195965000002</v>
      </c>
      <c r="T85" s="163">
        <v>1.6367924528</v>
      </c>
      <c r="U85" s="140">
        <f t="shared" si="1"/>
        <v>2.2247725538721941E-3</v>
      </c>
    </row>
    <row r="86" spans="2:21">
      <c r="B86" s="163">
        <v>2018</v>
      </c>
      <c r="C86" s="163">
        <v>21200000082</v>
      </c>
      <c r="D86" s="163" t="s">
        <v>297</v>
      </c>
      <c r="E86" s="163" t="s">
        <v>240</v>
      </c>
      <c r="F86" s="163" t="s">
        <v>241</v>
      </c>
      <c r="G86" s="163"/>
      <c r="H86" s="163">
        <v>21</v>
      </c>
      <c r="I86" s="163">
        <v>20</v>
      </c>
      <c r="J86" s="163">
        <v>0</v>
      </c>
      <c r="K86" s="163">
        <v>0</v>
      </c>
      <c r="L86" s="163">
        <v>1</v>
      </c>
      <c r="M86" s="163">
        <v>4</v>
      </c>
      <c r="N86" s="163">
        <v>269</v>
      </c>
      <c r="O86" s="163">
        <v>0</v>
      </c>
      <c r="P86" s="163">
        <v>320</v>
      </c>
      <c r="Q86" s="163">
        <v>3152</v>
      </c>
      <c r="R86" s="163">
        <v>11.717472119</v>
      </c>
      <c r="S86" s="163">
        <v>9.85</v>
      </c>
      <c r="T86" s="163">
        <v>1.1895910781000001</v>
      </c>
      <c r="U86" s="140">
        <f t="shared" si="1"/>
        <v>2.0516634502567785E-3</v>
      </c>
    </row>
    <row r="87" spans="2:21">
      <c r="B87" s="163">
        <v>2018</v>
      </c>
      <c r="C87" s="163">
        <v>21200000012</v>
      </c>
      <c r="D87" s="163" t="s">
        <v>248</v>
      </c>
      <c r="E87" s="163" t="s">
        <v>240</v>
      </c>
      <c r="F87" s="163" t="s">
        <v>241</v>
      </c>
      <c r="G87" s="163"/>
      <c r="H87" s="163">
        <v>21</v>
      </c>
      <c r="I87" s="163">
        <v>20</v>
      </c>
      <c r="J87" s="163">
        <v>0</v>
      </c>
      <c r="K87" s="163">
        <v>0</v>
      </c>
      <c r="L87" s="163">
        <v>1</v>
      </c>
      <c r="M87" s="163">
        <v>4</v>
      </c>
      <c r="N87" s="163">
        <v>197</v>
      </c>
      <c r="O87" s="163">
        <v>0</v>
      </c>
      <c r="P87" s="163">
        <v>304</v>
      </c>
      <c r="Q87" s="163">
        <v>5860.84</v>
      </c>
      <c r="R87" s="163">
        <v>29.750456852999999</v>
      </c>
      <c r="S87" s="163">
        <v>19.279078946999999</v>
      </c>
      <c r="T87" s="163">
        <v>1.5431472080999999</v>
      </c>
      <c r="U87" s="140">
        <f t="shared" si="1"/>
        <v>1.9490802777439396E-3</v>
      </c>
    </row>
    <row r="88" spans="2:21">
      <c r="B88" s="163">
        <v>2018</v>
      </c>
      <c r="C88" s="163">
        <v>21200000114</v>
      </c>
      <c r="D88" s="163" t="s">
        <v>324</v>
      </c>
      <c r="E88" s="163" t="s">
        <v>240</v>
      </c>
      <c r="F88" s="163" t="s">
        <v>241</v>
      </c>
      <c r="G88" s="163"/>
      <c r="H88" s="163">
        <v>21</v>
      </c>
      <c r="I88" s="163">
        <v>20</v>
      </c>
      <c r="J88" s="163">
        <v>0</v>
      </c>
      <c r="K88" s="163">
        <v>0</v>
      </c>
      <c r="L88" s="163">
        <v>1</v>
      </c>
      <c r="M88" s="163">
        <v>4</v>
      </c>
      <c r="N88" s="163">
        <v>182</v>
      </c>
      <c r="O88" s="163">
        <v>0</v>
      </c>
      <c r="P88" s="163">
        <v>301</v>
      </c>
      <c r="Q88" s="163">
        <v>3487.03</v>
      </c>
      <c r="R88" s="163">
        <v>19.159505495000001</v>
      </c>
      <c r="S88" s="163">
        <v>11.584817276000001</v>
      </c>
      <c r="T88" s="163">
        <v>1.6538461538</v>
      </c>
      <c r="U88" s="140">
        <f t="shared" si="1"/>
        <v>1.9298459328977824E-3</v>
      </c>
    </row>
    <row r="89" spans="2:21">
      <c r="B89" s="163">
        <v>2018</v>
      </c>
      <c r="C89" s="163">
        <v>21200000081</v>
      </c>
      <c r="D89" s="163" t="s">
        <v>296</v>
      </c>
      <c r="E89" s="163" t="s">
        <v>240</v>
      </c>
      <c r="F89" s="163" t="s">
        <v>241</v>
      </c>
      <c r="G89" s="163"/>
      <c r="H89" s="163">
        <v>21</v>
      </c>
      <c r="I89" s="163">
        <v>20</v>
      </c>
      <c r="J89" s="163">
        <v>0</v>
      </c>
      <c r="K89" s="163">
        <v>0</v>
      </c>
      <c r="L89" s="163">
        <v>1</v>
      </c>
      <c r="M89" s="163">
        <v>4</v>
      </c>
      <c r="N89" s="163">
        <v>205</v>
      </c>
      <c r="O89" s="163">
        <v>0</v>
      </c>
      <c r="P89" s="163">
        <v>244</v>
      </c>
      <c r="Q89" s="163">
        <v>2403.4</v>
      </c>
      <c r="R89" s="163">
        <v>11.723902439</v>
      </c>
      <c r="S89" s="163">
        <v>9.85</v>
      </c>
      <c r="T89" s="163">
        <v>1.1902439024</v>
      </c>
      <c r="U89" s="140">
        <f t="shared" si="1"/>
        <v>1.5643933808207936E-3</v>
      </c>
    </row>
    <row r="90" spans="2:21">
      <c r="B90" s="163">
        <v>2018</v>
      </c>
      <c r="C90" s="163">
        <v>21200000115</v>
      </c>
      <c r="D90" s="163" t="s">
        <v>325</v>
      </c>
      <c r="E90" s="163" t="s">
        <v>240</v>
      </c>
      <c r="F90" s="163" t="s">
        <v>241</v>
      </c>
      <c r="G90" s="163"/>
      <c r="H90" s="163">
        <v>21</v>
      </c>
      <c r="I90" s="163">
        <v>20</v>
      </c>
      <c r="J90" s="163">
        <v>0</v>
      </c>
      <c r="K90" s="163">
        <v>0</v>
      </c>
      <c r="L90" s="163">
        <v>1</v>
      </c>
      <c r="M90" s="163">
        <v>4</v>
      </c>
      <c r="N90" s="163">
        <v>151</v>
      </c>
      <c r="O90" s="163">
        <v>0</v>
      </c>
      <c r="P90" s="163">
        <v>239</v>
      </c>
      <c r="Q90" s="163">
        <v>2768.96</v>
      </c>
      <c r="R90" s="163">
        <v>18.337483444</v>
      </c>
      <c r="S90" s="163">
        <v>11.585606694999999</v>
      </c>
      <c r="T90" s="163">
        <v>1.5827814570000001</v>
      </c>
      <c r="U90" s="140">
        <f t="shared" si="1"/>
        <v>1.5323361394105315E-3</v>
      </c>
    </row>
    <row r="91" spans="2:21">
      <c r="B91" s="163">
        <v>2018</v>
      </c>
      <c r="C91" s="163">
        <v>21200000027</v>
      </c>
      <c r="D91" s="163" t="s">
        <v>254</v>
      </c>
      <c r="E91" s="163" t="s">
        <v>240</v>
      </c>
      <c r="F91" s="163" t="s">
        <v>241</v>
      </c>
      <c r="G91" s="163"/>
      <c r="H91" s="163">
        <v>21</v>
      </c>
      <c r="I91" s="163">
        <v>20</v>
      </c>
      <c r="J91" s="163">
        <v>0</v>
      </c>
      <c r="K91" s="163">
        <v>0</v>
      </c>
      <c r="L91" s="163">
        <v>1</v>
      </c>
      <c r="M91" s="163">
        <v>4</v>
      </c>
      <c r="N91" s="163">
        <v>193</v>
      </c>
      <c r="O91" s="163">
        <v>0</v>
      </c>
      <c r="P91" s="163">
        <v>230</v>
      </c>
      <c r="Q91" s="163">
        <v>4804.7</v>
      </c>
      <c r="R91" s="163">
        <v>24.894818653000002</v>
      </c>
      <c r="S91" s="163">
        <v>20.89</v>
      </c>
      <c r="T91" s="163">
        <v>1.1917098446000001</v>
      </c>
      <c r="U91" s="140">
        <f t="shared" si="1"/>
        <v>1.4746331048720595E-3</v>
      </c>
    </row>
    <row r="92" spans="2:21">
      <c r="B92" s="163">
        <v>2018</v>
      </c>
      <c r="C92" s="163">
        <v>21200000156</v>
      </c>
      <c r="D92" s="163" t="s">
        <v>359</v>
      </c>
      <c r="E92" s="163" t="s">
        <v>240</v>
      </c>
      <c r="F92" s="163" t="s">
        <v>241</v>
      </c>
      <c r="G92" s="163"/>
      <c r="H92" s="163">
        <v>21</v>
      </c>
      <c r="I92" s="163">
        <v>20</v>
      </c>
      <c r="J92" s="163">
        <v>0</v>
      </c>
      <c r="K92" s="163">
        <v>0</v>
      </c>
      <c r="L92" s="163">
        <v>1</v>
      </c>
      <c r="M92" s="163">
        <v>4</v>
      </c>
      <c r="N92" s="163">
        <v>138</v>
      </c>
      <c r="O92" s="163">
        <v>0</v>
      </c>
      <c r="P92" s="163">
        <v>219</v>
      </c>
      <c r="Q92" s="163">
        <v>6985.11</v>
      </c>
      <c r="R92" s="163">
        <v>50.616739129999999</v>
      </c>
      <c r="S92" s="163">
        <v>31.895479452</v>
      </c>
      <c r="T92" s="163">
        <v>1.5869565216999999</v>
      </c>
      <c r="U92" s="140">
        <f t="shared" si="1"/>
        <v>1.4041071737694829E-3</v>
      </c>
    </row>
    <row r="93" spans="2:21">
      <c r="B93" s="163">
        <v>2018</v>
      </c>
      <c r="C93" s="163">
        <v>21200000096</v>
      </c>
      <c r="D93" s="163" t="s">
        <v>306</v>
      </c>
      <c r="E93" s="163" t="s">
        <v>240</v>
      </c>
      <c r="F93" s="163" t="s">
        <v>241</v>
      </c>
      <c r="G93" s="163"/>
      <c r="H93" s="163">
        <v>21</v>
      </c>
      <c r="I93" s="163">
        <v>20</v>
      </c>
      <c r="J93" s="163">
        <v>0</v>
      </c>
      <c r="K93" s="163">
        <v>0</v>
      </c>
      <c r="L93" s="163">
        <v>1</v>
      </c>
      <c r="M93" s="163">
        <v>4</v>
      </c>
      <c r="N93" s="163">
        <v>118</v>
      </c>
      <c r="O93" s="163">
        <v>0</v>
      </c>
      <c r="P93" s="163">
        <v>214</v>
      </c>
      <c r="Q93" s="163">
        <v>3134.7</v>
      </c>
      <c r="R93" s="163">
        <v>26.565254237000001</v>
      </c>
      <c r="S93" s="163">
        <v>14.648130841</v>
      </c>
      <c r="T93" s="163">
        <v>1.8135593219999999</v>
      </c>
      <c r="U93" s="140">
        <f t="shared" si="1"/>
        <v>1.3720499323592206E-3</v>
      </c>
    </row>
    <row r="94" spans="2:21">
      <c r="B94" s="163">
        <v>2018</v>
      </c>
      <c r="C94" s="163">
        <v>21200000105</v>
      </c>
      <c r="D94" s="163" t="s">
        <v>315</v>
      </c>
      <c r="E94" s="163" t="s">
        <v>240</v>
      </c>
      <c r="F94" s="163" t="s">
        <v>241</v>
      </c>
      <c r="G94" s="163"/>
      <c r="H94" s="163">
        <v>21</v>
      </c>
      <c r="I94" s="163">
        <v>20</v>
      </c>
      <c r="J94" s="163">
        <v>0</v>
      </c>
      <c r="K94" s="163">
        <v>0</v>
      </c>
      <c r="L94" s="163">
        <v>1</v>
      </c>
      <c r="M94" s="163">
        <v>4</v>
      </c>
      <c r="N94" s="163">
        <v>139</v>
      </c>
      <c r="O94" s="163">
        <v>0</v>
      </c>
      <c r="P94" s="163">
        <v>209</v>
      </c>
      <c r="Q94" s="163">
        <v>2421.62</v>
      </c>
      <c r="R94" s="163">
        <v>17.421726619000001</v>
      </c>
      <c r="S94" s="163">
        <v>11.586698565000001</v>
      </c>
      <c r="T94" s="163">
        <v>1.5035971223</v>
      </c>
      <c r="U94" s="140">
        <f t="shared" si="1"/>
        <v>1.3399926909489586E-3</v>
      </c>
    </row>
    <row r="95" spans="2:21">
      <c r="B95" s="163">
        <v>2018</v>
      </c>
      <c r="C95" s="163">
        <v>21200000071</v>
      </c>
      <c r="D95" s="163" t="s">
        <v>288</v>
      </c>
      <c r="E95" s="163" t="s">
        <v>240</v>
      </c>
      <c r="F95" s="163" t="s">
        <v>241</v>
      </c>
      <c r="G95" s="163"/>
      <c r="H95" s="163">
        <v>21</v>
      </c>
      <c r="I95" s="163">
        <v>20</v>
      </c>
      <c r="J95" s="163">
        <v>0</v>
      </c>
      <c r="K95" s="163">
        <v>0</v>
      </c>
      <c r="L95" s="163">
        <v>1</v>
      </c>
      <c r="M95" s="163">
        <v>4</v>
      </c>
      <c r="N95" s="163">
        <v>126</v>
      </c>
      <c r="O95" s="163">
        <v>0</v>
      </c>
      <c r="P95" s="163">
        <v>207</v>
      </c>
      <c r="Q95" s="163">
        <v>6759.11</v>
      </c>
      <c r="R95" s="163">
        <v>53.643730159</v>
      </c>
      <c r="S95" s="163">
        <v>32.652705314000002</v>
      </c>
      <c r="T95" s="163">
        <v>1.6428571429000001</v>
      </c>
      <c r="U95" s="140">
        <f t="shared" si="1"/>
        <v>1.3271697943848537E-3</v>
      </c>
    </row>
    <row r="96" spans="2:21">
      <c r="B96" s="163">
        <v>2018</v>
      </c>
      <c r="C96" s="163">
        <v>21200000083</v>
      </c>
      <c r="D96" s="163" t="s">
        <v>298</v>
      </c>
      <c r="E96" s="163" t="s">
        <v>240</v>
      </c>
      <c r="F96" s="163" t="s">
        <v>241</v>
      </c>
      <c r="G96" s="163"/>
      <c r="H96" s="163">
        <v>21</v>
      </c>
      <c r="I96" s="163">
        <v>20</v>
      </c>
      <c r="J96" s="163">
        <v>0</v>
      </c>
      <c r="K96" s="163">
        <v>0</v>
      </c>
      <c r="L96" s="163">
        <v>1</v>
      </c>
      <c r="M96" s="163">
        <v>4</v>
      </c>
      <c r="N96" s="163">
        <v>164</v>
      </c>
      <c r="O96" s="163">
        <v>0</v>
      </c>
      <c r="P96" s="163">
        <v>202</v>
      </c>
      <c r="Q96" s="163">
        <v>1989.7</v>
      </c>
      <c r="R96" s="163">
        <v>12.132317072999999</v>
      </c>
      <c r="S96" s="163">
        <v>9.85</v>
      </c>
      <c r="T96" s="163">
        <v>1.2317073170999999</v>
      </c>
      <c r="U96" s="140">
        <f t="shared" si="1"/>
        <v>1.2951125529745914E-3</v>
      </c>
    </row>
    <row r="97" spans="2:21">
      <c r="B97" s="163">
        <v>2018</v>
      </c>
      <c r="C97" s="163">
        <v>21200000057</v>
      </c>
      <c r="D97" s="163" t="s">
        <v>277</v>
      </c>
      <c r="E97" s="163" t="s">
        <v>240</v>
      </c>
      <c r="F97" s="163" t="s">
        <v>241</v>
      </c>
      <c r="G97" s="163"/>
      <c r="H97" s="163">
        <v>21</v>
      </c>
      <c r="I97" s="163">
        <v>20</v>
      </c>
      <c r="J97" s="163">
        <v>0</v>
      </c>
      <c r="K97" s="163">
        <v>0</v>
      </c>
      <c r="L97" s="163">
        <v>1</v>
      </c>
      <c r="M97" s="163">
        <v>4</v>
      </c>
      <c r="N97" s="163">
        <v>98</v>
      </c>
      <c r="O97" s="163">
        <v>0</v>
      </c>
      <c r="P97" s="163">
        <v>201</v>
      </c>
      <c r="Q97" s="163">
        <v>5447.1</v>
      </c>
      <c r="R97" s="163">
        <v>55.582653061000002</v>
      </c>
      <c r="S97" s="163">
        <v>27.1</v>
      </c>
      <c r="T97" s="163">
        <v>2.0510204081999999</v>
      </c>
      <c r="U97" s="140">
        <f t="shared" si="1"/>
        <v>1.2887011046925391E-3</v>
      </c>
    </row>
    <row r="98" spans="2:21">
      <c r="B98" s="163">
        <v>2018</v>
      </c>
      <c r="C98" s="163">
        <v>21200000167</v>
      </c>
      <c r="D98" s="163" t="s">
        <v>365</v>
      </c>
      <c r="E98" s="163" t="s">
        <v>240</v>
      </c>
      <c r="F98" s="163" t="s">
        <v>241</v>
      </c>
      <c r="G98" s="163"/>
      <c r="H98" s="163">
        <v>21</v>
      </c>
      <c r="I98" s="163">
        <v>20</v>
      </c>
      <c r="J98" s="163">
        <v>0</v>
      </c>
      <c r="K98" s="163">
        <v>0</v>
      </c>
      <c r="L98" s="163">
        <v>1</v>
      </c>
      <c r="M98" s="163">
        <v>4</v>
      </c>
      <c r="N98" s="163">
        <v>130</v>
      </c>
      <c r="O98" s="163">
        <v>0</v>
      </c>
      <c r="P98" s="163">
        <v>198</v>
      </c>
      <c r="Q98" s="163">
        <v>4752</v>
      </c>
      <c r="R98" s="163">
        <v>36.553846153999999</v>
      </c>
      <c r="S98" s="163">
        <v>24</v>
      </c>
      <c r="T98" s="163">
        <v>1.5230769231000001</v>
      </c>
      <c r="U98" s="140">
        <f t="shared" si="1"/>
        <v>1.2694667598463817E-3</v>
      </c>
    </row>
    <row r="99" spans="2:21">
      <c r="B99" s="163">
        <v>2018</v>
      </c>
      <c r="C99" s="163">
        <v>21200000106</v>
      </c>
      <c r="D99" s="163" t="s">
        <v>316</v>
      </c>
      <c r="E99" s="163" t="s">
        <v>240</v>
      </c>
      <c r="F99" s="163" t="s">
        <v>241</v>
      </c>
      <c r="G99" s="163"/>
      <c r="H99" s="163">
        <v>21</v>
      </c>
      <c r="I99" s="163">
        <v>20</v>
      </c>
      <c r="J99" s="163">
        <v>0</v>
      </c>
      <c r="K99" s="163">
        <v>0</v>
      </c>
      <c r="L99" s="163">
        <v>1</v>
      </c>
      <c r="M99" s="163">
        <v>4</v>
      </c>
      <c r="N99" s="163">
        <v>137</v>
      </c>
      <c r="O99" s="163">
        <v>0</v>
      </c>
      <c r="P99" s="163">
        <v>184</v>
      </c>
      <c r="Q99" s="163">
        <v>2131.9899999999998</v>
      </c>
      <c r="R99" s="163">
        <v>15.561970802999999</v>
      </c>
      <c r="S99" s="163">
        <v>11.586902174</v>
      </c>
      <c r="T99" s="163">
        <v>1.3430656934</v>
      </c>
      <c r="U99" s="140">
        <f t="shared" si="1"/>
        <v>1.1797064838976476E-3</v>
      </c>
    </row>
    <row r="100" spans="2:21">
      <c r="B100" s="163">
        <v>2018</v>
      </c>
      <c r="C100" s="163">
        <v>21200000056</v>
      </c>
      <c r="D100" s="163" t="s">
        <v>276</v>
      </c>
      <c r="E100" s="163" t="s">
        <v>240</v>
      </c>
      <c r="F100" s="163" t="s">
        <v>241</v>
      </c>
      <c r="G100" s="163"/>
      <c r="H100" s="163">
        <v>21</v>
      </c>
      <c r="I100" s="163">
        <v>20</v>
      </c>
      <c r="J100" s="163">
        <v>0</v>
      </c>
      <c r="K100" s="163">
        <v>0</v>
      </c>
      <c r="L100" s="163">
        <v>1</v>
      </c>
      <c r="M100" s="163">
        <v>4</v>
      </c>
      <c r="N100" s="163">
        <v>91</v>
      </c>
      <c r="O100" s="163">
        <v>0</v>
      </c>
      <c r="P100" s="163">
        <v>183</v>
      </c>
      <c r="Q100" s="163">
        <v>4959.3</v>
      </c>
      <c r="R100" s="163">
        <v>54.497802198000002</v>
      </c>
      <c r="S100" s="163">
        <v>27.1</v>
      </c>
      <c r="T100" s="163">
        <v>2.0109890109999999</v>
      </c>
      <c r="U100" s="140">
        <f t="shared" si="1"/>
        <v>1.1732950356155953E-3</v>
      </c>
    </row>
    <row r="101" spans="2:21">
      <c r="B101" s="163">
        <v>2018</v>
      </c>
      <c r="C101" s="163">
        <v>21200000097</v>
      </c>
      <c r="D101" s="163" t="s">
        <v>307</v>
      </c>
      <c r="E101" s="163" t="s">
        <v>240</v>
      </c>
      <c r="F101" s="163" t="s">
        <v>241</v>
      </c>
      <c r="G101" s="163"/>
      <c r="H101" s="163">
        <v>21</v>
      </c>
      <c r="I101" s="163">
        <v>20</v>
      </c>
      <c r="J101" s="163">
        <v>0</v>
      </c>
      <c r="K101" s="163">
        <v>0</v>
      </c>
      <c r="L101" s="163">
        <v>1</v>
      </c>
      <c r="M101" s="163">
        <v>4</v>
      </c>
      <c r="N101" s="163">
        <v>94</v>
      </c>
      <c r="O101" s="163">
        <v>0</v>
      </c>
      <c r="P101" s="163">
        <v>178</v>
      </c>
      <c r="Q101" s="163">
        <v>2606.34</v>
      </c>
      <c r="R101" s="163">
        <v>27.727021276999999</v>
      </c>
      <c r="S101" s="163">
        <v>14.642359551</v>
      </c>
      <c r="T101" s="163">
        <v>1.8936170213000001</v>
      </c>
      <c r="U101" s="140">
        <f t="shared" si="1"/>
        <v>1.141237794205333E-3</v>
      </c>
    </row>
    <row r="102" spans="2:21">
      <c r="B102" s="163">
        <v>2018</v>
      </c>
      <c r="C102" s="163">
        <v>21200000063</v>
      </c>
      <c r="D102" s="163" t="s">
        <v>283</v>
      </c>
      <c r="E102" s="163" t="s">
        <v>240</v>
      </c>
      <c r="F102" s="163" t="s">
        <v>241</v>
      </c>
      <c r="G102" s="163"/>
      <c r="H102" s="163">
        <v>21</v>
      </c>
      <c r="I102" s="163">
        <v>20</v>
      </c>
      <c r="J102" s="163">
        <v>0</v>
      </c>
      <c r="K102" s="163">
        <v>0</v>
      </c>
      <c r="L102" s="163">
        <v>1</v>
      </c>
      <c r="M102" s="163">
        <v>4</v>
      </c>
      <c r="N102" s="163">
        <v>81</v>
      </c>
      <c r="O102" s="163">
        <v>0</v>
      </c>
      <c r="P102" s="163">
        <v>177</v>
      </c>
      <c r="Q102" s="163">
        <v>4690.5</v>
      </c>
      <c r="R102" s="163">
        <v>57.907407407000001</v>
      </c>
      <c r="S102" s="163">
        <v>26.5</v>
      </c>
      <c r="T102" s="163">
        <v>2.1851851851999999</v>
      </c>
      <c r="U102" s="140">
        <f t="shared" ref="U102:U133" si="2">P102/SUM($P$38:$P$167)</f>
        <v>1.1348263459232807E-3</v>
      </c>
    </row>
    <row r="103" spans="2:21">
      <c r="B103" s="163">
        <v>2018</v>
      </c>
      <c r="C103" s="163">
        <v>21200000102</v>
      </c>
      <c r="D103" s="163" t="s">
        <v>312</v>
      </c>
      <c r="E103" s="163" t="s">
        <v>240</v>
      </c>
      <c r="F103" s="163" t="s">
        <v>241</v>
      </c>
      <c r="G103" s="163"/>
      <c r="H103" s="163">
        <v>21</v>
      </c>
      <c r="I103" s="163">
        <v>20</v>
      </c>
      <c r="J103" s="163">
        <v>0</v>
      </c>
      <c r="K103" s="163">
        <v>0</v>
      </c>
      <c r="L103" s="163">
        <v>1</v>
      </c>
      <c r="M103" s="163">
        <v>4</v>
      </c>
      <c r="N103" s="163">
        <v>82</v>
      </c>
      <c r="O103" s="163">
        <v>0</v>
      </c>
      <c r="P103" s="163">
        <v>176</v>
      </c>
      <c r="Q103" s="163">
        <v>2576.52</v>
      </c>
      <c r="R103" s="163">
        <v>31.420975609999999</v>
      </c>
      <c r="S103" s="163">
        <v>14.639318182</v>
      </c>
      <c r="T103" s="163">
        <v>2.1463414634000002</v>
      </c>
      <c r="U103" s="140">
        <f t="shared" si="2"/>
        <v>1.1284148976412282E-3</v>
      </c>
    </row>
    <row r="104" spans="2:21">
      <c r="B104" s="163">
        <v>2018</v>
      </c>
      <c r="C104" s="163">
        <v>21200000104</v>
      </c>
      <c r="D104" s="163" t="s">
        <v>314</v>
      </c>
      <c r="E104" s="163" t="s">
        <v>240</v>
      </c>
      <c r="F104" s="163" t="s">
        <v>241</v>
      </c>
      <c r="G104" s="163"/>
      <c r="H104" s="163">
        <v>21</v>
      </c>
      <c r="I104" s="163">
        <v>20</v>
      </c>
      <c r="J104" s="163">
        <v>0</v>
      </c>
      <c r="K104" s="163">
        <v>0</v>
      </c>
      <c r="L104" s="163">
        <v>1</v>
      </c>
      <c r="M104" s="163">
        <v>4</v>
      </c>
      <c r="N104" s="163">
        <v>80</v>
      </c>
      <c r="O104" s="163">
        <v>0</v>
      </c>
      <c r="P104" s="163">
        <v>168</v>
      </c>
      <c r="Q104" s="163">
        <v>2460.36</v>
      </c>
      <c r="R104" s="163">
        <v>30.7545</v>
      </c>
      <c r="S104" s="163">
        <v>14.645</v>
      </c>
      <c r="T104" s="163">
        <v>2.1</v>
      </c>
      <c r="U104" s="140">
        <f t="shared" si="2"/>
        <v>1.0771233113848087E-3</v>
      </c>
    </row>
    <row r="105" spans="2:21">
      <c r="B105" s="163">
        <v>2018</v>
      </c>
      <c r="C105" s="163">
        <v>21200000108</v>
      </c>
      <c r="D105" s="163" t="s">
        <v>318</v>
      </c>
      <c r="E105" s="163" t="s">
        <v>240</v>
      </c>
      <c r="F105" s="163" t="s">
        <v>241</v>
      </c>
      <c r="G105" s="163"/>
      <c r="H105" s="163">
        <v>21</v>
      </c>
      <c r="I105" s="163">
        <v>20</v>
      </c>
      <c r="J105" s="163">
        <v>0</v>
      </c>
      <c r="K105" s="163">
        <v>0</v>
      </c>
      <c r="L105" s="163">
        <v>1</v>
      </c>
      <c r="M105" s="163">
        <v>4</v>
      </c>
      <c r="N105" s="163">
        <v>93</v>
      </c>
      <c r="O105" s="163">
        <v>0</v>
      </c>
      <c r="P105" s="163">
        <v>163</v>
      </c>
      <c r="Q105" s="163">
        <v>1888.87</v>
      </c>
      <c r="R105" s="163">
        <v>20.310430107999998</v>
      </c>
      <c r="S105" s="163">
        <v>11.588159509</v>
      </c>
      <c r="T105" s="163">
        <v>1.752688172</v>
      </c>
      <c r="U105" s="140">
        <f t="shared" si="2"/>
        <v>1.0450660699745467E-3</v>
      </c>
    </row>
    <row r="106" spans="2:21">
      <c r="B106" s="163">
        <v>2018</v>
      </c>
      <c r="C106" s="163">
        <v>21200000109</v>
      </c>
      <c r="D106" s="163" t="s">
        <v>319</v>
      </c>
      <c r="E106" s="163" t="s">
        <v>240</v>
      </c>
      <c r="F106" s="163" t="s">
        <v>241</v>
      </c>
      <c r="G106" s="163"/>
      <c r="H106" s="163">
        <v>21</v>
      </c>
      <c r="I106" s="163">
        <v>20</v>
      </c>
      <c r="J106" s="163">
        <v>0</v>
      </c>
      <c r="K106" s="163">
        <v>0</v>
      </c>
      <c r="L106" s="163">
        <v>1</v>
      </c>
      <c r="M106" s="163">
        <v>4</v>
      </c>
      <c r="N106" s="163">
        <v>91</v>
      </c>
      <c r="O106" s="163">
        <v>0</v>
      </c>
      <c r="P106" s="163">
        <v>156</v>
      </c>
      <c r="Q106" s="163">
        <v>1807.86</v>
      </c>
      <c r="R106" s="163">
        <v>19.866593407</v>
      </c>
      <c r="S106" s="163">
        <v>11.588846154000001</v>
      </c>
      <c r="T106" s="163">
        <v>1.7142857143000001</v>
      </c>
      <c r="U106" s="140">
        <f t="shared" si="2"/>
        <v>1.0001859320001795E-3</v>
      </c>
    </row>
    <row r="107" spans="2:21">
      <c r="B107" s="163">
        <v>2018</v>
      </c>
      <c r="C107" s="163">
        <v>21200000107</v>
      </c>
      <c r="D107" s="163" t="s">
        <v>317</v>
      </c>
      <c r="E107" s="163" t="s">
        <v>240</v>
      </c>
      <c r="F107" s="163" t="s">
        <v>241</v>
      </c>
      <c r="G107" s="163"/>
      <c r="H107" s="163">
        <v>21</v>
      </c>
      <c r="I107" s="163">
        <v>20</v>
      </c>
      <c r="J107" s="163">
        <v>0</v>
      </c>
      <c r="K107" s="163">
        <v>0</v>
      </c>
      <c r="L107" s="163">
        <v>1</v>
      </c>
      <c r="M107" s="163">
        <v>4</v>
      </c>
      <c r="N107" s="163">
        <v>89</v>
      </c>
      <c r="O107" s="163">
        <v>0</v>
      </c>
      <c r="P107" s="163">
        <v>155</v>
      </c>
      <c r="Q107" s="163">
        <v>1796.21</v>
      </c>
      <c r="R107" s="163">
        <v>20.182134830999999</v>
      </c>
      <c r="S107" s="163">
        <v>11.588451613</v>
      </c>
      <c r="T107" s="163">
        <v>1.7415730336999999</v>
      </c>
      <c r="U107" s="140">
        <f t="shared" si="2"/>
        <v>9.9377448371812719E-4</v>
      </c>
    </row>
    <row r="108" spans="2:21">
      <c r="B108" s="163">
        <v>2018</v>
      </c>
      <c r="C108" s="163">
        <v>21200000013</v>
      </c>
      <c r="D108" s="163" t="s">
        <v>249</v>
      </c>
      <c r="E108" s="163" t="s">
        <v>240</v>
      </c>
      <c r="F108" s="163" t="s">
        <v>241</v>
      </c>
      <c r="G108" s="163"/>
      <c r="H108" s="163">
        <v>21</v>
      </c>
      <c r="I108" s="163">
        <v>20</v>
      </c>
      <c r="J108" s="163">
        <v>0</v>
      </c>
      <c r="K108" s="163">
        <v>0</v>
      </c>
      <c r="L108" s="163">
        <v>1</v>
      </c>
      <c r="M108" s="163">
        <v>4</v>
      </c>
      <c r="N108" s="163">
        <v>104</v>
      </c>
      <c r="O108" s="163">
        <v>0</v>
      </c>
      <c r="P108" s="163">
        <v>152</v>
      </c>
      <c r="Q108" s="163">
        <v>2929.67</v>
      </c>
      <c r="R108" s="163">
        <v>28.169903846</v>
      </c>
      <c r="S108" s="163">
        <v>19.274144737</v>
      </c>
      <c r="T108" s="163">
        <v>1.4615384615</v>
      </c>
      <c r="U108" s="140">
        <f t="shared" si="2"/>
        <v>9.7454013887196978E-4</v>
      </c>
    </row>
    <row r="109" spans="2:21">
      <c r="B109" s="163">
        <v>2018</v>
      </c>
      <c r="C109" s="163">
        <v>21200000059</v>
      </c>
      <c r="D109" s="163" t="s">
        <v>279</v>
      </c>
      <c r="E109" s="163" t="s">
        <v>240</v>
      </c>
      <c r="F109" s="163" t="s">
        <v>241</v>
      </c>
      <c r="G109" s="163"/>
      <c r="H109" s="163">
        <v>21</v>
      </c>
      <c r="I109" s="163">
        <v>20</v>
      </c>
      <c r="J109" s="163">
        <v>0</v>
      </c>
      <c r="K109" s="163">
        <v>0</v>
      </c>
      <c r="L109" s="163">
        <v>1</v>
      </c>
      <c r="M109" s="163">
        <v>4</v>
      </c>
      <c r="N109" s="163">
        <v>60</v>
      </c>
      <c r="O109" s="163">
        <v>0</v>
      </c>
      <c r="P109" s="163">
        <v>150</v>
      </c>
      <c r="Q109" s="163">
        <v>4065</v>
      </c>
      <c r="R109" s="163">
        <v>67.75</v>
      </c>
      <c r="S109" s="163">
        <v>27.1</v>
      </c>
      <c r="T109" s="163">
        <v>2.5</v>
      </c>
      <c r="U109" s="140">
        <f t="shared" si="2"/>
        <v>9.6171724230786492E-4</v>
      </c>
    </row>
    <row r="110" spans="2:21">
      <c r="B110" s="163">
        <v>2018</v>
      </c>
      <c r="C110" s="163">
        <v>21200000144</v>
      </c>
      <c r="D110" s="163" t="s">
        <v>350</v>
      </c>
      <c r="E110" s="163" t="s">
        <v>240</v>
      </c>
      <c r="F110" s="163" t="s">
        <v>241</v>
      </c>
      <c r="G110" s="163"/>
      <c r="H110" s="163">
        <v>21</v>
      </c>
      <c r="I110" s="163">
        <v>20</v>
      </c>
      <c r="J110" s="163">
        <v>0</v>
      </c>
      <c r="K110" s="163">
        <v>0</v>
      </c>
      <c r="L110" s="163">
        <v>1</v>
      </c>
      <c r="M110" s="163">
        <v>4</v>
      </c>
      <c r="N110" s="163">
        <v>26</v>
      </c>
      <c r="O110" s="163">
        <v>0</v>
      </c>
      <c r="P110" s="163">
        <v>142</v>
      </c>
      <c r="Q110" s="163">
        <v>1041.33</v>
      </c>
      <c r="R110" s="163">
        <v>40.051153845999998</v>
      </c>
      <c r="S110" s="163">
        <v>7.3333098591999999</v>
      </c>
      <c r="T110" s="163">
        <v>5.4615384615</v>
      </c>
      <c r="U110" s="140">
        <f t="shared" si="2"/>
        <v>9.1042565605144545E-4</v>
      </c>
    </row>
    <row r="111" spans="2:21">
      <c r="B111" s="163">
        <v>2018</v>
      </c>
      <c r="C111" s="163">
        <v>21200000025</v>
      </c>
      <c r="D111" s="163" t="s">
        <v>252</v>
      </c>
      <c r="E111" s="163" t="s">
        <v>240</v>
      </c>
      <c r="F111" s="163" t="s">
        <v>241</v>
      </c>
      <c r="G111" s="163"/>
      <c r="H111" s="163">
        <v>21</v>
      </c>
      <c r="I111" s="163">
        <v>20</v>
      </c>
      <c r="J111" s="163">
        <v>0</v>
      </c>
      <c r="K111" s="163">
        <v>0</v>
      </c>
      <c r="L111" s="163">
        <v>1</v>
      </c>
      <c r="M111" s="163">
        <v>4</v>
      </c>
      <c r="N111" s="163">
        <v>79</v>
      </c>
      <c r="O111" s="163">
        <v>0</v>
      </c>
      <c r="P111" s="163">
        <v>132</v>
      </c>
      <c r="Q111" s="163">
        <v>3239.28</v>
      </c>
      <c r="R111" s="163">
        <v>41.003544304000002</v>
      </c>
      <c r="S111" s="163">
        <v>24.54</v>
      </c>
      <c r="T111" s="163">
        <v>1.6708860758999999</v>
      </c>
      <c r="U111" s="140">
        <f t="shared" si="2"/>
        <v>8.4631117323092113E-4</v>
      </c>
    </row>
    <row r="112" spans="2:21">
      <c r="B112" s="163">
        <v>2018</v>
      </c>
      <c r="C112" s="163">
        <v>21200000101</v>
      </c>
      <c r="D112" s="163" t="s">
        <v>311</v>
      </c>
      <c r="E112" s="163" t="s">
        <v>240</v>
      </c>
      <c r="F112" s="163" t="s">
        <v>241</v>
      </c>
      <c r="G112" s="163"/>
      <c r="H112" s="163">
        <v>21</v>
      </c>
      <c r="I112" s="163">
        <v>20</v>
      </c>
      <c r="J112" s="163">
        <v>0</v>
      </c>
      <c r="K112" s="163">
        <v>0</v>
      </c>
      <c r="L112" s="163">
        <v>1</v>
      </c>
      <c r="M112" s="163">
        <v>4</v>
      </c>
      <c r="N112" s="163">
        <v>71</v>
      </c>
      <c r="O112" s="163">
        <v>0</v>
      </c>
      <c r="P112" s="163">
        <v>129</v>
      </c>
      <c r="Q112" s="163">
        <v>1887.45</v>
      </c>
      <c r="R112" s="163">
        <v>26.583802816999999</v>
      </c>
      <c r="S112" s="163">
        <v>14.631395349</v>
      </c>
      <c r="T112" s="163">
        <v>1.8169014084999999</v>
      </c>
      <c r="U112" s="140">
        <f t="shared" si="2"/>
        <v>8.2707682838476383E-4</v>
      </c>
    </row>
    <row r="113" spans="2:21">
      <c r="B113" s="163">
        <v>2018</v>
      </c>
      <c r="C113" s="163">
        <v>21200000084</v>
      </c>
      <c r="D113" s="163" t="s">
        <v>299</v>
      </c>
      <c r="E113" s="163" t="s">
        <v>240</v>
      </c>
      <c r="F113" s="163" t="s">
        <v>241</v>
      </c>
      <c r="G113" s="163"/>
      <c r="H113" s="163">
        <v>21</v>
      </c>
      <c r="I113" s="163">
        <v>20</v>
      </c>
      <c r="J113" s="163">
        <v>0</v>
      </c>
      <c r="K113" s="163">
        <v>0</v>
      </c>
      <c r="L113" s="163">
        <v>1</v>
      </c>
      <c r="M113" s="163">
        <v>4</v>
      </c>
      <c r="N113" s="163">
        <v>93</v>
      </c>
      <c r="O113" s="163">
        <v>0</v>
      </c>
      <c r="P113" s="163">
        <v>127</v>
      </c>
      <c r="Q113" s="163">
        <v>1250.95</v>
      </c>
      <c r="R113" s="163">
        <v>13.451075269</v>
      </c>
      <c r="S113" s="163">
        <v>9.85</v>
      </c>
      <c r="T113" s="163">
        <v>1.3655913978000001</v>
      </c>
      <c r="U113" s="140">
        <f t="shared" si="2"/>
        <v>8.1425393182065896E-4</v>
      </c>
    </row>
    <row r="114" spans="2:21">
      <c r="B114" s="163">
        <v>2018</v>
      </c>
      <c r="C114" s="163">
        <v>21200000103</v>
      </c>
      <c r="D114" s="163" t="s">
        <v>313</v>
      </c>
      <c r="E114" s="163" t="s">
        <v>240</v>
      </c>
      <c r="F114" s="163" t="s">
        <v>241</v>
      </c>
      <c r="G114" s="163"/>
      <c r="H114" s="163">
        <v>21</v>
      </c>
      <c r="I114" s="163">
        <v>20</v>
      </c>
      <c r="J114" s="163">
        <v>0</v>
      </c>
      <c r="K114" s="163">
        <v>0</v>
      </c>
      <c r="L114" s="163">
        <v>1</v>
      </c>
      <c r="M114" s="163">
        <v>4</v>
      </c>
      <c r="N114" s="163">
        <v>57</v>
      </c>
      <c r="O114" s="163">
        <v>0</v>
      </c>
      <c r="P114" s="163">
        <v>126</v>
      </c>
      <c r="Q114" s="163">
        <v>1845.3</v>
      </c>
      <c r="R114" s="163">
        <v>32.373684210999997</v>
      </c>
      <c r="S114" s="163">
        <v>14.645238095</v>
      </c>
      <c r="T114" s="163">
        <v>2.2105263158000001</v>
      </c>
      <c r="U114" s="140">
        <f t="shared" si="2"/>
        <v>8.0784248353860653E-4</v>
      </c>
    </row>
    <row r="115" spans="2:21">
      <c r="B115" s="163">
        <v>2018</v>
      </c>
      <c r="C115" s="163">
        <v>21200000143</v>
      </c>
      <c r="D115" s="163" t="s">
        <v>349</v>
      </c>
      <c r="E115" s="163" t="s">
        <v>240</v>
      </c>
      <c r="F115" s="163" t="s">
        <v>241</v>
      </c>
      <c r="G115" s="163"/>
      <c r="H115" s="163">
        <v>21</v>
      </c>
      <c r="I115" s="163">
        <v>20</v>
      </c>
      <c r="J115" s="163">
        <v>0</v>
      </c>
      <c r="K115" s="163">
        <v>0</v>
      </c>
      <c r="L115" s="163">
        <v>1</v>
      </c>
      <c r="M115" s="163">
        <v>4</v>
      </c>
      <c r="N115" s="163">
        <v>22</v>
      </c>
      <c r="O115" s="163">
        <v>0</v>
      </c>
      <c r="P115" s="163">
        <v>120</v>
      </c>
      <c r="Q115" s="163">
        <v>879.99</v>
      </c>
      <c r="R115" s="163">
        <v>39.999545455000003</v>
      </c>
      <c r="S115" s="163">
        <v>7.3332499999999996</v>
      </c>
      <c r="T115" s="163">
        <v>5.4545454544999998</v>
      </c>
      <c r="U115" s="140">
        <f t="shared" si="2"/>
        <v>7.6937379384629193E-4</v>
      </c>
    </row>
    <row r="116" spans="2:21">
      <c r="B116" s="163">
        <v>2018</v>
      </c>
      <c r="C116" s="163">
        <v>21200000171</v>
      </c>
      <c r="D116" s="163" t="s">
        <v>369</v>
      </c>
      <c r="E116" s="163" t="s">
        <v>240</v>
      </c>
      <c r="F116" s="163" t="s">
        <v>241</v>
      </c>
      <c r="G116" s="163"/>
      <c r="H116" s="163">
        <v>21</v>
      </c>
      <c r="I116" s="163">
        <v>20</v>
      </c>
      <c r="J116" s="163">
        <v>0</v>
      </c>
      <c r="K116" s="163">
        <v>0</v>
      </c>
      <c r="L116" s="163">
        <v>1</v>
      </c>
      <c r="M116" s="163">
        <v>4</v>
      </c>
      <c r="N116" s="163">
        <v>68</v>
      </c>
      <c r="O116" s="163">
        <v>0</v>
      </c>
      <c r="P116" s="163">
        <v>107</v>
      </c>
      <c r="Q116" s="163">
        <v>11128</v>
      </c>
      <c r="R116" s="163">
        <v>163.64705882000001</v>
      </c>
      <c r="S116" s="163">
        <v>104</v>
      </c>
      <c r="T116" s="163">
        <v>1.5735294118000001</v>
      </c>
      <c r="U116" s="140">
        <f t="shared" si="2"/>
        <v>6.8602496617961031E-4</v>
      </c>
    </row>
    <row r="117" spans="2:21">
      <c r="B117" s="163">
        <v>2018</v>
      </c>
      <c r="C117" s="163">
        <v>21200000062</v>
      </c>
      <c r="D117" s="163" t="s">
        <v>282</v>
      </c>
      <c r="E117" s="163" t="s">
        <v>240</v>
      </c>
      <c r="F117" s="163" t="s">
        <v>241</v>
      </c>
      <c r="G117" s="163"/>
      <c r="H117" s="163">
        <v>21</v>
      </c>
      <c r="I117" s="163">
        <v>20</v>
      </c>
      <c r="J117" s="163">
        <v>0</v>
      </c>
      <c r="K117" s="163">
        <v>0</v>
      </c>
      <c r="L117" s="163">
        <v>1</v>
      </c>
      <c r="M117" s="163">
        <v>4</v>
      </c>
      <c r="N117" s="163">
        <v>51</v>
      </c>
      <c r="O117" s="163">
        <v>0</v>
      </c>
      <c r="P117" s="163">
        <v>104</v>
      </c>
      <c r="Q117" s="163">
        <v>2756</v>
      </c>
      <c r="R117" s="163">
        <v>54.039215685999999</v>
      </c>
      <c r="S117" s="163">
        <v>26.5</v>
      </c>
      <c r="T117" s="163">
        <v>2.0392156862999999</v>
      </c>
      <c r="U117" s="140">
        <f t="shared" si="2"/>
        <v>6.6679062133345301E-4</v>
      </c>
    </row>
    <row r="118" spans="2:21">
      <c r="B118" s="163">
        <v>2018</v>
      </c>
      <c r="C118" s="163">
        <v>21200000095</v>
      </c>
      <c r="D118" s="163" t="s">
        <v>305</v>
      </c>
      <c r="E118" s="163" t="s">
        <v>240</v>
      </c>
      <c r="F118" s="163" t="s">
        <v>241</v>
      </c>
      <c r="G118" s="163"/>
      <c r="H118" s="163">
        <v>21</v>
      </c>
      <c r="I118" s="163">
        <v>20</v>
      </c>
      <c r="J118" s="163">
        <v>0</v>
      </c>
      <c r="K118" s="163">
        <v>0</v>
      </c>
      <c r="L118" s="163">
        <v>1</v>
      </c>
      <c r="M118" s="163">
        <v>4</v>
      </c>
      <c r="N118" s="163">
        <v>65</v>
      </c>
      <c r="O118" s="163">
        <v>0</v>
      </c>
      <c r="P118" s="163">
        <v>104</v>
      </c>
      <c r="Q118" s="163">
        <v>1522.44</v>
      </c>
      <c r="R118" s="163">
        <v>23.422153846</v>
      </c>
      <c r="S118" s="163">
        <v>14.638846153999999</v>
      </c>
      <c r="T118" s="163">
        <v>1.6</v>
      </c>
      <c r="U118" s="140">
        <f t="shared" si="2"/>
        <v>6.6679062133345301E-4</v>
      </c>
    </row>
    <row r="119" spans="2:21">
      <c r="B119" s="163">
        <v>2018</v>
      </c>
      <c r="C119" s="163">
        <v>21200000080</v>
      </c>
      <c r="D119" s="163" t="s">
        <v>295</v>
      </c>
      <c r="E119" s="163" t="s">
        <v>240</v>
      </c>
      <c r="F119" s="163" t="s">
        <v>241</v>
      </c>
      <c r="G119" s="163"/>
      <c r="H119" s="163">
        <v>21</v>
      </c>
      <c r="I119" s="163">
        <v>20</v>
      </c>
      <c r="J119" s="163">
        <v>0</v>
      </c>
      <c r="K119" s="163">
        <v>0</v>
      </c>
      <c r="L119" s="163">
        <v>1</v>
      </c>
      <c r="M119" s="163">
        <v>4</v>
      </c>
      <c r="N119" s="163">
        <v>81</v>
      </c>
      <c r="O119" s="163">
        <v>0</v>
      </c>
      <c r="P119" s="163">
        <v>101</v>
      </c>
      <c r="Q119" s="163">
        <v>994.85</v>
      </c>
      <c r="R119" s="163">
        <v>12.282098765000001</v>
      </c>
      <c r="S119" s="163">
        <v>9.85</v>
      </c>
      <c r="T119" s="163">
        <v>1.2469135802</v>
      </c>
      <c r="U119" s="140">
        <f t="shared" si="2"/>
        <v>6.4755627648729571E-4</v>
      </c>
    </row>
    <row r="120" spans="2:21">
      <c r="B120" s="163">
        <v>2018</v>
      </c>
      <c r="C120" s="163">
        <v>21200000098</v>
      </c>
      <c r="D120" s="163" t="s">
        <v>308</v>
      </c>
      <c r="E120" s="163" t="s">
        <v>240</v>
      </c>
      <c r="F120" s="163" t="s">
        <v>241</v>
      </c>
      <c r="G120" s="163"/>
      <c r="H120" s="163">
        <v>21</v>
      </c>
      <c r="I120" s="163">
        <v>20</v>
      </c>
      <c r="J120" s="163">
        <v>0</v>
      </c>
      <c r="K120" s="163">
        <v>0</v>
      </c>
      <c r="L120" s="163">
        <v>1</v>
      </c>
      <c r="M120" s="163">
        <v>4</v>
      </c>
      <c r="N120" s="163">
        <v>49</v>
      </c>
      <c r="O120" s="163">
        <v>0</v>
      </c>
      <c r="P120" s="163">
        <v>98</v>
      </c>
      <c r="Q120" s="163">
        <v>1433.22</v>
      </c>
      <c r="R120" s="163">
        <v>29.249387755000001</v>
      </c>
      <c r="S120" s="163">
        <v>14.624693878</v>
      </c>
      <c r="T120" s="163">
        <v>2</v>
      </c>
      <c r="U120" s="140">
        <f t="shared" si="2"/>
        <v>6.2832193164113841E-4</v>
      </c>
    </row>
    <row r="121" spans="2:21">
      <c r="B121" s="163">
        <v>2018</v>
      </c>
      <c r="C121" s="163">
        <v>21200000077</v>
      </c>
      <c r="D121" s="163" t="s">
        <v>292</v>
      </c>
      <c r="E121" s="163" t="s">
        <v>240</v>
      </c>
      <c r="F121" s="163" t="s">
        <v>241</v>
      </c>
      <c r="G121" s="163"/>
      <c r="H121" s="163">
        <v>21</v>
      </c>
      <c r="I121" s="163">
        <v>20</v>
      </c>
      <c r="J121" s="163">
        <v>0</v>
      </c>
      <c r="K121" s="163">
        <v>0</v>
      </c>
      <c r="L121" s="163">
        <v>1</v>
      </c>
      <c r="M121" s="163">
        <v>4</v>
      </c>
      <c r="N121" s="163">
        <v>49</v>
      </c>
      <c r="O121" s="163">
        <v>0</v>
      </c>
      <c r="P121" s="163">
        <v>96</v>
      </c>
      <c r="Q121" s="163">
        <v>1195.2</v>
      </c>
      <c r="R121" s="163">
        <v>24.391836734999998</v>
      </c>
      <c r="S121" s="163">
        <v>12.45</v>
      </c>
      <c r="T121" s="163">
        <v>1.9591836734999999</v>
      </c>
      <c r="U121" s="140">
        <f t="shared" si="2"/>
        <v>6.1549903507703355E-4</v>
      </c>
    </row>
    <row r="122" spans="2:21">
      <c r="B122" s="163">
        <v>2018</v>
      </c>
      <c r="C122" s="163">
        <v>21200000064</v>
      </c>
      <c r="D122" s="163" t="s">
        <v>284</v>
      </c>
      <c r="E122" s="163" t="s">
        <v>240</v>
      </c>
      <c r="F122" s="163" t="s">
        <v>241</v>
      </c>
      <c r="G122" s="163"/>
      <c r="H122" s="163">
        <v>21</v>
      </c>
      <c r="I122" s="163">
        <v>20</v>
      </c>
      <c r="J122" s="163">
        <v>0</v>
      </c>
      <c r="K122" s="163">
        <v>0</v>
      </c>
      <c r="L122" s="163">
        <v>1</v>
      </c>
      <c r="M122" s="163">
        <v>4</v>
      </c>
      <c r="N122" s="163">
        <v>36</v>
      </c>
      <c r="O122" s="163">
        <v>0</v>
      </c>
      <c r="P122" s="163">
        <v>90</v>
      </c>
      <c r="Q122" s="163">
        <v>2385</v>
      </c>
      <c r="R122" s="163">
        <v>66.25</v>
      </c>
      <c r="S122" s="163">
        <v>26.5</v>
      </c>
      <c r="T122" s="163">
        <v>2.5</v>
      </c>
      <c r="U122" s="140">
        <f t="shared" si="2"/>
        <v>5.7703034538471895E-4</v>
      </c>
    </row>
    <row r="123" spans="2:21">
      <c r="B123" s="163">
        <v>2018</v>
      </c>
      <c r="C123" s="163">
        <v>21200000170</v>
      </c>
      <c r="D123" s="163" t="s">
        <v>368</v>
      </c>
      <c r="E123" s="163" t="s">
        <v>240</v>
      </c>
      <c r="F123" s="163" t="s">
        <v>241</v>
      </c>
      <c r="G123" s="163"/>
      <c r="H123" s="163">
        <v>21</v>
      </c>
      <c r="I123" s="163">
        <v>20</v>
      </c>
      <c r="J123" s="163">
        <v>0</v>
      </c>
      <c r="K123" s="163">
        <v>0</v>
      </c>
      <c r="L123" s="163">
        <v>1</v>
      </c>
      <c r="M123" s="163">
        <v>4</v>
      </c>
      <c r="N123" s="163">
        <v>55</v>
      </c>
      <c r="O123" s="163">
        <v>0</v>
      </c>
      <c r="P123" s="163">
        <v>85</v>
      </c>
      <c r="Q123" s="163">
        <v>8840</v>
      </c>
      <c r="R123" s="163">
        <v>160.72727273000001</v>
      </c>
      <c r="S123" s="163">
        <v>104</v>
      </c>
      <c r="T123" s="163">
        <v>1.5454545454999999</v>
      </c>
      <c r="U123" s="140">
        <f t="shared" si="2"/>
        <v>5.4497310397445679E-4</v>
      </c>
    </row>
    <row r="124" spans="2:21">
      <c r="B124" s="163">
        <v>2018</v>
      </c>
      <c r="C124" s="163">
        <v>21200000076</v>
      </c>
      <c r="D124" s="163" t="s">
        <v>291</v>
      </c>
      <c r="E124" s="163" t="s">
        <v>240</v>
      </c>
      <c r="F124" s="163" t="s">
        <v>241</v>
      </c>
      <c r="G124" s="163"/>
      <c r="H124" s="163">
        <v>21</v>
      </c>
      <c r="I124" s="163">
        <v>20</v>
      </c>
      <c r="J124" s="163">
        <v>0</v>
      </c>
      <c r="K124" s="163">
        <v>0</v>
      </c>
      <c r="L124" s="163">
        <v>1</v>
      </c>
      <c r="M124" s="163">
        <v>4</v>
      </c>
      <c r="N124" s="163">
        <v>36</v>
      </c>
      <c r="O124" s="163">
        <v>0</v>
      </c>
      <c r="P124" s="163">
        <v>84</v>
      </c>
      <c r="Q124" s="163">
        <v>1045.8</v>
      </c>
      <c r="R124" s="163">
        <v>29.05</v>
      </c>
      <c r="S124" s="163">
        <v>12.45</v>
      </c>
      <c r="T124" s="163">
        <v>2.3333333333000001</v>
      </c>
      <c r="U124" s="140">
        <f t="shared" si="2"/>
        <v>5.3856165569240435E-4</v>
      </c>
    </row>
    <row r="125" spans="2:21">
      <c r="B125" s="163">
        <v>2018</v>
      </c>
      <c r="C125" s="163">
        <v>21200000021</v>
      </c>
      <c r="D125" s="163" t="s">
        <v>250</v>
      </c>
      <c r="E125" s="163" t="s">
        <v>240</v>
      </c>
      <c r="F125" s="163" t="s">
        <v>241</v>
      </c>
      <c r="G125" s="163"/>
      <c r="H125" s="163">
        <v>21</v>
      </c>
      <c r="I125" s="163">
        <v>20</v>
      </c>
      <c r="J125" s="163">
        <v>0</v>
      </c>
      <c r="K125" s="163">
        <v>0</v>
      </c>
      <c r="L125" s="163">
        <v>1</v>
      </c>
      <c r="M125" s="163">
        <v>4</v>
      </c>
      <c r="N125" s="163">
        <v>34</v>
      </c>
      <c r="O125" s="163">
        <v>0</v>
      </c>
      <c r="P125" s="163">
        <v>80</v>
      </c>
      <c r="Q125" s="163">
        <v>1759.52</v>
      </c>
      <c r="R125" s="163">
        <v>51.750588235000002</v>
      </c>
      <c r="S125" s="163">
        <v>21.994</v>
      </c>
      <c r="T125" s="163">
        <v>2.3529411764999999</v>
      </c>
      <c r="U125" s="140">
        <f t="shared" si="2"/>
        <v>5.1291586256419462E-4</v>
      </c>
    </row>
    <row r="126" spans="2:21">
      <c r="B126" s="163">
        <v>2018</v>
      </c>
      <c r="C126" s="163">
        <v>21200000099</v>
      </c>
      <c r="D126" s="163" t="s">
        <v>309</v>
      </c>
      <c r="E126" s="163" t="s">
        <v>240</v>
      </c>
      <c r="F126" s="163" t="s">
        <v>241</v>
      </c>
      <c r="G126" s="163"/>
      <c r="H126" s="163">
        <v>21</v>
      </c>
      <c r="I126" s="163">
        <v>20</v>
      </c>
      <c r="J126" s="163">
        <v>0</v>
      </c>
      <c r="K126" s="163">
        <v>0</v>
      </c>
      <c r="L126" s="163">
        <v>1</v>
      </c>
      <c r="M126" s="163">
        <v>4</v>
      </c>
      <c r="N126" s="163">
        <v>39</v>
      </c>
      <c r="O126" s="163">
        <v>0</v>
      </c>
      <c r="P126" s="163">
        <v>78</v>
      </c>
      <c r="Q126" s="163">
        <v>1143.06</v>
      </c>
      <c r="R126" s="163">
        <v>29.309230768999999</v>
      </c>
      <c r="S126" s="163">
        <v>14.654615385</v>
      </c>
      <c r="T126" s="163">
        <v>2</v>
      </c>
      <c r="U126" s="140">
        <f t="shared" si="2"/>
        <v>5.0009296600008976E-4</v>
      </c>
    </row>
    <row r="127" spans="2:21">
      <c r="B127" s="163">
        <v>2018</v>
      </c>
      <c r="C127" s="163">
        <v>21200000026</v>
      </c>
      <c r="D127" s="163" t="s">
        <v>253</v>
      </c>
      <c r="E127" s="163" t="s">
        <v>240</v>
      </c>
      <c r="F127" s="163" t="s">
        <v>241</v>
      </c>
      <c r="G127" s="163"/>
      <c r="H127" s="163">
        <v>21</v>
      </c>
      <c r="I127" s="163">
        <v>20</v>
      </c>
      <c r="J127" s="163">
        <v>0</v>
      </c>
      <c r="K127" s="163">
        <v>0</v>
      </c>
      <c r="L127" s="163">
        <v>1</v>
      </c>
      <c r="M127" s="163">
        <v>4</v>
      </c>
      <c r="N127" s="163">
        <v>44</v>
      </c>
      <c r="O127" s="163">
        <v>0</v>
      </c>
      <c r="P127" s="163">
        <v>76</v>
      </c>
      <c r="Q127" s="163">
        <v>1865.04</v>
      </c>
      <c r="R127" s="163">
        <v>42.387272727000003</v>
      </c>
      <c r="S127" s="163">
        <v>24.54</v>
      </c>
      <c r="T127" s="163">
        <v>1.7272727272999999</v>
      </c>
      <c r="U127" s="140">
        <f t="shared" si="2"/>
        <v>4.8727006943598489E-4</v>
      </c>
    </row>
    <row r="128" spans="2:21">
      <c r="B128" s="163">
        <v>2018</v>
      </c>
      <c r="C128" s="163">
        <v>21200000061</v>
      </c>
      <c r="D128" s="163" t="s">
        <v>281</v>
      </c>
      <c r="E128" s="163" t="s">
        <v>240</v>
      </c>
      <c r="F128" s="163" t="s">
        <v>241</v>
      </c>
      <c r="G128" s="163"/>
      <c r="H128" s="163">
        <v>21</v>
      </c>
      <c r="I128" s="163">
        <v>20</v>
      </c>
      <c r="J128" s="163">
        <v>0</v>
      </c>
      <c r="K128" s="163">
        <v>0</v>
      </c>
      <c r="L128" s="163">
        <v>1</v>
      </c>
      <c r="M128" s="163">
        <v>4</v>
      </c>
      <c r="N128" s="163">
        <v>41</v>
      </c>
      <c r="O128" s="163">
        <v>0</v>
      </c>
      <c r="P128" s="163">
        <v>74</v>
      </c>
      <c r="Q128" s="163">
        <v>1961</v>
      </c>
      <c r="R128" s="163">
        <v>47.829268292999998</v>
      </c>
      <c r="S128" s="163">
        <v>26.5</v>
      </c>
      <c r="T128" s="163">
        <v>1.8048780488</v>
      </c>
      <c r="U128" s="140">
        <f t="shared" si="2"/>
        <v>4.7444717287188003E-4</v>
      </c>
    </row>
    <row r="129" spans="2:21">
      <c r="B129" s="163">
        <v>2018</v>
      </c>
      <c r="C129" s="163">
        <v>21200000090</v>
      </c>
      <c r="D129" s="163" t="s">
        <v>300</v>
      </c>
      <c r="E129" s="163" t="s">
        <v>240</v>
      </c>
      <c r="F129" s="163" t="s">
        <v>241</v>
      </c>
      <c r="G129" s="163"/>
      <c r="H129" s="163">
        <v>21</v>
      </c>
      <c r="I129" s="163">
        <v>20</v>
      </c>
      <c r="J129" s="163">
        <v>0</v>
      </c>
      <c r="K129" s="163">
        <v>0</v>
      </c>
      <c r="L129" s="163">
        <v>1</v>
      </c>
      <c r="M129" s="163">
        <v>4</v>
      </c>
      <c r="N129" s="163">
        <v>37</v>
      </c>
      <c r="O129" s="163">
        <v>0</v>
      </c>
      <c r="P129" s="163">
        <v>68</v>
      </c>
      <c r="Q129" s="163">
        <v>995.52</v>
      </c>
      <c r="R129" s="163">
        <v>26.905945945999999</v>
      </c>
      <c r="S129" s="163">
        <v>14.64</v>
      </c>
      <c r="T129" s="163">
        <v>1.8378378378</v>
      </c>
      <c r="U129" s="140">
        <f t="shared" si="2"/>
        <v>4.3597848317956543E-4</v>
      </c>
    </row>
    <row r="130" spans="2:21">
      <c r="B130" s="163">
        <v>2018</v>
      </c>
      <c r="C130" s="163">
        <v>21200000079</v>
      </c>
      <c r="D130" s="163" t="s">
        <v>294</v>
      </c>
      <c r="E130" s="163" t="s">
        <v>240</v>
      </c>
      <c r="F130" s="163" t="s">
        <v>241</v>
      </c>
      <c r="G130" s="163"/>
      <c r="H130" s="163">
        <v>21</v>
      </c>
      <c r="I130" s="163">
        <v>20</v>
      </c>
      <c r="J130" s="163">
        <v>0</v>
      </c>
      <c r="K130" s="163">
        <v>0</v>
      </c>
      <c r="L130" s="163">
        <v>1</v>
      </c>
      <c r="M130" s="163">
        <v>4</v>
      </c>
      <c r="N130" s="163">
        <v>24</v>
      </c>
      <c r="O130" s="163">
        <v>0</v>
      </c>
      <c r="P130" s="163">
        <v>64</v>
      </c>
      <c r="Q130" s="163">
        <v>796.8</v>
      </c>
      <c r="R130" s="163">
        <v>33.200000000000003</v>
      </c>
      <c r="S130" s="163">
        <v>12.45</v>
      </c>
      <c r="T130" s="163">
        <v>2.6666666666999999</v>
      </c>
      <c r="U130" s="140">
        <f t="shared" si="2"/>
        <v>4.103326900513557E-4</v>
      </c>
    </row>
    <row r="131" spans="2:21">
      <c r="B131" s="163">
        <v>2018</v>
      </c>
      <c r="C131" s="163">
        <v>21200000142</v>
      </c>
      <c r="D131" s="163" t="s">
        <v>348</v>
      </c>
      <c r="E131" s="163" t="s">
        <v>240</v>
      </c>
      <c r="F131" s="163" t="s">
        <v>241</v>
      </c>
      <c r="G131" s="163"/>
      <c r="H131" s="163">
        <v>21</v>
      </c>
      <c r="I131" s="163">
        <v>20</v>
      </c>
      <c r="J131" s="163">
        <v>0</v>
      </c>
      <c r="K131" s="163">
        <v>0</v>
      </c>
      <c r="L131" s="163">
        <v>1</v>
      </c>
      <c r="M131" s="163">
        <v>4</v>
      </c>
      <c r="N131" s="163">
        <v>19</v>
      </c>
      <c r="O131" s="163">
        <v>0</v>
      </c>
      <c r="P131" s="163">
        <v>64</v>
      </c>
      <c r="Q131" s="163">
        <v>469.32</v>
      </c>
      <c r="R131" s="163">
        <v>24.701052632</v>
      </c>
      <c r="S131" s="163">
        <v>7.3331249999999999</v>
      </c>
      <c r="T131" s="163">
        <v>3.3684210526</v>
      </c>
      <c r="U131" s="140">
        <f t="shared" si="2"/>
        <v>4.103326900513557E-4</v>
      </c>
    </row>
    <row r="132" spans="2:21">
      <c r="B132" s="163">
        <v>2018</v>
      </c>
      <c r="C132" s="163">
        <v>21200000078</v>
      </c>
      <c r="D132" s="163" t="s">
        <v>293</v>
      </c>
      <c r="E132" s="163" t="s">
        <v>240</v>
      </c>
      <c r="F132" s="163" t="s">
        <v>241</v>
      </c>
      <c r="G132" s="163"/>
      <c r="H132" s="163">
        <v>21</v>
      </c>
      <c r="I132" s="163">
        <v>20</v>
      </c>
      <c r="J132" s="163">
        <v>0</v>
      </c>
      <c r="K132" s="163">
        <v>0</v>
      </c>
      <c r="L132" s="163">
        <v>1</v>
      </c>
      <c r="M132" s="163">
        <v>4</v>
      </c>
      <c r="N132" s="163">
        <v>25</v>
      </c>
      <c r="O132" s="163">
        <v>0</v>
      </c>
      <c r="P132" s="163">
        <v>61</v>
      </c>
      <c r="Q132" s="163">
        <v>759.45</v>
      </c>
      <c r="R132" s="163">
        <v>30.378</v>
      </c>
      <c r="S132" s="163">
        <v>12.45</v>
      </c>
      <c r="T132" s="163">
        <v>2.44</v>
      </c>
      <c r="U132" s="140">
        <f t="shared" si="2"/>
        <v>3.910983452051984E-4</v>
      </c>
    </row>
    <row r="133" spans="2:21">
      <c r="B133" s="163">
        <v>2018</v>
      </c>
      <c r="C133" s="163">
        <v>21200000091</v>
      </c>
      <c r="D133" s="163" t="s">
        <v>301</v>
      </c>
      <c r="E133" s="163" t="s">
        <v>240</v>
      </c>
      <c r="F133" s="163" t="s">
        <v>241</v>
      </c>
      <c r="G133" s="163"/>
      <c r="H133" s="163">
        <v>21</v>
      </c>
      <c r="I133" s="163">
        <v>20</v>
      </c>
      <c r="J133" s="163">
        <v>0</v>
      </c>
      <c r="K133" s="163">
        <v>0</v>
      </c>
      <c r="L133" s="163">
        <v>1</v>
      </c>
      <c r="M133" s="163">
        <v>4</v>
      </c>
      <c r="N133" s="163">
        <v>27</v>
      </c>
      <c r="O133" s="163">
        <v>0</v>
      </c>
      <c r="P133" s="163">
        <v>60</v>
      </c>
      <c r="Q133" s="163">
        <v>877.68</v>
      </c>
      <c r="R133" s="163">
        <v>32.506666666999998</v>
      </c>
      <c r="S133" s="163">
        <v>14.628</v>
      </c>
      <c r="T133" s="163">
        <v>2.2222222222000001</v>
      </c>
      <c r="U133" s="140">
        <f t="shared" si="2"/>
        <v>3.8468689692314597E-4</v>
      </c>
    </row>
    <row r="134" spans="2:21">
      <c r="B134" s="163">
        <v>2018</v>
      </c>
      <c r="C134" s="163">
        <v>21200000075</v>
      </c>
      <c r="D134" s="163" t="s">
        <v>290</v>
      </c>
      <c r="E134" s="163" t="s">
        <v>240</v>
      </c>
      <c r="F134" s="163" t="s">
        <v>241</v>
      </c>
      <c r="G134" s="163"/>
      <c r="H134" s="163">
        <v>21</v>
      </c>
      <c r="I134" s="163">
        <v>20</v>
      </c>
      <c r="J134" s="163">
        <v>0</v>
      </c>
      <c r="K134" s="163">
        <v>0</v>
      </c>
      <c r="L134" s="163">
        <v>1</v>
      </c>
      <c r="M134" s="163">
        <v>4</v>
      </c>
      <c r="N134" s="163">
        <v>21</v>
      </c>
      <c r="O134" s="163">
        <v>0</v>
      </c>
      <c r="P134" s="163">
        <v>56</v>
      </c>
      <c r="Q134" s="163">
        <v>697.2</v>
      </c>
      <c r="R134" s="163">
        <v>33.200000000000003</v>
      </c>
      <c r="S134" s="163">
        <v>12.45</v>
      </c>
      <c r="T134" s="163">
        <v>2.6666666666999999</v>
      </c>
      <c r="U134" s="140">
        <f t="shared" ref="U134:U167" si="3">P134/SUM($P$38:$P$167)</f>
        <v>3.5904110379493624E-4</v>
      </c>
    </row>
    <row r="135" spans="2:21">
      <c r="B135" s="163">
        <v>2018</v>
      </c>
      <c r="C135" s="163">
        <v>21200000100</v>
      </c>
      <c r="D135" s="163" t="s">
        <v>310</v>
      </c>
      <c r="E135" s="163" t="s">
        <v>240</v>
      </c>
      <c r="F135" s="163" t="s">
        <v>241</v>
      </c>
      <c r="G135" s="163"/>
      <c r="H135" s="163">
        <v>21</v>
      </c>
      <c r="I135" s="163">
        <v>20</v>
      </c>
      <c r="J135" s="163">
        <v>0</v>
      </c>
      <c r="K135" s="163">
        <v>0</v>
      </c>
      <c r="L135" s="163">
        <v>1</v>
      </c>
      <c r="M135" s="163">
        <v>4</v>
      </c>
      <c r="N135" s="163">
        <v>35</v>
      </c>
      <c r="O135" s="163">
        <v>0</v>
      </c>
      <c r="P135" s="163">
        <v>56</v>
      </c>
      <c r="Q135" s="163">
        <v>819.72</v>
      </c>
      <c r="R135" s="163">
        <v>23.420571428999999</v>
      </c>
      <c r="S135" s="163">
        <v>14.637857143</v>
      </c>
      <c r="T135" s="163">
        <v>1.6</v>
      </c>
      <c r="U135" s="140">
        <f t="shared" si="3"/>
        <v>3.5904110379493624E-4</v>
      </c>
    </row>
    <row r="136" spans="2:21">
      <c r="B136" s="163">
        <v>2018</v>
      </c>
      <c r="C136" s="163">
        <v>21200000168</v>
      </c>
      <c r="D136" s="163" t="s">
        <v>366</v>
      </c>
      <c r="E136" s="163" t="s">
        <v>240</v>
      </c>
      <c r="F136" s="163" t="s">
        <v>241</v>
      </c>
      <c r="G136" s="163"/>
      <c r="H136" s="163">
        <v>21</v>
      </c>
      <c r="I136" s="163">
        <v>20</v>
      </c>
      <c r="J136" s="163">
        <v>0</v>
      </c>
      <c r="K136" s="163">
        <v>0</v>
      </c>
      <c r="L136" s="163">
        <v>1</v>
      </c>
      <c r="M136" s="163">
        <v>4</v>
      </c>
      <c r="N136" s="163">
        <v>44</v>
      </c>
      <c r="O136" s="163">
        <v>0</v>
      </c>
      <c r="P136" s="163">
        <v>56</v>
      </c>
      <c r="Q136" s="163">
        <v>1344</v>
      </c>
      <c r="R136" s="163">
        <v>30.545454544999998</v>
      </c>
      <c r="S136" s="163">
        <v>24</v>
      </c>
      <c r="T136" s="163">
        <v>1.2727272727000001</v>
      </c>
      <c r="U136" s="140">
        <f t="shared" si="3"/>
        <v>3.5904110379493624E-4</v>
      </c>
    </row>
    <row r="137" spans="2:21">
      <c r="B137" s="163">
        <v>2018</v>
      </c>
      <c r="C137" s="163">
        <v>21200000172</v>
      </c>
      <c r="D137" s="163" t="s">
        <v>370</v>
      </c>
      <c r="E137" s="163" t="s">
        <v>240</v>
      </c>
      <c r="F137" s="163" t="s">
        <v>241</v>
      </c>
      <c r="G137" s="163"/>
      <c r="H137" s="163">
        <v>21</v>
      </c>
      <c r="I137" s="163">
        <v>20</v>
      </c>
      <c r="J137" s="163">
        <v>0</v>
      </c>
      <c r="K137" s="163">
        <v>0</v>
      </c>
      <c r="L137" s="163">
        <v>1</v>
      </c>
      <c r="M137" s="163">
        <v>4</v>
      </c>
      <c r="N137" s="163">
        <v>33</v>
      </c>
      <c r="O137" s="163">
        <v>0</v>
      </c>
      <c r="P137" s="163">
        <v>55</v>
      </c>
      <c r="Q137" s="163">
        <v>5720</v>
      </c>
      <c r="R137" s="163">
        <v>173.33333332999999</v>
      </c>
      <c r="S137" s="163">
        <v>104</v>
      </c>
      <c r="T137" s="163">
        <v>1.6666666667000001</v>
      </c>
      <c r="U137" s="140">
        <f t="shared" si="3"/>
        <v>3.526296555128838E-4</v>
      </c>
    </row>
    <row r="138" spans="2:21">
      <c r="B138" s="163">
        <v>2018</v>
      </c>
      <c r="C138" s="163">
        <v>21200000051</v>
      </c>
      <c r="D138" s="163" t="s">
        <v>271</v>
      </c>
      <c r="E138" s="163" t="s">
        <v>240</v>
      </c>
      <c r="F138" s="163" t="s">
        <v>241</v>
      </c>
      <c r="G138" s="163"/>
      <c r="H138" s="163">
        <v>21</v>
      </c>
      <c r="I138" s="163">
        <v>20</v>
      </c>
      <c r="J138" s="163">
        <v>0</v>
      </c>
      <c r="K138" s="163">
        <v>0</v>
      </c>
      <c r="L138" s="163">
        <v>1</v>
      </c>
      <c r="M138" s="163">
        <v>4</v>
      </c>
      <c r="N138" s="163">
        <v>32</v>
      </c>
      <c r="O138" s="163">
        <v>0</v>
      </c>
      <c r="P138" s="163">
        <v>53</v>
      </c>
      <c r="Q138" s="163">
        <v>1436.3</v>
      </c>
      <c r="R138" s="163">
        <v>44.884374999999999</v>
      </c>
      <c r="S138" s="163">
        <v>27.1</v>
      </c>
      <c r="T138" s="163">
        <v>1.65625</v>
      </c>
      <c r="U138" s="140">
        <f t="shared" si="3"/>
        <v>3.3980675894877894E-4</v>
      </c>
    </row>
    <row r="139" spans="2:21">
      <c r="B139" s="163">
        <v>2018</v>
      </c>
      <c r="C139" s="163">
        <v>21200000066</v>
      </c>
      <c r="D139" s="163" t="s">
        <v>286</v>
      </c>
      <c r="E139" s="163" t="s">
        <v>240</v>
      </c>
      <c r="F139" s="163" t="s">
        <v>241</v>
      </c>
      <c r="G139" s="163"/>
      <c r="H139" s="163">
        <v>21</v>
      </c>
      <c r="I139" s="163">
        <v>20</v>
      </c>
      <c r="J139" s="163">
        <v>0</v>
      </c>
      <c r="K139" s="163">
        <v>0</v>
      </c>
      <c r="L139" s="163">
        <v>1</v>
      </c>
      <c r="M139" s="163">
        <v>4</v>
      </c>
      <c r="N139" s="163">
        <v>27</v>
      </c>
      <c r="O139" s="163">
        <v>0</v>
      </c>
      <c r="P139" s="163">
        <v>53</v>
      </c>
      <c r="Q139" s="163">
        <v>1404.5</v>
      </c>
      <c r="R139" s="163">
        <v>52.018518518999997</v>
      </c>
      <c r="S139" s="163">
        <v>26.5</v>
      </c>
      <c r="T139" s="163">
        <v>1.9629629630000001</v>
      </c>
      <c r="U139" s="140">
        <f t="shared" si="3"/>
        <v>3.3980675894877894E-4</v>
      </c>
    </row>
    <row r="140" spans="2:21">
      <c r="B140" s="163">
        <v>2018</v>
      </c>
      <c r="C140" s="163">
        <v>21200000140</v>
      </c>
      <c r="D140" s="163" t="s">
        <v>346</v>
      </c>
      <c r="E140" s="163" t="s">
        <v>240</v>
      </c>
      <c r="F140" s="163" t="s">
        <v>241</v>
      </c>
      <c r="G140" s="163"/>
      <c r="H140" s="163">
        <v>21</v>
      </c>
      <c r="I140" s="163">
        <v>20</v>
      </c>
      <c r="J140" s="163">
        <v>0</v>
      </c>
      <c r="K140" s="163">
        <v>0</v>
      </c>
      <c r="L140" s="163">
        <v>1</v>
      </c>
      <c r="M140" s="163">
        <v>4</v>
      </c>
      <c r="N140" s="163">
        <v>8</v>
      </c>
      <c r="O140" s="163">
        <v>0</v>
      </c>
      <c r="P140" s="163">
        <v>50</v>
      </c>
      <c r="Q140" s="163">
        <v>366.66</v>
      </c>
      <c r="R140" s="163">
        <v>45.832500000000003</v>
      </c>
      <c r="S140" s="163">
        <v>7.3331999999999997</v>
      </c>
      <c r="T140" s="163">
        <v>6.25</v>
      </c>
      <c r="U140" s="140">
        <f t="shared" si="3"/>
        <v>3.2057241410262164E-4</v>
      </c>
    </row>
    <row r="141" spans="2:21">
      <c r="B141" s="163">
        <v>2018</v>
      </c>
      <c r="C141" s="163">
        <v>21200000052</v>
      </c>
      <c r="D141" s="163" t="s">
        <v>272</v>
      </c>
      <c r="E141" s="163" t="s">
        <v>240</v>
      </c>
      <c r="F141" s="163" t="s">
        <v>241</v>
      </c>
      <c r="G141" s="163"/>
      <c r="H141" s="163">
        <v>21</v>
      </c>
      <c r="I141" s="163">
        <v>20</v>
      </c>
      <c r="J141" s="163">
        <v>0</v>
      </c>
      <c r="K141" s="163">
        <v>0</v>
      </c>
      <c r="L141" s="163">
        <v>1</v>
      </c>
      <c r="M141" s="163">
        <v>4</v>
      </c>
      <c r="N141" s="163">
        <v>32</v>
      </c>
      <c r="O141" s="163">
        <v>0</v>
      </c>
      <c r="P141" s="163">
        <v>49</v>
      </c>
      <c r="Q141" s="163">
        <v>1327.9</v>
      </c>
      <c r="R141" s="163">
        <v>41.496875000000003</v>
      </c>
      <c r="S141" s="163">
        <v>27.1</v>
      </c>
      <c r="T141" s="163">
        <v>1.53125</v>
      </c>
      <c r="U141" s="140">
        <f t="shared" si="3"/>
        <v>3.1416096582056921E-4</v>
      </c>
    </row>
    <row r="142" spans="2:21">
      <c r="B142" s="163">
        <v>2018</v>
      </c>
      <c r="C142" s="163">
        <v>21200000141</v>
      </c>
      <c r="D142" s="163" t="s">
        <v>347</v>
      </c>
      <c r="E142" s="163" t="s">
        <v>240</v>
      </c>
      <c r="F142" s="163" t="s">
        <v>241</v>
      </c>
      <c r="G142" s="163"/>
      <c r="H142" s="163">
        <v>21</v>
      </c>
      <c r="I142" s="163">
        <v>20</v>
      </c>
      <c r="J142" s="163">
        <v>0</v>
      </c>
      <c r="K142" s="163">
        <v>0</v>
      </c>
      <c r="L142" s="163">
        <v>1</v>
      </c>
      <c r="M142" s="163">
        <v>4</v>
      </c>
      <c r="N142" s="163">
        <v>13</v>
      </c>
      <c r="O142" s="163">
        <v>0</v>
      </c>
      <c r="P142" s="163">
        <v>49</v>
      </c>
      <c r="Q142" s="163">
        <v>359.32</v>
      </c>
      <c r="R142" s="163">
        <v>27.64</v>
      </c>
      <c r="S142" s="163">
        <v>7.3330612244999998</v>
      </c>
      <c r="T142" s="163">
        <v>3.7692307692</v>
      </c>
      <c r="U142" s="140">
        <f t="shared" si="3"/>
        <v>3.1416096582056921E-4</v>
      </c>
    </row>
    <row r="143" spans="2:21">
      <c r="B143" s="163">
        <v>2018</v>
      </c>
      <c r="C143" s="163">
        <v>21200000060</v>
      </c>
      <c r="D143" s="163" t="s">
        <v>280</v>
      </c>
      <c r="E143" s="163" t="s">
        <v>240</v>
      </c>
      <c r="F143" s="163" t="s">
        <v>241</v>
      </c>
      <c r="G143" s="163"/>
      <c r="H143" s="163">
        <v>21</v>
      </c>
      <c r="I143" s="163">
        <v>20</v>
      </c>
      <c r="J143" s="163">
        <v>0</v>
      </c>
      <c r="K143" s="163">
        <v>0</v>
      </c>
      <c r="L143" s="163">
        <v>1</v>
      </c>
      <c r="M143" s="163">
        <v>4</v>
      </c>
      <c r="N143" s="163">
        <v>24</v>
      </c>
      <c r="O143" s="163">
        <v>0</v>
      </c>
      <c r="P143" s="163">
        <v>35</v>
      </c>
      <c r="Q143" s="163">
        <v>927.5</v>
      </c>
      <c r="R143" s="163">
        <v>38.645833332999999</v>
      </c>
      <c r="S143" s="163">
        <v>26.5</v>
      </c>
      <c r="T143" s="163">
        <v>1.4583333332999999</v>
      </c>
      <c r="U143" s="140">
        <f t="shared" si="3"/>
        <v>2.2440068987183515E-4</v>
      </c>
    </row>
    <row r="144" spans="2:21">
      <c r="B144" s="163">
        <v>2018</v>
      </c>
      <c r="C144" s="163">
        <v>21200000065</v>
      </c>
      <c r="D144" s="163" t="s">
        <v>285</v>
      </c>
      <c r="E144" s="163" t="s">
        <v>240</v>
      </c>
      <c r="F144" s="163" t="s">
        <v>241</v>
      </c>
      <c r="G144" s="163"/>
      <c r="H144" s="163">
        <v>21</v>
      </c>
      <c r="I144" s="163">
        <v>20</v>
      </c>
      <c r="J144" s="163">
        <v>0</v>
      </c>
      <c r="K144" s="163">
        <v>0</v>
      </c>
      <c r="L144" s="163">
        <v>1</v>
      </c>
      <c r="M144" s="163">
        <v>4</v>
      </c>
      <c r="N144" s="163">
        <v>23</v>
      </c>
      <c r="O144" s="163">
        <v>0</v>
      </c>
      <c r="P144" s="163">
        <v>35</v>
      </c>
      <c r="Q144" s="163">
        <v>927.5</v>
      </c>
      <c r="R144" s="163">
        <v>40.326086957000001</v>
      </c>
      <c r="S144" s="163">
        <v>26.5</v>
      </c>
      <c r="T144" s="163">
        <v>1.5217391304000001</v>
      </c>
      <c r="U144" s="140">
        <f t="shared" si="3"/>
        <v>2.2440068987183515E-4</v>
      </c>
    </row>
    <row r="145" spans="2:21">
      <c r="B145" s="163">
        <v>2018</v>
      </c>
      <c r="C145" s="163">
        <v>21200000126</v>
      </c>
      <c r="D145" s="163" t="s">
        <v>333</v>
      </c>
      <c r="E145" s="163" t="s">
        <v>240</v>
      </c>
      <c r="F145" s="163" t="s">
        <v>241</v>
      </c>
      <c r="G145" s="163"/>
      <c r="H145" s="163">
        <v>21</v>
      </c>
      <c r="I145" s="163">
        <v>20</v>
      </c>
      <c r="J145" s="163">
        <v>0</v>
      </c>
      <c r="K145" s="163">
        <v>0</v>
      </c>
      <c r="L145" s="163">
        <v>1</v>
      </c>
      <c r="M145" s="163">
        <v>4</v>
      </c>
      <c r="N145" s="163">
        <v>20</v>
      </c>
      <c r="O145" s="163">
        <v>0</v>
      </c>
      <c r="P145" s="163">
        <v>34</v>
      </c>
      <c r="Q145" s="163">
        <v>444.38</v>
      </c>
      <c r="R145" s="163">
        <v>22.219000000000001</v>
      </c>
      <c r="S145" s="163">
        <v>13.07</v>
      </c>
      <c r="T145" s="163">
        <v>1.7</v>
      </c>
      <c r="U145" s="140">
        <f t="shared" si="3"/>
        <v>2.1798924158978271E-4</v>
      </c>
    </row>
    <row r="146" spans="2:21">
      <c r="B146" s="163">
        <v>2018</v>
      </c>
      <c r="C146" s="163">
        <v>21200000092</v>
      </c>
      <c r="D146" s="163" t="s">
        <v>302</v>
      </c>
      <c r="E146" s="163" t="s">
        <v>240</v>
      </c>
      <c r="F146" s="163" t="s">
        <v>241</v>
      </c>
      <c r="G146" s="163"/>
      <c r="H146" s="163">
        <v>21</v>
      </c>
      <c r="I146" s="163">
        <v>20</v>
      </c>
      <c r="J146" s="163">
        <v>0</v>
      </c>
      <c r="K146" s="163">
        <v>0</v>
      </c>
      <c r="L146" s="163">
        <v>1</v>
      </c>
      <c r="M146" s="163">
        <v>4</v>
      </c>
      <c r="N146" s="163">
        <v>16</v>
      </c>
      <c r="O146" s="163">
        <v>0</v>
      </c>
      <c r="P146" s="163">
        <v>31</v>
      </c>
      <c r="Q146" s="163">
        <v>453.39</v>
      </c>
      <c r="R146" s="163">
        <v>28.336874999999999</v>
      </c>
      <c r="S146" s="163">
        <v>14.625483871</v>
      </c>
      <c r="T146" s="163">
        <v>1.9375</v>
      </c>
      <c r="U146" s="140">
        <f t="shared" si="3"/>
        <v>1.9875489674362542E-4</v>
      </c>
    </row>
    <row r="147" spans="2:21">
      <c r="B147" s="163">
        <v>2018</v>
      </c>
      <c r="C147" s="163">
        <v>21200000055</v>
      </c>
      <c r="D147" s="163" t="s">
        <v>275</v>
      </c>
      <c r="E147" s="163" t="s">
        <v>240</v>
      </c>
      <c r="F147" s="163" t="s">
        <v>241</v>
      </c>
      <c r="G147" s="163"/>
      <c r="H147" s="163">
        <v>21</v>
      </c>
      <c r="I147" s="163">
        <v>20</v>
      </c>
      <c r="J147" s="163">
        <v>0</v>
      </c>
      <c r="K147" s="163">
        <v>0</v>
      </c>
      <c r="L147" s="163">
        <v>1</v>
      </c>
      <c r="M147" s="163">
        <v>4</v>
      </c>
      <c r="N147" s="163">
        <v>11</v>
      </c>
      <c r="O147" s="163">
        <v>0</v>
      </c>
      <c r="P147" s="163">
        <v>29</v>
      </c>
      <c r="Q147" s="163">
        <v>785.9</v>
      </c>
      <c r="R147" s="163">
        <v>71.445454545000004</v>
      </c>
      <c r="S147" s="163">
        <v>27.1</v>
      </c>
      <c r="T147" s="163">
        <v>2.6363636364</v>
      </c>
      <c r="U147" s="140">
        <f t="shared" si="3"/>
        <v>1.8593200017952055E-4</v>
      </c>
    </row>
    <row r="148" spans="2:21">
      <c r="B148" s="163">
        <v>2018</v>
      </c>
      <c r="C148" s="163">
        <v>21200000145</v>
      </c>
      <c r="D148" s="163" t="s">
        <v>351</v>
      </c>
      <c r="E148" s="163" t="s">
        <v>240</v>
      </c>
      <c r="F148" s="163" t="s">
        <v>241</v>
      </c>
      <c r="G148" s="163"/>
      <c r="H148" s="163">
        <v>21</v>
      </c>
      <c r="I148" s="163">
        <v>20</v>
      </c>
      <c r="J148" s="163">
        <v>0</v>
      </c>
      <c r="K148" s="163">
        <v>0</v>
      </c>
      <c r="L148" s="163">
        <v>1</v>
      </c>
      <c r="M148" s="163">
        <v>4</v>
      </c>
      <c r="N148" s="163">
        <v>5</v>
      </c>
      <c r="O148" s="163">
        <v>0</v>
      </c>
      <c r="P148" s="163">
        <v>28</v>
      </c>
      <c r="Q148" s="163">
        <v>205.33</v>
      </c>
      <c r="R148" s="163">
        <v>41.066000000000003</v>
      </c>
      <c r="S148" s="163">
        <v>7.3332142856999996</v>
      </c>
      <c r="T148" s="163">
        <v>5.6</v>
      </c>
      <c r="U148" s="140">
        <f t="shared" si="3"/>
        <v>1.7952055189746812E-4</v>
      </c>
    </row>
    <row r="149" spans="2:21">
      <c r="B149" s="163">
        <v>2018</v>
      </c>
      <c r="C149" s="163">
        <v>21200000050</v>
      </c>
      <c r="D149" s="163" t="s">
        <v>270</v>
      </c>
      <c r="E149" s="163" t="s">
        <v>240</v>
      </c>
      <c r="F149" s="163" t="s">
        <v>241</v>
      </c>
      <c r="G149" s="163"/>
      <c r="H149" s="163">
        <v>21</v>
      </c>
      <c r="I149" s="163">
        <v>20</v>
      </c>
      <c r="J149" s="163">
        <v>0</v>
      </c>
      <c r="K149" s="163">
        <v>0</v>
      </c>
      <c r="L149" s="163">
        <v>1</v>
      </c>
      <c r="M149" s="163">
        <v>4</v>
      </c>
      <c r="N149" s="163">
        <v>17</v>
      </c>
      <c r="O149" s="163">
        <v>0</v>
      </c>
      <c r="P149" s="163">
        <v>27</v>
      </c>
      <c r="Q149" s="163">
        <v>731.7</v>
      </c>
      <c r="R149" s="163">
        <v>43.041176471</v>
      </c>
      <c r="S149" s="163">
        <v>27.1</v>
      </c>
      <c r="T149" s="163">
        <v>1.5882352941</v>
      </c>
      <c r="U149" s="140">
        <f t="shared" si="3"/>
        <v>1.7310910361541568E-4</v>
      </c>
    </row>
    <row r="150" spans="2:21">
      <c r="B150" s="163">
        <v>2018</v>
      </c>
      <c r="C150" s="163">
        <v>21200000128</v>
      </c>
      <c r="D150" s="163" t="s">
        <v>335</v>
      </c>
      <c r="E150" s="163" t="s">
        <v>240</v>
      </c>
      <c r="F150" s="163" t="s">
        <v>241</v>
      </c>
      <c r="G150" s="163"/>
      <c r="H150" s="163">
        <v>21</v>
      </c>
      <c r="I150" s="163">
        <v>20</v>
      </c>
      <c r="J150" s="163">
        <v>0</v>
      </c>
      <c r="K150" s="163">
        <v>0</v>
      </c>
      <c r="L150" s="163">
        <v>1</v>
      </c>
      <c r="M150" s="163">
        <v>4</v>
      </c>
      <c r="N150" s="163">
        <v>7</v>
      </c>
      <c r="O150" s="163">
        <v>0</v>
      </c>
      <c r="P150" s="163">
        <v>26</v>
      </c>
      <c r="Q150" s="163">
        <v>339.82</v>
      </c>
      <c r="R150" s="163">
        <v>48.545714285999999</v>
      </c>
      <c r="S150" s="163">
        <v>13.07</v>
      </c>
      <c r="T150" s="163">
        <v>3.7142857142999999</v>
      </c>
      <c r="U150" s="140">
        <f t="shared" si="3"/>
        <v>1.6669765533336325E-4</v>
      </c>
    </row>
    <row r="151" spans="2:21">
      <c r="B151" s="163">
        <v>2018</v>
      </c>
      <c r="C151" s="163">
        <v>21200000054</v>
      </c>
      <c r="D151" s="163" t="s">
        <v>274</v>
      </c>
      <c r="E151" s="163" t="s">
        <v>240</v>
      </c>
      <c r="F151" s="163" t="s">
        <v>241</v>
      </c>
      <c r="G151" s="163"/>
      <c r="H151" s="163">
        <v>21</v>
      </c>
      <c r="I151" s="163">
        <v>20</v>
      </c>
      <c r="J151" s="163">
        <v>0</v>
      </c>
      <c r="K151" s="163">
        <v>0</v>
      </c>
      <c r="L151" s="163">
        <v>1</v>
      </c>
      <c r="M151" s="163">
        <v>4</v>
      </c>
      <c r="N151" s="163">
        <v>12</v>
      </c>
      <c r="O151" s="163">
        <v>0</v>
      </c>
      <c r="P151" s="163">
        <v>25</v>
      </c>
      <c r="Q151" s="163">
        <v>677.5</v>
      </c>
      <c r="R151" s="163">
        <v>56.458333332999999</v>
      </c>
      <c r="S151" s="163">
        <v>27.1</v>
      </c>
      <c r="T151" s="163">
        <v>2.0833333333000001</v>
      </c>
      <c r="U151" s="140">
        <f t="shared" si="3"/>
        <v>1.6028620705131082E-4</v>
      </c>
    </row>
    <row r="152" spans="2:21">
      <c r="B152" s="163">
        <v>2018</v>
      </c>
      <c r="C152" s="163">
        <v>21200000146</v>
      </c>
      <c r="D152" s="163" t="s">
        <v>352</v>
      </c>
      <c r="E152" s="163" t="s">
        <v>240</v>
      </c>
      <c r="F152" s="163" t="s">
        <v>241</v>
      </c>
      <c r="G152" s="163"/>
      <c r="H152" s="163">
        <v>21</v>
      </c>
      <c r="I152" s="163">
        <v>20</v>
      </c>
      <c r="J152" s="163">
        <v>0</v>
      </c>
      <c r="K152" s="163">
        <v>0</v>
      </c>
      <c r="L152" s="163">
        <v>1</v>
      </c>
      <c r="M152" s="163">
        <v>4</v>
      </c>
      <c r="N152" s="163">
        <v>5</v>
      </c>
      <c r="O152" s="163">
        <v>0</v>
      </c>
      <c r="P152" s="163">
        <v>24</v>
      </c>
      <c r="Q152" s="163">
        <v>176</v>
      </c>
      <c r="R152" s="163">
        <v>35.200000000000003</v>
      </c>
      <c r="S152" s="163">
        <v>7.3333333332999997</v>
      </c>
      <c r="T152" s="163">
        <v>4.8</v>
      </c>
      <c r="U152" s="140">
        <f t="shared" si="3"/>
        <v>1.5387475876925839E-4</v>
      </c>
    </row>
    <row r="153" spans="2:21">
      <c r="B153" s="163">
        <v>2018</v>
      </c>
      <c r="C153" s="163">
        <v>21200000129</v>
      </c>
      <c r="D153" s="163" t="s">
        <v>336</v>
      </c>
      <c r="E153" s="163" t="s">
        <v>240</v>
      </c>
      <c r="F153" s="163" t="s">
        <v>241</v>
      </c>
      <c r="G153" s="163"/>
      <c r="H153" s="163">
        <v>21</v>
      </c>
      <c r="I153" s="163">
        <v>20</v>
      </c>
      <c r="J153" s="163">
        <v>0</v>
      </c>
      <c r="K153" s="163">
        <v>0</v>
      </c>
      <c r="L153" s="163">
        <v>1</v>
      </c>
      <c r="M153" s="163">
        <v>4</v>
      </c>
      <c r="N153" s="163">
        <v>10</v>
      </c>
      <c r="O153" s="163">
        <v>0</v>
      </c>
      <c r="P153" s="163">
        <v>22</v>
      </c>
      <c r="Q153" s="163">
        <v>287.54000000000002</v>
      </c>
      <c r="R153" s="163">
        <v>28.754000000000001</v>
      </c>
      <c r="S153" s="163">
        <v>13.07</v>
      </c>
      <c r="T153" s="163">
        <v>2.2000000000000002</v>
      </c>
      <c r="U153" s="140">
        <f t="shared" si="3"/>
        <v>1.4105186220515352E-4</v>
      </c>
    </row>
    <row r="154" spans="2:21">
      <c r="B154" s="163">
        <v>2018</v>
      </c>
      <c r="C154" s="163">
        <v>21200000169</v>
      </c>
      <c r="D154" s="163" t="s">
        <v>367</v>
      </c>
      <c r="E154" s="163" t="s">
        <v>240</v>
      </c>
      <c r="F154" s="163" t="s">
        <v>241</v>
      </c>
      <c r="G154" s="163"/>
      <c r="H154" s="163">
        <v>21</v>
      </c>
      <c r="I154" s="163">
        <v>20</v>
      </c>
      <c r="J154" s="163">
        <v>0</v>
      </c>
      <c r="K154" s="163">
        <v>0</v>
      </c>
      <c r="L154" s="163">
        <v>1</v>
      </c>
      <c r="M154" s="163">
        <v>4</v>
      </c>
      <c r="N154" s="163">
        <v>18</v>
      </c>
      <c r="O154" s="163">
        <v>0</v>
      </c>
      <c r="P154" s="163">
        <v>22</v>
      </c>
      <c r="Q154" s="163">
        <v>2288</v>
      </c>
      <c r="R154" s="163">
        <v>127.11111111</v>
      </c>
      <c r="S154" s="163">
        <v>104</v>
      </c>
      <c r="T154" s="163">
        <v>1.2222222222000001</v>
      </c>
      <c r="U154" s="140">
        <f t="shared" si="3"/>
        <v>1.4105186220515352E-4</v>
      </c>
    </row>
    <row r="155" spans="2:21">
      <c r="B155" s="163">
        <v>2018</v>
      </c>
      <c r="C155" s="163">
        <v>21200000131</v>
      </c>
      <c r="D155" s="163" t="s">
        <v>338</v>
      </c>
      <c r="E155" s="163" t="s">
        <v>240</v>
      </c>
      <c r="F155" s="163" t="s">
        <v>241</v>
      </c>
      <c r="G155" s="163"/>
      <c r="H155" s="163">
        <v>21</v>
      </c>
      <c r="I155" s="163">
        <v>20</v>
      </c>
      <c r="J155" s="163">
        <v>0</v>
      </c>
      <c r="K155" s="163">
        <v>0</v>
      </c>
      <c r="L155" s="163">
        <v>1</v>
      </c>
      <c r="M155" s="163">
        <v>4</v>
      </c>
      <c r="N155" s="163">
        <v>16</v>
      </c>
      <c r="O155" s="163">
        <v>0</v>
      </c>
      <c r="P155" s="163">
        <v>21</v>
      </c>
      <c r="Q155" s="163">
        <v>217.14</v>
      </c>
      <c r="R155" s="163">
        <v>13.571249999999999</v>
      </c>
      <c r="S155" s="163">
        <v>10.34</v>
      </c>
      <c r="T155" s="163">
        <v>1.3125</v>
      </c>
      <c r="U155" s="140">
        <f t="shared" si="3"/>
        <v>1.3464041392310109E-4</v>
      </c>
    </row>
    <row r="156" spans="2:21">
      <c r="B156" s="163">
        <v>2018</v>
      </c>
      <c r="C156" s="163">
        <v>21200000132</v>
      </c>
      <c r="D156" s="163" t="s">
        <v>339</v>
      </c>
      <c r="E156" s="163" t="s">
        <v>240</v>
      </c>
      <c r="F156" s="163" t="s">
        <v>241</v>
      </c>
      <c r="G156" s="163"/>
      <c r="H156" s="163">
        <v>21</v>
      </c>
      <c r="I156" s="163">
        <v>20</v>
      </c>
      <c r="J156" s="163">
        <v>0</v>
      </c>
      <c r="K156" s="163">
        <v>0</v>
      </c>
      <c r="L156" s="163">
        <v>1</v>
      </c>
      <c r="M156" s="163">
        <v>4</v>
      </c>
      <c r="N156" s="163">
        <v>19</v>
      </c>
      <c r="O156" s="163">
        <v>0</v>
      </c>
      <c r="P156" s="163">
        <v>21</v>
      </c>
      <c r="Q156" s="163">
        <v>217.14</v>
      </c>
      <c r="R156" s="163">
        <v>11.428421052999999</v>
      </c>
      <c r="S156" s="163">
        <v>10.34</v>
      </c>
      <c r="T156" s="163">
        <v>1.1052631579000001</v>
      </c>
      <c r="U156" s="140">
        <f t="shared" si="3"/>
        <v>1.3464041392310109E-4</v>
      </c>
    </row>
    <row r="157" spans="2:21">
      <c r="B157" s="163">
        <v>2018</v>
      </c>
      <c r="C157" s="163">
        <v>21200000133</v>
      </c>
      <c r="D157" s="163" t="s">
        <v>340</v>
      </c>
      <c r="E157" s="163" t="s">
        <v>240</v>
      </c>
      <c r="F157" s="163" t="s">
        <v>241</v>
      </c>
      <c r="G157" s="163"/>
      <c r="H157" s="163">
        <v>21</v>
      </c>
      <c r="I157" s="163">
        <v>20</v>
      </c>
      <c r="J157" s="163">
        <v>0</v>
      </c>
      <c r="K157" s="163">
        <v>0</v>
      </c>
      <c r="L157" s="163">
        <v>1</v>
      </c>
      <c r="M157" s="163">
        <v>4</v>
      </c>
      <c r="N157" s="163">
        <v>15</v>
      </c>
      <c r="O157" s="163">
        <v>0</v>
      </c>
      <c r="P157" s="163">
        <v>21</v>
      </c>
      <c r="Q157" s="163">
        <v>217.14</v>
      </c>
      <c r="R157" s="163">
        <v>14.476000000000001</v>
      </c>
      <c r="S157" s="163">
        <v>10.34</v>
      </c>
      <c r="T157" s="163">
        <v>1.4</v>
      </c>
      <c r="U157" s="140">
        <f t="shared" si="3"/>
        <v>1.3464041392310109E-4</v>
      </c>
    </row>
    <row r="158" spans="2:21">
      <c r="B158" s="163">
        <v>2018</v>
      </c>
      <c r="C158" s="163">
        <v>21200000127</v>
      </c>
      <c r="D158" s="163" t="s">
        <v>334</v>
      </c>
      <c r="E158" s="163" t="s">
        <v>240</v>
      </c>
      <c r="F158" s="163" t="s">
        <v>241</v>
      </c>
      <c r="G158" s="163"/>
      <c r="H158" s="163">
        <v>21</v>
      </c>
      <c r="I158" s="163">
        <v>20</v>
      </c>
      <c r="J158" s="163">
        <v>0</v>
      </c>
      <c r="K158" s="163">
        <v>0</v>
      </c>
      <c r="L158" s="163">
        <v>1</v>
      </c>
      <c r="M158" s="163">
        <v>4</v>
      </c>
      <c r="N158" s="163">
        <v>10</v>
      </c>
      <c r="O158" s="163">
        <v>0</v>
      </c>
      <c r="P158" s="163">
        <v>16</v>
      </c>
      <c r="Q158" s="163">
        <v>209.12</v>
      </c>
      <c r="R158" s="163">
        <v>20.911999999999999</v>
      </c>
      <c r="S158" s="163">
        <v>13.07</v>
      </c>
      <c r="T158" s="163">
        <v>1.6</v>
      </c>
      <c r="U158" s="140">
        <f t="shared" si="3"/>
        <v>1.0258317251283892E-4</v>
      </c>
    </row>
    <row r="159" spans="2:21">
      <c r="B159" s="163">
        <v>2018</v>
      </c>
      <c r="C159" s="163">
        <v>21200000125</v>
      </c>
      <c r="D159" s="163" t="s">
        <v>332</v>
      </c>
      <c r="E159" s="163" t="s">
        <v>240</v>
      </c>
      <c r="F159" s="163" t="s">
        <v>241</v>
      </c>
      <c r="G159" s="163"/>
      <c r="H159" s="163">
        <v>21</v>
      </c>
      <c r="I159" s="163">
        <v>20</v>
      </c>
      <c r="J159" s="163">
        <v>0</v>
      </c>
      <c r="K159" s="163">
        <v>0</v>
      </c>
      <c r="L159" s="163">
        <v>1</v>
      </c>
      <c r="M159" s="163">
        <v>4</v>
      </c>
      <c r="N159" s="163">
        <v>7</v>
      </c>
      <c r="O159" s="163">
        <v>0</v>
      </c>
      <c r="P159" s="163">
        <v>11</v>
      </c>
      <c r="Q159" s="163">
        <v>143.77000000000001</v>
      </c>
      <c r="R159" s="163">
        <v>20.538571429000001</v>
      </c>
      <c r="S159" s="163">
        <v>13.07</v>
      </c>
      <c r="T159" s="163">
        <v>1.5714285714</v>
      </c>
      <c r="U159" s="140">
        <f t="shared" si="3"/>
        <v>7.052593110257676E-5</v>
      </c>
    </row>
    <row r="160" spans="2:21">
      <c r="B160" s="163">
        <v>2018</v>
      </c>
      <c r="C160" s="163">
        <v>21200000094</v>
      </c>
      <c r="D160" s="163" t="s">
        <v>304</v>
      </c>
      <c r="E160" s="163" t="s">
        <v>240</v>
      </c>
      <c r="F160" s="163" t="s">
        <v>241</v>
      </c>
      <c r="G160" s="163"/>
      <c r="H160" s="163">
        <v>21</v>
      </c>
      <c r="I160" s="163">
        <v>20</v>
      </c>
      <c r="J160" s="163">
        <v>0</v>
      </c>
      <c r="K160" s="163">
        <v>0</v>
      </c>
      <c r="L160" s="163">
        <v>1</v>
      </c>
      <c r="M160" s="163">
        <v>4</v>
      </c>
      <c r="N160" s="163">
        <v>6</v>
      </c>
      <c r="O160" s="163">
        <v>0</v>
      </c>
      <c r="P160" s="163">
        <v>10</v>
      </c>
      <c r="Q160" s="163">
        <v>146.1</v>
      </c>
      <c r="R160" s="163">
        <v>24.35</v>
      </c>
      <c r="S160" s="163">
        <v>14.61</v>
      </c>
      <c r="T160" s="163">
        <v>1.6666666667000001</v>
      </c>
      <c r="U160" s="140">
        <f t="shared" si="3"/>
        <v>6.4114482820524328E-5</v>
      </c>
    </row>
    <row r="161" spans="1:23">
      <c r="B161" s="163">
        <v>2018</v>
      </c>
      <c r="C161" s="163">
        <v>21200000134</v>
      </c>
      <c r="D161" s="163" t="s">
        <v>341</v>
      </c>
      <c r="E161" s="163" t="s">
        <v>240</v>
      </c>
      <c r="F161" s="163" t="s">
        <v>241</v>
      </c>
      <c r="G161" s="163"/>
      <c r="H161" s="163">
        <v>21</v>
      </c>
      <c r="I161" s="163">
        <v>20</v>
      </c>
      <c r="J161" s="163">
        <v>0</v>
      </c>
      <c r="K161" s="163">
        <v>0</v>
      </c>
      <c r="L161" s="163">
        <v>1</v>
      </c>
      <c r="M161" s="163">
        <v>4</v>
      </c>
      <c r="N161" s="163">
        <v>8</v>
      </c>
      <c r="O161" s="163">
        <v>0</v>
      </c>
      <c r="P161" s="163">
        <v>9</v>
      </c>
      <c r="Q161" s="163">
        <v>93.06</v>
      </c>
      <c r="R161" s="163">
        <v>11.6325</v>
      </c>
      <c r="S161" s="163">
        <v>10.34</v>
      </c>
      <c r="T161" s="163">
        <v>1.125</v>
      </c>
      <c r="U161" s="140">
        <f t="shared" si="3"/>
        <v>5.7703034538471895E-5</v>
      </c>
    </row>
    <row r="162" spans="1:23">
      <c r="B162" s="163">
        <v>2018</v>
      </c>
      <c r="C162" s="163">
        <v>21200000022</v>
      </c>
      <c r="D162" s="163" t="s">
        <v>251</v>
      </c>
      <c r="E162" s="163" t="s">
        <v>240</v>
      </c>
      <c r="F162" s="163" t="s">
        <v>241</v>
      </c>
      <c r="G162" s="163"/>
      <c r="H162" s="163">
        <v>21</v>
      </c>
      <c r="I162" s="163">
        <v>20</v>
      </c>
      <c r="J162" s="163">
        <v>0</v>
      </c>
      <c r="K162" s="163">
        <v>0</v>
      </c>
      <c r="L162" s="163">
        <v>1</v>
      </c>
      <c r="M162" s="163">
        <v>4</v>
      </c>
      <c r="N162" s="163">
        <v>6</v>
      </c>
      <c r="O162" s="163">
        <v>0</v>
      </c>
      <c r="P162" s="163">
        <v>8</v>
      </c>
      <c r="Q162" s="163">
        <v>104.78</v>
      </c>
      <c r="R162" s="163">
        <v>17.463333333000001</v>
      </c>
      <c r="S162" s="163">
        <v>13.0975</v>
      </c>
      <c r="T162" s="163">
        <v>1.3333333332999999</v>
      </c>
      <c r="U162" s="140">
        <f t="shared" si="3"/>
        <v>5.1291586256419462E-5</v>
      </c>
    </row>
    <row r="163" spans="1:23">
      <c r="B163" s="163">
        <v>2018</v>
      </c>
      <c r="C163" s="163">
        <v>21200000093</v>
      </c>
      <c r="D163" s="163" t="s">
        <v>303</v>
      </c>
      <c r="E163" s="163" t="s">
        <v>240</v>
      </c>
      <c r="F163" s="163" t="s">
        <v>241</v>
      </c>
      <c r="G163" s="163"/>
      <c r="H163" s="163">
        <v>21</v>
      </c>
      <c r="I163" s="163">
        <v>20</v>
      </c>
      <c r="J163" s="163">
        <v>0</v>
      </c>
      <c r="K163" s="163">
        <v>0</v>
      </c>
      <c r="L163" s="163">
        <v>1</v>
      </c>
      <c r="M163" s="163">
        <v>4</v>
      </c>
      <c r="N163" s="163">
        <v>7</v>
      </c>
      <c r="O163" s="163">
        <v>0</v>
      </c>
      <c r="P163" s="163">
        <v>8</v>
      </c>
      <c r="Q163" s="163">
        <v>117.6</v>
      </c>
      <c r="R163" s="163">
        <v>16.8</v>
      </c>
      <c r="S163" s="163">
        <v>14.7</v>
      </c>
      <c r="T163" s="163">
        <v>1.1428571429000001</v>
      </c>
      <c r="U163" s="140">
        <f t="shared" si="3"/>
        <v>5.1291586256419462E-5</v>
      </c>
    </row>
    <row r="164" spans="1:23">
      <c r="B164" s="163">
        <v>2018</v>
      </c>
      <c r="C164" s="163">
        <v>21200000130</v>
      </c>
      <c r="D164" s="163" t="s">
        <v>337</v>
      </c>
      <c r="E164" s="163" t="s">
        <v>240</v>
      </c>
      <c r="F164" s="163" t="s">
        <v>241</v>
      </c>
      <c r="G164" s="163"/>
      <c r="H164" s="163">
        <v>21</v>
      </c>
      <c r="I164" s="163">
        <v>20</v>
      </c>
      <c r="J164" s="163">
        <v>0</v>
      </c>
      <c r="K164" s="163">
        <v>0</v>
      </c>
      <c r="L164" s="163">
        <v>1</v>
      </c>
      <c r="M164" s="163">
        <v>4</v>
      </c>
      <c r="N164" s="163">
        <v>2</v>
      </c>
      <c r="O164" s="163">
        <v>0</v>
      </c>
      <c r="P164" s="163">
        <v>4</v>
      </c>
      <c r="Q164" s="163">
        <v>41.36</v>
      </c>
      <c r="R164" s="163">
        <v>20.68</v>
      </c>
      <c r="S164" s="163">
        <v>10.34</v>
      </c>
      <c r="T164" s="163">
        <v>2</v>
      </c>
      <c r="U164" s="140">
        <f t="shared" si="3"/>
        <v>2.5645793128209731E-5</v>
      </c>
    </row>
    <row r="165" spans="1:23">
      <c r="B165" s="163">
        <v>2018</v>
      </c>
      <c r="C165" s="163">
        <v>21200000053</v>
      </c>
      <c r="D165" s="163" t="s">
        <v>273</v>
      </c>
      <c r="E165" s="163" t="s">
        <v>240</v>
      </c>
      <c r="F165" s="163" t="s">
        <v>241</v>
      </c>
      <c r="G165" s="163"/>
      <c r="H165" s="163">
        <v>21</v>
      </c>
      <c r="I165" s="163">
        <v>20</v>
      </c>
      <c r="J165" s="163">
        <v>0</v>
      </c>
      <c r="K165" s="163">
        <v>0</v>
      </c>
      <c r="L165" s="163">
        <v>1</v>
      </c>
      <c r="M165" s="163">
        <v>4</v>
      </c>
      <c r="N165" s="163">
        <v>2</v>
      </c>
      <c r="O165" s="163">
        <v>0</v>
      </c>
      <c r="P165" s="163">
        <v>3</v>
      </c>
      <c r="Q165" s="163">
        <v>81.3</v>
      </c>
      <c r="R165" s="163">
        <v>40.65</v>
      </c>
      <c r="S165" s="163">
        <v>27.1</v>
      </c>
      <c r="T165" s="163">
        <v>1.5</v>
      </c>
      <c r="U165" s="140">
        <f t="shared" si="3"/>
        <v>1.9234344846157298E-5</v>
      </c>
    </row>
    <row r="166" spans="1:23">
      <c r="B166" s="163">
        <v>2018</v>
      </c>
      <c r="C166" s="163">
        <v>21200000058</v>
      </c>
      <c r="D166" s="163" t="s">
        <v>278</v>
      </c>
      <c r="E166" s="163" t="s">
        <v>240</v>
      </c>
      <c r="F166" s="163" t="s">
        <v>241</v>
      </c>
      <c r="G166" s="163"/>
      <c r="H166" s="163">
        <v>21</v>
      </c>
      <c r="I166" s="163">
        <v>20</v>
      </c>
      <c r="J166" s="163">
        <v>0</v>
      </c>
      <c r="K166" s="163">
        <v>0</v>
      </c>
      <c r="L166" s="163">
        <v>1</v>
      </c>
      <c r="M166" s="163">
        <v>4</v>
      </c>
      <c r="N166" s="163">
        <v>2</v>
      </c>
      <c r="O166" s="163">
        <v>0</v>
      </c>
      <c r="P166" s="163">
        <v>2</v>
      </c>
      <c r="Q166" s="163">
        <v>54.2</v>
      </c>
      <c r="R166" s="163">
        <v>27.1</v>
      </c>
      <c r="S166" s="163">
        <v>27.1</v>
      </c>
      <c r="T166" s="163">
        <v>1</v>
      </c>
      <c r="U166" s="140">
        <f t="shared" si="3"/>
        <v>1.2822896564104866E-5</v>
      </c>
    </row>
    <row r="167" spans="1:23">
      <c r="B167" s="163">
        <v>2018</v>
      </c>
      <c r="C167" s="163">
        <v>21200000165</v>
      </c>
      <c r="D167" s="163" t="s">
        <v>364</v>
      </c>
      <c r="E167" s="163" t="s">
        <v>240</v>
      </c>
      <c r="F167" s="163" t="s">
        <v>241</v>
      </c>
      <c r="G167" s="163"/>
      <c r="H167" s="163">
        <v>21</v>
      </c>
      <c r="I167" s="163">
        <v>20</v>
      </c>
      <c r="J167" s="163">
        <v>0</v>
      </c>
      <c r="K167" s="163">
        <v>0</v>
      </c>
      <c r="L167" s="163">
        <v>1</v>
      </c>
      <c r="M167" s="163">
        <v>4</v>
      </c>
      <c r="N167" s="163">
        <v>1</v>
      </c>
      <c r="O167" s="163">
        <v>0</v>
      </c>
      <c r="P167" s="163">
        <v>1</v>
      </c>
      <c r="Q167" s="163">
        <v>32.229999999999997</v>
      </c>
      <c r="R167" s="163">
        <v>32.229999999999997</v>
      </c>
      <c r="S167" s="163">
        <v>32.229999999999997</v>
      </c>
      <c r="T167" s="163">
        <v>1</v>
      </c>
      <c r="U167" s="140">
        <f t="shared" si="3"/>
        <v>6.4114482820524328E-6</v>
      </c>
    </row>
    <row r="171" spans="1:23">
      <c r="A171" s="9" t="s">
        <v>10</v>
      </c>
      <c r="B171" s="9" t="s">
        <v>371</v>
      </c>
    </row>
    <row r="173" spans="1:23">
      <c r="B173" s="141" t="s">
        <v>3</v>
      </c>
      <c r="C173" s="141" t="s">
        <v>220</v>
      </c>
      <c r="D173" s="141" t="s">
        <v>221</v>
      </c>
      <c r="E173" s="141" t="s">
        <v>222</v>
      </c>
      <c r="F173" s="141" t="s">
        <v>223</v>
      </c>
      <c r="G173" s="141" t="s">
        <v>224</v>
      </c>
      <c r="H173" s="141" t="s">
        <v>225</v>
      </c>
      <c r="I173" s="141" t="s">
        <v>226</v>
      </c>
      <c r="J173" s="141" t="s">
        <v>227</v>
      </c>
      <c r="K173" s="141" t="s">
        <v>228</v>
      </c>
      <c r="L173" s="141" t="s">
        <v>229</v>
      </c>
      <c r="M173" s="141" t="s">
        <v>230</v>
      </c>
      <c r="N173" s="141" t="s">
        <v>231</v>
      </c>
      <c r="O173" s="141" t="s">
        <v>232</v>
      </c>
      <c r="P173" s="141" t="s">
        <v>233</v>
      </c>
      <c r="Q173" s="141" t="s">
        <v>234</v>
      </c>
      <c r="R173" s="141" t="s">
        <v>235</v>
      </c>
      <c r="S173" s="141" t="s">
        <v>236</v>
      </c>
      <c r="T173" s="141" t="s">
        <v>237</v>
      </c>
      <c r="U173" s="141"/>
      <c r="W173" s="2">
        <f>SUMPRODUCT(S174:S187,U174:U187)</f>
        <v>16.876058106392179</v>
      </c>
    </row>
    <row r="174" spans="1:23">
      <c r="B174" s="163">
        <v>2018</v>
      </c>
      <c r="C174" s="163">
        <v>21070630140</v>
      </c>
      <c r="D174" s="163" t="s">
        <v>373</v>
      </c>
      <c r="E174" s="163" t="s">
        <v>372</v>
      </c>
      <c r="F174" s="163" t="s">
        <v>241</v>
      </c>
      <c r="G174" s="163"/>
      <c r="H174" s="163">
        <v>21</v>
      </c>
      <c r="I174" s="163">
        <v>7</v>
      </c>
      <c r="J174" s="163">
        <v>6</v>
      </c>
      <c r="K174" s="163">
        <v>3</v>
      </c>
      <c r="L174" s="163">
        <v>1</v>
      </c>
      <c r="M174" s="163">
        <v>4</v>
      </c>
      <c r="N174" s="163">
        <v>21055</v>
      </c>
      <c r="O174" s="163">
        <v>0</v>
      </c>
      <c r="P174" s="163">
        <v>21404</v>
      </c>
      <c r="Q174" s="163">
        <v>316102.96999999997</v>
      </c>
      <c r="R174" s="163">
        <v>15.01320209</v>
      </c>
      <c r="S174" s="163">
        <v>14.768406372999999</v>
      </c>
      <c r="T174" s="163">
        <v>1.0165756351999999</v>
      </c>
      <c r="U174" s="140">
        <f>P174/SUM($P$174:$P$187)</f>
        <v>0.69248438965996961</v>
      </c>
    </row>
    <row r="175" spans="1:23">
      <c r="B175" s="163">
        <v>2018</v>
      </c>
      <c r="C175" s="163">
        <v>21070630147</v>
      </c>
      <c r="D175" s="163" t="s">
        <v>374</v>
      </c>
      <c r="E175" s="163" t="s">
        <v>372</v>
      </c>
      <c r="F175" s="163" t="s">
        <v>241</v>
      </c>
      <c r="G175" s="163"/>
      <c r="H175" s="163">
        <v>21</v>
      </c>
      <c r="I175" s="163">
        <v>7</v>
      </c>
      <c r="J175" s="163">
        <v>6</v>
      </c>
      <c r="K175" s="163">
        <v>3</v>
      </c>
      <c r="L175" s="163">
        <v>1</v>
      </c>
      <c r="M175" s="163">
        <v>4</v>
      </c>
      <c r="N175" s="163">
        <v>1283</v>
      </c>
      <c r="O175" s="163">
        <v>0</v>
      </c>
      <c r="P175" s="163">
        <v>1312</v>
      </c>
      <c r="Q175" s="163">
        <v>16871.8</v>
      </c>
      <c r="R175" s="163">
        <v>13.150272798</v>
      </c>
      <c r="S175" s="163">
        <v>12.859603658999999</v>
      </c>
      <c r="T175" s="163">
        <v>1.0226032735999999</v>
      </c>
      <c r="U175" s="140">
        <f t="shared" ref="U175:U187" si="4">P175/SUM($P$174:$P$187)</f>
        <v>4.2447183668187262E-2</v>
      </c>
    </row>
    <row r="176" spans="1:23">
      <c r="B176" s="163">
        <v>2018</v>
      </c>
      <c r="C176" s="163">
        <v>21070630148</v>
      </c>
      <c r="D176" s="163" t="s">
        <v>375</v>
      </c>
      <c r="E176" s="163" t="s">
        <v>372</v>
      </c>
      <c r="F176" s="163" t="s">
        <v>241</v>
      </c>
      <c r="G176" s="163"/>
      <c r="H176" s="163">
        <v>21</v>
      </c>
      <c r="I176" s="163">
        <v>7</v>
      </c>
      <c r="J176" s="163">
        <v>6</v>
      </c>
      <c r="K176" s="163">
        <v>3</v>
      </c>
      <c r="L176" s="163">
        <v>1</v>
      </c>
      <c r="M176" s="163">
        <v>4</v>
      </c>
      <c r="N176" s="163">
        <v>2444</v>
      </c>
      <c r="O176" s="163">
        <v>0</v>
      </c>
      <c r="P176" s="163">
        <v>2517</v>
      </c>
      <c r="Q176" s="163">
        <v>36318.769999999997</v>
      </c>
      <c r="R176" s="163">
        <v>14.860380524</v>
      </c>
      <c r="S176" s="163">
        <v>14.429388161</v>
      </c>
      <c r="T176" s="163">
        <v>1.0298690670999999</v>
      </c>
      <c r="U176" s="140">
        <f t="shared" si="4"/>
        <v>8.1432592448801314E-2</v>
      </c>
    </row>
    <row r="177" spans="1:21">
      <c r="B177" s="163">
        <v>2018</v>
      </c>
      <c r="C177" s="163">
        <v>21070630153</v>
      </c>
      <c r="D177" s="163" t="s">
        <v>376</v>
      </c>
      <c r="E177" s="163" t="s">
        <v>372</v>
      </c>
      <c r="F177" s="163" t="s">
        <v>241</v>
      </c>
      <c r="G177" s="163"/>
      <c r="H177" s="163">
        <v>21</v>
      </c>
      <c r="I177" s="163">
        <v>7</v>
      </c>
      <c r="J177" s="163">
        <v>6</v>
      </c>
      <c r="K177" s="163">
        <v>3</v>
      </c>
      <c r="L177" s="163">
        <v>1</v>
      </c>
      <c r="M177" s="163">
        <v>4</v>
      </c>
      <c r="N177" s="163">
        <v>11</v>
      </c>
      <c r="O177" s="163">
        <v>0</v>
      </c>
      <c r="P177" s="163">
        <v>11</v>
      </c>
      <c r="Q177" s="163">
        <v>462</v>
      </c>
      <c r="R177" s="163">
        <v>42</v>
      </c>
      <c r="S177" s="163">
        <v>42</v>
      </c>
      <c r="T177" s="163">
        <v>1</v>
      </c>
      <c r="U177" s="140">
        <f t="shared" si="4"/>
        <v>3.5588339965705781E-4</v>
      </c>
    </row>
    <row r="178" spans="1:21">
      <c r="B178" s="163">
        <v>2018</v>
      </c>
      <c r="C178" s="163">
        <v>21070630155</v>
      </c>
      <c r="D178" s="163" t="s">
        <v>377</v>
      </c>
      <c r="E178" s="163" t="s">
        <v>372</v>
      </c>
      <c r="F178" s="163" t="s">
        <v>241</v>
      </c>
      <c r="G178" s="163"/>
      <c r="H178" s="163">
        <v>21</v>
      </c>
      <c r="I178" s="163">
        <v>7</v>
      </c>
      <c r="J178" s="163">
        <v>6</v>
      </c>
      <c r="K178" s="163">
        <v>3</v>
      </c>
      <c r="L178" s="163">
        <v>1</v>
      </c>
      <c r="M178" s="163">
        <v>4</v>
      </c>
      <c r="N178" s="163">
        <v>2873</v>
      </c>
      <c r="O178" s="163">
        <v>0</v>
      </c>
      <c r="P178" s="163">
        <v>2905</v>
      </c>
      <c r="Q178" s="163">
        <v>99175.02</v>
      </c>
      <c r="R178" s="163">
        <v>34.519672816000003</v>
      </c>
      <c r="S178" s="163">
        <v>34.139421687000002</v>
      </c>
      <c r="T178" s="163">
        <v>1.0111381830999999</v>
      </c>
      <c r="U178" s="140">
        <f t="shared" si="4"/>
        <v>9.3985570545795719E-2</v>
      </c>
    </row>
    <row r="179" spans="1:21">
      <c r="B179" s="163">
        <v>2018</v>
      </c>
      <c r="C179" s="163">
        <v>21070630156</v>
      </c>
      <c r="D179" s="163" t="s">
        <v>378</v>
      </c>
      <c r="E179" s="163" t="s">
        <v>372</v>
      </c>
      <c r="F179" s="163" t="s">
        <v>241</v>
      </c>
      <c r="G179" s="163"/>
      <c r="H179" s="163">
        <v>21</v>
      </c>
      <c r="I179" s="163">
        <v>7</v>
      </c>
      <c r="J179" s="163">
        <v>6</v>
      </c>
      <c r="K179" s="163">
        <v>3</v>
      </c>
      <c r="L179" s="163">
        <v>1</v>
      </c>
      <c r="M179" s="163">
        <v>4</v>
      </c>
      <c r="N179" s="163">
        <v>514</v>
      </c>
      <c r="O179" s="163">
        <v>0</v>
      </c>
      <c r="P179" s="163">
        <v>526</v>
      </c>
      <c r="Q179" s="163">
        <v>8454.68</v>
      </c>
      <c r="R179" s="163">
        <v>16.448793773999999</v>
      </c>
      <c r="S179" s="163">
        <v>16.073536122</v>
      </c>
      <c r="T179" s="163">
        <v>1.0233463035000001</v>
      </c>
      <c r="U179" s="140">
        <f t="shared" si="4"/>
        <v>1.7017697110873857E-2</v>
      </c>
    </row>
    <row r="180" spans="1:21">
      <c r="B180" s="163">
        <v>2018</v>
      </c>
      <c r="C180" s="163">
        <v>21070630158</v>
      </c>
      <c r="D180" s="163" t="s">
        <v>379</v>
      </c>
      <c r="E180" s="163" t="s">
        <v>372</v>
      </c>
      <c r="F180" s="163" t="s">
        <v>241</v>
      </c>
      <c r="G180" s="163"/>
      <c r="H180" s="163">
        <v>21</v>
      </c>
      <c r="I180" s="163">
        <v>7</v>
      </c>
      <c r="J180" s="163">
        <v>6</v>
      </c>
      <c r="K180" s="163">
        <v>3</v>
      </c>
      <c r="L180" s="163">
        <v>1</v>
      </c>
      <c r="M180" s="163">
        <v>4</v>
      </c>
      <c r="N180" s="163">
        <v>49</v>
      </c>
      <c r="O180" s="163">
        <v>0</v>
      </c>
      <c r="P180" s="163">
        <v>53</v>
      </c>
      <c r="Q180" s="163">
        <v>376.83</v>
      </c>
      <c r="R180" s="163">
        <v>7.6904081632999999</v>
      </c>
      <c r="S180" s="163">
        <v>7.11</v>
      </c>
      <c r="T180" s="163">
        <v>1.0816326531</v>
      </c>
      <c r="U180" s="140">
        <f t="shared" si="4"/>
        <v>1.7147109256203696E-3</v>
      </c>
    </row>
    <row r="181" spans="1:21">
      <c r="B181" s="163">
        <v>2018</v>
      </c>
      <c r="C181" s="163">
        <v>21070630160</v>
      </c>
      <c r="D181" s="163" t="s">
        <v>380</v>
      </c>
      <c r="E181" s="163" t="s">
        <v>372</v>
      </c>
      <c r="F181" s="163" t="s">
        <v>241</v>
      </c>
      <c r="G181" s="163"/>
      <c r="H181" s="163">
        <v>21</v>
      </c>
      <c r="I181" s="163">
        <v>7</v>
      </c>
      <c r="J181" s="163">
        <v>6</v>
      </c>
      <c r="K181" s="163">
        <v>3</v>
      </c>
      <c r="L181" s="163">
        <v>1</v>
      </c>
      <c r="M181" s="163">
        <v>4</v>
      </c>
      <c r="N181" s="163">
        <v>13</v>
      </c>
      <c r="O181" s="163">
        <v>0</v>
      </c>
      <c r="P181" s="163">
        <v>13</v>
      </c>
      <c r="Q181" s="163">
        <v>104</v>
      </c>
      <c r="R181" s="163">
        <v>8</v>
      </c>
      <c r="S181" s="163">
        <v>8</v>
      </c>
      <c r="T181" s="163">
        <v>1</v>
      </c>
      <c r="U181" s="140">
        <f t="shared" si="4"/>
        <v>4.205894723219774E-4</v>
      </c>
    </row>
    <row r="182" spans="1:21">
      <c r="B182" s="163">
        <v>2018</v>
      </c>
      <c r="C182" s="163">
        <v>21070630161</v>
      </c>
      <c r="D182" s="163" t="s">
        <v>381</v>
      </c>
      <c r="E182" s="163" t="s">
        <v>372</v>
      </c>
      <c r="F182" s="163" t="s">
        <v>241</v>
      </c>
      <c r="G182" s="163"/>
      <c r="H182" s="163">
        <v>21</v>
      </c>
      <c r="I182" s="163">
        <v>7</v>
      </c>
      <c r="J182" s="163">
        <v>6</v>
      </c>
      <c r="K182" s="163">
        <v>3</v>
      </c>
      <c r="L182" s="163">
        <v>1</v>
      </c>
      <c r="M182" s="163">
        <v>4</v>
      </c>
      <c r="N182" s="163">
        <v>84</v>
      </c>
      <c r="O182" s="163">
        <v>0</v>
      </c>
      <c r="P182" s="163">
        <v>85</v>
      </c>
      <c r="Q182" s="163">
        <v>680</v>
      </c>
      <c r="R182" s="163">
        <v>8.0952380951999992</v>
      </c>
      <c r="S182" s="163">
        <v>8</v>
      </c>
      <c r="T182" s="163">
        <v>1.0119047618999999</v>
      </c>
      <c r="U182" s="140">
        <f t="shared" si="4"/>
        <v>2.7500080882590832E-3</v>
      </c>
    </row>
    <row r="183" spans="1:21">
      <c r="B183" s="163">
        <v>2018</v>
      </c>
      <c r="C183" s="163">
        <v>21070630166</v>
      </c>
      <c r="D183" s="163" t="s">
        <v>382</v>
      </c>
      <c r="E183" s="163" t="s">
        <v>372</v>
      </c>
      <c r="F183" s="163" t="s">
        <v>241</v>
      </c>
      <c r="G183" s="163"/>
      <c r="H183" s="163">
        <v>21</v>
      </c>
      <c r="I183" s="163">
        <v>7</v>
      </c>
      <c r="J183" s="163">
        <v>6</v>
      </c>
      <c r="K183" s="163">
        <v>3</v>
      </c>
      <c r="L183" s="163">
        <v>1</v>
      </c>
      <c r="M183" s="163">
        <v>4</v>
      </c>
      <c r="N183" s="163">
        <v>66</v>
      </c>
      <c r="O183" s="163">
        <v>0</v>
      </c>
      <c r="P183" s="163">
        <v>68</v>
      </c>
      <c r="Q183" s="163">
        <v>809</v>
      </c>
      <c r="R183" s="163">
        <v>12.257575758</v>
      </c>
      <c r="S183" s="163">
        <v>11.897058824</v>
      </c>
      <c r="T183" s="163">
        <v>1.0303030303</v>
      </c>
      <c r="U183" s="140">
        <f t="shared" si="4"/>
        <v>2.2000064706072667E-3</v>
      </c>
    </row>
    <row r="184" spans="1:21">
      <c r="B184" s="163">
        <v>2018</v>
      </c>
      <c r="C184" s="163">
        <v>21070630167</v>
      </c>
      <c r="D184" s="163" t="s">
        <v>383</v>
      </c>
      <c r="E184" s="163" t="s">
        <v>372</v>
      </c>
      <c r="F184" s="163" t="s">
        <v>241</v>
      </c>
      <c r="G184" s="163"/>
      <c r="H184" s="163">
        <v>21</v>
      </c>
      <c r="I184" s="163">
        <v>7</v>
      </c>
      <c r="J184" s="163">
        <v>6</v>
      </c>
      <c r="K184" s="163">
        <v>3</v>
      </c>
      <c r="L184" s="163">
        <v>1</v>
      </c>
      <c r="M184" s="163">
        <v>4</v>
      </c>
      <c r="N184" s="163">
        <v>697</v>
      </c>
      <c r="O184" s="163">
        <v>0</v>
      </c>
      <c r="P184" s="163">
        <v>706</v>
      </c>
      <c r="Q184" s="163">
        <v>22521.4</v>
      </c>
      <c r="R184" s="163">
        <v>32.311908178000003</v>
      </c>
      <c r="S184" s="163">
        <v>31.9</v>
      </c>
      <c r="T184" s="163">
        <v>1.0129124821</v>
      </c>
      <c r="U184" s="140">
        <f t="shared" si="4"/>
        <v>2.284124365071662E-2</v>
      </c>
    </row>
    <row r="185" spans="1:21">
      <c r="B185" s="163">
        <v>2018</v>
      </c>
      <c r="C185" s="163">
        <v>21070630168</v>
      </c>
      <c r="D185" s="163" t="s">
        <v>384</v>
      </c>
      <c r="E185" s="163" t="s">
        <v>372</v>
      </c>
      <c r="F185" s="163" t="s">
        <v>241</v>
      </c>
      <c r="G185" s="163"/>
      <c r="H185" s="163">
        <v>21</v>
      </c>
      <c r="I185" s="163">
        <v>7</v>
      </c>
      <c r="J185" s="163">
        <v>6</v>
      </c>
      <c r="K185" s="163">
        <v>3</v>
      </c>
      <c r="L185" s="163">
        <v>1</v>
      </c>
      <c r="M185" s="163">
        <v>4</v>
      </c>
      <c r="N185" s="163">
        <v>27</v>
      </c>
      <c r="O185" s="163">
        <v>0</v>
      </c>
      <c r="P185" s="163">
        <v>29</v>
      </c>
      <c r="Q185" s="163">
        <v>289.70999999999998</v>
      </c>
      <c r="R185" s="163">
        <v>10.73</v>
      </c>
      <c r="S185" s="163">
        <v>9.99</v>
      </c>
      <c r="T185" s="163">
        <v>1.0740740741000001</v>
      </c>
      <c r="U185" s="140">
        <f t="shared" si="4"/>
        <v>9.382380536413342E-4</v>
      </c>
    </row>
    <row r="186" spans="1:21">
      <c r="B186" s="163">
        <v>2018</v>
      </c>
      <c r="C186" s="163">
        <v>21070630169</v>
      </c>
      <c r="D186" s="163" t="s">
        <v>385</v>
      </c>
      <c r="E186" s="163" t="s">
        <v>372</v>
      </c>
      <c r="F186" s="163" t="s">
        <v>241</v>
      </c>
      <c r="G186" s="163"/>
      <c r="H186" s="163">
        <v>21</v>
      </c>
      <c r="I186" s="163">
        <v>7</v>
      </c>
      <c r="J186" s="163">
        <v>6</v>
      </c>
      <c r="K186" s="163">
        <v>3</v>
      </c>
      <c r="L186" s="163">
        <v>1</v>
      </c>
      <c r="M186" s="163">
        <v>4</v>
      </c>
      <c r="N186" s="163">
        <v>648</v>
      </c>
      <c r="O186" s="163">
        <v>0</v>
      </c>
      <c r="P186" s="163">
        <v>662</v>
      </c>
      <c r="Q186" s="163">
        <v>10525.8</v>
      </c>
      <c r="R186" s="163">
        <v>16.243518518999998</v>
      </c>
      <c r="S186" s="163">
        <v>15.9</v>
      </c>
      <c r="T186" s="163">
        <v>1.0216049383000001</v>
      </c>
      <c r="U186" s="140">
        <f t="shared" si="4"/>
        <v>2.1417710052088389E-2</v>
      </c>
    </row>
    <row r="187" spans="1:21">
      <c r="B187" s="163">
        <v>2018</v>
      </c>
      <c r="C187" s="163">
        <v>21070630170</v>
      </c>
      <c r="D187" s="163" t="s">
        <v>386</v>
      </c>
      <c r="E187" s="163" t="s">
        <v>372</v>
      </c>
      <c r="F187" s="163" t="s">
        <v>241</v>
      </c>
      <c r="G187" s="163"/>
      <c r="H187" s="163">
        <v>21</v>
      </c>
      <c r="I187" s="163">
        <v>7</v>
      </c>
      <c r="J187" s="163">
        <v>6</v>
      </c>
      <c r="K187" s="163">
        <v>3</v>
      </c>
      <c r="L187" s="163">
        <v>1</v>
      </c>
      <c r="M187" s="163">
        <v>4</v>
      </c>
      <c r="N187" s="163">
        <v>613</v>
      </c>
      <c r="O187" s="163">
        <v>0</v>
      </c>
      <c r="P187" s="163">
        <v>618</v>
      </c>
      <c r="Q187" s="163">
        <v>8930.1</v>
      </c>
      <c r="R187" s="163">
        <v>14.567862969</v>
      </c>
      <c r="S187" s="163">
        <v>14.45</v>
      </c>
      <c r="T187" s="163">
        <v>1.0081566069000001</v>
      </c>
      <c r="U187" s="140">
        <f t="shared" si="4"/>
        <v>1.9994176453460157E-2</v>
      </c>
    </row>
    <row r="191" spans="1:21">
      <c r="A191" s="9" t="s">
        <v>10</v>
      </c>
      <c r="B191" s="9" t="s">
        <v>100</v>
      </c>
    </row>
    <row r="192" spans="1:21">
      <c r="A192" s="9"/>
      <c r="B192" s="9"/>
    </row>
    <row r="193" spans="2:23">
      <c r="B193" s="9" t="s">
        <v>387</v>
      </c>
    </row>
    <row r="195" spans="2:23">
      <c r="B195" s="9" t="s">
        <v>2802</v>
      </c>
      <c r="W195" s="94">
        <f>SUMPRODUCT(S197:S772, V197:V772)</f>
        <v>3.139765878429948</v>
      </c>
    </row>
    <row r="196" spans="2:23">
      <c r="B196" s="141" t="s">
        <v>3</v>
      </c>
      <c r="C196" s="141" t="s">
        <v>220</v>
      </c>
      <c r="D196" s="141" t="s">
        <v>221</v>
      </c>
      <c r="E196" s="141" t="s">
        <v>222</v>
      </c>
      <c r="F196" s="141" t="s">
        <v>223</v>
      </c>
      <c r="G196" s="141" t="s">
        <v>224</v>
      </c>
      <c r="H196" s="141" t="s">
        <v>225</v>
      </c>
      <c r="I196" s="141" t="s">
        <v>226</v>
      </c>
      <c r="J196" s="141" t="s">
        <v>227</v>
      </c>
      <c r="K196" s="141" t="s">
        <v>228</v>
      </c>
      <c r="L196" s="141" t="s">
        <v>229</v>
      </c>
      <c r="M196" s="141" t="s">
        <v>230</v>
      </c>
      <c r="N196" s="141" t="s">
        <v>231</v>
      </c>
      <c r="O196" s="141" t="s">
        <v>232</v>
      </c>
      <c r="P196" s="141" t="s">
        <v>233</v>
      </c>
      <c r="Q196" s="141" t="s">
        <v>234</v>
      </c>
      <c r="R196" s="141" t="s">
        <v>235</v>
      </c>
      <c r="S196" s="141" t="s">
        <v>236</v>
      </c>
      <c r="T196" s="141" t="s">
        <v>237</v>
      </c>
      <c r="U196" s="141"/>
      <c r="V196" s="141"/>
    </row>
    <row r="197" spans="2:23">
      <c r="B197" s="163">
        <v>2018</v>
      </c>
      <c r="C197" s="163">
        <v>20031600138</v>
      </c>
      <c r="D197" s="163" t="s">
        <v>735</v>
      </c>
      <c r="E197" s="163" t="s">
        <v>389</v>
      </c>
      <c r="F197" s="163" t="s">
        <v>100</v>
      </c>
      <c r="G197" s="163"/>
      <c r="H197" s="163">
        <v>20</v>
      </c>
      <c r="I197" s="163">
        <v>3</v>
      </c>
      <c r="J197" s="163">
        <v>16</v>
      </c>
      <c r="K197" s="163">
        <v>0</v>
      </c>
      <c r="L197" s="163">
        <v>1</v>
      </c>
      <c r="M197" s="163">
        <v>4</v>
      </c>
      <c r="N197" s="163">
        <v>79</v>
      </c>
      <c r="O197" s="163">
        <v>0</v>
      </c>
      <c r="P197" s="163">
        <v>1149</v>
      </c>
      <c r="Q197" s="163">
        <v>3217.2</v>
      </c>
      <c r="R197" s="163">
        <v>40.724050632999997</v>
      </c>
      <c r="S197" s="163">
        <v>2.8</v>
      </c>
      <c r="T197" s="163">
        <v>14.544303797</v>
      </c>
      <c r="U197" s="161">
        <f>P197/SUM($P$197:$P$201)</f>
        <v>0.23862928348909657</v>
      </c>
      <c r="V197" s="161">
        <f t="shared" ref="V197:V261" si="5">P197/SUM($P$197:$P$772)</f>
        <v>1.1723526791931888E-4</v>
      </c>
    </row>
    <row r="198" spans="2:23">
      <c r="B198" s="163">
        <v>2018</v>
      </c>
      <c r="C198" s="163">
        <v>20031600139</v>
      </c>
      <c r="D198" s="163" t="s">
        <v>736</v>
      </c>
      <c r="E198" s="163" t="s">
        <v>389</v>
      </c>
      <c r="F198" s="163" t="s">
        <v>100</v>
      </c>
      <c r="G198" s="163"/>
      <c r="H198" s="163">
        <v>20</v>
      </c>
      <c r="I198" s="163">
        <v>3</v>
      </c>
      <c r="J198" s="163">
        <v>16</v>
      </c>
      <c r="K198" s="163">
        <v>0</v>
      </c>
      <c r="L198" s="163">
        <v>1</v>
      </c>
      <c r="M198" s="163">
        <v>4</v>
      </c>
      <c r="N198" s="163">
        <v>135</v>
      </c>
      <c r="O198" s="163">
        <v>0</v>
      </c>
      <c r="P198" s="163">
        <v>2310</v>
      </c>
      <c r="Q198" s="163">
        <v>8316</v>
      </c>
      <c r="R198" s="163">
        <v>61.6</v>
      </c>
      <c r="S198" s="163">
        <v>3.6</v>
      </c>
      <c r="T198" s="163">
        <v>17.111111111</v>
      </c>
      <c r="U198" s="161">
        <f t="shared" ref="U198:U201" si="6">P198/SUM($P$197:$P$201)</f>
        <v>0.47975077881619937</v>
      </c>
      <c r="V198" s="161">
        <f t="shared" si="5"/>
        <v>2.3569492505972725E-4</v>
      </c>
      <c r="W198" s="2">
        <f>SUMPRODUCT(S197:S201,U197:U201)</f>
        <v>4.5345835929387333</v>
      </c>
    </row>
    <row r="199" spans="2:23">
      <c r="B199" s="163">
        <v>2018</v>
      </c>
      <c r="C199" s="163">
        <v>20031600140</v>
      </c>
      <c r="D199" s="163" t="s">
        <v>737</v>
      </c>
      <c r="E199" s="163" t="s">
        <v>389</v>
      </c>
      <c r="F199" s="163" t="s">
        <v>100</v>
      </c>
      <c r="G199" s="163"/>
      <c r="H199" s="163">
        <v>20</v>
      </c>
      <c r="I199" s="163">
        <v>3</v>
      </c>
      <c r="J199" s="163">
        <v>16</v>
      </c>
      <c r="K199" s="163">
        <v>0</v>
      </c>
      <c r="L199" s="163">
        <v>1</v>
      </c>
      <c r="M199" s="163">
        <v>4</v>
      </c>
      <c r="N199" s="163">
        <v>38</v>
      </c>
      <c r="O199" s="163">
        <v>0</v>
      </c>
      <c r="P199" s="163">
        <v>445</v>
      </c>
      <c r="Q199" s="163">
        <v>2523.15</v>
      </c>
      <c r="R199" s="163">
        <v>66.398684211000003</v>
      </c>
      <c r="S199" s="163">
        <v>5.67</v>
      </c>
      <c r="T199" s="163">
        <v>11.710526315999999</v>
      </c>
      <c r="U199" s="161">
        <f t="shared" si="6"/>
        <v>9.2419522326064388E-2</v>
      </c>
      <c r="V199" s="161">
        <f t="shared" si="5"/>
        <v>4.5404433615402002E-5</v>
      </c>
    </row>
    <row r="200" spans="2:23">
      <c r="B200" s="163">
        <v>2018</v>
      </c>
      <c r="C200" s="163">
        <v>20031600141</v>
      </c>
      <c r="D200" s="163" t="s">
        <v>738</v>
      </c>
      <c r="E200" s="163" t="s">
        <v>389</v>
      </c>
      <c r="F200" s="163" t="s">
        <v>100</v>
      </c>
      <c r="G200" s="163"/>
      <c r="H200" s="163">
        <v>20</v>
      </c>
      <c r="I200" s="163">
        <v>3</v>
      </c>
      <c r="J200" s="163">
        <v>16</v>
      </c>
      <c r="K200" s="163">
        <v>0</v>
      </c>
      <c r="L200" s="163">
        <v>1</v>
      </c>
      <c r="M200" s="163">
        <v>4</v>
      </c>
      <c r="N200" s="163">
        <v>58</v>
      </c>
      <c r="O200" s="163">
        <v>0</v>
      </c>
      <c r="P200" s="163">
        <v>767</v>
      </c>
      <c r="Q200" s="163">
        <v>5714.15</v>
      </c>
      <c r="R200" s="163">
        <v>98.519827586000005</v>
      </c>
      <c r="S200" s="163">
        <v>7.45</v>
      </c>
      <c r="T200" s="163">
        <v>13.224137931</v>
      </c>
      <c r="U200" s="161">
        <f t="shared" si="6"/>
        <v>0.15929387331256489</v>
      </c>
      <c r="V200" s="161">
        <f t="shared" si="5"/>
        <v>7.8258877714636711E-5</v>
      </c>
    </row>
    <row r="201" spans="2:23">
      <c r="B201" s="163">
        <v>2018</v>
      </c>
      <c r="C201" s="163">
        <v>20031600142</v>
      </c>
      <c r="D201" s="163" t="s">
        <v>739</v>
      </c>
      <c r="E201" s="163" t="s">
        <v>389</v>
      </c>
      <c r="F201" s="163" t="s">
        <v>100</v>
      </c>
      <c r="G201" s="163"/>
      <c r="H201" s="163">
        <v>20</v>
      </c>
      <c r="I201" s="163">
        <v>3</v>
      </c>
      <c r="J201" s="163">
        <v>16</v>
      </c>
      <c r="K201" s="163">
        <v>0</v>
      </c>
      <c r="L201" s="163">
        <v>1</v>
      </c>
      <c r="M201" s="163">
        <v>4</v>
      </c>
      <c r="N201" s="163">
        <v>10</v>
      </c>
      <c r="O201" s="163">
        <v>0</v>
      </c>
      <c r="P201" s="163">
        <v>144</v>
      </c>
      <c r="Q201" s="163">
        <v>2063.52</v>
      </c>
      <c r="R201" s="163">
        <v>206.352</v>
      </c>
      <c r="S201" s="163">
        <v>14.33</v>
      </c>
      <c r="T201" s="163">
        <v>14.4</v>
      </c>
      <c r="U201" s="161">
        <f t="shared" si="6"/>
        <v>2.9906542056074768E-2</v>
      </c>
      <c r="V201" s="161">
        <f t="shared" si="5"/>
        <v>1.4692670653073905E-5</v>
      </c>
    </row>
    <row r="202" spans="2:23">
      <c r="V202" s="161">
        <f t="shared" si="5"/>
        <v>0</v>
      </c>
    </row>
    <row r="203" spans="2:23">
      <c r="B203" s="9" t="s">
        <v>211</v>
      </c>
      <c r="V203" s="161">
        <f t="shared" si="5"/>
        <v>0</v>
      </c>
    </row>
    <row r="204" spans="2:23">
      <c r="B204" s="141" t="s">
        <v>3</v>
      </c>
      <c r="C204" s="141" t="s">
        <v>220</v>
      </c>
      <c r="D204" s="141" t="s">
        <v>221</v>
      </c>
      <c r="E204" s="141" t="s">
        <v>222</v>
      </c>
      <c r="F204" s="141" t="s">
        <v>223</v>
      </c>
      <c r="G204" s="141" t="s">
        <v>224</v>
      </c>
      <c r="H204" s="141" t="s">
        <v>225</v>
      </c>
      <c r="I204" s="141" t="s">
        <v>226</v>
      </c>
      <c r="J204" s="141" t="s">
        <v>227</v>
      </c>
      <c r="K204" s="141" t="s">
        <v>228</v>
      </c>
      <c r="L204" s="141" t="s">
        <v>229</v>
      </c>
      <c r="M204" s="141" t="s">
        <v>230</v>
      </c>
      <c r="N204" s="141" t="s">
        <v>231</v>
      </c>
      <c r="O204" s="141" t="s">
        <v>232</v>
      </c>
      <c r="P204" s="141" t="s">
        <v>233</v>
      </c>
      <c r="Q204" s="141" t="s">
        <v>234</v>
      </c>
      <c r="R204" s="141" t="s">
        <v>235</v>
      </c>
      <c r="S204" s="141" t="s">
        <v>236</v>
      </c>
      <c r="T204" s="141" t="s">
        <v>237</v>
      </c>
      <c r="U204" s="141"/>
      <c r="V204" s="161"/>
    </row>
    <row r="205" spans="2:23">
      <c r="B205" s="163">
        <v>2018</v>
      </c>
      <c r="C205" s="163">
        <v>20030400315</v>
      </c>
      <c r="D205" s="163" t="s">
        <v>390</v>
      </c>
      <c r="E205" s="163" t="s">
        <v>389</v>
      </c>
      <c r="F205" s="163" t="s">
        <v>100</v>
      </c>
      <c r="G205" s="163"/>
      <c r="H205" s="163">
        <v>20</v>
      </c>
      <c r="I205" s="163">
        <v>3</v>
      </c>
      <c r="J205" s="163">
        <v>4</v>
      </c>
      <c r="K205" s="163">
        <v>0</v>
      </c>
      <c r="L205" s="163">
        <v>1</v>
      </c>
      <c r="M205" s="163">
        <v>4</v>
      </c>
      <c r="N205" s="163">
        <v>186</v>
      </c>
      <c r="O205" s="163">
        <v>0</v>
      </c>
      <c r="P205" s="163">
        <v>2054</v>
      </c>
      <c r="Q205" s="163">
        <v>3183.7</v>
      </c>
      <c r="R205" s="163">
        <v>17.116666667000001</v>
      </c>
      <c r="S205" s="163">
        <v>1.55</v>
      </c>
      <c r="T205" s="163">
        <v>11.043010753000001</v>
      </c>
      <c r="U205" s="161">
        <f t="shared" ref="U205:U268" si="7">P205/SUM($P$205:$P$460)</f>
        <v>3.3189699817424333E-4</v>
      </c>
      <c r="V205" s="161">
        <f t="shared" si="5"/>
        <v>2.0957462167648473E-4</v>
      </c>
    </row>
    <row r="206" spans="2:23">
      <c r="B206" s="163">
        <v>2018</v>
      </c>
      <c r="C206" s="163">
        <v>20030400316</v>
      </c>
      <c r="D206" s="163" t="s">
        <v>391</v>
      </c>
      <c r="E206" s="163" t="s">
        <v>389</v>
      </c>
      <c r="F206" s="163" t="s">
        <v>100</v>
      </c>
      <c r="G206" s="163"/>
      <c r="H206" s="163">
        <v>20</v>
      </c>
      <c r="I206" s="163">
        <v>3</v>
      </c>
      <c r="J206" s="163">
        <v>4</v>
      </c>
      <c r="K206" s="163">
        <v>0</v>
      </c>
      <c r="L206" s="163">
        <v>1</v>
      </c>
      <c r="M206" s="163">
        <v>4</v>
      </c>
      <c r="N206" s="163">
        <v>31</v>
      </c>
      <c r="O206" s="163">
        <v>0</v>
      </c>
      <c r="P206" s="163">
        <v>356</v>
      </c>
      <c r="Q206" s="163">
        <v>1035.96</v>
      </c>
      <c r="R206" s="163">
        <v>33.418064516000001</v>
      </c>
      <c r="S206" s="163">
        <v>2.91</v>
      </c>
      <c r="T206" s="163">
        <v>11.483870968</v>
      </c>
      <c r="U206" s="161">
        <f t="shared" si="7"/>
        <v>5.7524504065253472E-5</v>
      </c>
      <c r="V206" s="161">
        <f t="shared" si="5"/>
        <v>3.6323546892321601E-5</v>
      </c>
      <c r="W206" s="2">
        <f>SUMPRODUCT(S205:S460,U205:U460)</f>
        <v>2.649607261160202</v>
      </c>
    </row>
    <row r="207" spans="2:23">
      <c r="B207" s="163">
        <v>2018</v>
      </c>
      <c r="C207" s="163">
        <v>20030400317</v>
      </c>
      <c r="D207" s="163" t="s">
        <v>392</v>
      </c>
      <c r="E207" s="163" t="s">
        <v>389</v>
      </c>
      <c r="F207" s="163" t="s">
        <v>100</v>
      </c>
      <c r="G207" s="163"/>
      <c r="H207" s="163">
        <v>20</v>
      </c>
      <c r="I207" s="163">
        <v>3</v>
      </c>
      <c r="J207" s="163">
        <v>4</v>
      </c>
      <c r="K207" s="163">
        <v>0</v>
      </c>
      <c r="L207" s="163">
        <v>1</v>
      </c>
      <c r="M207" s="163">
        <v>4</v>
      </c>
      <c r="N207" s="163">
        <v>18</v>
      </c>
      <c r="O207" s="163">
        <v>0</v>
      </c>
      <c r="P207" s="163">
        <v>235</v>
      </c>
      <c r="Q207" s="163">
        <v>789.6</v>
      </c>
      <c r="R207" s="163">
        <v>43.866666666999997</v>
      </c>
      <c r="S207" s="163">
        <v>3.36</v>
      </c>
      <c r="T207" s="163">
        <v>13.055555556</v>
      </c>
      <c r="U207" s="161">
        <f t="shared" si="7"/>
        <v>3.7972636110490354E-5</v>
      </c>
      <c r="V207" s="161">
        <f t="shared" si="5"/>
        <v>2.3977622246335886E-5</v>
      </c>
    </row>
    <row r="208" spans="2:23">
      <c r="B208" s="163">
        <v>2018</v>
      </c>
      <c r="C208" s="163">
        <v>20030400318</v>
      </c>
      <c r="D208" s="163" t="s">
        <v>393</v>
      </c>
      <c r="E208" s="163" t="s">
        <v>389</v>
      </c>
      <c r="F208" s="163" t="s">
        <v>100</v>
      </c>
      <c r="G208" s="163"/>
      <c r="H208" s="163">
        <v>20</v>
      </c>
      <c r="I208" s="163">
        <v>3</v>
      </c>
      <c r="J208" s="163">
        <v>4</v>
      </c>
      <c r="K208" s="163">
        <v>0</v>
      </c>
      <c r="L208" s="163">
        <v>1</v>
      </c>
      <c r="M208" s="163">
        <v>4</v>
      </c>
      <c r="N208" s="163">
        <v>277</v>
      </c>
      <c r="O208" s="163">
        <v>0</v>
      </c>
      <c r="P208" s="163">
        <v>3645</v>
      </c>
      <c r="Q208" s="163">
        <v>3535.65</v>
      </c>
      <c r="R208" s="163">
        <v>12.764079422</v>
      </c>
      <c r="S208" s="163">
        <v>0.97</v>
      </c>
      <c r="T208" s="163">
        <v>13.158844765</v>
      </c>
      <c r="U208" s="161">
        <f t="shared" si="7"/>
        <v>5.889798239265419E-4</v>
      </c>
      <c r="V208" s="161">
        <f t="shared" si="5"/>
        <v>3.7190822590593323E-4</v>
      </c>
    </row>
    <row r="209" spans="2:22">
      <c r="B209" s="163">
        <v>2018</v>
      </c>
      <c r="C209" s="163">
        <v>20030600049</v>
      </c>
      <c r="D209" s="163" t="s">
        <v>394</v>
      </c>
      <c r="E209" s="163" t="s">
        <v>389</v>
      </c>
      <c r="F209" s="163" t="s">
        <v>100</v>
      </c>
      <c r="G209" s="163"/>
      <c r="H209" s="163">
        <v>20</v>
      </c>
      <c r="I209" s="163">
        <v>3</v>
      </c>
      <c r="J209" s="163">
        <v>6</v>
      </c>
      <c r="K209" s="163">
        <v>0</v>
      </c>
      <c r="L209" s="163">
        <v>1</v>
      </c>
      <c r="M209" s="163">
        <v>4</v>
      </c>
      <c r="N209" s="163">
        <v>4</v>
      </c>
      <c r="O209" s="163">
        <v>0</v>
      </c>
      <c r="P209" s="163">
        <v>45</v>
      </c>
      <c r="Q209" s="163">
        <v>156.6</v>
      </c>
      <c r="R209" s="163">
        <v>39.15</v>
      </c>
      <c r="S209" s="163">
        <v>3.48</v>
      </c>
      <c r="T209" s="163">
        <v>11.25</v>
      </c>
      <c r="U209" s="161">
        <f t="shared" si="7"/>
        <v>7.2713558509449611E-6</v>
      </c>
      <c r="V209" s="161">
        <f t="shared" si="5"/>
        <v>4.5914595790855952E-6</v>
      </c>
    </row>
    <row r="210" spans="2:22">
      <c r="B210" s="163">
        <v>2018</v>
      </c>
      <c r="C210" s="163">
        <v>20030600113</v>
      </c>
      <c r="D210" s="163" t="s">
        <v>395</v>
      </c>
      <c r="E210" s="163" t="s">
        <v>389</v>
      </c>
      <c r="F210" s="163" t="s">
        <v>100</v>
      </c>
      <c r="G210" s="163"/>
      <c r="H210" s="163">
        <v>20</v>
      </c>
      <c r="I210" s="163">
        <v>3</v>
      </c>
      <c r="J210" s="163">
        <v>6</v>
      </c>
      <c r="K210" s="163">
        <v>0</v>
      </c>
      <c r="L210" s="163">
        <v>1</v>
      </c>
      <c r="M210" s="163">
        <v>4</v>
      </c>
      <c r="N210" s="163">
        <v>96</v>
      </c>
      <c r="O210" s="163">
        <v>0</v>
      </c>
      <c r="P210" s="163">
        <v>2229</v>
      </c>
      <c r="Q210" s="163">
        <v>2786.25</v>
      </c>
      <c r="R210" s="163">
        <v>29.0234375</v>
      </c>
      <c r="S210" s="163">
        <v>1.25</v>
      </c>
      <c r="T210" s="163">
        <v>23.21875</v>
      </c>
      <c r="U210" s="161">
        <f t="shared" si="7"/>
        <v>3.601744931501404E-4</v>
      </c>
      <c r="V210" s="161">
        <f t="shared" si="5"/>
        <v>2.2743029781737318E-4</v>
      </c>
    </row>
    <row r="211" spans="2:22">
      <c r="B211" s="163">
        <v>2018</v>
      </c>
      <c r="C211" s="163">
        <v>20030600114</v>
      </c>
      <c r="D211" s="163" t="s">
        <v>396</v>
      </c>
      <c r="E211" s="163" t="s">
        <v>389</v>
      </c>
      <c r="F211" s="163" t="s">
        <v>100</v>
      </c>
      <c r="G211" s="163"/>
      <c r="H211" s="163">
        <v>20</v>
      </c>
      <c r="I211" s="163">
        <v>3</v>
      </c>
      <c r="J211" s="163">
        <v>6</v>
      </c>
      <c r="K211" s="163">
        <v>0</v>
      </c>
      <c r="L211" s="163">
        <v>1</v>
      </c>
      <c r="M211" s="163">
        <v>4</v>
      </c>
      <c r="N211" s="163">
        <v>5029</v>
      </c>
      <c r="O211" s="163">
        <v>0</v>
      </c>
      <c r="P211" s="163">
        <v>83969</v>
      </c>
      <c r="Q211" s="163">
        <v>96563.74</v>
      </c>
      <c r="R211" s="163">
        <v>19.201379996</v>
      </c>
      <c r="S211" s="163">
        <v>1.1499927353999999</v>
      </c>
      <c r="T211" s="163">
        <v>16.696957646000001</v>
      </c>
      <c r="U211" s="161">
        <f t="shared" si="7"/>
        <v>1.3568188432177721E-2</v>
      </c>
      <c r="V211" s="161">
        <f t="shared" si="5"/>
        <v>8.5675615421386304E-3</v>
      </c>
    </row>
    <row r="212" spans="2:22">
      <c r="B212" s="163">
        <v>2018</v>
      </c>
      <c r="C212" s="163">
        <v>20030600115</v>
      </c>
      <c r="D212" s="163" t="s">
        <v>397</v>
      </c>
      <c r="E212" s="163" t="s">
        <v>389</v>
      </c>
      <c r="F212" s="163" t="s">
        <v>100</v>
      </c>
      <c r="G212" s="163"/>
      <c r="H212" s="163">
        <v>20</v>
      </c>
      <c r="I212" s="163">
        <v>3</v>
      </c>
      <c r="J212" s="163">
        <v>6</v>
      </c>
      <c r="K212" s="163">
        <v>0</v>
      </c>
      <c r="L212" s="163">
        <v>1</v>
      </c>
      <c r="M212" s="163">
        <v>4</v>
      </c>
      <c r="N212" s="163">
        <v>159</v>
      </c>
      <c r="O212" s="163">
        <v>0</v>
      </c>
      <c r="P212" s="163">
        <v>1982</v>
      </c>
      <c r="Q212" s="163">
        <v>4281.12</v>
      </c>
      <c r="R212" s="163">
        <v>26.925283018999998</v>
      </c>
      <c r="S212" s="163">
        <v>2.16</v>
      </c>
      <c r="T212" s="163">
        <v>12.465408804999999</v>
      </c>
      <c r="U212" s="161">
        <f t="shared" si="7"/>
        <v>3.2026282881273142E-4</v>
      </c>
      <c r="V212" s="161">
        <f t="shared" si="5"/>
        <v>2.0222828634994778E-4</v>
      </c>
    </row>
    <row r="213" spans="2:22">
      <c r="B213" s="163">
        <v>2018</v>
      </c>
      <c r="C213" s="163">
        <v>20030600116</v>
      </c>
      <c r="D213" s="163" t="s">
        <v>398</v>
      </c>
      <c r="E213" s="163" t="s">
        <v>389</v>
      </c>
      <c r="F213" s="163" t="s">
        <v>100</v>
      </c>
      <c r="G213" s="163"/>
      <c r="H213" s="163">
        <v>20</v>
      </c>
      <c r="I213" s="163">
        <v>3</v>
      </c>
      <c r="J213" s="163">
        <v>6</v>
      </c>
      <c r="K213" s="163">
        <v>0</v>
      </c>
      <c r="L213" s="163">
        <v>1</v>
      </c>
      <c r="M213" s="163">
        <v>4</v>
      </c>
      <c r="N213" s="163">
        <v>168</v>
      </c>
      <c r="O213" s="163">
        <v>0</v>
      </c>
      <c r="P213" s="163">
        <v>2972</v>
      </c>
      <c r="Q213" s="163">
        <v>11917.72</v>
      </c>
      <c r="R213" s="163">
        <v>70.938809524000007</v>
      </c>
      <c r="S213" s="163">
        <v>4.01</v>
      </c>
      <c r="T213" s="163">
        <v>17.690476189999998</v>
      </c>
      <c r="U213" s="161">
        <f t="shared" si="7"/>
        <v>4.8023265753352056E-4</v>
      </c>
      <c r="V213" s="161">
        <f t="shared" si="5"/>
        <v>3.0324039708983088E-4</v>
      </c>
    </row>
    <row r="214" spans="2:22">
      <c r="B214" s="163">
        <v>2018</v>
      </c>
      <c r="C214" s="163">
        <v>20030600117</v>
      </c>
      <c r="D214" s="163" t="s">
        <v>399</v>
      </c>
      <c r="E214" s="163" t="s">
        <v>389</v>
      </c>
      <c r="F214" s="163" t="s">
        <v>100</v>
      </c>
      <c r="G214" s="163"/>
      <c r="H214" s="163">
        <v>20</v>
      </c>
      <c r="I214" s="163">
        <v>3</v>
      </c>
      <c r="J214" s="163">
        <v>6</v>
      </c>
      <c r="K214" s="163">
        <v>0</v>
      </c>
      <c r="L214" s="163">
        <v>1</v>
      </c>
      <c r="M214" s="163">
        <v>4</v>
      </c>
      <c r="N214" s="163">
        <v>2533</v>
      </c>
      <c r="O214" s="163">
        <v>0</v>
      </c>
      <c r="P214" s="163">
        <v>46220</v>
      </c>
      <c r="Q214" s="163">
        <v>50842</v>
      </c>
      <c r="R214" s="163">
        <v>20.071851558999999</v>
      </c>
      <c r="S214" s="163">
        <v>1.1000000000000001</v>
      </c>
      <c r="T214" s="163">
        <v>18.247137780999999</v>
      </c>
      <c r="U214" s="161">
        <f t="shared" si="7"/>
        <v>7.4684903873483578E-3</v>
      </c>
      <c r="V214" s="161">
        <f t="shared" si="5"/>
        <v>4.7159391498963607E-3</v>
      </c>
    </row>
    <row r="215" spans="2:22">
      <c r="B215" s="163">
        <v>2018</v>
      </c>
      <c r="C215" s="163">
        <v>20030600118</v>
      </c>
      <c r="D215" s="163" t="s">
        <v>400</v>
      </c>
      <c r="E215" s="163" t="s">
        <v>389</v>
      </c>
      <c r="F215" s="163" t="s">
        <v>100</v>
      </c>
      <c r="G215" s="163"/>
      <c r="H215" s="163">
        <v>20</v>
      </c>
      <c r="I215" s="163">
        <v>3</v>
      </c>
      <c r="J215" s="163">
        <v>6</v>
      </c>
      <c r="K215" s="163">
        <v>0</v>
      </c>
      <c r="L215" s="163">
        <v>1</v>
      </c>
      <c r="M215" s="163">
        <v>4</v>
      </c>
      <c r="N215" s="163">
        <v>241</v>
      </c>
      <c r="O215" s="163">
        <v>0</v>
      </c>
      <c r="P215" s="163">
        <v>4136</v>
      </c>
      <c r="Q215" s="163">
        <v>8396.08</v>
      </c>
      <c r="R215" s="163">
        <v>34.838506224</v>
      </c>
      <c r="S215" s="163">
        <v>2.0299999999999998</v>
      </c>
      <c r="T215" s="163">
        <v>17.161825726</v>
      </c>
      <c r="U215" s="161">
        <f t="shared" si="7"/>
        <v>6.6831839554463025E-4</v>
      </c>
      <c r="V215" s="161">
        <f t="shared" si="5"/>
        <v>4.2200615153551162E-4</v>
      </c>
    </row>
    <row r="216" spans="2:22">
      <c r="B216" s="163">
        <v>2018</v>
      </c>
      <c r="C216" s="163">
        <v>20030600119</v>
      </c>
      <c r="D216" s="163" t="s">
        <v>401</v>
      </c>
      <c r="E216" s="163" t="s">
        <v>389</v>
      </c>
      <c r="F216" s="163" t="s">
        <v>100</v>
      </c>
      <c r="G216" s="163"/>
      <c r="H216" s="163">
        <v>20</v>
      </c>
      <c r="I216" s="163">
        <v>3</v>
      </c>
      <c r="J216" s="163">
        <v>6</v>
      </c>
      <c r="K216" s="163">
        <v>0</v>
      </c>
      <c r="L216" s="163">
        <v>1</v>
      </c>
      <c r="M216" s="163">
        <v>4</v>
      </c>
      <c r="N216" s="163">
        <v>116</v>
      </c>
      <c r="O216" s="163">
        <v>0</v>
      </c>
      <c r="P216" s="163">
        <v>1428</v>
      </c>
      <c r="Q216" s="163">
        <v>3898.44</v>
      </c>
      <c r="R216" s="163">
        <v>33.607241379000001</v>
      </c>
      <c r="S216" s="163">
        <v>2.73</v>
      </c>
      <c r="T216" s="163">
        <v>12.310344828</v>
      </c>
      <c r="U216" s="161">
        <f t="shared" si="7"/>
        <v>2.3074435900332011E-4</v>
      </c>
      <c r="V216" s="161">
        <f t="shared" si="5"/>
        <v>1.4570231730964955E-4</v>
      </c>
    </row>
    <row r="217" spans="2:22">
      <c r="B217" s="163">
        <v>2018</v>
      </c>
      <c r="C217" s="163">
        <v>20030600270</v>
      </c>
      <c r="D217" s="163" t="s">
        <v>402</v>
      </c>
      <c r="E217" s="163" t="s">
        <v>389</v>
      </c>
      <c r="F217" s="163" t="s">
        <v>100</v>
      </c>
      <c r="G217" s="163"/>
      <c r="H217" s="163">
        <v>20</v>
      </c>
      <c r="I217" s="163">
        <v>3</v>
      </c>
      <c r="J217" s="163">
        <v>6</v>
      </c>
      <c r="K217" s="163">
        <v>0</v>
      </c>
      <c r="L217" s="163">
        <v>1</v>
      </c>
      <c r="M217" s="163">
        <v>4</v>
      </c>
      <c r="N217" s="163">
        <v>1196</v>
      </c>
      <c r="O217" s="163">
        <v>0</v>
      </c>
      <c r="P217" s="163">
        <v>21970</v>
      </c>
      <c r="Q217" s="163">
        <v>49198.32</v>
      </c>
      <c r="R217" s="163">
        <v>41.135719064</v>
      </c>
      <c r="S217" s="163">
        <v>2.2393409194</v>
      </c>
      <c r="T217" s="163">
        <v>18.369565217000002</v>
      </c>
      <c r="U217" s="161">
        <f t="shared" si="7"/>
        <v>3.5500375121169064E-3</v>
      </c>
      <c r="V217" s="161">
        <f t="shared" si="5"/>
        <v>2.2416525989446784E-3</v>
      </c>
    </row>
    <row r="218" spans="2:22">
      <c r="B218" s="163">
        <v>2018</v>
      </c>
      <c r="C218" s="163">
        <v>20030600271</v>
      </c>
      <c r="D218" s="163" t="s">
        <v>403</v>
      </c>
      <c r="E218" s="163" t="s">
        <v>389</v>
      </c>
      <c r="F218" s="163" t="s">
        <v>100</v>
      </c>
      <c r="G218" s="163"/>
      <c r="H218" s="163">
        <v>20</v>
      </c>
      <c r="I218" s="163">
        <v>3</v>
      </c>
      <c r="J218" s="163">
        <v>6</v>
      </c>
      <c r="K218" s="163">
        <v>0</v>
      </c>
      <c r="L218" s="163">
        <v>1</v>
      </c>
      <c r="M218" s="163">
        <v>4</v>
      </c>
      <c r="N218" s="163">
        <v>3936</v>
      </c>
      <c r="O218" s="163">
        <v>0</v>
      </c>
      <c r="P218" s="163">
        <v>47936</v>
      </c>
      <c r="Q218" s="163">
        <v>105232.41</v>
      </c>
      <c r="R218" s="163">
        <v>26.735876523999998</v>
      </c>
      <c r="S218" s="163">
        <v>2.1952689001999999</v>
      </c>
      <c r="T218" s="163">
        <v>12.178861789000001</v>
      </c>
      <c r="U218" s="161">
        <f t="shared" si="7"/>
        <v>7.7457714237977255E-3</v>
      </c>
      <c r="V218" s="161">
        <f t="shared" si="5"/>
        <v>4.891026808512158E-3</v>
      </c>
    </row>
    <row r="219" spans="2:22">
      <c r="B219" s="163">
        <v>2018</v>
      </c>
      <c r="C219" s="163">
        <v>20030600272</v>
      </c>
      <c r="D219" s="163" t="s">
        <v>404</v>
      </c>
      <c r="E219" s="163" t="s">
        <v>389</v>
      </c>
      <c r="F219" s="163" t="s">
        <v>100</v>
      </c>
      <c r="G219" s="163"/>
      <c r="H219" s="163">
        <v>20</v>
      </c>
      <c r="I219" s="163">
        <v>3</v>
      </c>
      <c r="J219" s="163">
        <v>6</v>
      </c>
      <c r="K219" s="163">
        <v>0</v>
      </c>
      <c r="L219" s="163">
        <v>1</v>
      </c>
      <c r="M219" s="163">
        <v>4</v>
      </c>
      <c r="N219" s="163">
        <v>452</v>
      </c>
      <c r="O219" s="163">
        <v>0</v>
      </c>
      <c r="P219" s="163">
        <v>5849</v>
      </c>
      <c r="Q219" s="163">
        <v>34773.43</v>
      </c>
      <c r="R219" s="163">
        <v>76.932367256999996</v>
      </c>
      <c r="S219" s="163">
        <v>5.9451923406000002</v>
      </c>
      <c r="T219" s="163">
        <v>12.940265487</v>
      </c>
      <c r="U219" s="161">
        <f t="shared" si="7"/>
        <v>9.4511467493726845E-4</v>
      </c>
      <c r="V219" s="161">
        <f t="shared" si="5"/>
        <v>5.9678771284603664E-4</v>
      </c>
    </row>
    <row r="220" spans="2:22">
      <c r="B220" s="163">
        <v>2018</v>
      </c>
      <c r="C220" s="163">
        <v>20030600273</v>
      </c>
      <c r="D220" s="163" t="s">
        <v>405</v>
      </c>
      <c r="E220" s="163" t="s">
        <v>389</v>
      </c>
      <c r="F220" s="163" t="s">
        <v>100</v>
      </c>
      <c r="G220" s="163"/>
      <c r="H220" s="163">
        <v>20</v>
      </c>
      <c r="I220" s="163">
        <v>3</v>
      </c>
      <c r="J220" s="163">
        <v>6</v>
      </c>
      <c r="K220" s="163">
        <v>0</v>
      </c>
      <c r="L220" s="163">
        <v>1</v>
      </c>
      <c r="M220" s="163">
        <v>4</v>
      </c>
      <c r="N220" s="163">
        <v>704</v>
      </c>
      <c r="O220" s="163">
        <v>0</v>
      </c>
      <c r="P220" s="163">
        <v>9431</v>
      </c>
      <c r="Q220" s="163">
        <v>35126.89</v>
      </c>
      <c r="R220" s="163">
        <v>49.896150568000003</v>
      </c>
      <c r="S220" s="163">
        <v>3.7246198706000002</v>
      </c>
      <c r="T220" s="163">
        <v>13.396306817999999</v>
      </c>
      <c r="U220" s="161">
        <f t="shared" si="7"/>
        <v>1.5239146006724874E-3</v>
      </c>
      <c r="V220" s="161">
        <f t="shared" si="5"/>
        <v>9.6226789534125008E-4</v>
      </c>
    </row>
    <row r="221" spans="2:22">
      <c r="B221" s="163">
        <v>2018</v>
      </c>
      <c r="C221" s="163">
        <v>20030600274</v>
      </c>
      <c r="D221" s="163" t="s">
        <v>406</v>
      </c>
      <c r="E221" s="163" t="s">
        <v>389</v>
      </c>
      <c r="F221" s="163" t="s">
        <v>100</v>
      </c>
      <c r="G221" s="163"/>
      <c r="H221" s="163">
        <v>20</v>
      </c>
      <c r="I221" s="163">
        <v>3</v>
      </c>
      <c r="J221" s="163">
        <v>6</v>
      </c>
      <c r="K221" s="163">
        <v>0</v>
      </c>
      <c r="L221" s="163">
        <v>1</v>
      </c>
      <c r="M221" s="163">
        <v>4</v>
      </c>
      <c r="N221" s="163">
        <v>62</v>
      </c>
      <c r="O221" s="163">
        <v>0</v>
      </c>
      <c r="P221" s="163">
        <v>519</v>
      </c>
      <c r="Q221" s="163">
        <v>6533.16</v>
      </c>
      <c r="R221" s="163">
        <v>105.37354839</v>
      </c>
      <c r="S221" s="163">
        <v>12.587976878999999</v>
      </c>
      <c r="T221" s="163">
        <v>8.3709677418999995</v>
      </c>
      <c r="U221" s="161">
        <f t="shared" si="7"/>
        <v>8.3862970814231879E-5</v>
      </c>
      <c r="V221" s="161">
        <f t="shared" si="5"/>
        <v>5.2954833812120533E-5</v>
      </c>
    </row>
    <row r="222" spans="2:22">
      <c r="B222" s="163">
        <v>2018</v>
      </c>
      <c r="C222" s="163">
        <v>20030600318</v>
      </c>
      <c r="D222" s="163" t="s">
        <v>407</v>
      </c>
      <c r="E222" s="163" t="s">
        <v>389</v>
      </c>
      <c r="F222" s="163" t="s">
        <v>100</v>
      </c>
      <c r="G222" s="163"/>
      <c r="H222" s="163">
        <v>20</v>
      </c>
      <c r="I222" s="163">
        <v>3</v>
      </c>
      <c r="J222" s="163">
        <v>6</v>
      </c>
      <c r="K222" s="163">
        <v>0</v>
      </c>
      <c r="L222" s="163">
        <v>1</v>
      </c>
      <c r="M222" s="163">
        <v>4</v>
      </c>
      <c r="N222" s="163">
        <v>13850</v>
      </c>
      <c r="O222" s="163">
        <v>0</v>
      </c>
      <c r="P222" s="163">
        <v>168291</v>
      </c>
      <c r="Q222" s="163">
        <v>198583.24</v>
      </c>
      <c r="R222" s="163">
        <v>14.338140072</v>
      </c>
      <c r="S222" s="163">
        <v>1.1799991680999999</v>
      </c>
      <c r="T222" s="163">
        <v>12.150974729</v>
      </c>
      <c r="U222" s="161">
        <f t="shared" si="7"/>
        <v>2.7193416611363964E-2</v>
      </c>
      <c r="V222" s="161">
        <f t="shared" si="5"/>
        <v>1.7171140533864312E-2</v>
      </c>
    </row>
    <row r="223" spans="2:22">
      <c r="B223" s="163">
        <v>2018</v>
      </c>
      <c r="C223" s="163">
        <v>20030600319</v>
      </c>
      <c r="D223" s="163" t="s">
        <v>408</v>
      </c>
      <c r="E223" s="163" t="s">
        <v>389</v>
      </c>
      <c r="F223" s="163" t="s">
        <v>100</v>
      </c>
      <c r="G223" s="163"/>
      <c r="H223" s="163">
        <v>20</v>
      </c>
      <c r="I223" s="163">
        <v>3</v>
      </c>
      <c r="J223" s="163">
        <v>6</v>
      </c>
      <c r="K223" s="163">
        <v>0</v>
      </c>
      <c r="L223" s="163">
        <v>1</v>
      </c>
      <c r="M223" s="163">
        <v>4</v>
      </c>
      <c r="N223" s="163">
        <v>6029</v>
      </c>
      <c r="O223" s="163">
        <v>0</v>
      </c>
      <c r="P223" s="163">
        <v>75882</v>
      </c>
      <c r="Q223" s="163">
        <v>127481.76</v>
      </c>
      <c r="R223" s="163">
        <v>21.144760325</v>
      </c>
      <c r="S223" s="163">
        <v>1.68</v>
      </c>
      <c r="T223" s="163">
        <v>12.586166860000001</v>
      </c>
      <c r="U223" s="161">
        <f t="shared" si="7"/>
        <v>1.2261444992920123E-2</v>
      </c>
      <c r="V223" s="161">
        <f t="shared" si="5"/>
        <v>7.7424252395594034E-3</v>
      </c>
    </row>
    <row r="224" spans="2:22">
      <c r="B224" s="163">
        <v>2018</v>
      </c>
      <c r="C224" s="163">
        <v>20030600320</v>
      </c>
      <c r="D224" s="163" t="s">
        <v>409</v>
      </c>
      <c r="E224" s="163" t="s">
        <v>389</v>
      </c>
      <c r="F224" s="163" t="s">
        <v>100</v>
      </c>
      <c r="G224" s="163"/>
      <c r="H224" s="163">
        <v>20</v>
      </c>
      <c r="I224" s="163">
        <v>3</v>
      </c>
      <c r="J224" s="163">
        <v>6</v>
      </c>
      <c r="K224" s="163">
        <v>0</v>
      </c>
      <c r="L224" s="163">
        <v>1</v>
      </c>
      <c r="M224" s="163">
        <v>4</v>
      </c>
      <c r="N224" s="163">
        <v>22337</v>
      </c>
      <c r="O224" s="163">
        <v>0</v>
      </c>
      <c r="P224" s="163">
        <v>285677</v>
      </c>
      <c r="Q224" s="163">
        <v>465653.31</v>
      </c>
      <c r="R224" s="163">
        <v>20.846725612</v>
      </c>
      <c r="S224" s="163">
        <v>1.6299992998999999</v>
      </c>
      <c r="T224" s="163">
        <v>12.789407709000001</v>
      </c>
      <c r="U224" s="161">
        <f t="shared" si="7"/>
        <v>4.6161313898453418E-2</v>
      </c>
      <c r="V224" s="161">
        <f t="shared" si="5"/>
        <v>2.9148319959431904E-2</v>
      </c>
    </row>
    <row r="225" spans="2:22">
      <c r="B225" s="163">
        <v>2018</v>
      </c>
      <c r="C225" s="163">
        <v>20030600321</v>
      </c>
      <c r="D225" s="163" t="s">
        <v>410</v>
      </c>
      <c r="E225" s="163" t="s">
        <v>389</v>
      </c>
      <c r="F225" s="163" t="s">
        <v>100</v>
      </c>
      <c r="G225" s="163"/>
      <c r="H225" s="163">
        <v>20</v>
      </c>
      <c r="I225" s="163">
        <v>3</v>
      </c>
      <c r="J225" s="163">
        <v>6</v>
      </c>
      <c r="K225" s="163">
        <v>0</v>
      </c>
      <c r="L225" s="163">
        <v>1</v>
      </c>
      <c r="M225" s="163">
        <v>4</v>
      </c>
      <c r="N225" s="163">
        <v>3040</v>
      </c>
      <c r="O225" s="163">
        <v>0</v>
      </c>
      <c r="P225" s="163">
        <v>45448</v>
      </c>
      <c r="Q225" s="163">
        <v>97713.2</v>
      </c>
      <c r="R225" s="163">
        <v>32.142499999999998</v>
      </c>
      <c r="S225" s="163">
        <v>2.15</v>
      </c>
      <c r="T225" s="163">
        <v>14.95</v>
      </c>
      <c r="U225" s="161">
        <f t="shared" si="7"/>
        <v>7.3437462380832579E-3</v>
      </c>
      <c r="V225" s="161">
        <f t="shared" si="5"/>
        <v>4.6371701100062701E-3</v>
      </c>
    </row>
    <row r="226" spans="2:22">
      <c r="B226" s="163">
        <v>2018</v>
      </c>
      <c r="C226" s="163">
        <v>20030600322</v>
      </c>
      <c r="D226" s="163" t="s">
        <v>411</v>
      </c>
      <c r="E226" s="163" t="s">
        <v>389</v>
      </c>
      <c r="F226" s="163" t="s">
        <v>100</v>
      </c>
      <c r="G226" s="163"/>
      <c r="H226" s="163">
        <v>20</v>
      </c>
      <c r="I226" s="163">
        <v>3</v>
      </c>
      <c r="J226" s="163">
        <v>6</v>
      </c>
      <c r="K226" s="163">
        <v>0</v>
      </c>
      <c r="L226" s="163">
        <v>1</v>
      </c>
      <c r="M226" s="163">
        <v>4</v>
      </c>
      <c r="N226" s="163">
        <v>941</v>
      </c>
      <c r="O226" s="163">
        <v>0</v>
      </c>
      <c r="P226" s="163">
        <v>15731</v>
      </c>
      <c r="Q226" s="163">
        <v>70789.5</v>
      </c>
      <c r="R226" s="163">
        <v>75.227948990000002</v>
      </c>
      <c r="S226" s="163">
        <v>4.5</v>
      </c>
      <c r="T226" s="163">
        <v>16.717321997999999</v>
      </c>
      <c r="U226" s="161">
        <f t="shared" si="7"/>
        <v>2.5419044198047819E-3</v>
      </c>
      <c r="V226" s="161">
        <f t="shared" si="5"/>
        <v>1.6050722364132333E-3</v>
      </c>
    </row>
    <row r="227" spans="2:22">
      <c r="B227" s="163">
        <v>2018</v>
      </c>
      <c r="C227" s="163">
        <v>20030600323</v>
      </c>
      <c r="D227" s="163" t="s">
        <v>412</v>
      </c>
      <c r="E227" s="163" t="s">
        <v>389</v>
      </c>
      <c r="F227" s="163" t="s">
        <v>100</v>
      </c>
      <c r="G227" s="163"/>
      <c r="H227" s="163">
        <v>20</v>
      </c>
      <c r="I227" s="163">
        <v>3</v>
      </c>
      <c r="J227" s="163">
        <v>6</v>
      </c>
      <c r="K227" s="163">
        <v>0</v>
      </c>
      <c r="L227" s="163">
        <v>1</v>
      </c>
      <c r="M227" s="163">
        <v>4</v>
      </c>
      <c r="N227" s="163">
        <v>3747</v>
      </c>
      <c r="O227" s="163">
        <v>0</v>
      </c>
      <c r="P227" s="163">
        <v>62777</v>
      </c>
      <c r="Q227" s="163">
        <v>47082.75</v>
      </c>
      <c r="R227" s="163">
        <v>12.565452362</v>
      </c>
      <c r="S227" s="163">
        <v>0.75</v>
      </c>
      <c r="T227" s="163">
        <v>16.753936483</v>
      </c>
      <c r="U227" s="161">
        <f t="shared" si="7"/>
        <v>1.0143864583439374E-2</v>
      </c>
      <c r="V227" s="161">
        <f t="shared" si="5"/>
        <v>6.4052901776945875E-3</v>
      </c>
    </row>
    <row r="228" spans="2:22">
      <c r="B228" s="163">
        <v>2018</v>
      </c>
      <c r="C228" s="163">
        <v>20030600330</v>
      </c>
      <c r="D228" s="163" t="s">
        <v>413</v>
      </c>
      <c r="E228" s="163" t="s">
        <v>389</v>
      </c>
      <c r="F228" s="163" t="s">
        <v>100</v>
      </c>
      <c r="G228" s="163"/>
      <c r="H228" s="163">
        <v>20</v>
      </c>
      <c r="I228" s="163">
        <v>3</v>
      </c>
      <c r="J228" s="163">
        <v>6</v>
      </c>
      <c r="K228" s="163">
        <v>0</v>
      </c>
      <c r="L228" s="163">
        <v>1</v>
      </c>
      <c r="M228" s="163">
        <v>4</v>
      </c>
      <c r="N228" s="163">
        <v>6667</v>
      </c>
      <c r="O228" s="163">
        <v>0</v>
      </c>
      <c r="P228" s="163">
        <v>89230</v>
      </c>
      <c r="Q228" s="163">
        <v>100829.82</v>
      </c>
      <c r="R228" s="163">
        <v>15.123716814</v>
      </c>
      <c r="S228" s="163">
        <v>1.1299991034000001</v>
      </c>
      <c r="T228" s="163">
        <v>13.383830808000001</v>
      </c>
      <c r="U228" s="161">
        <f t="shared" si="7"/>
        <v>1.4418290723995975E-2</v>
      </c>
      <c r="V228" s="161">
        <f t="shared" si="5"/>
        <v>9.1043541831512826E-3</v>
      </c>
    </row>
    <row r="229" spans="2:22">
      <c r="B229" s="163">
        <v>2018</v>
      </c>
      <c r="C229" s="163">
        <v>20030600331</v>
      </c>
      <c r="D229" s="163" t="s">
        <v>414</v>
      </c>
      <c r="E229" s="163" t="s">
        <v>389</v>
      </c>
      <c r="F229" s="163" t="s">
        <v>100</v>
      </c>
      <c r="G229" s="163"/>
      <c r="H229" s="163">
        <v>20</v>
      </c>
      <c r="I229" s="163">
        <v>3</v>
      </c>
      <c r="J229" s="163">
        <v>6</v>
      </c>
      <c r="K229" s="163">
        <v>0</v>
      </c>
      <c r="L229" s="163">
        <v>1</v>
      </c>
      <c r="M229" s="163">
        <v>4</v>
      </c>
      <c r="N229" s="163">
        <v>1022</v>
      </c>
      <c r="O229" s="163">
        <v>0</v>
      </c>
      <c r="P229" s="163">
        <v>15553</v>
      </c>
      <c r="Q229" s="163">
        <v>60967.76</v>
      </c>
      <c r="R229" s="163">
        <v>59.655342466</v>
      </c>
      <c r="S229" s="163">
        <v>3.92</v>
      </c>
      <c r="T229" s="163">
        <v>15.218199608999999</v>
      </c>
      <c r="U229" s="161">
        <f t="shared" si="7"/>
        <v>2.513142167772155E-3</v>
      </c>
      <c r="V229" s="161">
        <f t="shared" si="5"/>
        <v>1.5869104629670726E-3</v>
      </c>
    </row>
    <row r="230" spans="2:22">
      <c r="B230" s="163">
        <v>2018</v>
      </c>
      <c r="C230" s="163">
        <v>20030600333</v>
      </c>
      <c r="D230" s="163" t="s">
        <v>415</v>
      </c>
      <c r="E230" s="163" t="s">
        <v>389</v>
      </c>
      <c r="F230" s="163" t="s">
        <v>100</v>
      </c>
      <c r="G230" s="163"/>
      <c r="H230" s="163">
        <v>20</v>
      </c>
      <c r="I230" s="163">
        <v>3</v>
      </c>
      <c r="J230" s="163">
        <v>6</v>
      </c>
      <c r="K230" s="163">
        <v>0</v>
      </c>
      <c r="L230" s="163">
        <v>1</v>
      </c>
      <c r="M230" s="163">
        <v>4</v>
      </c>
      <c r="N230" s="163">
        <v>1010</v>
      </c>
      <c r="O230" s="163">
        <v>0</v>
      </c>
      <c r="P230" s="163">
        <v>12354</v>
      </c>
      <c r="Q230" s="163">
        <v>28908.36</v>
      </c>
      <c r="R230" s="163">
        <v>28.622138614000001</v>
      </c>
      <c r="S230" s="163">
        <v>2.34</v>
      </c>
      <c r="T230" s="163">
        <v>12.231683168</v>
      </c>
      <c r="U230" s="161">
        <f t="shared" si="7"/>
        <v>1.9962295596127567E-3</v>
      </c>
      <c r="V230" s="161">
        <f t="shared" si="5"/>
        <v>1.2605087031116321E-3</v>
      </c>
    </row>
    <row r="231" spans="2:22">
      <c r="B231" s="163">
        <v>2018</v>
      </c>
      <c r="C231" s="163">
        <v>20030600335</v>
      </c>
      <c r="D231" s="163" t="s">
        <v>416</v>
      </c>
      <c r="E231" s="163" t="s">
        <v>389</v>
      </c>
      <c r="F231" s="163" t="s">
        <v>100</v>
      </c>
      <c r="G231" s="163"/>
      <c r="H231" s="163">
        <v>20</v>
      </c>
      <c r="I231" s="163">
        <v>3</v>
      </c>
      <c r="J231" s="163">
        <v>6</v>
      </c>
      <c r="K231" s="163">
        <v>0</v>
      </c>
      <c r="L231" s="163">
        <v>1</v>
      </c>
      <c r="M231" s="163">
        <v>4</v>
      </c>
      <c r="N231" s="163">
        <v>2752</v>
      </c>
      <c r="O231" s="163">
        <v>0</v>
      </c>
      <c r="P231" s="163">
        <v>31836</v>
      </c>
      <c r="Q231" s="163">
        <v>110789.28</v>
      </c>
      <c r="R231" s="163">
        <v>40.257732558000001</v>
      </c>
      <c r="S231" s="163">
        <v>3.48</v>
      </c>
      <c r="T231" s="163">
        <v>11.568313953000001</v>
      </c>
      <c r="U231" s="161">
        <f t="shared" si="7"/>
        <v>5.1442418860151952E-3</v>
      </c>
      <c r="V231" s="161">
        <f t="shared" si="5"/>
        <v>3.2483046035504228E-3</v>
      </c>
    </row>
    <row r="232" spans="2:22">
      <c r="B232" s="163">
        <v>2018</v>
      </c>
      <c r="C232" s="163">
        <v>20030600336</v>
      </c>
      <c r="D232" s="163" t="s">
        <v>417</v>
      </c>
      <c r="E232" s="163" t="s">
        <v>389</v>
      </c>
      <c r="F232" s="163" t="s">
        <v>100</v>
      </c>
      <c r="G232" s="163"/>
      <c r="H232" s="163">
        <v>20</v>
      </c>
      <c r="I232" s="163">
        <v>3</v>
      </c>
      <c r="J232" s="163">
        <v>6</v>
      </c>
      <c r="K232" s="163">
        <v>0</v>
      </c>
      <c r="L232" s="163">
        <v>1</v>
      </c>
      <c r="M232" s="163">
        <v>4</v>
      </c>
      <c r="N232" s="163">
        <v>957</v>
      </c>
      <c r="O232" s="163">
        <v>0</v>
      </c>
      <c r="P232" s="163">
        <v>33280</v>
      </c>
      <c r="Q232" s="163">
        <v>48588.800000000003</v>
      </c>
      <c r="R232" s="163">
        <v>50.771995820000001</v>
      </c>
      <c r="S232" s="163">
        <v>1.46</v>
      </c>
      <c r="T232" s="163">
        <v>34.775339602999999</v>
      </c>
      <c r="U232" s="161">
        <f t="shared" si="7"/>
        <v>5.3775716159877402E-3</v>
      </c>
      <c r="V232" s="161">
        <f t="shared" si="5"/>
        <v>3.3956394398215249E-3</v>
      </c>
    </row>
    <row r="233" spans="2:22">
      <c r="B233" s="163">
        <v>2018</v>
      </c>
      <c r="C233" s="163">
        <v>20030600340</v>
      </c>
      <c r="D233" s="163" t="s">
        <v>418</v>
      </c>
      <c r="E233" s="163" t="s">
        <v>389</v>
      </c>
      <c r="F233" s="163" t="s">
        <v>100</v>
      </c>
      <c r="G233" s="163"/>
      <c r="H233" s="163">
        <v>20</v>
      </c>
      <c r="I233" s="163">
        <v>3</v>
      </c>
      <c r="J233" s="163">
        <v>6</v>
      </c>
      <c r="K233" s="163">
        <v>0</v>
      </c>
      <c r="L233" s="163">
        <v>1</v>
      </c>
      <c r="M233" s="163">
        <v>4</v>
      </c>
      <c r="N233" s="163">
        <v>6965</v>
      </c>
      <c r="O233" s="163">
        <v>0</v>
      </c>
      <c r="P233" s="163">
        <v>102743</v>
      </c>
      <c r="Q233" s="163">
        <v>365244.81</v>
      </c>
      <c r="R233" s="163">
        <v>52.440030151000002</v>
      </c>
      <c r="S233" s="163">
        <v>3.5549362000000002</v>
      </c>
      <c r="T233" s="163">
        <v>14.751328068999999</v>
      </c>
      <c r="U233" s="161">
        <f t="shared" si="7"/>
        <v>1.6601798093191959E-2</v>
      </c>
      <c r="V233" s="161">
        <f t="shared" si="5"/>
        <v>1.0483118478533142E-2</v>
      </c>
    </row>
    <row r="234" spans="2:22">
      <c r="B234" s="163">
        <v>2018</v>
      </c>
      <c r="C234" s="163">
        <v>20030600341</v>
      </c>
      <c r="D234" s="163" t="s">
        <v>419</v>
      </c>
      <c r="E234" s="163" t="s">
        <v>389</v>
      </c>
      <c r="F234" s="163" t="s">
        <v>100</v>
      </c>
      <c r="G234" s="163"/>
      <c r="H234" s="163">
        <v>20</v>
      </c>
      <c r="I234" s="163">
        <v>3</v>
      </c>
      <c r="J234" s="163">
        <v>6</v>
      </c>
      <c r="K234" s="163">
        <v>0</v>
      </c>
      <c r="L234" s="163">
        <v>1</v>
      </c>
      <c r="M234" s="163">
        <v>4</v>
      </c>
      <c r="N234" s="163">
        <v>82506</v>
      </c>
      <c r="O234" s="163">
        <v>0</v>
      </c>
      <c r="P234" s="163">
        <v>1085823</v>
      </c>
      <c r="Q234" s="163">
        <v>2595116.4</v>
      </c>
      <c r="R234" s="163">
        <v>31.453668824000001</v>
      </c>
      <c r="S234" s="163">
        <v>2.3899994751000002</v>
      </c>
      <c r="T234" s="163">
        <v>13.160533779</v>
      </c>
      <c r="U234" s="161">
        <f t="shared" si="7"/>
        <v>0.17545345386979136</v>
      </c>
      <c r="V234" s="161">
        <f t="shared" si="5"/>
        <v>0.11078916476758797</v>
      </c>
    </row>
    <row r="235" spans="2:22">
      <c r="B235" s="163">
        <v>2018</v>
      </c>
      <c r="C235" s="163">
        <v>20030600342</v>
      </c>
      <c r="D235" s="163" t="s">
        <v>420</v>
      </c>
      <c r="E235" s="163" t="s">
        <v>389</v>
      </c>
      <c r="F235" s="163" t="s">
        <v>100</v>
      </c>
      <c r="G235" s="163"/>
      <c r="H235" s="163">
        <v>20</v>
      </c>
      <c r="I235" s="163">
        <v>3</v>
      </c>
      <c r="J235" s="163">
        <v>6</v>
      </c>
      <c r="K235" s="163">
        <v>0</v>
      </c>
      <c r="L235" s="163">
        <v>1</v>
      </c>
      <c r="M235" s="163">
        <v>4</v>
      </c>
      <c r="N235" s="163">
        <v>18091</v>
      </c>
      <c r="O235" s="163">
        <v>0</v>
      </c>
      <c r="P235" s="163">
        <v>244715</v>
      </c>
      <c r="Q235" s="163">
        <v>1042536.08</v>
      </c>
      <c r="R235" s="163">
        <v>57.627332928000001</v>
      </c>
      <c r="S235" s="163">
        <v>4.2602050549000001</v>
      </c>
      <c r="T235" s="163">
        <v>13.526891825</v>
      </c>
      <c r="U235" s="161">
        <f t="shared" si="7"/>
        <v>3.9542441045866579E-2</v>
      </c>
      <c r="V235" s="161">
        <f t="shared" si="5"/>
        <v>2.4968867353242923E-2</v>
      </c>
    </row>
    <row r="236" spans="2:22">
      <c r="B236" s="163">
        <v>2018</v>
      </c>
      <c r="C236" s="163">
        <v>20030600343</v>
      </c>
      <c r="D236" s="163" t="s">
        <v>421</v>
      </c>
      <c r="E236" s="163" t="s">
        <v>389</v>
      </c>
      <c r="F236" s="163" t="s">
        <v>100</v>
      </c>
      <c r="G236" s="163"/>
      <c r="H236" s="163">
        <v>20</v>
      </c>
      <c r="I236" s="163">
        <v>3</v>
      </c>
      <c r="J236" s="163">
        <v>6</v>
      </c>
      <c r="K236" s="163">
        <v>0</v>
      </c>
      <c r="L236" s="163">
        <v>1</v>
      </c>
      <c r="M236" s="163">
        <v>4</v>
      </c>
      <c r="N236" s="163">
        <v>5497</v>
      </c>
      <c r="O236" s="163">
        <v>0</v>
      </c>
      <c r="P236" s="163">
        <v>82701</v>
      </c>
      <c r="Q236" s="163">
        <v>577635.81000000006</v>
      </c>
      <c r="R236" s="163">
        <v>105.08201019000001</v>
      </c>
      <c r="S236" s="163">
        <v>6.9846290854999999</v>
      </c>
      <c r="T236" s="163">
        <v>15.044751682999999</v>
      </c>
      <c r="U236" s="161">
        <f t="shared" si="7"/>
        <v>1.336329778286665E-2</v>
      </c>
      <c r="V236" s="161">
        <f t="shared" si="5"/>
        <v>8.4381844144435069E-3</v>
      </c>
    </row>
    <row r="237" spans="2:22">
      <c r="B237" s="163">
        <v>2018</v>
      </c>
      <c r="C237" s="163">
        <v>20030600344</v>
      </c>
      <c r="D237" s="163" t="s">
        <v>422</v>
      </c>
      <c r="E237" s="163" t="s">
        <v>389</v>
      </c>
      <c r="F237" s="163" t="s">
        <v>100</v>
      </c>
      <c r="G237" s="163"/>
      <c r="H237" s="163">
        <v>20</v>
      </c>
      <c r="I237" s="163">
        <v>3</v>
      </c>
      <c r="J237" s="163">
        <v>6</v>
      </c>
      <c r="K237" s="163">
        <v>0</v>
      </c>
      <c r="L237" s="163">
        <v>1</v>
      </c>
      <c r="M237" s="163">
        <v>4</v>
      </c>
      <c r="N237" s="163">
        <v>5147</v>
      </c>
      <c r="O237" s="163">
        <v>0</v>
      </c>
      <c r="P237" s="163">
        <v>64839</v>
      </c>
      <c r="Q237" s="163">
        <v>274553.21999999997</v>
      </c>
      <c r="R237" s="163">
        <v>53.342378084000003</v>
      </c>
      <c r="S237" s="163">
        <v>4.2343839356000004</v>
      </c>
      <c r="T237" s="163">
        <v>12.597435399</v>
      </c>
      <c r="U237" s="161">
        <f t="shared" si="7"/>
        <v>1.047705426709823E-2</v>
      </c>
      <c r="V237" s="161">
        <f t="shared" si="5"/>
        <v>6.6156810588517984E-3</v>
      </c>
    </row>
    <row r="238" spans="2:22">
      <c r="B238" s="163">
        <v>2018</v>
      </c>
      <c r="C238" s="163">
        <v>20030600345</v>
      </c>
      <c r="D238" s="163" t="s">
        <v>423</v>
      </c>
      <c r="E238" s="163" t="s">
        <v>389</v>
      </c>
      <c r="F238" s="163" t="s">
        <v>100</v>
      </c>
      <c r="G238" s="163"/>
      <c r="H238" s="163">
        <v>20</v>
      </c>
      <c r="I238" s="163">
        <v>3</v>
      </c>
      <c r="J238" s="163">
        <v>6</v>
      </c>
      <c r="K238" s="163">
        <v>0</v>
      </c>
      <c r="L238" s="163">
        <v>1</v>
      </c>
      <c r="M238" s="163">
        <v>4</v>
      </c>
      <c r="N238" s="163">
        <v>29676</v>
      </c>
      <c r="O238" s="163">
        <v>0</v>
      </c>
      <c r="P238" s="163">
        <v>356837</v>
      </c>
      <c r="Q238" s="163">
        <v>522789.81</v>
      </c>
      <c r="R238" s="163">
        <v>17.616586130000002</v>
      </c>
      <c r="S238" s="163">
        <v>1.4650661507</v>
      </c>
      <c r="T238" s="163">
        <v>12.024430516000001</v>
      </c>
      <c r="U238" s="161">
        <f t="shared" si="7"/>
        <v>5.7659751284081046E-2</v>
      </c>
      <c r="V238" s="161">
        <f t="shared" si="5"/>
        <v>3.6408948040492592E-2</v>
      </c>
    </row>
    <row r="239" spans="2:22">
      <c r="B239" s="163">
        <v>2018</v>
      </c>
      <c r="C239" s="163">
        <v>20030600346</v>
      </c>
      <c r="D239" s="163" t="s">
        <v>424</v>
      </c>
      <c r="E239" s="163" t="s">
        <v>389</v>
      </c>
      <c r="F239" s="163" t="s">
        <v>100</v>
      </c>
      <c r="G239" s="163"/>
      <c r="H239" s="163">
        <v>20</v>
      </c>
      <c r="I239" s="163">
        <v>3</v>
      </c>
      <c r="J239" s="163">
        <v>6</v>
      </c>
      <c r="K239" s="163">
        <v>0</v>
      </c>
      <c r="L239" s="163">
        <v>1</v>
      </c>
      <c r="M239" s="163">
        <v>4</v>
      </c>
      <c r="N239" s="163">
        <v>2962</v>
      </c>
      <c r="O239" s="163">
        <v>0</v>
      </c>
      <c r="P239" s="163">
        <v>35185</v>
      </c>
      <c r="Q239" s="163">
        <v>60329.919999999998</v>
      </c>
      <c r="R239" s="163">
        <v>20.367967588999999</v>
      </c>
      <c r="S239" s="163">
        <v>1.7146488559999999</v>
      </c>
      <c r="T239" s="163">
        <v>11.878798109</v>
      </c>
      <c r="U239" s="161">
        <f t="shared" si="7"/>
        <v>5.685392347011077E-3</v>
      </c>
      <c r="V239" s="161">
        <f t="shared" si="5"/>
        <v>3.5900112286694819E-3</v>
      </c>
    </row>
    <row r="240" spans="2:22">
      <c r="B240" s="163">
        <v>2018</v>
      </c>
      <c r="C240" s="163">
        <v>20030600347</v>
      </c>
      <c r="D240" s="163" t="s">
        <v>425</v>
      </c>
      <c r="E240" s="163" t="s">
        <v>389</v>
      </c>
      <c r="F240" s="163" t="s">
        <v>100</v>
      </c>
      <c r="G240" s="163"/>
      <c r="H240" s="163">
        <v>20</v>
      </c>
      <c r="I240" s="163">
        <v>3</v>
      </c>
      <c r="J240" s="163">
        <v>6</v>
      </c>
      <c r="K240" s="163">
        <v>0</v>
      </c>
      <c r="L240" s="163">
        <v>1</v>
      </c>
      <c r="M240" s="163">
        <v>4</v>
      </c>
      <c r="N240" s="163">
        <v>3</v>
      </c>
      <c r="O240" s="163">
        <v>0</v>
      </c>
      <c r="P240" s="163">
        <v>12</v>
      </c>
      <c r="Q240" s="163">
        <v>14.64</v>
      </c>
      <c r="R240" s="163">
        <v>4.88</v>
      </c>
      <c r="S240" s="163">
        <v>1.22</v>
      </c>
      <c r="T240" s="163">
        <v>4</v>
      </c>
      <c r="U240" s="161">
        <f t="shared" si="7"/>
        <v>1.9390282269186565E-6</v>
      </c>
      <c r="V240" s="161">
        <f t="shared" si="5"/>
        <v>1.224389221089492E-6</v>
      </c>
    </row>
    <row r="241" spans="2:22">
      <c r="B241" s="163">
        <v>2018</v>
      </c>
      <c r="C241" s="163">
        <v>20030600348</v>
      </c>
      <c r="D241" s="163" t="s">
        <v>426</v>
      </c>
      <c r="E241" s="163" t="s">
        <v>389</v>
      </c>
      <c r="F241" s="163" t="s">
        <v>100</v>
      </c>
      <c r="G241" s="163"/>
      <c r="H241" s="163">
        <v>20</v>
      </c>
      <c r="I241" s="163">
        <v>3</v>
      </c>
      <c r="J241" s="163">
        <v>6</v>
      </c>
      <c r="K241" s="163">
        <v>0</v>
      </c>
      <c r="L241" s="163">
        <v>1</v>
      </c>
      <c r="M241" s="163">
        <v>4</v>
      </c>
      <c r="N241" s="163">
        <v>3</v>
      </c>
      <c r="O241" s="163">
        <v>0</v>
      </c>
      <c r="P241" s="163">
        <v>25</v>
      </c>
      <c r="Q241" s="163">
        <v>47.25</v>
      </c>
      <c r="R241" s="163">
        <v>15.75</v>
      </c>
      <c r="S241" s="163">
        <v>1.89</v>
      </c>
      <c r="T241" s="163">
        <v>8.3333333333000006</v>
      </c>
      <c r="U241" s="161">
        <f t="shared" si="7"/>
        <v>4.039642139413867E-6</v>
      </c>
      <c r="V241" s="161">
        <f t="shared" si="5"/>
        <v>2.5508108772697751E-6</v>
      </c>
    </row>
    <row r="242" spans="2:22">
      <c r="B242" s="163">
        <v>2018</v>
      </c>
      <c r="C242" s="163">
        <v>20030600349</v>
      </c>
      <c r="D242" s="163" t="s">
        <v>427</v>
      </c>
      <c r="E242" s="163" t="s">
        <v>389</v>
      </c>
      <c r="F242" s="163" t="s">
        <v>100</v>
      </c>
      <c r="G242" s="163"/>
      <c r="H242" s="163">
        <v>20</v>
      </c>
      <c r="I242" s="163">
        <v>3</v>
      </c>
      <c r="J242" s="163">
        <v>6</v>
      </c>
      <c r="K242" s="163">
        <v>0</v>
      </c>
      <c r="L242" s="163">
        <v>1</v>
      </c>
      <c r="M242" s="163">
        <v>4</v>
      </c>
      <c r="N242" s="163">
        <v>1</v>
      </c>
      <c r="O242" s="163">
        <v>0</v>
      </c>
      <c r="P242" s="163">
        <v>20</v>
      </c>
      <c r="Q242" s="163">
        <v>67.599999999999994</v>
      </c>
      <c r="R242" s="163">
        <v>67.599999999999994</v>
      </c>
      <c r="S242" s="163">
        <v>3.38</v>
      </c>
      <c r="T242" s="163">
        <v>20</v>
      </c>
      <c r="U242" s="161">
        <f t="shared" si="7"/>
        <v>3.2317137115310937E-6</v>
      </c>
      <c r="V242" s="161">
        <f t="shared" si="5"/>
        <v>2.0406487018158202E-6</v>
      </c>
    </row>
    <row r="243" spans="2:22">
      <c r="B243" s="163">
        <v>2018</v>
      </c>
      <c r="C243" s="163">
        <v>20030600356</v>
      </c>
      <c r="D243" s="163" t="s">
        <v>428</v>
      </c>
      <c r="E243" s="163" t="s">
        <v>389</v>
      </c>
      <c r="F243" s="163" t="s">
        <v>100</v>
      </c>
      <c r="G243" s="163"/>
      <c r="H243" s="163">
        <v>20</v>
      </c>
      <c r="I243" s="163">
        <v>3</v>
      </c>
      <c r="J243" s="163">
        <v>6</v>
      </c>
      <c r="K243" s="163">
        <v>0</v>
      </c>
      <c r="L243" s="163">
        <v>1</v>
      </c>
      <c r="M243" s="163">
        <v>4</v>
      </c>
      <c r="N243" s="163">
        <v>13</v>
      </c>
      <c r="O243" s="163">
        <v>0</v>
      </c>
      <c r="P243" s="163">
        <v>236</v>
      </c>
      <c r="Q243" s="163">
        <v>837.5</v>
      </c>
      <c r="R243" s="163">
        <v>64.423076922999996</v>
      </c>
      <c r="S243" s="163">
        <v>3.5487288135999999</v>
      </c>
      <c r="T243" s="163">
        <v>18.153846154</v>
      </c>
      <c r="U243" s="161">
        <f t="shared" si="7"/>
        <v>3.8134221796066909E-5</v>
      </c>
      <c r="V243" s="161">
        <f t="shared" si="5"/>
        <v>2.407965468142668E-5</v>
      </c>
    </row>
    <row r="244" spans="2:22">
      <c r="B244" s="163">
        <v>2018</v>
      </c>
      <c r="C244" s="163">
        <v>20030600357</v>
      </c>
      <c r="D244" s="163" t="s">
        <v>429</v>
      </c>
      <c r="E244" s="163" t="s">
        <v>389</v>
      </c>
      <c r="F244" s="163" t="s">
        <v>100</v>
      </c>
      <c r="G244" s="163"/>
      <c r="H244" s="163">
        <v>20</v>
      </c>
      <c r="I244" s="163">
        <v>3</v>
      </c>
      <c r="J244" s="163">
        <v>6</v>
      </c>
      <c r="K244" s="163">
        <v>0</v>
      </c>
      <c r="L244" s="163">
        <v>1</v>
      </c>
      <c r="M244" s="163">
        <v>4</v>
      </c>
      <c r="N244" s="163">
        <v>3</v>
      </c>
      <c r="O244" s="163">
        <v>0</v>
      </c>
      <c r="P244" s="163">
        <v>70</v>
      </c>
      <c r="Q244" s="163">
        <v>360.5</v>
      </c>
      <c r="R244" s="163">
        <v>120.16666667</v>
      </c>
      <c r="S244" s="163">
        <v>5.15</v>
      </c>
      <c r="T244" s="163">
        <v>23.333333332999999</v>
      </c>
      <c r="U244" s="161">
        <f t="shared" si="7"/>
        <v>1.1310997990358829E-5</v>
      </c>
      <c r="V244" s="161">
        <f t="shared" si="5"/>
        <v>7.1422704563553707E-6</v>
      </c>
    </row>
    <row r="245" spans="2:22">
      <c r="B245" s="163">
        <v>2018</v>
      </c>
      <c r="C245" s="163">
        <v>20030600358</v>
      </c>
      <c r="D245" s="163" t="s">
        <v>430</v>
      </c>
      <c r="E245" s="163" t="s">
        <v>389</v>
      </c>
      <c r="F245" s="163" t="s">
        <v>100</v>
      </c>
      <c r="G245" s="163"/>
      <c r="H245" s="163">
        <v>20</v>
      </c>
      <c r="I245" s="163">
        <v>3</v>
      </c>
      <c r="J245" s="163">
        <v>6</v>
      </c>
      <c r="K245" s="163">
        <v>0</v>
      </c>
      <c r="L245" s="163">
        <v>1</v>
      </c>
      <c r="M245" s="163">
        <v>4</v>
      </c>
      <c r="N245" s="163">
        <v>3</v>
      </c>
      <c r="O245" s="163">
        <v>0</v>
      </c>
      <c r="P245" s="163">
        <v>40</v>
      </c>
      <c r="Q245" s="163">
        <v>136.80000000000001</v>
      </c>
      <c r="R245" s="163">
        <v>45.6</v>
      </c>
      <c r="S245" s="163">
        <v>3.42</v>
      </c>
      <c r="T245" s="163">
        <v>13.333333333000001</v>
      </c>
      <c r="U245" s="161">
        <f t="shared" si="7"/>
        <v>6.4634274230621873E-6</v>
      </c>
      <c r="V245" s="161">
        <f t="shared" si="5"/>
        <v>4.0812974036316403E-6</v>
      </c>
    </row>
    <row r="246" spans="2:22">
      <c r="B246" s="163">
        <v>2018</v>
      </c>
      <c r="C246" s="163">
        <v>20030600359</v>
      </c>
      <c r="D246" s="163" t="s">
        <v>431</v>
      </c>
      <c r="E246" s="163" t="s">
        <v>389</v>
      </c>
      <c r="F246" s="163" t="s">
        <v>100</v>
      </c>
      <c r="G246" s="163"/>
      <c r="H246" s="163">
        <v>20</v>
      </c>
      <c r="I246" s="163">
        <v>3</v>
      </c>
      <c r="J246" s="163">
        <v>6</v>
      </c>
      <c r="K246" s="163">
        <v>0</v>
      </c>
      <c r="L246" s="163">
        <v>1</v>
      </c>
      <c r="M246" s="163">
        <v>4</v>
      </c>
      <c r="N246" s="163">
        <v>49</v>
      </c>
      <c r="O246" s="163">
        <v>0</v>
      </c>
      <c r="P246" s="163">
        <v>953</v>
      </c>
      <c r="Q246" s="163">
        <v>1086.42</v>
      </c>
      <c r="R246" s="163">
        <v>22.171836734999999</v>
      </c>
      <c r="S246" s="163">
        <v>1.1399999999999999</v>
      </c>
      <c r="T246" s="163">
        <v>19.448979592000001</v>
      </c>
      <c r="U246" s="161">
        <f t="shared" si="7"/>
        <v>1.5399115835445663E-4</v>
      </c>
      <c r="V246" s="161">
        <f t="shared" si="5"/>
        <v>9.7236910641523833E-5</v>
      </c>
    </row>
    <row r="247" spans="2:22">
      <c r="B247" s="163">
        <v>2018</v>
      </c>
      <c r="C247" s="163">
        <v>20030600363</v>
      </c>
      <c r="D247" s="163" t="s">
        <v>432</v>
      </c>
      <c r="E247" s="163" t="s">
        <v>389</v>
      </c>
      <c r="F247" s="163" t="s">
        <v>100</v>
      </c>
      <c r="G247" s="163"/>
      <c r="H247" s="163">
        <v>20</v>
      </c>
      <c r="I247" s="163">
        <v>3</v>
      </c>
      <c r="J247" s="163">
        <v>6</v>
      </c>
      <c r="K247" s="163">
        <v>0</v>
      </c>
      <c r="L247" s="163">
        <v>1</v>
      </c>
      <c r="M247" s="163">
        <v>4</v>
      </c>
      <c r="N247" s="163">
        <v>14</v>
      </c>
      <c r="O247" s="163">
        <v>0</v>
      </c>
      <c r="P247" s="163">
        <v>545</v>
      </c>
      <c r="Q247" s="163">
        <v>607.6</v>
      </c>
      <c r="R247" s="163">
        <v>43.4</v>
      </c>
      <c r="S247" s="163">
        <v>1.1148623852999999</v>
      </c>
      <c r="T247" s="163">
        <v>38.928571429000002</v>
      </c>
      <c r="U247" s="161">
        <f t="shared" si="7"/>
        <v>8.8064198639222302E-5</v>
      </c>
      <c r="V247" s="161">
        <f t="shared" si="5"/>
        <v>5.5607677124481104E-5</v>
      </c>
    </row>
    <row r="248" spans="2:22">
      <c r="B248" s="163">
        <v>2018</v>
      </c>
      <c r="C248" s="163">
        <v>20030600364</v>
      </c>
      <c r="D248" s="163" t="s">
        <v>433</v>
      </c>
      <c r="E248" s="163" t="s">
        <v>389</v>
      </c>
      <c r="F248" s="163" t="s">
        <v>100</v>
      </c>
      <c r="G248" s="163"/>
      <c r="H248" s="163">
        <v>20</v>
      </c>
      <c r="I248" s="163">
        <v>3</v>
      </c>
      <c r="J248" s="163">
        <v>6</v>
      </c>
      <c r="K248" s="163">
        <v>0</v>
      </c>
      <c r="L248" s="163">
        <v>1</v>
      </c>
      <c r="M248" s="163">
        <v>4</v>
      </c>
      <c r="N248" s="163">
        <v>162</v>
      </c>
      <c r="O248" s="163">
        <v>0</v>
      </c>
      <c r="P248" s="163">
        <v>6370</v>
      </c>
      <c r="Q248" s="163">
        <v>8130.28</v>
      </c>
      <c r="R248" s="163">
        <v>50.186913580000002</v>
      </c>
      <c r="S248" s="163">
        <v>1.2763390895</v>
      </c>
      <c r="T248" s="163">
        <v>39.320987654</v>
      </c>
      <c r="U248" s="161">
        <f t="shared" si="7"/>
        <v>1.0293008171226533E-3</v>
      </c>
      <c r="V248" s="161">
        <f t="shared" si="5"/>
        <v>6.499466115283387E-4</v>
      </c>
    </row>
    <row r="249" spans="2:22">
      <c r="B249" s="163">
        <v>2018</v>
      </c>
      <c r="C249" s="163">
        <v>20030600365</v>
      </c>
      <c r="D249" s="163" t="s">
        <v>434</v>
      </c>
      <c r="E249" s="163" t="s">
        <v>389</v>
      </c>
      <c r="F249" s="163" t="s">
        <v>100</v>
      </c>
      <c r="G249" s="163"/>
      <c r="H249" s="163">
        <v>20</v>
      </c>
      <c r="I249" s="163">
        <v>3</v>
      </c>
      <c r="J249" s="163">
        <v>6</v>
      </c>
      <c r="K249" s="163">
        <v>0</v>
      </c>
      <c r="L249" s="163">
        <v>1</v>
      </c>
      <c r="M249" s="163">
        <v>4</v>
      </c>
      <c r="N249" s="163">
        <v>9</v>
      </c>
      <c r="O249" s="163">
        <v>0</v>
      </c>
      <c r="P249" s="163">
        <v>90</v>
      </c>
      <c r="Q249" s="163">
        <v>194.5</v>
      </c>
      <c r="R249" s="163">
        <v>21.611111111</v>
      </c>
      <c r="S249" s="163">
        <v>2.1611111110999999</v>
      </c>
      <c r="T249" s="163">
        <v>10</v>
      </c>
      <c r="U249" s="161">
        <f t="shared" si="7"/>
        <v>1.4542711701889922E-5</v>
      </c>
      <c r="V249" s="161">
        <f t="shared" si="5"/>
        <v>9.1829191581711905E-6</v>
      </c>
    </row>
    <row r="250" spans="2:22">
      <c r="B250" s="163">
        <v>2018</v>
      </c>
      <c r="C250" s="163">
        <v>20030600367</v>
      </c>
      <c r="D250" s="163" t="s">
        <v>435</v>
      </c>
      <c r="E250" s="163" t="s">
        <v>389</v>
      </c>
      <c r="F250" s="163" t="s">
        <v>100</v>
      </c>
      <c r="G250" s="163"/>
      <c r="H250" s="163">
        <v>20</v>
      </c>
      <c r="I250" s="163">
        <v>3</v>
      </c>
      <c r="J250" s="163">
        <v>6</v>
      </c>
      <c r="K250" s="163">
        <v>0</v>
      </c>
      <c r="L250" s="163">
        <v>1</v>
      </c>
      <c r="M250" s="163">
        <v>4</v>
      </c>
      <c r="N250" s="163">
        <v>1</v>
      </c>
      <c r="O250" s="163">
        <v>0</v>
      </c>
      <c r="P250" s="163">
        <v>6</v>
      </c>
      <c r="Q250" s="163">
        <v>37.5</v>
      </c>
      <c r="R250" s="163">
        <v>37.5</v>
      </c>
      <c r="S250" s="163">
        <v>6.25</v>
      </c>
      <c r="T250" s="163">
        <v>6</v>
      </c>
      <c r="U250" s="161">
        <f t="shared" si="7"/>
        <v>9.6951411345932823E-7</v>
      </c>
      <c r="V250" s="161">
        <f t="shared" si="5"/>
        <v>6.1219461054474602E-7</v>
      </c>
    </row>
    <row r="251" spans="2:22">
      <c r="B251" s="163">
        <v>2018</v>
      </c>
      <c r="C251" s="163">
        <v>20030600370</v>
      </c>
      <c r="D251" s="163" t="s">
        <v>436</v>
      </c>
      <c r="E251" s="163" t="s">
        <v>389</v>
      </c>
      <c r="F251" s="163" t="s">
        <v>100</v>
      </c>
      <c r="G251" s="163"/>
      <c r="H251" s="163">
        <v>20</v>
      </c>
      <c r="I251" s="163">
        <v>3</v>
      </c>
      <c r="J251" s="163">
        <v>6</v>
      </c>
      <c r="K251" s="163">
        <v>0</v>
      </c>
      <c r="L251" s="163">
        <v>1</v>
      </c>
      <c r="M251" s="163">
        <v>4</v>
      </c>
      <c r="N251" s="163">
        <v>1</v>
      </c>
      <c r="O251" s="163">
        <v>0</v>
      </c>
      <c r="P251" s="163">
        <v>10</v>
      </c>
      <c r="Q251" s="163">
        <v>40.9</v>
      </c>
      <c r="R251" s="163">
        <v>40.9</v>
      </c>
      <c r="S251" s="163">
        <v>4.09</v>
      </c>
      <c r="T251" s="163">
        <v>10</v>
      </c>
      <c r="U251" s="161">
        <f t="shared" si="7"/>
        <v>1.6158568557655468E-6</v>
      </c>
      <c r="V251" s="161">
        <f t="shared" si="5"/>
        <v>1.0203243509079101E-6</v>
      </c>
    </row>
    <row r="252" spans="2:22">
      <c r="B252" s="163">
        <v>2018</v>
      </c>
      <c r="C252" s="163">
        <v>20030600372</v>
      </c>
      <c r="D252" s="163" t="s">
        <v>437</v>
      </c>
      <c r="E252" s="163" t="s">
        <v>389</v>
      </c>
      <c r="F252" s="163" t="s">
        <v>100</v>
      </c>
      <c r="G252" s="163"/>
      <c r="H252" s="163">
        <v>20</v>
      </c>
      <c r="I252" s="163">
        <v>3</v>
      </c>
      <c r="J252" s="163">
        <v>6</v>
      </c>
      <c r="K252" s="163">
        <v>0</v>
      </c>
      <c r="L252" s="163">
        <v>1</v>
      </c>
      <c r="M252" s="163">
        <v>4</v>
      </c>
      <c r="N252" s="163">
        <v>1</v>
      </c>
      <c r="O252" s="163">
        <v>0</v>
      </c>
      <c r="P252" s="163">
        <v>6</v>
      </c>
      <c r="Q252" s="163">
        <v>20.16</v>
      </c>
      <c r="R252" s="163">
        <v>20.16</v>
      </c>
      <c r="S252" s="163">
        <v>3.36</v>
      </c>
      <c r="T252" s="163">
        <v>6</v>
      </c>
      <c r="U252" s="161">
        <f t="shared" si="7"/>
        <v>9.6951411345932823E-7</v>
      </c>
      <c r="V252" s="161">
        <f t="shared" si="5"/>
        <v>6.1219461054474602E-7</v>
      </c>
    </row>
    <row r="253" spans="2:22">
      <c r="B253" s="163">
        <v>2018</v>
      </c>
      <c r="C253" s="163">
        <v>20030600373</v>
      </c>
      <c r="D253" s="163" t="s">
        <v>438</v>
      </c>
      <c r="E253" s="163" t="s">
        <v>389</v>
      </c>
      <c r="F253" s="163" t="s">
        <v>100</v>
      </c>
      <c r="G253" s="163"/>
      <c r="H253" s="163">
        <v>20</v>
      </c>
      <c r="I253" s="163">
        <v>3</v>
      </c>
      <c r="J253" s="163">
        <v>6</v>
      </c>
      <c r="K253" s="163">
        <v>0</v>
      </c>
      <c r="L253" s="163">
        <v>1</v>
      </c>
      <c r="M253" s="163">
        <v>4</v>
      </c>
      <c r="N253" s="163">
        <v>1</v>
      </c>
      <c r="O253" s="163">
        <v>0</v>
      </c>
      <c r="P253" s="163">
        <v>6</v>
      </c>
      <c r="Q253" s="163">
        <v>23.16</v>
      </c>
      <c r="R253" s="163">
        <v>23.16</v>
      </c>
      <c r="S253" s="163">
        <v>3.86</v>
      </c>
      <c r="T253" s="163">
        <v>6</v>
      </c>
      <c r="U253" s="161">
        <f t="shared" si="7"/>
        <v>9.6951411345932823E-7</v>
      </c>
      <c r="V253" s="161">
        <f t="shared" si="5"/>
        <v>6.1219461054474602E-7</v>
      </c>
    </row>
    <row r="254" spans="2:22">
      <c r="B254" s="163">
        <v>2018</v>
      </c>
      <c r="C254" s="163">
        <v>20030600470</v>
      </c>
      <c r="D254" s="163" t="s">
        <v>439</v>
      </c>
      <c r="E254" s="163" t="s">
        <v>389</v>
      </c>
      <c r="F254" s="163" t="s">
        <v>100</v>
      </c>
      <c r="G254" s="163"/>
      <c r="H254" s="163">
        <v>20</v>
      </c>
      <c r="I254" s="163">
        <v>3</v>
      </c>
      <c r="J254" s="163">
        <v>6</v>
      </c>
      <c r="K254" s="163">
        <v>0</v>
      </c>
      <c r="L254" s="163">
        <v>1</v>
      </c>
      <c r="M254" s="163">
        <v>4</v>
      </c>
      <c r="N254" s="163">
        <v>213</v>
      </c>
      <c r="O254" s="163">
        <v>0</v>
      </c>
      <c r="P254" s="163">
        <v>2300</v>
      </c>
      <c r="Q254" s="163">
        <v>5129</v>
      </c>
      <c r="R254" s="163">
        <v>24.079812207</v>
      </c>
      <c r="S254" s="163">
        <v>2.23</v>
      </c>
      <c r="T254" s="163">
        <v>10.798122065999999</v>
      </c>
      <c r="U254" s="161">
        <f t="shared" si="7"/>
        <v>3.7164707682607579E-4</v>
      </c>
      <c r="V254" s="161">
        <f t="shared" si="5"/>
        <v>2.3467460070881934E-4</v>
      </c>
    </row>
    <row r="255" spans="2:22">
      <c r="B255" s="163">
        <v>2018</v>
      </c>
      <c r="C255" s="163">
        <v>20030600471</v>
      </c>
      <c r="D255" s="163" t="s">
        <v>440</v>
      </c>
      <c r="E255" s="163" t="s">
        <v>389</v>
      </c>
      <c r="F255" s="163" t="s">
        <v>100</v>
      </c>
      <c r="G255" s="163"/>
      <c r="H255" s="163">
        <v>20</v>
      </c>
      <c r="I255" s="163">
        <v>3</v>
      </c>
      <c r="J255" s="163">
        <v>6</v>
      </c>
      <c r="K255" s="163">
        <v>0</v>
      </c>
      <c r="L255" s="163">
        <v>1</v>
      </c>
      <c r="M255" s="163">
        <v>4</v>
      </c>
      <c r="N255" s="163">
        <v>11</v>
      </c>
      <c r="O255" s="163">
        <v>0</v>
      </c>
      <c r="P255" s="163">
        <v>141</v>
      </c>
      <c r="Q255" s="163">
        <v>829.08</v>
      </c>
      <c r="R255" s="163">
        <v>75.370909091000001</v>
      </c>
      <c r="S255" s="163">
        <v>5.88</v>
      </c>
      <c r="T255" s="163">
        <v>12.818181817999999</v>
      </c>
      <c r="U255" s="161">
        <f t="shared" si="7"/>
        <v>2.278358166629421E-5</v>
      </c>
      <c r="V255" s="161">
        <f t="shared" si="5"/>
        <v>1.4386573347801533E-5</v>
      </c>
    </row>
    <row r="256" spans="2:22">
      <c r="B256" s="163">
        <v>2018</v>
      </c>
      <c r="C256" s="163">
        <v>20030600472</v>
      </c>
      <c r="D256" s="163" t="s">
        <v>441</v>
      </c>
      <c r="E256" s="163" t="s">
        <v>389</v>
      </c>
      <c r="F256" s="163" t="s">
        <v>100</v>
      </c>
      <c r="G256" s="163"/>
      <c r="H256" s="163">
        <v>20</v>
      </c>
      <c r="I256" s="163">
        <v>3</v>
      </c>
      <c r="J256" s="163">
        <v>6</v>
      </c>
      <c r="K256" s="163">
        <v>0</v>
      </c>
      <c r="L256" s="163">
        <v>1</v>
      </c>
      <c r="M256" s="163">
        <v>4</v>
      </c>
      <c r="N256" s="163">
        <v>32</v>
      </c>
      <c r="O256" s="163">
        <v>0</v>
      </c>
      <c r="P256" s="163">
        <v>480</v>
      </c>
      <c r="Q256" s="163">
        <v>1689.6</v>
      </c>
      <c r="R256" s="163">
        <v>52.8</v>
      </c>
      <c r="S256" s="163">
        <v>3.52</v>
      </c>
      <c r="T256" s="163">
        <v>15</v>
      </c>
      <c r="U256" s="161">
        <f t="shared" si="7"/>
        <v>7.7561129076746251E-5</v>
      </c>
      <c r="V256" s="161">
        <f t="shared" si="5"/>
        <v>4.8975568843579687E-5</v>
      </c>
    </row>
    <row r="257" spans="2:22">
      <c r="B257" s="163">
        <v>2018</v>
      </c>
      <c r="C257" s="163">
        <v>20030600485</v>
      </c>
      <c r="D257" s="163" t="s">
        <v>442</v>
      </c>
      <c r="E257" s="163" t="s">
        <v>389</v>
      </c>
      <c r="F257" s="163" t="s">
        <v>100</v>
      </c>
      <c r="G257" s="163"/>
      <c r="H257" s="163">
        <v>20</v>
      </c>
      <c r="I257" s="163">
        <v>3</v>
      </c>
      <c r="J257" s="163">
        <v>6</v>
      </c>
      <c r="K257" s="163">
        <v>0</v>
      </c>
      <c r="L257" s="163">
        <v>1</v>
      </c>
      <c r="M257" s="163">
        <v>4</v>
      </c>
      <c r="N257" s="163">
        <v>32</v>
      </c>
      <c r="O257" s="163">
        <v>0</v>
      </c>
      <c r="P257" s="163">
        <v>594</v>
      </c>
      <c r="Q257" s="163">
        <v>914.76</v>
      </c>
      <c r="R257" s="163">
        <v>28.58625</v>
      </c>
      <c r="S257" s="163">
        <v>1.54</v>
      </c>
      <c r="T257" s="163">
        <v>18.5625</v>
      </c>
      <c r="U257" s="161">
        <f t="shared" si="7"/>
        <v>9.5981897232473486E-5</v>
      </c>
      <c r="V257" s="161">
        <f t="shared" si="5"/>
        <v>6.0607266443929858E-5</v>
      </c>
    </row>
    <row r="258" spans="2:22">
      <c r="B258" s="163">
        <v>2018</v>
      </c>
      <c r="C258" s="163">
        <v>20030600486</v>
      </c>
      <c r="D258" s="163" t="s">
        <v>443</v>
      </c>
      <c r="E258" s="163" t="s">
        <v>389</v>
      </c>
      <c r="F258" s="163" t="s">
        <v>100</v>
      </c>
      <c r="G258" s="163"/>
      <c r="H258" s="163">
        <v>20</v>
      </c>
      <c r="I258" s="163">
        <v>3</v>
      </c>
      <c r="J258" s="163">
        <v>6</v>
      </c>
      <c r="K258" s="163">
        <v>0</v>
      </c>
      <c r="L258" s="163">
        <v>1</v>
      </c>
      <c r="M258" s="163">
        <v>4</v>
      </c>
      <c r="N258" s="163">
        <v>5</v>
      </c>
      <c r="O258" s="163">
        <v>0</v>
      </c>
      <c r="P258" s="163">
        <v>81</v>
      </c>
      <c r="Q258" s="163">
        <v>234.9</v>
      </c>
      <c r="R258" s="163">
        <v>46.98</v>
      </c>
      <c r="S258" s="163">
        <v>2.9</v>
      </c>
      <c r="T258" s="163">
        <v>16.2</v>
      </c>
      <c r="U258" s="161">
        <f t="shared" si="7"/>
        <v>1.308844053170093E-5</v>
      </c>
      <c r="V258" s="161">
        <f t="shared" si="5"/>
        <v>8.2646272423540724E-6</v>
      </c>
    </row>
    <row r="259" spans="2:22">
      <c r="B259" s="163">
        <v>2018</v>
      </c>
      <c r="C259" s="163">
        <v>20030600487</v>
      </c>
      <c r="D259" s="163" t="s">
        <v>444</v>
      </c>
      <c r="E259" s="163" t="s">
        <v>389</v>
      </c>
      <c r="F259" s="163" t="s">
        <v>100</v>
      </c>
      <c r="G259" s="163"/>
      <c r="H259" s="163">
        <v>20</v>
      </c>
      <c r="I259" s="163">
        <v>3</v>
      </c>
      <c r="J259" s="163">
        <v>6</v>
      </c>
      <c r="K259" s="163">
        <v>0</v>
      </c>
      <c r="L259" s="163">
        <v>1</v>
      </c>
      <c r="M259" s="163">
        <v>4</v>
      </c>
      <c r="N259" s="163">
        <v>5</v>
      </c>
      <c r="O259" s="163">
        <v>0</v>
      </c>
      <c r="P259" s="163">
        <v>51</v>
      </c>
      <c r="Q259" s="163">
        <v>278.45999999999998</v>
      </c>
      <c r="R259" s="163">
        <v>55.692</v>
      </c>
      <c r="S259" s="163">
        <v>5.46</v>
      </c>
      <c r="T259" s="163">
        <v>10.199999999999999</v>
      </c>
      <c r="U259" s="161">
        <f t="shared" si="7"/>
        <v>8.2408699644042897E-6</v>
      </c>
      <c r="V259" s="161">
        <f t="shared" si="5"/>
        <v>5.203654189630342E-6</v>
      </c>
    </row>
    <row r="260" spans="2:22">
      <c r="B260" s="163">
        <v>2018</v>
      </c>
      <c r="C260" s="163">
        <v>20030600490</v>
      </c>
      <c r="D260" s="163" t="s">
        <v>445</v>
      </c>
      <c r="E260" s="163" t="s">
        <v>389</v>
      </c>
      <c r="F260" s="163" t="s">
        <v>100</v>
      </c>
      <c r="G260" s="163"/>
      <c r="H260" s="163">
        <v>20</v>
      </c>
      <c r="I260" s="163">
        <v>3</v>
      </c>
      <c r="J260" s="163">
        <v>6</v>
      </c>
      <c r="K260" s="163">
        <v>0</v>
      </c>
      <c r="L260" s="163">
        <v>1</v>
      </c>
      <c r="M260" s="163">
        <v>4</v>
      </c>
      <c r="N260" s="163">
        <v>779</v>
      </c>
      <c r="O260" s="163">
        <v>0</v>
      </c>
      <c r="P260" s="163">
        <v>18656</v>
      </c>
      <c r="Q260" s="163">
        <v>13245.76</v>
      </c>
      <c r="R260" s="163">
        <v>17.003543004000001</v>
      </c>
      <c r="S260" s="163">
        <v>0.71</v>
      </c>
      <c r="T260" s="163">
        <v>23.948652117999998</v>
      </c>
      <c r="U260" s="161">
        <f t="shared" si="7"/>
        <v>3.0145425501162042E-3</v>
      </c>
      <c r="V260" s="161">
        <f t="shared" si="5"/>
        <v>1.9035171090537972E-3</v>
      </c>
    </row>
    <row r="261" spans="2:22">
      <c r="B261" s="163">
        <v>2018</v>
      </c>
      <c r="C261" s="163">
        <v>20030600491</v>
      </c>
      <c r="D261" s="163" t="s">
        <v>446</v>
      </c>
      <c r="E261" s="163" t="s">
        <v>389</v>
      </c>
      <c r="F261" s="163" t="s">
        <v>100</v>
      </c>
      <c r="G261" s="163"/>
      <c r="H261" s="163">
        <v>20</v>
      </c>
      <c r="I261" s="163">
        <v>3</v>
      </c>
      <c r="J261" s="163">
        <v>6</v>
      </c>
      <c r="K261" s="163">
        <v>0</v>
      </c>
      <c r="L261" s="163">
        <v>1</v>
      </c>
      <c r="M261" s="163">
        <v>4</v>
      </c>
      <c r="N261" s="163">
        <v>55</v>
      </c>
      <c r="O261" s="163">
        <v>0</v>
      </c>
      <c r="P261" s="163">
        <v>1257</v>
      </c>
      <c r="Q261" s="163">
        <v>1520.97</v>
      </c>
      <c r="R261" s="163">
        <v>27.654</v>
      </c>
      <c r="S261" s="163">
        <v>1.21</v>
      </c>
      <c r="T261" s="163">
        <v>22.854545455</v>
      </c>
      <c r="U261" s="161">
        <f t="shared" si="7"/>
        <v>2.0311320676972926E-4</v>
      </c>
      <c r="V261" s="161">
        <f t="shared" si="5"/>
        <v>1.2825477090912431E-4</v>
      </c>
    </row>
    <row r="262" spans="2:22">
      <c r="B262" s="163">
        <v>2018</v>
      </c>
      <c r="C262" s="163">
        <v>20030600492</v>
      </c>
      <c r="D262" s="163" t="s">
        <v>447</v>
      </c>
      <c r="E262" s="163" t="s">
        <v>389</v>
      </c>
      <c r="F262" s="163" t="s">
        <v>100</v>
      </c>
      <c r="G262" s="163"/>
      <c r="H262" s="163">
        <v>20</v>
      </c>
      <c r="I262" s="163">
        <v>3</v>
      </c>
      <c r="J262" s="163">
        <v>6</v>
      </c>
      <c r="K262" s="163">
        <v>0</v>
      </c>
      <c r="L262" s="163">
        <v>1</v>
      </c>
      <c r="M262" s="163">
        <v>4</v>
      </c>
      <c r="N262" s="163">
        <v>186</v>
      </c>
      <c r="O262" s="163">
        <v>0</v>
      </c>
      <c r="P262" s="163">
        <v>2970</v>
      </c>
      <c r="Q262" s="163">
        <v>3148.2</v>
      </c>
      <c r="R262" s="163">
        <v>16.925806452</v>
      </c>
      <c r="S262" s="163">
        <v>1.06</v>
      </c>
      <c r="T262" s="163">
        <v>15.967741934999999</v>
      </c>
      <c r="U262" s="161">
        <f t="shared" si="7"/>
        <v>4.7990948616236746E-4</v>
      </c>
      <c r="V262" s="161">
        <f t="shared" ref="V262:V325" si="8">P262/SUM($P$197:$P$772)</f>
        <v>3.0303633221964932E-4</v>
      </c>
    </row>
    <row r="263" spans="2:22">
      <c r="B263" s="163">
        <v>2018</v>
      </c>
      <c r="C263" s="163">
        <v>20030600493</v>
      </c>
      <c r="D263" s="163" t="s">
        <v>448</v>
      </c>
      <c r="E263" s="163" t="s">
        <v>389</v>
      </c>
      <c r="F263" s="163" t="s">
        <v>100</v>
      </c>
      <c r="G263" s="163"/>
      <c r="H263" s="163">
        <v>20</v>
      </c>
      <c r="I263" s="163">
        <v>3</v>
      </c>
      <c r="J263" s="163">
        <v>6</v>
      </c>
      <c r="K263" s="163">
        <v>0</v>
      </c>
      <c r="L263" s="163">
        <v>1</v>
      </c>
      <c r="M263" s="163">
        <v>4</v>
      </c>
      <c r="N263" s="163">
        <v>6</v>
      </c>
      <c r="O263" s="163">
        <v>0</v>
      </c>
      <c r="P263" s="163">
        <v>96</v>
      </c>
      <c r="Q263" s="163">
        <v>172.8</v>
      </c>
      <c r="R263" s="163">
        <v>28.8</v>
      </c>
      <c r="S263" s="163">
        <v>1.8</v>
      </c>
      <c r="T263" s="163">
        <v>16</v>
      </c>
      <c r="U263" s="161">
        <f t="shared" si="7"/>
        <v>1.5512225815349252E-5</v>
      </c>
      <c r="V263" s="161">
        <f t="shared" si="8"/>
        <v>9.7951137687159364E-6</v>
      </c>
    </row>
    <row r="264" spans="2:22">
      <c r="B264" s="163">
        <v>2018</v>
      </c>
      <c r="C264" s="163">
        <v>20030600494</v>
      </c>
      <c r="D264" s="163" t="s">
        <v>449</v>
      </c>
      <c r="E264" s="163" t="s">
        <v>389</v>
      </c>
      <c r="F264" s="163" t="s">
        <v>100</v>
      </c>
      <c r="G264" s="163"/>
      <c r="H264" s="163">
        <v>20</v>
      </c>
      <c r="I264" s="163">
        <v>3</v>
      </c>
      <c r="J264" s="163">
        <v>6</v>
      </c>
      <c r="K264" s="163">
        <v>0</v>
      </c>
      <c r="L264" s="163">
        <v>1</v>
      </c>
      <c r="M264" s="163">
        <v>4</v>
      </c>
      <c r="N264" s="163">
        <v>8</v>
      </c>
      <c r="O264" s="163">
        <v>0</v>
      </c>
      <c r="P264" s="163">
        <v>80</v>
      </c>
      <c r="Q264" s="163">
        <v>208</v>
      </c>
      <c r="R264" s="163">
        <v>26</v>
      </c>
      <c r="S264" s="163">
        <v>2.6</v>
      </c>
      <c r="T264" s="163">
        <v>10</v>
      </c>
      <c r="U264" s="161">
        <f t="shared" si="7"/>
        <v>1.2926854846124375E-5</v>
      </c>
      <c r="V264" s="161">
        <f t="shared" si="8"/>
        <v>8.1625948072632806E-6</v>
      </c>
    </row>
    <row r="265" spans="2:22">
      <c r="B265" s="163">
        <v>2018</v>
      </c>
      <c r="C265" s="163">
        <v>20030600495</v>
      </c>
      <c r="D265" s="163" t="s">
        <v>450</v>
      </c>
      <c r="E265" s="163" t="s">
        <v>389</v>
      </c>
      <c r="F265" s="163" t="s">
        <v>100</v>
      </c>
      <c r="G265" s="163"/>
      <c r="H265" s="163">
        <v>20</v>
      </c>
      <c r="I265" s="163">
        <v>3</v>
      </c>
      <c r="J265" s="163">
        <v>6</v>
      </c>
      <c r="K265" s="163">
        <v>0</v>
      </c>
      <c r="L265" s="163">
        <v>1</v>
      </c>
      <c r="M265" s="163">
        <v>4</v>
      </c>
      <c r="N265" s="163">
        <v>23</v>
      </c>
      <c r="O265" s="163">
        <v>0</v>
      </c>
      <c r="P265" s="163">
        <v>357</v>
      </c>
      <c r="Q265" s="163">
        <v>1074.57</v>
      </c>
      <c r="R265" s="163">
        <v>46.720434783000002</v>
      </c>
      <c r="S265" s="163">
        <v>3.01</v>
      </c>
      <c r="T265" s="163">
        <v>15.52173913</v>
      </c>
      <c r="U265" s="161">
        <f t="shared" si="7"/>
        <v>5.7686089750830028E-5</v>
      </c>
      <c r="V265" s="161">
        <f t="shared" si="8"/>
        <v>3.6425579327412388E-5</v>
      </c>
    </row>
    <row r="266" spans="2:22">
      <c r="B266" s="163">
        <v>2018</v>
      </c>
      <c r="C266" s="163">
        <v>20030600496</v>
      </c>
      <c r="D266" s="163" t="s">
        <v>451</v>
      </c>
      <c r="E266" s="163" t="s">
        <v>389</v>
      </c>
      <c r="F266" s="163" t="s">
        <v>100</v>
      </c>
      <c r="G266" s="163"/>
      <c r="H266" s="163">
        <v>20</v>
      </c>
      <c r="I266" s="163">
        <v>3</v>
      </c>
      <c r="J266" s="163">
        <v>6</v>
      </c>
      <c r="K266" s="163">
        <v>0</v>
      </c>
      <c r="L266" s="163">
        <v>1</v>
      </c>
      <c r="M266" s="163">
        <v>4</v>
      </c>
      <c r="N266" s="163">
        <v>32</v>
      </c>
      <c r="O266" s="163">
        <v>0</v>
      </c>
      <c r="P266" s="163">
        <v>715</v>
      </c>
      <c r="Q266" s="163">
        <v>650.65</v>
      </c>
      <c r="R266" s="163">
        <v>20.332812499999999</v>
      </c>
      <c r="S266" s="163">
        <v>0.91</v>
      </c>
      <c r="T266" s="163">
        <v>22.34375</v>
      </c>
      <c r="U266" s="161">
        <f t="shared" si="7"/>
        <v>1.1553376518723661E-4</v>
      </c>
      <c r="V266" s="161">
        <f t="shared" si="8"/>
        <v>7.295319108991557E-5</v>
      </c>
    </row>
    <row r="267" spans="2:22">
      <c r="B267" s="163">
        <v>2018</v>
      </c>
      <c r="C267" s="163">
        <v>20030600497</v>
      </c>
      <c r="D267" s="163" t="s">
        <v>452</v>
      </c>
      <c r="E267" s="163" t="s">
        <v>389</v>
      </c>
      <c r="F267" s="163" t="s">
        <v>100</v>
      </c>
      <c r="G267" s="163"/>
      <c r="H267" s="163">
        <v>20</v>
      </c>
      <c r="I267" s="163">
        <v>3</v>
      </c>
      <c r="J267" s="163">
        <v>6</v>
      </c>
      <c r="K267" s="163">
        <v>0</v>
      </c>
      <c r="L267" s="163">
        <v>1</v>
      </c>
      <c r="M267" s="163">
        <v>4</v>
      </c>
      <c r="N267" s="163">
        <v>20</v>
      </c>
      <c r="O267" s="163">
        <v>0</v>
      </c>
      <c r="P267" s="163">
        <v>440</v>
      </c>
      <c r="Q267" s="163">
        <v>902</v>
      </c>
      <c r="R267" s="163">
        <v>45.1</v>
      </c>
      <c r="S267" s="163">
        <v>2.0499999999999998</v>
      </c>
      <c r="T267" s="163">
        <v>22</v>
      </c>
      <c r="U267" s="161">
        <f t="shared" si="7"/>
        <v>7.1097701653684062E-5</v>
      </c>
      <c r="V267" s="161">
        <f t="shared" si="8"/>
        <v>4.4894271439948048E-5</v>
      </c>
    </row>
    <row r="268" spans="2:22">
      <c r="B268" s="163">
        <v>2018</v>
      </c>
      <c r="C268" s="163">
        <v>20030600500</v>
      </c>
      <c r="D268" s="163" t="s">
        <v>453</v>
      </c>
      <c r="E268" s="163" t="s">
        <v>389</v>
      </c>
      <c r="F268" s="163" t="s">
        <v>100</v>
      </c>
      <c r="G268" s="163"/>
      <c r="H268" s="163">
        <v>20</v>
      </c>
      <c r="I268" s="163">
        <v>3</v>
      </c>
      <c r="J268" s="163">
        <v>6</v>
      </c>
      <c r="K268" s="163">
        <v>0</v>
      </c>
      <c r="L268" s="163">
        <v>1</v>
      </c>
      <c r="M268" s="163">
        <v>4</v>
      </c>
      <c r="N268" s="163">
        <v>3</v>
      </c>
      <c r="O268" s="163">
        <v>0</v>
      </c>
      <c r="P268" s="163">
        <v>56</v>
      </c>
      <c r="Q268" s="163">
        <v>45.92</v>
      </c>
      <c r="R268" s="163">
        <v>15.306666667</v>
      </c>
      <c r="S268" s="163">
        <v>0.82</v>
      </c>
      <c r="T268" s="163">
        <v>18.666666667000001</v>
      </c>
      <c r="U268" s="161">
        <f t="shared" si="7"/>
        <v>9.0487983922870635E-6</v>
      </c>
      <c r="V268" s="161">
        <f t="shared" si="8"/>
        <v>5.7138163650842969E-6</v>
      </c>
    </row>
    <row r="269" spans="2:22">
      <c r="B269" s="163">
        <v>2018</v>
      </c>
      <c r="C269" s="163">
        <v>20030600501</v>
      </c>
      <c r="D269" s="163" t="s">
        <v>454</v>
      </c>
      <c r="E269" s="163" t="s">
        <v>389</v>
      </c>
      <c r="F269" s="163" t="s">
        <v>100</v>
      </c>
      <c r="G269" s="163"/>
      <c r="H269" s="163">
        <v>20</v>
      </c>
      <c r="I269" s="163">
        <v>3</v>
      </c>
      <c r="J269" s="163">
        <v>6</v>
      </c>
      <c r="K269" s="163">
        <v>0</v>
      </c>
      <c r="L269" s="163">
        <v>1</v>
      </c>
      <c r="M269" s="163">
        <v>4</v>
      </c>
      <c r="N269" s="163">
        <v>6</v>
      </c>
      <c r="O269" s="163">
        <v>0</v>
      </c>
      <c r="P269" s="163">
        <v>85</v>
      </c>
      <c r="Q269" s="163">
        <v>120.7</v>
      </c>
      <c r="R269" s="163">
        <v>20.116666667000001</v>
      </c>
      <c r="S269" s="163">
        <v>1.42</v>
      </c>
      <c r="T269" s="163">
        <v>14.166666666999999</v>
      </c>
      <c r="U269" s="161">
        <f t="shared" ref="U269:U332" si="9">P269/SUM($P$205:$P$460)</f>
        <v>1.3734783274007148E-5</v>
      </c>
      <c r="V269" s="161">
        <f t="shared" si="8"/>
        <v>8.6727569827172364E-6</v>
      </c>
    </row>
    <row r="270" spans="2:22">
      <c r="B270" s="163">
        <v>2018</v>
      </c>
      <c r="C270" s="163">
        <v>20030600502</v>
      </c>
      <c r="D270" s="163" t="s">
        <v>455</v>
      </c>
      <c r="E270" s="163" t="s">
        <v>389</v>
      </c>
      <c r="F270" s="163" t="s">
        <v>100</v>
      </c>
      <c r="G270" s="163"/>
      <c r="H270" s="163">
        <v>20</v>
      </c>
      <c r="I270" s="163">
        <v>3</v>
      </c>
      <c r="J270" s="163">
        <v>6</v>
      </c>
      <c r="K270" s="163">
        <v>0</v>
      </c>
      <c r="L270" s="163">
        <v>1</v>
      </c>
      <c r="M270" s="163">
        <v>4</v>
      </c>
      <c r="N270" s="163">
        <v>4</v>
      </c>
      <c r="O270" s="163">
        <v>0</v>
      </c>
      <c r="P270" s="163">
        <v>50</v>
      </c>
      <c r="Q270" s="163">
        <v>73.5</v>
      </c>
      <c r="R270" s="163">
        <v>18.375</v>
      </c>
      <c r="S270" s="163">
        <v>1.47</v>
      </c>
      <c r="T270" s="163">
        <v>12.5</v>
      </c>
      <c r="U270" s="161">
        <f t="shared" si="9"/>
        <v>8.079284278827734E-6</v>
      </c>
      <c r="V270" s="161">
        <f t="shared" si="8"/>
        <v>5.1016217545395502E-6</v>
      </c>
    </row>
    <row r="271" spans="2:22">
      <c r="B271" s="163">
        <v>2018</v>
      </c>
      <c r="C271" s="163">
        <v>20030600505</v>
      </c>
      <c r="D271" s="163" t="s">
        <v>456</v>
      </c>
      <c r="E271" s="163" t="s">
        <v>389</v>
      </c>
      <c r="F271" s="163" t="s">
        <v>100</v>
      </c>
      <c r="G271" s="163"/>
      <c r="H271" s="163">
        <v>20</v>
      </c>
      <c r="I271" s="163">
        <v>3</v>
      </c>
      <c r="J271" s="163">
        <v>6</v>
      </c>
      <c r="K271" s="163">
        <v>0</v>
      </c>
      <c r="L271" s="163">
        <v>1</v>
      </c>
      <c r="M271" s="163">
        <v>4</v>
      </c>
      <c r="N271" s="163">
        <v>1</v>
      </c>
      <c r="O271" s="163">
        <v>0</v>
      </c>
      <c r="P271" s="163">
        <v>10</v>
      </c>
      <c r="Q271" s="163">
        <v>40.4</v>
      </c>
      <c r="R271" s="163">
        <v>40.4</v>
      </c>
      <c r="S271" s="163">
        <v>4.04</v>
      </c>
      <c r="T271" s="163">
        <v>10</v>
      </c>
      <c r="U271" s="161">
        <f t="shared" si="9"/>
        <v>1.6158568557655468E-6</v>
      </c>
      <c r="V271" s="161">
        <f t="shared" si="8"/>
        <v>1.0203243509079101E-6</v>
      </c>
    </row>
    <row r="272" spans="2:22">
      <c r="B272" s="163">
        <v>2018</v>
      </c>
      <c r="C272" s="163">
        <v>20030600506</v>
      </c>
      <c r="D272" s="163" t="s">
        <v>457</v>
      </c>
      <c r="E272" s="163" t="s">
        <v>389</v>
      </c>
      <c r="F272" s="163" t="s">
        <v>100</v>
      </c>
      <c r="G272" s="163"/>
      <c r="H272" s="163">
        <v>20</v>
      </c>
      <c r="I272" s="163">
        <v>3</v>
      </c>
      <c r="J272" s="163">
        <v>6</v>
      </c>
      <c r="K272" s="163">
        <v>0</v>
      </c>
      <c r="L272" s="163">
        <v>1</v>
      </c>
      <c r="M272" s="163">
        <v>4</v>
      </c>
      <c r="N272" s="163">
        <v>5</v>
      </c>
      <c r="O272" s="163">
        <v>0</v>
      </c>
      <c r="P272" s="163">
        <v>165</v>
      </c>
      <c r="Q272" s="163">
        <v>204.6</v>
      </c>
      <c r="R272" s="163">
        <v>40.92</v>
      </c>
      <c r="S272" s="163">
        <v>1.24</v>
      </c>
      <c r="T272" s="163">
        <v>33</v>
      </c>
      <c r="U272" s="161">
        <f t="shared" si="9"/>
        <v>2.6661638120131525E-5</v>
      </c>
      <c r="V272" s="161">
        <f t="shared" si="8"/>
        <v>1.6835351789980515E-5</v>
      </c>
    </row>
    <row r="273" spans="2:22">
      <c r="B273" s="163">
        <v>2018</v>
      </c>
      <c r="C273" s="163">
        <v>20030600507</v>
      </c>
      <c r="D273" s="163" t="s">
        <v>458</v>
      </c>
      <c r="E273" s="163" t="s">
        <v>389</v>
      </c>
      <c r="F273" s="163" t="s">
        <v>100</v>
      </c>
      <c r="G273" s="163"/>
      <c r="H273" s="163">
        <v>20</v>
      </c>
      <c r="I273" s="163">
        <v>3</v>
      </c>
      <c r="J273" s="163">
        <v>6</v>
      </c>
      <c r="K273" s="163">
        <v>0</v>
      </c>
      <c r="L273" s="163">
        <v>1</v>
      </c>
      <c r="M273" s="163">
        <v>4</v>
      </c>
      <c r="N273" s="163">
        <v>1</v>
      </c>
      <c r="O273" s="163">
        <v>0</v>
      </c>
      <c r="P273" s="163">
        <v>10</v>
      </c>
      <c r="Q273" s="163">
        <v>26.9</v>
      </c>
      <c r="R273" s="163">
        <v>26.9</v>
      </c>
      <c r="S273" s="163">
        <v>2.69</v>
      </c>
      <c r="T273" s="163">
        <v>10</v>
      </c>
      <c r="U273" s="161">
        <f t="shared" si="9"/>
        <v>1.6158568557655468E-6</v>
      </c>
      <c r="V273" s="161">
        <f t="shared" si="8"/>
        <v>1.0203243509079101E-6</v>
      </c>
    </row>
    <row r="274" spans="2:22">
      <c r="B274" s="163">
        <v>2018</v>
      </c>
      <c r="C274" s="163">
        <v>20030600525</v>
      </c>
      <c r="D274" s="163" t="s">
        <v>459</v>
      </c>
      <c r="E274" s="163" t="s">
        <v>389</v>
      </c>
      <c r="F274" s="163" t="s">
        <v>100</v>
      </c>
      <c r="G274" s="163"/>
      <c r="H274" s="163">
        <v>20</v>
      </c>
      <c r="I274" s="163">
        <v>3</v>
      </c>
      <c r="J274" s="163">
        <v>6</v>
      </c>
      <c r="K274" s="163">
        <v>0</v>
      </c>
      <c r="L274" s="163">
        <v>1</v>
      </c>
      <c r="M274" s="163">
        <v>4</v>
      </c>
      <c r="N274" s="163">
        <v>18</v>
      </c>
      <c r="O274" s="163">
        <v>0</v>
      </c>
      <c r="P274" s="163">
        <v>158</v>
      </c>
      <c r="Q274" s="163">
        <v>1006.46</v>
      </c>
      <c r="R274" s="163">
        <v>55.914444443999997</v>
      </c>
      <c r="S274" s="163">
        <v>6.37</v>
      </c>
      <c r="T274" s="163">
        <v>8.7777777778000008</v>
      </c>
      <c r="U274" s="161">
        <f t="shared" si="9"/>
        <v>2.5530538321095641E-5</v>
      </c>
      <c r="V274" s="161">
        <f t="shared" si="8"/>
        <v>1.6121124744344981E-5</v>
      </c>
    </row>
    <row r="275" spans="2:22">
      <c r="B275" s="163">
        <v>2018</v>
      </c>
      <c r="C275" s="163">
        <v>20030600526</v>
      </c>
      <c r="D275" s="163" t="s">
        <v>460</v>
      </c>
      <c r="E275" s="163" t="s">
        <v>389</v>
      </c>
      <c r="F275" s="163" t="s">
        <v>100</v>
      </c>
      <c r="G275" s="163"/>
      <c r="H275" s="163">
        <v>20</v>
      </c>
      <c r="I275" s="163">
        <v>3</v>
      </c>
      <c r="J275" s="163">
        <v>6</v>
      </c>
      <c r="K275" s="163">
        <v>0</v>
      </c>
      <c r="L275" s="163">
        <v>1</v>
      </c>
      <c r="M275" s="163">
        <v>4</v>
      </c>
      <c r="N275" s="163">
        <v>5</v>
      </c>
      <c r="O275" s="163">
        <v>0</v>
      </c>
      <c r="P275" s="163">
        <v>61</v>
      </c>
      <c r="Q275" s="163">
        <v>747.25</v>
      </c>
      <c r="R275" s="163">
        <v>149.44999999999999</v>
      </c>
      <c r="S275" s="163">
        <v>12.25</v>
      </c>
      <c r="T275" s="163">
        <v>12.2</v>
      </c>
      <c r="U275" s="161">
        <f t="shared" si="9"/>
        <v>9.8567268201698355E-6</v>
      </c>
      <c r="V275" s="161">
        <f t="shared" si="8"/>
        <v>6.2239785405382519E-6</v>
      </c>
    </row>
    <row r="276" spans="2:22">
      <c r="B276" s="163">
        <v>2018</v>
      </c>
      <c r="C276" s="163">
        <v>20030600527</v>
      </c>
      <c r="D276" s="163" t="s">
        <v>461</v>
      </c>
      <c r="E276" s="163" t="s">
        <v>389</v>
      </c>
      <c r="F276" s="163" t="s">
        <v>100</v>
      </c>
      <c r="G276" s="163"/>
      <c r="H276" s="163">
        <v>20</v>
      </c>
      <c r="I276" s="163">
        <v>3</v>
      </c>
      <c r="J276" s="163">
        <v>6</v>
      </c>
      <c r="K276" s="163">
        <v>0</v>
      </c>
      <c r="L276" s="163">
        <v>1</v>
      </c>
      <c r="M276" s="163">
        <v>4</v>
      </c>
      <c r="N276" s="163">
        <v>53</v>
      </c>
      <c r="O276" s="163">
        <v>0</v>
      </c>
      <c r="P276" s="163">
        <v>728</v>
      </c>
      <c r="Q276" s="163">
        <v>1798.16</v>
      </c>
      <c r="R276" s="163">
        <v>33.927547169999997</v>
      </c>
      <c r="S276" s="163">
        <v>2.4700000000000002</v>
      </c>
      <c r="T276" s="163">
        <v>13.735849056999999</v>
      </c>
      <c r="U276" s="161">
        <f t="shared" si="9"/>
        <v>1.1763437909973181E-4</v>
      </c>
      <c r="V276" s="161">
        <f t="shared" si="8"/>
        <v>7.4279612746095858E-5</v>
      </c>
    </row>
    <row r="277" spans="2:22">
      <c r="B277" s="163">
        <v>2018</v>
      </c>
      <c r="C277" s="163">
        <v>20030600528</v>
      </c>
      <c r="D277" s="163" t="s">
        <v>462</v>
      </c>
      <c r="E277" s="163" t="s">
        <v>389</v>
      </c>
      <c r="F277" s="163" t="s">
        <v>100</v>
      </c>
      <c r="G277" s="163"/>
      <c r="H277" s="163">
        <v>20</v>
      </c>
      <c r="I277" s="163">
        <v>3</v>
      </c>
      <c r="J277" s="163">
        <v>6</v>
      </c>
      <c r="K277" s="163">
        <v>0</v>
      </c>
      <c r="L277" s="163">
        <v>1</v>
      </c>
      <c r="M277" s="163">
        <v>4</v>
      </c>
      <c r="N277" s="163">
        <v>144</v>
      </c>
      <c r="O277" s="163">
        <v>0</v>
      </c>
      <c r="P277" s="163">
        <v>2370</v>
      </c>
      <c r="Q277" s="163">
        <v>7299.6</v>
      </c>
      <c r="R277" s="163">
        <v>50.691666667</v>
      </c>
      <c r="S277" s="163">
        <v>3.08</v>
      </c>
      <c r="T277" s="163">
        <v>16.458333332999999</v>
      </c>
      <c r="U277" s="161">
        <f t="shared" si="9"/>
        <v>3.829580748164346E-4</v>
      </c>
      <c r="V277" s="161">
        <f t="shared" si="8"/>
        <v>2.418168711651747E-4</v>
      </c>
    </row>
    <row r="278" spans="2:22">
      <c r="B278" s="163">
        <v>2018</v>
      </c>
      <c r="C278" s="163">
        <v>20030600529</v>
      </c>
      <c r="D278" s="163" t="s">
        <v>463</v>
      </c>
      <c r="E278" s="163" t="s">
        <v>389</v>
      </c>
      <c r="F278" s="163" t="s">
        <v>100</v>
      </c>
      <c r="G278" s="163"/>
      <c r="H278" s="163">
        <v>20</v>
      </c>
      <c r="I278" s="163">
        <v>3</v>
      </c>
      <c r="J278" s="163">
        <v>6</v>
      </c>
      <c r="K278" s="163">
        <v>0</v>
      </c>
      <c r="L278" s="163">
        <v>1</v>
      </c>
      <c r="M278" s="163">
        <v>4</v>
      </c>
      <c r="N278" s="163">
        <v>20</v>
      </c>
      <c r="O278" s="163">
        <v>0</v>
      </c>
      <c r="P278" s="163">
        <v>116</v>
      </c>
      <c r="Q278" s="163">
        <v>562.6</v>
      </c>
      <c r="R278" s="163">
        <v>28.13</v>
      </c>
      <c r="S278" s="163">
        <v>4.8499999999999996</v>
      </c>
      <c r="T278" s="163">
        <v>5.8</v>
      </c>
      <c r="U278" s="161">
        <f t="shared" si="9"/>
        <v>1.8743939526880343E-5</v>
      </c>
      <c r="V278" s="161">
        <f t="shared" si="8"/>
        <v>1.1835762470531758E-5</v>
      </c>
    </row>
    <row r="279" spans="2:22">
      <c r="B279" s="163">
        <v>2018</v>
      </c>
      <c r="C279" s="163">
        <v>20030600530</v>
      </c>
      <c r="D279" s="163" t="s">
        <v>464</v>
      </c>
      <c r="E279" s="163" t="s">
        <v>389</v>
      </c>
      <c r="F279" s="163" t="s">
        <v>100</v>
      </c>
      <c r="G279" s="163"/>
      <c r="H279" s="163">
        <v>20</v>
      </c>
      <c r="I279" s="163">
        <v>3</v>
      </c>
      <c r="J279" s="163">
        <v>6</v>
      </c>
      <c r="K279" s="163">
        <v>0</v>
      </c>
      <c r="L279" s="163">
        <v>1</v>
      </c>
      <c r="M279" s="163">
        <v>4</v>
      </c>
      <c r="N279" s="163">
        <v>23</v>
      </c>
      <c r="O279" s="163">
        <v>0</v>
      </c>
      <c r="P279" s="163">
        <v>346</v>
      </c>
      <c r="Q279" s="163">
        <v>519</v>
      </c>
      <c r="R279" s="163">
        <v>22.565217391000001</v>
      </c>
      <c r="S279" s="163">
        <v>1.5</v>
      </c>
      <c r="T279" s="163">
        <v>15.043478261000001</v>
      </c>
      <c r="U279" s="161">
        <f t="shared" si="9"/>
        <v>5.5908647209487921E-5</v>
      </c>
      <c r="V279" s="161">
        <f t="shared" si="8"/>
        <v>3.5303222541413693E-5</v>
      </c>
    </row>
    <row r="280" spans="2:22">
      <c r="B280" s="163">
        <v>2018</v>
      </c>
      <c r="C280" s="163">
        <v>20030600531</v>
      </c>
      <c r="D280" s="163" t="s">
        <v>465</v>
      </c>
      <c r="E280" s="163" t="s">
        <v>389</v>
      </c>
      <c r="F280" s="163" t="s">
        <v>100</v>
      </c>
      <c r="G280" s="163"/>
      <c r="H280" s="163">
        <v>20</v>
      </c>
      <c r="I280" s="163">
        <v>3</v>
      </c>
      <c r="J280" s="163">
        <v>6</v>
      </c>
      <c r="K280" s="163">
        <v>0</v>
      </c>
      <c r="L280" s="163">
        <v>1</v>
      </c>
      <c r="M280" s="163">
        <v>4</v>
      </c>
      <c r="N280" s="163">
        <v>15</v>
      </c>
      <c r="O280" s="163">
        <v>0</v>
      </c>
      <c r="P280" s="163">
        <v>287</v>
      </c>
      <c r="Q280" s="163">
        <v>688.8</v>
      </c>
      <c r="R280" s="163">
        <v>45.92</v>
      </c>
      <c r="S280" s="163">
        <v>2.4</v>
      </c>
      <c r="T280" s="163">
        <v>19.133333332999999</v>
      </c>
      <c r="U280" s="161">
        <f t="shared" si="9"/>
        <v>4.6375091760471199E-5</v>
      </c>
      <c r="V280" s="161">
        <f t="shared" si="8"/>
        <v>2.9283308871057021E-5</v>
      </c>
    </row>
    <row r="281" spans="2:22">
      <c r="B281" s="163">
        <v>2018</v>
      </c>
      <c r="C281" s="163">
        <v>20030600532</v>
      </c>
      <c r="D281" s="163" t="s">
        <v>466</v>
      </c>
      <c r="E281" s="163" t="s">
        <v>389</v>
      </c>
      <c r="F281" s="163" t="s">
        <v>100</v>
      </c>
      <c r="G281" s="163"/>
      <c r="H281" s="163">
        <v>20</v>
      </c>
      <c r="I281" s="163">
        <v>3</v>
      </c>
      <c r="J281" s="163">
        <v>6</v>
      </c>
      <c r="K281" s="163">
        <v>0</v>
      </c>
      <c r="L281" s="163">
        <v>1</v>
      </c>
      <c r="M281" s="163">
        <v>4</v>
      </c>
      <c r="N281" s="163">
        <v>2</v>
      </c>
      <c r="O281" s="163">
        <v>0</v>
      </c>
      <c r="P281" s="163">
        <v>20</v>
      </c>
      <c r="Q281" s="163">
        <v>68</v>
      </c>
      <c r="R281" s="163">
        <v>34</v>
      </c>
      <c r="S281" s="163">
        <v>3.4</v>
      </c>
      <c r="T281" s="163">
        <v>10</v>
      </c>
      <c r="U281" s="161">
        <f t="shared" si="9"/>
        <v>3.2317137115310937E-6</v>
      </c>
      <c r="V281" s="161">
        <f t="shared" si="8"/>
        <v>2.0406487018158202E-6</v>
      </c>
    </row>
    <row r="282" spans="2:22">
      <c r="B282" s="163">
        <v>2018</v>
      </c>
      <c r="C282" s="163">
        <v>20030600533</v>
      </c>
      <c r="D282" s="163" t="s">
        <v>467</v>
      </c>
      <c r="E282" s="163" t="s">
        <v>389</v>
      </c>
      <c r="F282" s="163" t="s">
        <v>100</v>
      </c>
      <c r="G282" s="163"/>
      <c r="H282" s="163">
        <v>20</v>
      </c>
      <c r="I282" s="163">
        <v>3</v>
      </c>
      <c r="J282" s="163">
        <v>6</v>
      </c>
      <c r="K282" s="163">
        <v>0</v>
      </c>
      <c r="L282" s="163">
        <v>1</v>
      </c>
      <c r="M282" s="163">
        <v>4</v>
      </c>
      <c r="N282" s="163">
        <v>34</v>
      </c>
      <c r="O282" s="163">
        <v>0</v>
      </c>
      <c r="P282" s="163">
        <v>767</v>
      </c>
      <c r="Q282" s="163">
        <v>859.04</v>
      </c>
      <c r="R282" s="163">
        <v>25.265882352999999</v>
      </c>
      <c r="S282" s="163">
        <v>1.1200000000000001</v>
      </c>
      <c r="T282" s="163">
        <v>22.558823529000001</v>
      </c>
      <c r="U282" s="161">
        <f t="shared" si="9"/>
        <v>1.2393622083721744E-4</v>
      </c>
      <c r="V282" s="161">
        <f t="shared" si="8"/>
        <v>7.8258877714636711E-5</v>
      </c>
    </row>
    <row r="283" spans="2:22">
      <c r="B283" s="163">
        <v>2018</v>
      </c>
      <c r="C283" s="163">
        <v>20030600534</v>
      </c>
      <c r="D283" s="163" t="s">
        <v>468</v>
      </c>
      <c r="E283" s="163" t="s">
        <v>389</v>
      </c>
      <c r="F283" s="163" t="s">
        <v>100</v>
      </c>
      <c r="G283" s="163"/>
      <c r="H283" s="163">
        <v>20</v>
      </c>
      <c r="I283" s="163">
        <v>3</v>
      </c>
      <c r="J283" s="163">
        <v>6</v>
      </c>
      <c r="K283" s="163">
        <v>0</v>
      </c>
      <c r="L283" s="163">
        <v>1</v>
      </c>
      <c r="M283" s="163">
        <v>4</v>
      </c>
      <c r="N283" s="163">
        <v>1</v>
      </c>
      <c r="O283" s="163">
        <v>0</v>
      </c>
      <c r="P283" s="163">
        <v>20</v>
      </c>
      <c r="Q283" s="163">
        <v>100</v>
      </c>
      <c r="R283" s="163">
        <v>100</v>
      </c>
      <c r="S283" s="163">
        <v>5</v>
      </c>
      <c r="T283" s="163">
        <v>20</v>
      </c>
      <c r="U283" s="161">
        <f t="shared" si="9"/>
        <v>3.2317137115310937E-6</v>
      </c>
      <c r="V283" s="161">
        <f t="shared" si="8"/>
        <v>2.0406487018158202E-6</v>
      </c>
    </row>
    <row r="284" spans="2:22">
      <c r="B284" s="163">
        <v>2018</v>
      </c>
      <c r="C284" s="163">
        <v>20030600535</v>
      </c>
      <c r="D284" s="163" t="s">
        <v>469</v>
      </c>
      <c r="E284" s="163" t="s">
        <v>389</v>
      </c>
      <c r="F284" s="163" t="s">
        <v>100</v>
      </c>
      <c r="G284" s="163"/>
      <c r="H284" s="163">
        <v>20</v>
      </c>
      <c r="I284" s="163">
        <v>3</v>
      </c>
      <c r="J284" s="163">
        <v>6</v>
      </c>
      <c r="K284" s="163">
        <v>0</v>
      </c>
      <c r="L284" s="163">
        <v>1</v>
      </c>
      <c r="M284" s="163">
        <v>4</v>
      </c>
      <c r="N284" s="163">
        <v>16</v>
      </c>
      <c r="O284" s="163">
        <v>0</v>
      </c>
      <c r="P284" s="163">
        <v>183</v>
      </c>
      <c r="Q284" s="163">
        <v>420.9</v>
      </c>
      <c r="R284" s="163">
        <v>26.306249999999999</v>
      </c>
      <c r="S284" s="163">
        <v>2.2999999999999998</v>
      </c>
      <c r="T284" s="163">
        <v>11.4375</v>
      </c>
      <c r="U284" s="161">
        <f t="shared" si="9"/>
        <v>2.9570180460509508E-5</v>
      </c>
      <c r="V284" s="161">
        <f t="shared" si="8"/>
        <v>1.8671935621614755E-5</v>
      </c>
    </row>
    <row r="285" spans="2:22">
      <c r="B285" s="163">
        <v>2018</v>
      </c>
      <c r="C285" s="163">
        <v>20030600545</v>
      </c>
      <c r="D285" s="163" t="s">
        <v>470</v>
      </c>
      <c r="E285" s="163" t="s">
        <v>389</v>
      </c>
      <c r="F285" s="163" t="s">
        <v>100</v>
      </c>
      <c r="G285" s="163"/>
      <c r="H285" s="163">
        <v>20</v>
      </c>
      <c r="I285" s="163">
        <v>3</v>
      </c>
      <c r="J285" s="163">
        <v>6</v>
      </c>
      <c r="K285" s="163">
        <v>0</v>
      </c>
      <c r="L285" s="163">
        <v>1</v>
      </c>
      <c r="M285" s="163">
        <v>4</v>
      </c>
      <c r="N285" s="163">
        <v>281</v>
      </c>
      <c r="O285" s="163">
        <v>0</v>
      </c>
      <c r="P285" s="163">
        <v>2888</v>
      </c>
      <c r="Q285" s="163">
        <v>3725.52</v>
      </c>
      <c r="R285" s="163">
        <v>13.258078292</v>
      </c>
      <c r="S285" s="163">
        <v>1.29</v>
      </c>
      <c r="T285" s="163">
        <v>10.277580070999999</v>
      </c>
      <c r="U285" s="161">
        <f t="shared" si="9"/>
        <v>4.6665945994508995E-4</v>
      </c>
      <c r="V285" s="161">
        <f t="shared" si="8"/>
        <v>2.9466967254220444E-4</v>
      </c>
    </row>
    <row r="286" spans="2:22">
      <c r="B286" s="163">
        <v>2018</v>
      </c>
      <c r="C286" s="163">
        <v>20030600546</v>
      </c>
      <c r="D286" s="163" t="s">
        <v>471</v>
      </c>
      <c r="E286" s="163" t="s">
        <v>389</v>
      </c>
      <c r="F286" s="163" t="s">
        <v>100</v>
      </c>
      <c r="G286" s="163"/>
      <c r="H286" s="163">
        <v>20</v>
      </c>
      <c r="I286" s="163">
        <v>3</v>
      </c>
      <c r="J286" s="163">
        <v>6</v>
      </c>
      <c r="K286" s="163">
        <v>0</v>
      </c>
      <c r="L286" s="163">
        <v>1</v>
      </c>
      <c r="M286" s="163">
        <v>4</v>
      </c>
      <c r="N286" s="163">
        <v>366</v>
      </c>
      <c r="O286" s="163">
        <v>0</v>
      </c>
      <c r="P286" s="163">
        <v>4310</v>
      </c>
      <c r="Q286" s="163">
        <v>8145.9</v>
      </c>
      <c r="R286" s="163">
        <v>22.256557377</v>
      </c>
      <c r="S286" s="163">
        <v>1.89</v>
      </c>
      <c r="T286" s="163">
        <v>11.775956283999999</v>
      </c>
      <c r="U286" s="161">
        <f t="shared" si="9"/>
        <v>6.9643430483495069E-4</v>
      </c>
      <c r="V286" s="161">
        <f t="shared" si="8"/>
        <v>4.3975979524130923E-4</v>
      </c>
    </row>
    <row r="287" spans="2:22">
      <c r="B287" s="163">
        <v>2018</v>
      </c>
      <c r="C287" s="163">
        <v>20030600547</v>
      </c>
      <c r="D287" s="163" t="s">
        <v>472</v>
      </c>
      <c r="E287" s="163" t="s">
        <v>389</v>
      </c>
      <c r="F287" s="163" t="s">
        <v>100</v>
      </c>
      <c r="G287" s="163"/>
      <c r="H287" s="163">
        <v>20</v>
      </c>
      <c r="I287" s="163">
        <v>3</v>
      </c>
      <c r="J287" s="163">
        <v>6</v>
      </c>
      <c r="K287" s="163">
        <v>0</v>
      </c>
      <c r="L287" s="163">
        <v>1</v>
      </c>
      <c r="M287" s="163">
        <v>4</v>
      </c>
      <c r="N287" s="163">
        <v>77</v>
      </c>
      <c r="O287" s="163">
        <v>0</v>
      </c>
      <c r="P287" s="163">
        <v>865</v>
      </c>
      <c r="Q287" s="163">
        <v>1885.7</v>
      </c>
      <c r="R287" s="163">
        <v>24.489610389999999</v>
      </c>
      <c r="S287" s="163">
        <v>2.1800000000000002</v>
      </c>
      <c r="T287" s="163">
        <v>11.233766234000001</v>
      </c>
      <c r="U287" s="161">
        <f t="shared" si="9"/>
        <v>1.3977161802371981E-4</v>
      </c>
      <c r="V287" s="161">
        <f t="shared" si="8"/>
        <v>8.8258056353534219E-5</v>
      </c>
    </row>
    <row r="288" spans="2:22">
      <c r="B288" s="163">
        <v>2018</v>
      </c>
      <c r="C288" s="163">
        <v>20030600548</v>
      </c>
      <c r="D288" s="163" t="s">
        <v>473</v>
      </c>
      <c r="E288" s="163" t="s">
        <v>389</v>
      </c>
      <c r="F288" s="163" t="s">
        <v>100</v>
      </c>
      <c r="G288" s="163"/>
      <c r="H288" s="163">
        <v>20</v>
      </c>
      <c r="I288" s="163">
        <v>3</v>
      </c>
      <c r="J288" s="163">
        <v>6</v>
      </c>
      <c r="K288" s="163">
        <v>0</v>
      </c>
      <c r="L288" s="163">
        <v>1</v>
      </c>
      <c r="M288" s="163">
        <v>4</v>
      </c>
      <c r="N288" s="163">
        <v>69</v>
      </c>
      <c r="O288" s="163">
        <v>0</v>
      </c>
      <c r="P288" s="163">
        <v>1252</v>
      </c>
      <c r="Q288" s="163">
        <v>5208.32</v>
      </c>
      <c r="R288" s="163">
        <v>75.482898551000005</v>
      </c>
      <c r="S288" s="163">
        <v>4.16</v>
      </c>
      <c r="T288" s="163">
        <v>18.144927536000001</v>
      </c>
      <c r="U288" s="161">
        <f t="shared" si="9"/>
        <v>2.0230527834184649E-4</v>
      </c>
      <c r="V288" s="161">
        <f t="shared" si="8"/>
        <v>1.2774460873367035E-4</v>
      </c>
    </row>
    <row r="289" spans="2:22">
      <c r="B289" s="163">
        <v>2018</v>
      </c>
      <c r="C289" s="163">
        <v>20030600549</v>
      </c>
      <c r="D289" s="163" t="s">
        <v>474</v>
      </c>
      <c r="E289" s="163" t="s">
        <v>389</v>
      </c>
      <c r="F289" s="163" t="s">
        <v>100</v>
      </c>
      <c r="G289" s="163"/>
      <c r="H289" s="163">
        <v>20</v>
      </c>
      <c r="I289" s="163">
        <v>3</v>
      </c>
      <c r="J289" s="163">
        <v>6</v>
      </c>
      <c r="K289" s="163">
        <v>0</v>
      </c>
      <c r="L289" s="163">
        <v>1</v>
      </c>
      <c r="M289" s="163">
        <v>4</v>
      </c>
      <c r="N289" s="163">
        <v>27</v>
      </c>
      <c r="O289" s="163">
        <v>0</v>
      </c>
      <c r="P289" s="163">
        <v>266</v>
      </c>
      <c r="Q289" s="163">
        <v>1609.3</v>
      </c>
      <c r="R289" s="163">
        <v>59.603703703999997</v>
      </c>
      <c r="S289" s="163">
        <v>6.05</v>
      </c>
      <c r="T289" s="163">
        <v>9.8518518518999993</v>
      </c>
      <c r="U289" s="161">
        <f t="shared" si="9"/>
        <v>4.2981792363363548E-5</v>
      </c>
      <c r="V289" s="161">
        <f t="shared" si="8"/>
        <v>2.7140627734150407E-5</v>
      </c>
    </row>
    <row r="290" spans="2:22">
      <c r="B290" s="163">
        <v>2018</v>
      </c>
      <c r="C290" s="163">
        <v>20030600550</v>
      </c>
      <c r="D290" s="163" t="s">
        <v>475</v>
      </c>
      <c r="E290" s="163" t="s">
        <v>389</v>
      </c>
      <c r="F290" s="163" t="s">
        <v>100</v>
      </c>
      <c r="G290" s="163"/>
      <c r="H290" s="163">
        <v>20</v>
      </c>
      <c r="I290" s="163">
        <v>3</v>
      </c>
      <c r="J290" s="163">
        <v>6</v>
      </c>
      <c r="K290" s="163">
        <v>0</v>
      </c>
      <c r="L290" s="163">
        <v>1</v>
      </c>
      <c r="M290" s="163">
        <v>4</v>
      </c>
      <c r="N290" s="163">
        <v>73</v>
      </c>
      <c r="O290" s="163">
        <v>0</v>
      </c>
      <c r="P290" s="163">
        <v>954</v>
      </c>
      <c r="Q290" s="163">
        <v>2575.8000000000002</v>
      </c>
      <c r="R290" s="163">
        <v>35.284931507000003</v>
      </c>
      <c r="S290" s="163">
        <v>2.7</v>
      </c>
      <c r="T290" s="163">
        <v>13.068493151</v>
      </c>
      <c r="U290" s="161">
        <f t="shared" si="9"/>
        <v>1.5415274404003318E-4</v>
      </c>
      <c r="V290" s="161">
        <f t="shared" si="8"/>
        <v>9.7338943076614626E-5</v>
      </c>
    </row>
    <row r="291" spans="2:22">
      <c r="B291" s="163">
        <v>2018</v>
      </c>
      <c r="C291" s="163">
        <v>20030600551</v>
      </c>
      <c r="D291" s="163" t="s">
        <v>476</v>
      </c>
      <c r="E291" s="163" t="s">
        <v>389</v>
      </c>
      <c r="F291" s="163" t="s">
        <v>100</v>
      </c>
      <c r="G291" s="163"/>
      <c r="H291" s="163">
        <v>20</v>
      </c>
      <c r="I291" s="163">
        <v>3</v>
      </c>
      <c r="J291" s="163">
        <v>6</v>
      </c>
      <c r="K291" s="163">
        <v>0</v>
      </c>
      <c r="L291" s="163">
        <v>1</v>
      </c>
      <c r="M291" s="163">
        <v>4</v>
      </c>
      <c r="N291" s="163">
        <v>133</v>
      </c>
      <c r="O291" s="163">
        <v>0</v>
      </c>
      <c r="P291" s="163">
        <v>1972</v>
      </c>
      <c r="Q291" s="163">
        <v>6310.4</v>
      </c>
      <c r="R291" s="163">
        <v>47.446616540999997</v>
      </c>
      <c r="S291" s="163">
        <v>3.2</v>
      </c>
      <c r="T291" s="163">
        <v>14.827067669</v>
      </c>
      <c r="U291" s="161">
        <f t="shared" si="9"/>
        <v>3.1864697195696588E-4</v>
      </c>
      <c r="V291" s="161">
        <f t="shared" si="8"/>
        <v>2.0120796199903988E-4</v>
      </c>
    </row>
    <row r="292" spans="2:22">
      <c r="B292" s="163">
        <v>2018</v>
      </c>
      <c r="C292" s="163">
        <v>20030600563</v>
      </c>
      <c r="D292" s="163" t="s">
        <v>477</v>
      </c>
      <c r="E292" s="163" t="s">
        <v>389</v>
      </c>
      <c r="F292" s="163" t="s">
        <v>100</v>
      </c>
      <c r="G292" s="163"/>
      <c r="H292" s="163">
        <v>20</v>
      </c>
      <c r="I292" s="163">
        <v>3</v>
      </c>
      <c r="J292" s="163">
        <v>6</v>
      </c>
      <c r="K292" s="163">
        <v>0</v>
      </c>
      <c r="L292" s="163">
        <v>1</v>
      </c>
      <c r="M292" s="163">
        <v>4</v>
      </c>
      <c r="N292" s="163">
        <v>62</v>
      </c>
      <c r="O292" s="163">
        <v>0</v>
      </c>
      <c r="P292" s="163">
        <v>583</v>
      </c>
      <c r="Q292" s="163">
        <v>1346.73</v>
      </c>
      <c r="R292" s="163">
        <v>21.721451612999999</v>
      </c>
      <c r="S292" s="163">
        <v>2.31</v>
      </c>
      <c r="T292" s="163">
        <v>9.4032258065000001</v>
      </c>
      <c r="U292" s="161">
        <f t="shared" si="9"/>
        <v>9.420445469113138E-5</v>
      </c>
      <c r="V292" s="161">
        <f t="shared" si="8"/>
        <v>5.9484909657931163E-5</v>
      </c>
    </row>
    <row r="293" spans="2:22">
      <c r="B293" s="163">
        <v>2018</v>
      </c>
      <c r="C293" s="163">
        <v>20030600564</v>
      </c>
      <c r="D293" s="163" t="s">
        <v>478</v>
      </c>
      <c r="E293" s="163" t="s">
        <v>389</v>
      </c>
      <c r="F293" s="163" t="s">
        <v>100</v>
      </c>
      <c r="G293" s="163"/>
      <c r="H293" s="163">
        <v>20</v>
      </c>
      <c r="I293" s="163">
        <v>3</v>
      </c>
      <c r="J293" s="163">
        <v>6</v>
      </c>
      <c r="K293" s="163">
        <v>0</v>
      </c>
      <c r="L293" s="163">
        <v>1</v>
      </c>
      <c r="M293" s="163">
        <v>4</v>
      </c>
      <c r="N293" s="163">
        <v>94</v>
      </c>
      <c r="O293" s="163">
        <v>0</v>
      </c>
      <c r="P293" s="163">
        <v>1373</v>
      </c>
      <c r="Q293" s="163">
        <v>5601.84</v>
      </c>
      <c r="R293" s="163">
        <v>59.594042553000001</v>
      </c>
      <c r="S293" s="163">
        <v>4.08</v>
      </c>
      <c r="T293" s="163">
        <v>14.606382978999999</v>
      </c>
      <c r="U293" s="161">
        <f t="shared" si="9"/>
        <v>2.2185714629660959E-4</v>
      </c>
      <c r="V293" s="161">
        <f t="shared" si="8"/>
        <v>1.4009053337965606E-4</v>
      </c>
    </row>
    <row r="294" spans="2:22">
      <c r="B294" s="163">
        <v>2018</v>
      </c>
      <c r="C294" s="163">
        <v>20030600565</v>
      </c>
      <c r="D294" s="163" t="s">
        <v>479</v>
      </c>
      <c r="E294" s="163" t="s">
        <v>389</v>
      </c>
      <c r="F294" s="163" t="s">
        <v>100</v>
      </c>
      <c r="G294" s="163"/>
      <c r="H294" s="163">
        <v>20</v>
      </c>
      <c r="I294" s="163">
        <v>3</v>
      </c>
      <c r="J294" s="163">
        <v>6</v>
      </c>
      <c r="K294" s="163">
        <v>0</v>
      </c>
      <c r="L294" s="163">
        <v>1</v>
      </c>
      <c r="M294" s="163">
        <v>4</v>
      </c>
      <c r="N294" s="163">
        <v>35</v>
      </c>
      <c r="O294" s="163">
        <v>0</v>
      </c>
      <c r="P294" s="163">
        <v>392</v>
      </c>
      <c r="Q294" s="163">
        <v>1869.84</v>
      </c>
      <c r="R294" s="163">
        <v>53.423999999999999</v>
      </c>
      <c r="S294" s="163">
        <v>4.7699999999999996</v>
      </c>
      <c r="T294" s="163">
        <v>11.2</v>
      </c>
      <c r="U294" s="161">
        <f t="shared" si="9"/>
        <v>6.3341588746009439E-5</v>
      </c>
      <c r="V294" s="161">
        <f t="shared" si="8"/>
        <v>3.9996714555590073E-5</v>
      </c>
    </row>
    <row r="295" spans="2:22">
      <c r="B295" s="163">
        <v>2018</v>
      </c>
      <c r="C295" s="163">
        <v>20030600566</v>
      </c>
      <c r="D295" s="163" t="s">
        <v>480</v>
      </c>
      <c r="E295" s="163" t="s">
        <v>389</v>
      </c>
      <c r="F295" s="163" t="s">
        <v>100</v>
      </c>
      <c r="G295" s="163"/>
      <c r="H295" s="163">
        <v>20</v>
      </c>
      <c r="I295" s="163">
        <v>3</v>
      </c>
      <c r="J295" s="163">
        <v>6</v>
      </c>
      <c r="K295" s="163">
        <v>0</v>
      </c>
      <c r="L295" s="163">
        <v>1</v>
      </c>
      <c r="M295" s="163">
        <v>4</v>
      </c>
      <c r="N295" s="163">
        <v>9</v>
      </c>
      <c r="O295" s="163">
        <v>0</v>
      </c>
      <c r="P295" s="163">
        <v>101</v>
      </c>
      <c r="Q295" s="163">
        <v>681.75</v>
      </c>
      <c r="R295" s="163">
        <v>75.75</v>
      </c>
      <c r="S295" s="163">
        <v>6.75</v>
      </c>
      <c r="T295" s="163">
        <v>11.222222221999999</v>
      </c>
      <c r="U295" s="161">
        <f t="shared" si="9"/>
        <v>1.6320154243232024E-5</v>
      </c>
      <c r="V295" s="161">
        <f t="shared" si="8"/>
        <v>1.0305275944169892E-5</v>
      </c>
    </row>
    <row r="296" spans="2:22">
      <c r="B296" s="163">
        <v>2018</v>
      </c>
      <c r="C296" s="163">
        <v>20030600567</v>
      </c>
      <c r="D296" s="163" t="s">
        <v>481</v>
      </c>
      <c r="E296" s="163" t="s">
        <v>389</v>
      </c>
      <c r="F296" s="163" t="s">
        <v>100</v>
      </c>
      <c r="G296" s="163"/>
      <c r="H296" s="163">
        <v>20</v>
      </c>
      <c r="I296" s="163">
        <v>3</v>
      </c>
      <c r="J296" s="163">
        <v>6</v>
      </c>
      <c r="K296" s="163">
        <v>0</v>
      </c>
      <c r="L296" s="163">
        <v>1</v>
      </c>
      <c r="M296" s="163">
        <v>4</v>
      </c>
      <c r="N296" s="163">
        <v>8</v>
      </c>
      <c r="O296" s="163">
        <v>0</v>
      </c>
      <c r="P296" s="163">
        <v>138</v>
      </c>
      <c r="Q296" s="163">
        <v>1406.22</v>
      </c>
      <c r="R296" s="163">
        <v>175.7775</v>
      </c>
      <c r="S296" s="163">
        <v>10.19</v>
      </c>
      <c r="T296" s="163">
        <v>17.25</v>
      </c>
      <c r="U296" s="161">
        <f t="shared" si="9"/>
        <v>2.2298824609564546E-5</v>
      </c>
      <c r="V296" s="161">
        <f t="shared" si="8"/>
        <v>1.408047604252916E-5</v>
      </c>
    </row>
    <row r="297" spans="2:22">
      <c r="B297" s="163">
        <v>2018</v>
      </c>
      <c r="C297" s="163">
        <v>20030600568</v>
      </c>
      <c r="D297" s="163" t="s">
        <v>482</v>
      </c>
      <c r="E297" s="163" t="s">
        <v>389</v>
      </c>
      <c r="F297" s="163" t="s">
        <v>100</v>
      </c>
      <c r="G297" s="163"/>
      <c r="H297" s="163">
        <v>20</v>
      </c>
      <c r="I297" s="163">
        <v>3</v>
      </c>
      <c r="J297" s="163">
        <v>6</v>
      </c>
      <c r="K297" s="163">
        <v>0</v>
      </c>
      <c r="L297" s="163">
        <v>1</v>
      </c>
      <c r="M297" s="163">
        <v>4</v>
      </c>
      <c r="N297" s="163">
        <v>10</v>
      </c>
      <c r="O297" s="163">
        <v>0</v>
      </c>
      <c r="P297" s="163">
        <v>145</v>
      </c>
      <c r="Q297" s="163">
        <v>978.75</v>
      </c>
      <c r="R297" s="163">
        <v>97.875</v>
      </c>
      <c r="S297" s="163">
        <v>6.75</v>
      </c>
      <c r="T297" s="163">
        <v>14.5</v>
      </c>
      <c r="U297" s="161">
        <f t="shared" si="9"/>
        <v>2.342992440860043E-5</v>
      </c>
      <c r="V297" s="161">
        <f t="shared" si="8"/>
        <v>1.4794703088164697E-5</v>
      </c>
    </row>
    <row r="298" spans="2:22">
      <c r="B298" s="163">
        <v>2018</v>
      </c>
      <c r="C298" s="163">
        <v>20030600569</v>
      </c>
      <c r="D298" s="163" t="s">
        <v>483</v>
      </c>
      <c r="E298" s="163" t="s">
        <v>389</v>
      </c>
      <c r="F298" s="163" t="s">
        <v>100</v>
      </c>
      <c r="G298" s="163"/>
      <c r="H298" s="163">
        <v>20</v>
      </c>
      <c r="I298" s="163">
        <v>3</v>
      </c>
      <c r="J298" s="163">
        <v>6</v>
      </c>
      <c r="K298" s="163">
        <v>0</v>
      </c>
      <c r="L298" s="163">
        <v>1</v>
      </c>
      <c r="M298" s="163">
        <v>4</v>
      </c>
      <c r="N298" s="163">
        <v>24</v>
      </c>
      <c r="O298" s="163">
        <v>0</v>
      </c>
      <c r="P298" s="163">
        <v>380</v>
      </c>
      <c r="Q298" s="163">
        <v>3093.2</v>
      </c>
      <c r="R298" s="163">
        <v>128.88333333</v>
      </c>
      <c r="S298" s="163">
        <v>8.14</v>
      </c>
      <c r="T298" s="163">
        <v>15.833333333000001</v>
      </c>
      <c r="U298" s="161">
        <f t="shared" si="9"/>
        <v>6.1402560519090784E-5</v>
      </c>
      <c r="V298" s="161">
        <f t="shared" si="8"/>
        <v>3.8772325334500585E-5</v>
      </c>
    </row>
    <row r="299" spans="2:22">
      <c r="B299" s="163">
        <v>2018</v>
      </c>
      <c r="C299" s="163">
        <v>20030600570</v>
      </c>
      <c r="D299" s="163" t="s">
        <v>484</v>
      </c>
      <c r="E299" s="163" t="s">
        <v>389</v>
      </c>
      <c r="F299" s="163" t="s">
        <v>100</v>
      </c>
      <c r="G299" s="163"/>
      <c r="H299" s="163">
        <v>20</v>
      </c>
      <c r="I299" s="163">
        <v>3</v>
      </c>
      <c r="J299" s="163">
        <v>6</v>
      </c>
      <c r="K299" s="163">
        <v>0</v>
      </c>
      <c r="L299" s="163">
        <v>1</v>
      </c>
      <c r="M299" s="163">
        <v>4</v>
      </c>
      <c r="N299" s="163">
        <v>189</v>
      </c>
      <c r="O299" s="163">
        <v>0</v>
      </c>
      <c r="P299" s="163">
        <v>3057</v>
      </c>
      <c r="Q299" s="163">
        <v>5869.44</v>
      </c>
      <c r="R299" s="163">
        <v>31.055238095</v>
      </c>
      <c r="S299" s="163">
        <v>1.92</v>
      </c>
      <c r="T299" s="163">
        <v>16.174603175000001</v>
      </c>
      <c r="U299" s="161">
        <f t="shared" si="9"/>
        <v>4.9396744080752774E-4</v>
      </c>
      <c r="V299" s="161">
        <f t="shared" si="8"/>
        <v>3.119131540725481E-4</v>
      </c>
    </row>
    <row r="300" spans="2:22">
      <c r="B300" s="163">
        <v>2018</v>
      </c>
      <c r="C300" s="163">
        <v>20030600571</v>
      </c>
      <c r="D300" s="163" t="s">
        <v>485</v>
      </c>
      <c r="E300" s="163" t="s">
        <v>389</v>
      </c>
      <c r="F300" s="163" t="s">
        <v>100</v>
      </c>
      <c r="G300" s="163"/>
      <c r="H300" s="163">
        <v>20</v>
      </c>
      <c r="I300" s="163">
        <v>3</v>
      </c>
      <c r="J300" s="163">
        <v>6</v>
      </c>
      <c r="K300" s="163">
        <v>0</v>
      </c>
      <c r="L300" s="163">
        <v>1</v>
      </c>
      <c r="M300" s="163">
        <v>4</v>
      </c>
      <c r="N300" s="163">
        <v>57</v>
      </c>
      <c r="O300" s="163">
        <v>0</v>
      </c>
      <c r="P300" s="163">
        <v>779</v>
      </c>
      <c r="Q300" s="163">
        <v>2469.4299999999998</v>
      </c>
      <c r="R300" s="163">
        <v>43.323333333000001</v>
      </c>
      <c r="S300" s="163">
        <v>3.17</v>
      </c>
      <c r="T300" s="163">
        <v>13.666666666999999</v>
      </c>
      <c r="U300" s="161">
        <f t="shared" si="9"/>
        <v>1.2587524906413611E-4</v>
      </c>
      <c r="V300" s="161">
        <f t="shared" si="8"/>
        <v>7.9483266935726193E-5</v>
      </c>
    </row>
    <row r="301" spans="2:22">
      <c r="B301" s="163">
        <v>2018</v>
      </c>
      <c r="C301" s="163">
        <v>20030600572</v>
      </c>
      <c r="D301" s="163" t="s">
        <v>486</v>
      </c>
      <c r="E301" s="163" t="s">
        <v>389</v>
      </c>
      <c r="F301" s="163" t="s">
        <v>100</v>
      </c>
      <c r="G301" s="163"/>
      <c r="H301" s="163">
        <v>20</v>
      </c>
      <c r="I301" s="163">
        <v>3</v>
      </c>
      <c r="J301" s="163">
        <v>6</v>
      </c>
      <c r="K301" s="163">
        <v>0</v>
      </c>
      <c r="L301" s="163">
        <v>1</v>
      </c>
      <c r="M301" s="163">
        <v>4</v>
      </c>
      <c r="N301" s="163">
        <v>129</v>
      </c>
      <c r="O301" s="163">
        <v>0</v>
      </c>
      <c r="P301" s="163">
        <v>1744</v>
      </c>
      <c r="Q301" s="163">
        <v>6958.56</v>
      </c>
      <c r="R301" s="163">
        <v>53.942325580999999</v>
      </c>
      <c r="S301" s="163">
        <v>3.99</v>
      </c>
      <c r="T301" s="163">
        <v>13.519379845</v>
      </c>
      <c r="U301" s="161">
        <f t="shared" si="9"/>
        <v>2.8180543564551141E-4</v>
      </c>
      <c r="V301" s="161">
        <f t="shared" si="8"/>
        <v>1.7794456679833952E-4</v>
      </c>
    </row>
    <row r="302" spans="2:22">
      <c r="B302" s="163">
        <v>2018</v>
      </c>
      <c r="C302" s="163">
        <v>20030600573</v>
      </c>
      <c r="D302" s="163" t="s">
        <v>487</v>
      </c>
      <c r="E302" s="163" t="s">
        <v>389</v>
      </c>
      <c r="F302" s="163" t="s">
        <v>100</v>
      </c>
      <c r="G302" s="163"/>
      <c r="H302" s="163">
        <v>20</v>
      </c>
      <c r="I302" s="163">
        <v>3</v>
      </c>
      <c r="J302" s="163">
        <v>6</v>
      </c>
      <c r="K302" s="163">
        <v>0</v>
      </c>
      <c r="L302" s="163">
        <v>1</v>
      </c>
      <c r="M302" s="163">
        <v>4</v>
      </c>
      <c r="N302" s="163">
        <v>25</v>
      </c>
      <c r="O302" s="163">
        <v>0</v>
      </c>
      <c r="P302" s="163">
        <v>370</v>
      </c>
      <c r="Q302" s="163">
        <v>2475.3000000000002</v>
      </c>
      <c r="R302" s="163">
        <v>99.012</v>
      </c>
      <c r="S302" s="163">
        <v>6.69</v>
      </c>
      <c r="T302" s="163">
        <v>14.8</v>
      </c>
      <c r="U302" s="161">
        <f t="shared" si="9"/>
        <v>5.9786703663325239E-5</v>
      </c>
      <c r="V302" s="161">
        <f t="shared" si="8"/>
        <v>3.7752000983592677E-5</v>
      </c>
    </row>
    <row r="303" spans="2:22">
      <c r="B303" s="163">
        <v>2018</v>
      </c>
      <c r="C303" s="163">
        <v>20030600574</v>
      </c>
      <c r="D303" s="163" t="s">
        <v>488</v>
      </c>
      <c r="E303" s="163" t="s">
        <v>389</v>
      </c>
      <c r="F303" s="163" t="s">
        <v>100</v>
      </c>
      <c r="G303" s="163"/>
      <c r="H303" s="163">
        <v>20</v>
      </c>
      <c r="I303" s="163">
        <v>3</v>
      </c>
      <c r="J303" s="163">
        <v>6</v>
      </c>
      <c r="K303" s="163">
        <v>0</v>
      </c>
      <c r="L303" s="163">
        <v>1</v>
      </c>
      <c r="M303" s="163">
        <v>4</v>
      </c>
      <c r="N303" s="163">
        <v>24</v>
      </c>
      <c r="O303" s="163">
        <v>0</v>
      </c>
      <c r="P303" s="163">
        <v>333</v>
      </c>
      <c r="Q303" s="163">
        <v>3263.4</v>
      </c>
      <c r="R303" s="163">
        <v>135.97499999999999</v>
      </c>
      <c r="S303" s="163">
        <v>9.8000000000000007</v>
      </c>
      <c r="T303" s="163">
        <v>13.875</v>
      </c>
      <c r="U303" s="161">
        <f t="shared" si="9"/>
        <v>5.380803329699271E-5</v>
      </c>
      <c r="V303" s="161">
        <f t="shared" si="8"/>
        <v>3.3976800885233404E-5</v>
      </c>
    </row>
    <row r="304" spans="2:22">
      <c r="B304" s="163">
        <v>2018</v>
      </c>
      <c r="C304" s="163">
        <v>20030600575</v>
      </c>
      <c r="D304" s="163" t="s">
        <v>489</v>
      </c>
      <c r="E304" s="163" t="s">
        <v>389</v>
      </c>
      <c r="F304" s="163" t="s">
        <v>100</v>
      </c>
      <c r="G304" s="163"/>
      <c r="H304" s="163">
        <v>20</v>
      </c>
      <c r="I304" s="163">
        <v>3</v>
      </c>
      <c r="J304" s="163">
        <v>6</v>
      </c>
      <c r="K304" s="163">
        <v>0</v>
      </c>
      <c r="L304" s="163">
        <v>1</v>
      </c>
      <c r="M304" s="163">
        <v>4</v>
      </c>
      <c r="N304" s="163">
        <v>16</v>
      </c>
      <c r="O304" s="163">
        <v>0</v>
      </c>
      <c r="P304" s="163">
        <v>193</v>
      </c>
      <c r="Q304" s="163">
        <v>1291.17</v>
      </c>
      <c r="R304" s="163">
        <v>80.698125000000005</v>
      </c>
      <c r="S304" s="163">
        <v>6.69</v>
      </c>
      <c r="T304" s="163">
        <v>12.0625</v>
      </c>
      <c r="U304" s="161">
        <f t="shared" si="9"/>
        <v>3.1186037316275059E-5</v>
      </c>
      <c r="V304" s="161">
        <f t="shared" si="8"/>
        <v>1.9692259972522666E-5</v>
      </c>
    </row>
    <row r="305" spans="2:22">
      <c r="B305" s="163">
        <v>2018</v>
      </c>
      <c r="C305" s="163">
        <v>20030600576</v>
      </c>
      <c r="D305" s="163" t="s">
        <v>490</v>
      </c>
      <c r="E305" s="163" t="s">
        <v>389</v>
      </c>
      <c r="F305" s="163" t="s">
        <v>100</v>
      </c>
      <c r="G305" s="163"/>
      <c r="H305" s="163">
        <v>20</v>
      </c>
      <c r="I305" s="163">
        <v>3</v>
      </c>
      <c r="J305" s="163">
        <v>6</v>
      </c>
      <c r="K305" s="163">
        <v>0</v>
      </c>
      <c r="L305" s="163">
        <v>1</v>
      </c>
      <c r="M305" s="163">
        <v>4</v>
      </c>
      <c r="N305" s="163">
        <v>4</v>
      </c>
      <c r="O305" s="163">
        <v>0</v>
      </c>
      <c r="P305" s="163">
        <v>34</v>
      </c>
      <c r="Q305" s="163">
        <v>28.56</v>
      </c>
      <c r="R305" s="163">
        <v>7.14</v>
      </c>
      <c r="S305" s="163">
        <v>0.84</v>
      </c>
      <c r="T305" s="163">
        <v>8.5</v>
      </c>
      <c r="U305" s="161">
        <f t="shared" si="9"/>
        <v>5.4939133096028595E-6</v>
      </c>
      <c r="V305" s="161">
        <f t="shared" si="8"/>
        <v>3.4691027930868944E-6</v>
      </c>
    </row>
    <row r="306" spans="2:22">
      <c r="B306" s="163">
        <v>2018</v>
      </c>
      <c r="C306" s="163">
        <v>20030600578</v>
      </c>
      <c r="D306" s="163" t="s">
        <v>491</v>
      </c>
      <c r="E306" s="163" t="s">
        <v>389</v>
      </c>
      <c r="F306" s="163" t="s">
        <v>100</v>
      </c>
      <c r="G306" s="163"/>
      <c r="H306" s="163">
        <v>20</v>
      </c>
      <c r="I306" s="163">
        <v>3</v>
      </c>
      <c r="J306" s="163">
        <v>6</v>
      </c>
      <c r="K306" s="163">
        <v>0</v>
      </c>
      <c r="L306" s="163">
        <v>1</v>
      </c>
      <c r="M306" s="163">
        <v>4</v>
      </c>
      <c r="N306" s="163">
        <v>1</v>
      </c>
      <c r="O306" s="163">
        <v>0</v>
      </c>
      <c r="P306" s="163">
        <v>1</v>
      </c>
      <c r="Q306" s="163">
        <v>2.73</v>
      </c>
      <c r="R306" s="163">
        <v>2.73</v>
      </c>
      <c r="S306" s="163">
        <v>2.73</v>
      </c>
      <c r="T306" s="163">
        <v>1</v>
      </c>
      <c r="U306" s="161">
        <f t="shared" si="9"/>
        <v>1.615856855765547E-7</v>
      </c>
      <c r="V306" s="161">
        <f t="shared" si="8"/>
        <v>1.0203243509079101E-7</v>
      </c>
    </row>
    <row r="307" spans="2:22">
      <c r="B307" s="163">
        <v>2018</v>
      </c>
      <c r="C307" s="163">
        <v>20030600579</v>
      </c>
      <c r="D307" s="163" t="s">
        <v>492</v>
      </c>
      <c r="E307" s="163" t="s">
        <v>389</v>
      </c>
      <c r="F307" s="163" t="s">
        <v>100</v>
      </c>
      <c r="G307" s="163"/>
      <c r="H307" s="163">
        <v>20</v>
      </c>
      <c r="I307" s="163">
        <v>3</v>
      </c>
      <c r="J307" s="163">
        <v>6</v>
      </c>
      <c r="K307" s="163">
        <v>0</v>
      </c>
      <c r="L307" s="163">
        <v>1</v>
      </c>
      <c r="M307" s="163">
        <v>4</v>
      </c>
      <c r="N307" s="163">
        <v>1</v>
      </c>
      <c r="O307" s="163">
        <v>0</v>
      </c>
      <c r="P307" s="163">
        <v>30</v>
      </c>
      <c r="Q307" s="163">
        <v>89.4</v>
      </c>
      <c r="R307" s="163">
        <v>89.4</v>
      </c>
      <c r="S307" s="163">
        <v>2.98</v>
      </c>
      <c r="T307" s="163">
        <v>30</v>
      </c>
      <c r="U307" s="161">
        <f t="shared" si="9"/>
        <v>4.8475705672966407E-6</v>
      </c>
      <c r="V307" s="161">
        <f t="shared" si="8"/>
        <v>3.0609730527237304E-6</v>
      </c>
    </row>
    <row r="308" spans="2:22">
      <c r="B308" s="163">
        <v>2018</v>
      </c>
      <c r="C308" s="163">
        <v>20030600580</v>
      </c>
      <c r="D308" s="163" t="s">
        <v>493</v>
      </c>
      <c r="E308" s="163" t="s">
        <v>389</v>
      </c>
      <c r="F308" s="163" t="s">
        <v>100</v>
      </c>
      <c r="G308" s="163"/>
      <c r="H308" s="163">
        <v>20</v>
      </c>
      <c r="I308" s="163">
        <v>3</v>
      </c>
      <c r="J308" s="163">
        <v>6</v>
      </c>
      <c r="K308" s="163">
        <v>0</v>
      </c>
      <c r="L308" s="163">
        <v>1</v>
      </c>
      <c r="M308" s="163">
        <v>4</v>
      </c>
      <c r="N308" s="163">
        <v>8</v>
      </c>
      <c r="O308" s="163">
        <v>0</v>
      </c>
      <c r="P308" s="163">
        <v>287</v>
      </c>
      <c r="Q308" s="163">
        <v>152.29</v>
      </c>
      <c r="R308" s="163">
        <v>19.036249999999999</v>
      </c>
      <c r="S308" s="163">
        <v>0.53062717770000001</v>
      </c>
      <c r="T308" s="163">
        <v>35.875</v>
      </c>
      <c r="U308" s="161">
        <f t="shared" si="9"/>
        <v>4.6375091760471199E-5</v>
      </c>
      <c r="V308" s="161">
        <f t="shared" si="8"/>
        <v>2.9283308871057021E-5</v>
      </c>
    </row>
    <row r="309" spans="2:22">
      <c r="B309" s="163">
        <v>2018</v>
      </c>
      <c r="C309" s="163">
        <v>20030600581</v>
      </c>
      <c r="D309" s="163" t="s">
        <v>494</v>
      </c>
      <c r="E309" s="163" t="s">
        <v>389</v>
      </c>
      <c r="F309" s="163" t="s">
        <v>100</v>
      </c>
      <c r="G309" s="163"/>
      <c r="H309" s="163">
        <v>20</v>
      </c>
      <c r="I309" s="163">
        <v>3</v>
      </c>
      <c r="J309" s="163">
        <v>6</v>
      </c>
      <c r="K309" s="163">
        <v>0</v>
      </c>
      <c r="L309" s="163">
        <v>1</v>
      </c>
      <c r="M309" s="163">
        <v>4</v>
      </c>
      <c r="N309" s="163">
        <v>4</v>
      </c>
      <c r="O309" s="163">
        <v>0</v>
      </c>
      <c r="P309" s="163">
        <v>69</v>
      </c>
      <c r="Q309" s="163">
        <v>73.290000000000006</v>
      </c>
      <c r="R309" s="163">
        <v>18.322500000000002</v>
      </c>
      <c r="S309" s="163">
        <v>1.0621739130000001</v>
      </c>
      <c r="T309" s="163">
        <v>17.25</v>
      </c>
      <c r="U309" s="161">
        <f t="shared" si="9"/>
        <v>1.1149412304782273E-5</v>
      </c>
      <c r="V309" s="161">
        <f t="shared" si="8"/>
        <v>7.0402380212645798E-6</v>
      </c>
    </row>
    <row r="310" spans="2:22">
      <c r="B310" s="163">
        <v>2018</v>
      </c>
      <c r="C310" s="163">
        <v>20030600584</v>
      </c>
      <c r="D310" s="163" t="s">
        <v>495</v>
      </c>
      <c r="E310" s="163" t="s">
        <v>389</v>
      </c>
      <c r="F310" s="163" t="s">
        <v>100</v>
      </c>
      <c r="G310" s="163"/>
      <c r="H310" s="163">
        <v>20</v>
      </c>
      <c r="I310" s="163">
        <v>3</v>
      </c>
      <c r="J310" s="163">
        <v>6</v>
      </c>
      <c r="K310" s="163">
        <v>0</v>
      </c>
      <c r="L310" s="163">
        <v>1</v>
      </c>
      <c r="M310" s="163">
        <v>4</v>
      </c>
      <c r="N310" s="163">
        <v>3</v>
      </c>
      <c r="O310" s="163">
        <v>0</v>
      </c>
      <c r="P310" s="163">
        <v>36</v>
      </c>
      <c r="Q310" s="163">
        <v>104.04</v>
      </c>
      <c r="R310" s="163">
        <v>34.68</v>
      </c>
      <c r="S310" s="163">
        <v>2.89</v>
      </c>
      <c r="T310" s="163">
        <v>12</v>
      </c>
      <c r="U310" s="161">
        <f t="shared" si="9"/>
        <v>5.8170846807559685E-6</v>
      </c>
      <c r="V310" s="161">
        <f t="shared" si="8"/>
        <v>3.6731676632684764E-6</v>
      </c>
    </row>
    <row r="311" spans="2:22">
      <c r="B311" s="163">
        <v>2018</v>
      </c>
      <c r="C311" s="163">
        <v>20030800125</v>
      </c>
      <c r="D311" s="163" t="s">
        <v>496</v>
      </c>
      <c r="E311" s="163" t="s">
        <v>389</v>
      </c>
      <c r="F311" s="163" t="s">
        <v>100</v>
      </c>
      <c r="G311" s="163"/>
      <c r="H311" s="163">
        <v>20</v>
      </c>
      <c r="I311" s="163">
        <v>3</v>
      </c>
      <c r="J311" s="163">
        <v>8</v>
      </c>
      <c r="K311" s="163">
        <v>0</v>
      </c>
      <c r="L311" s="163">
        <v>1</v>
      </c>
      <c r="M311" s="163">
        <v>4</v>
      </c>
      <c r="N311" s="163">
        <v>10</v>
      </c>
      <c r="O311" s="163">
        <v>0</v>
      </c>
      <c r="P311" s="163">
        <v>140</v>
      </c>
      <c r="Q311" s="163">
        <v>287</v>
      </c>
      <c r="R311" s="163">
        <v>28.7</v>
      </c>
      <c r="S311" s="163">
        <v>2.0499999999999998</v>
      </c>
      <c r="T311" s="163">
        <v>14</v>
      </c>
      <c r="U311" s="161">
        <f t="shared" si="9"/>
        <v>2.2621995980717658E-5</v>
      </c>
      <c r="V311" s="161">
        <f t="shared" si="8"/>
        <v>1.4284540912710741E-5</v>
      </c>
    </row>
    <row r="312" spans="2:22">
      <c r="B312" s="163">
        <v>2018</v>
      </c>
      <c r="C312" s="163">
        <v>20030800135</v>
      </c>
      <c r="D312" s="163" t="s">
        <v>497</v>
      </c>
      <c r="E312" s="163" t="s">
        <v>389</v>
      </c>
      <c r="F312" s="163" t="s">
        <v>100</v>
      </c>
      <c r="G312" s="163"/>
      <c r="H312" s="163">
        <v>20</v>
      </c>
      <c r="I312" s="163">
        <v>3</v>
      </c>
      <c r="J312" s="163">
        <v>8</v>
      </c>
      <c r="K312" s="163">
        <v>0</v>
      </c>
      <c r="L312" s="163">
        <v>1</v>
      </c>
      <c r="M312" s="163">
        <v>4</v>
      </c>
      <c r="N312" s="163">
        <v>9</v>
      </c>
      <c r="O312" s="163">
        <v>0</v>
      </c>
      <c r="P312" s="163">
        <v>118</v>
      </c>
      <c r="Q312" s="163">
        <v>293.82</v>
      </c>
      <c r="R312" s="163">
        <v>32.646666666999998</v>
      </c>
      <c r="S312" s="163">
        <v>2.4900000000000002</v>
      </c>
      <c r="T312" s="163">
        <v>13.111111111</v>
      </c>
      <c r="U312" s="161">
        <f t="shared" si="9"/>
        <v>1.9067110898033455E-5</v>
      </c>
      <c r="V312" s="161">
        <f t="shared" si="8"/>
        <v>1.203982734071334E-5</v>
      </c>
    </row>
    <row r="313" spans="2:22">
      <c r="B313" s="163">
        <v>2018</v>
      </c>
      <c r="C313" s="163">
        <v>20030900201</v>
      </c>
      <c r="D313" s="163" t="s">
        <v>498</v>
      </c>
      <c r="E313" s="163" t="s">
        <v>389</v>
      </c>
      <c r="F313" s="163" t="s">
        <v>100</v>
      </c>
      <c r="G313" s="163"/>
      <c r="H313" s="163">
        <v>20</v>
      </c>
      <c r="I313" s="163">
        <v>3</v>
      </c>
      <c r="J313" s="163">
        <v>9</v>
      </c>
      <c r="K313" s="163">
        <v>0</v>
      </c>
      <c r="L313" s="163">
        <v>1</v>
      </c>
      <c r="M313" s="163">
        <v>4</v>
      </c>
      <c r="N313" s="163">
        <v>6482</v>
      </c>
      <c r="O313" s="163">
        <v>0</v>
      </c>
      <c r="P313" s="163">
        <v>77589</v>
      </c>
      <c r="Q313" s="163">
        <v>114630.69</v>
      </c>
      <c r="R313" s="163">
        <v>17.684463129000001</v>
      </c>
      <c r="S313" s="163">
        <v>1.4774090398999999</v>
      </c>
      <c r="T313" s="163">
        <v>11.969916692</v>
      </c>
      <c r="U313" s="161">
        <f t="shared" si="9"/>
        <v>1.2537271758199303E-2</v>
      </c>
      <c r="V313" s="161">
        <f t="shared" si="8"/>
        <v>7.9165946062593837E-3</v>
      </c>
    </row>
    <row r="314" spans="2:22">
      <c r="B314" s="163">
        <v>2018</v>
      </c>
      <c r="C314" s="163">
        <v>20030900202</v>
      </c>
      <c r="D314" s="163" t="s">
        <v>499</v>
      </c>
      <c r="E314" s="163" t="s">
        <v>389</v>
      </c>
      <c r="F314" s="163" t="s">
        <v>100</v>
      </c>
      <c r="G314" s="163"/>
      <c r="H314" s="163">
        <v>20</v>
      </c>
      <c r="I314" s="163">
        <v>3</v>
      </c>
      <c r="J314" s="163">
        <v>9</v>
      </c>
      <c r="K314" s="163">
        <v>0</v>
      </c>
      <c r="L314" s="163">
        <v>1</v>
      </c>
      <c r="M314" s="163">
        <v>4</v>
      </c>
      <c r="N314" s="163">
        <v>12148</v>
      </c>
      <c r="O314" s="163">
        <v>0</v>
      </c>
      <c r="P314" s="163">
        <v>154275</v>
      </c>
      <c r="Q314" s="163">
        <v>334347.48</v>
      </c>
      <c r="R314" s="163">
        <v>27.522841620000001</v>
      </c>
      <c r="S314" s="163">
        <v>2.1672175012000001</v>
      </c>
      <c r="T314" s="163">
        <v>12.699621337</v>
      </c>
      <c r="U314" s="161">
        <f t="shared" si="9"/>
        <v>2.4928631642322976E-2</v>
      </c>
      <c r="V314" s="161">
        <f t="shared" si="8"/>
        <v>1.5741053923631784E-2</v>
      </c>
    </row>
    <row r="315" spans="2:22">
      <c r="B315" s="163">
        <v>2018</v>
      </c>
      <c r="C315" s="163">
        <v>20030900203</v>
      </c>
      <c r="D315" s="163" t="s">
        <v>500</v>
      </c>
      <c r="E315" s="163" t="s">
        <v>389</v>
      </c>
      <c r="F315" s="163" t="s">
        <v>100</v>
      </c>
      <c r="G315" s="163"/>
      <c r="H315" s="163">
        <v>20</v>
      </c>
      <c r="I315" s="163">
        <v>3</v>
      </c>
      <c r="J315" s="163">
        <v>9</v>
      </c>
      <c r="K315" s="163">
        <v>0</v>
      </c>
      <c r="L315" s="163">
        <v>1</v>
      </c>
      <c r="M315" s="163">
        <v>4</v>
      </c>
      <c r="N315" s="163">
        <v>2730</v>
      </c>
      <c r="O315" s="163">
        <v>0</v>
      </c>
      <c r="P315" s="163">
        <v>37839</v>
      </c>
      <c r="Q315" s="163">
        <v>131848.13</v>
      </c>
      <c r="R315" s="163">
        <v>48.296018314999998</v>
      </c>
      <c r="S315" s="163">
        <v>3.4844506989999999</v>
      </c>
      <c r="T315" s="163">
        <v>13.86043956</v>
      </c>
      <c r="U315" s="161">
        <f t="shared" si="9"/>
        <v>6.1142407565312534E-3</v>
      </c>
      <c r="V315" s="161">
        <f t="shared" si="8"/>
        <v>3.8608053114004412E-3</v>
      </c>
    </row>
    <row r="316" spans="2:22">
      <c r="B316" s="163">
        <v>2018</v>
      </c>
      <c r="C316" s="163">
        <v>20030900204</v>
      </c>
      <c r="D316" s="163" t="s">
        <v>501</v>
      </c>
      <c r="E316" s="163" t="s">
        <v>389</v>
      </c>
      <c r="F316" s="163" t="s">
        <v>100</v>
      </c>
      <c r="G316" s="163"/>
      <c r="H316" s="163">
        <v>20</v>
      </c>
      <c r="I316" s="163">
        <v>3</v>
      </c>
      <c r="J316" s="163">
        <v>9</v>
      </c>
      <c r="K316" s="163">
        <v>0</v>
      </c>
      <c r="L316" s="163">
        <v>1</v>
      </c>
      <c r="M316" s="163">
        <v>4</v>
      </c>
      <c r="N316" s="163">
        <v>4030</v>
      </c>
      <c r="O316" s="163">
        <v>0</v>
      </c>
      <c r="P316" s="163">
        <v>55671</v>
      </c>
      <c r="Q316" s="163">
        <v>146635.12</v>
      </c>
      <c r="R316" s="163">
        <v>36.385885856000002</v>
      </c>
      <c r="S316" s="163">
        <v>2.6339587936000002</v>
      </c>
      <c r="T316" s="163">
        <v>13.814143920999999</v>
      </c>
      <c r="U316" s="161">
        <f t="shared" si="9"/>
        <v>8.9956367017323766E-3</v>
      </c>
      <c r="V316" s="161">
        <f t="shared" si="8"/>
        <v>5.6802476939394261E-3</v>
      </c>
    </row>
    <row r="317" spans="2:22">
      <c r="B317" s="163">
        <v>2018</v>
      </c>
      <c r="C317" s="163">
        <v>20030900223</v>
      </c>
      <c r="D317" s="163" t="s">
        <v>502</v>
      </c>
      <c r="E317" s="163" t="s">
        <v>389</v>
      </c>
      <c r="F317" s="163" t="s">
        <v>100</v>
      </c>
      <c r="G317" s="163"/>
      <c r="H317" s="163">
        <v>20</v>
      </c>
      <c r="I317" s="163">
        <v>3</v>
      </c>
      <c r="J317" s="163">
        <v>9</v>
      </c>
      <c r="K317" s="163">
        <v>0</v>
      </c>
      <c r="L317" s="163">
        <v>1</v>
      </c>
      <c r="M317" s="163">
        <v>4</v>
      </c>
      <c r="N317" s="163">
        <v>924</v>
      </c>
      <c r="O317" s="163">
        <v>0</v>
      </c>
      <c r="P317" s="163">
        <v>9691</v>
      </c>
      <c r="Q317" s="163">
        <v>78704.92</v>
      </c>
      <c r="R317" s="163">
        <v>85.178484847999997</v>
      </c>
      <c r="S317" s="163">
        <v>8.1214446393999999</v>
      </c>
      <c r="T317" s="163">
        <v>10.488095238</v>
      </c>
      <c r="U317" s="161">
        <f t="shared" si="9"/>
        <v>1.5659268789223915E-3</v>
      </c>
      <c r="V317" s="161">
        <f t="shared" si="8"/>
        <v>9.8879632846485569E-4</v>
      </c>
    </row>
    <row r="318" spans="2:22">
      <c r="B318" s="163">
        <v>2018</v>
      </c>
      <c r="C318" s="163">
        <v>20030900224</v>
      </c>
      <c r="D318" s="163" t="s">
        <v>503</v>
      </c>
      <c r="E318" s="163" t="s">
        <v>389</v>
      </c>
      <c r="F318" s="163" t="s">
        <v>100</v>
      </c>
      <c r="G318" s="163"/>
      <c r="H318" s="163">
        <v>20</v>
      </c>
      <c r="I318" s="163">
        <v>3</v>
      </c>
      <c r="J318" s="163">
        <v>9</v>
      </c>
      <c r="K318" s="163">
        <v>0</v>
      </c>
      <c r="L318" s="163">
        <v>1</v>
      </c>
      <c r="M318" s="163">
        <v>4</v>
      </c>
      <c r="N318" s="163">
        <v>1131</v>
      </c>
      <c r="O318" s="163">
        <v>0</v>
      </c>
      <c r="P318" s="163">
        <v>15100</v>
      </c>
      <c r="Q318" s="163">
        <v>68826.16</v>
      </c>
      <c r="R318" s="163">
        <v>60.854252873999997</v>
      </c>
      <c r="S318" s="163">
        <v>4.5580238410999998</v>
      </c>
      <c r="T318" s="163">
        <v>13.351016799</v>
      </c>
      <c r="U318" s="161">
        <f t="shared" si="9"/>
        <v>2.4399438522059759E-3</v>
      </c>
      <c r="V318" s="161">
        <f t="shared" si="8"/>
        <v>1.5406897698709444E-3</v>
      </c>
    </row>
    <row r="319" spans="2:22">
      <c r="B319" s="163">
        <v>2018</v>
      </c>
      <c r="C319" s="163">
        <v>20030900244</v>
      </c>
      <c r="D319" s="163" t="s">
        <v>504</v>
      </c>
      <c r="E319" s="163" t="s">
        <v>389</v>
      </c>
      <c r="F319" s="163" t="s">
        <v>100</v>
      </c>
      <c r="G319" s="163"/>
      <c r="H319" s="163">
        <v>20</v>
      </c>
      <c r="I319" s="163">
        <v>3</v>
      </c>
      <c r="J319" s="163">
        <v>9</v>
      </c>
      <c r="K319" s="163">
        <v>0</v>
      </c>
      <c r="L319" s="163">
        <v>1</v>
      </c>
      <c r="M319" s="163">
        <v>4</v>
      </c>
      <c r="N319" s="163">
        <v>22684</v>
      </c>
      <c r="O319" s="163">
        <v>0</v>
      </c>
      <c r="P319" s="163">
        <v>271115</v>
      </c>
      <c r="Q319" s="163">
        <v>319915.58</v>
      </c>
      <c r="R319" s="163">
        <v>14.103137895</v>
      </c>
      <c r="S319" s="163">
        <v>1.1799995574</v>
      </c>
      <c r="T319" s="163">
        <v>11.951816257999999</v>
      </c>
      <c r="U319" s="161">
        <f t="shared" si="9"/>
        <v>4.3808303145087622E-2</v>
      </c>
      <c r="V319" s="161">
        <f t="shared" si="8"/>
        <v>2.7662523639639804E-2</v>
      </c>
    </row>
    <row r="320" spans="2:22">
      <c r="B320" s="163">
        <v>2018</v>
      </c>
      <c r="C320" s="163">
        <v>20030900245</v>
      </c>
      <c r="D320" s="163" t="s">
        <v>505</v>
      </c>
      <c r="E320" s="163" t="s">
        <v>389</v>
      </c>
      <c r="F320" s="163" t="s">
        <v>100</v>
      </c>
      <c r="G320" s="163"/>
      <c r="H320" s="163">
        <v>20</v>
      </c>
      <c r="I320" s="163">
        <v>3</v>
      </c>
      <c r="J320" s="163">
        <v>9</v>
      </c>
      <c r="K320" s="163">
        <v>0</v>
      </c>
      <c r="L320" s="163">
        <v>1</v>
      </c>
      <c r="M320" s="163">
        <v>4</v>
      </c>
      <c r="N320" s="163">
        <v>36045</v>
      </c>
      <c r="O320" s="163">
        <v>0</v>
      </c>
      <c r="P320" s="163">
        <v>460592</v>
      </c>
      <c r="Q320" s="163">
        <v>750764.69</v>
      </c>
      <c r="R320" s="163">
        <v>20.828539048</v>
      </c>
      <c r="S320" s="163">
        <v>1.6299994138</v>
      </c>
      <c r="T320" s="163">
        <v>12.778249410000001</v>
      </c>
      <c r="U320" s="161">
        <f t="shared" si="9"/>
        <v>7.4425074091076474E-2</v>
      </c>
      <c r="V320" s="161">
        <f t="shared" si="8"/>
        <v>4.6995323343337614E-2</v>
      </c>
    </row>
    <row r="321" spans="2:22">
      <c r="B321" s="163">
        <v>2018</v>
      </c>
      <c r="C321" s="163">
        <v>20030900246</v>
      </c>
      <c r="D321" s="163" t="s">
        <v>506</v>
      </c>
      <c r="E321" s="163" t="s">
        <v>389</v>
      </c>
      <c r="F321" s="163" t="s">
        <v>100</v>
      </c>
      <c r="G321" s="163"/>
      <c r="H321" s="163">
        <v>20</v>
      </c>
      <c r="I321" s="163">
        <v>3</v>
      </c>
      <c r="J321" s="163">
        <v>9</v>
      </c>
      <c r="K321" s="163">
        <v>0</v>
      </c>
      <c r="L321" s="163">
        <v>1</v>
      </c>
      <c r="M321" s="163">
        <v>4</v>
      </c>
      <c r="N321" s="163">
        <v>8051</v>
      </c>
      <c r="O321" s="163">
        <v>0</v>
      </c>
      <c r="P321" s="163">
        <v>104057</v>
      </c>
      <c r="Q321" s="163">
        <v>242452.5</v>
      </c>
      <c r="R321" s="163">
        <v>30.114582038999998</v>
      </c>
      <c r="S321" s="163">
        <v>2.3299970209</v>
      </c>
      <c r="T321" s="163">
        <v>12.924729847</v>
      </c>
      <c r="U321" s="161">
        <f t="shared" si="9"/>
        <v>1.6814121684039552E-2</v>
      </c>
      <c r="V321" s="161">
        <f t="shared" si="8"/>
        <v>1.0617189098242441E-2</v>
      </c>
    </row>
    <row r="322" spans="2:22">
      <c r="B322" s="163">
        <v>2018</v>
      </c>
      <c r="C322" s="163">
        <v>20030900247</v>
      </c>
      <c r="D322" s="163" t="s">
        <v>507</v>
      </c>
      <c r="E322" s="163" t="s">
        <v>389</v>
      </c>
      <c r="F322" s="163" t="s">
        <v>100</v>
      </c>
      <c r="G322" s="163"/>
      <c r="H322" s="163">
        <v>20</v>
      </c>
      <c r="I322" s="163">
        <v>3</v>
      </c>
      <c r="J322" s="163">
        <v>9</v>
      </c>
      <c r="K322" s="163">
        <v>0</v>
      </c>
      <c r="L322" s="163">
        <v>1</v>
      </c>
      <c r="M322" s="163">
        <v>4</v>
      </c>
      <c r="N322" s="163">
        <v>3297</v>
      </c>
      <c r="O322" s="163">
        <v>0</v>
      </c>
      <c r="P322" s="163">
        <v>45989</v>
      </c>
      <c r="Q322" s="163">
        <v>181656.55</v>
      </c>
      <c r="R322" s="163">
        <v>55.097528056000002</v>
      </c>
      <c r="S322" s="163">
        <v>3.95</v>
      </c>
      <c r="T322" s="163">
        <v>13.94874128</v>
      </c>
      <c r="U322" s="161">
        <f t="shared" si="9"/>
        <v>7.431164093980174E-3</v>
      </c>
      <c r="V322" s="161">
        <f t="shared" si="8"/>
        <v>4.6923696573903878E-3</v>
      </c>
    </row>
    <row r="323" spans="2:22">
      <c r="B323" s="163">
        <v>2018</v>
      </c>
      <c r="C323" s="163">
        <v>20030900248</v>
      </c>
      <c r="D323" s="163" t="s">
        <v>508</v>
      </c>
      <c r="E323" s="163" t="s">
        <v>389</v>
      </c>
      <c r="F323" s="163" t="s">
        <v>100</v>
      </c>
      <c r="G323" s="163"/>
      <c r="H323" s="163">
        <v>20</v>
      </c>
      <c r="I323" s="163">
        <v>3</v>
      </c>
      <c r="J323" s="163">
        <v>9</v>
      </c>
      <c r="K323" s="163">
        <v>0</v>
      </c>
      <c r="L323" s="163">
        <v>1</v>
      </c>
      <c r="M323" s="163">
        <v>4</v>
      </c>
      <c r="N323" s="163">
        <v>3823</v>
      </c>
      <c r="O323" s="163">
        <v>0</v>
      </c>
      <c r="P323" s="163">
        <v>53091</v>
      </c>
      <c r="Q323" s="163">
        <v>169888.74</v>
      </c>
      <c r="R323" s="163">
        <v>44.438592728000003</v>
      </c>
      <c r="S323" s="163">
        <v>3.1999536645000002</v>
      </c>
      <c r="T323" s="163">
        <v>13.887261313</v>
      </c>
      <c r="U323" s="161">
        <f t="shared" si="9"/>
        <v>8.5787456329448654E-3</v>
      </c>
      <c r="V323" s="161">
        <f t="shared" si="8"/>
        <v>5.4170040114051854E-3</v>
      </c>
    </row>
    <row r="324" spans="2:22">
      <c r="B324" s="163">
        <v>2018</v>
      </c>
      <c r="C324" s="163">
        <v>20030900249</v>
      </c>
      <c r="D324" s="163" t="s">
        <v>509</v>
      </c>
      <c r="E324" s="163" t="s">
        <v>389</v>
      </c>
      <c r="F324" s="163" t="s">
        <v>100</v>
      </c>
      <c r="G324" s="163"/>
      <c r="H324" s="163">
        <v>20</v>
      </c>
      <c r="I324" s="163">
        <v>3</v>
      </c>
      <c r="J324" s="163">
        <v>9</v>
      </c>
      <c r="K324" s="163">
        <v>0</v>
      </c>
      <c r="L324" s="163">
        <v>1</v>
      </c>
      <c r="M324" s="163">
        <v>4</v>
      </c>
      <c r="N324" s="163">
        <v>2118</v>
      </c>
      <c r="O324" s="163">
        <v>0</v>
      </c>
      <c r="P324" s="163">
        <v>33437</v>
      </c>
      <c r="Q324" s="163">
        <v>167185</v>
      </c>
      <c r="R324" s="163">
        <v>78.935316336</v>
      </c>
      <c r="S324" s="163">
        <v>5</v>
      </c>
      <c r="T324" s="163">
        <v>15.787063267000001</v>
      </c>
      <c r="U324" s="161">
        <f t="shared" si="9"/>
        <v>5.4029405686232589E-3</v>
      </c>
      <c r="V324" s="161">
        <f t="shared" si="8"/>
        <v>3.4116585321307792E-3</v>
      </c>
    </row>
    <row r="325" spans="2:22">
      <c r="B325" s="163">
        <v>2018</v>
      </c>
      <c r="C325" s="163">
        <v>20030900250</v>
      </c>
      <c r="D325" s="163" t="s">
        <v>510</v>
      </c>
      <c r="E325" s="163" t="s">
        <v>389</v>
      </c>
      <c r="F325" s="163" t="s">
        <v>100</v>
      </c>
      <c r="G325" s="163"/>
      <c r="H325" s="163">
        <v>20</v>
      </c>
      <c r="I325" s="163">
        <v>3</v>
      </c>
      <c r="J325" s="163">
        <v>9</v>
      </c>
      <c r="K325" s="163">
        <v>0</v>
      </c>
      <c r="L325" s="163">
        <v>1</v>
      </c>
      <c r="M325" s="163">
        <v>4</v>
      </c>
      <c r="N325" s="163">
        <v>1001</v>
      </c>
      <c r="O325" s="163">
        <v>0</v>
      </c>
      <c r="P325" s="163">
        <v>12267</v>
      </c>
      <c r="Q325" s="163">
        <v>7360.2</v>
      </c>
      <c r="R325" s="163">
        <v>7.3528471527999999</v>
      </c>
      <c r="S325" s="163">
        <v>0.6</v>
      </c>
      <c r="T325" s="163">
        <v>12.254745255</v>
      </c>
      <c r="U325" s="161">
        <f t="shared" si="9"/>
        <v>1.9821716049675964E-3</v>
      </c>
      <c r="V325" s="161">
        <f t="shared" si="8"/>
        <v>1.2516318812587333E-3</v>
      </c>
    </row>
    <row r="326" spans="2:22">
      <c r="B326" s="163">
        <v>2018</v>
      </c>
      <c r="C326" s="163">
        <v>20030900251</v>
      </c>
      <c r="D326" s="163" t="s">
        <v>511</v>
      </c>
      <c r="E326" s="163" t="s">
        <v>389</v>
      </c>
      <c r="F326" s="163" t="s">
        <v>100</v>
      </c>
      <c r="G326" s="163"/>
      <c r="H326" s="163">
        <v>20</v>
      </c>
      <c r="I326" s="163">
        <v>3</v>
      </c>
      <c r="J326" s="163">
        <v>9</v>
      </c>
      <c r="K326" s="163">
        <v>0</v>
      </c>
      <c r="L326" s="163">
        <v>1</v>
      </c>
      <c r="M326" s="163">
        <v>4</v>
      </c>
      <c r="N326" s="163">
        <v>366</v>
      </c>
      <c r="O326" s="163">
        <v>0</v>
      </c>
      <c r="P326" s="163">
        <v>5809</v>
      </c>
      <c r="Q326" s="163">
        <v>8713.5</v>
      </c>
      <c r="R326" s="163">
        <v>23.807377048999999</v>
      </c>
      <c r="S326" s="163">
        <v>1.5</v>
      </c>
      <c r="T326" s="163">
        <v>15.871584699</v>
      </c>
      <c r="U326" s="161">
        <f t="shared" si="9"/>
        <v>9.3865124751420616E-4</v>
      </c>
      <c r="V326" s="161">
        <f t="shared" ref="V326:V389" si="10">P326/SUM($P$197:$P$772)</f>
        <v>5.9270641544240501E-4</v>
      </c>
    </row>
    <row r="327" spans="2:22">
      <c r="B327" s="163">
        <v>2018</v>
      </c>
      <c r="C327" s="163">
        <v>20030900252</v>
      </c>
      <c r="D327" s="163" t="s">
        <v>512</v>
      </c>
      <c r="E327" s="163" t="s">
        <v>389</v>
      </c>
      <c r="F327" s="163" t="s">
        <v>100</v>
      </c>
      <c r="G327" s="163"/>
      <c r="H327" s="163">
        <v>20</v>
      </c>
      <c r="I327" s="163">
        <v>3</v>
      </c>
      <c r="J327" s="163">
        <v>9</v>
      </c>
      <c r="K327" s="163">
        <v>0</v>
      </c>
      <c r="L327" s="163">
        <v>1</v>
      </c>
      <c r="M327" s="163">
        <v>4</v>
      </c>
      <c r="N327" s="163">
        <v>849</v>
      </c>
      <c r="O327" s="163">
        <v>0</v>
      </c>
      <c r="P327" s="163">
        <v>10495</v>
      </c>
      <c r="Q327" s="163">
        <v>10495</v>
      </c>
      <c r="R327" s="163">
        <v>12.361601885000001</v>
      </c>
      <c r="S327" s="163">
        <v>1</v>
      </c>
      <c r="T327" s="163">
        <v>12.361601885000001</v>
      </c>
      <c r="U327" s="161">
        <f t="shared" si="9"/>
        <v>1.6958417701259415E-3</v>
      </c>
      <c r="V327" s="161">
        <f t="shared" si="10"/>
        <v>1.0708304062778517E-3</v>
      </c>
    </row>
    <row r="328" spans="2:22">
      <c r="B328" s="163">
        <v>2018</v>
      </c>
      <c r="C328" s="163">
        <v>20030900253</v>
      </c>
      <c r="D328" s="163" t="s">
        <v>513</v>
      </c>
      <c r="E328" s="163" t="s">
        <v>389</v>
      </c>
      <c r="F328" s="163" t="s">
        <v>100</v>
      </c>
      <c r="G328" s="163"/>
      <c r="H328" s="163">
        <v>20</v>
      </c>
      <c r="I328" s="163">
        <v>3</v>
      </c>
      <c r="J328" s="163">
        <v>9</v>
      </c>
      <c r="K328" s="163">
        <v>0</v>
      </c>
      <c r="L328" s="163">
        <v>1</v>
      </c>
      <c r="M328" s="163">
        <v>4</v>
      </c>
      <c r="N328" s="163">
        <v>908</v>
      </c>
      <c r="O328" s="163">
        <v>0</v>
      </c>
      <c r="P328" s="163">
        <v>11215</v>
      </c>
      <c r="Q328" s="163">
        <v>16822.5</v>
      </c>
      <c r="R328" s="163">
        <v>18.526982379</v>
      </c>
      <c r="S328" s="163">
        <v>1.5</v>
      </c>
      <c r="T328" s="163">
        <v>12.351321585999999</v>
      </c>
      <c r="U328" s="161">
        <f t="shared" si="9"/>
        <v>1.8121834637410609E-3</v>
      </c>
      <c r="V328" s="161">
        <f t="shared" si="10"/>
        <v>1.1442937595432213E-3</v>
      </c>
    </row>
    <row r="329" spans="2:22">
      <c r="B329" s="163">
        <v>2018</v>
      </c>
      <c r="C329" s="163">
        <v>20030900254</v>
      </c>
      <c r="D329" s="163" t="s">
        <v>514</v>
      </c>
      <c r="E329" s="163" t="s">
        <v>389</v>
      </c>
      <c r="F329" s="163" t="s">
        <v>100</v>
      </c>
      <c r="G329" s="163"/>
      <c r="H329" s="163">
        <v>20</v>
      </c>
      <c r="I329" s="163">
        <v>3</v>
      </c>
      <c r="J329" s="163">
        <v>9</v>
      </c>
      <c r="K329" s="163">
        <v>0</v>
      </c>
      <c r="L329" s="163">
        <v>1</v>
      </c>
      <c r="M329" s="163">
        <v>4</v>
      </c>
      <c r="N329" s="163">
        <v>252</v>
      </c>
      <c r="O329" s="163">
        <v>0</v>
      </c>
      <c r="P329" s="163">
        <v>3496</v>
      </c>
      <c r="Q329" s="163">
        <v>12236</v>
      </c>
      <c r="R329" s="163">
        <v>48.555555556000002</v>
      </c>
      <c r="S329" s="163">
        <v>3.5</v>
      </c>
      <c r="T329" s="163">
        <v>13.873015873</v>
      </c>
      <c r="U329" s="161">
        <f t="shared" si="9"/>
        <v>5.6490355677563521E-4</v>
      </c>
      <c r="V329" s="161">
        <f t="shared" si="10"/>
        <v>3.5670539307740539E-4</v>
      </c>
    </row>
    <row r="330" spans="2:22">
      <c r="B330" s="163">
        <v>2018</v>
      </c>
      <c r="C330" s="163">
        <v>20030900255</v>
      </c>
      <c r="D330" s="163" t="s">
        <v>515</v>
      </c>
      <c r="E330" s="163" t="s">
        <v>389</v>
      </c>
      <c r="F330" s="163" t="s">
        <v>100</v>
      </c>
      <c r="G330" s="163"/>
      <c r="H330" s="163">
        <v>20</v>
      </c>
      <c r="I330" s="163">
        <v>3</v>
      </c>
      <c r="J330" s="163">
        <v>9</v>
      </c>
      <c r="K330" s="163">
        <v>0</v>
      </c>
      <c r="L330" s="163">
        <v>1</v>
      </c>
      <c r="M330" s="163">
        <v>4</v>
      </c>
      <c r="N330" s="163">
        <v>2367</v>
      </c>
      <c r="O330" s="163">
        <v>0</v>
      </c>
      <c r="P330" s="163">
        <v>27069</v>
      </c>
      <c r="Q330" s="163">
        <v>25715.55</v>
      </c>
      <c r="R330" s="163">
        <v>10.864195184</v>
      </c>
      <c r="S330" s="163">
        <v>0.95</v>
      </c>
      <c r="T330" s="163">
        <v>11.43599493</v>
      </c>
      <c r="U330" s="161">
        <f t="shared" si="9"/>
        <v>4.3739629228717594E-3</v>
      </c>
      <c r="V330" s="161">
        <f t="shared" si="10"/>
        <v>2.7619159854726217E-3</v>
      </c>
    </row>
    <row r="331" spans="2:22">
      <c r="B331" s="163">
        <v>2018</v>
      </c>
      <c r="C331" s="163">
        <v>20030900256</v>
      </c>
      <c r="D331" s="163" t="s">
        <v>516</v>
      </c>
      <c r="E331" s="163" t="s">
        <v>389</v>
      </c>
      <c r="F331" s="163" t="s">
        <v>100</v>
      </c>
      <c r="G331" s="163"/>
      <c r="H331" s="163">
        <v>20</v>
      </c>
      <c r="I331" s="163">
        <v>3</v>
      </c>
      <c r="J331" s="163">
        <v>9</v>
      </c>
      <c r="K331" s="163">
        <v>0</v>
      </c>
      <c r="L331" s="163">
        <v>1</v>
      </c>
      <c r="M331" s="163">
        <v>4</v>
      </c>
      <c r="N331" s="163">
        <v>5141</v>
      </c>
      <c r="O331" s="163">
        <v>0</v>
      </c>
      <c r="P331" s="163">
        <v>65915</v>
      </c>
      <c r="Q331" s="163">
        <v>128533.78</v>
      </c>
      <c r="R331" s="163">
        <v>25.001707839000002</v>
      </c>
      <c r="S331" s="163">
        <v>1.9499928696</v>
      </c>
      <c r="T331" s="163">
        <v>12.821435517999999</v>
      </c>
      <c r="U331" s="161">
        <f t="shared" si="9"/>
        <v>1.0650920464778602E-2</v>
      </c>
      <c r="V331" s="161">
        <f t="shared" si="10"/>
        <v>6.7254679590094896E-3</v>
      </c>
    </row>
    <row r="332" spans="2:22">
      <c r="B332" s="163">
        <v>2018</v>
      </c>
      <c r="C332" s="163">
        <v>20030900260</v>
      </c>
      <c r="D332" s="163" t="s">
        <v>517</v>
      </c>
      <c r="E332" s="163" t="s">
        <v>389</v>
      </c>
      <c r="F332" s="163" t="s">
        <v>100</v>
      </c>
      <c r="G332" s="163"/>
      <c r="H332" s="163">
        <v>20</v>
      </c>
      <c r="I332" s="163">
        <v>3</v>
      </c>
      <c r="J332" s="163">
        <v>9</v>
      </c>
      <c r="K332" s="163">
        <v>0</v>
      </c>
      <c r="L332" s="163">
        <v>1</v>
      </c>
      <c r="M332" s="163">
        <v>4</v>
      </c>
      <c r="N332" s="163">
        <v>399</v>
      </c>
      <c r="O332" s="163">
        <v>0</v>
      </c>
      <c r="P332" s="163">
        <v>6054</v>
      </c>
      <c r="Q332" s="163">
        <v>51268.86</v>
      </c>
      <c r="R332" s="163">
        <v>128.49338345999999</v>
      </c>
      <c r="S332" s="163">
        <v>8.4685926659999993</v>
      </c>
      <c r="T332" s="163">
        <v>15.172932331</v>
      </c>
      <c r="U332" s="161">
        <f t="shared" si="9"/>
        <v>9.7823974048046221E-4</v>
      </c>
      <c r="V332" s="161">
        <f t="shared" si="10"/>
        <v>6.1770436203964876E-4</v>
      </c>
    </row>
    <row r="333" spans="2:22">
      <c r="B333" s="163">
        <v>2018</v>
      </c>
      <c r="C333" s="163">
        <v>20030900270</v>
      </c>
      <c r="D333" s="163" t="s">
        <v>518</v>
      </c>
      <c r="E333" s="163" t="s">
        <v>389</v>
      </c>
      <c r="F333" s="163" t="s">
        <v>100</v>
      </c>
      <c r="G333" s="163"/>
      <c r="H333" s="163">
        <v>20</v>
      </c>
      <c r="I333" s="163">
        <v>3</v>
      </c>
      <c r="J333" s="163">
        <v>9</v>
      </c>
      <c r="K333" s="163">
        <v>0</v>
      </c>
      <c r="L333" s="163">
        <v>1</v>
      </c>
      <c r="M333" s="163">
        <v>4</v>
      </c>
      <c r="N333" s="163">
        <v>1140</v>
      </c>
      <c r="O333" s="163">
        <v>0</v>
      </c>
      <c r="P333" s="163">
        <v>13774</v>
      </c>
      <c r="Q333" s="163">
        <v>43388.1</v>
      </c>
      <c r="R333" s="163">
        <v>38.059736842</v>
      </c>
      <c r="S333" s="163">
        <v>3.15</v>
      </c>
      <c r="T333" s="163">
        <v>12.08245614</v>
      </c>
      <c r="U333" s="161">
        <f t="shared" ref="U333:U396" si="11">P333/SUM($P$205:$P$460)</f>
        <v>2.2256812331314644E-3</v>
      </c>
      <c r="V333" s="161">
        <f t="shared" si="10"/>
        <v>1.4053947609405555E-3</v>
      </c>
    </row>
    <row r="334" spans="2:22">
      <c r="B334" s="163">
        <v>2018</v>
      </c>
      <c r="C334" s="163">
        <v>20030900271</v>
      </c>
      <c r="D334" s="163" t="s">
        <v>519</v>
      </c>
      <c r="E334" s="163" t="s">
        <v>389</v>
      </c>
      <c r="F334" s="163" t="s">
        <v>100</v>
      </c>
      <c r="G334" s="163"/>
      <c r="H334" s="163">
        <v>20</v>
      </c>
      <c r="I334" s="163">
        <v>3</v>
      </c>
      <c r="J334" s="163">
        <v>9</v>
      </c>
      <c r="K334" s="163">
        <v>0</v>
      </c>
      <c r="L334" s="163">
        <v>1</v>
      </c>
      <c r="M334" s="163">
        <v>4</v>
      </c>
      <c r="N334" s="163">
        <v>1814</v>
      </c>
      <c r="O334" s="163">
        <v>0</v>
      </c>
      <c r="P334" s="163">
        <v>30649</v>
      </c>
      <c r="Q334" s="163">
        <v>119531.1</v>
      </c>
      <c r="R334" s="163">
        <v>65.893660419</v>
      </c>
      <c r="S334" s="163">
        <v>3.9</v>
      </c>
      <c r="T334" s="163">
        <v>16.895810363999999</v>
      </c>
      <c r="U334" s="161">
        <f t="shared" si="11"/>
        <v>4.952439677235825E-3</v>
      </c>
      <c r="V334" s="161">
        <f t="shared" si="10"/>
        <v>3.1271921030976537E-3</v>
      </c>
    </row>
    <row r="335" spans="2:22">
      <c r="B335" s="163">
        <v>2018</v>
      </c>
      <c r="C335" s="163">
        <v>20030900279</v>
      </c>
      <c r="D335" s="163" t="s">
        <v>520</v>
      </c>
      <c r="E335" s="163" t="s">
        <v>389</v>
      </c>
      <c r="F335" s="163" t="s">
        <v>100</v>
      </c>
      <c r="G335" s="163"/>
      <c r="H335" s="163">
        <v>20</v>
      </c>
      <c r="I335" s="163">
        <v>3</v>
      </c>
      <c r="J335" s="163">
        <v>9</v>
      </c>
      <c r="K335" s="163">
        <v>0</v>
      </c>
      <c r="L335" s="163">
        <v>1</v>
      </c>
      <c r="M335" s="163">
        <v>4</v>
      </c>
      <c r="N335" s="163">
        <v>980</v>
      </c>
      <c r="O335" s="163">
        <v>0</v>
      </c>
      <c r="P335" s="163">
        <v>14666</v>
      </c>
      <c r="Q335" s="163">
        <v>51184.34</v>
      </c>
      <c r="R335" s="163">
        <v>52.228918366999999</v>
      </c>
      <c r="S335" s="163">
        <v>3.49</v>
      </c>
      <c r="T335" s="163">
        <v>14.965306121999999</v>
      </c>
      <c r="U335" s="161">
        <f t="shared" si="11"/>
        <v>2.3698156646657512E-3</v>
      </c>
      <c r="V335" s="161">
        <f t="shared" si="10"/>
        <v>1.496407693041541E-3</v>
      </c>
    </row>
    <row r="336" spans="2:22">
      <c r="B336" s="163">
        <v>2018</v>
      </c>
      <c r="C336" s="163">
        <v>20030900280</v>
      </c>
      <c r="D336" s="163" t="s">
        <v>521</v>
      </c>
      <c r="E336" s="163" t="s">
        <v>389</v>
      </c>
      <c r="F336" s="163" t="s">
        <v>100</v>
      </c>
      <c r="G336" s="163"/>
      <c r="H336" s="163">
        <v>20</v>
      </c>
      <c r="I336" s="163">
        <v>3</v>
      </c>
      <c r="J336" s="163">
        <v>9</v>
      </c>
      <c r="K336" s="163">
        <v>0</v>
      </c>
      <c r="L336" s="163">
        <v>1</v>
      </c>
      <c r="M336" s="163">
        <v>4</v>
      </c>
      <c r="N336" s="163">
        <v>615</v>
      </c>
      <c r="O336" s="163">
        <v>0</v>
      </c>
      <c r="P336" s="163">
        <v>8510</v>
      </c>
      <c r="Q336" s="163">
        <v>33614.5</v>
      </c>
      <c r="R336" s="163">
        <v>54.657723576999999</v>
      </c>
      <c r="S336" s="163">
        <v>3.95</v>
      </c>
      <c r="T336" s="163">
        <v>13.837398373999999</v>
      </c>
      <c r="U336" s="161">
        <f t="shared" si="11"/>
        <v>1.3750941842564804E-3</v>
      </c>
      <c r="V336" s="161">
        <f t="shared" si="10"/>
        <v>8.6829602262263148E-4</v>
      </c>
    </row>
    <row r="337" spans="2:22">
      <c r="B337" s="163">
        <v>2018</v>
      </c>
      <c r="C337" s="163">
        <v>20030900281</v>
      </c>
      <c r="D337" s="163" t="s">
        <v>522</v>
      </c>
      <c r="E337" s="163" t="s">
        <v>389</v>
      </c>
      <c r="F337" s="163" t="s">
        <v>100</v>
      </c>
      <c r="G337" s="163"/>
      <c r="H337" s="163">
        <v>20</v>
      </c>
      <c r="I337" s="163">
        <v>3</v>
      </c>
      <c r="J337" s="163">
        <v>9</v>
      </c>
      <c r="K337" s="163">
        <v>0</v>
      </c>
      <c r="L337" s="163">
        <v>1</v>
      </c>
      <c r="M337" s="163">
        <v>4</v>
      </c>
      <c r="N337" s="163">
        <v>387</v>
      </c>
      <c r="O337" s="163">
        <v>0</v>
      </c>
      <c r="P337" s="163">
        <v>5452</v>
      </c>
      <c r="Q337" s="163">
        <v>35438</v>
      </c>
      <c r="R337" s="163">
        <v>91.571059431999998</v>
      </c>
      <c r="S337" s="163">
        <v>6.5</v>
      </c>
      <c r="T337" s="163">
        <v>14.087855297000001</v>
      </c>
      <c r="U337" s="161">
        <f t="shared" si="11"/>
        <v>8.8096515776337619E-4</v>
      </c>
      <c r="V337" s="161">
        <f t="shared" si="10"/>
        <v>5.562808361149926E-4</v>
      </c>
    </row>
    <row r="338" spans="2:22">
      <c r="B338" s="163">
        <v>2018</v>
      </c>
      <c r="C338" s="163">
        <v>20030900282</v>
      </c>
      <c r="D338" s="163" t="s">
        <v>523</v>
      </c>
      <c r="E338" s="163" t="s">
        <v>389</v>
      </c>
      <c r="F338" s="163" t="s">
        <v>100</v>
      </c>
      <c r="G338" s="163"/>
      <c r="H338" s="163">
        <v>20</v>
      </c>
      <c r="I338" s="163">
        <v>3</v>
      </c>
      <c r="J338" s="163">
        <v>9</v>
      </c>
      <c r="K338" s="163">
        <v>0</v>
      </c>
      <c r="L338" s="163">
        <v>1</v>
      </c>
      <c r="M338" s="163">
        <v>4</v>
      </c>
      <c r="N338" s="163">
        <v>314</v>
      </c>
      <c r="O338" s="163">
        <v>0</v>
      </c>
      <c r="P338" s="163">
        <v>3829</v>
      </c>
      <c r="Q338" s="163">
        <v>4862.83</v>
      </c>
      <c r="R338" s="163">
        <v>15.486719745</v>
      </c>
      <c r="S338" s="163">
        <v>1.27</v>
      </c>
      <c r="T338" s="163">
        <v>12.194267516</v>
      </c>
      <c r="U338" s="161">
        <f t="shared" si="11"/>
        <v>6.1871159007262789E-4</v>
      </c>
      <c r="V338" s="161">
        <f t="shared" si="10"/>
        <v>3.9068219396263881E-4</v>
      </c>
    </row>
    <row r="339" spans="2:22">
      <c r="B339" s="163">
        <v>2018</v>
      </c>
      <c r="C339" s="163">
        <v>20030900283</v>
      </c>
      <c r="D339" s="163" t="s">
        <v>524</v>
      </c>
      <c r="E339" s="163" t="s">
        <v>389</v>
      </c>
      <c r="F339" s="163" t="s">
        <v>100</v>
      </c>
      <c r="G339" s="163"/>
      <c r="H339" s="163">
        <v>20</v>
      </c>
      <c r="I339" s="163">
        <v>3</v>
      </c>
      <c r="J339" s="163">
        <v>9</v>
      </c>
      <c r="K339" s="163">
        <v>0</v>
      </c>
      <c r="L339" s="163">
        <v>1</v>
      </c>
      <c r="M339" s="163">
        <v>4</v>
      </c>
      <c r="N339" s="163">
        <v>320</v>
      </c>
      <c r="O339" s="163">
        <v>0</v>
      </c>
      <c r="P339" s="163">
        <v>3871</v>
      </c>
      <c r="Q339" s="163">
        <v>6077.47</v>
      </c>
      <c r="R339" s="163">
        <v>18.992093749999999</v>
      </c>
      <c r="S339" s="163">
        <v>1.57</v>
      </c>
      <c r="T339" s="163">
        <v>12.096875000000001</v>
      </c>
      <c r="U339" s="161">
        <f t="shared" si="11"/>
        <v>6.2549818886684322E-4</v>
      </c>
      <c r="V339" s="161">
        <f t="shared" si="10"/>
        <v>3.94967556236452E-4</v>
      </c>
    </row>
    <row r="340" spans="2:22">
      <c r="B340" s="163">
        <v>2018</v>
      </c>
      <c r="C340" s="163">
        <v>20030900284</v>
      </c>
      <c r="D340" s="163" t="s">
        <v>525</v>
      </c>
      <c r="E340" s="163" t="s">
        <v>389</v>
      </c>
      <c r="F340" s="163" t="s">
        <v>100</v>
      </c>
      <c r="G340" s="163"/>
      <c r="H340" s="163">
        <v>20</v>
      </c>
      <c r="I340" s="163">
        <v>3</v>
      </c>
      <c r="J340" s="163">
        <v>9</v>
      </c>
      <c r="K340" s="163">
        <v>0</v>
      </c>
      <c r="L340" s="163">
        <v>1</v>
      </c>
      <c r="M340" s="163">
        <v>4</v>
      </c>
      <c r="N340" s="163">
        <v>127</v>
      </c>
      <c r="O340" s="163">
        <v>0</v>
      </c>
      <c r="P340" s="163">
        <v>1800</v>
      </c>
      <c r="Q340" s="163">
        <v>6660</v>
      </c>
      <c r="R340" s="163">
        <v>52.440944881999997</v>
      </c>
      <c r="S340" s="163">
        <v>3.7</v>
      </c>
      <c r="T340" s="163">
        <v>14.173228346</v>
      </c>
      <c r="U340" s="161">
        <f t="shared" si="11"/>
        <v>2.9085423403779842E-4</v>
      </c>
      <c r="V340" s="161">
        <f t="shared" si="10"/>
        <v>1.8365838316342382E-4</v>
      </c>
    </row>
    <row r="341" spans="2:22">
      <c r="B341" s="163">
        <v>2018</v>
      </c>
      <c r="C341" s="163">
        <v>20030900285</v>
      </c>
      <c r="D341" s="163" t="s">
        <v>526</v>
      </c>
      <c r="E341" s="163" t="s">
        <v>389</v>
      </c>
      <c r="F341" s="163" t="s">
        <v>100</v>
      </c>
      <c r="G341" s="163"/>
      <c r="H341" s="163">
        <v>20</v>
      </c>
      <c r="I341" s="163">
        <v>3</v>
      </c>
      <c r="J341" s="163">
        <v>9</v>
      </c>
      <c r="K341" s="163">
        <v>0</v>
      </c>
      <c r="L341" s="163">
        <v>1</v>
      </c>
      <c r="M341" s="163">
        <v>4</v>
      </c>
      <c r="N341" s="163">
        <v>45</v>
      </c>
      <c r="O341" s="163">
        <v>0</v>
      </c>
      <c r="P341" s="163">
        <v>447</v>
      </c>
      <c r="Q341" s="163">
        <v>8394.66</v>
      </c>
      <c r="R341" s="163">
        <v>186.548</v>
      </c>
      <c r="S341" s="163">
        <v>18.78</v>
      </c>
      <c r="T341" s="163">
        <v>9.9333333333000002</v>
      </c>
      <c r="U341" s="161">
        <f t="shared" si="11"/>
        <v>7.2228801452719945E-5</v>
      </c>
      <c r="V341" s="161">
        <f t="shared" si="10"/>
        <v>4.5608498485583582E-5</v>
      </c>
    </row>
    <row r="342" spans="2:22">
      <c r="B342" s="163">
        <v>2018</v>
      </c>
      <c r="C342" s="163">
        <v>20030900297</v>
      </c>
      <c r="D342" s="163" t="s">
        <v>527</v>
      </c>
      <c r="E342" s="163" t="s">
        <v>389</v>
      </c>
      <c r="F342" s="163" t="s">
        <v>100</v>
      </c>
      <c r="G342" s="163"/>
      <c r="H342" s="163">
        <v>20</v>
      </c>
      <c r="I342" s="163">
        <v>3</v>
      </c>
      <c r="J342" s="163">
        <v>9</v>
      </c>
      <c r="K342" s="163">
        <v>0</v>
      </c>
      <c r="L342" s="163">
        <v>1</v>
      </c>
      <c r="M342" s="163">
        <v>4</v>
      </c>
      <c r="N342" s="163">
        <v>1</v>
      </c>
      <c r="O342" s="163">
        <v>0</v>
      </c>
      <c r="P342" s="163">
        <v>20</v>
      </c>
      <c r="Q342" s="163">
        <v>30</v>
      </c>
      <c r="R342" s="163">
        <v>30</v>
      </c>
      <c r="S342" s="163">
        <v>1.5</v>
      </c>
      <c r="T342" s="163">
        <v>20</v>
      </c>
      <c r="U342" s="161">
        <f t="shared" si="11"/>
        <v>3.2317137115310937E-6</v>
      </c>
      <c r="V342" s="161">
        <f t="shared" si="10"/>
        <v>2.0406487018158202E-6</v>
      </c>
    </row>
    <row r="343" spans="2:22">
      <c r="B343" s="163">
        <v>2018</v>
      </c>
      <c r="C343" s="163">
        <v>20030900300</v>
      </c>
      <c r="D343" s="163" t="s">
        <v>528</v>
      </c>
      <c r="E343" s="163" t="s">
        <v>389</v>
      </c>
      <c r="F343" s="163" t="s">
        <v>100</v>
      </c>
      <c r="G343" s="163"/>
      <c r="H343" s="163">
        <v>20</v>
      </c>
      <c r="I343" s="163">
        <v>3</v>
      </c>
      <c r="J343" s="163">
        <v>9</v>
      </c>
      <c r="K343" s="163">
        <v>0</v>
      </c>
      <c r="L343" s="163">
        <v>1</v>
      </c>
      <c r="M343" s="163">
        <v>4</v>
      </c>
      <c r="N343" s="163">
        <v>1</v>
      </c>
      <c r="O343" s="163">
        <v>0</v>
      </c>
      <c r="P343" s="163">
        <v>20</v>
      </c>
      <c r="Q343" s="163">
        <v>107</v>
      </c>
      <c r="R343" s="163">
        <v>107</v>
      </c>
      <c r="S343" s="163">
        <v>5.35</v>
      </c>
      <c r="T343" s="163">
        <v>20</v>
      </c>
      <c r="U343" s="161">
        <f t="shared" si="11"/>
        <v>3.2317137115310937E-6</v>
      </c>
      <c r="V343" s="161">
        <f t="shared" si="10"/>
        <v>2.0406487018158202E-6</v>
      </c>
    </row>
    <row r="344" spans="2:22">
      <c r="B344" s="163">
        <v>2018</v>
      </c>
      <c r="C344" s="163">
        <v>20030900301</v>
      </c>
      <c r="D344" s="163" t="s">
        <v>529</v>
      </c>
      <c r="E344" s="163" t="s">
        <v>389</v>
      </c>
      <c r="F344" s="163" t="s">
        <v>100</v>
      </c>
      <c r="G344" s="163"/>
      <c r="H344" s="163">
        <v>20</v>
      </c>
      <c r="I344" s="163">
        <v>3</v>
      </c>
      <c r="J344" s="163">
        <v>9</v>
      </c>
      <c r="K344" s="163">
        <v>0</v>
      </c>
      <c r="L344" s="163">
        <v>1</v>
      </c>
      <c r="M344" s="163">
        <v>4</v>
      </c>
      <c r="N344" s="163">
        <v>9</v>
      </c>
      <c r="O344" s="163">
        <v>0</v>
      </c>
      <c r="P344" s="163">
        <v>65</v>
      </c>
      <c r="Q344" s="163">
        <v>87.75</v>
      </c>
      <c r="R344" s="163">
        <v>9.75</v>
      </c>
      <c r="S344" s="163">
        <v>1.35</v>
      </c>
      <c r="T344" s="163">
        <v>7.2222222222000001</v>
      </c>
      <c r="U344" s="161">
        <f t="shared" si="11"/>
        <v>1.0503069562476055E-5</v>
      </c>
      <c r="V344" s="161">
        <f t="shared" si="10"/>
        <v>6.6321082809014158E-6</v>
      </c>
    </row>
    <row r="345" spans="2:22">
      <c r="B345" s="163">
        <v>2018</v>
      </c>
      <c r="C345" s="163">
        <v>20030900302</v>
      </c>
      <c r="D345" s="163" t="s">
        <v>530</v>
      </c>
      <c r="E345" s="163" t="s">
        <v>389</v>
      </c>
      <c r="F345" s="163" t="s">
        <v>100</v>
      </c>
      <c r="G345" s="163"/>
      <c r="H345" s="163">
        <v>20</v>
      </c>
      <c r="I345" s="163">
        <v>3</v>
      </c>
      <c r="J345" s="163">
        <v>9</v>
      </c>
      <c r="K345" s="163">
        <v>0</v>
      </c>
      <c r="L345" s="163">
        <v>1</v>
      </c>
      <c r="M345" s="163">
        <v>4</v>
      </c>
      <c r="N345" s="163">
        <v>4</v>
      </c>
      <c r="O345" s="163">
        <v>0</v>
      </c>
      <c r="P345" s="163">
        <v>38</v>
      </c>
      <c r="Q345" s="163">
        <v>79.8</v>
      </c>
      <c r="R345" s="163">
        <v>19.95</v>
      </c>
      <c r="S345" s="163">
        <v>2.1</v>
      </c>
      <c r="T345" s="163">
        <v>9.5</v>
      </c>
      <c r="U345" s="161">
        <f t="shared" si="11"/>
        <v>6.1402560519090784E-6</v>
      </c>
      <c r="V345" s="161">
        <f t="shared" si="10"/>
        <v>3.8772325334500583E-6</v>
      </c>
    </row>
    <row r="346" spans="2:22">
      <c r="B346" s="163">
        <v>2018</v>
      </c>
      <c r="C346" s="163">
        <v>20030900308</v>
      </c>
      <c r="D346" s="163" t="s">
        <v>531</v>
      </c>
      <c r="E346" s="163" t="s">
        <v>389</v>
      </c>
      <c r="F346" s="163" t="s">
        <v>100</v>
      </c>
      <c r="G346" s="163"/>
      <c r="H346" s="163">
        <v>20</v>
      </c>
      <c r="I346" s="163">
        <v>3</v>
      </c>
      <c r="J346" s="163">
        <v>9</v>
      </c>
      <c r="K346" s="163">
        <v>0</v>
      </c>
      <c r="L346" s="163">
        <v>1</v>
      </c>
      <c r="M346" s="163">
        <v>4</v>
      </c>
      <c r="N346" s="163">
        <v>125</v>
      </c>
      <c r="O346" s="163">
        <v>0</v>
      </c>
      <c r="P346" s="163">
        <v>1564</v>
      </c>
      <c r="Q346" s="163">
        <v>1298.1199999999999</v>
      </c>
      <c r="R346" s="163">
        <v>10.38496</v>
      </c>
      <c r="S346" s="163">
        <v>0.83</v>
      </c>
      <c r="T346" s="163">
        <v>12.512</v>
      </c>
      <c r="U346" s="161">
        <f t="shared" si="11"/>
        <v>2.5272001224173156E-4</v>
      </c>
      <c r="V346" s="161">
        <f t="shared" si="10"/>
        <v>1.5957872848199715E-4</v>
      </c>
    </row>
    <row r="347" spans="2:22">
      <c r="B347" s="163">
        <v>2018</v>
      </c>
      <c r="C347" s="163">
        <v>20030900309</v>
      </c>
      <c r="D347" s="163" t="s">
        <v>532</v>
      </c>
      <c r="E347" s="163" t="s">
        <v>389</v>
      </c>
      <c r="F347" s="163" t="s">
        <v>100</v>
      </c>
      <c r="G347" s="163"/>
      <c r="H347" s="163">
        <v>20</v>
      </c>
      <c r="I347" s="163">
        <v>3</v>
      </c>
      <c r="J347" s="163">
        <v>9</v>
      </c>
      <c r="K347" s="163">
        <v>0</v>
      </c>
      <c r="L347" s="163">
        <v>1</v>
      </c>
      <c r="M347" s="163">
        <v>4</v>
      </c>
      <c r="N347" s="163">
        <v>241</v>
      </c>
      <c r="O347" s="163">
        <v>0</v>
      </c>
      <c r="P347" s="163">
        <v>2733</v>
      </c>
      <c r="Q347" s="163">
        <v>2651.01</v>
      </c>
      <c r="R347" s="163">
        <v>11.000041494</v>
      </c>
      <c r="S347" s="163">
        <v>0.97</v>
      </c>
      <c r="T347" s="163">
        <v>11.340248963000001</v>
      </c>
      <c r="U347" s="161">
        <f t="shared" si="11"/>
        <v>4.4161367868072397E-4</v>
      </c>
      <c r="V347" s="161">
        <f t="shared" si="10"/>
        <v>2.7885464510313181E-4</v>
      </c>
    </row>
    <row r="348" spans="2:22">
      <c r="B348" s="163">
        <v>2018</v>
      </c>
      <c r="C348" s="163">
        <v>20030900310</v>
      </c>
      <c r="D348" s="163" t="s">
        <v>533</v>
      </c>
      <c r="E348" s="163" t="s">
        <v>389</v>
      </c>
      <c r="F348" s="163" t="s">
        <v>100</v>
      </c>
      <c r="G348" s="163"/>
      <c r="H348" s="163">
        <v>20</v>
      </c>
      <c r="I348" s="163">
        <v>3</v>
      </c>
      <c r="J348" s="163">
        <v>9</v>
      </c>
      <c r="K348" s="163">
        <v>0</v>
      </c>
      <c r="L348" s="163">
        <v>1</v>
      </c>
      <c r="M348" s="163">
        <v>4</v>
      </c>
      <c r="N348" s="163">
        <v>646</v>
      </c>
      <c r="O348" s="163">
        <v>0</v>
      </c>
      <c r="P348" s="163">
        <v>7625</v>
      </c>
      <c r="Q348" s="163">
        <v>10903.75</v>
      </c>
      <c r="R348" s="163">
        <v>16.878869969</v>
      </c>
      <c r="S348" s="163">
        <v>1.43</v>
      </c>
      <c r="T348" s="163">
        <v>11.803405572999999</v>
      </c>
      <c r="U348" s="161">
        <f t="shared" si="11"/>
        <v>1.2320908525212295E-3</v>
      </c>
      <c r="V348" s="161">
        <f t="shared" si="10"/>
        <v>7.779973175672815E-4</v>
      </c>
    </row>
    <row r="349" spans="2:22">
      <c r="B349" s="163">
        <v>2018</v>
      </c>
      <c r="C349" s="163">
        <v>20030900311</v>
      </c>
      <c r="D349" s="163" t="s">
        <v>534</v>
      </c>
      <c r="E349" s="163" t="s">
        <v>389</v>
      </c>
      <c r="F349" s="163" t="s">
        <v>100</v>
      </c>
      <c r="G349" s="163"/>
      <c r="H349" s="163">
        <v>20</v>
      </c>
      <c r="I349" s="163">
        <v>3</v>
      </c>
      <c r="J349" s="163">
        <v>9</v>
      </c>
      <c r="K349" s="163">
        <v>0</v>
      </c>
      <c r="L349" s="163">
        <v>1</v>
      </c>
      <c r="M349" s="163">
        <v>4</v>
      </c>
      <c r="N349" s="163">
        <v>71</v>
      </c>
      <c r="O349" s="163">
        <v>0</v>
      </c>
      <c r="P349" s="163">
        <v>1144</v>
      </c>
      <c r="Q349" s="163">
        <v>3020.16</v>
      </c>
      <c r="R349" s="163">
        <v>42.537464788999998</v>
      </c>
      <c r="S349" s="163">
        <v>2.64</v>
      </c>
      <c r="T349" s="163">
        <v>16.112676056000002</v>
      </c>
      <c r="U349" s="161">
        <f t="shared" si="11"/>
        <v>1.8485402429957857E-4</v>
      </c>
      <c r="V349" s="161">
        <f t="shared" si="10"/>
        <v>1.1672510574386492E-4</v>
      </c>
    </row>
    <row r="350" spans="2:22">
      <c r="B350" s="163">
        <v>2018</v>
      </c>
      <c r="C350" s="163">
        <v>20030900312</v>
      </c>
      <c r="D350" s="163" t="s">
        <v>535</v>
      </c>
      <c r="E350" s="163" t="s">
        <v>389</v>
      </c>
      <c r="F350" s="163" t="s">
        <v>100</v>
      </c>
      <c r="G350" s="163"/>
      <c r="H350" s="163">
        <v>20</v>
      </c>
      <c r="I350" s="163">
        <v>3</v>
      </c>
      <c r="J350" s="163">
        <v>9</v>
      </c>
      <c r="K350" s="163">
        <v>0</v>
      </c>
      <c r="L350" s="163">
        <v>1</v>
      </c>
      <c r="M350" s="163">
        <v>4</v>
      </c>
      <c r="N350" s="163">
        <v>43</v>
      </c>
      <c r="O350" s="163">
        <v>0</v>
      </c>
      <c r="P350" s="163">
        <v>536</v>
      </c>
      <c r="Q350" s="163">
        <v>2272.64</v>
      </c>
      <c r="R350" s="163">
        <v>52.852093023000002</v>
      </c>
      <c r="S350" s="163">
        <v>4.24</v>
      </c>
      <c r="T350" s="163">
        <v>12.465116279</v>
      </c>
      <c r="U350" s="161">
        <f t="shared" si="11"/>
        <v>8.660992746903332E-5</v>
      </c>
      <c r="V350" s="161">
        <f t="shared" si="10"/>
        <v>5.4689385208663982E-5</v>
      </c>
    </row>
    <row r="351" spans="2:22">
      <c r="B351" s="163">
        <v>2018</v>
      </c>
      <c r="C351" s="163">
        <v>20030900313</v>
      </c>
      <c r="D351" s="163" t="s">
        <v>536</v>
      </c>
      <c r="E351" s="163" t="s">
        <v>389</v>
      </c>
      <c r="F351" s="163" t="s">
        <v>100</v>
      </c>
      <c r="G351" s="163"/>
      <c r="H351" s="163">
        <v>20</v>
      </c>
      <c r="I351" s="163">
        <v>3</v>
      </c>
      <c r="J351" s="163">
        <v>9</v>
      </c>
      <c r="K351" s="163">
        <v>0</v>
      </c>
      <c r="L351" s="163">
        <v>1</v>
      </c>
      <c r="M351" s="163">
        <v>4</v>
      </c>
      <c r="N351" s="163">
        <v>131</v>
      </c>
      <c r="O351" s="163">
        <v>0</v>
      </c>
      <c r="P351" s="163">
        <v>1790</v>
      </c>
      <c r="Q351" s="163">
        <v>4761.3999999999996</v>
      </c>
      <c r="R351" s="163">
        <v>36.346564884999999</v>
      </c>
      <c r="S351" s="163">
        <v>2.66</v>
      </c>
      <c r="T351" s="163">
        <v>13.664122137</v>
      </c>
      <c r="U351" s="161">
        <f t="shared" si="11"/>
        <v>2.8923837718203288E-4</v>
      </c>
      <c r="V351" s="161">
        <f t="shared" si="10"/>
        <v>1.8263805881251591E-4</v>
      </c>
    </row>
    <row r="352" spans="2:22">
      <c r="B352" s="163">
        <v>2018</v>
      </c>
      <c r="C352" s="163">
        <v>20030900314</v>
      </c>
      <c r="D352" s="163" t="s">
        <v>537</v>
      </c>
      <c r="E352" s="163" t="s">
        <v>389</v>
      </c>
      <c r="F352" s="163" t="s">
        <v>100</v>
      </c>
      <c r="G352" s="163"/>
      <c r="H352" s="163">
        <v>20</v>
      </c>
      <c r="I352" s="163">
        <v>3</v>
      </c>
      <c r="J352" s="163">
        <v>9</v>
      </c>
      <c r="K352" s="163">
        <v>0</v>
      </c>
      <c r="L352" s="163">
        <v>1</v>
      </c>
      <c r="M352" s="163">
        <v>4</v>
      </c>
      <c r="N352" s="163">
        <v>1753</v>
      </c>
      <c r="O352" s="163">
        <v>0</v>
      </c>
      <c r="P352" s="163">
        <v>16510</v>
      </c>
      <c r="Q352" s="163">
        <v>17665.7</v>
      </c>
      <c r="R352" s="163">
        <v>10.077410154000001</v>
      </c>
      <c r="S352" s="163">
        <v>1.07</v>
      </c>
      <c r="T352" s="163">
        <v>9.4181403309</v>
      </c>
      <c r="U352" s="161">
        <f t="shared" si="11"/>
        <v>2.667779668868918E-3</v>
      </c>
      <c r="V352" s="161">
        <f t="shared" si="10"/>
        <v>1.6845555033489596E-3</v>
      </c>
    </row>
    <row r="353" spans="2:22">
      <c r="B353" s="163">
        <v>2018</v>
      </c>
      <c r="C353" s="163">
        <v>20030900315</v>
      </c>
      <c r="D353" s="163" t="s">
        <v>538</v>
      </c>
      <c r="E353" s="163" t="s">
        <v>389</v>
      </c>
      <c r="F353" s="163" t="s">
        <v>100</v>
      </c>
      <c r="G353" s="163"/>
      <c r="H353" s="163">
        <v>20</v>
      </c>
      <c r="I353" s="163">
        <v>3</v>
      </c>
      <c r="J353" s="163">
        <v>9</v>
      </c>
      <c r="K353" s="163">
        <v>0</v>
      </c>
      <c r="L353" s="163">
        <v>1</v>
      </c>
      <c r="M353" s="163">
        <v>4</v>
      </c>
      <c r="N353" s="163">
        <v>2662</v>
      </c>
      <c r="O353" s="163">
        <v>0</v>
      </c>
      <c r="P353" s="163">
        <v>30171</v>
      </c>
      <c r="Q353" s="163">
        <v>48877.02</v>
      </c>
      <c r="R353" s="163">
        <v>18.361014274999999</v>
      </c>
      <c r="S353" s="163">
        <v>1.62</v>
      </c>
      <c r="T353" s="163">
        <v>11.333959429</v>
      </c>
      <c r="U353" s="161">
        <f t="shared" si="11"/>
        <v>4.8752017195302314E-3</v>
      </c>
      <c r="V353" s="161">
        <f t="shared" si="10"/>
        <v>3.0784205991242555E-3</v>
      </c>
    </row>
    <row r="354" spans="2:22">
      <c r="B354" s="163">
        <v>2018</v>
      </c>
      <c r="C354" s="163">
        <v>20030900316</v>
      </c>
      <c r="D354" s="163" t="s">
        <v>539</v>
      </c>
      <c r="E354" s="163" t="s">
        <v>389</v>
      </c>
      <c r="F354" s="163" t="s">
        <v>100</v>
      </c>
      <c r="G354" s="163"/>
      <c r="H354" s="163">
        <v>20</v>
      </c>
      <c r="I354" s="163">
        <v>3</v>
      </c>
      <c r="J354" s="163">
        <v>9</v>
      </c>
      <c r="K354" s="163">
        <v>0</v>
      </c>
      <c r="L354" s="163">
        <v>1</v>
      </c>
      <c r="M354" s="163">
        <v>4</v>
      </c>
      <c r="N354" s="163">
        <v>866</v>
      </c>
      <c r="O354" s="163">
        <v>0</v>
      </c>
      <c r="P354" s="163">
        <v>9936</v>
      </c>
      <c r="Q354" s="163">
        <v>23051.52</v>
      </c>
      <c r="R354" s="163">
        <v>26.618383372</v>
      </c>
      <c r="S354" s="163">
        <v>2.3199999999999998</v>
      </c>
      <c r="T354" s="163">
        <v>11.473441108999999</v>
      </c>
      <c r="U354" s="161">
        <f t="shared" si="11"/>
        <v>1.6055153718886473E-3</v>
      </c>
      <c r="V354" s="161">
        <f t="shared" si="10"/>
        <v>1.0137942750620996E-3</v>
      </c>
    </row>
    <row r="355" spans="2:22">
      <c r="B355" s="163">
        <v>2018</v>
      </c>
      <c r="C355" s="163">
        <v>20030900317</v>
      </c>
      <c r="D355" s="163" t="s">
        <v>540</v>
      </c>
      <c r="E355" s="163" t="s">
        <v>389</v>
      </c>
      <c r="F355" s="163" t="s">
        <v>100</v>
      </c>
      <c r="G355" s="163"/>
      <c r="H355" s="163">
        <v>20</v>
      </c>
      <c r="I355" s="163">
        <v>3</v>
      </c>
      <c r="J355" s="163">
        <v>9</v>
      </c>
      <c r="K355" s="163">
        <v>0</v>
      </c>
      <c r="L355" s="163">
        <v>1</v>
      </c>
      <c r="M355" s="163">
        <v>4</v>
      </c>
      <c r="N355" s="163">
        <v>282</v>
      </c>
      <c r="O355" s="163">
        <v>0</v>
      </c>
      <c r="P355" s="163">
        <v>3635</v>
      </c>
      <c r="Q355" s="163">
        <v>10323.4</v>
      </c>
      <c r="R355" s="163">
        <v>36.607801418000001</v>
      </c>
      <c r="S355" s="163">
        <v>2.84</v>
      </c>
      <c r="T355" s="163">
        <v>12.890070922</v>
      </c>
      <c r="U355" s="161">
        <f t="shared" si="11"/>
        <v>5.8736396707077636E-4</v>
      </c>
      <c r="V355" s="161">
        <f t="shared" si="10"/>
        <v>3.7088790155502532E-4</v>
      </c>
    </row>
    <row r="356" spans="2:22">
      <c r="B356" s="163">
        <v>2018</v>
      </c>
      <c r="C356" s="163">
        <v>20030900318</v>
      </c>
      <c r="D356" s="163" t="s">
        <v>541</v>
      </c>
      <c r="E356" s="163" t="s">
        <v>389</v>
      </c>
      <c r="F356" s="163" t="s">
        <v>100</v>
      </c>
      <c r="G356" s="163"/>
      <c r="H356" s="163">
        <v>20</v>
      </c>
      <c r="I356" s="163">
        <v>3</v>
      </c>
      <c r="J356" s="163">
        <v>9</v>
      </c>
      <c r="K356" s="163">
        <v>0</v>
      </c>
      <c r="L356" s="163">
        <v>1</v>
      </c>
      <c r="M356" s="163">
        <v>4</v>
      </c>
      <c r="N356" s="163">
        <v>89</v>
      </c>
      <c r="O356" s="163">
        <v>0</v>
      </c>
      <c r="P356" s="163">
        <v>1704</v>
      </c>
      <c r="Q356" s="163">
        <v>8366.64</v>
      </c>
      <c r="R356" s="163">
        <v>94.007191011000003</v>
      </c>
      <c r="S356" s="163">
        <v>4.91</v>
      </c>
      <c r="T356" s="163">
        <v>19.146067416000001</v>
      </c>
      <c r="U356" s="161">
        <f t="shared" si="11"/>
        <v>2.7534200822244918E-4</v>
      </c>
      <c r="V356" s="161">
        <f t="shared" si="10"/>
        <v>1.7386326939470789E-4</v>
      </c>
    </row>
    <row r="357" spans="2:22">
      <c r="B357" s="163">
        <v>2018</v>
      </c>
      <c r="C357" s="163">
        <v>20030900319</v>
      </c>
      <c r="D357" s="163" t="s">
        <v>542</v>
      </c>
      <c r="E357" s="163" t="s">
        <v>389</v>
      </c>
      <c r="F357" s="163" t="s">
        <v>100</v>
      </c>
      <c r="G357" s="163"/>
      <c r="H357" s="163">
        <v>20</v>
      </c>
      <c r="I357" s="163">
        <v>3</v>
      </c>
      <c r="J357" s="163">
        <v>9</v>
      </c>
      <c r="K357" s="163">
        <v>0</v>
      </c>
      <c r="L357" s="163">
        <v>1</v>
      </c>
      <c r="M357" s="163">
        <v>4</v>
      </c>
      <c r="N357" s="163">
        <v>316</v>
      </c>
      <c r="O357" s="163">
        <v>0</v>
      </c>
      <c r="P357" s="163">
        <v>4962</v>
      </c>
      <c r="Q357" s="163">
        <v>14290.56</v>
      </c>
      <c r="R357" s="163">
        <v>45.223291138999997</v>
      </c>
      <c r="S357" s="163">
        <v>2.88</v>
      </c>
      <c r="T357" s="163">
        <v>15.702531646000001</v>
      </c>
      <c r="U357" s="161">
        <f t="shared" si="11"/>
        <v>8.0178817183086443E-4</v>
      </c>
      <c r="V357" s="161">
        <f t="shared" si="10"/>
        <v>5.0628494292050499E-4</v>
      </c>
    </row>
    <row r="358" spans="2:22">
      <c r="B358" s="163">
        <v>2018</v>
      </c>
      <c r="C358" s="163">
        <v>20030900320</v>
      </c>
      <c r="D358" s="163" t="s">
        <v>543</v>
      </c>
      <c r="E358" s="163" t="s">
        <v>389</v>
      </c>
      <c r="F358" s="163" t="s">
        <v>100</v>
      </c>
      <c r="G358" s="163"/>
      <c r="H358" s="163">
        <v>20</v>
      </c>
      <c r="I358" s="163">
        <v>3</v>
      </c>
      <c r="J358" s="163">
        <v>9</v>
      </c>
      <c r="K358" s="163">
        <v>0</v>
      </c>
      <c r="L358" s="163">
        <v>1</v>
      </c>
      <c r="M358" s="163">
        <v>4</v>
      </c>
      <c r="N358" s="163">
        <v>188</v>
      </c>
      <c r="O358" s="163">
        <v>0</v>
      </c>
      <c r="P358" s="163">
        <v>3111</v>
      </c>
      <c r="Q358" s="163">
        <v>11199.6</v>
      </c>
      <c r="R358" s="163">
        <v>59.572340425999997</v>
      </c>
      <c r="S358" s="163">
        <v>3.6</v>
      </c>
      <c r="T358" s="163">
        <v>16.547872340000001</v>
      </c>
      <c r="U358" s="161">
        <f t="shared" si="11"/>
        <v>5.0269306782866165E-4</v>
      </c>
      <c r="V358" s="161">
        <f t="shared" si="10"/>
        <v>3.1742290556745082E-4</v>
      </c>
    </row>
    <row r="359" spans="2:22">
      <c r="B359" s="163">
        <v>2018</v>
      </c>
      <c r="C359" s="163">
        <v>20030900325</v>
      </c>
      <c r="D359" s="163" t="s">
        <v>544</v>
      </c>
      <c r="E359" s="163" t="s">
        <v>389</v>
      </c>
      <c r="F359" s="163" t="s">
        <v>100</v>
      </c>
      <c r="G359" s="163"/>
      <c r="H359" s="163">
        <v>20</v>
      </c>
      <c r="I359" s="163">
        <v>3</v>
      </c>
      <c r="J359" s="163">
        <v>9</v>
      </c>
      <c r="K359" s="163">
        <v>0</v>
      </c>
      <c r="L359" s="163">
        <v>1</v>
      </c>
      <c r="M359" s="163">
        <v>4</v>
      </c>
      <c r="N359" s="163">
        <v>7</v>
      </c>
      <c r="O359" s="163">
        <v>0</v>
      </c>
      <c r="P359" s="163">
        <v>70</v>
      </c>
      <c r="Q359" s="163">
        <v>59.5</v>
      </c>
      <c r="R359" s="163">
        <v>8.5</v>
      </c>
      <c r="S359" s="163">
        <v>0.85</v>
      </c>
      <c r="T359" s="163">
        <v>10</v>
      </c>
      <c r="U359" s="161">
        <f t="shared" si="11"/>
        <v>1.1310997990358829E-5</v>
      </c>
      <c r="V359" s="161">
        <f t="shared" si="10"/>
        <v>7.1422704563553707E-6</v>
      </c>
    </row>
    <row r="360" spans="2:22">
      <c r="B360" s="163">
        <v>2018</v>
      </c>
      <c r="C360" s="163">
        <v>20030900326</v>
      </c>
      <c r="D360" s="163" t="s">
        <v>545</v>
      </c>
      <c r="E360" s="163" t="s">
        <v>389</v>
      </c>
      <c r="F360" s="163" t="s">
        <v>100</v>
      </c>
      <c r="G360" s="163"/>
      <c r="H360" s="163">
        <v>20</v>
      </c>
      <c r="I360" s="163">
        <v>3</v>
      </c>
      <c r="J360" s="163">
        <v>9</v>
      </c>
      <c r="K360" s="163">
        <v>0</v>
      </c>
      <c r="L360" s="163">
        <v>1</v>
      </c>
      <c r="M360" s="163">
        <v>4</v>
      </c>
      <c r="N360" s="163">
        <v>2</v>
      </c>
      <c r="O360" s="163">
        <v>0</v>
      </c>
      <c r="P360" s="163">
        <v>30</v>
      </c>
      <c r="Q360" s="163">
        <v>29.7</v>
      </c>
      <c r="R360" s="163">
        <v>14.85</v>
      </c>
      <c r="S360" s="163">
        <v>0.99</v>
      </c>
      <c r="T360" s="163">
        <v>15</v>
      </c>
      <c r="U360" s="161">
        <f t="shared" si="11"/>
        <v>4.8475705672966407E-6</v>
      </c>
      <c r="V360" s="161">
        <f t="shared" si="10"/>
        <v>3.0609730527237304E-6</v>
      </c>
    </row>
    <row r="361" spans="2:22">
      <c r="B361" s="163">
        <v>2018</v>
      </c>
      <c r="C361" s="163">
        <v>20030900327</v>
      </c>
      <c r="D361" s="163" t="s">
        <v>546</v>
      </c>
      <c r="E361" s="163" t="s">
        <v>389</v>
      </c>
      <c r="F361" s="163" t="s">
        <v>100</v>
      </c>
      <c r="G361" s="163"/>
      <c r="H361" s="163">
        <v>20</v>
      </c>
      <c r="I361" s="163">
        <v>3</v>
      </c>
      <c r="J361" s="163">
        <v>9</v>
      </c>
      <c r="K361" s="163">
        <v>0</v>
      </c>
      <c r="L361" s="163">
        <v>1</v>
      </c>
      <c r="M361" s="163">
        <v>4</v>
      </c>
      <c r="N361" s="163">
        <v>7</v>
      </c>
      <c r="O361" s="163">
        <v>0</v>
      </c>
      <c r="P361" s="163">
        <v>80</v>
      </c>
      <c r="Q361" s="163">
        <v>128</v>
      </c>
      <c r="R361" s="163">
        <v>18.285714286000001</v>
      </c>
      <c r="S361" s="163">
        <v>1.6</v>
      </c>
      <c r="T361" s="163">
        <v>11.428571429</v>
      </c>
      <c r="U361" s="161">
        <f t="shared" si="11"/>
        <v>1.2926854846124375E-5</v>
      </c>
      <c r="V361" s="161">
        <f t="shared" si="10"/>
        <v>8.1625948072632806E-6</v>
      </c>
    </row>
    <row r="362" spans="2:22">
      <c r="B362" s="163">
        <v>2018</v>
      </c>
      <c r="C362" s="163">
        <v>20030900330</v>
      </c>
      <c r="D362" s="163" t="s">
        <v>547</v>
      </c>
      <c r="E362" s="163" t="s">
        <v>389</v>
      </c>
      <c r="F362" s="163" t="s">
        <v>100</v>
      </c>
      <c r="G362" s="163"/>
      <c r="H362" s="163">
        <v>20</v>
      </c>
      <c r="I362" s="163">
        <v>3</v>
      </c>
      <c r="J362" s="163">
        <v>9</v>
      </c>
      <c r="K362" s="163">
        <v>0</v>
      </c>
      <c r="L362" s="163">
        <v>1</v>
      </c>
      <c r="M362" s="163">
        <v>4</v>
      </c>
      <c r="N362" s="163">
        <v>16</v>
      </c>
      <c r="O362" s="163">
        <v>0</v>
      </c>
      <c r="P362" s="163">
        <v>229</v>
      </c>
      <c r="Q362" s="163">
        <v>238.16</v>
      </c>
      <c r="R362" s="163">
        <v>14.885</v>
      </c>
      <c r="S362" s="163">
        <v>1.04</v>
      </c>
      <c r="T362" s="163">
        <v>14.3125</v>
      </c>
      <c r="U362" s="161">
        <f t="shared" si="11"/>
        <v>3.7003121997031026E-5</v>
      </c>
      <c r="V362" s="161">
        <f t="shared" si="10"/>
        <v>2.3365427635791142E-5</v>
      </c>
    </row>
    <row r="363" spans="2:22">
      <c r="B363" s="163">
        <v>2018</v>
      </c>
      <c r="C363" s="163">
        <v>20030900331</v>
      </c>
      <c r="D363" s="163" t="s">
        <v>548</v>
      </c>
      <c r="E363" s="163" t="s">
        <v>389</v>
      </c>
      <c r="F363" s="163" t="s">
        <v>100</v>
      </c>
      <c r="G363" s="163"/>
      <c r="H363" s="163">
        <v>20</v>
      </c>
      <c r="I363" s="163">
        <v>3</v>
      </c>
      <c r="J363" s="163">
        <v>9</v>
      </c>
      <c r="K363" s="163">
        <v>0</v>
      </c>
      <c r="L363" s="163">
        <v>1</v>
      </c>
      <c r="M363" s="163">
        <v>4</v>
      </c>
      <c r="N363" s="163">
        <v>17</v>
      </c>
      <c r="O363" s="163">
        <v>0</v>
      </c>
      <c r="P363" s="163">
        <v>265</v>
      </c>
      <c r="Q363" s="163">
        <v>437.25</v>
      </c>
      <c r="R363" s="163">
        <v>25.720588235000001</v>
      </c>
      <c r="S363" s="163">
        <v>1.65</v>
      </c>
      <c r="T363" s="163">
        <v>15.588235294</v>
      </c>
      <c r="U363" s="161">
        <f t="shared" si="11"/>
        <v>4.2820206677786993E-5</v>
      </c>
      <c r="V363" s="161">
        <f t="shared" si="10"/>
        <v>2.7038595299059617E-5</v>
      </c>
    </row>
    <row r="364" spans="2:22">
      <c r="B364" s="163">
        <v>2018</v>
      </c>
      <c r="C364" s="163">
        <v>20030900332</v>
      </c>
      <c r="D364" s="163" t="s">
        <v>549</v>
      </c>
      <c r="E364" s="163" t="s">
        <v>389</v>
      </c>
      <c r="F364" s="163" t="s">
        <v>100</v>
      </c>
      <c r="G364" s="163"/>
      <c r="H364" s="163">
        <v>20</v>
      </c>
      <c r="I364" s="163">
        <v>3</v>
      </c>
      <c r="J364" s="163">
        <v>9</v>
      </c>
      <c r="K364" s="163">
        <v>0</v>
      </c>
      <c r="L364" s="163">
        <v>1</v>
      </c>
      <c r="M364" s="163">
        <v>4</v>
      </c>
      <c r="N364" s="163">
        <v>3</v>
      </c>
      <c r="O364" s="163">
        <v>0</v>
      </c>
      <c r="P364" s="163">
        <v>15</v>
      </c>
      <c r="Q364" s="163">
        <v>42.75</v>
      </c>
      <c r="R364" s="163">
        <v>14.25</v>
      </c>
      <c r="S364" s="163">
        <v>2.85</v>
      </c>
      <c r="T364" s="163">
        <v>5</v>
      </c>
      <c r="U364" s="161">
        <f t="shared" si="11"/>
        <v>2.4237852836483204E-6</v>
      </c>
      <c r="V364" s="161">
        <f t="shared" si="10"/>
        <v>1.5304865263618652E-6</v>
      </c>
    </row>
    <row r="365" spans="2:22">
      <c r="B365" s="163">
        <v>2018</v>
      </c>
      <c r="C365" s="163">
        <v>20030900333</v>
      </c>
      <c r="D365" s="163" t="s">
        <v>550</v>
      </c>
      <c r="E365" s="163" t="s">
        <v>389</v>
      </c>
      <c r="F365" s="163" t="s">
        <v>100</v>
      </c>
      <c r="G365" s="163"/>
      <c r="H365" s="163">
        <v>20</v>
      </c>
      <c r="I365" s="163">
        <v>3</v>
      </c>
      <c r="J365" s="163">
        <v>9</v>
      </c>
      <c r="K365" s="163">
        <v>0</v>
      </c>
      <c r="L365" s="163">
        <v>1</v>
      </c>
      <c r="M365" s="163">
        <v>4</v>
      </c>
      <c r="N365" s="163">
        <v>8</v>
      </c>
      <c r="O365" s="163">
        <v>0</v>
      </c>
      <c r="P365" s="163">
        <v>113</v>
      </c>
      <c r="Q365" s="163">
        <v>333.35</v>
      </c>
      <c r="R365" s="163">
        <v>41.668750000000003</v>
      </c>
      <c r="S365" s="163">
        <v>2.95</v>
      </c>
      <c r="T365" s="163">
        <v>14.125</v>
      </c>
      <c r="U365" s="161">
        <f t="shared" si="11"/>
        <v>1.8259182470150679E-5</v>
      </c>
      <c r="V365" s="161">
        <f t="shared" si="10"/>
        <v>1.1529665165259384E-5</v>
      </c>
    </row>
    <row r="366" spans="2:22">
      <c r="B366" s="163">
        <v>2018</v>
      </c>
      <c r="C366" s="163">
        <v>20030900336</v>
      </c>
      <c r="D366" s="163" t="s">
        <v>551</v>
      </c>
      <c r="E366" s="163" t="s">
        <v>389</v>
      </c>
      <c r="F366" s="163" t="s">
        <v>100</v>
      </c>
      <c r="G366" s="163"/>
      <c r="H366" s="163">
        <v>20</v>
      </c>
      <c r="I366" s="163">
        <v>3</v>
      </c>
      <c r="J366" s="163">
        <v>9</v>
      </c>
      <c r="K366" s="163">
        <v>0</v>
      </c>
      <c r="L366" s="163">
        <v>1</v>
      </c>
      <c r="M366" s="163">
        <v>4</v>
      </c>
      <c r="N366" s="163">
        <v>456</v>
      </c>
      <c r="O366" s="163">
        <v>0</v>
      </c>
      <c r="P366" s="163">
        <v>5887</v>
      </c>
      <c r="Q366" s="163">
        <v>6770.05</v>
      </c>
      <c r="R366" s="163">
        <v>14.846600877</v>
      </c>
      <c r="S366" s="163">
        <v>1.1499999999999999</v>
      </c>
      <c r="T366" s="163">
        <v>12.910087719</v>
      </c>
      <c r="U366" s="161">
        <f t="shared" si="11"/>
        <v>9.5125493098917747E-4</v>
      </c>
      <c r="V366" s="161">
        <f t="shared" si="10"/>
        <v>6.0066494537948671E-4</v>
      </c>
    </row>
    <row r="367" spans="2:22">
      <c r="B367" s="163">
        <v>2018</v>
      </c>
      <c r="C367" s="163">
        <v>20030900337</v>
      </c>
      <c r="D367" s="163" t="s">
        <v>552</v>
      </c>
      <c r="E367" s="163" t="s">
        <v>389</v>
      </c>
      <c r="F367" s="163" t="s">
        <v>100</v>
      </c>
      <c r="G367" s="163"/>
      <c r="H367" s="163">
        <v>20</v>
      </c>
      <c r="I367" s="163">
        <v>3</v>
      </c>
      <c r="J367" s="163">
        <v>9</v>
      </c>
      <c r="K367" s="163">
        <v>0</v>
      </c>
      <c r="L367" s="163">
        <v>1</v>
      </c>
      <c r="M367" s="163">
        <v>4</v>
      </c>
      <c r="N367" s="163">
        <v>685</v>
      </c>
      <c r="O367" s="163">
        <v>0</v>
      </c>
      <c r="P367" s="163">
        <v>8303</v>
      </c>
      <c r="Q367" s="163">
        <v>13035.71</v>
      </c>
      <c r="R367" s="163">
        <v>19.030233577000001</v>
      </c>
      <c r="S367" s="163">
        <v>1.57</v>
      </c>
      <c r="T367" s="163">
        <v>12.121167883</v>
      </c>
      <c r="U367" s="161">
        <f t="shared" si="11"/>
        <v>1.3416459473421336E-3</v>
      </c>
      <c r="V367" s="161">
        <f t="shared" si="10"/>
        <v>8.471753085588378E-4</v>
      </c>
    </row>
    <row r="368" spans="2:22">
      <c r="B368" s="163">
        <v>2018</v>
      </c>
      <c r="C368" s="163">
        <v>20030900338</v>
      </c>
      <c r="D368" s="163" t="s">
        <v>553</v>
      </c>
      <c r="E368" s="163" t="s">
        <v>389</v>
      </c>
      <c r="F368" s="163" t="s">
        <v>100</v>
      </c>
      <c r="G368" s="163"/>
      <c r="H368" s="163">
        <v>20</v>
      </c>
      <c r="I368" s="163">
        <v>3</v>
      </c>
      <c r="J368" s="163">
        <v>9</v>
      </c>
      <c r="K368" s="163">
        <v>0</v>
      </c>
      <c r="L368" s="163">
        <v>1</v>
      </c>
      <c r="M368" s="163">
        <v>4</v>
      </c>
      <c r="N368" s="163">
        <v>163</v>
      </c>
      <c r="O368" s="163">
        <v>0</v>
      </c>
      <c r="P368" s="163">
        <v>2116</v>
      </c>
      <c r="Q368" s="163">
        <v>7406</v>
      </c>
      <c r="R368" s="163">
        <v>45.435582822000001</v>
      </c>
      <c r="S368" s="163">
        <v>3.5</v>
      </c>
      <c r="T368" s="163">
        <v>12.981595091999999</v>
      </c>
      <c r="U368" s="161">
        <f t="shared" si="11"/>
        <v>3.4191531067998975E-4</v>
      </c>
      <c r="V368" s="161">
        <f t="shared" si="10"/>
        <v>2.1590063265211379E-4</v>
      </c>
    </row>
    <row r="369" spans="2:22">
      <c r="B369" s="163">
        <v>2018</v>
      </c>
      <c r="C369" s="163">
        <v>20030900339</v>
      </c>
      <c r="D369" s="163" t="s">
        <v>554</v>
      </c>
      <c r="E369" s="163" t="s">
        <v>389</v>
      </c>
      <c r="F369" s="163" t="s">
        <v>100</v>
      </c>
      <c r="G369" s="163"/>
      <c r="H369" s="163">
        <v>20</v>
      </c>
      <c r="I369" s="163">
        <v>3</v>
      </c>
      <c r="J369" s="163">
        <v>9</v>
      </c>
      <c r="K369" s="163">
        <v>0</v>
      </c>
      <c r="L369" s="163">
        <v>1</v>
      </c>
      <c r="M369" s="163">
        <v>4</v>
      </c>
      <c r="N369" s="163">
        <v>77</v>
      </c>
      <c r="O369" s="163">
        <v>0</v>
      </c>
      <c r="P369" s="163">
        <v>1175</v>
      </c>
      <c r="Q369" s="163">
        <v>1833</v>
      </c>
      <c r="R369" s="163">
        <v>23.805194804999999</v>
      </c>
      <c r="S369" s="163">
        <v>1.56</v>
      </c>
      <c r="T369" s="163">
        <v>15.259740259999999</v>
      </c>
      <c r="U369" s="161">
        <f t="shared" si="11"/>
        <v>1.8986318055245175E-4</v>
      </c>
      <c r="V369" s="161">
        <f t="shared" si="10"/>
        <v>1.1988811123167944E-4</v>
      </c>
    </row>
    <row r="370" spans="2:22">
      <c r="B370" s="163">
        <v>2018</v>
      </c>
      <c r="C370" s="163">
        <v>20030900355</v>
      </c>
      <c r="D370" s="163" t="s">
        <v>555</v>
      </c>
      <c r="E370" s="163" t="s">
        <v>389</v>
      </c>
      <c r="F370" s="163" t="s">
        <v>100</v>
      </c>
      <c r="G370" s="163"/>
      <c r="H370" s="163">
        <v>20</v>
      </c>
      <c r="I370" s="163">
        <v>3</v>
      </c>
      <c r="J370" s="163">
        <v>9</v>
      </c>
      <c r="K370" s="163">
        <v>0</v>
      </c>
      <c r="L370" s="163">
        <v>1</v>
      </c>
      <c r="M370" s="163">
        <v>4</v>
      </c>
      <c r="N370" s="163">
        <v>204</v>
      </c>
      <c r="O370" s="163">
        <v>0</v>
      </c>
      <c r="P370" s="163">
        <v>2887</v>
      </c>
      <c r="Q370" s="163">
        <v>13857.6</v>
      </c>
      <c r="R370" s="163">
        <v>67.929411764999998</v>
      </c>
      <c r="S370" s="163">
        <v>4.8</v>
      </c>
      <c r="T370" s="163">
        <v>14.151960784</v>
      </c>
      <c r="U370" s="161">
        <f t="shared" si="11"/>
        <v>4.6649787425951338E-4</v>
      </c>
      <c r="V370" s="161">
        <f t="shared" si="10"/>
        <v>2.9456764010711366E-4</v>
      </c>
    </row>
    <row r="371" spans="2:22">
      <c r="B371" s="163">
        <v>2018</v>
      </c>
      <c r="C371" s="163">
        <v>20030900357</v>
      </c>
      <c r="D371" s="163" t="s">
        <v>556</v>
      </c>
      <c r="E371" s="163" t="s">
        <v>389</v>
      </c>
      <c r="F371" s="163" t="s">
        <v>100</v>
      </c>
      <c r="G371" s="163"/>
      <c r="H371" s="163">
        <v>20</v>
      </c>
      <c r="I371" s="163">
        <v>3</v>
      </c>
      <c r="J371" s="163">
        <v>9</v>
      </c>
      <c r="K371" s="163">
        <v>0</v>
      </c>
      <c r="L371" s="163">
        <v>1</v>
      </c>
      <c r="M371" s="163">
        <v>4</v>
      </c>
      <c r="N371" s="163">
        <v>293</v>
      </c>
      <c r="O371" s="163">
        <v>0</v>
      </c>
      <c r="P371" s="163">
        <v>3956</v>
      </c>
      <c r="Q371" s="163">
        <v>26070.04</v>
      </c>
      <c r="R371" s="163">
        <v>88.976245734000003</v>
      </c>
      <c r="S371" s="163">
        <v>6.59</v>
      </c>
      <c r="T371" s="163">
        <v>13.501706485</v>
      </c>
      <c r="U371" s="161">
        <f t="shared" si="11"/>
        <v>6.3923297214085034E-4</v>
      </c>
      <c r="V371" s="161">
        <f t="shared" si="10"/>
        <v>4.0364031321916922E-4</v>
      </c>
    </row>
    <row r="372" spans="2:22">
      <c r="B372" s="163">
        <v>2018</v>
      </c>
      <c r="C372" s="163">
        <v>20030900358</v>
      </c>
      <c r="D372" s="163" t="s">
        <v>557</v>
      </c>
      <c r="E372" s="163" t="s">
        <v>389</v>
      </c>
      <c r="F372" s="163" t="s">
        <v>100</v>
      </c>
      <c r="G372" s="163"/>
      <c r="H372" s="163">
        <v>20</v>
      </c>
      <c r="I372" s="163">
        <v>3</v>
      </c>
      <c r="J372" s="163">
        <v>9</v>
      </c>
      <c r="K372" s="163">
        <v>0</v>
      </c>
      <c r="L372" s="163">
        <v>1</v>
      </c>
      <c r="M372" s="163">
        <v>4</v>
      </c>
      <c r="N372" s="163">
        <v>3</v>
      </c>
      <c r="O372" s="163">
        <v>0</v>
      </c>
      <c r="P372" s="163">
        <v>25</v>
      </c>
      <c r="Q372" s="163">
        <v>22.9</v>
      </c>
      <c r="R372" s="163">
        <v>7.6333333333000004</v>
      </c>
      <c r="S372" s="163">
        <v>0.91600000000000004</v>
      </c>
      <c r="T372" s="163">
        <v>8.3333333333000006</v>
      </c>
      <c r="U372" s="161">
        <f t="shared" si="11"/>
        <v>4.039642139413867E-6</v>
      </c>
      <c r="V372" s="161">
        <f t="shared" si="10"/>
        <v>2.5508108772697751E-6</v>
      </c>
    </row>
    <row r="373" spans="2:22">
      <c r="B373" s="163">
        <v>2018</v>
      </c>
      <c r="C373" s="163">
        <v>20030900359</v>
      </c>
      <c r="D373" s="163" t="s">
        <v>558</v>
      </c>
      <c r="E373" s="163" t="s">
        <v>389</v>
      </c>
      <c r="F373" s="163" t="s">
        <v>100</v>
      </c>
      <c r="G373" s="163"/>
      <c r="H373" s="163">
        <v>20</v>
      </c>
      <c r="I373" s="163">
        <v>3</v>
      </c>
      <c r="J373" s="163">
        <v>9</v>
      </c>
      <c r="K373" s="163">
        <v>0</v>
      </c>
      <c r="L373" s="163">
        <v>1</v>
      </c>
      <c r="M373" s="163">
        <v>4</v>
      </c>
      <c r="N373" s="163">
        <v>10</v>
      </c>
      <c r="O373" s="163">
        <v>0</v>
      </c>
      <c r="P373" s="163">
        <v>110</v>
      </c>
      <c r="Q373" s="163">
        <v>186.2</v>
      </c>
      <c r="R373" s="163">
        <v>18.62</v>
      </c>
      <c r="S373" s="163">
        <v>1.6927272727</v>
      </c>
      <c r="T373" s="163">
        <v>11</v>
      </c>
      <c r="U373" s="161">
        <f t="shared" si="11"/>
        <v>1.7774425413421015E-5</v>
      </c>
      <c r="V373" s="161">
        <f t="shared" si="10"/>
        <v>1.1223567859987012E-5</v>
      </c>
    </row>
    <row r="374" spans="2:22">
      <c r="B374" s="163">
        <v>2018</v>
      </c>
      <c r="C374" s="163">
        <v>20030900360</v>
      </c>
      <c r="D374" s="163" t="s">
        <v>559</v>
      </c>
      <c r="E374" s="163" t="s">
        <v>389</v>
      </c>
      <c r="F374" s="163" t="s">
        <v>100</v>
      </c>
      <c r="G374" s="163"/>
      <c r="H374" s="163">
        <v>20</v>
      </c>
      <c r="I374" s="163">
        <v>3</v>
      </c>
      <c r="J374" s="163">
        <v>9</v>
      </c>
      <c r="K374" s="163">
        <v>0</v>
      </c>
      <c r="L374" s="163">
        <v>1</v>
      </c>
      <c r="M374" s="163">
        <v>4</v>
      </c>
      <c r="N374" s="163">
        <v>3</v>
      </c>
      <c r="O374" s="163">
        <v>0</v>
      </c>
      <c r="P374" s="163">
        <v>23</v>
      </c>
      <c r="Q374" s="163">
        <v>60.22</v>
      </c>
      <c r="R374" s="163">
        <v>20.073333333000001</v>
      </c>
      <c r="S374" s="163">
        <v>2.6182608695999998</v>
      </c>
      <c r="T374" s="163">
        <v>7.6666666667000003</v>
      </c>
      <c r="U374" s="161">
        <f t="shared" si="11"/>
        <v>3.716470768260758E-6</v>
      </c>
      <c r="V374" s="161">
        <f t="shared" si="10"/>
        <v>2.3467460070881931E-6</v>
      </c>
    </row>
    <row r="375" spans="2:22">
      <c r="B375" s="163">
        <v>2018</v>
      </c>
      <c r="C375" s="163">
        <v>20030900362</v>
      </c>
      <c r="D375" s="163" t="s">
        <v>560</v>
      </c>
      <c r="E375" s="163" t="s">
        <v>389</v>
      </c>
      <c r="F375" s="163" t="s">
        <v>100</v>
      </c>
      <c r="G375" s="163"/>
      <c r="H375" s="163">
        <v>20</v>
      </c>
      <c r="I375" s="163">
        <v>3</v>
      </c>
      <c r="J375" s="163">
        <v>9</v>
      </c>
      <c r="K375" s="163">
        <v>0</v>
      </c>
      <c r="L375" s="163">
        <v>1</v>
      </c>
      <c r="M375" s="163">
        <v>4</v>
      </c>
      <c r="N375" s="163">
        <v>2</v>
      </c>
      <c r="O375" s="163">
        <v>0</v>
      </c>
      <c r="P375" s="163">
        <v>27</v>
      </c>
      <c r="Q375" s="163">
        <v>85.47</v>
      </c>
      <c r="R375" s="163">
        <v>42.734999999999999</v>
      </c>
      <c r="S375" s="163">
        <v>3.1655555556000001</v>
      </c>
      <c r="T375" s="163">
        <v>13.5</v>
      </c>
      <c r="U375" s="161">
        <f t="shared" si="11"/>
        <v>4.3628135105669768E-6</v>
      </c>
      <c r="V375" s="161">
        <f t="shared" si="10"/>
        <v>2.7548757474513575E-6</v>
      </c>
    </row>
    <row r="376" spans="2:22">
      <c r="B376" s="163">
        <v>2018</v>
      </c>
      <c r="C376" s="163">
        <v>20030900363</v>
      </c>
      <c r="D376" s="163" t="s">
        <v>561</v>
      </c>
      <c r="E376" s="163" t="s">
        <v>389</v>
      </c>
      <c r="F376" s="163" t="s">
        <v>100</v>
      </c>
      <c r="G376" s="163"/>
      <c r="H376" s="163">
        <v>20</v>
      </c>
      <c r="I376" s="163">
        <v>3</v>
      </c>
      <c r="J376" s="163">
        <v>9</v>
      </c>
      <c r="K376" s="163">
        <v>0</v>
      </c>
      <c r="L376" s="163">
        <v>1</v>
      </c>
      <c r="M376" s="163">
        <v>4</v>
      </c>
      <c r="N376" s="163">
        <v>4</v>
      </c>
      <c r="O376" s="163">
        <v>0</v>
      </c>
      <c r="P376" s="163">
        <v>70</v>
      </c>
      <c r="Q376" s="163">
        <v>59.5</v>
      </c>
      <c r="R376" s="163">
        <v>14.875</v>
      </c>
      <c r="S376" s="163">
        <v>0.85</v>
      </c>
      <c r="T376" s="163">
        <v>17.5</v>
      </c>
      <c r="U376" s="161">
        <f t="shared" si="11"/>
        <v>1.1310997990358829E-5</v>
      </c>
      <c r="V376" s="161">
        <f t="shared" si="10"/>
        <v>7.1422704563553707E-6</v>
      </c>
    </row>
    <row r="377" spans="2:22">
      <c r="B377" s="163">
        <v>2018</v>
      </c>
      <c r="C377" s="163">
        <v>20030900364</v>
      </c>
      <c r="D377" s="163" t="s">
        <v>562</v>
      </c>
      <c r="E377" s="163" t="s">
        <v>389</v>
      </c>
      <c r="F377" s="163" t="s">
        <v>100</v>
      </c>
      <c r="G377" s="163"/>
      <c r="H377" s="163">
        <v>20</v>
      </c>
      <c r="I377" s="163">
        <v>3</v>
      </c>
      <c r="J377" s="163">
        <v>9</v>
      </c>
      <c r="K377" s="163">
        <v>0</v>
      </c>
      <c r="L377" s="163">
        <v>1</v>
      </c>
      <c r="M377" s="163">
        <v>4</v>
      </c>
      <c r="N377" s="163">
        <v>4</v>
      </c>
      <c r="O377" s="163">
        <v>0</v>
      </c>
      <c r="P377" s="163">
        <v>60</v>
      </c>
      <c r="Q377" s="163">
        <v>96</v>
      </c>
      <c r="R377" s="163">
        <v>24</v>
      </c>
      <c r="S377" s="163">
        <v>1.6</v>
      </c>
      <c r="T377" s="163">
        <v>15</v>
      </c>
      <c r="U377" s="161">
        <f t="shared" si="11"/>
        <v>9.6951411345932814E-6</v>
      </c>
      <c r="V377" s="161">
        <f t="shared" si="10"/>
        <v>6.1219461054474609E-6</v>
      </c>
    </row>
    <row r="378" spans="2:22">
      <c r="B378" s="163">
        <v>2018</v>
      </c>
      <c r="C378" s="163">
        <v>20030900365</v>
      </c>
      <c r="D378" s="163" t="s">
        <v>563</v>
      </c>
      <c r="E378" s="163" t="s">
        <v>389</v>
      </c>
      <c r="F378" s="163" t="s">
        <v>100</v>
      </c>
      <c r="G378" s="163"/>
      <c r="H378" s="163">
        <v>20</v>
      </c>
      <c r="I378" s="163">
        <v>3</v>
      </c>
      <c r="J378" s="163">
        <v>9</v>
      </c>
      <c r="K378" s="163">
        <v>0</v>
      </c>
      <c r="L378" s="163">
        <v>1</v>
      </c>
      <c r="M378" s="163">
        <v>4</v>
      </c>
      <c r="N378" s="163">
        <v>5</v>
      </c>
      <c r="O378" s="163">
        <v>0</v>
      </c>
      <c r="P378" s="163">
        <v>90</v>
      </c>
      <c r="Q378" s="163">
        <v>260.10000000000002</v>
      </c>
      <c r="R378" s="163">
        <v>52.02</v>
      </c>
      <c r="S378" s="163">
        <v>2.89</v>
      </c>
      <c r="T378" s="163">
        <v>18</v>
      </c>
      <c r="U378" s="161">
        <f t="shared" si="11"/>
        <v>1.4542711701889922E-5</v>
      </c>
      <c r="V378" s="161">
        <f t="shared" si="10"/>
        <v>9.1829191581711905E-6</v>
      </c>
    </row>
    <row r="379" spans="2:22">
      <c r="B379" s="163">
        <v>2018</v>
      </c>
      <c r="C379" s="163">
        <v>20030900366</v>
      </c>
      <c r="D379" s="163" t="s">
        <v>564</v>
      </c>
      <c r="E379" s="163" t="s">
        <v>389</v>
      </c>
      <c r="F379" s="163" t="s">
        <v>100</v>
      </c>
      <c r="G379" s="163"/>
      <c r="H379" s="163">
        <v>20</v>
      </c>
      <c r="I379" s="163">
        <v>3</v>
      </c>
      <c r="J379" s="163">
        <v>9</v>
      </c>
      <c r="K379" s="163">
        <v>0</v>
      </c>
      <c r="L379" s="163">
        <v>1</v>
      </c>
      <c r="M379" s="163">
        <v>4</v>
      </c>
      <c r="N379" s="163">
        <v>1</v>
      </c>
      <c r="O379" s="163">
        <v>0</v>
      </c>
      <c r="P379" s="163">
        <v>10</v>
      </c>
      <c r="Q379" s="163">
        <v>27.3</v>
      </c>
      <c r="R379" s="163">
        <v>27.3</v>
      </c>
      <c r="S379" s="163">
        <v>2.73</v>
      </c>
      <c r="T379" s="163">
        <v>10</v>
      </c>
      <c r="U379" s="161">
        <f t="shared" si="11"/>
        <v>1.6158568557655468E-6</v>
      </c>
      <c r="V379" s="161">
        <f t="shared" si="10"/>
        <v>1.0203243509079101E-6</v>
      </c>
    </row>
    <row r="380" spans="2:22">
      <c r="B380" s="163">
        <v>2018</v>
      </c>
      <c r="C380" s="163">
        <v>20030900367</v>
      </c>
      <c r="D380" s="163" t="s">
        <v>565</v>
      </c>
      <c r="E380" s="163" t="s">
        <v>389</v>
      </c>
      <c r="F380" s="163" t="s">
        <v>100</v>
      </c>
      <c r="G380" s="163"/>
      <c r="H380" s="163">
        <v>20</v>
      </c>
      <c r="I380" s="163">
        <v>3</v>
      </c>
      <c r="J380" s="163">
        <v>9</v>
      </c>
      <c r="K380" s="163">
        <v>0</v>
      </c>
      <c r="L380" s="163">
        <v>1</v>
      </c>
      <c r="M380" s="163">
        <v>4</v>
      </c>
      <c r="N380" s="163">
        <v>13</v>
      </c>
      <c r="O380" s="163">
        <v>0</v>
      </c>
      <c r="P380" s="163">
        <v>154</v>
      </c>
      <c r="Q380" s="163">
        <v>181.88</v>
      </c>
      <c r="R380" s="163">
        <v>13.990769231</v>
      </c>
      <c r="S380" s="163">
        <v>1.1810389610000001</v>
      </c>
      <c r="T380" s="163">
        <v>11.846153846</v>
      </c>
      <c r="U380" s="161">
        <f t="shared" si="11"/>
        <v>2.4884195578789422E-5</v>
      </c>
      <c r="V380" s="161">
        <f t="shared" si="10"/>
        <v>1.5712995003981817E-5</v>
      </c>
    </row>
    <row r="381" spans="2:22">
      <c r="B381" s="163">
        <v>2018</v>
      </c>
      <c r="C381" s="163">
        <v>20030900368</v>
      </c>
      <c r="D381" s="163" t="s">
        <v>566</v>
      </c>
      <c r="E381" s="163" t="s">
        <v>389</v>
      </c>
      <c r="F381" s="163" t="s">
        <v>100</v>
      </c>
      <c r="G381" s="163"/>
      <c r="H381" s="163">
        <v>20</v>
      </c>
      <c r="I381" s="163">
        <v>3</v>
      </c>
      <c r="J381" s="163">
        <v>9</v>
      </c>
      <c r="K381" s="163">
        <v>0</v>
      </c>
      <c r="L381" s="163">
        <v>1</v>
      </c>
      <c r="M381" s="163">
        <v>4</v>
      </c>
      <c r="N381" s="163">
        <v>22</v>
      </c>
      <c r="O381" s="163">
        <v>0</v>
      </c>
      <c r="P381" s="163">
        <v>265</v>
      </c>
      <c r="Q381" s="163">
        <v>435.25</v>
      </c>
      <c r="R381" s="163">
        <v>19.784090909</v>
      </c>
      <c r="S381" s="163">
        <v>1.6424528302000001</v>
      </c>
      <c r="T381" s="163">
        <v>12.045454545</v>
      </c>
      <c r="U381" s="161">
        <f t="shared" si="11"/>
        <v>4.2820206677786993E-5</v>
      </c>
      <c r="V381" s="161">
        <f t="shared" si="10"/>
        <v>2.7038595299059617E-5</v>
      </c>
    </row>
    <row r="382" spans="2:22">
      <c r="B382" s="163">
        <v>2018</v>
      </c>
      <c r="C382" s="163">
        <v>20030900369</v>
      </c>
      <c r="D382" s="163" t="s">
        <v>567</v>
      </c>
      <c r="E382" s="163" t="s">
        <v>389</v>
      </c>
      <c r="F382" s="163" t="s">
        <v>100</v>
      </c>
      <c r="G382" s="163"/>
      <c r="H382" s="163">
        <v>20</v>
      </c>
      <c r="I382" s="163">
        <v>3</v>
      </c>
      <c r="J382" s="163">
        <v>9</v>
      </c>
      <c r="K382" s="163">
        <v>0</v>
      </c>
      <c r="L382" s="163">
        <v>1</v>
      </c>
      <c r="M382" s="163">
        <v>4</v>
      </c>
      <c r="N382" s="163">
        <v>11</v>
      </c>
      <c r="O382" s="163">
        <v>0</v>
      </c>
      <c r="P382" s="163">
        <v>117</v>
      </c>
      <c r="Q382" s="163">
        <v>365.97</v>
      </c>
      <c r="R382" s="163">
        <v>33.270000000000003</v>
      </c>
      <c r="S382" s="163">
        <v>3.1279487178999998</v>
      </c>
      <c r="T382" s="163">
        <v>10.636363636</v>
      </c>
      <c r="U382" s="161">
        <f t="shared" si="11"/>
        <v>1.8905525212456899E-5</v>
      </c>
      <c r="V382" s="161">
        <f t="shared" si="10"/>
        <v>1.1937794905622548E-5</v>
      </c>
    </row>
    <row r="383" spans="2:22">
      <c r="B383" s="163">
        <v>2018</v>
      </c>
      <c r="C383" s="163">
        <v>20030900370</v>
      </c>
      <c r="D383" s="163" t="s">
        <v>568</v>
      </c>
      <c r="E383" s="163" t="s">
        <v>389</v>
      </c>
      <c r="F383" s="163" t="s">
        <v>100</v>
      </c>
      <c r="G383" s="163"/>
      <c r="H383" s="163">
        <v>20</v>
      </c>
      <c r="I383" s="163">
        <v>3</v>
      </c>
      <c r="J383" s="163">
        <v>9</v>
      </c>
      <c r="K383" s="163">
        <v>0</v>
      </c>
      <c r="L383" s="163">
        <v>1</v>
      </c>
      <c r="M383" s="163">
        <v>4</v>
      </c>
      <c r="N383" s="163">
        <v>1</v>
      </c>
      <c r="O383" s="163">
        <v>0</v>
      </c>
      <c r="P383" s="163">
        <v>30</v>
      </c>
      <c r="Q383" s="163">
        <v>65.099999999999994</v>
      </c>
      <c r="R383" s="163">
        <v>65.099999999999994</v>
      </c>
      <c r="S383" s="163">
        <v>2.17</v>
      </c>
      <c r="T383" s="163">
        <v>30</v>
      </c>
      <c r="U383" s="161">
        <f t="shared" si="11"/>
        <v>4.8475705672966407E-6</v>
      </c>
      <c r="V383" s="161">
        <f t="shared" si="10"/>
        <v>3.0609730527237304E-6</v>
      </c>
    </row>
    <row r="384" spans="2:22">
      <c r="B384" s="163">
        <v>2018</v>
      </c>
      <c r="C384" s="163">
        <v>20030900371</v>
      </c>
      <c r="D384" s="163" t="s">
        <v>569</v>
      </c>
      <c r="E384" s="163" t="s">
        <v>389</v>
      </c>
      <c r="F384" s="163" t="s">
        <v>100</v>
      </c>
      <c r="G384" s="163"/>
      <c r="H384" s="163">
        <v>20</v>
      </c>
      <c r="I384" s="163">
        <v>3</v>
      </c>
      <c r="J384" s="163">
        <v>9</v>
      </c>
      <c r="K384" s="163">
        <v>0</v>
      </c>
      <c r="L384" s="163">
        <v>1</v>
      </c>
      <c r="M384" s="163">
        <v>4</v>
      </c>
      <c r="N384" s="163">
        <v>2</v>
      </c>
      <c r="O384" s="163">
        <v>0</v>
      </c>
      <c r="P384" s="163">
        <v>25</v>
      </c>
      <c r="Q384" s="163">
        <v>17.05</v>
      </c>
      <c r="R384" s="163">
        <v>8.5250000000000004</v>
      </c>
      <c r="S384" s="163">
        <v>0.68200000000000005</v>
      </c>
      <c r="T384" s="163">
        <v>12.5</v>
      </c>
      <c r="U384" s="161">
        <f t="shared" si="11"/>
        <v>4.039642139413867E-6</v>
      </c>
      <c r="V384" s="161">
        <f t="shared" si="10"/>
        <v>2.5508108772697751E-6</v>
      </c>
    </row>
    <row r="385" spans="2:22">
      <c r="B385" s="163">
        <v>2018</v>
      </c>
      <c r="C385" s="163">
        <v>20030900372</v>
      </c>
      <c r="D385" s="163" t="s">
        <v>570</v>
      </c>
      <c r="E385" s="163" t="s">
        <v>389</v>
      </c>
      <c r="F385" s="163" t="s">
        <v>100</v>
      </c>
      <c r="G385" s="163"/>
      <c r="H385" s="163">
        <v>20</v>
      </c>
      <c r="I385" s="163">
        <v>3</v>
      </c>
      <c r="J385" s="163">
        <v>9</v>
      </c>
      <c r="K385" s="163">
        <v>0</v>
      </c>
      <c r="L385" s="163">
        <v>1</v>
      </c>
      <c r="M385" s="163">
        <v>4</v>
      </c>
      <c r="N385" s="163">
        <v>5</v>
      </c>
      <c r="O385" s="163">
        <v>0</v>
      </c>
      <c r="P385" s="163">
        <v>60</v>
      </c>
      <c r="Q385" s="163">
        <v>76.5</v>
      </c>
      <c r="R385" s="163">
        <v>15.3</v>
      </c>
      <c r="S385" s="163">
        <v>1.2749999999999999</v>
      </c>
      <c r="T385" s="163">
        <v>12</v>
      </c>
      <c r="U385" s="161">
        <f t="shared" si="11"/>
        <v>9.6951411345932814E-6</v>
      </c>
      <c r="V385" s="161">
        <f t="shared" si="10"/>
        <v>6.1219461054474609E-6</v>
      </c>
    </row>
    <row r="386" spans="2:22">
      <c r="B386" s="163">
        <v>2018</v>
      </c>
      <c r="C386" s="163">
        <v>20030900373</v>
      </c>
      <c r="D386" s="163" t="s">
        <v>571</v>
      </c>
      <c r="E386" s="163" t="s">
        <v>389</v>
      </c>
      <c r="F386" s="163" t="s">
        <v>100</v>
      </c>
      <c r="G386" s="163"/>
      <c r="H386" s="163">
        <v>20</v>
      </c>
      <c r="I386" s="163">
        <v>3</v>
      </c>
      <c r="J386" s="163">
        <v>9</v>
      </c>
      <c r="K386" s="163">
        <v>0</v>
      </c>
      <c r="L386" s="163">
        <v>1</v>
      </c>
      <c r="M386" s="163">
        <v>4</v>
      </c>
      <c r="N386" s="163">
        <v>2</v>
      </c>
      <c r="O386" s="163">
        <v>0</v>
      </c>
      <c r="P386" s="163">
        <v>30</v>
      </c>
      <c r="Q386" s="163">
        <v>48.8</v>
      </c>
      <c r="R386" s="163">
        <v>24.4</v>
      </c>
      <c r="S386" s="163">
        <v>1.6266666667</v>
      </c>
      <c r="T386" s="163">
        <v>15</v>
      </c>
      <c r="U386" s="161">
        <f t="shared" si="11"/>
        <v>4.8475705672966407E-6</v>
      </c>
      <c r="V386" s="161">
        <f t="shared" si="10"/>
        <v>3.0609730527237304E-6</v>
      </c>
    </row>
    <row r="387" spans="2:22">
      <c r="B387" s="163">
        <v>2018</v>
      </c>
      <c r="C387" s="163">
        <v>20030900374</v>
      </c>
      <c r="D387" s="163" t="s">
        <v>572</v>
      </c>
      <c r="E387" s="163" t="s">
        <v>389</v>
      </c>
      <c r="F387" s="163" t="s">
        <v>100</v>
      </c>
      <c r="G387" s="163"/>
      <c r="H387" s="163">
        <v>20</v>
      </c>
      <c r="I387" s="163">
        <v>3</v>
      </c>
      <c r="J387" s="163">
        <v>9</v>
      </c>
      <c r="K387" s="163">
        <v>0</v>
      </c>
      <c r="L387" s="163">
        <v>1</v>
      </c>
      <c r="M387" s="163">
        <v>4</v>
      </c>
      <c r="N387" s="163">
        <v>11</v>
      </c>
      <c r="O387" s="163">
        <v>0</v>
      </c>
      <c r="P387" s="163">
        <v>242</v>
      </c>
      <c r="Q387" s="163">
        <v>787.22</v>
      </c>
      <c r="R387" s="163">
        <v>71.565454544999994</v>
      </c>
      <c r="S387" s="163">
        <v>3.2529752065999999</v>
      </c>
      <c r="T387" s="163">
        <v>22</v>
      </c>
      <c r="U387" s="161">
        <f t="shared" si="11"/>
        <v>3.9103735909526237E-5</v>
      </c>
      <c r="V387" s="161">
        <f t="shared" si="10"/>
        <v>2.4691849291971424E-5</v>
      </c>
    </row>
    <row r="388" spans="2:22">
      <c r="B388" s="163">
        <v>2018</v>
      </c>
      <c r="C388" s="163">
        <v>20030900376</v>
      </c>
      <c r="D388" s="163" t="s">
        <v>573</v>
      </c>
      <c r="E388" s="163" t="s">
        <v>389</v>
      </c>
      <c r="F388" s="163" t="s">
        <v>100</v>
      </c>
      <c r="G388" s="163"/>
      <c r="H388" s="163">
        <v>20</v>
      </c>
      <c r="I388" s="163">
        <v>3</v>
      </c>
      <c r="J388" s="163">
        <v>9</v>
      </c>
      <c r="K388" s="163">
        <v>0</v>
      </c>
      <c r="L388" s="163">
        <v>1</v>
      </c>
      <c r="M388" s="163">
        <v>4</v>
      </c>
      <c r="N388" s="163">
        <v>7</v>
      </c>
      <c r="O388" s="163">
        <v>0</v>
      </c>
      <c r="P388" s="163">
        <v>80</v>
      </c>
      <c r="Q388" s="163">
        <v>136.80000000000001</v>
      </c>
      <c r="R388" s="163">
        <v>19.542857142999999</v>
      </c>
      <c r="S388" s="163">
        <v>1.71</v>
      </c>
      <c r="T388" s="163">
        <v>11.428571429</v>
      </c>
      <c r="U388" s="161">
        <f t="shared" si="11"/>
        <v>1.2926854846124375E-5</v>
      </c>
      <c r="V388" s="161">
        <f t="shared" si="10"/>
        <v>8.1625948072632806E-6</v>
      </c>
    </row>
    <row r="389" spans="2:22">
      <c r="B389" s="163">
        <v>2018</v>
      </c>
      <c r="C389" s="163">
        <v>20030900377</v>
      </c>
      <c r="D389" s="163" t="s">
        <v>574</v>
      </c>
      <c r="E389" s="163" t="s">
        <v>389</v>
      </c>
      <c r="F389" s="163" t="s">
        <v>100</v>
      </c>
      <c r="G389" s="163"/>
      <c r="H389" s="163">
        <v>20</v>
      </c>
      <c r="I389" s="163">
        <v>3</v>
      </c>
      <c r="J389" s="163">
        <v>9</v>
      </c>
      <c r="K389" s="163">
        <v>0</v>
      </c>
      <c r="L389" s="163">
        <v>1</v>
      </c>
      <c r="M389" s="163">
        <v>4</v>
      </c>
      <c r="N389" s="163">
        <v>2</v>
      </c>
      <c r="O389" s="163">
        <v>0</v>
      </c>
      <c r="P389" s="163">
        <v>25</v>
      </c>
      <c r="Q389" s="163">
        <v>76.25</v>
      </c>
      <c r="R389" s="163">
        <v>38.125</v>
      </c>
      <c r="S389" s="163">
        <v>3.05</v>
      </c>
      <c r="T389" s="163">
        <v>12.5</v>
      </c>
      <c r="U389" s="161">
        <f t="shared" si="11"/>
        <v>4.039642139413867E-6</v>
      </c>
      <c r="V389" s="161">
        <f t="shared" si="10"/>
        <v>2.5508108772697751E-6</v>
      </c>
    </row>
    <row r="390" spans="2:22">
      <c r="B390" s="163">
        <v>2018</v>
      </c>
      <c r="C390" s="163">
        <v>20030900392</v>
      </c>
      <c r="D390" s="163" t="s">
        <v>575</v>
      </c>
      <c r="E390" s="163" t="s">
        <v>389</v>
      </c>
      <c r="F390" s="163" t="s">
        <v>100</v>
      </c>
      <c r="G390" s="163"/>
      <c r="H390" s="163">
        <v>20</v>
      </c>
      <c r="I390" s="163">
        <v>3</v>
      </c>
      <c r="J390" s="163">
        <v>9</v>
      </c>
      <c r="K390" s="163">
        <v>0</v>
      </c>
      <c r="L390" s="163">
        <v>1</v>
      </c>
      <c r="M390" s="163">
        <v>4</v>
      </c>
      <c r="N390" s="163">
        <v>119</v>
      </c>
      <c r="O390" s="163">
        <v>0</v>
      </c>
      <c r="P390" s="163">
        <v>1316</v>
      </c>
      <c r="Q390" s="163">
        <v>987</v>
      </c>
      <c r="R390" s="163">
        <v>8.2941176471000002</v>
      </c>
      <c r="S390" s="163">
        <v>0.75</v>
      </c>
      <c r="T390" s="163">
        <v>11.058823529</v>
      </c>
      <c r="U390" s="161">
        <f t="shared" si="11"/>
        <v>2.1264676221874598E-4</v>
      </c>
      <c r="V390" s="161">
        <f t="shared" ref="V390:V453" si="12">P390/SUM($P$197:$P$772)</f>
        <v>1.3427468457948098E-4</v>
      </c>
    </row>
    <row r="391" spans="2:22">
      <c r="B391" s="163">
        <v>2018</v>
      </c>
      <c r="C391" s="163">
        <v>20030900393</v>
      </c>
      <c r="D391" s="163" t="s">
        <v>576</v>
      </c>
      <c r="E391" s="163" t="s">
        <v>389</v>
      </c>
      <c r="F391" s="163" t="s">
        <v>100</v>
      </c>
      <c r="G391" s="163"/>
      <c r="H391" s="163">
        <v>20</v>
      </c>
      <c r="I391" s="163">
        <v>3</v>
      </c>
      <c r="J391" s="163">
        <v>9</v>
      </c>
      <c r="K391" s="163">
        <v>0</v>
      </c>
      <c r="L391" s="163">
        <v>1</v>
      </c>
      <c r="M391" s="163">
        <v>4</v>
      </c>
      <c r="N391" s="163">
        <v>41</v>
      </c>
      <c r="O391" s="163">
        <v>0</v>
      </c>
      <c r="P391" s="163">
        <v>581</v>
      </c>
      <c r="Q391" s="163">
        <v>1191.05</v>
      </c>
      <c r="R391" s="163">
        <v>29.05</v>
      </c>
      <c r="S391" s="163">
        <v>2.0499999999999998</v>
      </c>
      <c r="T391" s="163">
        <v>14.170731707</v>
      </c>
      <c r="U391" s="161">
        <f t="shared" si="11"/>
        <v>9.3881283319978282E-5</v>
      </c>
      <c r="V391" s="161">
        <f t="shared" si="12"/>
        <v>5.9280844787749576E-5</v>
      </c>
    </row>
    <row r="392" spans="2:22">
      <c r="B392" s="163">
        <v>2018</v>
      </c>
      <c r="C392" s="163">
        <v>20030900413</v>
      </c>
      <c r="D392" s="163" t="s">
        <v>577</v>
      </c>
      <c r="E392" s="163" t="s">
        <v>389</v>
      </c>
      <c r="F392" s="163" t="s">
        <v>100</v>
      </c>
      <c r="G392" s="163"/>
      <c r="H392" s="163">
        <v>20</v>
      </c>
      <c r="I392" s="163">
        <v>3</v>
      </c>
      <c r="J392" s="163">
        <v>9</v>
      </c>
      <c r="K392" s="163">
        <v>0</v>
      </c>
      <c r="L392" s="163">
        <v>1</v>
      </c>
      <c r="M392" s="163">
        <v>4</v>
      </c>
      <c r="N392" s="163">
        <v>1</v>
      </c>
      <c r="O392" s="163">
        <v>0</v>
      </c>
      <c r="P392" s="163">
        <v>120</v>
      </c>
      <c r="Q392" s="163">
        <v>242.4</v>
      </c>
      <c r="R392" s="163">
        <v>242.4</v>
      </c>
      <c r="S392" s="163">
        <v>2.02</v>
      </c>
      <c r="T392" s="163">
        <v>120</v>
      </c>
      <c r="U392" s="161">
        <f t="shared" si="11"/>
        <v>1.9390282269186563E-5</v>
      </c>
      <c r="V392" s="161">
        <f t="shared" si="12"/>
        <v>1.2243892210894922E-5</v>
      </c>
    </row>
    <row r="393" spans="2:22">
      <c r="B393" s="163">
        <v>2018</v>
      </c>
      <c r="C393" s="163">
        <v>20030900415</v>
      </c>
      <c r="D393" s="163" t="s">
        <v>578</v>
      </c>
      <c r="E393" s="163" t="s">
        <v>389</v>
      </c>
      <c r="F393" s="163" t="s">
        <v>100</v>
      </c>
      <c r="G393" s="163"/>
      <c r="H393" s="163">
        <v>20</v>
      </c>
      <c r="I393" s="163">
        <v>3</v>
      </c>
      <c r="J393" s="163">
        <v>9</v>
      </c>
      <c r="K393" s="163">
        <v>0</v>
      </c>
      <c r="L393" s="163">
        <v>1</v>
      </c>
      <c r="M393" s="163">
        <v>4</v>
      </c>
      <c r="N393" s="163">
        <v>7</v>
      </c>
      <c r="O393" s="163">
        <v>0</v>
      </c>
      <c r="P393" s="163">
        <v>85</v>
      </c>
      <c r="Q393" s="163">
        <v>76.5</v>
      </c>
      <c r="R393" s="163">
        <v>10.928571429</v>
      </c>
      <c r="S393" s="163">
        <v>0.9</v>
      </c>
      <c r="T393" s="163">
        <v>12.142857143000001</v>
      </c>
      <c r="U393" s="161">
        <f t="shared" si="11"/>
        <v>1.3734783274007148E-5</v>
      </c>
      <c r="V393" s="161">
        <f t="shared" si="12"/>
        <v>8.6727569827172364E-6</v>
      </c>
    </row>
    <row r="394" spans="2:22">
      <c r="B394" s="163">
        <v>2018</v>
      </c>
      <c r="C394" s="163">
        <v>20030900416</v>
      </c>
      <c r="D394" s="163" t="s">
        <v>579</v>
      </c>
      <c r="E394" s="163" t="s">
        <v>389</v>
      </c>
      <c r="F394" s="163" t="s">
        <v>100</v>
      </c>
      <c r="G394" s="163"/>
      <c r="H394" s="163">
        <v>20</v>
      </c>
      <c r="I394" s="163">
        <v>3</v>
      </c>
      <c r="J394" s="163">
        <v>9</v>
      </c>
      <c r="K394" s="163">
        <v>0</v>
      </c>
      <c r="L394" s="163">
        <v>1</v>
      </c>
      <c r="M394" s="163">
        <v>4</v>
      </c>
      <c r="N394" s="163">
        <v>16</v>
      </c>
      <c r="O394" s="163">
        <v>0</v>
      </c>
      <c r="P394" s="163">
        <v>180</v>
      </c>
      <c r="Q394" s="163">
        <v>304.2</v>
      </c>
      <c r="R394" s="163">
        <v>19.012499999999999</v>
      </c>
      <c r="S394" s="163">
        <v>1.69</v>
      </c>
      <c r="T394" s="163">
        <v>11.25</v>
      </c>
      <c r="U394" s="161">
        <f t="shared" si="11"/>
        <v>2.9085423403779844E-5</v>
      </c>
      <c r="V394" s="161">
        <f t="shared" si="12"/>
        <v>1.8365838316342381E-5</v>
      </c>
    </row>
    <row r="395" spans="2:22">
      <c r="B395" s="163">
        <v>2018</v>
      </c>
      <c r="C395" s="163">
        <v>20030900417</v>
      </c>
      <c r="D395" s="163" t="s">
        <v>580</v>
      </c>
      <c r="E395" s="163" t="s">
        <v>389</v>
      </c>
      <c r="F395" s="163" t="s">
        <v>100</v>
      </c>
      <c r="G395" s="163"/>
      <c r="H395" s="163">
        <v>20</v>
      </c>
      <c r="I395" s="163">
        <v>3</v>
      </c>
      <c r="J395" s="163">
        <v>9</v>
      </c>
      <c r="K395" s="163">
        <v>0</v>
      </c>
      <c r="L395" s="163">
        <v>1</v>
      </c>
      <c r="M395" s="163">
        <v>4</v>
      </c>
      <c r="N395" s="163">
        <v>3</v>
      </c>
      <c r="O395" s="163">
        <v>0</v>
      </c>
      <c r="P395" s="163">
        <v>62</v>
      </c>
      <c r="Q395" s="163">
        <v>183.52</v>
      </c>
      <c r="R395" s="163">
        <v>61.173333333000002</v>
      </c>
      <c r="S395" s="163">
        <v>2.96</v>
      </c>
      <c r="T395" s="163">
        <v>20.666666667000001</v>
      </c>
      <c r="U395" s="161">
        <f t="shared" si="11"/>
        <v>1.0018312505746391E-5</v>
      </c>
      <c r="V395" s="161">
        <f t="shared" si="12"/>
        <v>6.3260109756290429E-6</v>
      </c>
    </row>
    <row r="396" spans="2:22">
      <c r="B396" s="163">
        <v>2018</v>
      </c>
      <c r="C396" s="163">
        <v>20030900418</v>
      </c>
      <c r="D396" s="163" t="s">
        <v>581</v>
      </c>
      <c r="E396" s="163" t="s">
        <v>389</v>
      </c>
      <c r="F396" s="163" t="s">
        <v>100</v>
      </c>
      <c r="G396" s="163"/>
      <c r="H396" s="163">
        <v>20</v>
      </c>
      <c r="I396" s="163">
        <v>3</v>
      </c>
      <c r="J396" s="163">
        <v>9</v>
      </c>
      <c r="K396" s="163">
        <v>0</v>
      </c>
      <c r="L396" s="163">
        <v>1</v>
      </c>
      <c r="M396" s="163">
        <v>4</v>
      </c>
      <c r="N396" s="163">
        <v>1</v>
      </c>
      <c r="O396" s="163">
        <v>0</v>
      </c>
      <c r="P396" s="163">
        <v>10</v>
      </c>
      <c r="Q396" s="163">
        <v>30.3</v>
      </c>
      <c r="R396" s="163">
        <v>30.3</v>
      </c>
      <c r="S396" s="163">
        <v>3.03</v>
      </c>
      <c r="T396" s="163">
        <v>10</v>
      </c>
      <c r="U396" s="161">
        <f t="shared" si="11"/>
        <v>1.6158568557655468E-6</v>
      </c>
      <c r="V396" s="161">
        <f t="shared" si="12"/>
        <v>1.0203243509079101E-6</v>
      </c>
    </row>
    <row r="397" spans="2:22">
      <c r="B397" s="163">
        <v>2018</v>
      </c>
      <c r="C397" s="163">
        <v>20030900425</v>
      </c>
      <c r="D397" s="163" t="s">
        <v>582</v>
      </c>
      <c r="E397" s="163" t="s">
        <v>389</v>
      </c>
      <c r="F397" s="163" t="s">
        <v>100</v>
      </c>
      <c r="G397" s="163"/>
      <c r="H397" s="163">
        <v>20</v>
      </c>
      <c r="I397" s="163">
        <v>3</v>
      </c>
      <c r="J397" s="163">
        <v>9</v>
      </c>
      <c r="K397" s="163">
        <v>0</v>
      </c>
      <c r="L397" s="163">
        <v>1</v>
      </c>
      <c r="M397" s="163">
        <v>4</v>
      </c>
      <c r="N397" s="163">
        <v>13</v>
      </c>
      <c r="O397" s="163">
        <v>0</v>
      </c>
      <c r="P397" s="163">
        <v>135</v>
      </c>
      <c r="Q397" s="163">
        <v>149.85</v>
      </c>
      <c r="R397" s="163">
        <v>11.526923076999999</v>
      </c>
      <c r="S397" s="163">
        <v>1.1100000000000001</v>
      </c>
      <c r="T397" s="163">
        <v>10.384615385</v>
      </c>
      <c r="U397" s="161">
        <f t="shared" ref="U397:U460" si="13">P397/SUM($P$205:$P$460)</f>
        <v>2.1814067552834882E-5</v>
      </c>
      <c r="V397" s="161">
        <f t="shared" si="12"/>
        <v>1.3774378737256787E-5</v>
      </c>
    </row>
    <row r="398" spans="2:22">
      <c r="B398" s="163">
        <v>2018</v>
      </c>
      <c r="C398" s="163">
        <v>20030900426</v>
      </c>
      <c r="D398" s="163" t="s">
        <v>583</v>
      </c>
      <c r="E398" s="163" t="s">
        <v>389</v>
      </c>
      <c r="F398" s="163" t="s">
        <v>100</v>
      </c>
      <c r="G398" s="163"/>
      <c r="H398" s="163">
        <v>20</v>
      </c>
      <c r="I398" s="163">
        <v>3</v>
      </c>
      <c r="J398" s="163">
        <v>9</v>
      </c>
      <c r="K398" s="163">
        <v>0</v>
      </c>
      <c r="L398" s="163">
        <v>1</v>
      </c>
      <c r="M398" s="163">
        <v>4</v>
      </c>
      <c r="N398" s="163">
        <v>21</v>
      </c>
      <c r="O398" s="163">
        <v>0</v>
      </c>
      <c r="P398" s="163">
        <v>230</v>
      </c>
      <c r="Q398" s="163">
        <v>356.5</v>
      </c>
      <c r="R398" s="163">
        <v>16.976190475999999</v>
      </c>
      <c r="S398" s="163">
        <v>1.55</v>
      </c>
      <c r="T398" s="163">
        <v>10.952380952</v>
      </c>
      <c r="U398" s="161">
        <f t="shared" si="13"/>
        <v>3.7164707682607582E-5</v>
      </c>
      <c r="V398" s="161">
        <f t="shared" si="12"/>
        <v>2.3467460070881932E-5</v>
      </c>
    </row>
    <row r="399" spans="2:22">
      <c r="B399" s="163">
        <v>2018</v>
      </c>
      <c r="C399" s="163">
        <v>20030900427</v>
      </c>
      <c r="D399" s="163" t="s">
        <v>584</v>
      </c>
      <c r="E399" s="163" t="s">
        <v>389</v>
      </c>
      <c r="F399" s="163" t="s">
        <v>100</v>
      </c>
      <c r="G399" s="163"/>
      <c r="H399" s="163">
        <v>20</v>
      </c>
      <c r="I399" s="163">
        <v>3</v>
      </c>
      <c r="J399" s="163">
        <v>9</v>
      </c>
      <c r="K399" s="163">
        <v>0</v>
      </c>
      <c r="L399" s="163">
        <v>1</v>
      </c>
      <c r="M399" s="163">
        <v>4</v>
      </c>
      <c r="N399" s="163">
        <v>8</v>
      </c>
      <c r="O399" s="163">
        <v>0</v>
      </c>
      <c r="P399" s="163">
        <v>110</v>
      </c>
      <c r="Q399" s="163">
        <v>314.60000000000002</v>
      </c>
      <c r="R399" s="163">
        <v>39.325000000000003</v>
      </c>
      <c r="S399" s="163">
        <v>2.86</v>
      </c>
      <c r="T399" s="163">
        <v>13.75</v>
      </c>
      <c r="U399" s="161">
        <f t="shared" si="13"/>
        <v>1.7774425413421015E-5</v>
      </c>
      <c r="V399" s="161">
        <f t="shared" si="12"/>
        <v>1.1223567859987012E-5</v>
      </c>
    </row>
    <row r="400" spans="2:22">
      <c r="B400" s="163">
        <v>2018</v>
      </c>
      <c r="C400" s="163">
        <v>20030900428</v>
      </c>
      <c r="D400" s="163" t="s">
        <v>585</v>
      </c>
      <c r="E400" s="163" t="s">
        <v>389</v>
      </c>
      <c r="F400" s="163" t="s">
        <v>100</v>
      </c>
      <c r="G400" s="163"/>
      <c r="H400" s="163">
        <v>20</v>
      </c>
      <c r="I400" s="163">
        <v>3</v>
      </c>
      <c r="J400" s="163">
        <v>9</v>
      </c>
      <c r="K400" s="163">
        <v>0</v>
      </c>
      <c r="L400" s="163">
        <v>1</v>
      </c>
      <c r="M400" s="163">
        <v>4</v>
      </c>
      <c r="N400" s="163">
        <v>8</v>
      </c>
      <c r="O400" s="163">
        <v>0</v>
      </c>
      <c r="P400" s="163">
        <v>130</v>
      </c>
      <c r="Q400" s="163">
        <v>292.5</v>
      </c>
      <c r="R400" s="163">
        <v>36.5625</v>
      </c>
      <c r="S400" s="163">
        <v>2.25</v>
      </c>
      <c r="T400" s="163">
        <v>16.25</v>
      </c>
      <c r="U400" s="161">
        <f t="shared" si="13"/>
        <v>2.100613912495211E-5</v>
      </c>
      <c r="V400" s="161">
        <f t="shared" si="12"/>
        <v>1.3264216561802832E-5</v>
      </c>
    </row>
    <row r="401" spans="2:22">
      <c r="B401" s="163">
        <v>2018</v>
      </c>
      <c r="C401" s="163">
        <v>20030900429</v>
      </c>
      <c r="D401" s="163" t="s">
        <v>586</v>
      </c>
      <c r="E401" s="163" t="s">
        <v>389</v>
      </c>
      <c r="F401" s="163" t="s">
        <v>100</v>
      </c>
      <c r="G401" s="163"/>
      <c r="H401" s="163">
        <v>20</v>
      </c>
      <c r="I401" s="163">
        <v>3</v>
      </c>
      <c r="J401" s="163">
        <v>9</v>
      </c>
      <c r="K401" s="163">
        <v>0</v>
      </c>
      <c r="L401" s="163">
        <v>1</v>
      </c>
      <c r="M401" s="163">
        <v>4</v>
      </c>
      <c r="N401" s="163">
        <v>3</v>
      </c>
      <c r="O401" s="163">
        <v>0</v>
      </c>
      <c r="P401" s="163">
        <v>40</v>
      </c>
      <c r="Q401" s="163">
        <v>112.8</v>
      </c>
      <c r="R401" s="163">
        <v>37.6</v>
      </c>
      <c r="S401" s="163">
        <v>2.82</v>
      </c>
      <c r="T401" s="163">
        <v>13.333333333000001</v>
      </c>
      <c r="U401" s="161">
        <f t="shared" si="13"/>
        <v>6.4634274230621873E-6</v>
      </c>
      <c r="V401" s="161">
        <f t="shared" si="12"/>
        <v>4.0812974036316403E-6</v>
      </c>
    </row>
    <row r="402" spans="2:22">
      <c r="B402" s="163">
        <v>2018</v>
      </c>
      <c r="C402" s="163">
        <v>20030900430</v>
      </c>
      <c r="D402" s="163" t="s">
        <v>587</v>
      </c>
      <c r="E402" s="163" t="s">
        <v>389</v>
      </c>
      <c r="F402" s="163" t="s">
        <v>100</v>
      </c>
      <c r="G402" s="163"/>
      <c r="H402" s="163">
        <v>20</v>
      </c>
      <c r="I402" s="163">
        <v>3</v>
      </c>
      <c r="J402" s="163">
        <v>9</v>
      </c>
      <c r="K402" s="163">
        <v>0</v>
      </c>
      <c r="L402" s="163">
        <v>1</v>
      </c>
      <c r="M402" s="163">
        <v>4</v>
      </c>
      <c r="N402" s="163">
        <v>3</v>
      </c>
      <c r="O402" s="163">
        <v>0</v>
      </c>
      <c r="P402" s="163">
        <v>24</v>
      </c>
      <c r="Q402" s="163">
        <v>108</v>
      </c>
      <c r="R402" s="163">
        <v>36</v>
      </c>
      <c r="S402" s="163">
        <v>4.5</v>
      </c>
      <c r="T402" s="163">
        <v>8</v>
      </c>
      <c r="U402" s="161">
        <f t="shared" si="13"/>
        <v>3.8780564538373129E-6</v>
      </c>
      <c r="V402" s="161">
        <f t="shared" si="12"/>
        <v>2.4487784421789841E-6</v>
      </c>
    </row>
    <row r="403" spans="2:22">
      <c r="B403" s="163">
        <v>2018</v>
      </c>
      <c r="C403" s="163">
        <v>20030900431</v>
      </c>
      <c r="D403" s="163" t="s">
        <v>588</v>
      </c>
      <c r="E403" s="163" t="s">
        <v>389</v>
      </c>
      <c r="F403" s="163" t="s">
        <v>100</v>
      </c>
      <c r="G403" s="163"/>
      <c r="H403" s="163">
        <v>20</v>
      </c>
      <c r="I403" s="163">
        <v>3</v>
      </c>
      <c r="J403" s="163">
        <v>9</v>
      </c>
      <c r="K403" s="163">
        <v>0</v>
      </c>
      <c r="L403" s="163">
        <v>1</v>
      </c>
      <c r="M403" s="163">
        <v>4</v>
      </c>
      <c r="N403" s="163">
        <v>1</v>
      </c>
      <c r="O403" s="163">
        <v>0</v>
      </c>
      <c r="P403" s="163">
        <v>15</v>
      </c>
      <c r="Q403" s="163">
        <v>19.95</v>
      </c>
      <c r="R403" s="163">
        <v>19.95</v>
      </c>
      <c r="S403" s="163">
        <v>1.33</v>
      </c>
      <c r="T403" s="163">
        <v>15</v>
      </c>
      <c r="U403" s="161">
        <f t="shared" si="13"/>
        <v>2.4237852836483204E-6</v>
      </c>
      <c r="V403" s="161">
        <f t="shared" si="12"/>
        <v>1.5304865263618652E-6</v>
      </c>
    </row>
    <row r="404" spans="2:22">
      <c r="B404" s="163">
        <v>2018</v>
      </c>
      <c r="C404" s="163">
        <v>20030900440</v>
      </c>
      <c r="D404" s="163" t="s">
        <v>589</v>
      </c>
      <c r="E404" s="163" t="s">
        <v>389</v>
      </c>
      <c r="F404" s="163" t="s">
        <v>100</v>
      </c>
      <c r="G404" s="163"/>
      <c r="H404" s="163">
        <v>20</v>
      </c>
      <c r="I404" s="163">
        <v>3</v>
      </c>
      <c r="J404" s="163">
        <v>9</v>
      </c>
      <c r="K404" s="163">
        <v>0</v>
      </c>
      <c r="L404" s="163">
        <v>1</v>
      </c>
      <c r="M404" s="163">
        <v>4</v>
      </c>
      <c r="N404" s="163">
        <v>1</v>
      </c>
      <c r="O404" s="163">
        <v>0</v>
      </c>
      <c r="P404" s="163">
        <v>10</v>
      </c>
      <c r="Q404" s="163">
        <v>16.899999999999999</v>
      </c>
      <c r="R404" s="163">
        <v>16.899999999999999</v>
      </c>
      <c r="S404" s="163">
        <v>1.69</v>
      </c>
      <c r="T404" s="163">
        <v>10</v>
      </c>
      <c r="U404" s="161">
        <f t="shared" si="13"/>
        <v>1.6158568557655468E-6</v>
      </c>
      <c r="V404" s="161">
        <f t="shared" si="12"/>
        <v>1.0203243509079101E-6</v>
      </c>
    </row>
    <row r="405" spans="2:22">
      <c r="B405" s="163">
        <v>2018</v>
      </c>
      <c r="C405" s="163">
        <v>20031600093</v>
      </c>
      <c r="D405" s="163" t="s">
        <v>590</v>
      </c>
      <c r="E405" s="163" t="s">
        <v>389</v>
      </c>
      <c r="F405" s="163" t="s">
        <v>100</v>
      </c>
      <c r="G405" s="163"/>
      <c r="H405" s="163">
        <v>20</v>
      </c>
      <c r="I405" s="163">
        <v>3</v>
      </c>
      <c r="J405" s="163">
        <v>16</v>
      </c>
      <c r="K405" s="163">
        <v>0</v>
      </c>
      <c r="L405" s="163">
        <v>1</v>
      </c>
      <c r="M405" s="163">
        <v>4</v>
      </c>
      <c r="N405" s="163">
        <v>32137</v>
      </c>
      <c r="O405" s="163">
        <v>0</v>
      </c>
      <c r="P405" s="163">
        <v>437609</v>
      </c>
      <c r="Q405" s="163">
        <v>955264.2</v>
      </c>
      <c r="R405" s="163">
        <v>29.724747176000001</v>
      </c>
      <c r="S405" s="163">
        <v>2.1829171704000001</v>
      </c>
      <c r="T405" s="163">
        <v>13.616983539</v>
      </c>
      <c r="U405" s="161">
        <f t="shared" si="13"/>
        <v>7.0711350279470522E-2</v>
      </c>
      <c r="V405" s="161">
        <f t="shared" si="12"/>
        <v>4.4650311887645962E-2</v>
      </c>
    </row>
    <row r="406" spans="2:22">
      <c r="B406" s="163">
        <v>2018</v>
      </c>
      <c r="C406" s="163">
        <v>20031600094</v>
      </c>
      <c r="D406" s="163" t="s">
        <v>591</v>
      </c>
      <c r="E406" s="163" t="s">
        <v>389</v>
      </c>
      <c r="F406" s="163" t="s">
        <v>100</v>
      </c>
      <c r="G406" s="163"/>
      <c r="H406" s="163">
        <v>20</v>
      </c>
      <c r="I406" s="163">
        <v>3</v>
      </c>
      <c r="J406" s="163">
        <v>16</v>
      </c>
      <c r="K406" s="163">
        <v>0</v>
      </c>
      <c r="L406" s="163">
        <v>1</v>
      </c>
      <c r="M406" s="163">
        <v>4</v>
      </c>
      <c r="N406" s="163">
        <v>11543</v>
      </c>
      <c r="O406" s="163">
        <v>0</v>
      </c>
      <c r="P406" s="163">
        <v>167097</v>
      </c>
      <c r="Q406" s="163">
        <v>451656.81</v>
      </c>
      <c r="R406" s="163">
        <v>39.128199774999999</v>
      </c>
      <c r="S406" s="163">
        <v>2.7029618125999999</v>
      </c>
      <c r="T406" s="163">
        <v>14.476046089</v>
      </c>
      <c r="U406" s="161">
        <f t="shared" si="13"/>
        <v>2.7000483302785559E-2</v>
      </c>
      <c r="V406" s="161">
        <f t="shared" si="12"/>
        <v>1.7049313806365905E-2</v>
      </c>
    </row>
    <row r="407" spans="2:22">
      <c r="B407" s="163">
        <v>2018</v>
      </c>
      <c r="C407" s="163">
        <v>20031600095</v>
      </c>
      <c r="D407" s="163" t="s">
        <v>592</v>
      </c>
      <c r="E407" s="163" t="s">
        <v>389</v>
      </c>
      <c r="F407" s="163" t="s">
        <v>100</v>
      </c>
      <c r="G407" s="163"/>
      <c r="H407" s="163">
        <v>20</v>
      </c>
      <c r="I407" s="163">
        <v>3</v>
      </c>
      <c r="J407" s="163">
        <v>16</v>
      </c>
      <c r="K407" s="163">
        <v>0</v>
      </c>
      <c r="L407" s="163">
        <v>1</v>
      </c>
      <c r="M407" s="163">
        <v>4</v>
      </c>
      <c r="N407" s="163">
        <v>4598</v>
      </c>
      <c r="O407" s="163">
        <v>0</v>
      </c>
      <c r="P407" s="163">
        <v>67884</v>
      </c>
      <c r="Q407" s="163">
        <v>367066.9</v>
      </c>
      <c r="R407" s="163">
        <v>79.831861678999999</v>
      </c>
      <c r="S407" s="163">
        <v>5.4072668081000002</v>
      </c>
      <c r="T407" s="163">
        <v>14.763810352</v>
      </c>
      <c r="U407" s="161">
        <f t="shared" si="13"/>
        <v>1.0969082679678839E-2</v>
      </c>
      <c r="V407" s="161">
        <f t="shared" si="12"/>
        <v>6.9263698237032574E-3</v>
      </c>
    </row>
    <row r="408" spans="2:22">
      <c r="B408" s="163">
        <v>2018</v>
      </c>
      <c r="C408" s="163">
        <v>20031600096</v>
      </c>
      <c r="D408" s="163" t="s">
        <v>593</v>
      </c>
      <c r="E408" s="163" t="s">
        <v>389</v>
      </c>
      <c r="F408" s="163" t="s">
        <v>100</v>
      </c>
      <c r="G408" s="163"/>
      <c r="H408" s="163">
        <v>20</v>
      </c>
      <c r="I408" s="163">
        <v>3</v>
      </c>
      <c r="J408" s="163">
        <v>16</v>
      </c>
      <c r="K408" s="163">
        <v>0</v>
      </c>
      <c r="L408" s="163">
        <v>1</v>
      </c>
      <c r="M408" s="163">
        <v>4</v>
      </c>
      <c r="N408" s="163">
        <v>1096</v>
      </c>
      <c r="O408" s="163">
        <v>0</v>
      </c>
      <c r="P408" s="163">
        <v>15448</v>
      </c>
      <c r="Q408" s="163">
        <v>122337.86</v>
      </c>
      <c r="R408" s="163">
        <v>111.62213504</v>
      </c>
      <c r="S408" s="163">
        <v>7.919333247</v>
      </c>
      <c r="T408" s="163">
        <v>14.094890510999999</v>
      </c>
      <c r="U408" s="161">
        <f t="shared" si="13"/>
        <v>2.496175670786617E-3</v>
      </c>
      <c r="V408" s="161">
        <f t="shared" si="12"/>
        <v>1.5761970572825395E-3</v>
      </c>
    </row>
    <row r="409" spans="2:22">
      <c r="B409" s="163">
        <v>2018</v>
      </c>
      <c r="C409" s="163">
        <v>20031600097</v>
      </c>
      <c r="D409" s="163" t="s">
        <v>594</v>
      </c>
      <c r="E409" s="163" t="s">
        <v>389</v>
      </c>
      <c r="F409" s="163" t="s">
        <v>100</v>
      </c>
      <c r="G409" s="163"/>
      <c r="H409" s="163">
        <v>20</v>
      </c>
      <c r="I409" s="163">
        <v>3</v>
      </c>
      <c r="J409" s="163">
        <v>16</v>
      </c>
      <c r="K409" s="163">
        <v>0</v>
      </c>
      <c r="L409" s="163">
        <v>1</v>
      </c>
      <c r="M409" s="163">
        <v>4</v>
      </c>
      <c r="N409" s="163">
        <v>588</v>
      </c>
      <c r="O409" s="163">
        <v>0</v>
      </c>
      <c r="P409" s="163">
        <v>9961</v>
      </c>
      <c r="Q409" s="163">
        <v>102109.52</v>
      </c>
      <c r="R409" s="163">
        <v>173.65564626</v>
      </c>
      <c r="S409" s="163">
        <v>10.250930629000001</v>
      </c>
      <c r="T409" s="163">
        <v>16.940476189999998</v>
      </c>
      <c r="U409" s="161">
        <f t="shared" si="13"/>
        <v>1.6095550140280612E-3</v>
      </c>
      <c r="V409" s="161">
        <f t="shared" si="12"/>
        <v>1.0163450859393692E-3</v>
      </c>
    </row>
    <row r="410" spans="2:22">
      <c r="B410" s="163">
        <v>2018</v>
      </c>
      <c r="C410" s="163">
        <v>20031600098</v>
      </c>
      <c r="D410" s="163" t="s">
        <v>595</v>
      </c>
      <c r="E410" s="163" t="s">
        <v>389</v>
      </c>
      <c r="F410" s="163" t="s">
        <v>100</v>
      </c>
      <c r="G410" s="163"/>
      <c r="H410" s="163">
        <v>20</v>
      </c>
      <c r="I410" s="163">
        <v>3</v>
      </c>
      <c r="J410" s="163">
        <v>16</v>
      </c>
      <c r="K410" s="163">
        <v>0</v>
      </c>
      <c r="L410" s="163">
        <v>1</v>
      </c>
      <c r="M410" s="163">
        <v>4</v>
      </c>
      <c r="N410" s="163">
        <v>1888</v>
      </c>
      <c r="O410" s="163">
        <v>0</v>
      </c>
      <c r="P410" s="163">
        <v>24567</v>
      </c>
      <c r="Q410" s="163">
        <v>135994.99</v>
      </c>
      <c r="R410" s="163">
        <v>72.031244702999999</v>
      </c>
      <c r="S410" s="163">
        <v>5.5356775348999996</v>
      </c>
      <c r="T410" s="163">
        <v>13.012182203</v>
      </c>
      <c r="U410" s="161">
        <f t="shared" si="13"/>
        <v>3.9696755375592191E-3</v>
      </c>
      <c r="V410" s="161">
        <f t="shared" si="12"/>
        <v>2.5066308328754628E-3</v>
      </c>
    </row>
    <row r="411" spans="2:22">
      <c r="B411" s="163">
        <v>2018</v>
      </c>
      <c r="C411" s="163">
        <v>20031600099</v>
      </c>
      <c r="D411" s="163" t="s">
        <v>596</v>
      </c>
      <c r="E411" s="163" t="s">
        <v>389</v>
      </c>
      <c r="F411" s="163" t="s">
        <v>100</v>
      </c>
      <c r="G411" s="163"/>
      <c r="H411" s="163">
        <v>20</v>
      </c>
      <c r="I411" s="163">
        <v>3</v>
      </c>
      <c r="J411" s="163">
        <v>16</v>
      </c>
      <c r="K411" s="163">
        <v>0</v>
      </c>
      <c r="L411" s="163">
        <v>1</v>
      </c>
      <c r="M411" s="163">
        <v>4</v>
      </c>
      <c r="N411" s="163">
        <v>1824</v>
      </c>
      <c r="O411" s="163">
        <v>0</v>
      </c>
      <c r="P411" s="163">
        <v>26351</v>
      </c>
      <c r="Q411" s="163">
        <v>130862.04</v>
      </c>
      <c r="R411" s="163">
        <v>71.744539474000007</v>
      </c>
      <c r="S411" s="163">
        <v>4.966112861</v>
      </c>
      <c r="T411" s="163">
        <v>14.446820174999999</v>
      </c>
      <c r="U411" s="161">
        <f t="shared" si="13"/>
        <v>4.2579444006277927E-3</v>
      </c>
      <c r="V411" s="161">
        <f t="shared" si="12"/>
        <v>2.6886566970774337E-3</v>
      </c>
    </row>
    <row r="412" spans="2:22">
      <c r="B412" s="163">
        <v>2018</v>
      </c>
      <c r="C412" s="163">
        <v>20031600100</v>
      </c>
      <c r="D412" s="163" t="s">
        <v>597</v>
      </c>
      <c r="E412" s="163" t="s">
        <v>389</v>
      </c>
      <c r="F412" s="163" t="s">
        <v>100</v>
      </c>
      <c r="G412" s="163"/>
      <c r="H412" s="163">
        <v>20</v>
      </c>
      <c r="I412" s="163">
        <v>3</v>
      </c>
      <c r="J412" s="163">
        <v>16</v>
      </c>
      <c r="K412" s="163">
        <v>0</v>
      </c>
      <c r="L412" s="163">
        <v>1</v>
      </c>
      <c r="M412" s="163">
        <v>4</v>
      </c>
      <c r="N412" s="163">
        <v>2746</v>
      </c>
      <c r="O412" s="163">
        <v>0</v>
      </c>
      <c r="P412" s="163">
        <v>45957</v>
      </c>
      <c r="Q412" s="163">
        <v>62572.04</v>
      </c>
      <c r="R412" s="163">
        <v>22.786613255999999</v>
      </c>
      <c r="S412" s="163">
        <v>1.3615344779</v>
      </c>
      <c r="T412" s="163">
        <v>16.735979607000001</v>
      </c>
      <c r="U412" s="161">
        <f t="shared" si="13"/>
        <v>7.4259933520417244E-3</v>
      </c>
      <c r="V412" s="161">
        <f t="shared" si="12"/>
        <v>4.6891046194674829E-3</v>
      </c>
    </row>
    <row r="413" spans="2:22">
      <c r="B413" s="163">
        <v>2018</v>
      </c>
      <c r="C413" s="163">
        <v>20031600101</v>
      </c>
      <c r="D413" s="163" t="s">
        <v>598</v>
      </c>
      <c r="E413" s="163" t="s">
        <v>389</v>
      </c>
      <c r="F413" s="163" t="s">
        <v>100</v>
      </c>
      <c r="G413" s="163"/>
      <c r="H413" s="163">
        <v>20</v>
      </c>
      <c r="I413" s="163">
        <v>3</v>
      </c>
      <c r="J413" s="163">
        <v>16</v>
      </c>
      <c r="K413" s="163">
        <v>0</v>
      </c>
      <c r="L413" s="163">
        <v>1</v>
      </c>
      <c r="M413" s="163">
        <v>4</v>
      </c>
      <c r="N413" s="163">
        <v>6827</v>
      </c>
      <c r="O413" s="163">
        <v>0</v>
      </c>
      <c r="P413" s="163">
        <v>89339</v>
      </c>
      <c r="Q413" s="163">
        <v>230768.18</v>
      </c>
      <c r="R413" s="163">
        <v>33.802282114999997</v>
      </c>
      <c r="S413" s="163">
        <v>2.5830620446000001</v>
      </c>
      <c r="T413" s="163">
        <v>13.086128606999999</v>
      </c>
      <c r="U413" s="161">
        <f t="shared" si="13"/>
        <v>1.4435903563723819E-2</v>
      </c>
      <c r="V413" s="161">
        <f t="shared" si="12"/>
        <v>9.1154757185761773E-3</v>
      </c>
    </row>
    <row r="414" spans="2:22">
      <c r="B414" s="163">
        <v>2018</v>
      </c>
      <c r="C414" s="163">
        <v>20031600102</v>
      </c>
      <c r="D414" s="163" t="s">
        <v>599</v>
      </c>
      <c r="E414" s="163" t="s">
        <v>389</v>
      </c>
      <c r="F414" s="163" t="s">
        <v>100</v>
      </c>
      <c r="G414" s="163"/>
      <c r="H414" s="163">
        <v>20</v>
      </c>
      <c r="I414" s="163">
        <v>3</v>
      </c>
      <c r="J414" s="163">
        <v>16</v>
      </c>
      <c r="K414" s="163">
        <v>0</v>
      </c>
      <c r="L414" s="163">
        <v>1</v>
      </c>
      <c r="M414" s="163">
        <v>4</v>
      </c>
      <c r="N414" s="163">
        <v>2992</v>
      </c>
      <c r="O414" s="163">
        <v>0</v>
      </c>
      <c r="P414" s="163">
        <v>39436</v>
      </c>
      <c r="Q414" s="163">
        <v>170974.84</v>
      </c>
      <c r="R414" s="163">
        <v>57.143997325999997</v>
      </c>
      <c r="S414" s="163">
        <v>4.3355015722000001</v>
      </c>
      <c r="T414" s="163">
        <v>13.180481283000001</v>
      </c>
      <c r="U414" s="161">
        <f t="shared" si="13"/>
        <v>6.3722930963970113E-3</v>
      </c>
      <c r="V414" s="161">
        <f t="shared" si="12"/>
        <v>4.0237511102404347E-3</v>
      </c>
    </row>
    <row r="415" spans="2:22">
      <c r="B415" s="163">
        <v>2018</v>
      </c>
      <c r="C415" s="163">
        <v>20031600103</v>
      </c>
      <c r="D415" s="163" t="s">
        <v>600</v>
      </c>
      <c r="E415" s="163" t="s">
        <v>389</v>
      </c>
      <c r="F415" s="163" t="s">
        <v>100</v>
      </c>
      <c r="G415" s="163"/>
      <c r="H415" s="163">
        <v>20</v>
      </c>
      <c r="I415" s="163">
        <v>3</v>
      </c>
      <c r="J415" s="163">
        <v>16</v>
      </c>
      <c r="K415" s="163">
        <v>0</v>
      </c>
      <c r="L415" s="163">
        <v>1</v>
      </c>
      <c r="M415" s="163">
        <v>4</v>
      </c>
      <c r="N415" s="163">
        <v>2635</v>
      </c>
      <c r="O415" s="163">
        <v>0</v>
      </c>
      <c r="P415" s="163">
        <v>43598</v>
      </c>
      <c r="Q415" s="163">
        <v>308499.01</v>
      </c>
      <c r="R415" s="163">
        <v>117.07742315</v>
      </c>
      <c r="S415" s="163">
        <v>7.0759899536999997</v>
      </c>
      <c r="T415" s="163">
        <v>16.545730549999998</v>
      </c>
      <c r="U415" s="161">
        <f t="shared" si="13"/>
        <v>7.0448127197666318E-3</v>
      </c>
      <c r="V415" s="161">
        <f t="shared" si="12"/>
        <v>4.4484101050883068E-3</v>
      </c>
    </row>
    <row r="416" spans="2:22">
      <c r="B416" s="163">
        <v>2018</v>
      </c>
      <c r="C416" s="163">
        <v>20031600104</v>
      </c>
      <c r="D416" s="163" t="s">
        <v>601</v>
      </c>
      <c r="E416" s="163" t="s">
        <v>389</v>
      </c>
      <c r="F416" s="163" t="s">
        <v>100</v>
      </c>
      <c r="G416" s="163"/>
      <c r="H416" s="163">
        <v>20</v>
      </c>
      <c r="I416" s="163">
        <v>3</v>
      </c>
      <c r="J416" s="163">
        <v>16</v>
      </c>
      <c r="K416" s="163">
        <v>0</v>
      </c>
      <c r="L416" s="163">
        <v>1</v>
      </c>
      <c r="M416" s="163">
        <v>4</v>
      </c>
      <c r="N416" s="163">
        <v>1254</v>
      </c>
      <c r="O416" s="163">
        <v>0</v>
      </c>
      <c r="P416" s="163">
        <v>17328</v>
      </c>
      <c r="Q416" s="163">
        <v>102722.76</v>
      </c>
      <c r="R416" s="163">
        <v>81.916076555000004</v>
      </c>
      <c r="S416" s="163">
        <v>5.9281371190999996</v>
      </c>
      <c r="T416" s="163">
        <v>13.818181817999999</v>
      </c>
      <c r="U416" s="161">
        <f t="shared" si="13"/>
        <v>2.7999567596705397E-3</v>
      </c>
      <c r="V416" s="161">
        <f t="shared" si="12"/>
        <v>1.7680180352532267E-3</v>
      </c>
    </row>
    <row r="417" spans="2:22">
      <c r="B417" s="163">
        <v>2018</v>
      </c>
      <c r="C417" s="163">
        <v>20031600110</v>
      </c>
      <c r="D417" s="163" t="s">
        <v>602</v>
      </c>
      <c r="E417" s="163" t="s">
        <v>389</v>
      </c>
      <c r="F417" s="163" t="s">
        <v>100</v>
      </c>
      <c r="G417" s="163"/>
      <c r="H417" s="163">
        <v>20</v>
      </c>
      <c r="I417" s="163">
        <v>3</v>
      </c>
      <c r="J417" s="163">
        <v>16</v>
      </c>
      <c r="K417" s="163">
        <v>0</v>
      </c>
      <c r="L417" s="163">
        <v>1</v>
      </c>
      <c r="M417" s="163">
        <v>4</v>
      </c>
      <c r="N417" s="163">
        <v>13385</v>
      </c>
      <c r="O417" s="163">
        <v>0</v>
      </c>
      <c r="P417" s="163">
        <v>170700</v>
      </c>
      <c r="Q417" s="163">
        <v>242245.34</v>
      </c>
      <c r="R417" s="163">
        <v>18.098269705</v>
      </c>
      <c r="S417" s="163">
        <v>1.4191291154000001</v>
      </c>
      <c r="T417" s="163">
        <v>12.753081807999999</v>
      </c>
      <c r="U417" s="161">
        <f t="shared" si="13"/>
        <v>2.7582676527917887E-2</v>
      </c>
      <c r="V417" s="161">
        <f t="shared" si="12"/>
        <v>1.7416936669998027E-2</v>
      </c>
    </row>
    <row r="418" spans="2:22">
      <c r="B418" s="163">
        <v>2018</v>
      </c>
      <c r="C418" s="163">
        <v>20031600118</v>
      </c>
      <c r="D418" s="163" t="s">
        <v>603</v>
      </c>
      <c r="E418" s="163" t="s">
        <v>389</v>
      </c>
      <c r="F418" s="163" t="s">
        <v>100</v>
      </c>
      <c r="G418" s="163"/>
      <c r="H418" s="163">
        <v>20</v>
      </c>
      <c r="I418" s="163">
        <v>3</v>
      </c>
      <c r="J418" s="163">
        <v>16</v>
      </c>
      <c r="K418" s="163">
        <v>0</v>
      </c>
      <c r="L418" s="163">
        <v>1</v>
      </c>
      <c r="M418" s="163">
        <v>4</v>
      </c>
      <c r="N418" s="163">
        <v>1894</v>
      </c>
      <c r="O418" s="163">
        <v>0</v>
      </c>
      <c r="P418" s="163">
        <v>23730</v>
      </c>
      <c r="Q418" s="163">
        <v>82394.16</v>
      </c>
      <c r="R418" s="163">
        <v>43.502724393000001</v>
      </c>
      <c r="S418" s="163">
        <v>3.4721517067000001</v>
      </c>
      <c r="T418" s="163">
        <v>12.529039071</v>
      </c>
      <c r="U418" s="161">
        <f t="shared" si="13"/>
        <v>3.834428318731643E-3</v>
      </c>
      <c r="V418" s="161">
        <f t="shared" si="12"/>
        <v>2.4212296847044706E-3</v>
      </c>
    </row>
    <row r="419" spans="2:22">
      <c r="B419" s="163">
        <v>2018</v>
      </c>
      <c r="C419" s="163">
        <v>20031600119</v>
      </c>
      <c r="D419" s="163" t="s">
        <v>604</v>
      </c>
      <c r="E419" s="163" t="s">
        <v>389</v>
      </c>
      <c r="F419" s="163" t="s">
        <v>100</v>
      </c>
      <c r="G419" s="163"/>
      <c r="H419" s="163">
        <v>20</v>
      </c>
      <c r="I419" s="163">
        <v>3</v>
      </c>
      <c r="J419" s="163">
        <v>16</v>
      </c>
      <c r="K419" s="163">
        <v>0</v>
      </c>
      <c r="L419" s="163">
        <v>1</v>
      </c>
      <c r="M419" s="163">
        <v>4</v>
      </c>
      <c r="N419" s="163">
        <v>3721</v>
      </c>
      <c r="O419" s="163">
        <v>0</v>
      </c>
      <c r="P419" s="163">
        <v>51341</v>
      </c>
      <c r="Q419" s="163">
        <v>284590.06</v>
      </c>
      <c r="R419" s="163">
        <v>76.482144585</v>
      </c>
      <c r="S419" s="163">
        <v>5.5431343370999997</v>
      </c>
      <c r="T419" s="163">
        <v>13.797635044</v>
      </c>
      <c r="U419" s="161">
        <f t="shared" si="13"/>
        <v>8.2959706831858947E-3</v>
      </c>
      <c r="V419" s="161">
        <f t="shared" si="12"/>
        <v>5.2384472499963017E-3</v>
      </c>
    </row>
    <row r="420" spans="2:22">
      <c r="B420" s="163">
        <v>2018</v>
      </c>
      <c r="C420" s="163">
        <v>20031600120</v>
      </c>
      <c r="D420" s="163" t="s">
        <v>605</v>
      </c>
      <c r="E420" s="163" t="s">
        <v>389</v>
      </c>
      <c r="F420" s="163" t="s">
        <v>100</v>
      </c>
      <c r="G420" s="163"/>
      <c r="H420" s="163">
        <v>20</v>
      </c>
      <c r="I420" s="163">
        <v>3</v>
      </c>
      <c r="J420" s="163">
        <v>16</v>
      </c>
      <c r="K420" s="163">
        <v>0</v>
      </c>
      <c r="L420" s="163">
        <v>1</v>
      </c>
      <c r="M420" s="163">
        <v>4</v>
      </c>
      <c r="N420" s="163">
        <v>2045</v>
      </c>
      <c r="O420" s="163">
        <v>0</v>
      </c>
      <c r="P420" s="163">
        <v>28543</v>
      </c>
      <c r="Q420" s="163">
        <v>207333.48</v>
      </c>
      <c r="R420" s="163">
        <v>101.38556479</v>
      </c>
      <c r="S420" s="163">
        <v>7.2638993798999998</v>
      </c>
      <c r="T420" s="163">
        <v>13.957457213</v>
      </c>
      <c r="U420" s="161">
        <f t="shared" si="13"/>
        <v>4.6121402234116007E-3</v>
      </c>
      <c r="V420" s="161">
        <f t="shared" si="12"/>
        <v>2.9123117947964477E-3</v>
      </c>
    </row>
    <row r="421" spans="2:22">
      <c r="B421" s="163">
        <v>2018</v>
      </c>
      <c r="C421" s="163">
        <v>20031600121</v>
      </c>
      <c r="D421" s="163" t="s">
        <v>606</v>
      </c>
      <c r="E421" s="163" t="s">
        <v>389</v>
      </c>
      <c r="F421" s="163" t="s">
        <v>100</v>
      </c>
      <c r="G421" s="163"/>
      <c r="H421" s="163">
        <v>20</v>
      </c>
      <c r="I421" s="163">
        <v>3</v>
      </c>
      <c r="J421" s="163">
        <v>16</v>
      </c>
      <c r="K421" s="163">
        <v>0</v>
      </c>
      <c r="L421" s="163">
        <v>1</v>
      </c>
      <c r="M421" s="163">
        <v>4</v>
      </c>
      <c r="N421" s="163">
        <v>973</v>
      </c>
      <c r="O421" s="163">
        <v>0</v>
      </c>
      <c r="P421" s="163">
        <v>14737</v>
      </c>
      <c r="Q421" s="163">
        <v>197275.44</v>
      </c>
      <c r="R421" s="163">
        <v>202.74968139999999</v>
      </c>
      <c r="S421" s="163">
        <v>13.386404289</v>
      </c>
      <c r="T421" s="163">
        <v>15.145940391</v>
      </c>
      <c r="U421" s="161">
        <f t="shared" si="13"/>
        <v>2.3812882483416867E-3</v>
      </c>
      <c r="V421" s="161">
        <f t="shared" si="12"/>
        <v>1.5036519959329871E-3</v>
      </c>
    </row>
    <row r="422" spans="2:22">
      <c r="B422" s="163">
        <v>2018</v>
      </c>
      <c r="C422" s="163">
        <v>20031600122</v>
      </c>
      <c r="D422" s="163" t="s">
        <v>607</v>
      </c>
      <c r="E422" s="163" t="s">
        <v>389</v>
      </c>
      <c r="F422" s="163" t="s">
        <v>100</v>
      </c>
      <c r="G422" s="163"/>
      <c r="H422" s="163">
        <v>20</v>
      </c>
      <c r="I422" s="163">
        <v>3</v>
      </c>
      <c r="J422" s="163">
        <v>16</v>
      </c>
      <c r="K422" s="163">
        <v>0</v>
      </c>
      <c r="L422" s="163">
        <v>1</v>
      </c>
      <c r="M422" s="163">
        <v>4</v>
      </c>
      <c r="N422" s="163">
        <v>148</v>
      </c>
      <c r="O422" s="163">
        <v>0</v>
      </c>
      <c r="P422" s="163">
        <v>1903</v>
      </c>
      <c r="Q422" s="163">
        <v>35259.629999999997</v>
      </c>
      <c r="R422" s="163">
        <v>238.24074324</v>
      </c>
      <c r="S422" s="163">
        <v>18.528444561000001</v>
      </c>
      <c r="T422" s="163">
        <v>12.858108108</v>
      </c>
      <c r="U422" s="161">
        <f t="shared" si="13"/>
        <v>3.0749755965218359E-4</v>
      </c>
      <c r="V422" s="161">
        <f t="shared" si="12"/>
        <v>1.941677239777753E-4</v>
      </c>
    </row>
    <row r="423" spans="2:22">
      <c r="B423" s="163">
        <v>2018</v>
      </c>
      <c r="C423" s="163">
        <v>20031600123</v>
      </c>
      <c r="D423" s="163" t="s">
        <v>608</v>
      </c>
      <c r="E423" s="163" t="s">
        <v>389</v>
      </c>
      <c r="F423" s="163" t="s">
        <v>100</v>
      </c>
      <c r="G423" s="163"/>
      <c r="H423" s="163">
        <v>20</v>
      </c>
      <c r="I423" s="163">
        <v>3</v>
      </c>
      <c r="J423" s="163">
        <v>16</v>
      </c>
      <c r="K423" s="163">
        <v>0</v>
      </c>
      <c r="L423" s="163">
        <v>1</v>
      </c>
      <c r="M423" s="163">
        <v>4</v>
      </c>
      <c r="N423" s="163">
        <v>145</v>
      </c>
      <c r="O423" s="163">
        <v>0</v>
      </c>
      <c r="P423" s="163">
        <v>2183</v>
      </c>
      <c r="Q423" s="163">
        <v>52326.53</v>
      </c>
      <c r="R423" s="163">
        <v>360.87262069000002</v>
      </c>
      <c r="S423" s="163">
        <v>23.970009162</v>
      </c>
      <c r="T423" s="163">
        <v>15.055172413999999</v>
      </c>
      <c r="U423" s="161">
        <f t="shared" si="13"/>
        <v>3.5274155161361888E-4</v>
      </c>
      <c r="V423" s="161">
        <f t="shared" si="12"/>
        <v>2.2273680580319678E-4</v>
      </c>
    </row>
    <row r="424" spans="2:22">
      <c r="B424" s="163">
        <v>2018</v>
      </c>
      <c r="C424" s="163">
        <v>20031600124</v>
      </c>
      <c r="D424" s="163" t="s">
        <v>609</v>
      </c>
      <c r="E424" s="163" t="s">
        <v>389</v>
      </c>
      <c r="F424" s="163" t="s">
        <v>100</v>
      </c>
      <c r="G424" s="163"/>
      <c r="H424" s="163">
        <v>20</v>
      </c>
      <c r="I424" s="163">
        <v>3</v>
      </c>
      <c r="J424" s="163">
        <v>16</v>
      </c>
      <c r="K424" s="163">
        <v>0</v>
      </c>
      <c r="L424" s="163">
        <v>1</v>
      </c>
      <c r="M424" s="163">
        <v>4</v>
      </c>
      <c r="N424" s="163">
        <v>325</v>
      </c>
      <c r="O424" s="163">
        <v>0</v>
      </c>
      <c r="P424" s="163">
        <v>4207</v>
      </c>
      <c r="Q424" s="163">
        <v>51056.51</v>
      </c>
      <c r="R424" s="163">
        <v>157.09695385000001</v>
      </c>
      <c r="S424" s="163">
        <v>12.136085096</v>
      </c>
      <c r="T424" s="163">
        <v>12.944615385000001</v>
      </c>
      <c r="U424" s="161">
        <f t="shared" si="13"/>
        <v>6.7979097922056563E-4</v>
      </c>
      <c r="V424" s="161">
        <f t="shared" si="12"/>
        <v>4.2925045442695776E-4</v>
      </c>
    </row>
    <row r="425" spans="2:22">
      <c r="B425" s="163">
        <v>2018</v>
      </c>
      <c r="C425" s="163">
        <v>20031600125</v>
      </c>
      <c r="D425" s="163" t="s">
        <v>610</v>
      </c>
      <c r="E425" s="163" t="s">
        <v>389</v>
      </c>
      <c r="F425" s="163" t="s">
        <v>100</v>
      </c>
      <c r="G425" s="163"/>
      <c r="H425" s="163">
        <v>20</v>
      </c>
      <c r="I425" s="163">
        <v>3</v>
      </c>
      <c r="J425" s="163">
        <v>16</v>
      </c>
      <c r="K425" s="163">
        <v>0</v>
      </c>
      <c r="L425" s="163">
        <v>1</v>
      </c>
      <c r="M425" s="163">
        <v>4</v>
      </c>
      <c r="N425" s="163">
        <v>450</v>
      </c>
      <c r="O425" s="163">
        <v>0</v>
      </c>
      <c r="P425" s="163">
        <v>5869</v>
      </c>
      <c r="Q425" s="163">
        <v>70950.12</v>
      </c>
      <c r="R425" s="163">
        <v>157.66693333000001</v>
      </c>
      <c r="S425" s="163">
        <v>12.088962345000001</v>
      </c>
      <c r="T425" s="163">
        <v>13.042222221999999</v>
      </c>
      <c r="U425" s="161">
        <f t="shared" si="13"/>
        <v>9.4834638864879953E-4</v>
      </c>
      <c r="V425" s="161">
        <f t="shared" si="12"/>
        <v>5.9882836154785245E-4</v>
      </c>
    </row>
    <row r="426" spans="2:22">
      <c r="B426" s="163">
        <v>2018</v>
      </c>
      <c r="C426" s="163">
        <v>20031600126</v>
      </c>
      <c r="D426" s="163" t="s">
        <v>611</v>
      </c>
      <c r="E426" s="163" t="s">
        <v>389</v>
      </c>
      <c r="F426" s="163" t="s">
        <v>100</v>
      </c>
      <c r="G426" s="163"/>
      <c r="H426" s="163">
        <v>20</v>
      </c>
      <c r="I426" s="163">
        <v>3</v>
      </c>
      <c r="J426" s="163">
        <v>16</v>
      </c>
      <c r="K426" s="163">
        <v>0</v>
      </c>
      <c r="L426" s="163">
        <v>1</v>
      </c>
      <c r="M426" s="163">
        <v>4</v>
      </c>
      <c r="N426" s="163">
        <v>555</v>
      </c>
      <c r="O426" s="163">
        <v>0</v>
      </c>
      <c r="P426" s="163">
        <v>7750</v>
      </c>
      <c r="Q426" s="163">
        <v>25897.99</v>
      </c>
      <c r="R426" s="163">
        <v>46.663045044999997</v>
      </c>
      <c r="S426" s="163">
        <v>3.3416761290000001</v>
      </c>
      <c r="T426" s="163">
        <v>13.963963964</v>
      </c>
      <c r="U426" s="161">
        <f t="shared" si="13"/>
        <v>1.2522890632182988E-3</v>
      </c>
      <c r="V426" s="161">
        <f t="shared" si="12"/>
        <v>7.9075137195363035E-4</v>
      </c>
    </row>
    <row r="427" spans="2:22">
      <c r="B427" s="163">
        <v>2018</v>
      </c>
      <c r="C427" s="163">
        <v>20031600127</v>
      </c>
      <c r="D427" s="163" t="s">
        <v>612</v>
      </c>
      <c r="E427" s="163" t="s">
        <v>389</v>
      </c>
      <c r="F427" s="163" t="s">
        <v>100</v>
      </c>
      <c r="G427" s="163"/>
      <c r="H427" s="163">
        <v>20</v>
      </c>
      <c r="I427" s="163">
        <v>3</v>
      </c>
      <c r="J427" s="163">
        <v>16</v>
      </c>
      <c r="K427" s="163">
        <v>0</v>
      </c>
      <c r="L427" s="163">
        <v>1</v>
      </c>
      <c r="M427" s="163">
        <v>4</v>
      </c>
      <c r="N427" s="163">
        <v>986</v>
      </c>
      <c r="O427" s="163">
        <v>0</v>
      </c>
      <c r="P427" s="163">
        <v>12413</v>
      </c>
      <c r="Q427" s="163">
        <v>76015.759999999995</v>
      </c>
      <c r="R427" s="163">
        <v>77.095091277999998</v>
      </c>
      <c r="S427" s="163">
        <v>6.1238830258999997</v>
      </c>
      <c r="T427" s="163">
        <v>12.589249493000001</v>
      </c>
      <c r="U427" s="161">
        <f t="shared" si="13"/>
        <v>2.0057631150617733E-3</v>
      </c>
      <c r="V427" s="161">
        <f t="shared" si="12"/>
        <v>1.2665286167819888E-3</v>
      </c>
    </row>
    <row r="428" spans="2:22">
      <c r="B428" s="163">
        <v>2018</v>
      </c>
      <c r="C428" s="163">
        <v>20031600128</v>
      </c>
      <c r="D428" s="163" t="s">
        <v>613</v>
      </c>
      <c r="E428" s="163" t="s">
        <v>389</v>
      </c>
      <c r="F428" s="163" t="s">
        <v>100</v>
      </c>
      <c r="G428" s="163"/>
      <c r="H428" s="163">
        <v>20</v>
      </c>
      <c r="I428" s="163">
        <v>3</v>
      </c>
      <c r="J428" s="163">
        <v>16</v>
      </c>
      <c r="K428" s="163">
        <v>0</v>
      </c>
      <c r="L428" s="163">
        <v>1</v>
      </c>
      <c r="M428" s="163">
        <v>4</v>
      </c>
      <c r="N428" s="163">
        <v>401</v>
      </c>
      <c r="O428" s="163">
        <v>0</v>
      </c>
      <c r="P428" s="163">
        <v>4358</v>
      </c>
      <c r="Q428" s="163">
        <v>50674.97</v>
      </c>
      <c r="R428" s="163">
        <v>126.37149626</v>
      </c>
      <c r="S428" s="163">
        <v>11.628033501999999</v>
      </c>
      <c r="T428" s="163">
        <v>10.867830423999999</v>
      </c>
      <c r="U428" s="161">
        <f t="shared" si="13"/>
        <v>7.0419041774262537E-4</v>
      </c>
      <c r="V428" s="161">
        <f t="shared" si="12"/>
        <v>4.4465735212566722E-4</v>
      </c>
    </row>
    <row r="429" spans="2:22">
      <c r="B429" s="163">
        <v>2018</v>
      </c>
      <c r="C429" s="163">
        <v>20031600129</v>
      </c>
      <c r="D429" s="163" t="s">
        <v>614</v>
      </c>
      <c r="E429" s="163" t="s">
        <v>389</v>
      </c>
      <c r="F429" s="163" t="s">
        <v>100</v>
      </c>
      <c r="G429" s="163"/>
      <c r="H429" s="163">
        <v>20</v>
      </c>
      <c r="I429" s="163">
        <v>3</v>
      </c>
      <c r="J429" s="163">
        <v>16</v>
      </c>
      <c r="K429" s="163">
        <v>0</v>
      </c>
      <c r="L429" s="163">
        <v>1</v>
      </c>
      <c r="M429" s="163">
        <v>4</v>
      </c>
      <c r="N429" s="163">
        <v>289</v>
      </c>
      <c r="O429" s="163">
        <v>0</v>
      </c>
      <c r="P429" s="163">
        <v>4355</v>
      </c>
      <c r="Q429" s="163">
        <v>74124.19</v>
      </c>
      <c r="R429" s="163">
        <v>256.48508650999997</v>
      </c>
      <c r="S429" s="163">
        <v>17.020479907999999</v>
      </c>
      <c r="T429" s="163">
        <v>15.069204151999999</v>
      </c>
      <c r="U429" s="161">
        <f t="shared" si="13"/>
        <v>7.0370566068589564E-4</v>
      </c>
      <c r="V429" s="161">
        <f t="shared" si="12"/>
        <v>4.4435125482039488E-4</v>
      </c>
    </row>
    <row r="430" spans="2:22">
      <c r="B430" s="163">
        <v>2018</v>
      </c>
      <c r="C430" s="163">
        <v>20031600130</v>
      </c>
      <c r="D430" s="163" t="s">
        <v>615</v>
      </c>
      <c r="E430" s="163" t="s">
        <v>389</v>
      </c>
      <c r="F430" s="163" t="s">
        <v>100</v>
      </c>
      <c r="G430" s="163"/>
      <c r="H430" s="163">
        <v>20</v>
      </c>
      <c r="I430" s="163">
        <v>3</v>
      </c>
      <c r="J430" s="163">
        <v>16</v>
      </c>
      <c r="K430" s="163">
        <v>0</v>
      </c>
      <c r="L430" s="163">
        <v>1</v>
      </c>
      <c r="M430" s="163">
        <v>4</v>
      </c>
      <c r="N430" s="163">
        <v>211</v>
      </c>
      <c r="O430" s="163">
        <v>0</v>
      </c>
      <c r="P430" s="163">
        <v>3046</v>
      </c>
      <c r="Q430" s="163">
        <v>38718.300000000003</v>
      </c>
      <c r="R430" s="163">
        <v>183.49905213</v>
      </c>
      <c r="S430" s="163">
        <v>12.711195010000001</v>
      </c>
      <c r="T430" s="163">
        <v>14.436018957</v>
      </c>
      <c r="U430" s="161">
        <f t="shared" si="13"/>
        <v>4.9218999826618562E-4</v>
      </c>
      <c r="V430" s="161">
        <f t="shared" si="12"/>
        <v>3.1079079728654941E-4</v>
      </c>
    </row>
    <row r="431" spans="2:22">
      <c r="B431" s="163">
        <v>2018</v>
      </c>
      <c r="C431" s="163">
        <v>20031600133</v>
      </c>
      <c r="D431" s="163" t="s">
        <v>616</v>
      </c>
      <c r="E431" s="163" t="s">
        <v>389</v>
      </c>
      <c r="F431" s="163" t="s">
        <v>100</v>
      </c>
      <c r="G431" s="163"/>
      <c r="H431" s="163">
        <v>20</v>
      </c>
      <c r="I431" s="163">
        <v>3</v>
      </c>
      <c r="J431" s="163">
        <v>16</v>
      </c>
      <c r="K431" s="163">
        <v>0</v>
      </c>
      <c r="L431" s="163">
        <v>1</v>
      </c>
      <c r="M431" s="163">
        <v>4</v>
      </c>
      <c r="N431" s="163">
        <v>446</v>
      </c>
      <c r="O431" s="163">
        <v>0</v>
      </c>
      <c r="P431" s="163">
        <v>6619</v>
      </c>
      <c r="Q431" s="163">
        <v>36747.26</v>
      </c>
      <c r="R431" s="163">
        <v>82.392959641000004</v>
      </c>
      <c r="S431" s="163">
        <v>5.5517842573999996</v>
      </c>
      <c r="T431" s="163">
        <v>14.840807175</v>
      </c>
      <c r="U431" s="161">
        <f t="shared" si="13"/>
        <v>1.0695356528312154E-3</v>
      </c>
      <c r="V431" s="161">
        <f t="shared" si="12"/>
        <v>6.7535268786594568E-4</v>
      </c>
    </row>
    <row r="432" spans="2:22">
      <c r="B432" s="163">
        <v>2018</v>
      </c>
      <c r="C432" s="163">
        <v>20031600134</v>
      </c>
      <c r="D432" s="163" t="s">
        <v>617</v>
      </c>
      <c r="E432" s="163" t="s">
        <v>389</v>
      </c>
      <c r="F432" s="163" t="s">
        <v>100</v>
      </c>
      <c r="G432" s="163"/>
      <c r="H432" s="163">
        <v>20</v>
      </c>
      <c r="I432" s="163">
        <v>3</v>
      </c>
      <c r="J432" s="163">
        <v>16</v>
      </c>
      <c r="K432" s="163">
        <v>0</v>
      </c>
      <c r="L432" s="163">
        <v>1</v>
      </c>
      <c r="M432" s="163">
        <v>4</v>
      </c>
      <c r="N432" s="163">
        <v>1118</v>
      </c>
      <c r="O432" s="163">
        <v>0</v>
      </c>
      <c r="P432" s="163">
        <v>13765</v>
      </c>
      <c r="Q432" s="163">
        <v>31246.55</v>
      </c>
      <c r="R432" s="163">
        <v>27.948613596000001</v>
      </c>
      <c r="S432" s="163">
        <v>2.27</v>
      </c>
      <c r="T432" s="163">
        <v>12.312164579999999</v>
      </c>
      <c r="U432" s="161">
        <f t="shared" si="13"/>
        <v>2.2242269619612755E-3</v>
      </c>
      <c r="V432" s="161">
        <f t="shared" si="12"/>
        <v>1.4044764690247383E-3</v>
      </c>
    </row>
    <row r="433" spans="2:22">
      <c r="B433" s="163">
        <v>2018</v>
      </c>
      <c r="C433" s="163">
        <v>20031600135</v>
      </c>
      <c r="D433" s="163" t="s">
        <v>618</v>
      </c>
      <c r="E433" s="163" t="s">
        <v>389</v>
      </c>
      <c r="F433" s="163" t="s">
        <v>100</v>
      </c>
      <c r="G433" s="163"/>
      <c r="H433" s="163">
        <v>20</v>
      </c>
      <c r="I433" s="163">
        <v>3</v>
      </c>
      <c r="J433" s="163">
        <v>16</v>
      </c>
      <c r="K433" s="163">
        <v>0</v>
      </c>
      <c r="L433" s="163">
        <v>1</v>
      </c>
      <c r="M433" s="163">
        <v>4</v>
      </c>
      <c r="N433" s="163">
        <v>964</v>
      </c>
      <c r="O433" s="163">
        <v>0</v>
      </c>
      <c r="P433" s="163">
        <v>12380</v>
      </c>
      <c r="Q433" s="163">
        <v>44231.12</v>
      </c>
      <c r="R433" s="163">
        <v>45.882904564</v>
      </c>
      <c r="S433" s="163">
        <v>3.5727883682999999</v>
      </c>
      <c r="T433" s="163">
        <v>12.842323650999999</v>
      </c>
      <c r="U433" s="161">
        <f t="shared" si="13"/>
        <v>2.000430787437747E-3</v>
      </c>
      <c r="V433" s="161">
        <f t="shared" si="12"/>
        <v>1.2631615464239927E-3</v>
      </c>
    </row>
    <row r="434" spans="2:22">
      <c r="B434" s="163">
        <v>2018</v>
      </c>
      <c r="C434" s="163">
        <v>20031600136</v>
      </c>
      <c r="D434" s="163" t="s">
        <v>619</v>
      </c>
      <c r="E434" s="163" t="s">
        <v>389</v>
      </c>
      <c r="F434" s="163" t="s">
        <v>100</v>
      </c>
      <c r="G434" s="163"/>
      <c r="H434" s="163">
        <v>20</v>
      </c>
      <c r="I434" s="163">
        <v>3</v>
      </c>
      <c r="J434" s="163">
        <v>16</v>
      </c>
      <c r="K434" s="163">
        <v>0</v>
      </c>
      <c r="L434" s="163">
        <v>1</v>
      </c>
      <c r="M434" s="163">
        <v>4</v>
      </c>
      <c r="N434" s="163">
        <v>2629</v>
      </c>
      <c r="O434" s="163">
        <v>0</v>
      </c>
      <c r="P434" s="163">
        <v>34827</v>
      </c>
      <c r="Q434" s="163">
        <v>92291.41</v>
      </c>
      <c r="R434" s="163">
        <v>35.105138836000002</v>
      </c>
      <c r="S434" s="163">
        <v>2.6499959800999999</v>
      </c>
      <c r="T434" s="163">
        <v>13.247242297</v>
      </c>
      <c r="U434" s="161">
        <f t="shared" si="13"/>
        <v>5.62754467157467E-3</v>
      </c>
      <c r="V434" s="161">
        <f t="shared" si="12"/>
        <v>3.5534836169069787E-3</v>
      </c>
    </row>
    <row r="435" spans="2:22">
      <c r="B435" s="163">
        <v>2018</v>
      </c>
      <c r="C435" s="163">
        <v>20031600137</v>
      </c>
      <c r="D435" s="163" t="s">
        <v>620</v>
      </c>
      <c r="E435" s="163" t="s">
        <v>389</v>
      </c>
      <c r="F435" s="163" t="s">
        <v>100</v>
      </c>
      <c r="G435" s="163"/>
      <c r="H435" s="163">
        <v>20</v>
      </c>
      <c r="I435" s="163">
        <v>3</v>
      </c>
      <c r="J435" s="163">
        <v>16</v>
      </c>
      <c r="K435" s="163">
        <v>0</v>
      </c>
      <c r="L435" s="163">
        <v>1</v>
      </c>
      <c r="M435" s="163">
        <v>4</v>
      </c>
      <c r="N435" s="163">
        <v>543</v>
      </c>
      <c r="O435" s="163">
        <v>0</v>
      </c>
      <c r="P435" s="163">
        <v>7100</v>
      </c>
      <c r="Q435" s="163">
        <v>35825.919999999998</v>
      </c>
      <c r="R435" s="163">
        <v>65.977753222999993</v>
      </c>
      <c r="S435" s="163">
        <v>5.0459042254000002</v>
      </c>
      <c r="T435" s="163">
        <v>13.075506446</v>
      </c>
      <c r="U435" s="161">
        <f t="shared" si="13"/>
        <v>1.1472583675935382E-3</v>
      </c>
      <c r="V435" s="161">
        <f t="shared" si="12"/>
        <v>7.2443028914461621E-4</v>
      </c>
    </row>
    <row r="436" spans="2:22">
      <c r="B436" s="163">
        <v>2018</v>
      </c>
      <c r="C436" s="163">
        <v>20032100024</v>
      </c>
      <c r="D436" s="163" t="s">
        <v>621</v>
      </c>
      <c r="E436" s="163" t="s">
        <v>389</v>
      </c>
      <c r="F436" s="163" t="s">
        <v>100</v>
      </c>
      <c r="G436" s="163"/>
      <c r="H436" s="163">
        <v>20</v>
      </c>
      <c r="I436" s="163">
        <v>3</v>
      </c>
      <c r="J436" s="163">
        <v>21</v>
      </c>
      <c r="K436" s="163">
        <v>0</v>
      </c>
      <c r="L436" s="163">
        <v>1</v>
      </c>
      <c r="M436" s="163">
        <v>4</v>
      </c>
      <c r="N436" s="163">
        <v>612</v>
      </c>
      <c r="O436" s="163">
        <v>0</v>
      </c>
      <c r="P436" s="163">
        <v>4968</v>
      </c>
      <c r="Q436" s="163">
        <v>114278.76</v>
      </c>
      <c r="R436" s="163">
        <v>186.73</v>
      </c>
      <c r="S436" s="163">
        <v>23.002971014</v>
      </c>
      <c r="T436" s="163">
        <v>8.1176470587999994</v>
      </c>
      <c r="U436" s="161">
        <f t="shared" si="13"/>
        <v>8.0275768594432367E-4</v>
      </c>
      <c r="V436" s="161">
        <f t="shared" si="12"/>
        <v>5.0689713753104978E-4</v>
      </c>
    </row>
    <row r="437" spans="2:22">
      <c r="B437" s="163">
        <v>2018</v>
      </c>
      <c r="C437" s="163">
        <v>20032100025</v>
      </c>
      <c r="D437" s="163" t="s">
        <v>622</v>
      </c>
      <c r="E437" s="163" t="s">
        <v>389</v>
      </c>
      <c r="F437" s="163" t="s">
        <v>100</v>
      </c>
      <c r="G437" s="163"/>
      <c r="H437" s="163">
        <v>20</v>
      </c>
      <c r="I437" s="163">
        <v>3</v>
      </c>
      <c r="J437" s="163">
        <v>21</v>
      </c>
      <c r="K437" s="163">
        <v>0</v>
      </c>
      <c r="L437" s="163">
        <v>1</v>
      </c>
      <c r="M437" s="163">
        <v>4</v>
      </c>
      <c r="N437" s="163">
        <v>594</v>
      </c>
      <c r="O437" s="163">
        <v>0</v>
      </c>
      <c r="P437" s="163">
        <v>4066</v>
      </c>
      <c r="Q437" s="163">
        <v>111353.81</v>
      </c>
      <c r="R437" s="163">
        <v>187.46432659999999</v>
      </c>
      <c r="S437" s="163">
        <v>27.386574028999998</v>
      </c>
      <c r="T437" s="163">
        <v>6.8451178450999999</v>
      </c>
      <c r="U437" s="161">
        <f t="shared" si="13"/>
        <v>6.5700739755427133E-4</v>
      </c>
      <c r="V437" s="161">
        <f t="shared" si="12"/>
        <v>4.1486388107915626E-4</v>
      </c>
    </row>
    <row r="438" spans="2:22">
      <c r="B438" s="163">
        <v>2018</v>
      </c>
      <c r="C438" s="163">
        <v>20032100026</v>
      </c>
      <c r="D438" s="163" t="s">
        <v>623</v>
      </c>
      <c r="E438" s="163" t="s">
        <v>389</v>
      </c>
      <c r="F438" s="163" t="s">
        <v>100</v>
      </c>
      <c r="G438" s="163"/>
      <c r="H438" s="163">
        <v>20</v>
      </c>
      <c r="I438" s="163">
        <v>3</v>
      </c>
      <c r="J438" s="163">
        <v>21</v>
      </c>
      <c r="K438" s="163">
        <v>0</v>
      </c>
      <c r="L438" s="163">
        <v>1</v>
      </c>
      <c r="M438" s="163">
        <v>4</v>
      </c>
      <c r="N438" s="163">
        <v>189</v>
      </c>
      <c r="O438" s="163">
        <v>0</v>
      </c>
      <c r="P438" s="163">
        <v>1215</v>
      </c>
      <c r="Q438" s="163">
        <v>38585.1</v>
      </c>
      <c r="R438" s="163">
        <v>204.15396824999999</v>
      </c>
      <c r="S438" s="163">
        <v>31.757283951000002</v>
      </c>
      <c r="T438" s="163">
        <v>6.4285714285999997</v>
      </c>
      <c r="U438" s="161">
        <f t="shared" si="13"/>
        <v>1.9632660797551396E-4</v>
      </c>
      <c r="V438" s="161">
        <f t="shared" si="12"/>
        <v>1.2396940863531109E-4</v>
      </c>
    </row>
    <row r="439" spans="2:22">
      <c r="B439" s="163">
        <v>2018</v>
      </c>
      <c r="C439" s="163">
        <v>20032100027</v>
      </c>
      <c r="D439" s="163" t="s">
        <v>624</v>
      </c>
      <c r="E439" s="163" t="s">
        <v>389</v>
      </c>
      <c r="F439" s="163" t="s">
        <v>100</v>
      </c>
      <c r="G439" s="163"/>
      <c r="H439" s="163">
        <v>20</v>
      </c>
      <c r="I439" s="163">
        <v>3</v>
      </c>
      <c r="J439" s="163">
        <v>21</v>
      </c>
      <c r="K439" s="163">
        <v>0</v>
      </c>
      <c r="L439" s="163">
        <v>1</v>
      </c>
      <c r="M439" s="163">
        <v>4</v>
      </c>
      <c r="N439" s="163">
        <v>41</v>
      </c>
      <c r="O439" s="163">
        <v>0</v>
      </c>
      <c r="P439" s="163">
        <v>262</v>
      </c>
      <c r="Q439" s="163">
        <v>8626.08</v>
      </c>
      <c r="R439" s="163">
        <v>210.39219512</v>
      </c>
      <c r="S439" s="163">
        <v>32.923969466000003</v>
      </c>
      <c r="T439" s="163">
        <v>6.3902439024</v>
      </c>
      <c r="U439" s="161">
        <f t="shared" si="13"/>
        <v>4.2335449621057332E-5</v>
      </c>
      <c r="V439" s="161">
        <f t="shared" si="12"/>
        <v>2.6732497993787244E-5</v>
      </c>
    </row>
    <row r="440" spans="2:22">
      <c r="B440" s="163">
        <v>2018</v>
      </c>
      <c r="C440" s="163">
        <v>20032100028</v>
      </c>
      <c r="D440" s="163" t="s">
        <v>625</v>
      </c>
      <c r="E440" s="163" t="s">
        <v>389</v>
      </c>
      <c r="F440" s="163" t="s">
        <v>100</v>
      </c>
      <c r="G440" s="163"/>
      <c r="H440" s="163">
        <v>20</v>
      </c>
      <c r="I440" s="163">
        <v>3</v>
      </c>
      <c r="J440" s="163">
        <v>21</v>
      </c>
      <c r="K440" s="163">
        <v>0</v>
      </c>
      <c r="L440" s="163">
        <v>1</v>
      </c>
      <c r="M440" s="163">
        <v>4</v>
      </c>
      <c r="N440" s="163">
        <v>37</v>
      </c>
      <c r="O440" s="163">
        <v>0</v>
      </c>
      <c r="P440" s="163">
        <v>227</v>
      </c>
      <c r="Q440" s="163">
        <v>8647.84</v>
      </c>
      <c r="R440" s="163">
        <v>233.72540541000001</v>
      </c>
      <c r="S440" s="163">
        <v>38.096211453999999</v>
      </c>
      <c r="T440" s="163">
        <v>6.1351351350999996</v>
      </c>
      <c r="U440" s="161">
        <f t="shared" si="13"/>
        <v>3.6679950625877914E-5</v>
      </c>
      <c r="V440" s="161">
        <f t="shared" si="12"/>
        <v>2.3161362765609558E-5</v>
      </c>
    </row>
    <row r="441" spans="2:22">
      <c r="B441" s="163">
        <v>2018</v>
      </c>
      <c r="C441" s="163">
        <v>20032100035</v>
      </c>
      <c r="D441" s="163" t="s">
        <v>626</v>
      </c>
      <c r="E441" s="163" t="s">
        <v>389</v>
      </c>
      <c r="F441" s="163" t="s">
        <v>100</v>
      </c>
      <c r="G441" s="163"/>
      <c r="H441" s="163">
        <v>20</v>
      </c>
      <c r="I441" s="163">
        <v>3</v>
      </c>
      <c r="J441" s="163">
        <v>21</v>
      </c>
      <c r="K441" s="163">
        <v>0</v>
      </c>
      <c r="L441" s="163">
        <v>1</v>
      </c>
      <c r="M441" s="163">
        <v>4</v>
      </c>
      <c r="N441" s="163">
        <v>255</v>
      </c>
      <c r="O441" s="163">
        <v>0</v>
      </c>
      <c r="P441" s="163">
        <v>2015</v>
      </c>
      <c r="Q441" s="163">
        <v>64747.85</v>
      </c>
      <c r="R441" s="163">
        <v>253.91313725000001</v>
      </c>
      <c r="S441" s="163">
        <v>32.132928040000003</v>
      </c>
      <c r="T441" s="163">
        <v>7.9019607842999999</v>
      </c>
      <c r="U441" s="161">
        <f t="shared" si="13"/>
        <v>3.2559515643675773E-4</v>
      </c>
      <c r="V441" s="161">
        <f t="shared" si="12"/>
        <v>2.0559535670794388E-4</v>
      </c>
    </row>
    <row r="442" spans="2:22">
      <c r="B442" s="163">
        <v>2018</v>
      </c>
      <c r="C442" s="163">
        <v>20032100038</v>
      </c>
      <c r="D442" s="163" t="s">
        <v>627</v>
      </c>
      <c r="E442" s="163" t="s">
        <v>389</v>
      </c>
      <c r="F442" s="163" t="s">
        <v>100</v>
      </c>
      <c r="G442" s="163"/>
      <c r="H442" s="163">
        <v>20</v>
      </c>
      <c r="I442" s="163">
        <v>3</v>
      </c>
      <c r="J442" s="163">
        <v>21</v>
      </c>
      <c r="K442" s="163">
        <v>0</v>
      </c>
      <c r="L442" s="163">
        <v>1</v>
      </c>
      <c r="M442" s="163">
        <v>4</v>
      </c>
      <c r="N442" s="163">
        <v>86</v>
      </c>
      <c r="O442" s="163">
        <v>0</v>
      </c>
      <c r="P442" s="163">
        <v>688</v>
      </c>
      <c r="Q442" s="163">
        <v>7335.89</v>
      </c>
      <c r="R442" s="163">
        <v>85.301046511999999</v>
      </c>
      <c r="S442" s="163">
        <v>10.662630814</v>
      </c>
      <c r="T442" s="163">
        <v>8</v>
      </c>
      <c r="U442" s="161">
        <f t="shared" si="13"/>
        <v>1.1117095167666963E-4</v>
      </c>
      <c r="V442" s="161">
        <f t="shared" si="12"/>
        <v>7.0198315342464212E-5</v>
      </c>
    </row>
    <row r="443" spans="2:22">
      <c r="B443" s="163">
        <v>2018</v>
      </c>
      <c r="C443" s="163">
        <v>20032100039</v>
      </c>
      <c r="D443" s="163" t="s">
        <v>628</v>
      </c>
      <c r="E443" s="163" t="s">
        <v>389</v>
      </c>
      <c r="F443" s="163" t="s">
        <v>100</v>
      </c>
      <c r="G443" s="163"/>
      <c r="H443" s="163">
        <v>20</v>
      </c>
      <c r="I443" s="163">
        <v>3</v>
      </c>
      <c r="J443" s="163">
        <v>21</v>
      </c>
      <c r="K443" s="163">
        <v>0</v>
      </c>
      <c r="L443" s="163">
        <v>1</v>
      </c>
      <c r="M443" s="163">
        <v>4</v>
      </c>
      <c r="N443" s="163">
        <v>74</v>
      </c>
      <c r="O443" s="163">
        <v>0</v>
      </c>
      <c r="P443" s="163">
        <v>556</v>
      </c>
      <c r="Q443" s="163">
        <v>14452.36</v>
      </c>
      <c r="R443" s="163">
        <v>195.30216215999999</v>
      </c>
      <c r="S443" s="163">
        <v>25.993453237000001</v>
      </c>
      <c r="T443" s="163">
        <v>7.5135135135000004</v>
      </c>
      <c r="U443" s="161">
        <f t="shared" si="13"/>
        <v>8.9841641180564408E-5</v>
      </c>
      <c r="V443" s="161">
        <f t="shared" si="12"/>
        <v>5.6730033910479805E-5</v>
      </c>
    </row>
    <row r="444" spans="2:22">
      <c r="B444" s="163">
        <v>2018</v>
      </c>
      <c r="C444" s="163">
        <v>20032100040</v>
      </c>
      <c r="D444" s="163" t="s">
        <v>629</v>
      </c>
      <c r="E444" s="163" t="s">
        <v>389</v>
      </c>
      <c r="F444" s="163" t="s">
        <v>100</v>
      </c>
      <c r="G444" s="163"/>
      <c r="H444" s="163">
        <v>20</v>
      </c>
      <c r="I444" s="163">
        <v>3</v>
      </c>
      <c r="J444" s="163">
        <v>21</v>
      </c>
      <c r="K444" s="163">
        <v>0</v>
      </c>
      <c r="L444" s="163">
        <v>1</v>
      </c>
      <c r="M444" s="163">
        <v>4</v>
      </c>
      <c r="N444" s="163">
        <v>62</v>
      </c>
      <c r="O444" s="163">
        <v>0</v>
      </c>
      <c r="P444" s="163">
        <v>522</v>
      </c>
      <c r="Q444" s="163">
        <v>8922.44</v>
      </c>
      <c r="R444" s="163">
        <v>143.91032258000001</v>
      </c>
      <c r="S444" s="163">
        <v>17.092796934999999</v>
      </c>
      <c r="T444" s="163">
        <v>8.4193548387000003</v>
      </c>
      <c r="U444" s="161">
        <f t="shared" si="13"/>
        <v>8.4347727870961553E-5</v>
      </c>
      <c r="V444" s="161">
        <f t="shared" si="12"/>
        <v>5.3260931117392907E-5</v>
      </c>
    </row>
    <row r="445" spans="2:22">
      <c r="B445" s="163">
        <v>2018</v>
      </c>
      <c r="C445" s="163">
        <v>20032100041</v>
      </c>
      <c r="D445" s="163" t="s">
        <v>630</v>
      </c>
      <c r="E445" s="163" t="s">
        <v>389</v>
      </c>
      <c r="F445" s="163" t="s">
        <v>100</v>
      </c>
      <c r="G445" s="163"/>
      <c r="H445" s="163">
        <v>20</v>
      </c>
      <c r="I445" s="163">
        <v>3</v>
      </c>
      <c r="J445" s="163">
        <v>21</v>
      </c>
      <c r="K445" s="163">
        <v>0</v>
      </c>
      <c r="L445" s="163">
        <v>1</v>
      </c>
      <c r="M445" s="163">
        <v>4</v>
      </c>
      <c r="N445" s="163">
        <v>48</v>
      </c>
      <c r="O445" s="163">
        <v>0</v>
      </c>
      <c r="P445" s="163">
        <v>345</v>
      </c>
      <c r="Q445" s="163">
        <v>11611.08</v>
      </c>
      <c r="R445" s="163">
        <v>241.89750000000001</v>
      </c>
      <c r="S445" s="163">
        <v>33.655304348000001</v>
      </c>
      <c r="T445" s="163">
        <v>7.1875</v>
      </c>
      <c r="U445" s="161">
        <f t="shared" si="13"/>
        <v>5.5747061523911366E-5</v>
      </c>
      <c r="V445" s="161">
        <f t="shared" si="12"/>
        <v>3.52011901063229E-5</v>
      </c>
    </row>
    <row r="446" spans="2:22">
      <c r="B446" s="163">
        <v>2018</v>
      </c>
      <c r="C446" s="163">
        <v>20032100052</v>
      </c>
      <c r="D446" s="163" t="s">
        <v>631</v>
      </c>
      <c r="E446" s="163" t="s">
        <v>389</v>
      </c>
      <c r="F446" s="163" t="s">
        <v>100</v>
      </c>
      <c r="G446" s="163"/>
      <c r="H446" s="163">
        <v>20</v>
      </c>
      <c r="I446" s="163">
        <v>3</v>
      </c>
      <c r="J446" s="163">
        <v>21</v>
      </c>
      <c r="K446" s="163">
        <v>0</v>
      </c>
      <c r="L446" s="163">
        <v>1</v>
      </c>
      <c r="M446" s="163">
        <v>4</v>
      </c>
      <c r="N446" s="163">
        <v>2</v>
      </c>
      <c r="O446" s="163">
        <v>0</v>
      </c>
      <c r="P446" s="163">
        <v>20</v>
      </c>
      <c r="Q446" s="163">
        <v>394.8</v>
      </c>
      <c r="R446" s="163">
        <v>197.4</v>
      </c>
      <c r="S446" s="163">
        <v>19.739999999999998</v>
      </c>
      <c r="T446" s="163">
        <v>10</v>
      </c>
      <c r="U446" s="161">
        <f t="shared" si="13"/>
        <v>3.2317137115310937E-6</v>
      </c>
      <c r="V446" s="161">
        <f t="shared" si="12"/>
        <v>2.0406487018158202E-6</v>
      </c>
    </row>
    <row r="447" spans="2:22">
      <c r="B447" s="163">
        <v>2018</v>
      </c>
      <c r="C447" s="163">
        <v>20032100056</v>
      </c>
      <c r="D447" s="163" t="s">
        <v>632</v>
      </c>
      <c r="E447" s="163" t="s">
        <v>389</v>
      </c>
      <c r="F447" s="163" t="s">
        <v>100</v>
      </c>
      <c r="G447" s="163"/>
      <c r="H447" s="163">
        <v>20</v>
      </c>
      <c r="I447" s="163">
        <v>3</v>
      </c>
      <c r="J447" s="163">
        <v>21</v>
      </c>
      <c r="K447" s="163">
        <v>0</v>
      </c>
      <c r="L447" s="163">
        <v>1</v>
      </c>
      <c r="M447" s="163">
        <v>4</v>
      </c>
      <c r="N447" s="163">
        <v>1</v>
      </c>
      <c r="O447" s="163">
        <v>0</v>
      </c>
      <c r="P447" s="163">
        <v>2</v>
      </c>
      <c r="Q447" s="163">
        <v>58.12</v>
      </c>
      <c r="R447" s="163">
        <v>58.12</v>
      </c>
      <c r="S447" s="163">
        <v>29.06</v>
      </c>
      <c r="T447" s="163">
        <v>2</v>
      </c>
      <c r="U447" s="161">
        <f t="shared" si="13"/>
        <v>3.2317137115310941E-7</v>
      </c>
      <c r="V447" s="161">
        <f t="shared" si="12"/>
        <v>2.0406487018158203E-7</v>
      </c>
    </row>
    <row r="448" spans="2:22">
      <c r="B448" s="163">
        <v>2018</v>
      </c>
      <c r="C448" s="163">
        <v>20032100067</v>
      </c>
      <c r="D448" s="163" t="s">
        <v>633</v>
      </c>
      <c r="E448" s="163" t="s">
        <v>389</v>
      </c>
      <c r="F448" s="163" t="s">
        <v>100</v>
      </c>
      <c r="G448" s="163"/>
      <c r="H448" s="163">
        <v>20</v>
      </c>
      <c r="I448" s="163">
        <v>3</v>
      </c>
      <c r="J448" s="163">
        <v>21</v>
      </c>
      <c r="K448" s="163">
        <v>0</v>
      </c>
      <c r="L448" s="163">
        <v>1</v>
      </c>
      <c r="M448" s="163">
        <v>4</v>
      </c>
      <c r="N448" s="163">
        <v>4</v>
      </c>
      <c r="O448" s="163">
        <v>0</v>
      </c>
      <c r="P448" s="163">
        <v>18</v>
      </c>
      <c r="Q448" s="163">
        <v>370.44</v>
      </c>
      <c r="R448" s="163">
        <v>92.61</v>
      </c>
      <c r="S448" s="163">
        <v>20.58</v>
      </c>
      <c r="T448" s="163">
        <v>4.5</v>
      </c>
      <c r="U448" s="161">
        <f t="shared" si="13"/>
        <v>2.9085423403779843E-6</v>
      </c>
      <c r="V448" s="161">
        <f t="shared" si="12"/>
        <v>1.8365838316342382E-6</v>
      </c>
    </row>
    <row r="449" spans="2:22">
      <c r="B449" s="163">
        <v>2018</v>
      </c>
      <c r="C449" s="163">
        <v>20032100068</v>
      </c>
      <c r="D449" s="163" t="s">
        <v>634</v>
      </c>
      <c r="E449" s="163" t="s">
        <v>389</v>
      </c>
      <c r="F449" s="163" t="s">
        <v>100</v>
      </c>
      <c r="G449" s="163"/>
      <c r="H449" s="163">
        <v>20</v>
      </c>
      <c r="I449" s="163">
        <v>3</v>
      </c>
      <c r="J449" s="163">
        <v>21</v>
      </c>
      <c r="K449" s="163">
        <v>0</v>
      </c>
      <c r="L449" s="163">
        <v>1</v>
      </c>
      <c r="M449" s="163">
        <v>4</v>
      </c>
      <c r="N449" s="163">
        <v>6</v>
      </c>
      <c r="O449" s="163">
        <v>0</v>
      </c>
      <c r="P449" s="163">
        <v>57</v>
      </c>
      <c r="Q449" s="163">
        <v>1430.13</v>
      </c>
      <c r="R449" s="163">
        <v>238.35499999999999</v>
      </c>
      <c r="S449" s="163">
        <v>25.09</v>
      </c>
      <c r="T449" s="163">
        <v>9.5</v>
      </c>
      <c r="U449" s="161">
        <f t="shared" si="13"/>
        <v>9.2103840778636175E-6</v>
      </c>
      <c r="V449" s="161">
        <f t="shared" si="12"/>
        <v>5.8158488001750879E-6</v>
      </c>
    </row>
    <row r="450" spans="2:22">
      <c r="B450" s="163">
        <v>2018</v>
      </c>
      <c r="C450" s="163">
        <v>20032100069</v>
      </c>
      <c r="D450" s="163" t="s">
        <v>635</v>
      </c>
      <c r="E450" s="163" t="s">
        <v>389</v>
      </c>
      <c r="F450" s="163" t="s">
        <v>100</v>
      </c>
      <c r="G450" s="163"/>
      <c r="H450" s="163">
        <v>20</v>
      </c>
      <c r="I450" s="163">
        <v>3</v>
      </c>
      <c r="J450" s="163">
        <v>21</v>
      </c>
      <c r="K450" s="163">
        <v>0</v>
      </c>
      <c r="L450" s="163">
        <v>1</v>
      </c>
      <c r="M450" s="163">
        <v>4</v>
      </c>
      <c r="N450" s="163">
        <v>5</v>
      </c>
      <c r="O450" s="163">
        <v>0</v>
      </c>
      <c r="P450" s="163">
        <v>38</v>
      </c>
      <c r="Q450" s="163">
        <v>1106.18</v>
      </c>
      <c r="R450" s="163">
        <v>221.23599999999999</v>
      </c>
      <c r="S450" s="163">
        <v>29.11</v>
      </c>
      <c r="T450" s="163">
        <v>7.6</v>
      </c>
      <c r="U450" s="161">
        <f t="shared" si="13"/>
        <v>6.1402560519090784E-6</v>
      </c>
      <c r="V450" s="161">
        <f t="shared" si="12"/>
        <v>3.8772325334500583E-6</v>
      </c>
    </row>
    <row r="451" spans="2:22">
      <c r="B451" s="163">
        <v>2018</v>
      </c>
      <c r="C451" s="163">
        <v>20032100073</v>
      </c>
      <c r="D451" s="163" t="s">
        <v>636</v>
      </c>
      <c r="E451" s="163" t="s">
        <v>389</v>
      </c>
      <c r="F451" s="163" t="s">
        <v>100</v>
      </c>
      <c r="G451" s="163"/>
      <c r="H451" s="163">
        <v>20</v>
      </c>
      <c r="I451" s="163">
        <v>3</v>
      </c>
      <c r="J451" s="163">
        <v>21</v>
      </c>
      <c r="K451" s="163">
        <v>0</v>
      </c>
      <c r="L451" s="163">
        <v>1</v>
      </c>
      <c r="M451" s="163">
        <v>4</v>
      </c>
      <c r="N451" s="163">
        <v>134</v>
      </c>
      <c r="O451" s="163">
        <v>0</v>
      </c>
      <c r="P451" s="163">
        <v>535</v>
      </c>
      <c r="Q451" s="163">
        <v>15338.45</v>
      </c>
      <c r="R451" s="163">
        <v>114.46604478</v>
      </c>
      <c r="S451" s="163">
        <v>28.67</v>
      </c>
      <c r="T451" s="163">
        <v>3.9925373134000002</v>
      </c>
      <c r="U451" s="161">
        <f t="shared" si="13"/>
        <v>8.6448341783456757E-5</v>
      </c>
      <c r="V451" s="161">
        <f t="shared" si="12"/>
        <v>5.4587352773573189E-5</v>
      </c>
    </row>
    <row r="452" spans="2:22">
      <c r="B452" s="163">
        <v>2018</v>
      </c>
      <c r="C452" s="163">
        <v>20032100074</v>
      </c>
      <c r="D452" s="163" t="s">
        <v>637</v>
      </c>
      <c r="E452" s="163" t="s">
        <v>389</v>
      </c>
      <c r="F452" s="163" t="s">
        <v>100</v>
      </c>
      <c r="G452" s="163"/>
      <c r="H452" s="163">
        <v>20</v>
      </c>
      <c r="I452" s="163">
        <v>3</v>
      </c>
      <c r="J452" s="163">
        <v>21</v>
      </c>
      <c r="K452" s="163">
        <v>0</v>
      </c>
      <c r="L452" s="163">
        <v>1</v>
      </c>
      <c r="M452" s="163">
        <v>4</v>
      </c>
      <c r="N452" s="163">
        <v>91</v>
      </c>
      <c r="O452" s="163">
        <v>0</v>
      </c>
      <c r="P452" s="163">
        <v>378</v>
      </c>
      <c r="Q452" s="163">
        <v>12644.1</v>
      </c>
      <c r="R452" s="163">
        <v>138.94615385</v>
      </c>
      <c r="S452" s="163">
        <v>33.450000000000003</v>
      </c>
      <c r="T452" s="163">
        <v>4.1538461538</v>
      </c>
      <c r="U452" s="161">
        <f t="shared" si="13"/>
        <v>6.1079389147937672E-5</v>
      </c>
      <c r="V452" s="161">
        <f t="shared" si="12"/>
        <v>3.8568260464319005E-5</v>
      </c>
    </row>
    <row r="453" spans="2:22">
      <c r="B453" s="163">
        <v>2018</v>
      </c>
      <c r="C453" s="163">
        <v>20032100075</v>
      </c>
      <c r="D453" s="163" t="s">
        <v>638</v>
      </c>
      <c r="E453" s="163" t="s">
        <v>389</v>
      </c>
      <c r="F453" s="163" t="s">
        <v>100</v>
      </c>
      <c r="G453" s="163"/>
      <c r="H453" s="163">
        <v>20</v>
      </c>
      <c r="I453" s="163">
        <v>3</v>
      </c>
      <c r="J453" s="163">
        <v>21</v>
      </c>
      <c r="K453" s="163">
        <v>0</v>
      </c>
      <c r="L453" s="163">
        <v>1</v>
      </c>
      <c r="M453" s="163">
        <v>4</v>
      </c>
      <c r="N453" s="163">
        <v>18</v>
      </c>
      <c r="O453" s="163">
        <v>0</v>
      </c>
      <c r="P453" s="163">
        <v>93</v>
      </c>
      <c r="Q453" s="163">
        <v>3377.76</v>
      </c>
      <c r="R453" s="163">
        <v>187.65333333000001</v>
      </c>
      <c r="S453" s="163">
        <v>36.32</v>
      </c>
      <c r="T453" s="163">
        <v>5.1666666667000003</v>
      </c>
      <c r="U453" s="161">
        <f t="shared" si="13"/>
        <v>1.5027468758619586E-5</v>
      </c>
      <c r="V453" s="161">
        <f t="shared" si="12"/>
        <v>9.4890164634435643E-6</v>
      </c>
    </row>
    <row r="454" spans="2:22">
      <c r="B454" s="163">
        <v>2018</v>
      </c>
      <c r="C454" s="163">
        <v>20032100083</v>
      </c>
      <c r="D454" s="163" t="s">
        <v>639</v>
      </c>
      <c r="E454" s="163" t="s">
        <v>389</v>
      </c>
      <c r="F454" s="163" t="s">
        <v>100</v>
      </c>
      <c r="G454" s="163"/>
      <c r="H454" s="163">
        <v>20</v>
      </c>
      <c r="I454" s="163">
        <v>3</v>
      </c>
      <c r="J454" s="163">
        <v>21</v>
      </c>
      <c r="K454" s="163">
        <v>0</v>
      </c>
      <c r="L454" s="163">
        <v>1</v>
      </c>
      <c r="M454" s="163">
        <v>4</v>
      </c>
      <c r="N454" s="163">
        <v>909</v>
      </c>
      <c r="O454" s="163">
        <v>0</v>
      </c>
      <c r="P454" s="163">
        <v>5142</v>
      </c>
      <c r="Q454" s="163">
        <v>120313.34</v>
      </c>
      <c r="R454" s="163">
        <v>132.35790979000001</v>
      </c>
      <c r="S454" s="163">
        <v>23.398160249</v>
      </c>
      <c r="T454" s="163">
        <v>5.6567656766000001</v>
      </c>
      <c r="U454" s="161">
        <f t="shared" si="13"/>
        <v>8.3087359523464422E-4</v>
      </c>
      <c r="V454" s="161">
        <f t="shared" ref="V454:V517" si="14">P454/SUM($P$197:$P$772)</f>
        <v>5.2465078123684734E-4</v>
      </c>
    </row>
    <row r="455" spans="2:22">
      <c r="B455" s="163">
        <v>2018</v>
      </c>
      <c r="C455" s="163">
        <v>20032100084</v>
      </c>
      <c r="D455" s="163" t="s">
        <v>640</v>
      </c>
      <c r="E455" s="163" t="s">
        <v>389</v>
      </c>
      <c r="F455" s="163" t="s">
        <v>100</v>
      </c>
      <c r="G455" s="163"/>
      <c r="H455" s="163">
        <v>20</v>
      </c>
      <c r="I455" s="163">
        <v>3</v>
      </c>
      <c r="J455" s="163">
        <v>21</v>
      </c>
      <c r="K455" s="163">
        <v>0</v>
      </c>
      <c r="L455" s="163">
        <v>1</v>
      </c>
      <c r="M455" s="163">
        <v>4</v>
      </c>
      <c r="N455" s="163">
        <v>504</v>
      </c>
      <c r="O455" s="163">
        <v>0</v>
      </c>
      <c r="P455" s="163">
        <v>2950</v>
      </c>
      <c r="Q455" s="163">
        <v>80166</v>
      </c>
      <c r="R455" s="163">
        <v>159.05952381</v>
      </c>
      <c r="S455" s="163">
        <v>27.174915253999998</v>
      </c>
      <c r="T455" s="163">
        <v>5.8531746032000003</v>
      </c>
      <c r="U455" s="161">
        <f t="shared" si="13"/>
        <v>4.7667777245083632E-4</v>
      </c>
      <c r="V455" s="161">
        <f t="shared" si="14"/>
        <v>3.0099568351783351E-4</v>
      </c>
    </row>
    <row r="456" spans="2:22">
      <c r="B456" s="163">
        <v>2018</v>
      </c>
      <c r="C456" s="163">
        <v>20032100085</v>
      </c>
      <c r="D456" s="163" t="s">
        <v>641</v>
      </c>
      <c r="E456" s="163" t="s">
        <v>389</v>
      </c>
      <c r="F456" s="163" t="s">
        <v>100</v>
      </c>
      <c r="G456" s="163"/>
      <c r="H456" s="163">
        <v>20</v>
      </c>
      <c r="I456" s="163">
        <v>3</v>
      </c>
      <c r="J456" s="163">
        <v>21</v>
      </c>
      <c r="K456" s="163">
        <v>0</v>
      </c>
      <c r="L456" s="163">
        <v>1</v>
      </c>
      <c r="M456" s="163">
        <v>4</v>
      </c>
      <c r="N456" s="163">
        <v>190</v>
      </c>
      <c r="O456" s="163">
        <v>0</v>
      </c>
      <c r="P456" s="163">
        <v>1257</v>
      </c>
      <c r="Q456" s="163">
        <v>40564.080000000002</v>
      </c>
      <c r="R456" s="163">
        <v>213.49515789</v>
      </c>
      <c r="S456" s="163">
        <v>32.270548925999996</v>
      </c>
      <c r="T456" s="163">
        <v>6.6157894736999996</v>
      </c>
      <c r="U456" s="161">
        <f t="shared" si="13"/>
        <v>2.0311320676972926E-4</v>
      </c>
      <c r="V456" s="161">
        <f t="shared" si="14"/>
        <v>1.2825477090912431E-4</v>
      </c>
    </row>
    <row r="457" spans="2:22">
      <c r="B457" s="163">
        <v>2018</v>
      </c>
      <c r="C457" s="163">
        <v>20032100093</v>
      </c>
      <c r="D457" s="163" t="s">
        <v>642</v>
      </c>
      <c r="E457" s="163" t="s">
        <v>389</v>
      </c>
      <c r="F457" s="163" t="s">
        <v>100</v>
      </c>
      <c r="G457" s="163"/>
      <c r="H457" s="163">
        <v>20</v>
      </c>
      <c r="I457" s="163">
        <v>3</v>
      </c>
      <c r="J457" s="163">
        <v>21</v>
      </c>
      <c r="K457" s="163">
        <v>0</v>
      </c>
      <c r="L457" s="163">
        <v>1</v>
      </c>
      <c r="M457" s="163">
        <v>4</v>
      </c>
      <c r="N457" s="163">
        <v>10</v>
      </c>
      <c r="O457" s="163">
        <v>0</v>
      </c>
      <c r="P457" s="163">
        <v>70</v>
      </c>
      <c r="Q457" s="163">
        <v>1050</v>
      </c>
      <c r="R457" s="163">
        <v>105</v>
      </c>
      <c r="S457" s="163">
        <v>15</v>
      </c>
      <c r="T457" s="163">
        <v>7</v>
      </c>
      <c r="U457" s="161">
        <f t="shared" si="13"/>
        <v>1.1310997990358829E-5</v>
      </c>
      <c r="V457" s="161">
        <f t="shared" si="14"/>
        <v>7.1422704563553707E-6</v>
      </c>
    </row>
    <row r="458" spans="2:22">
      <c r="B458" s="163">
        <v>2018</v>
      </c>
      <c r="C458" s="163">
        <v>20032100094</v>
      </c>
      <c r="D458" s="163" t="s">
        <v>643</v>
      </c>
      <c r="E458" s="163" t="s">
        <v>389</v>
      </c>
      <c r="F458" s="163" t="s">
        <v>100</v>
      </c>
      <c r="G458" s="163"/>
      <c r="H458" s="163">
        <v>20</v>
      </c>
      <c r="I458" s="163">
        <v>3</v>
      </c>
      <c r="J458" s="163">
        <v>21</v>
      </c>
      <c r="K458" s="163">
        <v>0</v>
      </c>
      <c r="L458" s="163">
        <v>1</v>
      </c>
      <c r="M458" s="163">
        <v>4</v>
      </c>
      <c r="N458" s="163">
        <v>26</v>
      </c>
      <c r="O458" s="163">
        <v>0</v>
      </c>
      <c r="P458" s="163">
        <v>151</v>
      </c>
      <c r="Q458" s="163">
        <v>2642.5</v>
      </c>
      <c r="R458" s="163">
        <v>101.63461538</v>
      </c>
      <c r="S458" s="163">
        <v>17.5</v>
      </c>
      <c r="T458" s="163">
        <v>5.8076923077</v>
      </c>
      <c r="U458" s="161">
        <f t="shared" si="13"/>
        <v>2.4399438522059758E-5</v>
      </c>
      <c r="V458" s="161">
        <f t="shared" si="14"/>
        <v>1.5406897698709443E-5</v>
      </c>
    </row>
    <row r="459" spans="2:22">
      <c r="B459" s="163">
        <v>2018</v>
      </c>
      <c r="C459" s="163">
        <v>20032500025</v>
      </c>
      <c r="D459" s="163" t="s">
        <v>644</v>
      </c>
      <c r="E459" s="163" t="s">
        <v>389</v>
      </c>
      <c r="F459" s="163" t="s">
        <v>100</v>
      </c>
      <c r="G459" s="163"/>
      <c r="H459" s="163">
        <v>20</v>
      </c>
      <c r="I459" s="163">
        <v>3</v>
      </c>
      <c r="J459" s="163">
        <v>25</v>
      </c>
      <c r="K459" s="163">
        <v>0</v>
      </c>
      <c r="L459" s="163">
        <v>1</v>
      </c>
      <c r="M459" s="163">
        <v>4</v>
      </c>
      <c r="N459" s="163">
        <v>135</v>
      </c>
      <c r="O459" s="163">
        <v>0</v>
      </c>
      <c r="P459" s="163">
        <v>985</v>
      </c>
      <c r="Q459" s="163">
        <v>7732.25</v>
      </c>
      <c r="R459" s="163">
        <v>57.275925925999999</v>
      </c>
      <c r="S459" s="163">
        <v>7.85</v>
      </c>
      <c r="T459" s="163">
        <v>7.2962962963000004</v>
      </c>
      <c r="U459" s="161">
        <f t="shared" si="13"/>
        <v>1.5916190029290636E-4</v>
      </c>
      <c r="V459" s="161">
        <f t="shared" si="14"/>
        <v>1.0050194856442914E-4</v>
      </c>
    </row>
    <row r="460" spans="2:22">
      <c r="B460" s="163">
        <v>2018</v>
      </c>
      <c r="C460" s="163">
        <v>20060000300</v>
      </c>
      <c r="D460" s="163" t="s">
        <v>645</v>
      </c>
      <c r="E460" s="163" t="s">
        <v>211</v>
      </c>
      <c r="F460" s="163" t="s">
        <v>100</v>
      </c>
      <c r="G460" s="163"/>
      <c r="H460" s="163">
        <v>20</v>
      </c>
      <c r="I460" s="163">
        <v>6</v>
      </c>
      <c r="J460" s="163">
        <v>0</v>
      </c>
      <c r="K460" s="163">
        <v>0</v>
      </c>
      <c r="L460" s="163">
        <v>1</v>
      </c>
      <c r="M460" s="163">
        <v>4</v>
      </c>
      <c r="N460" s="163">
        <v>16</v>
      </c>
      <c r="O460" s="163">
        <v>0</v>
      </c>
      <c r="P460" s="163">
        <v>34</v>
      </c>
      <c r="Q460" s="163">
        <v>172.07</v>
      </c>
      <c r="R460" s="163">
        <v>10.754375</v>
      </c>
      <c r="S460" s="163">
        <v>5.0608823529000002</v>
      </c>
      <c r="T460" s="163">
        <v>2.125</v>
      </c>
      <c r="U460" s="161">
        <f t="shared" si="13"/>
        <v>5.4939133096028595E-6</v>
      </c>
      <c r="V460" s="161">
        <f t="shared" si="14"/>
        <v>3.4691027930868944E-6</v>
      </c>
    </row>
    <row r="461" spans="2:22">
      <c r="V461">
        <f t="shared" si="14"/>
        <v>0</v>
      </c>
    </row>
    <row r="462" spans="2:22">
      <c r="B462" s="9" t="s">
        <v>210</v>
      </c>
      <c r="V462">
        <f t="shared" si="14"/>
        <v>0</v>
      </c>
    </row>
    <row r="463" spans="2:22">
      <c r="B463" s="141" t="s">
        <v>3</v>
      </c>
      <c r="C463" s="141" t="s">
        <v>220</v>
      </c>
      <c r="D463" s="141" t="s">
        <v>221</v>
      </c>
      <c r="E463" s="141" t="s">
        <v>222</v>
      </c>
      <c r="F463" s="141" t="s">
        <v>223</v>
      </c>
      <c r="G463" s="141" t="s">
        <v>224</v>
      </c>
      <c r="H463" s="141" t="s">
        <v>225</v>
      </c>
      <c r="I463" s="141" t="s">
        <v>226</v>
      </c>
      <c r="J463" s="141" t="s">
        <v>227</v>
      </c>
      <c r="K463" s="141" t="s">
        <v>228</v>
      </c>
      <c r="L463" s="141" t="s">
        <v>229</v>
      </c>
      <c r="M463" s="141" t="s">
        <v>230</v>
      </c>
      <c r="N463" s="141" t="s">
        <v>231</v>
      </c>
      <c r="O463" s="141" t="s">
        <v>232</v>
      </c>
      <c r="P463" s="141" t="s">
        <v>233</v>
      </c>
      <c r="Q463" s="141" t="s">
        <v>234</v>
      </c>
      <c r="R463" s="141" t="s">
        <v>235</v>
      </c>
      <c r="S463" s="141" t="s">
        <v>236</v>
      </c>
      <c r="T463" s="141" t="s">
        <v>237</v>
      </c>
      <c r="U463" s="141"/>
      <c r="V463" s="141"/>
    </row>
    <row r="464" spans="2:22">
      <c r="B464" s="163">
        <v>2018</v>
      </c>
      <c r="C464" s="163">
        <v>20030100135</v>
      </c>
      <c r="D464" s="163" t="s">
        <v>646</v>
      </c>
      <c r="E464" s="163" t="s">
        <v>389</v>
      </c>
      <c r="F464" s="163" t="s">
        <v>100</v>
      </c>
      <c r="G464" s="163"/>
      <c r="H464" s="163">
        <v>20</v>
      </c>
      <c r="I464" s="163">
        <v>3</v>
      </c>
      <c r="J464" s="163">
        <v>1</v>
      </c>
      <c r="K464" s="163">
        <v>0</v>
      </c>
      <c r="L464" s="163">
        <v>1</v>
      </c>
      <c r="M464" s="163">
        <v>4</v>
      </c>
      <c r="N464" s="163">
        <v>162</v>
      </c>
      <c r="O464" s="163">
        <v>0</v>
      </c>
      <c r="P464" s="163">
        <v>3061</v>
      </c>
      <c r="Q464" s="163">
        <v>4836.38</v>
      </c>
      <c r="R464" s="163">
        <v>29.854197531000001</v>
      </c>
      <c r="S464" s="163">
        <v>1.58</v>
      </c>
      <c r="T464" s="163">
        <v>18.895061728000002</v>
      </c>
      <c r="U464" s="140">
        <f t="shared" ref="U464:U487" si="15">P464/SUM($P$464:$P$487)</f>
        <v>2.669538826484337E-2</v>
      </c>
      <c r="V464" s="161">
        <f t="shared" si="14"/>
        <v>3.1232128381291128E-4</v>
      </c>
    </row>
    <row r="465" spans="2:23">
      <c r="B465" s="163">
        <v>2018</v>
      </c>
      <c r="C465" s="163">
        <v>20030100136</v>
      </c>
      <c r="D465" s="163" t="s">
        <v>647</v>
      </c>
      <c r="E465" s="163" t="s">
        <v>389</v>
      </c>
      <c r="F465" s="163" t="s">
        <v>100</v>
      </c>
      <c r="G465" s="163"/>
      <c r="H465" s="163">
        <v>20</v>
      </c>
      <c r="I465" s="163">
        <v>3</v>
      </c>
      <c r="J465" s="163">
        <v>1</v>
      </c>
      <c r="K465" s="163">
        <v>0</v>
      </c>
      <c r="L465" s="163">
        <v>1</v>
      </c>
      <c r="M465" s="163">
        <v>4</v>
      </c>
      <c r="N465" s="163">
        <v>391</v>
      </c>
      <c r="O465" s="163">
        <v>0</v>
      </c>
      <c r="P465" s="163">
        <v>7414</v>
      </c>
      <c r="Q465" s="163">
        <v>12307.24</v>
      </c>
      <c r="R465" s="163">
        <v>31.476317135999999</v>
      </c>
      <c r="S465" s="163">
        <v>1.66</v>
      </c>
      <c r="T465" s="163">
        <v>18.961636829</v>
      </c>
      <c r="U465" s="140">
        <f t="shared" si="15"/>
        <v>6.465848042977744E-2</v>
      </c>
      <c r="V465" s="161">
        <f t="shared" si="14"/>
        <v>7.5646847376312459E-4</v>
      </c>
      <c r="W465" s="2">
        <f>SUMPRODUCT(S464:S487,U464:U487)</f>
        <v>3.8296759226955519</v>
      </c>
    </row>
    <row r="466" spans="2:23">
      <c r="B466" s="163">
        <v>2018</v>
      </c>
      <c r="C466" s="163">
        <v>20030100137</v>
      </c>
      <c r="D466" s="163" t="s">
        <v>648</v>
      </c>
      <c r="E466" s="163" t="s">
        <v>389</v>
      </c>
      <c r="F466" s="163" t="s">
        <v>100</v>
      </c>
      <c r="G466" s="163"/>
      <c r="H466" s="163">
        <v>20</v>
      </c>
      <c r="I466" s="163">
        <v>3</v>
      </c>
      <c r="J466" s="163">
        <v>1</v>
      </c>
      <c r="K466" s="163">
        <v>0</v>
      </c>
      <c r="L466" s="163">
        <v>1</v>
      </c>
      <c r="M466" s="163">
        <v>4</v>
      </c>
      <c r="N466" s="163">
        <v>466</v>
      </c>
      <c r="O466" s="163">
        <v>0</v>
      </c>
      <c r="P466" s="163">
        <v>9417</v>
      </c>
      <c r="Q466" s="163">
        <v>21659.1</v>
      </c>
      <c r="R466" s="163">
        <v>46.478755364999998</v>
      </c>
      <c r="S466" s="163">
        <v>2.2999999999999998</v>
      </c>
      <c r="T466" s="163">
        <v>20.208154506</v>
      </c>
      <c r="U466" s="140">
        <f t="shared" si="15"/>
        <v>8.212690992813787E-2</v>
      </c>
      <c r="V466" s="161">
        <f t="shared" si="14"/>
        <v>9.6083944124997895E-4</v>
      </c>
    </row>
    <row r="467" spans="2:23">
      <c r="B467" s="163">
        <v>2018</v>
      </c>
      <c r="C467" s="163">
        <v>20030100138</v>
      </c>
      <c r="D467" s="163" t="s">
        <v>649</v>
      </c>
      <c r="E467" s="163" t="s">
        <v>389</v>
      </c>
      <c r="F467" s="163" t="s">
        <v>100</v>
      </c>
      <c r="G467" s="163"/>
      <c r="H467" s="163">
        <v>20</v>
      </c>
      <c r="I467" s="163">
        <v>3</v>
      </c>
      <c r="J467" s="163">
        <v>1</v>
      </c>
      <c r="K467" s="163">
        <v>0</v>
      </c>
      <c r="L467" s="163">
        <v>1</v>
      </c>
      <c r="M467" s="163">
        <v>4</v>
      </c>
      <c r="N467" s="163">
        <v>113</v>
      </c>
      <c r="O467" s="163">
        <v>0</v>
      </c>
      <c r="P467" s="163">
        <v>2132</v>
      </c>
      <c r="Q467" s="163">
        <v>6246.76</v>
      </c>
      <c r="R467" s="163">
        <v>55.281061946999998</v>
      </c>
      <c r="S467" s="163">
        <v>2.93</v>
      </c>
      <c r="T467" s="163">
        <v>18.867256637000001</v>
      </c>
      <c r="U467" s="140">
        <f t="shared" si="15"/>
        <v>1.8593455661759576E-2</v>
      </c>
      <c r="V467" s="161">
        <f t="shared" si="14"/>
        <v>2.1753315161356643E-4</v>
      </c>
    </row>
    <row r="468" spans="2:23">
      <c r="B468" s="163">
        <v>2018</v>
      </c>
      <c r="C468" s="163">
        <v>20030100353</v>
      </c>
      <c r="D468" s="163" t="s">
        <v>650</v>
      </c>
      <c r="E468" s="163" t="s">
        <v>389</v>
      </c>
      <c r="F468" s="163" t="s">
        <v>100</v>
      </c>
      <c r="G468" s="163"/>
      <c r="H468" s="163">
        <v>20</v>
      </c>
      <c r="I468" s="163">
        <v>3</v>
      </c>
      <c r="J468" s="163">
        <v>1</v>
      </c>
      <c r="K468" s="163">
        <v>0</v>
      </c>
      <c r="L468" s="163">
        <v>1</v>
      </c>
      <c r="M468" s="163">
        <v>4</v>
      </c>
      <c r="N468" s="163">
        <v>60</v>
      </c>
      <c r="O468" s="163">
        <v>0</v>
      </c>
      <c r="P468" s="163">
        <v>878</v>
      </c>
      <c r="Q468" s="163">
        <v>3318.95</v>
      </c>
      <c r="R468" s="163">
        <v>55.315833333</v>
      </c>
      <c r="S468" s="163">
        <v>3.7801252847</v>
      </c>
      <c r="T468" s="163">
        <v>14.633333332999999</v>
      </c>
      <c r="U468" s="140">
        <f t="shared" si="15"/>
        <v>7.6571548175538963E-3</v>
      </c>
      <c r="V468" s="161">
        <f t="shared" si="14"/>
        <v>8.9584478009714508E-5</v>
      </c>
    </row>
    <row r="469" spans="2:23">
      <c r="B469" s="163">
        <v>2018</v>
      </c>
      <c r="C469" s="163">
        <v>20030100354</v>
      </c>
      <c r="D469" s="163" t="s">
        <v>651</v>
      </c>
      <c r="E469" s="163" t="s">
        <v>389</v>
      </c>
      <c r="F469" s="163" t="s">
        <v>100</v>
      </c>
      <c r="G469" s="163"/>
      <c r="H469" s="163">
        <v>20</v>
      </c>
      <c r="I469" s="163">
        <v>3</v>
      </c>
      <c r="J469" s="163">
        <v>1</v>
      </c>
      <c r="K469" s="163">
        <v>0</v>
      </c>
      <c r="L469" s="163">
        <v>1</v>
      </c>
      <c r="M469" s="163">
        <v>4</v>
      </c>
      <c r="N469" s="163">
        <v>41</v>
      </c>
      <c r="O469" s="163">
        <v>0</v>
      </c>
      <c r="P469" s="163">
        <v>553</v>
      </c>
      <c r="Q469" s="163">
        <v>3464.29</v>
      </c>
      <c r="R469" s="163">
        <v>84.494878048999993</v>
      </c>
      <c r="S469" s="163">
        <v>6.2645388787999998</v>
      </c>
      <c r="T469" s="163">
        <v>13.487804878</v>
      </c>
      <c r="U469" s="140">
        <f t="shared" si="15"/>
        <v>4.8227865764320097E-3</v>
      </c>
      <c r="V469" s="161">
        <f t="shared" si="14"/>
        <v>5.6423936605207432E-5</v>
      </c>
    </row>
    <row r="470" spans="2:23">
      <c r="B470" s="163">
        <v>2018</v>
      </c>
      <c r="C470" s="163">
        <v>20030100355</v>
      </c>
      <c r="D470" s="163" t="s">
        <v>652</v>
      </c>
      <c r="E470" s="163" t="s">
        <v>389</v>
      </c>
      <c r="F470" s="163" t="s">
        <v>100</v>
      </c>
      <c r="G470" s="163"/>
      <c r="H470" s="163">
        <v>20</v>
      </c>
      <c r="I470" s="163">
        <v>3</v>
      </c>
      <c r="J470" s="163">
        <v>1</v>
      </c>
      <c r="K470" s="163">
        <v>0</v>
      </c>
      <c r="L470" s="163">
        <v>1</v>
      </c>
      <c r="M470" s="163">
        <v>4</v>
      </c>
      <c r="N470" s="163">
        <v>741</v>
      </c>
      <c r="O470" s="163">
        <v>0</v>
      </c>
      <c r="P470" s="163">
        <v>12654</v>
      </c>
      <c r="Q470" s="163">
        <v>38007.620000000003</v>
      </c>
      <c r="R470" s="163">
        <v>51.292334683</v>
      </c>
      <c r="S470" s="163">
        <v>3.0036051841</v>
      </c>
      <c r="T470" s="163">
        <v>17.076923077</v>
      </c>
      <c r="U470" s="140">
        <f t="shared" si="15"/>
        <v>0.11035721760971186</v>
      </c>
      <c r="V470" s="161">
        <f t="shared" si="14"/>
        <v>1.2911184336388696E-3</v>
      </c>
    </row>
    <row r="471" spans="2:23">
      <c r="B471" s="163">
        <v>2018</v>
      </c>
      <c r="C471" s="163">
        <v>20030100356</v>
      </c>
      <c r="D471" s="163" t="s">
        <v>653</v>
      </c>
      <c r="E471" s="163" t="s">
        <v>389</v>
      </c>
      <c r="F471" s="163" t="s">
        <v>100</v>
      </c>
      <c r="G471" s="163"/>
      <c r="H471" s="163">
        <v>20</v>
      </c>
      <c r="I471" s="163">
        <v>3</v>
      </c>
      <c r="J471" s="163">
        <v>1</v>
      </c>
      <c r="K471" s="163">
        <v>0</v>
      </c>
      <c r="L471" s="163">
        <v>1</v>
      </c>
      <c r="M471" s="163">
        <v>4</v>
      </c>
      <c r="N471" s="163">
        <v>355</v>
      </c>
      <c r="O471" s="163">
        <v>0</v>
      </c>
      <c r="P471" s="163">
        <v>5560</v>
      </c>
      <c r="Q471" s="163">
        <v>20964.63</v>
      </c>
      <c r="R471" s="163">
        <v>59.055295774999998</v>
      </c>
      <c r="S471" s="163">
        <v>3.7706169064999999</v>
      </c>
      <c r="T471" s="163">
        <v>15.661971831000001</v>
      </c>
      <c r="U471" s="140">
        <f t="shared" si="15"/>
        <v>4.8489499755808275E-2</v>
      </c>
      <c r="V471" s="161">
        <f t="shared" si="14"/>
        <v>5.6730033910479803E-4</v>
      </c>
    </row>
    <row r="472" spans="2:23">
      <c r="B472" s="163">
        <v>2018</v>
      </c>
      <c r="C472" s="163">
        <v>20030100357</v>
      </c>
      <c r="D472" s="163" t="s">
        <v>654</v>
      </c>
      <c r="E472" s="163" t="s">
        <v>389</v>
      </c>
      <c r="F472" s="163" t="s">
        <v>100</v>
      </c>
      <c r="G472" s="163"/>
      <c r="H472" s="163">
        <v>20</v>
      </c>
      <c r="I472" s="163">
        <v>3</v>
      </c>
      <c r="J472" s="163">
        <v>1</v>
      </c>
      <c r="K472" s="163">
        <v>0</v>
      </c>
      <c r="L472" s="163">
        <v>1</v>
      </c>
      <c r="M472" s="163">
        <v>4</v>
      </c>
      <c r="N472" s="163">
        <v>809</v>
      </c>
      <c r="O472" s="163">
        <v>0</v>
      </c>
      <c r="P472" s="163">
        <v>12134</v>
      </c>
      <c r="Q472" s="163">
        <v>60891.62</v>
      </c>
      <c r="R472" s="163">
        <v>75.267762669999996</v>
      </c>
      <c r="S472" s="163">
        <v>5.0182643810999998</v>
      </c>
      <c r="T472" s="163">
        <v>14.998763906000001</v>
      </c>
      <c r="U472" s="140">
        <f t="shared" si="15"/>
        <v>0.10582222842391684</v>
      </c>
      <c r="V472" s="161">
        <f t="shared" si="14"/>
        <v>1.2380615673916581E-3</v>
      </c>
    </row>
    <row r="473" spans="2:23">
      <c r="B473" s="163">
        <v>2018</v>
      </c>
      <c r="C473" s="163">
        <v>20030100358</v>
      </c>
      <c r="D473" s="163" t="s">
        <v>655</v>
      </c>
      <c r="E473" s="163" t="s">
        <v>389</v>
      </c>
      <c r="F473" s="163" t="s">
        <v>100</v>
      </c>
      <c r="G473" s="163"/>
      <c r="H473" s="163">
        <v>20</v>
      </c>
      <c r="I473" s="163">
        <v>3</v>
      </c>
      <c r="J473" s="163">
        <v>1</v>
      </c>
      <c r="K473" s="163">
        <v>0</v>
      </c>
      <c r="L473" s="163">
        <v>1</v>
      </c>
      <c r="M473" s="163">
        <v>4</v>
      </c>
      <c r="N473" s="163">
        <v>668</v>
      </c>
      <c r="O473" s="163">
        <v>0</v>
      </c>
      <c r="P473" s="163">
        <v>11783</v>
      </c>
      <c r="Q473" s="163">
        <v>118314.52</v>
      </c>
      <c r="R473" s="163">
        <v>177.11754490999999</v>
      </c>
      <c r="S473" s="163">
        <v>10.041120257999999</v>
      </c>
      <c r="T473" s="163">
        <v>17.639221556999999</v>
      </c>
      <c r="U473" s="140">
        <f t="shared" si="15"/>
        <v>0.1027611107235052</v>
      </c>
      <c r="V473" s="161">
        <f t="shared" si="14"/>
        <v>1.2022481826747904E-3</v>
      </c>
    </row>
    <row r="474" spans="2:23">
      <c r="B474" s="163">
        <v>2018</v>
      </c>
      <c r="C474" s="163">
        <v>20030100658</v>
      </c>
      <c r="D474" s="163" t="s">
        <v>656</v>
      </c>
      <c r="E474" s="163" t="s">
        <v>389</v>
      </c>
      <c r="F474" s="163" t="s">
        <v>100</v>
      </c>
      <c r="G474" s="163"/>
      <c r="H474" s="163">
        <v>20</v>
      </c>
      <c r="I474" s="163">
        <v>3</v>
      </c>
      <c r="J474" s="163">
        <v>1</v>
      </c>
      <c r="K474" s="163">
        <v>0</v>
      </c>
      <c r="L474" s="163">
        <v>1</v>
      </c>
      <c r="M474" s="163">
        <v>4</v>
      </c>
      <c r="N474" s="163">
        <v>108</v>
      </c>
      <c r="O474" s="163">
        <v>0</v>
      </c>
      <c r="P474" s="163">
        <v>2093</v>
      </c>
      <c r="Q474" s="163">
        <v>62.79</v>
      </c>
      <c r="R474" s="163">
        <v>0.58138888889999996</v>
      </c>
      <c r="S474" s="163">
        <v>0.03</v>
      </c>
      <c r="T474" s="163">
        <v>19.37962963</v>
      </c>
      <c r="U474" s="140">
        <f t="shared" si="15"/>
        <v>1.825333147282495E-2</v>
      </c>
      <c r="V474" s="161">
        <f t="shared" si="14"/>
        <v>2.1355388664502558E-4</v>
      </c>
    </row>
    <row r="475" spans="2:23">
      <c r="B475" s="163">
        <v>2018</v>
      </c>
      <c r="C475" s="163">
        <v>20030100659</v>
      </c>
      <c r="D475" s="163" t="s">
        <v>657</v>
      </c>
      <c r="E475" s="163" t="s">
        <v>389</v>
      </c>
      <c r="F475" s="163" t="s">
        <v>100</v>
      </c>
      <c r="G475" s="163"/>
      <c r="H475" s="163">
        <v>20</v>
      </c>
      <c r="I475" s="163">
        <v>3</v>
      </c>
      <c r="J475" s="163">
        <v>1</v>
      </c>
      <c r="K475" s="163">
        <v>0</v>
      </c>
      <c r="L475" s="163">
        <v>1</v>
      </c>
      <c r="M475" s="163">
        <v>4</v>
      </c>
      <c r="N475" s="163">
        <v>183</v>
      </c>
      <c r="O475" s="163">
        <v>0</v>
      </c>
      <c r="P475" s="163">
        <v>4078</v>
      </c>
      <c r="Q475" s="163">
        <v>367.02</v>
      </c>
      <c r="R475" s="163">
        <v>2.0055737704999999</v>
      </c>
      <c r="S475" s="163">
        <v>0.09</v>
      </c>
      <c r="T475" s="163">
        <v>22.284153005</v>
      </c>
      <c r="U475" s="140">
        <f t="shared" si="15"/>
        <v>3.5564780576292469E-2</v>
      </c>
      <c r="V475" s="161">
        <f t="shared" si="14"/>
        <v>4.1608827030024573E-4</v>
      </c>
    </row>
    <row r="476" spans="2:23">
      <c r="B476" s="163">
        <v>2018</v>
      </c>
      <c r="C476" s="163">
        <v>20030100660</v>
      </c>
      <c r="D476" s="163" t="s">
        <v>658</v>
      </c>
      <c r="E476" s="163" t="s">
        <v>389</v>
      </c>
      <c r="F476" s="163" t="s">
        <v>100</v>
      </c>
      <c r="G476" s="163"/>
      <c r="H476" s="163">
        <v>20</v>
      </c>
      <c r="I476" s="163">
        <v>3</v>
      </c>
      <c r="J476" s="163">
        <v>1</v>
      </c>
      <c r="K476" s="163">
        <v>0</v>
      </c>
      <c r="L476" s="163">
        <v>1</v>
      </c>
      <c r="M476" s="163">
        <v>4</v>
      </c>
      <c r="N476" s="163">
        <v>52</v>
      </c>
      <c r="O476" s="163">
        <v>0</v>
      </c>
      <c r="P476" s="163">
        <v>809</v>
      </c>
      <c r="Q476" s="163">
        <v>137.53</v>
      </c>
      <c r="R476" s="163">
        <v>2.6448076923000001</v>
      </c>
      <c r="S476" s="163">
        <v>0.17</v>
      </c>
      <c r="T476" s="163">
        <v>15.557692308</v>
      </c>
      <c r="U476" s="140">
        <f t="shared" si="15"/>
        <v>7.0553966371310964E-3</v>
      </c>
      <c r="V476" s="161">
        <f t="shared" si="14"/>
        <v>8.2544239988449931E-5</v>
      </c>
    </row>
    <row r="477" spans="2:23">
      <c r="B477" s="163">
        <v>2018</v>
      </c>
      <c r="C477" s="163">
        <v>20030100661</v>
      </c>
      <c r="D477" s="163" t="s">
        <v>659</v>
      </c>
      <c r="E477" s="163" t="s">
        <v>389</v>
      </c>
      <c r="F477" s="163" t="s">
        <v>100</v>
      </c>
      <c r="G477" s="163"/>
      <c r="H477" s="163">
        <v>20</v>
      </c>
      <c r="I477" s="163">
        <v>3</v>
      </c>
      <c r="J477" s="163">
        <v>1</v>
      </c>
      <c r="K477" s="163">
        <v>0</v>
      </c>
      <c r="L477" s="163">
        <v>1</v>
      </c>
      <c r="M477" s="163">
        <v>4</v>
      </c>
      <c r="N477" s="163">
        <v>22</v>
      </c>
      <c r="O477" s="163">
        <v>0</v>
      </c>
      <c r="P477" s="163">
        <v>1104</v>
      </c>
      <c r="Q477" s="163">
        <v>419.52</v>
      </c>
      <c r="R477" s="163">
        <v>19.069090909</v>
      </c>
      <c r="S477" s="163">
        <v>0.38</v>
      </c>
      <c r="T477" s="163">
        <v>50.181818182000001</v>
      </c>
      <c r="U477" s="140">
        <f t="shared" si="15"/>
        <v>9.6281308867648078E-3</v>
      </c>
      <c r="V477" s="161">
        <f t="shared" si="14"/>
        <v>1.1264380834023328E-4</v>
      </c>
    </row>
    <row r="478" spans="2:23">
      <c r="B478" s="163">
        <v>2018</v>
      </c>
      <c r="C478" s="163">
        <v>20030600576</v>
      </c>
      <c r="D478" s="163" t="s">
        <v>490</v>
      </c>
      <c r="E478" s="163" t="s">
        <v>389</v>
      </c>
      <c r="F478" s="163" t="s">
        <v>100</v>
      </c>
      <c r="G478" s="163"/>
      <c r="H478" s="163">
        <v>20</v>
      </c>
      <c r="I478" s="163">
        <v>3</v>
      </c>
      <c r="J478" s="163">
        <v>6</v>
      </c>
      <c r="K478" s="163">
        <v>0</v>
      </c>
      <c r="L478" s="163">
        <v>1</v>
      </c>
      <c r="M478" s="163">
        <v>4</v>
      </c>
      <c r="N478" s="163">
        <v>4</v>
      </c>
      <c r="O478" s="163">
        <v>0</v>
      </c>
      <c r="P478" s="163">
        <v>34</v>
      </c>
      <c r="Q478" s="163">
        <v>28.56</v>
      </c>
      <c r="R478" s="163">
        <v>7.14</v>
      </c>
      <c r="S478" s="163">
        <v>0.84</v>
      </c>
      <c r="T478" s="163">
        <v>8.5</v>
      </c>
      <c r="U478" s="140">
        <f t="shared" si="15"/>
        <v>2.9651852368659735E-4</v>
      </c>
      <c r="V478" s="161">
        <f t="shared" si="14"/>
        <v>3.4691027930868944E-6</v>
      </c>
    </row>
    <row r="479" spans="2:23">
      <c r="B479" s="163">
        <v>2018</v>
      </c>
      <c r="C479" s="163">
        <v>20030600578</v>
      </c>
      <c r="D479" s="163" t="s">
        <v>491</v>
      </c>
      <c r="E479" s="163" t="s">
        <v>389</v>
      </c>
      <c r="F479" s="163" t="s">
        <v>100</v>
      </c>
      <c r="G479" s="163"/>
      <c r="H479" s="163">
        <v>20</v>
      </c>
      <c r="I479" s="163">
        <v>3</v>
      </c>
      <c r="J479" s="163">
        <v>6</v>
      </c>
      <c r="K479" s="163">
        <v>0</v>
      </c>
      <c r="L479" s="163">
        <v>1</v>
      </c>
      <c r="M479" s="163">
        <v>4</v>
      </c>
      <c r="N479" s="163">
        <v>1</v>
      </c>
      <c r="O479" s="163">
        <v>0</v>
      </c>
      <c r="P479" s="163">
        <v>1</v>
      </c>
      <c r="Q479" s="163">
        <v>2.73</v>
      </c>
      <c r="R479" s="163">
        <v>2.73</v>
      </c>
      <c r="S479" s="163">
        <v>2.73</v>
      </c>
      <c r="T479" s="163">
        <v>1</v>
      </c>
      <c r="U479" s="140">
        <f t="shared" si="15"/>
        <v>8.7211330496058041E-6</v>
      </c>
      <c r="V479" s="161">
        <f t="shared" si="14"/>
        <v>1.0203243509079101E-7</v>
      </c>
    </row>
    <row r="480" spans="2:23">
      <c r="B480" s="163">
        <v>2018</v>
      </c>
      <c r="C480" s="163">
        <v>20030600579</v>
      </c>
      <c r="D480" s="163" t="s">
        <v>492</v>
      </c>
      <c r="E480" s="163" t="s">
        <v>389</v>
      </c>
      <c r="F480" s="163" t="s">
        <v>100</v>
      </c>
      <c r="G480" s="163"/>
      <c r="H480" s="163">
        <v>20</v>
      </c>
      <c r="I480" s="163">
        <v>3</v>
      </c>
      <c r="J480" s="163">
        <v>6</v>
      </c>
      <c r="K480" s="163">
        <v>0</v>
      </c>
      <c r="L480" s="163">
        <v>1</v>
      </c>
      <c r="M480" s="163">
        <v>4</v>
      </c>
      <c r="N480" s="163">
        <v>1</v>
      </c>
      <c r="O480" s="163">
        <v>0</v>
      </c>
      <c r="P480" s="163">
        <v>30</v>
      </c>
      <c r="Q480" s="163">
        <v>89.4</v>
      </c>
      <c r="R480" s="163">
        <v>89.4</v>
      </c>
      <c r="S480" s="163">
        <v>2.98</v>
      </c>
      <c r="T480" s="163">
        <v>30</v>
      </c>
      <c r="U480" s="140">
        <f t="shared" si="15"/>
        <v>2.6163399148817416E-4</v>
      </c>
      <c r="V480" s="161">
        <f t="shared" si="14"/>
        <v>3.0609730527237304E-6</v>
      </c>
    </row>
    <row r="481" spans="2:23">
      <c r="B481" s="163">
        <v>2018</v>
      </c>
      <c r="C481" s="163">
        <v>20030600580</v>
      </c>
      <c r="D481" s="163" t="s">
        <v>493</v>
      </c>
      <c r="E481" s="163" t="s">
        <v>389</v>
      </c>
      <c r="F481" s="163" t="s">
        <v>100</v>
      </c>
      <c r="G481" s="163"/>
      <c r="H481" s="163">
        <v>20</v>
      </c>
      <c r="I481" s="163">
        <v>3</v>
      </c>
      <c r="J481" s="163">
        <v>6</v>
      </c>
      <c r="K481" s="163">
        <v>0</v>
      </c>
      <c r="L481" s="163">
        <v>1</v>
      </c>
      <c r="M481" s="163">
        <v>4</v>
      </c>
      <c r="N481" s="163">
        <v>8</v>
      </c>
      <c r="O481" s="163">
        <v>0</v>
      </c>
      <c r="P481" s="163">
        <v>287</v>
      </c>
      <c r="Q481" s="163">
        <v>152.29</v>
      </c>
      <c r="R481" s="163">
        <v>19.036249999999999</v>
      </c>
      <c r="S481" s="163">
        <v>0.53062717770000001</v>
      </c>
      <c r="T481" s="163">
        <v>35.875</v>
      </c>
      <c r="U481" s="140">
        <f t="shared" si="15"/>
        <v>2.502965185236866E-3</v>
      </c>
      <c r="V481" s="161">
        <f t="shared" si="14"/>
        <v>2.9283308871057021E-5</v>
      </c>
    </row>
    <row r="482" spans="2:23">
      <c r="B482" s="163">
        <v>2018</v>
      </c>
      <c r="C482" s="163">
        <v>20030600581</v>
      </c>
      <c r="D482" s="163" t="s">
        <v>494</v>
      </c>
      <c r="E482" s="163" t="s">
        <v>389</v>
      </c>
      <c r="F482" s="163" t="s">
        <v>100</v>
      </c>
      <c r="G482" s="163"/>
      <c r="H482" s="163">
        <v>20</v>
      </c>
      <c r="I482" s="163">
        <v>3</v>
      </c>
      <c r="J482" s="163">
        <v>6</v>
      </c>
      <c r="K482" s="163">
        <v>0</v>
      </c>
      <c r="L482" s="163">
        <v>1</v>
      </c>
      <c r="M482" s="163">
        <v>4</v>
      </c>
      <c r="N482" s="163">
        <v>4</v>
      </c>
      <c r="O482" s="163">
        <v>0</v>
      </c>
      <c r="P482" s="163">
        <v>69</v>
      </c>
      <c r="Q482" s="163">
        <v>73.290000000000006</v>
      </c>
      <c r="R482" s="163">
        <v>18.322500000000002</v>
      </c>
      <c r="S482" s="163">
        <v>1.0621739130000001</v>
      </c>
      <c r="T482" s="163">
        <v>17.25</v>
      </c>
      <c r="U482" s="140">
        <f t="shared" si="15"/>
        <v>6.0175818042280049E-4</v>
      </c>
      <c r="V482" s="161">
        <f t="shared" si="14"/>
        <v>7.0402380212645798E-6</v>
      </c>
    </row>
    <row r="483" spans="2:23">
      <c r="B483" s="163">
        <v>2018</v>
      </c>
      <c r="C483" s="163">
        <v>20030600584</v>
      </c>
      <c r="D483" s="163" t="s">
        <v>495</v>
      </c>
      <c r="E483" s="163" t="s">
        <v>389</v>
      </c>
      <c r="F483" s="163" t="s">
        <v>100</v>
      </c>
      <c r="G483" s="163"/>
      <c r="H483" s="163">
        <v>20</v>
      </c>
      <c r="I483" s="163">
        <v>3</v>
      </c>
      <c r="J483" s="163">
        <v>6</v>
      </c>
      <c r="K483" s="163">
        <v>0</v>
      </c>
      <c r="L483" s="163">
        <v>1</v>
      </c>
      <c r="M483" s="163">
        <v>4</v>
      </c>
      <c r="N483" s="163">
        <v>3</v>
      </c>
      <c r="O483" s="163">
        <v>0</v>
      </c>
      <c r="P483" s="163">
        <v>36</v>
      </c>
      <c r="Q483" s="163">
        <v>104.04</v>
      </c>
      <c r="R483" s="163">
        <v>34.68</v>
      </c>
      <c r="S483" s="163">
        <v>2.89</v>
      </c>
      <c r="T483" s="163">
        <v>12</v>
      </c>
      <c r="U483" s="140">
        <f t="shared" si="15"/>
        <v>3.1396078978580897E-4</v>
      </c>
      <c r="V483" s="161">
        <f t="shared" si="14"/>
        <v>3.6731676632684764E-6</v>
      </c>
    </row>
    <row r="484" spans="2:23">
      <c r="B484" s="163">
        <v>2018</v>
      </c>
      <c r="C484" s="163">
        <v>20030800160</v>
      </c>
      <c r="D484" s="163" t="s">
        <v>660</v>
      </c>
      <c r="E484" s="163" t="s">
        <v>389</v>
      </c>
      <c r="F484" s="163" t="s">
        <v>100</v>
      </c>
      <c r="G484" s="163"/>
      <c r="H484" s="163">
        <v>20</v>
      </c>
      <c r="I484" s="163">
        <v>3</v>
      </c>
      <c r="J484" s="163">
        <v>8</v>
      </c>
      <c r="K484" s="163">
        <v>0</v>
      </c>
      <c r="L484" s="163">
        <v>1</v>
      </c>
      <c r="M484" s="163">
        <v>4</v>
      </c>
      <c r="N484" s="163">
        <v>157</v>
      </c>
      <c r="O484" s="163">
        <v>0</v>
      </c>
      <c r="P484" s="163">
        <v>1886</v>
      </c>
      <c r="Q484" s="163">
        <v>7430.84</v>
      </c>
      <c r="R484" s="163">
        <v>47.330191083000003</v>
      </c>
      <c r="S484" s="163">
        <v>3.94</v>
      </c>
      <c r="T484" s="163">
        <v>12.012738854</v>
      </c>
      <c r="U484" s="140">
        <f t="shared" si="15"/>
        <v>1.6448056931556546E-2</v>
      </c>
      <c r="V484" s="161">
        <f t="shared" si="14"/>
        <v>1.9243317258123185E-4</v>
      </c>
    </row>
    <row r="485" spans="2:23">
      <c r="B485" s="163">
        <v>2018</v>
      </c>
      <c r="C485" s="163">
        <v>20031700120</v>
      </c>
      <c r="D485" s="163" t="s">
        <v>661</v>
      </c>
      <c r="E485" s="163" t="s">
        <v>389</v>
      </c>
      <c r="F485" s="163" t="s">
        <v>100</v>
      </c>
      <c r="G485" s="163"/>
      <c r="H485" s="163">
        <v>20</v>
      </c>
      <c r="I485" s="163">
        <v>3</v>
      </c>
      <c r="J485" s="163">
        <v>17</v>
      </c>
      <c r="K485" s="163">
        <v>0</v>
      </c>
      <c r="L485" s="163">
        <v>1</v>
      </c>
      <c r="M485" s="163">
        <v>4</v>
      </c>
      <c r="N485" s="163">
        <v>1535</v>
      </c>
      <c r="O485" s="163">
        <v>0</v>
      </c>
      <c r="P485" s="163">
        <v>16009</v>
      </c>
      <c r="Q485" s="163">
        <v>25934.58</v>
      </c>
      <c r="R485" s="163">
        <v>16.895491857</v>
      </c>
      <c r="S485" s="163">
        <v>1.62</v>
      </c>
      <c r="T485" s="163">
        <v>10.429315961</v>
      </c>
      <c r="U485" s="140">
        <f t="shared" si="15"/>
        <v>0.13961661899113934</v>
      </c>
      <c r="V485" s="161">
        <f t="shared" si="14"/>
        <v>1.6334372533684733E-3</v>
      </c>
    </row>
    <row r="486" spans="2:23">
      <c r="B486" s="163">
        <v>2018</v>
      </c>
      <c r="C486" s="163">
        <v>20031700121</v>
      </c>
      <c r="D486" s="163" t="s">
        <v>662</v>
      </c>
      <c r="E486" s="163" t="s">
        <v>389</v>
      </c>
      <c r="F486" s="163" t="s">
        <v>100</v>
      </c>
      <c r="G486" s="163"/>
      <c r="H486" s="163">
        <v>20</v>
      </c>
      <c r="I486" s="163">
        <v>3</v>
      </c>
      <c r="J486" s="163">
        <v>17</v>
      </c>
      <c r="K486" s="163">
        <v>0</v>
      </c>
      <c r="L486" s="163">
        <v>1</v>
      </c>
      <c r="M486" s="163">
        <v>4</v>
      </c>
      <c r="N486" s="163">
        <v>1040</v>
      </c>
      <c r="O486" s="163">
        <v>0</v>
      </c>
      <c r="P486" s="163">
        <v>14834</v>
      </c>
      <c r="Q486" s="163">
        <v>57704.26</v>
      </c>
      <c r="R486" s="163">
        <v>55.484865384999999</v>
      </c>
      <c r="S486" s="163">
        <v>3.89</v>
      </c>
      <c r="T486" s="163">
        <v>14.263461538</v>
      </c>
      <c r="U486" s="140">
        <f t="shared" si="15"/>
        <v>0.12936928765785252</v>
      </c>
      <c r="V486" s="161">
        <f t="shared" si="14"/>
        <v>1.513549142136794E-3</v>
      </c>
    </row>
    <row r="487" spans="2:23">
      <c r="B487" s="163">
        <v>2018</v>
      </c>
      <c r="C487" s="163">
        <v>20031700122</v>
      </c>
      <c r="D487" s="163" t="s">
        <v>663</v>
      </c>
      <c r="E487" s="163" t="s">
        <v>389</v>
      </c>
      <c r="F487" s="163" t="s">
        <v>100</v>
      </c>
      <c r="G487" s="163"/>
      <c r="H487" s="163">
        <v>20</v>
      </c>
      <c r="I487" s="163">
        <v>3</v>
      </c>
      <c r="J487" s="163">
        <v>17</v>
      </c>
      <c r="K487" s="163">
        <v>0</v>
      </c>
      <c r="L487" s="163">
        <v>1</v>
      </c>
      <c r="M487" s="163">
        <v>4</v>
      </c>
      <c r="N487" s="163">
        <v>526</v>
      </c>
      <c r="O487" s="163">
        <v>0</v>
      </c>
      <c r="P487" s="163">
        <v>7808</v>
      </c>
      <c r="Q487" s="163">
        <v>56608</v>
      </c>
      <c r="R487" s="163">
        <v>107.61977186</v>
      </c>
      <c r="S487" s="163">
        <v>7.25</v>
      </c>
      <c r="T487" s="163">
        <v>14.844106463999999</v>
      </c>
      <c r="U487" s="140">
        <f t="shared" si="15"/>
        <v>6.8094606851322126E-2</v>
      </c>
      <c r="V487" s="161">
        <f t="shared" si="14"/>
        <v>7.9666925318889624E-4</v>
      </c>
    </row>
    <row r="488" spans="2:23">
      <c r="V488">
        <f t="shared" si="14"/>
        <v>0</v>
      </c>
    </row>
    <row r="489" spans="2:23">
      <c r="B489" s="9" t="s">
        <v>664</v>
      </c>
      <c r="V489">
        <f t="shared" si="14"/>
        <v>0</v>
      </c>
    </row>
    <row r="490" spans="2:23">
      <c r="B490" s="141" t="s">
        <v>3</v>
      </c>
      <c r="C490" s="141" t="s">
        <v>220</v>
      </c>
      <c r="D490" s="141" t="s">
        <v>221</v>
      </c>
      <c r="E490" s="141" t="s">
        <v>222</v>
      </c>
      <c r="F490" s="141" t="s">
        <v>223</v>
      </c>
      <c r="G490" s="141" t="s">
        <v>224</v>
      </c>
      <c r="H490" s="141" t="s">
        <v>225</v>
      </c>
      <c r="I490" s="141" t="s">
        <v>226</v>
      </c>
      <c r="J490" s="141" t="s">
        <v>227</v>
      </c>
      <c r="K490" s="141" t="s">
        <v>228</v>
      </c>
      <c r="L490" s="141" t="s">
        <v>229</v>
      </c>
      <c r="M490" s="141" t="s">
        <v>230</v>
      </c>
      <c r="N490" s="141" t="s">
        <v>231</v>
      </c>
      <c r="O490" s="141" t="s">
        <v>232</v>
      </c>
      <c r="P490" s="141" t="s">
        <v>233</v>
      </c>
      <c r="Q490" s="141" t="s">
        <v>234</v>
      </c>
      <c r="R490" s="141" t="s">
        <v>235</v>
      </c>
      <c r="S490" s="141" t="s">
        <v>236</v>
      </c>
      <c r="T490" s="141" t="s">
        <v>237</v>
      </c>
      <c r="U490" s="141"/>
      <c r="V490" s="141"/>
    </row>
    <row r="491" spans="2:23">
      <c r="B491" s="163">
        <v>2018</v>
      </c>
      <c r="C491" s="163">
        <v>20030600059</v>
      </c>
      <c r="D491" s="163" t="s">
        <v>665</v>
      </c>
      <c r="E491" s="163" t="s">
        <v>389</v>
      </c>
      <c r="F491" s="163" t="s">
        <v>100</v>
      </c>
      <c r="G491" s="163"/>
      <c r="H491" s="163">
        <v>20</v>
      </c>
      <c r="I491" s="163">
        <v>3</v>
      </c>
      <c r="J491" s="163">
        <v>6</v>
      </c>
      <c r="K491" s="163">
        <v>0</v>
      </c>
      <c r="L491" s="163">
        <v>1</v>
      </c>
      <c r="M491" s="163">
        <v>4</v>
      </c>
      <c r="N491" s="163">
        <v>65</v>
      </c>
      <c r="O491" s="163">
        <v>0</v>
      </c>
      <c r="P491" s="163">
        <v>652</v>
      </c>
      <c r="Q491" s="163">
        <v>2901.4</v>
      </c>
      <c r="R491" s="163">
        <v>44.636923076999999</v>
      </c>
      <c r="S491" s="163">
        <v>4.45</v>
      </c>
      <c r="T491" s="163">
        <v>10.030769231000001</v>
      </c>
      <c r="U491" s="161">
        <f t="shared" ref="U491:U522" si="16">P491/SUM($P$491:$P$618)</f>
        <v>2.2656967260682308E-4</v>
      </c>
      <c r="V491" s="161">
        <f t="shared" si="14"/>
        <v>6.652514767919574E-5</v>
      </c>
    </row>
    <row r="492" spans="2:23">
      <c r="B492" s="163">
        <v>2018</v>
      </c>
      <c r="C492" s="163">
        <v>20031600001</v>
      </c>
      <c r="D492" s="163" t="s">
        <v>666</v>
      </c>
      <c r="E492" s="163" t="s">
        <v>389</v>
      </c>
      <c r="F492" s="163" t="s">
        <v>100</v>
      </c>
      <c r="G492" s="163"/>
      <c r="H492" s="163">
        <v>20</v>
      </c>
      <c r="I492" s="163">
        <v>3</v>
      </c>
      <c r="J492" s="163">
        <v>16</v>
      </c>
      <c r="K492" s="163">
        <v>0</v>
      </c>
      <c r="L492" s="163">
        <v>1</v>
      </c>
      <c r="M492" s="163">
        <v>4</v>
      </c>
      <c r="N492" s="163">
        <v>16441</v>
      </c>
      <c r="O492" s="163">
        <v>0</v>
      </c>
      <c r="P492" s="163">
        <v>217050</v>
      </c>
      <c r="Q492" s="163">
        <v>679366.21</v>
      </c>
      <c r="R492" s="163">
        <v>41.321465238999998</v>
      </c>
      <c r="S492" s="163">
        <v>3.1299986638999999</v>
      </c>
      <c r="T492" s="163">
        <v>13.201751718000001</v>
      </c>
      <c r="U492" s="161">
        <f t="shared" si="16"/>
        <v>7.5424766011213118E-2</v>
      </c>
      <c r="V492" s="161">
        <f t="shared" si="14"/>
        <v>2.214614003645619E-2</v>
      </c>
      <c r="W492" s="2">
        <f>SUMPRODUCT(U491:U618,S491:S618)</f>
        <v>3.8395960248989289</v>
      </c>
    </row>
    <row r="493" spans="2:23">
      <c r="B493" s="163">
        <v>2018</v>
      </c>
      <c r="C493" s="163">
        <v>20031600002</v>
      </c>
      <c r="D493" s="163" t="s">
        <v>667</v>
      </c>
      <c r="E493" s="163" t="s">
        <v>389</v>
      </c>
      <c r="F493" s="163" t="s">
        <v>100</v>
      </c>
      <c r="G493" s="163"/>
      <c r="H493" s="163">
        <v>20</v>
      </c>
      <c r="I493" s="163">
        <v>3</v>
      </c>
      <c r="J493" s="163">
        <v>16</v>
      </c>
      <c r="K493" s="163">
        <v>0</v>
      </c>
      <c r="L493" s="163">
        <v>1</v>
      </c>
      <c r="M493" s="163">
        <v>4</v>
      </c>
      <c r="N493" s="163">
        <v>2629</v>
      </c>
      <c r="O493" s="163">
        <v>0</v>
      </c>
      <c r="P493" s="163">
        <v>69236</v>
      </c>
      <c r="Q493" s="163">
        <v>613430.96</v>
      </c>
      <c r="R493" s="163">
        <v>233.33243057999999</v>
      </c>
      <c r="S493" s="163">
        <v>8.86</v>
      </c>
      <c r="T493" s="163">
        <v>26.335488778999999</v>
      </c>
      <c r="U493" s="161">
        <f t="shared" si="16"/>
        <v>2.4059475234058287E-2</v>
      </c>
      <c r="V493" s="161">
        <f t="shared" si="14"/>
        <v>7.0643176759460063E-3</v>
      </c>
    </row>
    <row r="494" spans="2:23">
      <c r="B494" s="163">
        <v>2018</v>
      </c>
      <c r="C494" s="163">
        <v>20031600003</v>
      </c>
      <c r="D494" s="163" t="s">
        <v>668</v>
      </c>
      <c r="E494" s="163" t="s">
        <v>389</v>
      </c>
      <c r="F494" s="163" t="s">
        <v>100</v>
      </c>
      <c r="G494" s="163"/>
      <c r="H494" s="163">
        <v>20</v>
      </c>
      <c r="I494" s="163">
        <v>3</v>
      </c>
      <c r="J494" s="163">
        <v>16</v>
      </c>
      <c r="K494" s="163">
        <v>0</v>
      </c>
      <c r="L494" s="163">
        <v>1</v>
      </c>
      <c r="M494" s="163">
        <v>4</v>
      </c>
      <c r="N494" s="163">
        <v>175</v>
      </c>
      <c r="O494" s="163">
        <v>0</v>
      </c>
      <c r="P494" s="163">
        <v>4272</v>
      </c>
      <c r="Q494" s="163">
        <v>44984.160000000003</v>
      </c>
      <c r="R494" s="163">
        <v>257.05234286000001</v>
      </c>
      <c r="S494" s="163">
        <v>10.53</v>
      </c>
      <c r="T494" s="163">
        <v>24.411428570999998</v>
      </c>
      <c r="U494" s="161">
        <f t="shared" si="16"/>
        <v>1.4845178548716998E-3</v>
      </c>
      <c r="V494" s="161">
        <f t="shared" si="14"/>
        <v>4.3588256270785922E-4</v>
      </c>
    </row>
    <row r="495" spans="2:23">
      <c r="B495" s="163">
        <v>2018</v>
      </c>
      <c r="C495" s="163">
        <v>20031600005</v>
      </c>
      <c r="D495" s="163" t="s">
        <v>669</v>
      </c>
      <c r="E495" s="163" t="s">
        <v>389</v>
      </c>
      <c r="F495" s="163" t="s">
        <v>100</v>
      </c>
      <c r="G495" s="163"/>
      <c r="H495" s="163">
        <v>20</v>
      </c>
      <c r="I495" s="163">
        <v>3</v>
      </c>
      <c r="J495" s="163">
        <v>16</v>
      </c>
      <c r="K495" s="163">
        <v>0</v>
      </c>
      <c r="L495" s="163">
        <v>1</v>
      </c>
      <c r="M495" s="163">
        <v>4</v>
      </c>
      <c r="N495" s="163">
        <v>78</v>
      </c>
      <c r="O495" s="163">
        <v>0</v>
      </c>
      <c r="P495" s="163">
        <v>719</v>
      </c>
      <c r="Q495" s="163">
        <v>1639.71</v>
      </c>
      <c r="R495" s="163">
        <v>21.021923077</v>
      </c>
      <c r="S495" s="163">
        <v>2.2805424200000002</v>
      </c>
      <c r="T495" s="163">
        <v>9.2179487179000006</v>
      </c>
      <c r="U495" s="161">
        <f t="shared" si="16"/>
        <v>2.4985213896365922E-4</v>
      </c>
      <c r="V495" s="161">
        <f t="shared" si="14"/>
        <v>7.3361320830278744E-5</v>
      </c>
    </row>
    <row r="496" spans="2:23">
      <c r="B496" s="163">
        <v>2018</v>
      </c>
      <c r="C496" s="163">
        <v>20031600007</v>
      </c>
      <c r="D496" s="163" t="s">
        <v>670</v>
      </c>
      <c r="E496" s="163" t="s">
        <v>389</v>
      </c>
      <c r="F496" s="163" t="s">
        <v>100</v>
      </c>
      <c r="G496" s="163"/>
      <c r="H496" s="163">
        <v>20</v>
      </c>
      <c r="I496" s="163">
        <v>3</v>
      </c>
      <c r="J496" s="163">
        <v>16</v>
      </c>
      <c r="K496" s="163">
        <v>0</v>
      </c>
      <c r="L496" s="163">
        <v>1</v>
      </c>
      <c r="M496" s="163">
        <v>4</v>
      </c>
      <c r="N496" s="163">
        <v>23</v>
      </c>
      <c r="O496" s="163">
        <v>0</v>
      </c>
      <c r="P496" s="163">
        <v>287</v>
      </c>
      <c r="Q496" s="163">
        <v>3128.42</v>
      </c>
      <c r="R496" s="163">
        <v>136.01826087000001</v>
      </c>
      <c r="S496" s="163">
        <v>10.900418117999999</v>
      </c>
      <c r="T496" s="163">
        <v>12.47826087</v>
      </c>
      <c r="U496" s="161">
        <f t="shared" si="16"/>
        <v>9.9732355886745746E-5</v>
      </c>
      <c r="V496" s="161">
        <f t="shared" si="14"/>
        <v>2.9283308871057021E-5</v>
      </c>
    </row>
    <row r="497" spans="2:22">
      <c r="B497" s="163">
        <v>2018</v>
      </c>
      <c r="C497" s="163">
        <v>20031600010</v>
      </c>
      <c r="D497" s="163" t="s">
        <v>671</v>
      </c>
      <c r="E497" s="163" t="s">
        <v>389</v>
      </c>
      <c r="F497" s="163" t="s">
        <v>100</v>
      </c>
      <c r="G497" s="163"/>
      <c r="H497" s="163">
        <v>20</v>
      </c>
      <c r="I497" s="163">
        <v>3</v>
      </c>
      <c r="J497" s="163">
        <v>16</v>
      </c>
      <c r="K497" s="163">
        <v>0</v>
      </c>
      <c r="L497" s="163">
        <v>1</v>
      </c>
      <c r="M497" s="163">
        <v>4</v>
      </c>
      <c r="N497" s="163">
        <v>25</v>
      </c>
      <c r="O497" s="163">
        <v>0</v>
      </c>
      <c r="P497" s="163">
        <v>521</v>
      </c>
      <c r="Q497" s="163">
        <v>1199.9000000000001</v>
      </c>
      <c r="R497" s="163">
        <v>47.996000000000002</v>
      </c>
      <c r="S497" s="163">
        <v>2.3030710173000002</v>
      </c>
      <c r="T497" s="163">
        <v>20.84</v>
      </c>
      <c r="U497" s="161">
        <f t="shared" si="16"/>
        <v>1.8104723838674054E-4</v>
      </c>
      <c r="V497" s="161">
        <f t="shared" si="14"/>
        <v>5.315889868230212E-5</v>
      </c>
    </row>
    <row r="498" spans="2:22">
      <c r="B498" s="163">
        <v>2018</v>
      </c>
      <c r="C498" s="163">
        <v>20031600011</v>
      </c>
      <c r="D498" s="163" t="s">
        <v>672</v>
      </c>
      <c r="E498" s="163" t="s">
        <v>389</v>
      </c>
      <c r="F498" s="163" t="s">
        <v>100</v>
      </c>
      <c r="G498" s="163"/>
      <c r="H498" s="163">
        <v>20</v>
      </c>
      <c r="I498" s="163">
        <v>3</v>
      </c>
      <c r="J498" s="163">
        <v>16</v>
      </c>
      <c r="K498" s="163">
        <v>0</v>
      </c>
      <c r="L498" s="163">
        <v>1</v>
      </c>
      <c r="M498" s="163">
        <v>4</v>
      </c>
      <c r="N498" s="163">
        <v>4</v>
      </c>
      <c r="O498" s="163">
        <v>0</v>
      </c>
      <c r="P498" s="163">
        <v>60</v>
      </c>
      <c r="Q498" s="163">
        <v>421.7</v>
      </c>
      <c r="R498" s="163">
        <v>105.425</v>
      </c>
      <c r="S498" s="163">
        <v>7.0283333333</v>
      </c>
      <c r="T498" s="163">
        <v>15</v>
      </c>
      <c r="U498" s="161">
        <f t="shared" si="16"/>
        <v>2.0849969871793537E-5</v>
      </c>
      <c r="V498" s="161">
        <f t="shared" si="14"/>
        <v>6.1219461054474609E-6</v>
      </c>
    </row>
    <row r="499" spans="2:22">
      <c r="B499" s="163">
        <v>2018</v>
      </c>
      <c r="C499" s="163">
        <v>20031600012</v>
      </c>
      <c r="D499" s="163" t="s">
        <v>673</v>
      </c>
      <c r="E499" s="163" t="s">
        <v>389</v>
      </c>
      <c r="F499" s="163" t="s">
        <v>100</v>
      </c>
      <c r="G499" s="163"/>
      <c r="H499" s="163">
        <v>20</v>
      </c>
      <c r="I499" s="163">
        <v>3</v>
      </c>
      <c r="J499" s="163">
        <v>16</v>
      </c>
      <c r="K499" s="163">
        <v>0</v>
      </c>
      <c r="L499" s="163">
        <v>1</v>
      </c>
      <c r="M499" s="163">
        <v>4</v>
      </c>
      <c r="N499" s="163">
        <v>57</v>
      </c>
      <c r="O499" s="163">
        <v>0</v>
      </c>
      <c r="P499" s="163">
        <v>810</v>
      </c>
      <c r="Q499" s="163">
        <v>1875.1</v>
      </c>
      <c r="R499" s="163">
        <v>32.896491228000002</v>
      </c>
      <c r="S499" s="163">
        <v>2.3149382716</v>
      </c>
      <c r="T499" s="163">
        <v>14.210526315999999</v>
      </c>
      <c r="U499" s="161">
        <f t="shared" si="16"/>
        <v>2.8147459326921271E-4</v>
      </c>
      <c r="V499" s="161">
        <f t="shared" si="14"/>
        <v>8.2646272423540724E-5</v>
      </c>
    </row>
    <row r="500" spans="2:22">
      <c r="B500" s="163">
        <v>2018</v>
      </c>
      <c r="C500" s="163">
        <v>20031600015</v>
      </c>
      <c r="D500" s="163" t="s">
        <v>674</v>
      </c>
      <c r="E500" s="163" t="s">
        <v>389</v>
      </c>
      <c r="F500" s="163" t="s">
        <v>100</v>
      </c>
      <c r="G500" s="163"/>
      <c r="H500" s="163">
        <v>20</v>
      </c>
      <c r="I500" s="163">
        <v>3</v>
      </c>
      <c r="J500" s="163">
        <v>16</v>
      </c>
      <c r="K500" s="163">
        <v>0</v>
      </c>
      <c r="L500" s="163">
        <v>1</v>
      </c>
      <c r="M500" s="163">
        <v>4</v>
      </c>
      <c r="N500" s="163">
        <v>14759</v>
      </c>
      <c r="O500" s="163">
        <v>0</v>
      </c>
      <c r="P500" s="163">
        <v>171144</v>
      </c>
      <c r="Q500" s="163">
        <v>543855.42000000004</v>
      </c>
      <c r="R500" s="163">
        <v>36.849069720000003</v>
      </c>
      <c r="S500" s="163">
        <v>3.1777650400000002</v>
      </c>
      <c r="T500" s="163">
        <v>11.595907582000001</v>
      </c>
      <c r="U500" s="161">
        <f t="shared" si="16"/>
        <v>5.9472454062303878E-2</v>
      </c>
      <c r="V500" s="161">
        <f t="shared" si="14"/>
        <v>1.7462239071178338E-2</v>
      </c>
    </row>
    <row r="501" spans="2:22">
      <c r="B501" s="163">
        <v>2018</v>
      </c>
      <c r="C501" s="163">
        <v>20031600017</v>
      </c>
      <c r="D501" s="163" t="s">
        <v>675</v>
      </c>
      <c r="E501" s="163" t="s">
        <v>389</v>
      </c>
      <c r="F501" s="163" t="s">
        <v>100</v>
      </c>
      <c r="G501" s="163"/>
      <c r="H501" s="163">
        <v>20</v>
      </c>
      <c r="I501" s="163">
        <v>3</v>
      </c>
      <c r="J501" s="163">
        <v>16</v>
      </c>
      <c r="K501" s="163">
        <v>0</v>
      </c>
      <c r="L501" s="163">
        <v>1</v>
      </c>
      <c r="M501" s="163">
        <v>4</v>
      </c>
      <c r="N501" s="163">
        <v>3174</v>
      </c>
      <c r="O501" s="163">
        <v>0</v>
      </c>
      <c r="P501" s="163">
        <v>55529</v>
      </c>
      <c r="Q501" s="163">
        <v>500188.44</v>
      </c>
      <c r="R501" s="163">
        <v>157.58930057000001</v>
      </c>
      <c r="S501" s="163">
        <v>9.0076975995000002</v>
      </c>
      <c r="T501" s="163">
        <v>17.494959042000001</v>
      </c>
      <c r="U501" s="161">
        <f t="shared" si="16"/>
        <v>1.9296299616847052E-2</v>
      </c>
      <c r="V501" s="161">
        <f t="shared" si="14"/>
        <v>5.6657590881565344E-3</v>
      </c>
    </row>
    <row r="502" spans="2:22">
      <c r="B502" s="163">
        <v>2018</v>
      </c>
      <c r="C502" s="163">
        <v>20031600027</v>
      </c>
      <c r="D502" s="163" t="s">
        <v>676</v>
      </c>
      <c r="E502" s="163" t="s">
        <v>389</v>
      </c>
      <c r="F502" s="163" t="s">
        <v>100</v>
      </c>
      <c r="G502" s="163"/>
      <c r="H502" s="163">
        <v>20</v>
      </c>
      <c r="I502" s="163">
        <v>3</v>
      </c>
      <c r="J502" s="163">
        <v>16</v>
      </c>
      <c r="K502" s="163">
        <v>0</v>
      </c>
      <c r="L502" s="163">
        <v>1</v>
      </c>
      <c r="M502" s="163">
        <v>4</v>
      </c>
      <c r="N502" s="163">
        <v>63</v>
      </c>
      <c r="O502" s="163">
        <v>0</v>
      </c>
      <c r="P502" s="163">
        <v>771</v>
      </c>
      <c r="Q502" s="163">
        <v>3368.96</v>
      </c>
      <c r="R502" s="163">
        <v>53.475555556000003</v>
      </c>
      <c r="S502" s="163">
        <v>4.3695979247999999</v>
      </c>
      <c r="T502" s="163">
        <v>12.238095238</v>
      </c>
      <c r="U502" s="161">
        <f t="shared" si="16"/>
        <v>2.6792211285254694E-4</v>
      </c>
      <c r="V502" s="161">
        <f t="shared" si="14"/>
        <v>7.8667007454999872E-5</v>
      </c>
    </row>
    <row r="503" spans="2:22">
      <c r="B503" s="163">
        <v>2018</v>
      </c>
      <c r="C503" s="163">
        <v>20031600028</v>
      </c>
      <c r="D503" s="163" t="s">
        <v>677</v>
      </c>
      <c r="E503" s="163" t="s">
        <v>389</v>
      </c>
      <c r="F503" s="163" t="s">
        <v>100</v>
      </c>
      <c r="G503" s="163"/>
      <c r="H503" s="163">
        <v>20</v>
      </c>
      <c r="I503" s="163">
        <v>3</v>
      </c>
      <c r="J503" s="163">
        <v>16</v>
      </c>
      <c r="K503" s="163">
        <v>0</v>
      </c>
      <c r="L503" s="163">
        <v>1</v>
      </c>
      <c r="M503" s="163">
        <v>4</v>
      </c>
      <c r="N503" s="163">
        <v>134</v>
      </c>
      <c r="O503" s="163">
        <v>0</v>
      </c>
      <c r="P503" s="163">
        <v>1678</v>
      </c>
      <c r="Q503" s="163">
        <v>10096.049999999999</v>
      </c>
      <c r="R503" s="163">
        <v>75.343656715999998</v>
      </c>
      <c r="S503" s="163">
        <v>6.0167163290000003</v>
      </c>
      <c r="T503" s="163">
        <v>12.522388060000001</v>
      </c>
      <c r="U503" s="161">
        <f t="shared" si="16"/>
        <v>5.8310415741449255E-4</v>
      </c>
      <c r="V503" s="161">
        <f t="shared" si="14"/>
        <v>1.7121042608234731E-4</v>
      </c>
    </row>
    <row r="504" spans="2:22">
      <c r="B504" s="163">
        <v>2018</v>
      </c>
      <c r="C504" s="163">
        <v>20031600029</v>
      </c>
      <c r="D504" s="163" t="s">
        <v>678</v>
      </c>
      <c r="E504" s="163" t="s">
        <v>389</v>
      </c>
      <c r="F504" s="163" t="s">
        <v>100</v>
      </c>
      <c r="G504" s="163"/>
      <c r="H504" s="163">
        <v>20</v>
      </c>
      <c r="I504" s="163">
        <v>3</v>
      </c>
      <c r="J504" s="163">
        <v>16</v>
      </c>
      <c r="K504" s="163">
        <v>0</v>
      </c>
      <c r="L504" s="163">
        <v>1</v>
      </c>
      <c r="M504" s="163">
        <v>4</v>
      </c>
      <c r="N504" s="163">
        <v>76</v>
      </c>
      <c r="O504" s="163">
        <v>0</v>
      </c>
      <c r="P504" s="163">
        <v>1057</v>
      </c>
      <c r="Q504" s="163">
        <v>11636.77</v>
      </c>
      <c r="R504" s="163">
        <v>153.11539474</v>
      </c>
      <c r="S504" s="163">
        <v>11.009243141000001</v>
      </c>
      <c r="T504" s="163">
        <v>13.907894736999999</v>
      </c>
      <c r="U504" s="161">
        <f t="shared" si="16"/>
        <v>3.6730696924142944E-4</v>
      </c>
      <c r="V504" s="161">
        <f t="shared" si="14"/>
        <v>1.078482838909661E-4</v>
      </c>
    </row>
    <row r="505" spans="2:22">
      <c r="B505" s="163">
        <v>2018</v>
      </c>
      <c r="C505" s="163">
        <v>20031600030</v>
      </c>
      <c r="D505" s="163" t="s">
        <v>679</v>
      </c>
      <c r="E505" s="163" t="s">
        <v>389</v>
      </c>
      <c r="F505" s="163" t="s">
        <v>100</v>
      </c>
      <c r="G505" s="163"/>
      <c r="H505" s="163">
        <v>20</v>
      </c>
      <c r="I505" s="163">
        <v>3</v>
      </c>
      <c r="J505" s="163">
        <v>16</v>
      </c>
      <c r="K505" s="163">
        <v>0</v>
      </c>
      <c r="L505" s="163">
        <v>1</v>
      </c>
      <c r="M505" s="163">
        <v>4</v>
      </c>
      <c r="N505" s="163">
        <v>8146</v>
      </c>
      <c r="O505" s="163">
        <v>0</v>
      </c>
      <c r="P505" s="163">
        <v>89335</v>
      </c>
      <c r="Q505" s="163">
        <v>47054.16</v>
      </c>
      <c r="R505" s="163">
        <v>5.7763515836000003</v>
      </c>
      <c r="S505" s="163">
        <v>0.52671584490000001</v>
      </c>
      <c r="T505" s="163">
        <v>10.966732137999999</v>
      </c>
      <c r="U505" s="161">
        <f t="shared" si="16"/>
        <v>3.1043867641611256E-2</v>
      </c>
      <c r="V505" s="161">
        <f t="shared" si="14"/>
        <v>9.1150675888358144E-3</v>
      </c>
    </row>
    <row r="506" spans="2:22">
      <c r="B506" s="163">
        <v>2018</v>
      </c>
      <c r="C506" s="163">
        <v>20031600031</v>
      </c>
      <c r="D506" s="163" t="s">
        <v>680</v>
      </c>
      <c r="E506" s="163" t="s">
        <v>389</v>
      </c>
      <c r="F506" s="163" t="s">
        <v>100</v>
      </c>
      <c r="G506" s="163"/>
      <c r="H506" s="163">
        <v>20</v>
      </c>
      <c r="I506" s="163">
        <v>3</v>
      </c>
      <c r="J506" s="163">
        <v>16</v>
      </c>
      <c r="K506" s="163">
        <v>0</v>
      </c>
      <c r="L506" s="163">
        <v>1</v>
      </c>
      <c r="M506" s="163">
        <v>4</v>
      </c>
      <c r="N506" s="163">
        <v>8941</v>
      </c>
      <c r="O506" s="163">
        <v>0</v>
      </c>
      <c r="P506" s="163">
        <v>118199</v>
      </c>
      <c r="Q506" s="163">
        <v>150897.96</v>
      </c>
      <c r="R506" s="163">
        <v>16.877078626999999</v>
      </c>
      <c r="S506" s="163">
        <v>1.276643288</v>
      </c>
      <c r="T506" s="163">
        <v>13.219885918999999</v>
      </c>
      <c r="U506" s="161">
        <f t="shared" si="16"/>
        <v>4.1074093147935399E-2</v>
      </c>
      <c r="V506" s="161">
        <f t="shared" si="14"/>
        <v>1.2060131795296407E-2</v>
      </c>
    </row>
    <row r="507" spans="2:22">
      <c r="B507" s="163">
        <v>2018</v>
      </c>
      <c r="C507" s="163">
        <v>20031600032</v>
      </c>
      <c r="D507" s="163" t="s">
        <v>681</v>
      </c>
      <c r="E507" s="163" t="s">
        <v>389</v>
      </c>
      <c r="F507" s="163" t="s">
        <v>100</v>
      </c>
      <c r="G507" s="163"/>
      <c r="H507" s="163">
        <v>20</v>
      </c>
      <c r="I507" s="163">
        <v>3</v>
      </c>
      <c r="J507" s="163">
        <v>16</v>
      </c>
      <c r="K507" s="163">
        <v>0</v>
      </c>
      <c r="L507" s="163">
        <v>1</v>
      </c>
      <c r="M507" s="163">
        <v>4</v>
      </c>
      <c r="N507" s="163">
        <v>6365</v>
      </c>
      <c r="O507" s="163">
        <v>0</v>
      </c>
      <c r="P507" s="163">
        <v>111655</v>
      </c>
      <c r="Q507" s="163">
        <v>279514.39</v>
      </c>
      <c r="R507" s="163">
        <v>43.914279653999998</v>
      </c>
      <c r="S507" s="163">
        <v>2.503375487</v>
      </c>
      <c r="T507" s="163">
        <v>17.542026709000002</v>
      </c>
      <c r="U507" s="161">
        <f t="shared" si="16"/>
        <v>3.8800056433918456E-2</v>
      </c>
      <c r="V507" s="161">
        <f t="shared" si="14"/>
        <v>1.1392431540062271E-2</v>
      </c>
    </row>
    <row r="508" spans="2:22">
      <c r="B508" s="163">
        <v>2018</v>
      </c>
      <c r="C508" s="163">
        <v>20031600034</v>
      </c>
      <c r="D508" s="163" t="s">
        <v>682</v>
      </c>
      <c r="E508" s="163" t="s">
        <v>389</v>
      </c>
      <c r="F508" s="163" t="s">
        <v>100</v>
      </c>
      <c r="G508" s="163"/>
      <c r="H508" s="163">
        <v>20</v>
      </c>
      <c r="I508" s="163">
        <v>3</v>
      </c>
      <c r="J508" s="163">
        <v>16</v>
      </c>
      <c r="K508" s="163">
        <v>0</v>
      </c>
      <c r="L508" s="163">
        <v>1</v>
      </c>
      <c r="M508" s="163">
        <v>4</v>
      </c>
      <c r="N508" s="163">
        <v>1870</v>
      </c>
      <c r="O508" s="163">
        <v>0</v>
      </c>
      <c r="P508" s="163">
        <v>29493</v>
      </c>
      <c r="Q508" s="163">
        <v>196423.38</v>
      </c>
      <c r="R508" s="163">
        <v>105.03924064</v>
      </c>
      <c r="S508" s="163">
        <v>6.66</v>
      </c>
      <c r="T508" s="163">
        <v>15.771657754</v>
      </c>
      <c r="U508" s="161">
        <f t="shared" si="16"/>
        <v>1.0248802690480112E-2</v>
      </c>
      <c r="V508" s="161">
        <f t="shared" si="14"/>
        <v>3.0092426081326992E-3</v>
      </c>
    </row>
    <row r="509" spans="2:22">
      <c r="B509" s="163">
        <v>2018</v>
      </c>
      <c r="C509" s="163">
        <v>20031600040</v>
      </c>
      <c r="D509" s="163" t="s">
        <v>683</v>
      </c>
      <c r="E509" s="163" t="s">
        <v>389</v>
      </c>
      <c r="F509" s="163" t="s">
        <v>100</v>
      </c>
      <c r="G509" s="163"/>
      <c r="H509" s="163">
        <v>20</v>
      </c>
      <c r="I509" s="163">
        <v>3</v>
      </c>
      <c r="J509" s="163">
        <v>16</v>
      </c>
      <c r="K509" s="163">
        <v>0</v>
      </c>
      <c r="L509" s="163">
        <v>1</v>
      </c>
      <c r="M509" s="163">
        <v>4</v>
      </c>
      <c r="N509" s="163">
        <v>158</v>
      </c>
      <c r="O509" s="163">
        <v>0</v>
      </c>
      <c r="P509" s="163">
        <v>1801</v>
      </c>
      <c r="Q509" s="163">
        <v>4548.16</v>
      </c>
      <c r="R509" s="163">
        <v>28.785822785000001</v>
      </c>
      <c r="S509" s="163">
        <v>2.5253525819</v>
      </c>
      <c r="T509" s="163">
        <v>11.398734177</v>
      </c>
      <c r="U509" s="161">
        <f t="shared" si="16"/>
        <v>6.2584659565166926E-4</v>
      </c>
      <c r="V509" s="161">
        <f t="shared" si="14"/>
        <v>1.837604155985146E-4</v>
      </c>
    </row>
    <row r="510" spans="2:22">
      <c r="B510" s="163">
        <v>2018</v>
      </c>
      <c r="C510" s="163">
        <v>20031600041</v>
      </c>
      <c r="D510" s="163" t="s">
        <v>684</v>
      </c>
      <c r="E510" s="163" t="s">
        <v>389</v>
      </c>
      <c r="F510" s="163" t="s">
        <v>100</v>
      </c>
      <c r="G510" s="163"/>
      <c r="H510" s="163">
        <v>20</v>
      </c>
      <c r="I510" s="163">
        <v>3</v>
      </c>
      <c r="J510" s="163">
        <v>16</v>
      </c>
      <c r="K510" s="163">
        <v>0</v>
      </c>
      <c r="L510" s="163">
        <v>1</v>
      </c>
      <c r="M510" s="163">
        <v>4</v>
      </c>
      <c r="N510" s="163">
        <v>287</v>
      </c>
      <c r="O510" s="163">
        <v>0</v>
      </c>
      <c r="P510" s="163">
        <v>4039</v>
      </c>
      <c r="Q510" s="163">
        <v>15785.76</v>
      </c>
      <c r="R510" s="163">
        <v>55.002648084</v>
      </c>
      <c r="S510" s="163">
        <v>3.9083337459999998</v>
      </c>
      <c r="T510" s="163">
        <v>14.073170731999999</v>
      </c>
      <c r="U510" s="161">
        <f t="shared" si="16"/>
        <v>1.4035504718695681E-3</v>
      </c>
      <c r="V510" s="161">
        <f t="shared" si="14"/>
        <v>4.1210900533170488E-4</v>
      </c>
    </row>
    <row r="511" spans="2:22">
      <c r="B511" s="163">
        <v>2018</v>
      </c>
      <c r="C511" s="163">
        <v>20031600042</v>
      </c>
      <c r="D511" s="163" t="s">
        <v>685</v>
      </c>
      <c r="E511" s="163" t="s">
        <v>389</v>
      </c>
      <c r="F511" s="163" t="s">
        <v>100</v>
      </c>
      <c r="G511" s="163"/>
      <c r="H511" s="163">
        <v>20</v>
      </c>
      <c r="I511" s="163">
        <v>3</v>
      </c>
      <c r="J511" s="163">
        <v>16</v>
      </c>
      <c r="K511" s="163">
        <v>0</v>
      </c>
      <c r="L511" s="163">
        <v>1</v>
      </c>
      <c r="M511" s="163">
        <v>4</v>
      </c>
      <c r="N511" s="163">
        <v>134</v>
      </c>
      <c r="O511" s="163">
        <v>0</v>
      </c>
      <c r="P511" s="163">
        <v>6313</v>
      </c>
      <c r="Q511" s="163">
        <v>57288.88</v>
      </c>
      <c r="R511" s="163">
        <v>427.52895522</v>
      </c>
      <c r="S511" s="163">
        <v>9.0747473467000006</v>
      </c>
      <c r="T511" s="163">
        <v>47.111940298999997</v>
      </c>
      <c r="U511" s="161">
        <f t="shared" si="16"/>
        <v>2.1937643300105432E-3</v>
      </c>
      <c r="V511" s="161">
        <f t="shared" si="14"/>
        <v>6.4413076272816364E-4</v>
      </c>
    </row>
    <row r="512" spans="2:22">
      <c r="B512" s="163">
        <v>2018</v>
      </c>
      <c r="C512" s="163">
        <v>20031600043</v>
      </c>
      <c r="D512" s="163" t="s">
        <v>686</v>
      </c>
      <c r="E512" s="163" t="s">
        <v>389</v>
      </c>
      <c r="F512" s="163" t="s">
        <v>100</v>
      </c>
      <c r="G512" s="163"/>
      <c r="H512" s="163">
        <v>20</v>
      </c>
      <c r="I512" s="163">
        <v>3</v>
      </c>
      <c r="J512" s="163">
        <v>16</v>
      </c>
      <c r="K512" s="163">
        <v>0</v>
      </c>
      <c r="L512" s="163">
        <v>1</v>
      </c>
      <c r="M512" s="163">
        <v>4</v>
      </c>
      <c r="N512" s="163">
        <v>9554</v>
      </c>
      <c r="O512" s="163">
        <v>0</v>
      </c>
      <c r="P512" s="163">
        <v>97437</v>
      </c>
      <c r="Q512" s="163">
        <v>152976.09</v>
      </c>
      <c r="R512" s="163">
        <v>16.011732258999999</v>
      </c>
      <c r="S512" s="163">
        <v>1.57</v>
      </c>
      <c r="T512" s="163">
        <v>10.198555579000001</v>
      </c>
      <c r="U512" s="161">
        <f t="shared" si="16"/>
        <v>3.3859308573299114E-2</v>
      </c>
      <c r="V512" s="161">
        <f t="shared" si="14"/>
        <v>9.9417343779414045E-3</v>
      </c>
    </row>
    <row r="513" spans="2:22">
      <c r="B513" s="163">
        <v>2018</v>
      </c>
      <c r="C513" s="163">
        <v>20031600044</v>
      </c>
      <c r="D513" s="163" t="s">
        <v>687</v>
      </c>
      <c r="E513" s="163" t="s">
        <v>389</v>
      </c>
      <c r="F513" s="163" t="s">
        <v>100</v>
      </c>
      <c r="G513" s="163"/>
      <c r="H513" s="163">
        <v>20</v>
      </c>
      <c r="I513" s="163">
        <v>3</v>
      </c>
      <c r="J513" s="163">
        <v>16</v>
      </c>
      <c r="K513" s="163">
        <v>0</v>
      </c>
      <c r="L513" s="163">
        <v>1</v>
      </c>
      <c r="M513" s="163">
        <v>4</v>
      </c>
      <c r="N513" s="163">
        <v>1792</v>
      </c>
      <c r="O513" s="163">
        <v>0</v>
      </c>
      <c r="P513" s="163">
        <v>45085</v>
      </c>
      <c r="Q513" s="163">
        <v>642461.25</v>
      </c>
      <c r="R513" s="163">
        <v>358.51632253999998</v>
      </c>
      <c r="S513" s="163">
        <v>14.25</v>
      </c>
      <c r="T513" s="163">
        <v>25.159040179000002</v>
      </c>
      <c r="U513" s="161">
        <f t="shared" si="16"/>
        <v>1.5667014861163526E-2</v>
      </c>
      <c r="V513" s="161">
        <f t="shared" si="14"/>
        <v>4.6001323360683128E-3</v>
      </c>
    </row>
    <row r="514" spans="2:22">
      <c r="B514" s="163">
        <v>2018</v>
      </c>
      <c r="C514" s="163">
        <v>20031600050</v>
      </c>
      <c r="D514" s="163" t="s">
        <v>688</v>
      </c>
      <c r="E514" s="163" t="s">
        <v>389</v>
      </c>
      <c r="F514" s="163" t="s">
        <v>100</v>
      </c>
      <c r="G514" s="163"/>
      <c r="H514" s="163">
        <v>20</v>
      </c>
      <c r="I514" s="163">
        <v>3</v>
      </c>
      <c r="J514" s="163">
        <v>16</v>
      </c>
      <c r="K514" s="163">
        <v>0</v>
      </c>
      <c r="L514" s="163">
        <v>1</v>
      </c>
      <c r="M514" s="163">
        <v>4</v>
      </c>
      <c r="N514" s="163">
        <v>2687</v>
      </c>
      <c r="O514" s="163">
        <v>0</v>
      </c>
      <c r="P514" s="163">
        <v>28707</v>
      </c>
      <c r="Q514" s="163">
        <v>103852.62</v>
      </c>
      <c r="R514" s="163">
        <v>38.650026050999998</v>
      </c>
      <c r="S514" s="163">
        <v>3.6176758281999999</v>
      </c>
      <c r="T514" s="163">
        <v>10.683662076999999</v>
      </c>
      <c r="U514" s="161">
        <f t="shared" si="16"/>
        <v>9.9756680851596172E-3</v>
      </c>
      <c r="V514" s="161">
        <f t="shared" si="14"/>
        <v>2.9290451141513376E-3</v>
      </c>
    </row>
    <row r="515" spans="2:22">
      <c r="B515" s="163">
        <v>2018</v>
      </c>
      <c r="C515" s="163">
        <v>20031600051</v>
      </c>
      <c r="D515" s="163" t="s">
        <v>689</v>
      </c>
      <c r="E515" s="163" t="s">
        <v>389</v>
      </c>
      <c r="F515" s="163" t="s">
        <v>100</v>
      </c>
      <c r="G515" s="163"/>
      <c r="H515" s="163">
        <v>20</v>
      </c>
      <c r="I515" s="163">
        <v>3</v>
      </c>
      <c r="J515" s="163">
        <v>16</v>
      </c>
      <c r="K515" s="163">
        <v>0</v>
      </c>
      <c r="L515" s="163">
        <v>1</v>
      </c>
      <c r="M515" s="163">
        <v>4</v>
      </c>
      <c r="N515" s="163">
        <v>542</v>
      </c>
      <c r="O515" s="163">
        <v>0</v>
      </c>
      <c r="P515" s="163">
        <v>10311</v>
      </c>
      <c r="Q515" s="163">
        <v>101563.45</v>
      </c>
      <c r="R515" s="163">
        <v>187.38643911</v>
      </c>
      <c r="S515" s="163">
        <v>9.8500096983999992</v>
      </c>
      <c r="T515" s="163">
        <v>19.023985239999998</v>
      </c>
      <c r="U515" s="161">
        <f t="shared" si="16"/>
        <v>3.5830673224677189E-3</v>
      </c>
      <c r="V515" s="161">
        <f t="shared" si="14"/>
        <v>1.0520564382211462E-3</v>
      </c>
    </row>
    <row r="516" spans="2:22">
      <c r="B516" s="163">
        <v>2018</v>
      </c>
      <c r="C516" s="163">
        <v>20031600052</v>
      </c>
      <c r="D516" s="163" t="s">
        <v>690</v>
      </c>
      <c r="E516" s="163" t="s">
        <v>389</v>
      </c>
      <c r="F516" s="163" t="s">
        <v>100</v>
      </c>
      <c r="G516" s="163"/>
      <c r="H516" s="163">
        <v>20</v>
      </c>
      <c r="I516" s="163">
        <v>3</v>
      </c>
      <c r="J516" s="163">
        <v>16</v>
      </c>
      <c r="K516" s="163">
        <v>0</v>
      </c>
      <c r="L516" s="163">
        <v>1</v>
      </c>
      <c r="M516" s="163">
        <v>4</v>
      </c>
      <c r="N516" s="163">
        <v>1360</v>
      </c>
      <c r="O516" s="163">
        <v>0</v>
      </c>
      <c r="P516" s="163">
        <v>14998</v>
      </c>
      <c r="Q516" s="163">
        <v>45443.94</v>
      </c>
      <c r="R516" s="163">
        <v>33.414661764999998</v>
      </c>
      <c r="S516" s="163">
        <v>3.03</v>
      </c>
      <c r="T516" s="163">
        <v>11.027941176000001</v>
      </c>
      <c r="U516" s="161">
        <f t="shared" si="16"/>
        <v>5.2117974689526577E-3</v>
      </c>
      <c r="V516" s="161">
        <f t="shared" si="14"/>
        <v>1.5302824614916836E-3</v>
      </c>
    </row>
    <row r="517" spans="2:22">
      <c r="B517" s="163">
        <v>2018</v>
      </c>
      <c r="C517" s="163">
        <v>20031600060</v>
      </c>
      <c r="D517" s="163" t="s">
        <v>691</v>
      </c>
      <c r="E517" s="163" t="s">
        <v>389</v>
      </c>
      <c r="F517" s="163" t="s">
        <v>100</v>
      </c>
      <c r="G517" s="163"/>
      <c r="H517" s="163">
        <v>20</v>
      </c>
      <c r="I517" s="163">
        <v>3</v>
      </c>
      <c r="J517" s="163">
        <v>16</v>
      </c>
      <c r="K517" s="163">
        <v>0</v>
      </c>
      <c r="L517" s="163">
        <v>1</v>
      </c>
      <c r="M517" s="163">
        <v>4</v>
      </c>
      <c r="N517" s="163">
        <v>2467</v>
      </c>
      <c r="O517" s="163">
        <v>0</v>
      </c>
      <c r="P517" s="163">
        <v>30001</v>
      </c>
      <c r="Q517" s="163">
        <v>38786.959999999999</v>
      </c>
      <c r="R517" s="163">
        <v>15.722318606</v>
      </c>
      <c r="S517" s="163">
        <v>1.2928555715000001</v>
      </c>
      <c r="T517" s="163">
        <v>12.160924199</v>
      </c>
      <c r="U517" s="161">
        <f t="shared" si="16"/>
        <v>1.0425332435394631E-2</v>
      </c>
      <c r="V517" s="161">
        <f t="shared" si="14"/>
        <v>3.0610750851588213E-3</v>
      </c>
    </row>
    <row r="518" spans="2:22">
      <c r="B518" s="163">
        <v>2018</v>
      </c>
      <c r="C518" s="163">
        <v>20031600061</v>
      </c>
      <c r="D518" s="163" t="s">
        <v>692</v>
      </c>
      <c r="E518" s="163" t="s">
        <v>389</v>
      </c>
      <c r="F518" s="163" t="s">
        <v>100</v>
      </c>
      <c r="G518" s="163"/>
      <c r="H518" s="163">
        <v>20</v>
      </c>
      <c r="I518" s="163">
        <v>3</v>
      </c>
      <c r="J518" s="163">
        <v>16</v>
      </c>
      <c r="K518" s="163">
        <v>0</v>
      </c>
      <c r="L518" s="163">
        <v>1</v>
      </c>
      <c r="M518" s="163">
        <v>4</v>
      </c>
      <c r="N518" s="163">
        <v>4425</v>
      </c>
      <c r="O518" s="163">
        <v>0</v>
      </c>
      <c r="P518" s="163">
        <v>55842</v>
      </c>
      <c r="Q518" s="163">
        <v>142746.68</v>
      </c>
      <c r="R518" s="163">
        <v>32.259136722999997</v>
      </c>
      <c r="S518" s="163">
        <v>2.5562601626000001</v>
      </c>
      <c r="T518" s="163">
        <v>12.619661017</v>
      </c>
      <c r="U518" s="161">
        <f t="shared" si="16"/>
        <v>1.9405066959678242E-2</v>
      </c>
      <c r="V518" s="161">
        <f t="shared" ref="V518:V581" si="17">P518/SUM($P$197:$P$772)</f>
        <v>5.6976952403399519E-3</v>
      </c>
    </row>
    <row r="519" spans="2:22">
      <c r="B519" s="163">
        <v>2018</v>
      </c>
      <c r="C519" s="163">
        <v>20031600062</v>
      </c>
      <c r="D519" s="163" t="s">
        <v>693</v>
      </c>
      <c r="E519" s="163" t="s">
        <v>389</v>
      </c>
      <c r="F519" s="163" t="s">
        <v>100</v>
      </c>
      <c r="G519" s="163"/>
      <c r="H519" s="163">
        <v>20</v>
      </c>
      <c r="I519" s="163">
        <v>3</v>
      </c>
      <c r="J519" s="163">
        <v>16</v>
      </c>
      <c r="K519" s="163">
        <v>0</v>
      </c>
      <c r="L519" s="163">
        <v>1</v>
      </c>
      <c r="M519" s="163">
        <v>4</v>
      </c>
      <c r="N519" s="163">
        <v>769</v>
      </c>
      <c r="O519" s="163">
        <v>0</v>
      </c>
      <c r="P519" s="163">
        <v>10054</v>
      </c>
      <c r="Q519" s="163">
        <v>41309.660000000003</v>
      </c>
      <c r="R519" s="163">
        <v>53.718673602000003</v>
      </c>
      <c r="S519" s="163">
        <v>4.1087785955999996</v>
      </c>
      <c r="T519" s="163">
        <v>13.074122236999999</v>
      </c>
      <c r="U519" s="161">
        <f t="shared" si="16"/>
        <v>3.49375995151687E-3</v>
      </c>
      <c r="V519" s="161">
        <f t="shared" si="17"/>
        <v>1.0258341024028128E-3</v>
      </c>
    </row>
    <row r="520" spans="2:22">
      <c r="B520" s="163">
        <v>2018</v>
      </c>
      <c r="C520" s="163">
        <v>20031600063</v>
      </c>
      <c r="D520" s="163" t="s">
        <v>694</v>
      </c>
      <c r="E520" s="163" t="s">
        <v>389</v>
      </c>
      <c r="F520" s="163" t="s">
        <v>100</v>
      </c>
      <c r="G520" s="163"/>
      <c r="H520" s="163">
        <v>20</v>
      </c>
      <c r="I520" s="163">
        <v>3</v>
      </c>
      <c r="J520" s="163">
        <v>16</v>
      </c>
      <c r="K520" s="163">
        <v>0</v>
      </c>
      <c r="L520" s="163">
        <v>1</v>
      </c>
      <c r="M520" s="163">
        <v>4</v>
      </c>
      <c r="N520" s="163">
        <v>640</v>
      </c>
      <c r="O520" s="163">
        <v>0</v>
      </c>
      <c r="P520" s="163">
        <v>8164</v>
      </c>
      <c r="Q520" s="163">
        <v>35036.559999999998</v>
      </c>
      <c r="R520" s="163">
        <v>54.744624999999999</v>
      </c>
      <c r="S520" s="163">
        <v>4.2915923566999998</v>
      </c>
      <c r="T520" s="163">
        <v>12.75625</v>
      </c>
      <c r="U520" s="161">
        <f t="shared" si="16"/>
        <v>2.8369859005553735E-3</v>
      </c>
      <c r="V520" s="161">
        <f t="shared" si="17"/>
        <v>8.3299280008121781E-4</v>
      </c>
    </row>
    <row r="521" spans="2:22">
      <c r="B521" s="163">
        <v>2018</v>
      </c>
      <c r="C521" s="163">
        <v>20031600064</v>
      </c>
      <c r="D521" s="163" t="s">
        <v>695</v>
      </c>
      <c r="E521" s="163" t="s">
        <v>389</v>
      </c>
      <c r="F521" s="163" t="s">
        <v>100</v>
      </c>
      <c r="G521" s="163"/>
      <c r="H521" s="163">
        <v>20</v>
      </c>
      <c r="I521" s="163">
        <v>3</v>
      </c>
      <c r="J521" s="163">
        <v>16</v>
      </c>
      <c r="K521" s="163">
        <v>0</v>
      </c>
      <c r="L521" s="163">
        <v>1</v>
      </c>
      <c r="M521" s="163">
        <v>4</v>
      </c>
      <c r="N521" s="163">
        <v>459</v>
      </c>
      <c r="O521" s="163">
        <v>0</v>
      </c>
      <c r="P521" s="163">
        <v>7087</v>
      </c>
      <c r="Q521" s="163">
        <v>48622.44</v>
      </c>
      <c r="R521" s="163">
        <v>105.93124183</v>
      </c>
      <c r="S521" s="163">
        <v>6.8607930013000002</v>
      </c>
      <c r="T521" s="163">
        <v>15.440087146</v>
      </c>
      <c r="U521" s="161">
        <f t="shared" si="16"/>
        <v>2.4627289413566796E-3</v>
      </c>
      <c r="V521" s="161">
        <f t="shared" si="17"/>
        <v>7.2310386748843591E-4</v>
      </c>
    </row>
    <row r="522" spans="2:22">
      <c r="B522" s="163">
        <v>2018</v>
      </c>
      <c r="C522" s="163">
        <v>20031600065</v>
      </c>
      <c r="D522" s="163" t="s">
        <v>696</v>
      </c>
      <c r="E522" s="163" t="s">
        <v>389</v>
      </c>
      <c r="F522" s="163" t="s">
        <v>100</v>
      </c>
      <c r="G522" s="163"/>
      <c r="H522" s="163">
        <v>20</v>
      </c>
      <c r="I522" s="163">
        <v>3</v>
      </c>
      <c r="J522" s="163">
        <v>16</v>
      </c>
      <c r="K522" s="163">
        <v>0</v>
      </c>
      <c r="L522" s="163">
        <v>1</v>
      </c>
      <c r="M522" s="163">
        <v>4</v>
      </c>
      <c r="N522" s="163">
        <v>542</v>
      </c>
      <c r="O522" s="163">
        <v>0</v>
      </c>
      <c r="P522" s="163">
        <v>7409</v>
      </c>
      <c r="Q522" s="163">
        <v>25080.7</v>
      </c>
      <c r="R522" s="163">
        <v>46.274354244000001</v>
      </c>
      <c r="S522" s="163">
        <v>3.3851666892000001</v>
      </c>
      <c r="T522" s="163">
        <v>13.669741696999999</v>
      </c>
      <c r="U522" s="161">
        <f t="shared" si="16"/>
        <v>2.5746237796686385E-3</v>
      </c>
      <c r="V522" s="161">
        <f t="shared" si="17"/>
        <v>7.5595831158767064E-4</v>
      </c>
    </row>
    <row r="523" spans="2:22">
      <c r="B523" s="163">
        <v>2018</v>
      </c>
      <c r="C523" s="163">
        <v>20031600066</v>
      </c>
      <c r="D523" s="163" t="s">
        <v>697</v>
      </c>
      <c r="E523" s="163" t="s">
        <v>389</v>
      </c>
      <c r="F523" s="163" t="s">
        <v>100</v>
      </c>
      <c r="G523" s="163"/>
      <c r="H523" s="163">
        <v>20</v>
      </c>
      <c r="I523" s="163">
        <v>3</v>
      </c>
      <c r="J523" s="163">
        <v>16</v>
      </c>
      <c r="K523" s="163">
        <v>0</v>
      </c>
      <c r="L523" s="163">
        <v>1</v>
      </c>
      <c r="M523" s="163">
        <v>4</v>
      </c>
      <c r="N523" s="163">
        <v>605</v>
      </c>
      <c r="O523" s="163">
        <v>0</v>
      </c>
      <c r="P523" s="163">
        <v>7044</v>
      </c>
      <c r="Q523" s="163">
        <v>44406.71</v>
      </c>
      <c r="R523" s="163">
        <v>73.399520660999997</v>
      </c>
      <c r="S523" s="163">
        <v>6.3041893809999996</v>
      </c>
      <c r="T523" s="163">
        <v>11.642975206999999</v>
      </c>
      <c r="U523" s="161">
        <f t="shared" ref="U523:U554" si="18">P523/SUM($P$491:$P$618)</f>
        <v>2.447786462948561E-3</v>
      </c>
      <c r="V523" s="161">
        <f t="shared" si="17"/>
        <v>7.1871647277953188E-4</v>
      </c>
    </row>
    <row r="524" spans="2:22">
      <c r="B524" s="163">
        <v>2018</v>
      </c>
      <c r="C524" s="163">
        <v>20031600067</v>
      </c>
      <c r="D524" s="163" t="s">
        <v>698</v>
      </c>
      <c r="E524" s="163" t="s">
        <v>389</v>
      </c>
      <c r="F524" s="163" t="s">
        <v>100</v>
      </c>
      <c r="G524" s="163"/>
      <c r="H524" s="163">
        <v>20</v>
      </c>
      <c r="I524" s="163">
        <v>3</v>
      </c>
      <c r="J524" s="163">
        <v>16</v>
      </c>
      <c r="K524" s="163">
        <v>0</v>
      </c>
      <c r="L524" s="163">
        <v>1</v>
      </c>
      <c r="M524" s="163">
        <v>4</v>
      </c>
      <c r="N524" s="163">
        <v>147</v>
      </c>
      <c r="O524" s="163">
        <v>0</v>
      </c>
      <c r="P524" s="163">
        <v>1907</v>
      </c>
      <c r="Q524" s="163">
        <v>19863.599999999999</v>
      </c>
      <c r="R524" s="163">
        <v>135.12653061</v>
      </c>
      <c r="S524" s="163">
        <v>10.416151022999999</v>
      </c>
      <c r="T524" s="163">
        <v>12.972789116</v>
      </c>
      <c r="U524" s="161">
        <f t="shared" si="18"/>
        <v>6.6268154242517122E-4</v>
      </c>
      <c r="V524" s="161">
        <f t="shared" si="17"/>
        <v>1.9457585371813845E-4</v>
      </c>
    </row>
    <row r="525" spans="2:22">
      <c r="B525" s="163">
        <v>2018</v>
      </c>
      <c r="C525" s="163">
        <v>20031600068</v>
      </c>
      <c r="D525" s="163" t="s">
        <v>699</v>
      </c>
      <c r="E525" s="163" t="s">
        <v>389</v>
      </c>
      <c r="F525" s="163" t="s">
        <v>100</v>
      </c>
      <c r="G525" s="163"/>
      <c r="H525" s="163">
        <v>20</v>
      </c>
      <c r="I525" s="163">
        <v>3</v>
      </c>
      <c r="J525" s="163">
        <v>16</v>
      </c>
      <c r="K525" s="163">
        <v>0</v>
      </c>
      <c r="L525" s="163">
        <v>1</v>
      </c>
      <c r="M525" s="163">
        <v>4</v>
      </c>
      <c r="N525" s="163">
        <v>217</v>
      </c>
      <c r="O525" s="163">
        <v>0</v>
      </c>
      <c r="P525" s="163">
        <v>2666</v>
      </c>
      <c r="Q525" s="163">
        <v>31271.8</v>
      </c>
      <c r="R525" s="163">
        <v>144.10967742</v>
      </c>
      <c r="S525" s="163">
        <v>11.729857464</v>
      </c>
      <c r="T525" s="163">
        <v>12.285714285999999</v>
      </c>
      <c r="U525" s="161">
        <f t="shared" si="18"/>
        <v>9.2643366130335946E-4</v>
      </c>
      <c r="V525" s="161">
        <f t="shared" si="17"/>
        <v>2.7201847195204885E-4</v>
      </c>
    </row>
    <row r="526" spans="2:22">
      <c r="B526" s="163">
        <v>2018</v>
      </c>
      <c r="C526" s="163">
        <v>20031600069</v>
      </c>
      <c r="D526" s="163" t="s">
        <v>700</v>
      </c>
      <c r="E526" s="163" t="s">
        <v>389</v>
      </c>
      <c r="F526" s="163" t="s">
        <v>100</v>
      </c>
      <c r="G526" s="163"/>
      <c r="H526" s="163">
        <v>20</v>
      </c>
      <c r="I526" s="163">
        <v>3</v>
      </c>
      <c r="J526" s="163">
        <v>16</v>
      </c>
      <c r="K526" s="163">
        <v>0</v>
      </c>
      <c r="L526" s="163">
        <v>1</v>
      </c>
      <c r="M526" s="163">
        <v>4</v>
      </c>
      <c r="N526" s="163">
        <v>87</v>
      </c>
      <c r="O526" s="163">
        <v>0</v>
      </c>
      <c r="P526" s="163">
        <v>1260</v>
      </c>
      <c r="Q526" s="163">
        <v>21879.45</v>
      </c>
      <c r="R526" s="163">
        <v>251.48793103</v>
      </c>
      <c r="S526" s="163">
        <v>17.364642857</v>
      </c>
      <c r="T526" s="163">
        <v>14.482758621</v>
      </c>
      <c r="U526" s="161">
        <f t="shared" si="18"/>
        <v>4.3784936730766424E-4</v>
      </c>
      <c r="V526" s="161">
        <f t="shared" si="17"/>
        <v>1.2856086821439667E-4</v>
      </c>
    </row>
    <row r="527" spans="2:22">
      <c r="B527" s="163">
        <v>2018</v>
      </c>
      <c r="C527" s="163">
        <v>20031600070</v>
      </c>
      <c r="D527" s="163" t="s">
        <v>701</v>
      </c>
      <c r="E527" s="163" t="s">
        <v>389</v>
      </c>
      <c r="F527" s="163" t="s">
        <v>100</v>
      </c>
      <c r="G527" s="163"/>
      <c r="H527" s="163">
        <v>20</v>
      </c>
      <c r="I527" s="163">
        <v>3</v>
      </c>
      <c r="J527" s="163">
        <v>16</v>
      </c>
      <c r="K527" s="163">
        <v>0</v>
      </c>
      <c r="L527" s="163">
        <v>1</v>
      </c>
      <c r="M527" s="163">
        <v>4</v>
      </c>
      <c r="N527" s="163">
        <v>3277</v>
      </c>
      <c r="O527" s="163">
        <v>0</v>
      </c>
      <c r="P527" s="163">
        <v>47660</v>
      </c>
      <c r="Q527" s="163">
        <v>206057.21</v>
      </c>
      <c r="R527" s="163">
        <v>62.879832164</v>
      </c>
      <c r="S527" s="163">
        <v>4.3234832144000004</v>
      </c>
      <c r="T527" s="163">
        <v>14.543790052</v>
      </c>
      <c r="U527" s="161">
        <f t="shared" si="18"/>
        <v>1.6561826068161332E-2</v>
      </c>
      <c r="V527" s="161">
        <f t="shared" si="17"/>
        <v>4.8628658564270994E-3</v>
      </c>
    </row>
    <row r="528" spans="2:22">
      <c r="B528" s="163">
        <v>2018</v>
      </c>
      <c r="C528" s="163">
        <v>20031600071</v>
      </c>
      <c r="D528" s="163" t="s">
        <v>702</v>
      </c>
      <c r="E528" s="163" t="s">
        <v>389</v>
      </c>
      <c r="F528" s="163" t="s">
        <v>100</v>
      </c>
      <c r="G528" s="163"/>
      <c r="H528" s="163">
        <v>20</v>
      </c>
      <c r="I528" s="163">
        <v>3</v>
      </c>
      <c r="J528" s="163">
        <v>16</v>
      </c>
      <c r="K528" s="163">
        <v>0</v>
      </c>
      <c r="L528" s="163">
        <v>1</v>
      </c>
      <c r="M528" s="163">
        <v>4</v>
      </c>
      <c r="N528" s="163">
        <v>3802</v>
      </c>
      <c r="O528" s="163">
        <v>0</v>
      </c>
      <c r="P528" s="163">
        <v>53135</v>
      </c>
      <c r="Q528" s="163">
        <v>345172.7</v>
      </c>
      <c r="R528" s="163">
        <v>90.787138347999999</v>
      </c>
      <c r="S528" s="163">
        <v>6.4961456667000004</v>
      </c>
      <c r="T528" s="163">
        <v>13.975539189999999</v>
      </c>
      <c r="U528" s="161">
        <f t="shared" si="18"/>
        <v>1.8464385818962491E-2</v>
      </c>
      <c r="V528" s="161">
        <f t="shared" si="17"/>
        <v>5.4214934385491808E-3</v>
      </c>
    </row>
    <row r="529" spans="2:22">
      <c r="B529" s="163">
        <v>2018</v>
      </c>
      <c r="C529" s="163">
        <v>20031600072</v>
      </c>
      <c r="D529" s="163" t="s">
        <v>703</v>
      </c>
      <c r="E529" s="163" t="s">
        <v>389</v>
      </c>
      <c r="F529" s="163" t="s">
        <v>100</v>
      </c>
      <c r="G529" s="163"/>
      <c r="H529" s="163">
        <v>20</v>
      </c>
      <c r="I529" s="163">
        <v>3</v>
      </c>
      <c r="J529" s="163">
        <v>16</v>
      </c>
      <c r="K529" s="163">
        <v>0</v>
      </c>
      <c r="L529" s="163">
        <v>1</v>
      </c>
      <c r="M529" s="163">
        <v>4</v>
      </c>
      <c r="N529" s="163">
        <v>1705</v>
      </c>
      <c r="O529" s="163">
        <v>0</v>
      </c>
      <c r="P529" s="163">
        <v>24878</v>
      </c>
      <c r="Q529" s="163">
        <v>207757.2</v>
      </c>
      <c r="R529" s="163">
        <v>121.85173021</v>
      </c>
      <c r="S529" s="163">
        <v>8.3510410804999999</v>
      </c>
      <c r="T529" s="163">
        <v>14.591202345999999</v>
      </c>
      <c r="U529" s="161">
        <f t="shared" si="18"/>
        <v>8.6450925078413263E-3</v>
      </c>
      <c r="V529" s="161">
        <f t="shared" si="17"/>
        <v>2.5383629201886988E-3</v>
      </c>
    </row>
    <row r="530" spans="2:22">
      <c r="B530" s="163">
        <v>2018</v>
      </c>
      <c r="C530" s="163">
        <v>20031600073</v>
      </c>
      <c r="D530" s="163" t="s">
        <v>704</v>
      </c>
      <c r="E530" s="163" t="s">
        <v>389</v>
      </c>
      <c r="F530" s="163" t="s">
        <v>100</v>
      </c>
      <c r="G530" s="163"/>
      <c r="H530" s="163">
        <v>20</v>
      </c>
      <c r="I530" s="163">
        <v>3</v>
      </c>
      <c r="J530" s="163">
        <v>16</v>
      </c>
      <c r="K530" s="163">
        <v>0</v>
      </c>
      <c r="L530" s="163">
        <v>1</v>
      </c>
      <c r="M530" s="163">
        <v>4</v>
      </c>
      <c r="N530" s="163">
        <v>554</v>
      </c>
      <c r="O530" s="163">
        <v>0</v>
      </c>
      <c r="P530" s="163">
        <v>8188</v>
      </c>
      <c r="Q530" s="163">
        <v>130294.56</v>
      </c>
      <c r="R530" s="163">
        <v>235.18873646</v>
      </c>
      <c r="S530" s="163">
        <v>15.912867610999999</v>
      </c>
      <c r="T530" s="163">
        <v>14.779783394000001</v>
      </c>
      <c r="U530" s="161">
        <f t="shared" si="18"/>
        <v>2.8453258885040912E-3</v>
      </c>
      <c r="V530" s="161">
        <f t="shared" si="17"/>
        <v>8.3544157852339675E-4</v>
      </c>
    </row>
    <row r="531" spans="2:22">
      <c r="B531" s="163">
        <v>2018</v>
      </c>
      <c r="C531" s="163">
        <v>20031600075</v>
      </c>
      <c r="D531" s="163" t="s">
        <v>705</v>
      </c>
      <c r="E531" s="163" t="s">
        <v>389</v>
      </c>
      <c r="F531" s="163" t="s">
        <v>100</v>
      </c>
      <c r="G531" s="163"/>
      <c r="H531" s="163">
        <v>20</v>
      </c>
      <c r="I531" s="163">
        <v>3</v>
      </c>
      <c r="J531" s="163">
        <v>16</v>
      </c>
      <c r="K531" s="163">
        <v>0</v>
      </c>
      <c r="L531" s="163">
        <v>1</v>
      </c>
      <c r="M531" s="163">
        <v>4</v>
      </c>
      <c r="N531" s="163">
        <v>1113</v>
      </c>
      <c r="O531" s="163">
        <v>0</v>
      </c>
      <c r="P531" s="163">
        <v>12608</v>
      </c>
      <c r="Q531" s="163">
        <v>56756.88</v>
      </c>
      <c r="R531" s="163">
        <v>50.994501348</v>
      </c>
      <c r="S531" s="163">
        <v>4.5016560914000001</v>
      </c>
      <c r="T531" s="163">
        <v>11.327942498000001</v>
      </c>
      <c r="U531" s="161">
        <f t="shared" si="18"/>
        <v>4.381273669059548E-3</v>
      </c>
      <c r="V531" s="161">
        <f t="shared" si="17"/>
        <v>1.2864249416246931E-3</v>
      </c>
    </row>
    <row r="532" spans="2:22">
      <c r="B532" s="163">
        <v>2018</v>
      </c>
      <c r="C532" s="163">
        <v>20031600076</v>
      </c>
      <c r="D532" s="163" t="s">
        <v>706</v>
      </c>
      <c r="E532" s="163" t="s">
        <v>389</v>
      </c>
      <c r="F532" s="163" t="s">
        <v>100</v>
      </c>
      <c r="G532" s="163"/>
      <c r="H532" s="163">
        <v>20</v>
      </c>
      <c r="I532" s="163">
        <v>3</v>
      </c>
      <c r="J532" s="163">
        <v>16</v>
      </c>
      <c r="K532" s="163">
        <v>0</v>
      </c>
      <c r="L532" s="163">
        <v>1</v>
      </c>
      <c r="M532" s="163">
        <v>4</v>
      </c>
      <c r="N532" s="163">
        <v>1447</v>
      </c>
      <c r="O532" s="163">
        <v>0</v>
      </c>
      <c r="P532" s="163">
        <v>17112</v>
      </c>
      <c r="Q532" s="163">
        <v>106511.67</v>
      </c>
      <c r="R532" s="163">
        <v>73.60861783</v>
      </c>
      <c r="S532" s="163">
        <v>6.2243846423999996</v>
      </c>
      <c r="T532" s="163">
        <v>11.825846579</v>
      </c>
      <c r="U532" s="161">
        <f t="shared" si="18"/>
        <v>5.9464114074355163E-3</v>
      </c>
      <c r="V532" s="161">
        <f t="shared" si="17"/>
        <v>1.7459790292736158E-3</v>
      </c>
    </row>
    <row r="533" spans="2:22">
      <c r="B533" s="163">
        <v>2018</v>
      </c>
      <c r="C533" s="163">
        <v>20031600077</v>
      </c>
      <c r="D533" s="163" t="s">
        <v>707</v>
      </c>
      <c r="E533" s="163" t="s">
        <v>389</v>
      </c>
      <c r="F533" s="163" t="s">
        <v>100</v>
      </c>
      <c r="G533" s="163"/>
      <c r="H533" s="163">
        <v>20</v>
      </c>
      <c r="I533" s="163">
        <v>3</v>
      </c>
      <c r="J533" s="163">
        <v>16</v>
      </c>
      <c r="K533" s="163">
        <v>0</v>
      </c>
      <c r="L533" s="163">
        <v>1</v>
      </c>
      <c r="M533" s="163">
        <v>4</v>
      </c>
      <c r="N533" s="163">
        <v>311</v>
      </c>
      <c r="O533" s="163">
        <v>0</v>
      </c>
      <c r="P533" s="163">
        <v>4450</v>
      </c>
      <c r="Q533" s="163">
        <v>49835.56</v>
      </c>
      <c r="R533" s="163">
        <v>160.2429582</v>
      </c>
      <c r="S533" s="163">
        <v>11.199002246999999</v>
      </c>
      <c r="T533" s="163">
        <v>14.308681672000001</v>
      </c>
      <c r="U533" s="161">
        <f t="shared" si="18"/>
        <v>1.546372765491354E-3</v>
      </c>
      <c r="V533" s="161">
        <f t="shared" si="17"/>
        <v>4.5404433615402E-4</v>
      </c>
    </row>
    <row r="534" spans="2:22">
      <c r="B534" s="163">
        <v>2018</v>
      </c>
      <c r="C534" s="163">
        <v>20031600078</v>
      </c>
      <c r="D534" s="163" t="s">
        <v>708</v>
      </c>
      <c r="E534" s="163" t="s">
        <v>389</v>
      </c>
      <c r="F534" s="163" t="s">
        <v>100</v>
      </c>
      <c r="G534" s="163"/>
      <c r="H534" s="163">
        <v>20</v>
      </c>
      <c r="I534" s="163">
        <v>3</v>
      </c>
      <c r="J534" s="163">
        <v>16</v>
      </c>
      <c r="K534" s="163">
        <v>0</v>
      </c>
      <c r="L534" s="163">
        <v>1</v>
      </c>
      <c r="M534" s="163">
        <v>4</v>
      </c>
      <c r="N534" s="163">
        <v>34</v>
      </c>
      <c r="O534" s="163">
        <v>0</v>
      </c>
      <c r="P534" s="163">
        <v>348</v>
      </c>
      <c r="Q534" s="163">
        <v>2986.23</v>
      </c>
      <c r="R534" s="163">
        <v>87.830294117999998</v>
      </c>
      <c r="S534" s="163">
        <v>8.5811206897000005</v>
      </c>
      <c r="T534" s="163">
        <v>10.235294118000001</v>
      </c>
      <c r="U534" s="161">
        <f t="shared" si="18"/>
        <v>1.209298252564025E-4</v>
      </c>
      <c r="V534" s="161">
        <f t="shared" si="17"/>
        <v>3.5507287411595273E-5</v>
      </c>
    </row>
    <row r="535" spans="2:22">
      <c r="B535" s="163">
        <v>2018</v>
      </c>
      <c r="C535" s="163">
        <v>20031600079</v>
      </c>
      <c r="D535" s="163" t="s">
        <v>709</v>
      </c>
      <c r="E535" s="163" t="s">
        <v>389</v>
      </c>
      <c r="F535" s="163" t="s">
        <v>100</v>
      </c>
      <c r="G535" s="163"/>
      <c r="H535" s="163">
        <v>20</v>
      </c>
      <c r="I535" s="163">
        <v>3</v>
      </c>
      <c r="J535" s="163">
        <v>16</v>
      </c>
      <c r="K535" s="163">
        <v>0</v>
      </c>
      <c r="L535" s="163">
        <v>1</v>
      </c>
      <c r="M535" s="163">
        <v>4</v>
      </c>
      <c r="N535" s="163">
        <v>959</v>
      </c>
      <c r="O535" s="163">
        <v>0</v>
      </c>
      <c r="P535" s="163">
        <v>10400</v>
      </c>
      <c r="Q535" s="163">
        <v>12584</v>
      </c>
      <c r="R535" s="163">
        <v>13.122002086</v>
      </c>
      <c r="S535" s="163">
        <v>1.21</v>
      </c>
      <c r="T535" s="163">
        <v>10.844629823</v>
      </c>
      <c r="U535" s="161">
        <f t="shared" si="18"/>
        <v>3.6139947777775461E-3</v>
      </c>
      <c r="V535" s="161">
        <f t="shared" si="17"/>
        <v>1.0611373249442264E-3</v>
      </c>
    </row>
    <row r="536" spans="2:22">
      <c r="B536" s="163">
        <v>2018</v>
      </c>
      <c r="C536" s="163">
        <v>20031600080</v>
      </c>
      <c r="D536" s="163" t="s">
        <v>710</v>
      </c>
      <c r="E536" s="163" t="s">
        <v>389</v>
      </c>
      <c r="F536" s="163" t="s">
        <v>100</v>
      </c>
      <c r="G536" s="163"/>
      <c r="H536" s="163">
        <v>20</v>
      </c>
      <c r="I536" s="163">
        <v>3</v>
      </c>
      <c r="J536" s="163">
        <v>16</v>
      </c>
      <c r="K536" s="163">
        <v>0</v>
      </c>
      <c r="L536" s="163">
        <v>1</v>
      </c>
      <c r="M536" s="163">
        <v>4</v>
      </c>
      <c r="N536" s="163">
        <v>2126</v>
      </c>
      <c r="O536" s="163">
        <v>0</v>
      </c>
      <c r="P536" s="163">
        <v>24755</v>
      </c>
      <c r="Q536" s="163">
        <v>58916.9</v>
      </c>
      <c r="R536" s="163">
        <v>27.712558796</v>
      </c>
      <c r="S536" s="163">
        <v>2.38</v>
      </c>
      <c r="T536" s="163">
        <v>11.643932267</v>
      </c>
      <c r="U536" s="161">
        <f t="shared" si="18"/>
        <v>8.6023500696041488E-3</v>
      </c>
      <c r="V536" s="161">
        <f t="shared" si="17"/>
        <v>2.5258129306725313E-3</v>
      </c>
    </row>
    <row r="537" spans="2:22">
      <c r="B537" s="163">
        <v>2018</v>
      </c>
      <c r="C537" s="163">
        <v>20031600081</v>
      </c>
      <c r="D537" s="163" t="s">
        <v>711</v>
      </c>
      <c r="E537" s="163" t="s">
        <v>389</v>
      </c>
      <c r="F537" s="163" t="s">
        <v>100</v>
      </c>
      <c r="G537" s="163"/>
      <c r="H537" s="163">
        <v>20</v>
      </c>
      <c r="I537" s="163">
        <v>3</v>
      </c>
      <c r="J537" s="163">
        <v>16</v>
      </c>
      <c r="K537" s="163">
        <v>0</v>
      </c>
      <c r="L537" s="163">
        <v>1</v>
      </c>
      <c r="M537" s="163">
        <v>4</v>
      </c>
      <c r="N537" s="163">
        <v>692</v>
      </c>
      <c r="O537" s="163">
        <v>0</v>
      </c>
      <c r="P537" s="163">
        <v>9218</v>
      </c>
      <c r="Q537" s="163">
        <v>38715.599999999999</v>
      </c>
      <c r="R537" s="163">
        <v>55.947398843999999</v>
      </c>
      <c r="S537" s="163">
        <v>4.2</v>
      </c>
      <c r="T537" s="163">
        <v>13.320809249</v>
      </c>
      <c r="U537" s="161">
        <f t="shared" si="18"/>
        <v>3.2032503713032134E-3</v>
      </c>
      <c r="V537" s="161">
        <f t="shared" si="17"/>
        <v>9.4053498666691151E-4</v>
      </c>
    </row>
    <row r="538" spans="2:22">
      <c r="B538" s="163">
        <v>2018</v>
      </c>
      <c r="C538" s="163">
        <v>20031600082</v>
      </c>
      <c r="D538" s="163" t="s">
        <v>712</v>
      </c>
      <c r="E538" s="163" t="s">
        <v>389</v>
      </c>
      <c r="F538" s="163" t="s">
        <v>100</v>
      </c>
      <c r="G538" s="163"/>
      <c r="H538" s="163">
        <v>20</v>
      </c>
      <c r="I538" s="163">
        <v>3</v>
      </c>
      <c r="J538" s="163">
        <v>16</v>
      </c>
      <c r="K538" s="163">
        <v>0</v>
      </c>
      <c r="L538" s="163">
        <v>1</v>
      </c>
      <c r="M538" s="163">
        <v>4</v>
      </c>
      <c r="N538" s="163">
        <v>160</v>
      </c>
      <c r="O538" s="163">
        <v>0</v>
      </c>
      <c r="P538" s="163">
        <v>1593</v>
      </c>
      <c r="Q538" s="163">
        <v>7646.4</v>
      </c>
      <c r="R538" s="163">
        <v>47.79</v>
      </c>
      <c r="S538" s="163">
        <v>4.8</v>
      </c>
      <c r="T538" s="163">
        <v>9.9562500000000007</v>
      </c>
      <c r="U538" s="161">
        <f t="shared" si="18"/>
        <v>5.5356670009611836E-4</v>
      </c>
      <c r="V538" s="161">
        <f t="shared" si="17"/>
        <v>1.6253766909963009E-4</v>
      </c>
    </row>
    <row r="539" spans="2:22">
      <c r="B539" s="163">
        <v>2018</v>
      </c>
      <c r="C539" s="163">
        <v>20031600083</v>
      </c>
      <c r="D539" s="163" t="s">
        <v>713</v>
      </c>
      <c r="E539" s="163" t="s">
        <v>389</v>
      </c>
      <c r="F539" s="163" t="s">
        <v>100</v>
      </c>
      <c r="G539" s="163"/>
      <c r="H539" s="163">
        <v>20</v>
      </c>
      <c r="I539" s="163">
        <v>3</v>
      </c>
      <c r="J539" s="163">
        <v>16</v>
      </c>
      <c r="K539" s="163">
        <v>0</v>
      </c>
      <c r="L539" s="163">
        <v>1</v>
      </c>
      <c r="M539" s="163">
        <v>4</v>
      </c>
      <c r="N539" s="163">
        <v>158</v>
      </c>
      <c r="O539" s="163">
        <v>0</v>
      </c>
      <c r="P539" s="163">
        <v>1366</v>
      </c>
      <c r="Q539" s="163">
        <v>5122.5</v>
      </c>
      <c r="R539" s="163">
        <v>32.420886076000002</v>
      </c>
      <c r="S539" s="163">
        <v>3.75</v>
      </c>
      <c r="T539" s="163">
        <v>8.6455696202999999</v>
      </c>
      <c r="U539" s="161">
        <f t="shared" si="18"/>
        <v>4.7468431408116614E-4</v>
      </c>
      <c r="V539" s="161">
        <f t="shared" si="17"/>
        <v>1.3937630633402052E-4</v>
      </c>
    </row>
    <row r="540" spans="2:22">
      <c r="B540" s="163">
        <v>2018</v>
      </c>
      <c r="C540" s="163">
        <v>20031600084</v>
      </c>
      <c r="D540" s="163" t="s">
        <v>714</v>
      </c>
      <c r="E540" s="163" t="s">
        <v>389</v>
      </c>
      <c r="F540" s="163" t="s">
        <v>100</v>
      </c>
      <c r="G540" s="163"/>
      <c r="H540" s="163">
        <v>20</v>
      </c>
      <c r="I540" s="163">
        <v>3</v>
      </c>
      <c r="J540" s="163">
        <v>16</v>
      </c>
      <c r="K540" s="163">
        <v>0</v>
      </c>
      <c r="L540" s="163">
        <v>1</v>
      </c>
      <c r="M540" s="163">
        <v>4</v>
      </c>
      <c r="N540" s="163">
        <v>99</v>
      </c>
      <c r="O540" s="163">
        <v>0</v>
      </c>
      <c r="P540" s="163">
        <v>1269</v>
      </c>
      <c r="Q540" s="163">
        <v>6941.43</v>
      </c>
      <c r="R540" s="163">
        <v>70.115454545000006</v>
      </c>
      <c r="S540" s="163">
        <v>5.47</v>
      </c>
      <c r="T540" s="163">
        <v>12.818181817999999</v>
      </c>
      <c r="U540" s="161">
        <f t="shared" si="18"/>
        <v>4.409768627884333E-4</v>
      </c>
      <c r="V540" s="161">
        <f t="shared" si="17"/>
        <v>1.294791601302138E-4</v>
      </c>
    </row>
    <row r="541" spans="2:22">
      <c r="B541" s="163">
        <v>2018</v>
      </c>
      <c r="C541" s="163">
        <v>20031600085</v>
      </c>
      <c r="D541" s="163" t="s">
        <v>715</v>
      </c>
      <c r="E541" s="163" t="s">
        <v>389</v>
      </c>
      <c r="F541" s="163" t="s">
        <v>100</v>
      </c>
      <c r="G541" s="163"/>
      <c r="H541" s="163">
        <v>20</v>
      </c>
      <c r="I541" s="163">
        <v>3</v>
      </c>
      <c r="J541" s="163">
        <v>16</v>
      </c>
      <c r="K541" s="163">
        <v>0</v>
      </c>
      <c r="L541" s="163">
        <v>1</v>
      </c>
      <c r="M541" s="163">
        <v>4</v>
      </c>
      <c r="N541" s="163">
        <v>5</v>
      </c>
      <c r="O541" s="163">
        <v>0</v>
      </c>
      <c r="P541" s="163">
        <v>64</v>
      </c>
      <c r="Q541" s="163">
        <v>658.56</v>
      </c>
      <c r="R541" s="163">
        <v>131.71199999999999</v>
      </c>
      <c r="S541" s="163">
        <v>10.29</v>
      </c>
      <c r="T541" s="163">
        <v>12.8</v>
      </c>
      <c r="U541" s="161">
        <f t="shared" si="18"/>
        <v>2.2239967863246439E-5</v>
      </c>
      <c r="V541" s="161">
        <f t="shared" si="17"/>
        <v>6.5300758458106248E-6</v>
      </c>
    </row>
    <row r="542" spans="2:22">
      <c r="B542" s="163">
        <v>2018</v>
      </c>
      <c r="C542" s="163">
        <v>20031600086</v>
      </c>
      <c r="D542" s="163" t="s">
        <v>716</v>
      </c>
      <c r="E542" s="163" t="s">
        <v>389</v>
      </c>
      <c r="F542" s="163" t="s">
        <v>100</v>
      </c>
      <c r="G542" s="163"/>
      <c r="H542" s="163">
        <v>20</v>
      </c>
      <c r="I542" s="163">
        <v>3</v>
      </c>
      <c r="J542" s="163">
        <v>16</v>
      </c>
      <c r="K542" s="163">
        <v>0</v>
      </c>
      <c r="L542" s="163">
        <v>1</v>
      </c>
      <c r="M542" s="163">
        <v>4</v>
      </c>
      <c r="N542" s="163">
        <v>16</v>
      </c>
      <c r="O542" s="163">
        <v>0</v>
      </c>
      <c r="P542" s="163">
        <v>198</v>
      </c>
      <c r="Q542" s="163">
        <v>3088.8</v>
      </c>
      <c r="R542" s="163">
        <v>193.05</v>
      </c>
      <c r="S542" s="163">
        <v>15.6</v>
      </c>
      <c r="T542" s="163">
        <v>12.375</v>
      </c>
      <c r="U542" s="161">
        <f t="shared" si="18"/>
        <v>6.8804900576918663E-5</v>
      </c>
      <c r="V542" s="161">
        <f t="shared" si="17"/>
        <v>2.020242214797662E-5</v>
      </c>
    </row>
    <row r="543" spans="2:22">
      <c r="B543" s="163">
        <v>2018</v>
      </c>
      <c r="C543" s="163">
        <v>20031600087</v>
      </c>
      <c r="D543" s="163" t="s">
        <v>717</v>
      </c>
      <c r="E543" s="163" t="s">
        <v>389</v>
      </c>
      <c r="F543" s="163" t="s">
        <v>100</v>
      </c>
      <c r="G543" s="163"/>
      <c r="H543" s="163">
        <v>20</v>
      </c>
      <c r="I543" s="163">
        <v>3</v>
      </c>
      <c r="J543" s="163">
        <v>16</v>
      </c>
      <c r="K543" s="163">
        <v>0</v>
      </c>
      <c r="L543" s="163">
        <v>1</v>
      </c>
      <c r="M543" s="163">
        <v>4</v>
      </c>
      <c r="N543" s="163">
        <v>20</v>
      </c>
      <c r="O543" s="163">
        <v>0</v>
      </c>
      <c r="P543" s="163">
        <v>248</v>
      </c>
      <c r="Q543" s="163">
        <v>2172.48</v>
      </c>
      <c r="R543" s="163">
        <v>108.624</v>
      </c>
      <c r="S543" s="163">
        <v>8.76</v>
      </c>
      <c r="T543" s="163">
        <v>12.4</v>
      </c>
      <c r="U543" s="161">
        <f t="shared" si="18"/>
        <v>8.6179875470079951E-5</v>
      </c>
      <c r="V543" s="161">
        <f t="shared" si="17"/>
        <v>2.5304043902516171E-5</v>
      </c>
    </row>
    <row r="544" spans="2:22">
      <c r="B544" s="163">
        <v>2018</v>
      </c>
      <c r="C544" s="163">
        <v>20031600088</v>
      </c>
      <c r="D544" s="163" t="s">
        <v>718</v>
      </c>
      <c r="E544" s="163" t="s">
        <v>389</v>
      </c>
      <c r="F544" s="163" t="s">
        <v>100</v>
      </c>
      <c r="G544" s="163"/>
      <c r="H544" s="163">
        <v>20</v>
      </c>
      <c r="I544" s="163">
        <v>3</v>
      </c>
      <c r="J544" s="163">
        <v>16</v>
      </c>
      <c r="K544" s="163">
        <v>0</v>
      </c>
      <c r="L544" s="163">
        <v>1</v>
      </c>
      <c r="M544" s="163">
        <v>4</v>
      </c>
      <c r="N544" s="163">
        <v>38</v>
      </c>
      <c r="O544" s="163">
        <v>0</v>
      </c>
      <c r="P544" s="163">
        <v>384</v>
      </c>
      <c r="Q544" s="163">
        <v>583.67999999999995</v>
      </c>
      <c r="R544" s="163">
        <v>15.36</v>
      </c>
      <c r="S544" s="163">
        <v>1.52</v>
      </c>
      <c r="T544" s="163">
        <v>10.105263158</v>
      </c>
      <c r="U544" s="161">
        <f t="shared" si="18"/>
        <v>1.3343980717947862E-4</v>
      </c>
      <c r="V544" s="161">
        <f t="shared" si="17"/>
        <v>3.9180455074863746E-5</v>
      </c>
    </row>
    <row r="545" spans="2:22">
      <c r="B545" s="163">
        <v>2018</v>
      </c>
      <c r="C545" s="163">
        <v>20031600089</v>
      </c>
      <c r="D545" s="163" t="s">
        <v>719</v>
      </c>
      <c r="E545" s="163" t="s">
        <v>389</v>
      </c>
      <c r="F545" s="163" t="s">
        <v>100</v>
      </c>
      <c r="G545" s="163"/>
      <c r="H545" s="163">
        <v>20</v>
      </c>
      <c r="I545" s="163">
        <v>3</v>
      </c>
      <c r="J545" s="163">
        <v>16</v>
      </c>
      <c r="K545" s="163">
        <v>0</v>
      </c>
      <c r="L545" s="163">
        <v>1</v>
      </c>
      <c r="M545" s="163">
        <v>4</v>
      </c>
      <c r="N545" s="163">
        <v>224</v>
      </c>
      <c r="O545" s="163">
        <v>0</v>
      </c>
      <c r="P545" s="163">
        <v>1503</v>
      </c>
      <c r="Q545" s="163">
        <v>3051.09</v>
      </c>
      <c r="R545" s="163">
        <v>13.6209375</v>
      </c>
      <c r="S545" s="163">
        <v>2.0299999999999998</v>
      </c>
      <c r="T545" s="163">
        <v>6.7098214285999997</v>
      </c>
      <c r="U545" s="161">
        <f t="shared" si="18"/>
        <v>5.2229174528842801E-4</v>
      </c>
      <c r="V545" s="161">
        <f t="shared" si="17"/>
        <v>1.5335474994145889E-4</v>
      </c>
    </row>
    <row r="546" spans="2:22">
      <c r="B546" s="163">
        <v>2018</v>
      </c>
      <c r="C546" s="163">
        <v>20031600090</v>
      </c>
      <c r="D546" s="163" t="s">
        <v>720</v>
      </c>
      <c r="E546" s="163" t="s">
        <v>389</v>
      </c>
      <c r="F546" s="163" t="s">
        <v>100</v>
      </c>
      <c r="G546" s="163"/>
      <c r="H546" s="163">
        <v>20</v>
      </c>
      <c r="I546" s="163">
        <v>3</v>
      </c>
      <c r="J546" s="163">
        <v>16</v>
      </c>
      <c r="K546" s="163">
        <v>0</v>
      </c>
      <c r="L546" s="163">
        <v>1</v>
      </c>
      <c r="M546" s="163">
        <v>4</v>
      </c>
      <c r="N546" s="163">
        <v>92</v>
      </c>
      <c r="O546" s="163">
        <v>0</v>
      </c>
      <c r="P546" s="163">
        <v>1603</v>
      </c>
      <c r="Q546" s="163">
        <v>6508.18</v>
      </c>
      <c r="R546" s="163">
        <v>70.741086956999993</v>
      </c>
      <c r="S546" s="163">
        <v>4.0599999999999996</v>
      </c>
      <c r="T546" s="163">
        <v>17.423913042999999</v>
      </c>
      <c r="U546" s="161">
        <f t="shared" si="18"/>
        <v>5.5704169507475067E-4</v>
      </c>
      <c r="V546" s="161">
        <f t="shared" si="17"/>
        <v>1.63557993450538E-4</v>
      </c>
    </row>
    <row r="547" spans="2:22">
      <c r="B547" s="163">
        <v>2018</v>
      </c>
      <c r="C547" s="163">
        <v>20031600091</v>
      </c>
      <c r="D547" s="163" t="s">
        <v>721</v>
      </c>
      <c r="E547" s="163" t="s">
        <v>389</v>
      </c>
      <c r="F547" s="163" t="s">
        <v>100</v>
      </c>
      <c r="G547" s="163"/>
      <c r="H547" s="163">
        <v>20</v>
      </c>
      <c r="I547" s="163">
        <v>3</v>
      </c>
      <c r="J547" s="163">
        <v>16</v>
      </c>
      <c r="K547" s="163">
        <v>0</v>
      </c>
      <c r="L547" s="163">
        <v>1</v>
      </c>
      <c r="M547" s="163">
        <v>4</v>
      </c>
      <c r="N547" s="163">
        <v>44</v>
      </c>
      <c r="O547" s="163">
        <v>0</v>
      </c>
      <c r="P547" s="163">
        <v>394</v>
      </c>
      <c r="Q547" s="163">
        <v>2805.28</v>
      </c>
      <c r="R547" s="163">
        <v>63.756363636000003</v>
      </c>
      <c r="S547" s="163">
        <v>7.12</v>
      </c>
      <c r="T547" s="163">
        <v>8.9545454544999998</v>
      </c>
      <c r="U547" s="161">
        <f t="shared" si="18"/>
        <v>1.3691480215811087E-4</v>
      </c>
      <c r="V547" s="161">
        <f t="shared" si="17"/>
        <v>4.0200779425771661E-5</v>
      </c>
    </row>
    <row r="548" spans="2:22">
      <c r="B548" s="163">
        <v>2018</v>
      </c>
      <c r="C548" s="163">
        <v>20031600092</v>
      </c>
      <c r="D548" s="163" t="s">
        <v>722</v>
      </c>
      <c r="E548" s="163" t="s">
        <v>389</v>
      </c>
      <c r="F548" s="163" t="s">
        <v>100</v>
      </c>
      <c r="G548" s="163"/>
      <c r="H548" s="163">
        <v>20</v>
      </c>
      <c r="I548" s="163">
        <v>3</v>
      </c>
      <c r="J548" s="163">
        <v>16</v>
      </c>
      <c r="K548" s="163">
        <v>0</v>
      </c>
      <c r="L548" s="163">
        <v>1</v>
      </c>
      <c r="M548" s="163">
        <v>4</v>
      </c>
      <c r="N548" s="163">
        <v>37</v>
      </c>
      <c r="O548" s="163">
        <v>0</v>
      </c>
      <c r="P548" s="163">
        <v>380</v>
      </c>
      <c r="Q548" s="163">
        <v>3868.4</v>
      </c>
      <c r="R548" s="163">
        <v>104.55135135</v>
      </c>
      <c r="S548" s="163">
        <v>10.18</v>
      </c>
      <c r="T548" s="163">
        <v>10.270270269999999</v>
      </c>
      <c r="U548" s="161">
        <f t="shared" si="18"/>
        <v>1.3204980918802572E-4</v>
      </c>
      <c r="V548" s="161">
        <f t="shared" si="17"/>
        <v>3.8772325334500585E-5</v>
      </c>
    </row>
    <row r="549" spans="2:22">
      <c r="B549" s="163">
        <v>2018</v>
      </c>
      <c r="C549" s="163">
        <v>20031600093</v>
      </c>
      <c r="D549" s="163" t="s">
        <v>590</v>
      </c>
      <c r="E549" s="163" t="s">
        <v>389</v>
      </c>
      <c r="F549" s="163" t="s">
        <v>100</v>
      </c>
      <c r="G549" s="163"/>
      <c r="H549" s="163">
        <v>20</v>
      </c>
      <c r="I549" s="163">
        <v>3</v>
      </c>
      <c r="J549" s="163">
        <v>16</v>
      </c>
      <c r="K549" s="163">
        <v>0</v>
      </c>
      <c r="L549" s="163">
        <v>1</v>
      </c>
      <c r="M549" s="163">
        <v>4</v>
      </c>
      <c r="N549" s="163">
        <v>32137</v>
      </c>
      <c r="O549" s="163">
        <v>0</v>
      </c>
      <c r="P549" s="163">
        <v>437609</v>
      </c>
      <c r="Q549" s="163">
        <v>955264.2</v>
      </c>
      <c r="R549" s="163">
        <v>29.724747176000001</v>
      </c>
      <c r="S549" s="163">
        <v>2.1829171704000001</v>
      </c>
      <c r="T549" s="163">
        <v>13.616983539</v>
      </c>
      <c r="U549" s="161">
        <f t="shared" si="18"/>
        <v>0.15206890776042828</v>
      </c>
      <c r="V549" s="161">
        <f t="shared" si="17"/>
        <v>4.4650311887645962E-2</v>
      </c>
    </row>
    <row r="550" spans="2:22">
      <c r="B550" s="163">
        <v>2018</v>
      </c>
      <c r="C550" s="163">
        <v>20031600094</v>
      </c>
      <c r="D550" s="163" t="s">
        <v>591</v>
      </c>
      <c r="E550" s="163" t="s">
        <v>389</v>
      </c>
      <c r="F550" s="163" t="s">
        <v>100</v>
      </c>
      <c r="G550" s="163"/>
      <c r="H550" s="163">
        <v>20</v>
      </c>
      <c r="I550" s="163">
        <v>3</v>
      </c>
      <c r="J550" s="163">
        <v>16</v>
      </c>
      <c r="K550" s="163">
        <v>0</v>
      </c>
      <c r="L550" s="163">
        <v>1</v>
      </c>
      <c r="M550" s="163">
        <v>4</v>
      </c>
      <c r="N550" s="163">
        <v>11543</v>
      </c>
      <c r="O550" s="163">
        <v>0</v>
      </c>
      <c r="P550" s="163">
        <v>167097</v>
      </c>
      <c r="Q550" s="163">
        <v>451656.81</v>
      </c>
      <c r="R550" s="163">
        <v>39.128199774999999</v>
      </c>
      <c r="S550" s="163">
        <v>2.7029618125999999</v>
      </c>
      <c r="T550" s="163">
        <v>14.476046089</v>
      </c>
      <c r="U550" s="161">
        <f t="shared" si="18"/>
        <v>5.8066123594451409E-2</v>
      </c>
      <c r="V550" s="161">
        <f t="shared" si="17"/>
        <v>1.7049313806365905E-2</v>
      </c>
    </row>
    <row r="551" spans="2:22">
      <c r="B551" s="163">
        <v>2018</v>
      </c>
      <c r="C551" s="163">
        <v>20031600095</v>
      </c>
      <c r="D551" s="163" t="s">
        <v>592</v>
      </c>
      <c r="E551" s="163" t="s">
        <v>389</v>
      </c>
      <c r="F551" s="163" t="s">
        <v>100</v>
      </c>
      <c r="G551" s="163"/>
      <c r="H551" s="163">
        <v>20</v>
      </c>
      <c r="I551" s="163">
        <v>3</v>
      </c>
      <c r="J551" s="163">
        <v>16</v>
      </c>
      <c r="K551" s="163">
        <v>0</v>
      </c>
      <c r="L551" s="163">
        <v>1</v>
      </c>
      <c r="M551" s="163">
        <v>4</v>
      </c>
      <c r="N551" s="163">
        <v>4598</v>
      </c>
      <c r="O551" s="163">
        <v>0</v>
      </c>
      <c r="P551" s="163">
        <v>67884</v>
      </c>
      <c r="Q551" s="163">
        <v>367066.9</v>
      </c>
      <c r="R551" s="163">
        <v>79.831861678999999</v>
      </c>
      <c r="S551" s="163">
        <v>5.4072668081000002</v>
      </c>
      <c r="T551" s="163">
        <v>14.763810352</v>
      </c>
      <c r="U551" s="161">
        <f t="shared" si="18"/>
        <v>2.3589655912947205E-2</v>
      </c>
      <c r="V551" s="161">
        <f t="shared" si="17"/>
        <v>6.9263698237032574E-3</v>
      </c>
    </row>
    <row r="552" spans="2:22">
      <c r="B552" s="163">
        <v>2018</v>
      </c>
      <c r="C552" s="163">
        <v>20031600096</v>
      </c>
      <c r="D552" s="163" t="s">
        <v>593</v>
      </c>
      <c r="E552" s="163" t="s">
        <v>389</v>
      </c>
      <c r="F552" s="163" t="s">
        <v>100</v>
      </c>
      <c r="G552" s="163"/>
      <c r="H552" s="163">
        <v>20</v>
      </c>
      <c r="I552" s="163">
        <v>3</v>
      </c>
      <c r="J552" s="163">
        <v>16</v>
      </c>
      <c r="K552" s="163">
        <v>0</v>
      </c>
      <c r="L552" s="163">
        <v>1</v>
      </c>
      <c r="M552" s="163">
        <v>4</v>
      </c>
      <c r="N552" s="163">
        <v>1096</v>
      </c>
      <c r="O552" s="163">
        <v>0</v>
      </c>
      <c r="P552" s="163">
        <v>15448</v>
      </c>
      <c r="Q552" s="163">
        <v>122337.86</v>
      </c>
      <c r="R552" s="163">
        <v>111.62213504</v>
      </c>
      <c r="S552" s="163">
        <v>7.919333247</v>
      </c>
      <c r="T552" s="163">
        <v>14.094890510999999</v>
      </c>
      <c r="U552" s="161">
        <f t="shared" si="18"/>
        <v>5.3681722429911091E-3</v>
      </c>
      <c r="V552" s="161">
        <f t="shared" si="17"/>
        <v>1.5761970572825395E-3</v>
      </c>
    </row>
    <row r="553" spans="2:22">
      <c r="B553" s="163">
        <v>2018</v>
      </c>
      <c r="C553" s="163">
        <v>20031600097</v>
      </c>
      <c r="D553" s="163" t="s">
        <v>594</v>
      </c>
      <c r="E553" s="163" t="s">
        <v>389</v>
      </c>
      <c r="F553" s="163" t="s">
        <v>100</v>
      </c>
      <c r="G553" s="163"/>
      <c r="H553" s="163">
        <v>20</v>
      </c>
      <c r="I553" s="163">
        <v>3</v>
      </c>
      <c r="J553" s="163">
        <v>16</v>
      </c>
      <c r="K553" s="163">
        <v>0</v>
      </c>
      <c r="L553" s="163">
        <v>1</v>
      </c>
      <c r="M553" s="163">
        <v>4</v>
      </c>
      <c r="N553" s="163">
        <v>588</v>
      </c>
      <c r="O553" s="163">
        <v>0</v>
      </c>
      <c r="P553" s="163">
        <v>9961</v>
      </c>
      <c r="Q553" s="163">
        <v>102109.52</v>
      </c>
      <c r="R553" s="163">
        <v>173.65564626</v>
      </c>
      <c r="S553" s="163">
        <v>10.250930629000001</v>
      </c>
      <c r="T553" s="163">
        <v>16.940476189999998</v>
      </c>
      <c r="U553" s="161">
        <f t="shared" si="18"/>
        <v>3.4614424982155902E-3</v>
      </c>
      <c r="V553" s="161">
        <f t="shared" si="17"/>
        <v>1.0163450859393692E-3</v>
      </c>
    </row>
    <row r="554" spans="2:22">
      <c r="B554" s="163">
        <v>2018</v>
      </c>
      <c r="C554" s="163">
        <v>20031600098</v>
      </c>
      <c r="D554" s="163" t="s">
        <v>595</v>
      </c>
      <c r="E554" s="163" t="s">
        <v>389</v>
      </c>
      <c r="F554" s="163" t="s">
        <v>100</v>
      </c>
      <c r="G554" s="163"/>
      <c r="H554" s="163">
        <v>20</v>
      </c>
      <c r="I554" s="163">
        <v>3</v>
      </c>
      <c r="J554" s="163">
        <v>16</v>
      </c>
      <c r="K554" s="163">
        <v>0</v>
      </c>
      <c r="L554" s="163">
        <v>1</v>
      </c>
      <c r="M554" s="163">
        <v>4</v>
      </c>
      <c r="N554" s="163">
        <v>1888</v>
      </c>
      <c r="O554" s="163">
        <v>0</v>
      </c>
      <c r="P554" s="163">
        <v>24567</v>
      </c>
      <c r="Q554" s="163">
        <v>135994.99</v>
      </c>
      <c r="R554" s="163">
        <v>72.031244702999999</v>
      </c>
      <c r="S554" s="163">
        <v>5.5356775348999996</v>
      </c>
      <c r="T554" s="163">
        <v>13.012182203</v>
      </c>
      <c r="U554" s="161">
        <f t="shared" si="18"/>
        <v>8.5370201640058638E-3</v>
      </c>
      <c r="V554" s="161">
        <f t="shared" si="17"/>
        <v>2.5066308328754628E-3</v>
      </c>
    </row>
    <row r="555" spans="2:22">
      <c r="B555" s="163">
        <v>2018</v>
      </c>
      <c r="C555" s="163">
        <v>20031600099</v>
      </c>
      <c r="D555" s="163" t="s">
        <v>596</v>
      </c>
      <c r="E555" s="163" t="s">
        <v>389</v>
      </c>
      <c r="F555" s="163" t="s">
        <v>100</v>
      </c>
      <c r="G555" s="163"/>
      <c r="H555" s="163">
        <v>20</v>
      </c>
      <c r="I555" s="163">
        <v>3</v>
      </c>
      <c r="J555" s="163">
        <v>16</v>
      </c>
      <c r="K555" s="163">
        <v>0</v>
      </c>
      <c r="L555" s="163">
        <v>1</v>
      </c>
      <c r="M555" s="163">
        <v>4</v>
      </c>
      <c r="N555" s="163">
        <v>1824</v>
      </c>
      <c r="O555" s="163">
        <v>0</v>
      </c>
      <c r="P555" s="163">
        <v>26351</v>
      </c>
      <c r="Q555" s="163">
        <v>130862.04</v>
      </c>
      <c r="R555" s="163">
        <v>71.744539474000007</v>
      </c>
      <c r="S555" s="163">
        <v>4.966112861</v>
      </c>
      <c r="T555" s="163">
        <v>14.446820174999999</v>
      </c>
      <c r="U555" s="161">
        <f t="shared" ref="U555:U586" si="19">P555/SUM($P$491:$P$618)</f>
        <v>9.156959268193857E-3</v>
      </c>
      <c r="V555" s="161">
        <f t="shared" si="17"/>
        <v>2.6886566970774337E-3</v>
      </c>
    </row>
    <row r="556" spans="2:22">
      <c r="B556" s="163">
        <v>2018</v>
      </c>
      <c r="C556" s="163">
        <v>20031600100</v>
      </c>
      <c r="D556" s="163" t="s">
        <v>597</v>
      </c>
      <c r="E556" s="163" t="s">
        <v>389</v>
      </c>
      <c r="F556" s="163" t="s">
        <v>100</v>
      </c>
      <c r="G556" s="163"/>
      <c r="H556" s="163">
        <v>20</v>
      </c>
      <c r="I556" s="163">
        <v>3</v>
      </c>
      <c r="J556" s="163">
        <v>16</v>
      </c>
      <c r="K556" s="163">
        <v>0</v>
      </c>
      <c r="L556" s="163">
        <v>1</v>
      </c>
      <c r="M556" s="163">
        <v>4</v>
      </c>
      <c r="N556" s="163">
        <v>2746</v>
      </c>
      <c r="O556" s="163">
        <v>0</v>
      </c>
      <c r="P556" s="163">
        <v>45957</v>
      </c>
      <c r="Q556" s="163">
        <v>62572.04</v>
      </c>
      <c r="R556" s="163">
        <v>22.786613255999999</v>
      </c>
      <c r="S556" s="163">
        <v>1.3615344779</v>
      </c>
      <c r="T556" s="163">
        <v>16.735979607000001</v>
      </c>
      <c r="U556" s="161">
        <f t="shared" si="19"/>
        <v>1.5970034423300257E-2</v>
      </c>
      <c r="V556" s="161">
        <f t="shared" si="17"/>
        <v>4.6891046194674829E-3</v>
      </c>
    </row>
    <row r="557" spans="2:22">
      <c r="B557" s="163">
        <v>2018</v>
      </c>
      <c r="C557" s="163">
        <v>20031600101</v>
      </c>
      <c r="D557" s="163" t="s">
        <v>598</v>
      </c>
      <c r="E557" s="163" t="s">
        <v>389</v>
      </c>
      <c r="F557" s="163" t="s">
        <v>100</v>
      </c>
      <c r="G557" s="163"/>
      <c r="H557" s="163">
        <v>20</v>
      </c>
      <c r="I557" s="163">
        <v>3</v>
      </c>
      <c r="J557" s="163">
        <v>16</v>
      </c>
      <c r="K557" s="163">
        <v>0</v>
      </c>
      <c r="L557" s="163">
        <v>1</v>
      </c>
      <c r="M557" s="163">
        <v>4</v>
      </c>
      <c r="N557" s="163">
        <v>6827</v>
      </c>
      <c r="O557" s="163">
        <v>0</v>
      </c>
      <c r="P557" s="163">
        <v>89339</v>
      </c>
      <c r="Q557" s="163">
        <v>230768.18</v>
      </c>
      <c r="R557" s="163">
        <v>33.802282114999997</v>
      </c>
      <c r="S557" s="163">
        <v>2.5830620446000001</v>
      </c>
      <c r="T557" s="163">
        <v>13.086128606999999</v>
      </c>
      <c r="U557" s="161">
        <f t="shared" si="19"/>
        <v>3.1045257639602711E-2</v>
      </c>
      <c r="V557" s="161">
        <f t="shared" si="17"/>
        <v>9.1154757185761773E-3</v>
      </c>
    </row>
    <row r="558" spans="2:22">
      <c r="B558" s="163">
        <v>2018</v>
      </c>
      <c r="C558" s="163">
        <v>20031600102</v>
      </c>
      <c r="D558" s="163" t="s">
        <v>599</v>
      </c>
      <c r="E558" s="163" t="s">
        <v>389</v>
      </c>
      <c r="F558" s="163" t="s">
        <v>100</v>
      </c>
      <c r="G558" s="163"/>
      <c r="H558" s="163">
        <v>20</v>
      </c>
      <c r="I558" s="163">
        <v>3</v>
      </c>
      <c r="J558" s="163">
        <v>16</v>
      </c>
      <c r="K558" s="163">
        <v>0</v>
      </c>
      <c r="L558" s="163">
        <v>1</v>
      </c>
      <c r="M558" s="163">
        <v>4</v>
      </c>
      <c r="N558" s="163">
        <v>2992</v>
      </c>
      <c r="O558" s="163">
        <v>0</v>
      </c>
      <c r="P558" s="163">
        <v>39436</v>
      </c>
      <c r="Q558" s="163">
        <v>170974.84</v>
      </c>
      <c r="R558" s="163">
        <v>57.143997325999997</v>
      </c>
      <c r="S558" s="163">
        <v>4.3355015722000001</v>
      </c>
      <c r="T558" s="163">
        <v>13.180481283000001</v>
      </c>
      <c r="U558" s="161">
        <f t="shared" si="19"/>
        <v>1.3703990197734165E-2</v>
      </c>
      <c r="V558" s="161">
        <f t="shared" si="17"/>
        <v>4.0237511102404347E-3</v>
      </c>
    </row>
    <row r="559" spans="2:22">
      <c r="B559" s="163">
        <v>2018</v>
      </c>
      <c r="C559" s="163">
        <v>20031600103</v>
      </c>
      <c r="D559" s="163" t="s">
        <v>600</v>
      </c>
      <c r="E559" s="163" t="s">
        <v>389</v>
      </c>
      <c r="F559" s="163" t="s">
        <v>100</v>
      </c>
      <c r="G559" s="163"/>
      <c r="H559" s="163">
        <v>20</v>
      </c>
      <c r="I559" s="163">
        <v>3</v>
      </c>
      <c r="J559" s="163">
        <v>16</v>
      </c>
      <c r="K559" s="163">
        <v>0</v>
      </c>
      <c r="L559" s="163">
        <v>1</v>
      </c>
      <c r="M559" s="163">
        <v>4</v>
      </c>
      <c r="N559" s="163">
        <v>2635</v>
      </c>
      <c r="O559" s="163">
        <v>0</v>
      </c>
      <c r="P559" s="163">
        <v>43598</v>
      </c>
      <c r="Q559" s="163">
        <v>308499.01</v>
      </c>
      <c r="R559" s="163">
        <v>117.07742315</v>
      </c>
      <c r="S559" s="163">
        <v>7.0759899536999997</v>
      </c>
      <c r="T559" s="163">
        <v>16.545730549999998</v>
      </c>
      <c r="U559" s="161">
        <f t="shared" si="19"/>
        <v>1.5150283107840909E-2</v>
      </c>
      <c r="V559" s="161">
        <f t="shared" si="17"/>
        <v>4.4484101050883068E-3</v>
      </c>
    </row>
    <row r="560" spans="2:22">
      <c r="B560" s="163">
        <v>2018</v>
      </c>
      <c r="C560" s="163">
        <v>20031600104</v>
      </c>
      <c r="D560" s="163" t="s">
        <v>601</v>
      </c>
      <c r="E560" s="163" t="s">
        <v>389</v>
      </c>
      <c r="F560" s="163" t="s">
        <v>100</v>
      </c>
      <c r="G560" s="163"/>
      <c r="H560" s="163">
        <v>20</v>
      </c>
      <c r="I560" s="163">
        <v>3</v>
      </c>
      <c r="J560" s="163">
        <v>16</v>
      </c>
      <c r="K560" s="163">
        <v>0</v>
      </c>
      <c r="L560" s="163">
        <v>1</v>
      </c>
      <c r="M560" s="163">
        <v>4</v>
      </c>
      <c r="N560" s="163">
        <v>1254</v>
      </c>
      <c r="O560" s="163">
        <v>0</v>
      </c>
      <c r="P560" s="163">
        <v>17328</v>
      </c>
      <c r="Q560" s="163">
        <v>102722.76</v>
      </c>
      <c r="R560" s="163">
        <v>81.916076555000004</v>
      </c>
      <c r="S560" s="163">
        <v>5.9281371190999996</v>
      </c>
      <c r="T560" s="163">
        <v>13.818181817999999</v>
      </c>
      <c r="U560" s="161">
        <f t="shared" si="19"/>
        <v>6.0214712989739728E-3</v>
      </c>
      <c r="V560" s="161">
        <f t="shared" si="17"/>
        <v>1.7680180352532267E-3</v>
      </c>
    </row>
    <row r="561" spans="2:22">
      <c r="B561" s="163">
        <v>2018</v>
      </c>
      <c r="C561" s="163">
        <v>20031600105</v>
      </c>
      <c r="D561" s="163" t="s">
        <v>723</v>
      </c>
      <c r="E561" s="163" t="s">
        <v>389</v>
      </c>
      <c r="F561" s="163" t="s">
        <v>100</v>
      </c>
      <c r="G561" s="163"/>
      <c r="H561" s="163">
        <v>20</v>
      </c>
      <c r="I561" s="163">
        <v>3</v>
      </c>
      <c r="J561" s="163">
        <v>16</v>
      </c>
      <c r="K561" s="163">
        <v>0</v>
      </c>
      <c r="L561" s="163">
        <v>1</v>
      </c>
      <c r="M561" s="163">
        <v>4</v>
      </c>
      <c r="N561" s="163">
        <v>135</v>
      </c>
      <c r="O561" s="163">
        <v>0</v>
      </c>
      <c r="P561" s="163">
        <v>1298</v>
      </c>
      <c r="Q561" s="163">
        <v>5256.9</v>
      </c>
      <c r="R561" s="163">
        <v>38.94</v>
      </c>
      <c r="S561" s="163">
        <v>4.05</v>
      </c>
      <c r="T561" s="163">
        <v>9.6148148148000008</v>
      </c>
      <c r="U561" s="161">
        <f t="shared" si="19"/>
        <v>4.5105434822646681E-4</v>
      </c>
      <c r="V561" s="161">
        <f t="shared" si="17"/>
        <v>1.3243810074784675E-4</v>
      </c>
    </row>
    <row r="562" spans="2:22">
      <c r="B562" s="163">
        <v>2018</v>
      </c>
      <c r="C562" s="163">
        <v>20031600106</v>
      </c>
      <c r="D562" s="163" t="s">
        <v>724</v>
      </c>
      <c r="E562" s="163" t="s">
        <v>389</v>
      </c>
      <c r="F562" s="163" t="s">
        <v>100</v>
      </c>
      <c r="G562" s="163"/>
      <c r="H562" s="163">
        <v>20</v>
      </c>
      <c r="I562" s="163">
        <v>3</v>
      </c>
      <c r="J562" s="163">
        <v>16</v>
      </c>
      <c r="K562" s="163">
        <v>0</v>
      </c>
      <c r="L562" s="163">
        <v>1</v>
      </c>
      <c r="M562" s="163">
        <v>4</v>
      </c>
      <c r="N562" s="163">
        <v>95</v>
      </c>
      <c r="O562" s="163">
        <v>0</v>
      </c>
      <c r="P562" s="163">
        <v>1197</v>
      </c>
      <c r="Q562" s="163">
        <v>8642.34</v>
      </c>
      <c r="R562" s="163">
        <v>90.971999999999994</v>
      </c>
      <c r="S562" s="163">
        <v>7.22</v>
      </c>
      <c r="T562" s="163">
        <v>12.6</v>
      </c>
      <c r="U562" s="161">
        <f t="shared" si="19"/>
        <v>4.1595689894228101E-4</v>
      </c>
      <c r="V562" s="161">
        <f t="shared" si="17"/>
        <v>1.2213282480367683E-4</v>
      </c>
    </row>
    <row r="563" spans="2:22">
      <c r="B563" s="163">
        <v>2018</v>
      </c>
      <c r="C563" s="163">
        <v>20031600107</v>
      </c>
      <c r="D563" s="163" t="s">
        <v>725</v>
      </c>
      <c r="E563" s="163" t="s">
        <v>389</v>
      </c>
      <c r="F563" s="163" t="s">
        <v>100</v>
      </c>
      <c r="G563" s="163"/>
      <c r="H563" s="163">
        <v>20</v>
      </c>
      <c r="I563" s="163">
        <v>3</v>
      </c>
      <c r="J563" s="163">
        <v>16</v>
      </c>
      <c r="K563" s="163">
        <v>0</v>
      </c>
      <c r="L563" s="163">
        <v>1</v>
      </c>
      <c r="M563" s="163">
        <v>4</v>
      </c>
      <c r="N563" s="163">
        <v>55</v>
      </c>
      <c r="O563" s="163">
        <v>0</v>
      </c>
      <c r="P563" s="163">
        <v>563</v>
      </c>
      <c r="Q563" s="163">
        <v>7645.54</v>
      </c>
      <c r="R563" s="163">
        <v>139.00981818</v>
      </c>
      <c r="S563" s="163">
        <v>13.58</v>
      </c>
      <c r="T563" s="163">
        <v>10.236363636</v>
      </c>
      <c r="U563" s="161">
        <f t="shared" si="19"/>
        <v>1.9564221729699601E-4</v>
      </c>
      <c r="V563" s="161">
        <f t="shared" si="17"/>
        <v>5.744426095611534E-5</v>
      </c>
    </row>
    <row r="564" spans="2:22">
      <c r="B564" s="163">
        <v>2018</v>
      </c>
      <c r="C564" s="163">
        <v>20031600109</v>
      </c>
      <c r="D564" s="163" t="s">
        <v>726</v>
      </c>
      <c r="E564" s="163" t="s">
        <v>389</v>
      </c>
      <c r="F564" s="163" t="s">
        <v>100</v>
      </c>
      <c r="G564" s="163"/>
      <c r="H564" s="163">
        <v>20</v>
      </c>
      <c r="I564" s="163">
        <v>3</v>
      </c>
      <c r="J564" s="163">
        <v>16</v>
      </c>
      <c r="K564" s="163">
        <v>0</v>
      </c>
      <c r="L564" s="163">
        <v>1</v>
      </c>
      <c r="M564" s="163">
        <v>4</v>
      </c>
      <c r="N564" s="163">
        <v>23</v>
      </c>
      <c r="O564" s="163">
        <v>0</v>
      </c>
      <c r="P564" s="163">
        <v>458</v>
      </c>
      <c r="Q564" s="163">
        <v>5294.48</v>
      </c>
      <c r="R564" s="163">
        <v>230.19478261</v>
      </c>
      <c r="S564" s="163">
        <v>11.56</v>
      </c>
      <c r="T564" s="163">
        <v>19.913043477999999</v>
      </c>
      <c r="U564" s="161">
        <f t="shared" si="19"/>
        <v>1.5915477002135731E-4</v>
      </c>
      <c r="V564" s="161">
        <f t="shared" si="17"/>
        <v>4.6730855271582284E-5</v>
      </c>
    </row>
    <row r="565" spans="2:22">
      <c r="B565" s="163">
        <v>2018</v>
      </c>
      <c r="C565" s="163">
        <v>20031600110</v>
      </c>
      <c r="D565" s="163" t="s">
        <v>602</v>
      </c>
      <c r="E565" s="163" t="s">
        <v>389</v>
      </c>
      <c r="F565" s="163" t="s">
        <v>100</v>
      </c>
      <c r="G565" s="163"/>
      <c r="H565" s="163">
        <v>20</v>
      </c>
      <c r="I565" s="163">
        <v>3</v>
      </c>
      <c r="J565" s="163">
        <v>16</v>
      </c>
      <c r="K565" s="163">
        <v>0</v>
      </c>
      <c r="L565" s="163">
        <v>1</v>
      </c>
      <c r="M565" s="163">
        <v>4</v>
      </c>
      <c r="N565" s="163">
        <v>13385</v>
      </c>
      <c r="O565" s="163">
        <v>0</v>
      </c>
      <c r="P565" s="163">
        <v>170700</v>
      </c>
      <c r="Q565" s="163">
        <v>242245.34</v>
      </c>
      <c r="R565" s="163">
        <v>18.098269705</v>
      </c>
      <c r="S565" s="163">
        <v>1.4191291154000001</v>
      </c>
      <c r="T565" s="163">
        <v>12.753081807999999</v>
      </c>
      <c r="U565" s="161">
        <f t="shared" si="19"/>
        <v>5.9318164285252606E-2</v>
      </c>
      <c r="V565" s="161">
        <f t="shared" si="17"/>
        <v>1.7416936669998027E-2</v>
      </c>
    </row>
    <row r="566" spans="2:22">
      <c r="B566" s="163">
        <v>2018</v>
      </c>
      <c r="C566" s="163">
        <v>20031600111</v>
      </c>
      <c r="D566" s="163" t="s">
        <v>727</v>
      </c>
      <c r="E566" s="163" t="s">
        <v>389</v>
      </c>
      <c r="F566" s="163" t="s">
        <v>100</v>
      </c>
      <c r="G566" s="163"/>
      <c r="H566" s="163">
        <v>20</v>
      </c>
      <c r="I566" s="163">
        <v>3</v>
      </c>
      <c r="J566" s="163">
        <v>16</v>
      </c>
      <c r="K566" s="163">
        <v>0</v>
      </c>
      <c r="L566" s="163">
        <v>1</v>
      </c>
      <c r="M566" s="163">
        <v>4</v>
      </c>
      <c r="N566" s="163">
        <v>582</v>
      </c>
      <c r="O566" s="163">
        <v>0</v>
      </c>
      <c r="P566" s="163">
        <v>7851</v>
      </c>
      <c r="Q566" s="163">
        <v>20098.560000000001</v>
      </c>
      <c r="R566" s="163">
        <v>34.533608246999997</v>
      </c>
      <c r="S566" s="163">
        <v>2.56</v>
      </c>
      <c r="T566" s="163">
        <v>13.489690722000001</v>
      </c>
      <c r="U566" s="161">
        <f t="shared" si="19"/>
        <v>2.7282185577241842E-3</v>
      </c>
      <c r="V566" s="161">
        <f t="shared" si="17"/>
        <v>8.0105664789780027E-4</v>
      </c>
    </row>
    <row r="567" spans="2:22">
      <c r="B567" s="163">
        <v>2018</v>
      </c>
      <c r="C567" s="163">
        <v>20031600112</v>
      </c>
      <c r="D567" s="163" t="s">
        <v>728</v>
      </c>
      <c r="E567" s="163" t="s">
        <v>389</v>
      </c>
      <c r="F567" s="163" t="s">
        <v>100</v>
      </c>
      <c r="G567" s="163"/>
      <c r="H567" s="163">
        <v>20</v>
      </c>
      <c r="I567" s="163">
        <v>3</v>
      </c>
      <c r="J567" s="163">
        <v>16</v>
      </c>
      <c r="K567" s="163">
        <v>0</v>
      </c>
      <c r="L567" s="163">
        <v>1</v>
      </c>
      <c r="M567" s="163">
        <v>4</v>
      </c>
      <c r="N567" s="163">
        <v>317</v>
      </c>
      <c r="O567" s="163">
        <v>0</v>
      </c>
      <c r="P567" s="163">
        <v>3649</v>
      </c>
      <c r="Q567" s="163">
        <v>23937.439999999999</v>
      </c>
      <c r="R567" s="163">
        <v>75.512429022000006</v>
      </c>
      <c r="S567" s="163">
        <v>6.56</v>
      </c>
      <c r="T567" s="163">
        <v>11.511041008999999</v>
      </c>
      <c r="U567" s="161">
        <f t="shared" si="19"/>
        <v>1.2680256677029102E-3</v>
      </c>
      <c r="V567" s="161">
        <f t="shared" si="17"/>
        <v>3.7231635564629641E-4</v>
      </c>
    </row>
    <row r="568" spans="2:22">
      <c r="B568" s="163">
        <v>2018</v>
      </c>
      <c r="C568" s="163">
        <v>20031600113</v>
      </c>
      <c r="D568" s="163" t="s">
        <v>729</v>
      </c>
      <c r="E568" s="163" t="s">
        <v>389</v>
      </c>
      <c r="F568" s="163" t="s">
        <v>100</v>
      </c>
      <c r="G568" s="163"/>
      <c r="H568" s="163">
        <v>20</v>
      </c>
      <c r="I568" s="163">
        <v>3</v>
      </c>
      <c r="J568" s="163">
        <v>16</v>
      </c>
      <c r="K568" s="163">
        <v>0</v>
      </c>
      <c r="L568" s="163">
        <v>1</v>
      </c>
      <c r="M568" s="163">
        <v>4</v>
      </c>
      <c r="N568" s="163">
        <v>98</v>
      </c>
      <c r="O568" s="163">
        <v>0</v>
      </c>
      <c r="P568" s="163">
        <v>1609</v>
      </c>
      <c r="Q568" s="163">
        <v>13081.17</v>
      </c>
      <c r="R568" s="163">
        <v>133.48132652999999</v>
      </c>
      <c r="S568" s="163">
        <v>8.1300000000000008</v>
      </c>
      <c r="T568" s="163">
        <v>16.418367347</v>
      </c>
      <c r="U568" s="161">
        <f t="shared" si="19"/>
        <v>5.5912669206192997E-4</v>
      </c>
      <c r="V568" s="161">
        <f t="shared" si="17"/>
        <v>1.6417018806108273E-4</v>
      </c>
    </row>
    <row r="569" spans="2:22">
      <c r="B569" s="163">
        <v>2018</v>
      </c>
      <c r="C569" s="163">
        <v>20031600114</v>
      </c>
      <c r="D569" s="163" t="s">
        <v>730</v>
      </c>
      <c r="E569" s="163" t="s">
        <v>389</v>
      </c>
      <c r="F569" s="163" t="s">
        <v>100</v>
      </c>
      <c r="G569" s="163"/>
      <c r="H569" s="163">
        <v>20</v>
      </c>
      <c r="I569" s="163">
        <v>3</v>
      </c>
      <c r="J569" s="163">
        <v>16</v>
      </c>
      <c r="K569" s="163">
        <v>0</v>
      </c>
      <c r="L569" s="163">
        <v>1</v>
      </c>
      <c r="M569" s="163">
        <v>4</v>
      </c>
      <c r="N569" s="163">
        <v>7</v>
      </c>
      <c r="O569" s="163">
        <v>0</v>
      </c>
      <c r="P569" s="163">
        <v>111</v>
      </c>
      <c r="Q569" s="163">
        <v>1263.18</v>
      </c>
      <c r="R569" s="163">
        <v>180.45428570999999</v>
      </c>
      <c r="S569" s="163">
        <v>11.38</v>
      </c>
      <c r="T569" s="163">
        <v>15.857142856999999</v>
      </c>
      <c r="U569" s="161">
        <f t="shared" si="19"/>
        <v>3.8572444262818037E-5</v>
      </c>
      <c r="V569" s="161">
        <f t="shared" si="17"/>
        <v>1.1325600295077802E-5</v>
      </c>
    </row>
    <row r="570" spans="2:22">
      <c r="B570" s="163">
        <v>2018</v>
      </c>
      <c r="C570" s="163">
        <v>20031600115</v>
      </c>
      <c r="D570" s="163" t="s">
        <v>731</v>
      </c>
      <c r="E570" s="163" t="s">
        <v>389</v>
      </c>
      <c r="F570" s="163" t="s">
        <v>100</v>
      </c>
      <c r="G570" s="163"/>
      <c r="H570" s="163">
        <v>20</v>
      </c>
      <c r="I570" s="163">
        <v>3</v>
      </c>
      <c r="J570" s="163">
        <v>16</v>
      </c>
      <c r="K570" s="163">
        <v>0</v>
      </c>
      <c r="L570" s="163">
        <v>1</v>
      </c>
      <c r="M570" s="163">
        <v>4</v>
      </c>
      <c r="N570" s="163">
        <v>19</v>
      </c>
      <c r="O570" s="163">
        <v>0</v>
      </c>
      <c r="P570" s="163">
        <v>274</v>
      </c>
      <c r="Q570" s="163">
        <v>4742.9399999999996</v>
      </c>
      <c r="R570" s="163">
        <v>249.62842104999999</v>
      </c>
      <c r="S570" s="163">
        <v>17.309999999999999</v>
      </c>
      <c r="T570" s="163">
        <v>14.421052632</v>
      </c>
      <c r="U570" s="161">
        <f t="shared" si="19"/>
        <v>9.5214862414523814E-5</v>
      </c>
      <c r="V570" s="161">
        <f t="shared" si="17"/>
        <v>2.7956887214876739E-5</v>
      </c>
    </row>
    <row r="571" spans="2:22">
      <c r="B571" s="163">
        <v>2018</v>
      </c>
      <c r="C571" s="163">
        <v>20031600117</v>
      </c>
      <c r="D571" s="163" t="s">
        <v>732</v>
      </c>
      <c r="E571" s="163" t="s">
        <v>389</v>
      </c>
      <c r="F571" s="163" t="s">
        <v>100</v>
      </c>
      <c r="G571" s="163"/>
      <c r="H571" s="163">
        <v>20</v>
      </c>
      <c r="I571" s="163">
        <v>3</v>
      </c>
      <c r="J571" s="163">
        <v>16</v>
      </c>
      <c r="K571" s="163">
        <v>0</v>
      </c>
      <c r="L571" s="163">
        <v>1</v>
      </c>
      <c r="M571" s="163">
        <v>4</v>
      </c>
      <c r="N571" s="163">
        <v>6</v>
      </c>
      <c r="O571" s="163">
        <v>0</v>
      </c>
      <c r="P571" s="163">
        <v>90</v>
      </c>
      <c r="Q571" s="163">
        <v>1112.4000000000001</v>
      </c>
      <c r="R571" s="163">
        <v>185.4</v>
      </c>
      <c r="S571" s="163">
        <v>12.36</v>
      </c>
      <c r="T571" s="163">
        <v>15</v>
      </c>
      <c r="U571" s="161">
        <f t="shared" si="19"/>
        <v>3.1274954807690302E-5</v>
      </c>
      <c r="V571" s="161">
        <f t="shared" si="17"/>
        <v>9.1829191581711905E-6</v>
      </c>
    </row>
    <row r="572" spans="2:22">
      <c r="B572" s="163">
        <v>2018</v>
      </c>
      <c r="C572" s="163">
        <v>20031600118</v>
      </c>
      <c r="D572" s="163" t="s">
        <v>603</v>
      </c>
      <c r="E572" s="163" t="s">
        <v>389</v>
      </c>
      <c r="F572" s="163" t="s">
        <v>100</v>
      </c>
      <c r="G572" s="163"/>
      <c r="H572" s="163">
        <v>20</v>
      </c>
      <c r="I572" s="163">
        <v>3</v>
      </c>
      <c r="J572" s="163">
        <v>16</v>
      </c>
      <c r="K572" s="163">
        <v>0</v>
      </c>
      <c r="L572" s="163">
        <v>1</v>
      </c>
      <c r="M572" s="163">
        <v>4</v>
      </c>
      <c r="N572" s="163">
        <v>1894</v>
      </c>
      <c r="O572" s="163">
        <v>0</v>
      </c>
      <c r="P572" s="163">
        <v>23730</v>
      </c>
      <c r="Q572" s="163">
        <v>82394.16</v>
      </c>
      <c r="R572" s="163">
        <v>43.502724393000001</v>
      </c>
      <c r="S572" s="163">
        <v>3.4721517067000001</v>
      </c>
      <c r="T572" s="163">
        <v>12.529039071</v>
      </c>
      <c r="U572" s="161">
        <f t="shared" si="19"/>
        <v>8.2461630842943431E-3</v>
      </c>
      <c r="V572" s="161">
        <f t="shared" si="17"/>
        <v>2.4212296847044706E-3</v>
      </c>
    </row>
    <row r="573" spans="2:22">
      <c r="B573" s="163">
        <v>2018</v>
      </c>
      <c r="C573" s="163">
        <v>20031600119</v>
      </c>
      <c r="D573" s="163" t="s">
        <v>604</v>
      </c>
      <c r="E573" s="163" t="s">
        <v>389</v>
      </c>
      <c r="F573" s="163" t="s">
        <v>100</v>
      </c>
      <c r="G573" s="163"/>
      <c r="H573" s="163">
        <v>20</v>
      </c>
      <c r="I573" s="163">
        <v>3</v>
      </c>
      <c r="J573" s="163">
        <v>16</v>
      </c>
      <c r="K573" s="163">
        <v>0</v>
      </c>
      <c r="L573" s="163">
        <v>1</v>
      </c>
      <c r="M573" s="163">
        <v>4</v>
      </c>
      <c r="N573" s="163">
        <v>3721</v>
      </c>
      <c r="O573" s="163">
        <v>0</v>
      </c>
      <c r="P573" s="163">
        <v>51341</v>
      </c>
      <c r="Q573" s="163">
        <v>284590.06</v>
      </c>
      <c r="R573" s="163">
        <v>76.482144585</v>
      </c>
      <c r="S573" s="163">
        <v>5.5431343370999997</v>
      </c>
      <c r="T573" s="163">
        <v>13.797635044</v>
      </c>
      <c r="U573" s="161">
        <f t="shared" si="19"/>
        <v>1.7840971719795866E-2</v>
      </c>
      <c r="V573" s="161">
        <f t="shared" si="17"/>
        <v>5.2384472499963017E-3</v>
      </c>
    </row>
    <row r="574" spans="2:22">
      <c r="B574" s="163">
        <v>2018</v>
      </c>
      <c r="C574" s="163">
        <v>20031600120</v>
      </c>
      <c r="D574" s="163" t="s">
        <v>605</v>
      </c>
      <c r="E574" s="163" t="s">
        <v>389</v>
      </c>
      <c r="F574" s="163" t="s">
        <v>100</v>
      </c>
      <c r="G574" s="163"/>
      <c r="H574" s="163">
        <v>20</v>
      </c>
      <c r="I574" s="163">
        <v>3</v>
      </c>
      <c r="J574" s="163">
        <v>16</v>
      </c>
      <c r="K574" s="163">
        <v>0</v>
      </c>
      <c r="L574" s="163">
        <v>1</v>
      </c>
      <c r="M574" s="163">
        <v>4</v>
      </c>
      <c r="N574" s="163">
        <v>2045</v>
      </c>
      <c r="O574" s="163">
        <v>0</v>
      </c>
      <c r="P574" s="163">
        <v>28543</v>
      </c>
      <c r="Q574" s="163">
        <v>207333.48</v>
      </c>
      <c r="R574" s="163">
        <v>101.38556479</v>
      </c>
      <c r="S574" s="163">
        <v>7.2638993798999998</v>
      </c>
      <c r="T574" s="163">
        <v>13.957457213</v>
      </c>
      <c r="U574" s="161">
        <f t="shared" si="19"/>
        <v>9.9186781675100477E-3</v>
      </c>
      <c r="V574" s="161">
        <f t="shared" si="17"/>
        <v>2.9123117947964477E-3</v>
      </c>
    </row>
    <row r="575" spans="2:22">
      <c r="B575" s="163">
        <v>2018</v>
      </c>
      <c r="C575" s="163">
        <v>20031600121</v>
      </c>
      <c r="D575" s="163" t="s">
        <v>606</v>
      </c>
      <c r="E575" s="163" t="s">
        <v>389</v>
      </c>
      <c r="F575" s="163" t="s">
        <v>100</v>
      </c>
      <c r="G575" s="163"/>
      <c r="H575" s="163">
        <v>20</v>
      </c>
      <c r="I575" s="163">
        <v>3</v>
      </c>
      <c r="J575" s="163">
        <v>16</v>
      </c>
      <c r="K575" s="163">
        <v>0</v>
      </c>
      <c r="L575" s="163">
        <v>1</v>
      </c>
      <c r="M575" s="163">
        <v>4</v>
      </c>
      <c r="N575" s="163">
        <v>973</v>
      </c>
      <c r="O575" s="163">
        <v>0</v>
      </c>
      <c r="P575" s="163">
        <v>14737</v>
      </c>
      <c r="Q575" s="163">
        <v>197275.44</v>
      </c>
      <c r="R575" s="163">
        <v>202.74968139999999</v>
      </c>
      <c r="S575" s="163">
        <v>13.386404289</v>
      </c>
      <c r="T575" s="163">
        <v>15.145940391</v>
      </c>
      <c r="U575" s="161">
        <f t="shared" si="19"/>
        <v>5.1211001000103559E-3</v>
      </c>
      <c r="V575" s="161">
        <f t="shared" si="17"/>
        <v>1.5036519959329871E-3</v>
      </c>
    </row>
    <row r="576" spans="2:22">
      <c r="B576" s="163">
        <v>2018</v>
      </c>
      <c r="C576" s="163">
        <v>20031600122</v>
      </c>
      <c r="D576" s="163" t="s">
        <v>607</v>
      </c>
      <c r="E576" s="163" t="s">
        <v>389</v>
      </c>
      <c r="F576" s="163" t="s">
        <v>100</v>
      </c>
      <c r="G576" s="163"/>
      <c r="H576" s="163">
        <v>20</v>
      </c>
      <c r="I576" s="163">
        <v>3</v>
      </c>
      <c r="J576" s="163">
        <v>16</v>
      </c>
      <c r="K576" s="163">
        <v>0</v>
      </c>
      <c r="L576" s="163">
        <v>1</v>
      </c>
      <c r="M576" s="163">
        <v>4</v>
      </c>
      <c r="N576" s="163">
        <v>148</v>
      </c>
      <c r="O576" s="163">
        <v>0</v>
      </c>
      <c r="P576" s="163">
        <v>1903</v>
      </c>
      <c r="Q576" s="163">
        <v>35259.629999999997</v>
      </c>
      <c r="R576" s="163">
        <v>238.24074324</v>
      </c>
      <c r="S576" s="163">
        <v>18.528444561000001</v>
      </c>
      <c r="T576" s="163">
        <v>12.858108108</v>
      </c>
      <c r="U576" s="161">
        <f t="shared" si="19"/>
        <v>6.6129154443371832E-4</v>
      </c>
      <c r="V576" s="161">
        <f t="shared" si="17"/>
        <v>1.941677239777753E-4</v>
      </c>
    </row>
    <row r="577" spans="2:22">
      <c r="B577" s="163">
        <v>2018</v>
      </c>
      <c r="C577" s="163">
        <v>20031600123</v>
      </c>
      <c r="D577" s="163" t="s">
        <v>608</v>
      </c>
      <c r="E577" s="163" t="s">
        <v>389</v>
      </c>
      <c r="F577" s="163" t="s">
        <v>100</v>
      </c>
      <c r="G577" s="163"/>
      <c r="H577" s="163">
        <v>20</v>
      </c>
      <c r="I577" s="163">
        <v>3</v>
      </c>
      <c r="J577" s="163">
        <v>16</v>
      </c>
      <c r="K577" s="163">
        <v>0</v>
      </c>
      <c r="L577" s="163">
        <v>1</v>
      </c>
      <c r="M577" s="163">
        <v>4</v>
      </c>
      <c r="N577" s="163">
        <v>145</v>
      </c>
      <c r="O577" s="163">
        <v>0</v>
      </c>
      <c r="P577" s="163">
        <v>2183</v>
      </c>
      <c r="Q577" s="163">
        <v>52326.53</v>
      </c>
      <c r="R577" s="163">
        <v>360.87262069000002</v>
      </c>
      <c r="S577" s="163">
        <v>23.970009162</v>
      </c>
      <c r="T577" s="163">
        <v>15.055172413999999</v>
      </c>
      <c r="U577" s="161">
        <f t="shared" si="19"/>
        <v>7.5859140383542146E-4</v>
      </c>
      <c r="V577" s="161">
        <f t="shared" si="17"/>
        <v>2.2273680580319678E-4</v>
      </c>
    </row>
    <row r="578" spans="2:22">
      <c r="B578" s="163">
        <v>2018</v>
      </c>
      <c r="C578" s="163">
        <v>20031600124</v>
      </c>
      <c r="D578" s="163" t="s">
        <v>609</v>
      </c>
      <c r="E578" s="163" t="s">
        <v>389</v>
      </c>
      <c r="F578" s="163" t="s">
        <v>100</v>
      </c>
      <c r="G578" s="163"/>
      <c r="H578" s="163">
        <v>20</v>
      </c>
      <c r="I578" s="163">
        <v>3</v>
      </c>
      <c r="J578" s="163">
        <v>16</v>
      </c>
      <c r="K578" s="163">
        <v>0</v>
      </c>
      <c r="L578" s="163">
        <v>1</v>
      </c>
      <c r="M578" s="163">
        <v>4</v>
      </c>
      <c r="N578" s="163">
        <v>325</v>
      </c>
      <c r="O578" s="163">
        <v>0</v>
      </c>
      <c r="P578" s="163">
        <v>4207</v>
      </c>
      <c r="Q578" s="163">
        <v>51056.51</v>
      </c>
      <c r="R578" s="163">
        <v>157.09695385000001</v>
      </c>
      <c r="S578" s="163">
        <v>12.136085096</v>
      </c>
      <c r="T578" s="163">
        <v>12.944615385000001</v>
      </c>
      <c r="U578" s="161">
        <f t="shared" si="19"/>
        <v>1.46193038751059E-3</v>
      </c>
      <c r="V578" s="161">
        <f t="shared" si="17"/>
        <v>4.2925045442695776E-4</v>
      </c>
    </row>
    <row r="579" spans="2:22">
      <c r="B579" s="163">
        <v>2018</v>
      </c>
      <c r="C579" s="163">
        <v>20031600125</v>
      </c>
      <c r="D579" s="163" t="s">
        <v>610</v>
      </c>
      <c r="E579" s="163" t="s">
        <v>389</v>
      </c>
      <c r="F579" s="163" t="s">
        <v>100</v>
      </c>
      <c r="G579" s="163"/>
      <c r="H579" s="163">
        <v>20</v>
      </c>
      <c r="I579" s="163">
        <v>3</v>
      </c>
      <c r="J579" s="163">
        <v>16</v>
      </c>
      <c r="K579" s="163">
        <v>0</v>
      </c>
      <c r="L579" s="163">
        <v>1</v>
      </c>
      <c r="M579" s="163">
        <v>4</v>
      </c>
      <c r="N579" s="163">
        <v>450</v>
      </c>
      <c r="O579" s="163">
        <v>0</v>
      </c>
      <c r="P579" s="163">
        <v>5869</v>
      </c>
      <c r="Q579" s="163">
        <v>70950.12</v>
      </c>
      <c r="R579" s="163">
        <v>157.66693333000001</v>
      </c>
      <c r="S579" s="163">
        <v>12.088962345000001</v>
      </c>
      <c r="T579" s="163">
        <v>13.042222221999999</v>
      </c>
      <c r="U579" s="161">
        <f t="shared" si="19"/>
        <v>2.0394745529592711E-3</v>
      </c>
      <c r="V579" s="161">
        <f t="shared" si="17"/>
        <v>5.9882836154785245E-4</v>
      </c>
    </row>
    <row r="580" spans="2:22">
      <c r="B580" s="163">
        <v>2018</v>
      </c>
      <c r="C580" s="163">
        <v>20031600126</v>
      </c>
      <c r="D580" s="163" t="s">
        <v>611</v>
      </c>
      <c r="E580" s="163" t="s">
        <v>389</v>
      </c>
      <c r="F580" s="163" t="s">
        <v>100</v>
      </c>
      <c r="G580" s="163"/>
      <c r="H580" s="163">
        <v>20</v>
      </c>
      <c r="I580" s="163">
        <v>3</v>
      </c>
      <c r="J580" s="163">
        <v>16</v>
      </c>
      <c r="K580" s="163">
        <v>0</v>
      </c>
      <c r="L580" s="163">
        <v>1</v>
      </c>
      <c r="M580" s="163">
        <v>4</v>
      </c>
      <c r="N580" s="163">
        <v>555</v>
      </c>
      <c r="O580" s="163">
        <v>0</v>
      </c>
      <c r="P580" s="163">
        <v>7750</v>
      </c>
      <c r="Q580" s="163">
        <v>25897.99</v>
      </c>
      <c r="R580" s="163">
        <v>46.663045044999997</v>
      </c>
      <c r="S580" s="163">
        <v>3.3416761290000001</v>
      </c>
      <c r="T580" s="163">
        <v>13.963963964</v>
      </c>
      <c r="U580" s="161">
        <f t="shared" si="19"/>
        <v>2.6931211084399984E-3</v>
      </c>
      <c r="V580" s="161">
        <f t="shared" si="17"/>
        <v>7.9075137195363035E-4</v>
      </c>
    </row>
    <row r="581" spans="2:22">
      <c r="B581" s="163">
        <v>2018</v>
      </c>
      <c r="C581" s="163">
        <v>20031600127</v>
      </c>
      <c r="D581" s="163" t="s">
        <v>612</v>
      </c>
      <c r="E581" s="163" t="s">
        <v>389</v>
      </c>
      <c r="F581" s="163" t="s">
        <v>100</v>
      </c>
      <c r="G581" s="163"/>
      <c r="H581" s="163">
        <v>20</v>
      </c>
      <c r="I581" s="163">
        <v>3</v>
      </c>
      <c r="J581" s="163">
        <v>16</v>
      </c>
      <c r="K581" s="163">
        <v>0</v>
      </c>
      <c r="L581" s="163">
        <v>1</v>
      </c>
      <c r="M581" s="163">
        <v>4</v>
      </c>
      <c r="N581" s="163">
        <v>986</v>
      </c>
      <c r="O581" s="163">
        <v>0</v>
      </c>
      <c r="P581" s="163">
        <v>12413</v>
      </c>
      <c r="Q581" s="163">
        <v>76015.759999999995</v>
      </c>
      <c r="R581" s="163">
        <v>77.095091277999998</v>
      </c>
      <c r="S581" s="163">
        <v>6.1238830258999997</v>
      </c>
      <c r="T581" s="163">
        <v>12.589249493000001</v>
      </c>
      <c r="U581" s="161">
        <f t="shared" si="19"/>
        <v>4.3135112669762188E-3</v>
      </c>
      <c r="V581" s="161">
        <f t="shared" si="17"/>
        <v>1.2665286167819888E-3</v>
      </c>
    </row>
    <row r="582" spans="2:22">
      <c r="B582" s="163">
        <v>2018</v>
      </c>
      <c r="C582" s="163">
        <v>20031600128</v>
      </c>
      <c r="D582" s="163" t="s">
        <v>613</v>
      </c>
      <c r="E582" s="163" t="s">
        <v>389</v>
      </c>
      <c r="F582" s="163" t="s">
        <v>100</v>
      </c>
      <c r="G582" s="163"/>
      <c r="H582" s="163">
        <v>20</v>
      </c>
      <c r="I582" s="163">
        <v>3</v>
      </c>
      <c r="J582" s="163">
        <v>16</v>
      </c>
      <c r="K582" s="163">
        <v>0</v>
      </c>
      <c r="L582" s="163">
        <v>1</v>
      </c>
      <c r="M582" s="163">
        <v>4</v>
      </c>
      <c r="N582" s="163">
        <v>401</v>
      </c>
      <c r="O582" s="163">
        <v>0</v>
      </c>
      <c r="P582" s="163">
        <v>4358</v>
      </c>
      <c r="Q582" s="163">
        <v>50674.97</v>
      </c>
      <c r="R582" s="163">
        <v>126.37149626</v>
      </c>
      <c r="S582" s="163">
        <v>11.628033501999999</v>
      </c>
      <c r="T582" s="163">
        <v>10.867830423999999</v>
      </c>
      <c r="U582" s="161">
        <f t="shared" si="19"/>
        <v>1.5144028116879371E-3</v>
      </c>
      <c r="V582" s="161">
        <f t="shared" ref="V582:V645" si="20">P582/SUM($P$197:$P$772)</f>
        <v>4.4465735212566722E-4</v>
      </c>
    </row>
    <row r="583" spans="2:22">
      <c r="B583" s="163">
        <v>2018</v>
      </c>
      <c r="C583" s="163">
        <v>20031600129</v>
      </c>
      <c r="D583" s="163" t="s">
        <v>614</v>
      </c>
      <c r="E583" s="163" t="s">
        <v>389</v>
      </c>
      <c r="F583" s="163" t="s">
        <v>100</v>
      </c>
      <c r="G583" s="163"/>
      <c r="H583" s="163">
        <v>20</v>
      </c>
      <c r="I583" s="163">
        <v>3</v>
      </c>
      <c r="J583" s="163">
        <v>16</v>
      </c>
      <c r="K583" s="163">
        <v>0</v>
      </c>
      <c r="L583" s="163">
        <v>1</v>
      </c>
      <c r="M583" s="163">
        <v>4</v>
      </c>
      <c r="N583" s="163">
        <v>289</v>
      </c>
      <c r="O583" s="163">
        <v>0</v>
      </c>
      <c r="P583" s="163">
        <v>4355</v>
      </c>
      <c r="Q583" s="163">
        <v>74124.19</v>
      </c>
      <c r="R583" s="163">
        <v>256.48508650999997</v>
      </c>
      <c r="S583" s="163">
        <v>17.020479907999999</v>
      </c>
      <c r="T583" s="163">
        <v>15.069204151999999</v>
      </c>
      <c r="U583" s="161">
        <f t="shared" si="19"/>
        <v>1.5133603131943475E-3</v>
      </c>
      <c r="V583" s="161">
        <f t="shared" si="20"/>
        <v>4.4435125482039488E-4</v>
      </c>
    </row>
    <row r="584" spans="2:22">
      <c r="B584" s="163">
        <v>2018</v>
      </c>
      <c r="C584" s="163">
        <v>20031600130</v>
      </c>
      <c r="D584" s="163" t="s">
        <v>615</v>
      </c>
      <c r="E584" s="163" t="s">
        <v>389</v>
      </c>
      <c r="F584" s="163" t="s">
        <v>100</v>
      </c>
      <c r="G584" s="163"/>
      <c r="H584" s="163">
        <v>20</v>
      </c>
      <c r="I584" s="163">
        <v>3</v>
      </c>
      <c r="J584" s="163">
        <v>16</v>
      </c>
      <c r="K584" s="163">
        <v>0</v>
      </c>
      <c r="L584" s="163">
        <v>1</v>
      </c>
      <c r="M584" s="163">
        <v>4</v>
      </c>
      <c r="N584" s="163">
        <v>211</v>
      </c>
      <c r="O584" s="163">
        <v>0</v>
      </c>
      <c r="P584" s="163">
        <v>3046</v>
      </c>
      <c r="Q584" s="163">
        <v>38718.300000000003</v>
      </c>
      <c r="R584" s="163">
        <v>183.49905213</v>
      </c>
      <c r="S584" s="163">
        <v>12.711195010000001</v>
      </c>
      <c r="T584" s="163">
        <v>14.436018957</v>
      </c>
      <c r="U584" s="161">
        <f t="shared" si="19"/>
        <v>1.058483470491385E-3</v>
      </c>
      <c r="V584" s="161">
        <f t="shared" si="20"/>
        <v>3.1079079728654941E-4</v>
      </c>
    </row>
    <row r="585" spans="2:22">
      <c r="B585" s="163">
        <v>2018</v>
      </c>
      <c r="C585" s="163">
        <v>20031600131</v>
      </c>
      <c r="D585" s="163" t="s">
        <v>733</v>
      </c>
      <c r="E585" s="163" t="s">
        <v>389</v>
      </c>
      <c r="F585" s="163" t="s">
        <v>100</v>
      </c>
      <c r="G585" s="163"/>
      <c r="H585" s="163">
        <v>20</v>
      </c>
      <c r="I585" s="163">
        <v>3</v>
      </c>
      <c r="J585" s="163">
        <v>16</v>
      </c>
      <c r="K585" s="163">
        <v>0</v>
      </c>
      <c r="L585" s="163">
        <v>1</v>
      </c>
      <c r="M585" s="163">
        <v>4</v>
      </c>
      <c r="N585" s="163">
        <v>1420</v>
      </c>
      <c r="O585" s="163">
        <v>0</v>
      </c>
      <c r="P585" s="163">
        <v>16488</v>
      </c>
      <c r="Q585" s="163">
        <v>70568.639999999999</v>
      </c>
      <c r="R585" s="163">
        <v>49.696225351999999</v>
      </c>
      <c r="S585" s="163">
        <v>4.28</v>
      </c>
      <c r="T585" s="163">
        <v>11.611267606</v>
      </c>
      <c r="U585" s="161">
        <f t="shared" si="19"/>
        <v>5.7295717207688631E-3</v>
      </c>
      <c r="V585" s="161">
        <f t="shared" si="20"/>
        <v>1.6823107897769622E-3</v>
      </c>
    </row>
    <row r="586" spans="2:22">
      <c r="B586" s="163">
        <v>2018</v>
      </c>
      <c r="C586" s="163">
        <v>20031600132</v>
      </c>
      <c r="D586" s="163" t="s">
        <v>734</v>
      </c>
      <c r="E586" s="163" t="s">
        <v>389</v>
      </c>
      <c r="F586" s="163" t="s">
        <v>100</v>
      </c>
      <c r="G586" s="163"/>
      <c r="H586" s="163">
        <v>20</v>
      </c>
      <c r="I586" s="163">
        <v>3</v>
      </c>
      <c r="J586" s="163">
        <v>16</v>
      </c>
      <c r="K586" s="163">
        <v>0</v>
      </c>
      <c r="L586" s="163">
        <v>1</v>
      </c>
      <c r="M586" s="163">
        <v>4</v>
      </c>
      <c r="N586" s="163">
        <v>306</v>
      </c>
      <c r="O586" s="163">
        <v>0</v>
      </c>
      <c r="P586" s="163">
        <v>5376</v>
      </c>
      <c r="Q586" s="163">
        <v>54835.199999999997</v>
      </c>
      <c r="R586" s="163">
        <v>179.2</v>
      </c>
      <c r="S586" s="163">
        <v>10.199999999999999</v>
      </c>
      <c r="T586" s="163">
        <v>17.568627451000001</v>
      </c>
      <c r="U586" s="161">
        <f t="shared" si="19"/>
        <v>1.8681573005127007E-3</v>
      </c>
      <c r="V586" s="161">
        <f t="shared" si="20"/>
        <v>5.4852637104809245E-4</v>
      </c>
    </row>
    <row r="587" spans="2:22">
      <c r="B587" s="163">
        <v>2018</v>
      </c>
      <c r="C587" s="163">
        <v>20031600133</v>
      </c>
      <c r="D587" s="163" t="s">
        <v>616</v>
      </c>
      <c r="E587" s="163" t="s">
        <v>389</v>
      </c>
      <c r="F587" s="163" t="s">
        <v>100</v>
      </c>
      <c r="G587" s="163"/>
      <c r="H587" s="163">
        <v>20</v>
      </c>
      <c r="I587" s="163">
        <v>3</v>
      </c>
      <c r="J587" s="163">
        <v>16</v>
      </c>
      <c r="K587" s="163">
        <v>0</v>
      </c>
      <c r="L587" s="163">
        <v>1</v>
      </c>
      <c r="M587" s="163">
        <v>4</v>
      </c>
      <c r="N587" s="163">
        <v>446</v>
      </c>
      <c r="O587" s="163">
        <v>0</v>
      </c>
      <c r="P587" s="163">
        <v>6619</v>
      </c>
      <c r="Q587" s="163">
        <v>36747.26</v>
      </c>
      <c r="R587" s="163">
        <v>82.392959641000004</v>
      </c>
      <c r="S587" s="163">
        <v>5.5517842573999996</v>
      </c>
      <c r="T587" s="163">
        <v>14.840807175</v>
      </c>
      <c r="U587" s="161">
        <f t="shared" ref="U587:U618" si="21">P587/SUM($P$491:$P$618)</f>
        <v>2.30009917635669E-3</v>
      </c>
      <c r="V587" s="161">
        <f t="shared" si="20"/>
        <v>6.7535268786594568E-4</v>
      </c>
    </row>
    <row r="588" spans="2:22">
      <c r="B588" s="163">
        <v>2018</v>
      </c>
      <c r="C588" s="163">
        <v>20031600134</v>
      </c>
      <c r="D588" s="163" t="s">
        <v>617</v>
      </c>
      <c r="E588" s="163" t="s">
        <v>389</v>
      </c>
      <c r="F588" s="163" t="s">
        <v>100</v>
      </c>
      <c r="G588" s="163"/>
      <c r="H588" s="163">
        <v>20</v>
      </c>
      <c r="I588" s="163">
        <v>3</v>
      </c>
      <c r="J588" s="163">
        <v>16</v>
      </c>
      <c r="K588" s="163">
        <v>0</v>
      </c>
      <c r="L588" s="163">
        <v>1</v>
      </c>
      <c r="M588" s="163">
        <v>4</v>
      </c>
      <c r="N588" s="163">
        <v>1118</v>
      </c>
      <c r="O588" s="163">
        <v>0</v>
      </c>
      <c r="P588" s="163">
        <v>13765</v>
      </c>
      <c r="Q588" s="163">
        <v>31246.55</v>
      </c>
      <c r="R588" s="163">
        <v>27.948613596000001</v>
      </c>
      <c r="S588" s="163">
        <v>2.27</v>
      </c>
      <c r="T588" s="163">
        <v>12.312164579999999</v>
      </c>
      <c r="U588" s="161">
        <f t="shared" si="21"/>
        <v>4.7833305880872999E-3</v>
      </c>
      <c r="V588" s="161">
        <f t="shared" si="20"/>
        <v>1.4044764690247383E-3</v>
      </c>
    </row>
    <row r="589" spans="2:22">
      <c r="B589" s="163">
        <v>2018</v>
      </c>
      <c r="C589" s="163">
        <v>20031600135</v>
      </c>
      <c r="D589" s="163" t="s">
        <v>618</v>
      </c>
      <c r="E589" s="163" t="s">
        <v>389</v>
      </c>
      <c r="F589" s="163" t="s">
        <v>100</v>
      </c>
      <c r="G589" s="163"/>
      <c r="H589" s="163">
        <v>20</v>
      </c>
      <c r="I589" s="163">
        <v>3</v>
      </c>
      <c r="J589" s="163">
        <v>16</v>
      </c>
      <c r="K589" s="163">
        <v>0</v>
      </c>
      <c r="L589" s="163">
        <v>1</v>
      </c>
      <c r="M589" s="163">
        <v>4</v>
      </c>
      <c r="N589" s="163">
        <v>964</v>
      </c>
      <c r="O589" s="163">
        <v>0</v>
      </c>
      <c r="P589" s="163">
        <v>12380</v>
      </c>
      <c r="Q589" s="163">
        <v>44231.12</v>
      </c>
      <c r="R589" s="163">
        <v>45.882904564</v>
      </c>
      <c r="S589" s="163">
        <v>3.5727883682999999</v>
      </c>
      <c r="T589" s="163">
        <v>12.842323650999999</v>
      </c>
      <c r="U589" s="161">
        <f t="shared" si="21"/>
        <v>4.3020437835467329E-3</v>
      </c>
      <c r="V589" s="161">
        <f t="shared" si="20"/>
        <v>1.2631615464239927E-3</v>
      </c>
    </row>
    <row r="590" spans="2:22">
      <c r="B590" s="163">
        <v>2018</v>
      </c>
      <c r="C590" s="163">
        <v>20031600136</v>
      </c>
      <c r="D590" s="163" t="s">
        <v>619</v>
      </c>
      <c r="E590" s="163" t="s">
        <v>389</v>
      </c>
      <c r="F590" s="163" t="s">
        <v>100</v>
      </c>
      <c r="G590" s="163"/>
      <c r="H590" s="163">
        <v>20</v>
      </c>
      <c r="I590" s="163">
        <v>3</v>
      </c>
      <c r="J590" s="163">
        <v>16</v>
      </c>
      <c r="K590" s="163">
        <v>0</v>
      </c>
      <c r="L590" s="163">
        <v>1</v>
      </c>
      <c r="M590" s="163">
        <v>4</v>
      </c>
      <c r="N590" s="163">
        <v>2629</v>
      </c>
      <c r="O590" s="163">
        <v>0</v>
      </c>
      <c r="P590" s="163">
        <v>34827</v>
      </c>
      <c r="Q590" s="163">
        <v>92291.41</v>
      </c>
      <c r="R590" s="163">
        <v>35.105138836000002</v>
      </c>
      <c r="S590" s="163">
        <v>2.6499959800999999</v>
      </c>
      <c r="T590" s="163">
        <v>13.247242297</v>
      </c>
      <c r="U590" s="161">
        <f t="shared" si="21"/>
        <v>1.2102365012082558E-2</v>
      </c>
      <c r="V590" s="161">
        <f t="shared" si="20"/>
        <v>3.5534836169069787E-3</v>
      </c>
    </row>
    <row r="591" spans="2:22">
      <c r="B591" s="163">
        <v>2018</v>
      </c>
      <c r="C591" s="163">
        <v>20031600137</v>
      </c>
      <c r="D591" s="163" t="s">
        <v>620</v>
      </c>
      <c r="E591" s="163" t="s">
        <v>389</v>
      </c>
      <c r="F591" s="163" t="s">
        <v>100</v>
      </c>
      <c r="G591" s="163"/>
      <c r="H591" s="163">
        <v>20</v>
      </c>
      <c r="I591" s="163">
        <v>3</v>
      </c>
      <c r="J591" s="163">
        <v>16</v>
      </c>
      <c r="K591" s="163">
        <v>0</v>
      </c>
      <c r="L591" s="163">
        <v>1</v>
      </c>
      <c r="M591" s="163">
        <v>4</v>
      </c>
      <c r="N591" s="163">
        <v>543</v>
      </c>
      <c r="O591" s="163">
        <v>0</v>
      </c>
      <c r="P591" s="163">
        <v>7100</v>
      </c>
      <c r="Q591" s="163">
        <v>35825.919999999998</v>
      </c>
      <c r="R591" s="163">
        <v>65.977753222999993</v>
      </c>
      <c r="S591" s="163">
        <v>5.0459042254000002</v>
      </c>
      <c r="T591" s="163">
        <v>13.075506446</v>
      </c>
      <c r="U591" s="161">
        <f t="shared" si="21"/>
        <v>2.4672464348289018E-3</v>
      </c>
      <c r="V591" s="161">
        <f t="shared" si="20"/>
        <v>7.2443028914461621E-4</v>
      </c>
    </row>
    <row r="592" spans="2:22">
      <c r="B592" s="163">
        <v>2018</v>
      </c>
      <c r="C592" s="163">
        <v>20031600138</v>
      </c>
      <c r="D592" s="163" t="s">
        <v>735</v>
      </c>
      <c r="E592" s="163" t="s">
        <v>389</v>
      </c>
      <c r="F592" s="163" t="s">
        <v>100</v>
      </c>
      <c r="G592" s="163"/>
      <c r="H592" s="163">
        <v>20</v>
      </c>
      <c r="I592" s="163">
        <v>3</v>
      </c>
      <c r="J592" s="163">
        <v>16</v>
      </c>
      <c r="K592" s="163">
        <v>0</v>
      </c>
      <c r="L592" s="163">
        <v>1</v>
      </c>
      <c r="M592" s="163">
        <v>4</v>
      </c>
      <c r="N592" s="163">
        <v>79</v>
      </c>
      <c r="O592" s="163">
        <v>0</v>
      </c>
      <c r="P592" s="163">
        <v>1149</v>
      </c>
      <c r="Q592" s="163">
        <v>3217.2</v>
      </c>
      <c r="R592" s="163">
        <v>40.724050632999997</v>
      </c>
      <c r="S592" s="163">
        <v>2.8</v>
      </c>
      <c r="T592" s="163">
        <v>14.544303797</v>
      </c>
      <c r="U592" s="161">
        <f t="shared" si="21"/>
        <v>3.9927692304484618E-4</v>
      </c>
      <c r="V592" s="161">
        <f t="shared" si="20"/>
        <v>1.1723526791931888E-4</v>
      </c>
    </row>
    <row r="593" spans="2:22">
      <c r="B593" s="163">
        <v>2018</v>
      </c>
      <c r="C593" s="163">
        <v>20031600139</v>
      </c>
      <c r="D593" s="163" t="s">
        <v>736</v>
      </c>
      <c r="E593" s="163" t="s">
        <v>389</v>
      </c>
      <c r="F593" s="163" t="s">
        <v>100</v>
      </c>
      <c r="G593" s="163"/>
      <c r="H593" s="163">
        <v>20</v>
      </c>
      <c r="I593" s="163">
        <v>3</v>
      </c>
      <c r="J593" s="163">
        <v>16</v>
      </c>
      <c r="K593" s="163">
        <v>0</v>
      </c>
      <c r="L593" s="163">
        <v>1</v>
      </c>
      <c r="M593" s="163">
        <v>4</v>
      </c>
      <c r="N593" s="163">
        <v>135</v>
      </c>
      <c r="O593" s="163">
        <v>0</v>
      </c>
      <c r="P593" s="163">
        <v>2310</v>
      </c>
      <c r="Q593" s="163">
        <v>8316</v>
      </c>
      <c r="R593" s="163">
        <v>61.6</v>
      </c>
      <c r="S593" s="163">
        <v>3.6</v>
      </c>
      <c r="T593" s="163">
        <v>17.111111111</v>
      </c>
      <c r="U593" s="161">
        <f t="shared" si="21"/>
        <v>8.0272384006405107E-4</v>
      </c>
      <c r="V593" s="161">
        <f t="shared" si="20"/>
        <v>2.3569492505972725E-4</v>
      </c>
    </row>
    <row r="594" spans="2:22">
      <c r="B594" s="163">
        <v>2018</v>
      </c>
      <c r="C594" s="163">
        <v>20031600140</v>
      </c>
      <c r="D594" s="163" t="s">
        <v>737</v>
      </c>
      <c r="E594" s="163" t="s">
        <v>389</v>
      </c>
      <c r="F594" s="163" t="s">
        <v>100</v>
      </c>
      <c r="G594" s="163"/>
      <c r="H594" s="163">
        <v>20</v>
      </c>
      <c r="I594" s="163">
        <v>3</v>
      </c>
      <c r="J594" s="163">
        <v>16</v>
      </c>
      <c r="K594" s="163">
        <v>0</v>
      </c>
      <c r="L594" s="163">
        <v>1</v>
      </c>
      <c r="M594" s="163">
        <v>4</v>
      </c>
      <c r="N594" s="163">
        <v>38</v>
      </c>
      <c r="O594" s="163">
        <v>0</v>
      </c>
      <c r="P594" s="163">
        <v>445</v>
      </c>
      <c r="Q594" s="163">
        <v>2523.15</v>
      </c>
      <c r="R594" s="163">
        <v>66.398684211000003</v>
      </c>
      <c r="S594" s="163">
        <v>5.67</v>
      </c>
      <c r="T594" s="163">
        <v>11.710526315999999</v>
      </c>
      <c r="U594" s="161">
        <f t="shared" si="21"/>
        <v>1.5463727654913537E-4</v>
      </c>
      <c r="V594" s="161">
        <f t="shared" si="20"/>
        <v>4.5404433615402002E-5</v>
      </c>
    </row>
    <row r="595" spans="2:22">
      <c r="B595" s="163">
        <v>2018</v>
      </c>
      <c r="C595" s="163">
        <v>20031600141</v>
      </c>
      <c r="D595" s="163" t="s">
        <v>738</v>
      </c>
      <c r="E595" s="163" t="s">
        <v>389</v>
      </c>
      <c r="F595" s="163" t="s">
        <v>100</v>
      </c>
      <c r="G595" s="163"/>
      <c r="H595" s="163">
        <v>20</v>
      </c>
      <c r="I595" s="163">
        <v>3</v>
      </c>
      <c r="J595" s="163">
        <v>16</v>
      </c>
      <c r="K595" s="163">
        <v>0</v>
      </c>
      <c r="L595" s="163">
        <v>1</v>
      </c>
      <c r="M595" s="163">
        <v>4</v>
      </c>
      <c r="N595" s="163">
        <v>58</v>
      </c>
      <c r="O595" s="163">
        <v>0</v>
      </c>
      <c r="P595" s="163">
        <v>767</v>
      </c>
      <c r="Q595" s="163">
        <v>5714.15</v>
      </c>
      <c r="R595" s="163">
        <v>98.519827586000005</v>
      </c>
      <c r="S595" s="163">
        <v>7.45</v>
      </c>
      <c r="T595" s="163">
        <v>13.224137931</v>
      </c>
      <c r="U595" s="161">
        <f t="shared" si="21"/>
        <v>2.6653211486109404E-4</v>
      </c>
      <c r="V595" s="161">
        <f t="shared" si="20"/>
        <v>7.8258877714636711E-5</v>
      </c>
    </row>
    <row r="596" spans="2:22">
      <c r="B596" s="163">
        <v>2018</v>
      </c>
      <c r="C596" s="163">
        <v>20031600142</v>
      </c>
      <c r="D596" s="163" t="s">
        <v>739</v>
      </c>
      <c r="E596" s="163" t="s">
        <v>389</v>
      </c>
      <c r="F596" s="163" t="s">
        <v>100</v>
      </c>
      <c r="G596" s="163"/>
      <c r="H596" s="163">
        <v>20</v>
      </c>
      <c r="I596" s="163">
        <v>3</v>
      </c>
      <c r="J596" s="163">
        <v>16</v>
      </c>
      <c r="K596" s="163">
        <v>0</v>
      </c>
      <c r="L596" s="163">
        <v>1</v>
      </c>
      <c r="M596" s="163">
        <v>4</v>
      </c>
      <c r="N596" s="163">
        <v>10</v>
      </c>
      <c r="O596" s="163">
        <v>0</v>
      </c>
      <c r="P596" s="163">
        <v>144</v>
      </c>
      <c r="Q596" s="163">
        <v>2063.52</v>
      </c>
      <c r="R596" s="163">
        <v>206.352</v>
      </c>
      <c r="S596" s="163">
        <v>14.33</v>
      </c>
      <c r="T596" s="163">
        <v>14.4</v>
      </c>
      <c r="U596" s="161">
        <f t="shared" si="21"/>
        <v>5.0039927692304486E-5</v>
      </c>
      <c r="V596" s="161">
        <f t="shared" si="20"/>
        <v>1.4692670653073905E-5</v>
      </c>
    </row>
    <row r="597" spans="2:22">
      <c r="B597" s="163">
        <v>2018</v>
      </c>
      <c r="C597" s="163">
        <v>20031600145</v>
      </c>
      <c r="D597" s="163" t="s">
        <v>740</v>
      </c>
      <c r="E597" s="163" t="s">
        <v>389</v>
      </c>
      <c r="F597" s="163" t="s">
        <v>100</v>
      </c>
      <c r="G597" s="163"/>
      <c r="H597" s="163">
        <v>20</v>
      </c>
      <c r="I597" s="163">
        <v>3</v>
      </c>
      <c r="J597" s="163">
        <v>16</v>
      </c>
      <c r="K597" s="163">
        <v>0</v>
      </c>
      <c r="L597" s="163">
        <v>1</v>
      </c>
      <c r="M597" s="163">
        <v>4</v>
      </c>
      <c r="N597" s="163">
        <v>13</v>
      </c>
      <c r="O597" s="163">
        <v>0</v>
      </c>
      <c r="P597" s="163">
        <v>120</v>
      </c>
      <c r="Q597" s="163">
        <v>86.1</v>
      </c>
      <c r="R597" s="163">
        <v>6.6230769231000002</v>
      </c>
      <c r="S597" s="163">
        <v>0.71750000000000003</v>
      </c>
      <c r="T597" s="163">
        <v>9.2307692308</v>
      </c>
      <c r="U597" s="161">
        <f t="shared" si="21"/>
        <v>4.1699939743587074E-5</v>
      </c>
      <c r="V597" s="161">
        <f t="shared" si="20"/>
        <v>1.2243892210894922E-5</v>
      </c>
    </row>
    <row r="598" spans="2:22">
      <c r="B598" s="163">
        <v>2018</v>
      </c>
      <c r="C598" s="163">
        <v>20031600146</v>
      </c>
      <c r="D598" s="163" t="s">
        <v>741</v>
      </c>
      <c r="E598" s="163" t="s">
        <v>389</v>
      </c>
      <c r="F598" s="163" t="s">
        <v>100</v>
      </c>
      <c r="G598" s="163"/>
      <c r="H598" s="163">
        <v>20</v>
      </c>
      <c r="I598" s="163">
        <v>3</v>
      </c>
      <c r="J598" s="163">
        <v>16</v>
      </c>
      <c r="K598" s="163">
        <v>0</v>
      </c>
      <c r="L598" s="163">
        <v>1</v>
      </c>
      <c r="M598" s="163">
        <v>4</v>
      </c>
      <c r="N598" s="163">
        <v>15</v>
      </c>
      <c r="O598" s="163">
        <v>0</v>
      </c>
      <c r="P598" s="163">
        <v>290</v>
      </c>
      <c r="Q598" s="163">
        <v>785.8</v>
      </c>
      <c r="R598" s="163">
        <v>52.386666667</v>
      </c>
      <c r="S598" s="163">
        <v>2.7096551724000002</v>
      </c>
      <c r="T598" s="163">
        <v>19.333333332999999</v>
      </c>
      <c r="U598" s="161">
        <f t="shared" si="21"/>
        <v>1.0077485438033542E-4</v>
      </c>
      <c r="V598" s="161">
        <f t="shared" si="20"/>
        <v>2.9589406176329395E-5</v>
      </c>
    </row>
    <row r="599" spans="2:22">
      <c r="B599" s="163">
        <v>2018</v>
      </c>
      <c r="C599" s="163">
        <v>20031600147</v>
      </c>
      <c r="D599" s="163" t="s">
        <v>742</v>
      </c>
      <c r="E599" s="163" t="s">
        <v>389</v>
      </c>
      <c r="F599" s="163" t="s">
        <v>100</v>
      </c>
      <c r="G599" s="163"/>
      <c r="H599" s="163">
        <v>20</v>
      </c>
      <c r="I599" s="163">
        <v>3</v>
      </c>
      <c r="J599" s="163">
        <v>16</v>
      </c>
      <c r="K599" s="163">
        <v>0</v>
      </c>
      <c r="L599" s="163">
        <v>1</v>
      </c>
      <c r="M599" s="163">
        <v>4</v>
      </c>
      <c r="N599" s="163">
        <v>10</v>
      </c>
      <c r="O599" s="163">
        <v>0</v>
      </c>
      <c r="P599" s="163">
        <v>230</v>
      </c>
      <c r="Q599" s="163">
        <v>1168.4000000000001</v>
      </c>
      <c r="R599" s="163">
        <v>116.84</v>
      </c>
      <c r="S599" s="163">
        <v>5.08</v>
      </c>
      <c r="T599" s="163">
        <v>23</v>
      </c>
      <c r="U599" s="161">
        <f t="shared" si="21"/>
        <v>7.9924884508541879E-5</v>
      </c>
      <c r="V599" s="161">
        <f t="shared" si="20"/>
        <v>2.3467460070881932E-5</v>
      </c>
    </row>
    <row r="600" spans="2:22">
      <c r="B600" s="163">
        <v>2018</v>
      </c>
      <c r="C600" s="163">
        <v>20031600148</v>
      </c>
      <c r="D600" s="163" t="s">
        <v>743</v>
      </c>
      <c r="E600" s="163" t="s">
        <v>389</v>
      </c>
      <c r="F600" s="163" t="s">
        <v>100</v>
      </c>
      <c r="G600" s="163"/>
      <c r="H600" s="163">
        <v>20</v>
      </c>
      <c r="I600" s="163">
        <v>3</v>
      </c>
      <c r="J600" s="163">
        <v>16</v>
      </c>
      <c r="K600" s="163">
        <v>0</v>
      </c>
      <c r="L600" s="163">
        <v>1</v>
      </c>
      <c r="M600" s="163">
        <v>4</v>
      </c>
      <c r="N600" s="163">
        <v>1</v>
      </c>
      <c r="O600" s="163">
        <v>0</v>
      </c>
      <c r="P600" s="163">
        <v>10</v>
      </c>
      <c r="Q600" s="163">
        <v>67.3</v>
      </c>
      <c r="R600" s="163">
        <v>67.3</v>
      </c>
      <c r="S600" s="163">
        <v>6.73</v>
      </c>
      <c r="T600" s="163">
        <v>10</v>
      </c>
      <c r="U600" s="161">
        <f t="shared" si="21"/>
        <v>3.4749949786322559E-6</v>
      </c>
      <c r="V600" s="161">
        <f t="shared" si="20"/>
        <v>1.0203243509079101E-6</v>
      </c>
    </row>
    <row r="601" spans="2:22">
      <c r="B601" s="163">
        <v>2018</v>
      </c>
      <c r="C601" s="163">
        <v>20031600149</v>
      </c>
      <c r="D601" s="163" t="s">
        <v>744</v>
      </c>
      <c r="E601" s="163" t="s">
        <v>389</v>
      </c>
      <c r="F601" s="163" t="s">
        <v>100</v>
      </c>
      <c r="G601" s="163"/>
      <c r="H601" s="163">
        <v>20</v>
      </c>
      <c r="I601" s="163">
        <v>3</v>
      </c>
      <c r="J601" s="163">
        <v>16</v>
      </c>
      <c r="K601" s="163">
        <v>0</v>
      </c>
      <c r="L601" s="163">
        <v>1</v>
      </c>
      <c r="M601" s="163">
        <v>4</v>
      </c>
      <c r="N601" s="163">
        <v>97</v>
      </c>
      <c r="O601" s="163">
        <v>0</v>
      </c>
      <c r="P601" s="163">
        <v>1118</v>
      </c>
      <c r="Q601" s="163">
        <v>2891.4</v>
      </c>
      <c r="R601" s="163">
        <v>29.808247423000001</v>
      </c>
      <c r="S601" s="163">
        <v>2.5862254025000002</v>
      </c>
      <c r="T601" s="163">
        <v>11.525773195999999</v>
      </c>
      <c r="U601" s="161">
        <f t="shared" si="21"/>
        <v>3.8850443861108622E-4</v>
      </c>
      <c r="V601" s="161">
        <f t="shared" si="20"/>
        <v>1.1407226243150434E-4</v>
      </c>
    </row>
    <row r="602" spans="2:22">
      <c r="B602" s="163">
        <v>2018</v>
      </c>
      <c r="C602" s="163">
        <v>20031600150</v>
      </c>
      <c r="D602" s="163" t="s">
        <v>745</v>
      </c>
      <c r="E602" s="163" t="s">
        <v>389</v>
      </c>
      <c r="F602" s="163" t="s">
        <v>100</v>
      </c>
      <c r="G602" s="163"/>
      <c r="H602" s="163">
        <v>20</v>
      </c>
      <c r="I602" s="163">
        <v>3</v>
      </c>
      <c r="J602" s="163">
        <v>16</v>
      </c>
      <c r="K602" s="163">
        <v>0</v>
      </c>
      <c r="L602" s="163">
        <v>1</v>
      </c>
      <c r="M602" s="163">
        <v>4</v>
      </c>
      <c r="N602" s="163">
        <v>26</v>
      </c>
      <c r="O602" s="163">
        <v>0</v>
      </c>
      <c r="P602" s="163">
        <v>325</v>
      </c>
      <c r="Q602" s="163">
        <v>1218.1500000000001</v>
      </c>
      <c r="R602" s="163">
        <v>46.851923077000002</v>
      </c>
      <c r="S602" s="163">
        <v>3.7481538462000001</v>
      </c>
      <c r="T602" s="163">
        <v>12.5</v>
      </c>
      <c r="U602" s="161">
        <f t="shared" si="21"/>
        <v>1.1293733680554831E-4</v>
      </c>
      <c r="V602" s="161">
        <f t="shared" si="20"/>
        <v>3.3160541404507077E-5</v>
      </c>
    </row>
    <row r="603" spans="2:22">
      <c r="B603" s="163">
        <v>2018</v>
      </c>
      <c r="C603" s="163">
        <v>20031600151</v>
      </c>
      <c r="D603" s="163" t="s">
        <v>746</v>
      </c>
      <c r="E603" s="163" t="s">
        <v>389</v>
      </c>
      <c r="F603" s="163" t="s">
        <v>100</v>
      </c>
      <c r="G603" s="163"/>
      <c r="H603" s="163">
        <v>20</v>
      </c>
      <c r="I603" s="163">
        <v>3</v>
      </c>
      <c r="J603" s="163">
        <v>16</v>
      </c>
      <c r="K603" s="163">
        <v>0</v>
      </c>
      <c r="L603" s="163">
        <v>1</v>
      </c>
      <c r="M603" s="163">
        <v>4</v>
      </c>
      <c r="N603" s="163">
        <v>9</v>
      </c>
      <c r="O603" s="163">
        <v>0</v>
      </c>
      <c r="P603" s="163">
        <v>166</v>
      </c>
      <c r="Q603" s="163">
        <v>715.46</v>
      </c>
      <c r="R603" s="163">
        <v>79.495555555999999</v>
      </c>
      <c r="S603" s="163">
        <v>4.3099999999999996</v>
      </c>
      <c r="T603" s="163">
        <v>18.444444443999998</v>
      </c>
      <c r="U603" s="161">
        <f t="shared" si="21"/>
        <v>5.7684916645295447E-5</v>
      </c>
      <c r="V603" s="161">
        <f t="shared" si="20"/>
        <v>1.6937384225071309E-5</v>
      </c>
    </row>
    <row r="604" spans="2:22">
      <c r="B604" s="163">
        <v>2018</v>
      </c>
      <c r="C604" s="163">
        <v>20031600152</v>
      </c>
      <c r="D604" s="163" t="s">
        <v>747</v>
      </c>
      <c r="E604" s="163" t="s">
        <v>389</v>
      </c>
      <c r="F604" s="163" t="s">
        <v>100</v>
      </c>
      <c r="G604" s="163"/>
      <c r="H604" s="163">
        <v>20</v>
      </c>
      <c r="I604" s="163">
        <v>3</v>
      </c>
      <c r="J604" s="163">
        <v>16</v>
      </c>
      <c r="K604" s="163">
        <v>0</v>
      </c>
      <c r="L604" s="163">
        <v>1</v>
      </c>
      <c r="M604" s="163">
        <v>4</v>
      </c>
      <c r="N604" s="163">
        <v>16</v>
      </c>
      <c r="O604" s="163">
        <v>0</v>
      </c>
      <c r="P604" s="163">
        <v>299</v>
      </c>
      <c r="Q604" s="163">
        <v>1894.66</v>
      </c>
      <c r="R604" s="163">
        <v>118.41625000000001</v>
      </c>
      <c r="S604" s="163">
        <v>6.3366555183999997</v>
      </c>
      <c r="T604" s="163">
        <v>18.6875</v>
      </c>
      <c r="U604" s="161">
        <f t="shared" si="21"/>
        <v>1.0390234986110445E-4</v>
      </c>
      <c r="V604" s="161">
        <f t="shared" si="20"/>
        <v>3.0507698092146513E-5</v>
      </c>
    </row>
    <row r="605" spans="2:22">
      <c r="B605" s="163">
        <v>2018</v>
      </c>
      <c r="C605" s="163">
        <v>20031600153</v>
      </c>
      <c r="D605" s="163" t="s">
        <v>748</v>
      </c>
      <c r="E605" s="163" t="s">
        <v>389</v>
      </c>
      <c r="F605" s="163" t="s">
        <v>100</v>
      </c>
      <c r="G605" s="163"/>
      <c r="H605" s="163">
        <v>20</v>
      </c>
      <c r="I605" s="163">
        <v>3</v>
      </c>
      <c r="J605" s="163">
        <v>16</v>
      </c>
      <c r="K605" s="163">
        <v>0</v>
      </c>
      <c r="L605" s="163">
        <v>1</v>
      </c>
      <c r="M605" s="163">
        <v>4</v>
      </c>
      <c r="N605" s="163">
        <v>9</v>
      </c>
      <c r="O605" s="163">
        <v>0</v>
      </c>
      <c r="P605" s="163">
        <v>110</v>
      </c>
      <c r="Q605" s="163">
        <v>664.4</v>
      </c>
      <c r="R605" s="163">
        <v>73.822222221999994</v>
      </c>
      <c r="S605" s="163">
        <v>6.04</v>
      </c>
      <c r="T605" s="163">
        <v>12.222222221999999</v>
      </c>
      <c r="U605" s="161">
        <f t="shared" si="21"/>
        <v>3.8224944764954812E-5</v>
      </c>
      <c r="V605" s="161">
        <f t="shared" si="20"/>
        <v>1.1223567859987012E-5</v>
      </c>
    </row>
    <row r="606" spans="2:22">
      <c r="B606" s="163">
        <v>2018</v>
      </c>
      <c r="C606" s="163">
        <v>20031600154</v>
      </c>
      <c r="D606" s="163" t="s">
        <v>749</v>
      </c>
      <c r="E606" s="163" t="s">
        <v>389</v>
      </c>
      <c r="F606" s="163" t="s">
        <v>100</v>
      </c>
      <c r="G606" s="163"/>
      <c r="H606" s="163">
        <v>20</v>
      </c>
      <c r="I606" s="163">
        <v>3</v>
      </c>
      <c r="J606" s="163">
        <v>16</v>
      </c>
      <c r="K606" s="163">
        <v>0</v>
      </c>
      <c r="L606" s="163">
        <v>1</v>
      </c>
      <c r="M606" s="163">
        <v>4</v>
      </c>
      <c r="N606" s="163">
        <v>37</v>
      </c>
      <c r="O606" s="163">
        <v>0</v>
      </c>
      <c r="P606" s="163">
        <v>406</v>
      </c>
      <c r="Q606" s="163">
        <v>616.41999999999996</v>
      </c>
      <c r="R606" s="163">
        <v>16.66</v>
      </c>
      <c r="S606" s="163">
        <v>1.5182758621000001</v>
      </c>
      <c r="T606" s="163">
        <v>10.972972972999999</v>
      </c>
      <c r="U606" s="161">
        <f t="shared" si="21"/>
        <v>1.4108479613246958E-4</v>
      </c>
      <c r="V606" s="161">
        <f t="shared" si="20"/>
        <v>4.1425168646861149E-5</v>
      </c>
    </row>
    <row r="607" spans="2:22">
      <c r="B607" s="163">
        <v>2018</v>
      </c>
      <c r="C607" s="163">
        <v>20031600155</v>
      </c>
      <c r="D607" s="163" t="s">
        <v>750</v>
      </c>
      <c r="E607" s="163" t="s">
        <v>389</v>
      </c>
      <c r="F607" s="163" t="s">
        <v>100</v>
      </c>
      <c r="G607" s="163"/>
      <c r="H607" s="163">
        <v>20</v>
      </c>
      <c r="I607" s="163">
        <v>3</v>
      </c>
      <c r="J607" s="163">
        <v>16</v>
      </c>
      <c r="K607" s="163">
        <v>0</v>
      </c>
      <c r="L607" s="163">
        <v>1</v>
      </c>
      <c r="M607" s="163">
        <v>4</v>
      </c>
      <c r="N607" s="163">
        <v>32</v>
      </c>
      <c r="O607" s="163">
        <v>0</v>
      </c>
      <c r="P607" s="163">
        <v>370</v>
      </c>
      <c r="Q607" s="163">
        <v>487.94</v>
      </c>
      <c r="R607" s="163">
        <v>15.248125</v>
      </c>
      <c r="S607" s="163">
        <v>1.3187567568</v>
      </c>
      <c r="T607" s="163">
        <v>11.5625</v>
      </c>
      <c r="U607" s="161">
        <f t="shared" si="21"/>
        <v>1.2857481420939346E-4</v>
      </c>
      <c r="V607" s="161">
        <f t="shared" si="20"/>
        <v>3.7752000983592677E-5</v>
      </c>
    </row>
    <row r="608" spans="2:22">
      <c r="B608" s="163">
        <v>2018</v>
      </c>
      <c r="C608" s="163">
        <v>20031600156</v>
      </c>
      <c r="D608" s="163" t="s">
        <v>751</v>
      </c>
      <c r="E608" s="163" t="s">
        <v>389</v>
      </c>
      <c r="F608" s="163" t="s">
        <v>100</v>
      </c>
      <c r="G608" s="163"/>
      <c r="H608" s="163">
        <v>20</v>
      </c>
      <c r="I608" s="163">
        <v>3</v>
      </c>
      <c r="J608" s="163">
        <v>16</v>
      </c>
      <c r="K608" s="163">
        <v>0</v>
      </c>
      <c r="L608" s="163">
        <v>1</v>
      </c>
      <c r="M608" s="163">
        <v>4</v>
      </c>
      <c r="N608" s="163">
        <v>33</v>
      </c>
      <c r="O608" s="163">
        <v>0</v>
      </c>
      <c r="P608" s="163">
        <v>416</v>
      </c>
      <c r="Q608" s="163">
        <v>1393.6</v>
      </c>
      <c r="R608" s="163">
        <v>42.230303030000002</v>
      </c>
      <c r="S608" s="163">
        <v>3.35</v>
      </c>
      <c r="T608" s="163">
        <v>12.606060606</v>
      </c>
      <c r="U608" s="161">
        <f t="shared" si="21"/>
        <v>1.4455979111110184E-4</v>
      </c>
      <c r="V608" s="161">
        <f t="shared" si="20"/>
        <v>4.2445492997769064E-5</v>
      </c>
    </row>
    <row r="609" spans="2:23">
      <c r="B609" s="163">
        <v>2018</v>
      </c>
      <c r="C609" s="163">
        <v>20031600157</v>
      </c>
      <c r="D609" s="163" t="s">
        <v>752</v>
      </c>
      <c r="E609" s="163" t="s">
        <v>389</v>
      </c>
      <c r="F609" s="163" t="s">
        <v>100</v>
      </c>
      <c r="G609" s="163"/>
      <c r="H609" s="163">
        <v>20</v>
      </c>
      <c r="I609" s="163">
        <v>3</v>
      </c>
      <c r="J609" s="163">
        <v>16</v>
      </c>
      <c r="K609" s="163">
        <v>0</v>
      </c>
      <c r="L609" s="163">
        <v>1</v>
      </c>
      <c r="M609" s="163">
        <v>4</v>
      </c>
      <c r="N609" s="163">
        <v>34</v>
      </c>
      <c r="O609" s="163">
        <v>0</v>
      </c>
      <c r="P609" s="163">
        <v>401</v>
      </c>
      <c r="Q609" s="163">
        <v>973.98</v>
      </c>
      <c r="R609" s="163">
        <v>28.646470588</v>
      </c>
      <c r="S609" s="163">
        <v>2.4288778055</v>
      </c>
      <c r="T609" s="163">
        <v>11.794117647</v>
      </c>
      <c r="U609" s="161">
        <f t="shared" si="21"/>
        <v>1.3934729864315345E-4</v>
      </c>
      <c r="V609" s="161">
        <f t="shared" si="20"/>
        <v>4.0915006471407195E-5</v>
      </c>
    </row>
    <row r="610" spans="2:23">
      <c r="B610" s="163">
        <v>2018</v>
      </c>
      <c r="C610" s="163">
        <v>20031600158</v>
      </c>
      <c r="D610" s="163" t="s">
        <v>753</v>
      </c>
      <c r="E610" s="163" t="s">
        <v>389</v>
      </c>
      <c r="F610" s="163" t="s">
        <v>100</v>
      </c>
      <c r="G610" s="163"/>
      <c r="H610" s="163">
        <v>20</v>
      </c>
      <c r="I610" s="163">
        <v>3</v>
      </c>
      <c r="J610" s="163">
        <v>16</v>
      </c>
      <c r="K610" s="163">
        <v>0</v>
      </c>
      <c r="L610" s="163">
        <v>1</v>
      </c>
      <c r="M610" s="163">
        <v>4</v>
      </c>
      <c r="N610" s="163">
        <v>12</v>
      </c>
      <c r="O610" s="163">
        <v>0</v>
      </c>
      <c r="P610" s="163">
        <v>169</v>
      </c>
      <c r="Q610" s="163">
        <v>599.5</v>
      </c>
      <c r="R610" s="163">
        <v>49.958333332999999</v>
      </c>
      <c r="S610" s="163">
        <v>3.5473372781000001</v>
      </c>
      <c r="T610" s="163">
        <v>14.083333333000001</v>
      </c>
      <c r="U610" s="161">
        <f t="shared" si="21"/>
        <v>5.8727415138885123E-5</v>
      </c>
      <c r="V610" s="161">
        <f t="shared" si="20"/>
        <v>1.7243481530343683E-5</v>
      </c>
    </row>
    <row r="611" spans="2:23">
      <c r="B611" s="163">
        <v>2018</v>
      </c>
      <c r="C611" s="163">
        <v>20031600159</v>
      </c>
      <c r="D611" s="163" t="s">
        <v>754</v>
      </c>
      <c r="E611" s="163" t="s">
        <v>389</v>
      </c>
      <c r="F611" s="163" t="s">
        <v>100</v>
      </c>
      <c r="G611" s="163"/>
      <c r="H611" s="163">
        <v>20</v>
      </c>
      <c r="I611" s="163">
        <v>3</v>
      </c>
      <c r="J611" s="163">
        <v>16</v>
      </c>
      <c r="K611" s="163">
        <v>0</v>
      </c>
      <c r="L611" s="163">
        <v>1</v>
      </c>
      <c r="M611" s="163">
        <v>4</v>
      </c>
      <c r="N611" s="163">
        <v>14</v>
      </c>
      <c r="O611" s="163">
        <v>0</v>
      </c>
      <c r="P611" s="163">
        <v>245</v>
      </c>
      <c r="Q611" s="163">
        <v>1366.14</v>
      </c>
      <c r="R611" s="163">
        <v>97.581428571000004</v>
      </c>
      <c r="S611" s="163">
        <v>5.5760816327000002</v>
      </c>
      <c r="T611" s="163">
        <v>17.5</v>
      </c>
      <c r="U611" s="161">
        <f t="shared" si="21"/>
        <v>8.5137376976490275E-5</v>
      </c>
      <c r="V611" s="161">
        <f t="shared" si="20"/>
        <v>2.4997946597243798E-5</v>
      </c>
    </row>
    <row r="612" spans="2:23">
      <c r="B612" s="163">
        <v>2018</v>
      </c>
      <c r="C612" s="163">
        <v>20031600160</v>
      </c>
      <c r="D612" s="163" t="s">
        <v>755</v>
      </c>
      <c r="E612" s="163" t="s">
        <v>389</v>
      </c>
      <c r="F612" s="163" t="s">
        <v>100</v>
      </c>
      <c r="G612" s="163"/>
      <c r="H612" s="163">
        <v>20</v>
      </c>
      <c r="I612" s="163">
        <v>3</v>
      </c>
      <c r="J612" s="163">
        <v>16</v>
      </c>
      <c r="K612" s="163">
        <v>0</v>
      </c>
      <c r="L612" s="163">
        <v>1</v>
      </c>
      <c r="M612" s="163">
        <v>4</v>
      </c>
      <c r="N612" s="163">
        <v>9</v>
      </c>
      <c r="O612" s="163">
        <v>0</v>
      </c>
      <c r="P612" s="163">
        <v>140</v>
      </c>
      <c r="Q612" s="163">
        <v>638.4</v>
      </c>
      <c r="R612" s="163">
        <v>70.933333332999993</v>
      </c>
      <c r="S612" s="163">
        <v>4.5599999999999996</v>
      </c>
      <c r="T612" s="163">
        <v>15.555555556</v>
      </c>
      <c r="U612" s="161">
        <f t="shared" si="21"/>
        <v>4.8649929700851584E-5</v>
      </c>
      <c r="V612" s="161">
        <f t="shared" si="20"/>
        <v>1.4284540912710741E-5</v>
      </c>
    </row>
    <row r="613" spans="2:23">
      <c r="B613" s="163">
        <v>2018</v>
      </c>
      <c r="C613" s="163">
        <v>20031600161</v>
      </c>
      <c r="D613" s="163" t="s">
        <v>756</v>
      </c>
      <c r="E613" s="163" t="s">
        <v>389</v>
      </c>
      <c r="F613" s="163" t="s">
        <v>100</v>
      </c>
      <c r="G613" s="163"/>
      <c r="H613" s="163">
        <v>20</v>
      </c>
      <c r="I613" s="163">
        <v>3</v>
      </c>
      <c r="J613" s="163">
        <v>16</v>
      </c>
      <c r="K613" s="163">
        <v>0</v>
      </c>
      <c r="L613" s="163">
        <v>1</v>
      </c>
      <c r="M613" s="163">
        <v>4</v>
      </c>
      <c r="N613" s="163">
        <v>1</v>
      </c>
      <c r="O613" s="163">
        <v>0</v>
      </c>
      <c r="P613" s="163">
        <v>20</v>
      </c>
      <c r="Q613" s="163">
        <v>39</v>
      </c>
      <c r="R613" s="163">
        <v>39</v>
      </c>
      <c r="S613" s="163">
        <v>1.95</v>
      </c>
      <c r="T613" s="163">
        <v>20</v>
      </c>
      <c r="U613" s="161">
        <f t="shared" si="21"/>
        <v>6.9499899572645117E-6</v>
      </c>
      <c r="V613" s="161">
        <f t="shared" si="20"/>
        <v>2.0406487018158202E-6</v>
      </c>
    </row>
    <row r="614" spans="2:23">
      <c r="B614" s="163">
        <v>2018</v>
      </c>
      <c r="C614" s="163">
        <v>20031600164</v>
      </c>
      <c r="D614" s="163" t="s">
        <v>757</v>
      </c>
      <c r="E614" s="163" t="s">
        <v>389</v>
      </c>
      <c r="F614" s="163" t="s">
        <v>100</v>
      </c>
      <c r="G614" s="163"/>
      <c r="H614" s="163">
        <v>20</v>
      </c>
      <c r="I614" s="163">
        <v>3</v>
      </c>
      <c r="J614" s="163">
        <v>16</v>
      </c>
      <c r="K614" s="163">
        <v>0</v>
      </c>
      <c r="L614" s="163">
        <v>1</v>
      </c>
      <c r="M614" s="163">
        <v>4</v>
      </c>
      <c r="N614" s="163">
        <v>3</v>
      </c>
      <c r="O614" s="163">
        <v>0</v>
      </c>
      <c r="P614" s="163">
        <v>45</v>
      </c>
      <c r="Q614" s="163">
        <v>301.5</v>
      </c>
      <c r="R614" s="163">
        <v>100.5</v>
      </c>
      <c r="S614" s="163">
        <v>6.7</v>
      </c>
      <c r="T614" s="163">
        <v>15</v>
      </c>
      <c r="U614" s="161">
        <f t="shared" si="21"/>
        <v>1.5637477403845151E-5</v>
      </c>
      <c r="V614" s="161">
        <f t="shared" si="20"/>
        <v>4.5914595790855952E-6</v>
      </c>
    </row>
    <row r="615" spans="2:23">
      <c r="B615" s="163">
        <v>2018</v>
      </c>
      <c r="C615" s="163">
        <v>20031600165</v>
      </c>
      <c r="D615" s="163" t="s">
        <v>758</v>
      </c>
      <c r="E615" s="163" t="s">
        <v>389</v>
      </c>
      <c r="F615" s="163" t="s">
        <v>100</v>
      </c>
      <c r="G615" s="163"/>
      <c r="H615" s="163">
        <v>20</v>
      </c>
      <c r="I615" s="163">
        <v>3</v>
      </c>
      <c r="J615" s="163">
        <v>16</v>
      </c>
      <c r="K615" s="163">
        <v>0</v>
      </c>
      <c r="L615" s="163">
        <v>1</v>
      </c>
      <c r="M615" s="163">
        <v>4</v>
      </c>
      <c r="N615" s="163">
        <v>1</v>
      </c>
      <c r="O615" s="163">
        <v>0</v>
      </c>
      <c r="P615" s="163">
        <v>10</v>
      </c>
      <c r="Q615" s="163">
        <v>41</v>
      </c>
      <c r="R615" s="163">
        <v>41</v>
      </c>
      <c r="S615" s="163">
        <v>4.0999999999999996</v>
      </c>
      <c r="T615" s="163">
        <v>10</v>
      </c>
      <c r="U615" s="161">
        <f t="shared" si="21"/>
        <v>3.4749949786322559E-6</v>
      </c>
      <c r="V615" s="161">
        <f t="shared" si="20"/>
        <v>1.0203243509079101E-6</v>
      </c>
    </row>
    <row r="616" spans="2:23">
      <c r="B616" s="163">
        <v>2018</v>
      </c>
      <c r="C616" s="163">
        <v>20031600166</v>
      </c>
      <c r="D616" s="163" t="s">
        <v>759</v>
      </c>
      <c r="E616" s="163" t="s">
        <v>389</v>
      </c>
      <c r="F616" s="163" t="s">
        <v>100</v>
      </c>
      <c r="G616" s="163"/>
      <c r="H616" s="163">
        <v>20</v>
      </c>
      <c r="I616" s="163">
        <v>3</v>
      </c>
      <c r="J616" s="163">
        <v>16</v>
      </c>
      <c r="K616" s="163">
        <v>0</v>
      </c>
      <c r="L616" s="163">
        <v>1</v>
      </c>
      <c r="M616" s="163">
        <v>4</v>
      </c>
      <c r="N616" s="163">
        <v>6</v>
      </c>
      <c r="O616" s="163">
        <v>0</v>
      </c>
      <c r="P616" s="163">
        <v>135</v>
      </c>
      <c r="Q616" s="163">
        <v>645.29999999999995</v>
      </c>
      <c r="R616" s="163">
        <v>107.55</v>
      </c>
      <c r="S616" s="163">
        <v>4.78</v>
      </c>
      <c r="T616" s="163">
        <v>22.5</v>
      </c>
      <c r="U616" s="161">
        <f t="shared" si="21"/>
        <v>4.6912432211535456E-5</v>
      </c>
      <c r="V616" s="161">
        <f t="shared" si="20"/>
        <v>1.3774378737256787E-5</v>
      </c>
    </row>
    <row r="617" spans="2:23">
      <c r="B617" s="163">
        <v>2018</v>
      </c>
      <c r="C617" s="163">
        <v>20031600167</v>
      </c>
      <c r="D617" s="163" t="s">
        <v>760</v>
      </c>
      <c r="E617" s="163" t="s">
        <v>389</v>
      </c>
      <c r="F617" s="163" t="s">
        <v>100</v>
      </c>
      <c r="G617" s="163"/>
      <c r="H617" s="163">
        <v>20</v>
      </c>
      <c r="I617" s="163">
        <v>3</v>
      </c>
      <c r="J617" s="163">
        <v>16</v>
      </c>
      <c r="K617" s="163">
        <v>0</v>
      </c>
      <c r="L617" s="163">
        <v>1</v>
      </c>
      <c r="M617" s="163">
        <v>4</v>
      </c>
      <c r="N617" s="163">
        <v>3</v>
      </c>
      <c r="O617" s="163">
        <v>0</v>
      </c>
      <c r="P617" s="163">
        <v>70</v>
      </c>
      <c r="Q617" s="163">
        <v>480.9</v>
      </c>
      <c r="R617" s="163">
        <v>160.30000000000001</v>
      </c>
      <c r="S617" s="163">
        <v>6.87</v>
      </c>
      <c r="T617" s="163">
        <v>23.333333332999999</v>
      </c>
      <c r="U617" s="161">
        <f t="shared" si="21"/>
        <v>2.4324964850425792E-5</v>
      </c>
      <c r="V617" s="161">
        <f t="shared" si="20"/>
        <v>7.1422704563553707E-6</v>
      </c>
    </row>
    <row r="618" spans="2:23">
      <c r="B618" s="163">
        <v>2018</v>
      </c>
      <c r="C618" s="163">
        <v>20031600168</v>
      </c>
      <c r="D618" s="163" t="s">
        <v>761</v>
      </c>
      <c r="E618" s="163" t="s">
        <v>389</v>
      </c>
      <c r="F618" s="163" t="s">
        <v>100</v>
      </c>
      <c r="G618" s="163"/>
      <c r="H618" s="163">
        <v>20</v>
      </c>
      <c r="I618" s="163">
        <v>3</v>
      </c>
      <c r="J618" s="163">
        <v>16</v>
      </c>
      <c r="K618" s="163">
        <v>0</v>
      </c>
      <c r="L618" s="163">
        <v>1</v>
      </c>
      <c r="M618" s="163">
        <v>4</v>
      </c>
      <c r="N618" s="163">
        <v>4</v>
      </c>
      <c r="O618" s="163">
        <v>0</v>
      </c>
      <c r="P618" s="163">
        <v>80</v>
      </c>
      <c r="Q618" s="163">
        <v>848</v>
      </c>
      <c r="R618" s="163">
        <v>212</v>
      </c>
      <c r="S618" s="163">
        <v>10.6</v>
      </c>
      <c r="T618" s="163">
        <v>20</v>
      </c>
      <c r="U618" s="161">
        <f t="shared" si="21"/>
        <v>2.7799959829058047E-5</v>
      </c>
      <c r="V618" s="161">
        <f t="shared" si="20"/>
        <v>8.1625948072632806E-6</v>
      </c>
    </row>
    <row r="619" spans="2:23">
      <c r="V619">
        <f t="shared" si="20"/>
        <v>0</v>
      </c>
    </row>
    <row r="620" spans="2:23">
      <c r="B620" s="9" t="s">
        <v>762</v>
      </c>
      <c r="V620">
        <f t="shared" si="20"/>
        <v>0</v>
      </c>
    </row>
    <row r="621" spans="2:23">
      <c r="B621" s="141" t="s">
        <v>3</v>
      </c>
      <c r="C621" s="141" t="s">
        <v>220</v>
      </c>
      <c r="D621" s="141" t="s">
        <v>221</v>
      </c>
      <c r="E621" s="141" t="s">
        <v>222</v>
      </c>
      <c r="F621" s="141" t="s">
        <v>223</v>
      </c>
      <c r="G621" s="141" t="s">
        <v>224</v>
      </c>
      <c r="H621" s="141" t="s">
        <v>225</v>
      </c>
      <c r="I621" s="141" t="s">
        <v>226</v>
      </c>
      <c r="J621" s="141" t="s">
        <v>227</v>
      </c>
      <c r="K621" s="141" t="s">
        <v>228</v>
      </c>
      <c r="L621" s="141" t="s">
        <v>229</v>
      </c>
      <c r="M621" s="141" t="s">
        <v>230</v>
      </c>
      <c r="N621" s="141" t="s">
        <v>231</v>
      </c>
      <c r="O621" s="141" t="s">
        <v>232</v>
      </c>
      <c r="P621" s="141" t="s">
        <v>233</v>
      </c>
      <c r="Q621" s="141" t="s">
        <v>234</v>
      </c>
      <c r="R621" s="141" t="s">
        <v>235</v>
      </c>
      <c r="S621" s="141" t="s">
        <v>236</v>
      </c>
      <c r="T621" s="141" t="s">
        <v>237</v>
      </c>
      <c r="U621" s="141"/>
      <c r="V621" s="141"/>
    </row>
    <row r="622" spans="2:23">
      <c r="B622" s="163">
        <v>2018</v>
      </c>
      <c r="C622" s="163">
        <v>20030500080</v>
      </c>
      <c r="D622" s="163" t="s">
        <v>763</v>
      </c>
      <c r="E622" s="163" t="s">
        <v>389</v>
      </c>
      <c r="F622" s="163" t="s">
        <v>100</v>
      </c>
      <c r="G622" s="163"/>
      <c r="H622" s="163">
        <v>20</v>
      </c>
      <c r="I622" s="163">
        <v>3</v>
      </c>
      <c r="J622" s="163">
        <v>5</v>
      </c>
      <c r="K622" s="163">
        <v>0</v>
      </c>
      <c r="L622" s="163">
        <v>1</v>
      </c>
      <c r="M622" s="163">
        <v>4</v>
      </c>
      <c r="N622" s="163">
        <v>1497</v>
      </c>
      <c r="O622" s="163">
        <v>0</v>
      </c>
      <c r="P622" s="163">
        <v>6993</v>
      </c>
      <c r="Q622" s="163">
        <v>9841.23</v>
      </c>
      <c r="R622" s="163">
        <v>6.5739679358999998</v>
      </c>
      <c r="S622" s="163">
        <v>1.4072972973</v>
      </c>
      <c r="T622" s="163">
        <v>4.6713426854</v>
      </c>
      <c r="U622" s="161">
        <f>P622/SUM($P$622:$P$623)</f>
        <v>0.39293139293139295</v>
      </c>
      <c r="V622" s="161">
        <f t="shared" si="20"/>
        <v>7.1351281858990151E-4</v>
      </c>
      <c r="W622" s="2">
        <f>SUMPRODUCT(S622:S623,U622:U623)</f>
        <v>1.2997263583902288</v>
      </c>
    </row>
    <row r="623" spans="2:23">
      <c r="B623" s="163">
        <v>2018</v>
      </c>
      <c r="C623" s="163">
        <v>20030500081</v>
      </c>
      <c r="D623" s="163" t="s">
        <v>764</v>
      </c>
      <c r="E623" s="163" t="s">
        <v>389</v>
      </c>
      <c r="F623" s="163" t="s">
        <v>100</v>
      </c>
      <c r="G623" s="163"/>
      <c r="H623" s="163">
        <v>20</v>
      </c>
      <c r="I623" s="163">
        <v>3</v>
      </c>
      <c r="J623" s="163">
        <v>5</v>
      </c>
      <c r="K623" s="163">
        <v>0</v>
      </c>
      <c r="L623" s="163">
        <v>1</v>
      </c>
      <c r="M623" s="163">
        <v>4</v>
      </c>
      <c r="N623" s="163">
        <v>1848</v>
      </c>
      <c r="O623" s="163">
        <v>0</v>
      </c>
      <c r="P623" s="163">
        <v>10804</v>
      </c>
      <c r="Q623" s="163">
        <v>13290</v>
      </c>
      <c r="R623" s="163">
        <v>7.1915584415999998</v>
      </c>
      <c r="S623" s="163">
        <v>1.230099963</v>
      </c>
      <c r="T623" s="163">
        <v>5.8463203462999997</v>
      </c>
      <c r="U623" s="161">
        <f>P623/SUM($P$622:$P$623)</f>
        <v>0.6070686070686071</v>
      </c>
      <c r="V623" s="161">
        <f t="shared" si="20"/>
        <v>1.1023584287209061E-3</v>
      </c>
    </row>
    <row r="624" spans="2:23">
      <c r="V624">
        <f t="shared" si="20"/>
        <v>0</v>
      </c>
    </row>
    <row r="625" spans="2:23">
      <c r="B625" s="9" t="s">
        <v>765</v>
      </c>
      <c r="V625">
        <f t="shared" si="20"/>
        <v>0</v>
      </c>
    </row>
    <row r="626" spans="2:23">
      <c r="B626" s="141" t="s">
        <v>3</v>
      </c>
      <c r="C626" s="141" t="s">
        <v>220</v>
      </c>
      <c r="D626" s="141" t="s">
        <v>221</v>
      </c>
      <c r="E626" s="141" t="s">
        <v>222</v>
      </c>
      <c r="F626" s="141" t="s">
        <v>223</v>
      </c>
      <c r="G626" s="141" t="s">
        <v>224</v>
      </c>
      <c r="H626" s="141" t="s">
        <v>225</v>
      </c>
      <c r="I626" s="141" t="s">
        <v>226</v>
      </c>
      <c r="J626" s="141" t="s">
        <v>227</v>
      </c>
      <c r="K626" s="141" t="s">
        <v>228</v>
      </c>
      <c r="L626" s="141" t="s">
        <v>229</v>
      </c>
      <c r="M626" s="141" t="s">
        <v>230</v>
      </c>
      <c r="N626" s="141" t="s">
        <v>231</v>
      </c>
      <c r="O626" s="141" t="s">
        <v>232</v>
      </c>
      <c r="P626" s="141" t="s">
        <v>233</v>
      </c>
      <c r="Q626" s="141" t="s">
        <v>234</v>
      </c>
      <c r="R626" s="141" t="s">
        <v>235</v>
      </c>
      <c r="S626" s="141" t="s">
        <v>236</v>
      </c>
      <c r="T626" s="141" t="s">
        <v>237</v>
      </c>
      <c r="U626" s="141"/>
      <c r="V626" s="141"/>
    </row>
    <row r="627" spans="2:23">
      <c r="B627" s="163">
        <v>2018</v>
      </c>
      <c r="C627" s="163">
        <v>20030200025</v>
      </c>
      <c r="D627" s="163" t="s">
        <v>766</v>
      </c>
      <c r="E627" s="163" t="s">
        <v>389</v>
      </c>
      <c r="F627" s="163" t="s">
        <v>100</v>
      </c>
      <c r="G627" s="163"/>
      <c r="H627" s="163">
        <v>20</v>
      </c>
      <c r="I627" s="163">
        <v>3</v>
      </c>
      <c r="J627" s="163">
        <v>2</v>
      </c>
      <c r="K627" s="163">
        <v>0</v>
      </c>
      <c r="L627" s="163">
        <v>1</v>
      </c>
      <c r="M627" s="163">
        <v>4</v>
      </c>
      <c r="N627" s="163">
        <v>650</v>
      </c>
      <c r="O627" s="163">
        <v>0</v>
      </c>
      <c r="P627" s="163">
        <v>8282</v>
      </c>
      <c r="Q627" s="163">
        <v>13070.53</v>
      </c>
      <c r="R627" s="163">
        <v>20.108507692</v>
      </c>
      <c r="S627" s="163">
        <v>1.578185221</v>
      </c>
      <c r="T627" s="163">
        <v>12.741538461999999</v>
      </c>
      <c r="U627" s="161">
        <f t="shared" ref="U627:U658" si="22">P627/SUM($P$627:$P$690)</f>
        <v>2.0951759345693911E-2</v>
      </c>
      <c r="V627" s="161">
        <f t="shared" si="20"/>
        <v>8.4503262742193115E-4</v>
      </c>
    </row>
    <row r="628" spans="2:23">
      <c r="B628" s="163">
        <v>2018</v>
      </c>
      <c r="C628" s="163">
        <v>20030200026</v>
      </c>
      <c r="D628" s="163" t="s">
        <v>767</v>
      </c>
      <c r="E628" s="163" t="s">
        <v>389</v>
      </c>
      <c r="F628" s="163" t="s">
        <v>100</v>
      </c>
      <c r="G628" s="163"/>
      <c r="H628" s="163">
        <v>20</v>
      </c>
      <c r="I628" s="163">
        <v>3</v>
      </c>
      <c r="J628" s="163">
        <v>2</v>
      </c>
      <c r="K628" s="163">
        <v>0</v>
      </c>
      <c r="L628" s="163">
        <v>1</v>
      </c>
      <c r="M628" s="163">
        <v>4</v>
      </c>
      <c r="N628" s="163">
        <v>459</v>
      </c>
      <c r="O628" s="163">
        <v>0</v>
      </c>
      <c r="P628" s="163">
        <v>7477</v>
      </c>
      <c r="Q628" s="163">
        <v>29862.43</v>
      </c>
      <c r="R628" s="163">
        <v>65.059760349000001</v>
      </c>
      <c r="S628" s="163">
        <v>3.9939053096000001</v>
      </c>
      <c r="T628" s="163">
        <v>16.289760349000002</v>
      </c>
      <c r="U628" s="161">
        <f t="shared" si="22"/>
        <v>1.891527464715689E-2</v>
      </c>
      <c r="V628" s="161">
        <f t="shared" si="20"/>
        <v>7.6289651717384444E-4</v>
      </c>
    </row>
    <row r="629" spans="2:23">
      <c r="B629" s="163">
        <v>2018</v>
      </c>
      <c r="C629" s="163">
        <v>20030200027</v>
      </c>
      <c r="D629" s="163" t="s">
        <v>768</v>
      </c>
      <c r="E629" s="163" t="s">
        <v>389</v>
      </c>
      <c r="F629" s="163" t="s">
        <v>100</v>
      </c>
      <c r="G629" s="163"/>
      <c r="H629" s="163">
        <v>20</v>
      </c>
      <c r="I629" s="163">
        <v>3</v>
      </c>
      <c r="J629" s="163">
        <v>2</v>
      </c>
      <c r="K629" s="163">
        <v>0</v>
      </c>
      <c r="L629" s="163">
        <v>1</v>
      </c>
      <c r="M629" s="163">
        <v>4</v>
      </c>
      <c r="N629" s="163">
        <v>117</v>
      </c>
      <c r="O629" s="163">
        <v>0</v>
      </c>
      <c r="P629" s="163">
        <v>1859</v>
      </c>
      <c r="Q629" s="163">
        <v>13563.69</v>
      </c>
      <c r="R629" s="163">
        <v>115.92897436</v>
      </c>
      <c r="S629" s="163">
        <v>7.2962291554999998</v>
      </c>
      <c r="T629" s="163">
        <v>15.888888889</v>
      </c>
      <c r="U629" s="161">
        <f t="shared" si="22"/>
        <v>4.7028882665594036E-3</v>
      </c>
      <c r="V629" s="161">
        <f t="shared" si="20"/>
        <v>1.8967829683378049E-4</v>
      </c>
      <c r="W629" s="2">
        <f>SUMPRODUCT(S627:S690,U627:U690)</f>
        <v>6.4455089314329248</v>
      </c>
    </row>
    <row r="630" spans="2:23">
      <c r="B630" s="163">
        <v>2018</v>
      </c>
      <c r="C630" s="163">
        <v>20030200056</v>
      </c>
      <c r="D630" s="163" t="s">
        <v>769</v>
      </c>
      <c r="E630" s="163" t="s">
        <v>389</v>
      </c>
      <c r="F630" s="163" t="s">
        <v>100</v>
      </c>
      <c r="G630" s="163"/>
      <c r="H630" s="163">
        <v>20</v>
      </c>
      <c r="I630" s="163">
        <v>3</v>
      </c>
      <c r="J630" s="163">
        <v>2</v>
      </c>
      <c r="K630" s="163">
        <v>0</v>
      </c>
      <c r="L630" s="163">
        <v>1</v>
      </c>
      <c r="M630" s="163">
        <v>4</v>
      </c>
      <c r="N630" s="163">
        <v>242</v>
      </c>
      <c r="O630" s="163">
        <v>0</v>
      </c>
      <c r="P630" s="163">
        <v>3302</v>
      </c>
      <c r="Q630" s="163">
        <v>5160.34</v>
      </c>
      <c r="R630" s="163">
        <v>21.323719008000001</v>
      </c>
      <c r="S630" s="163">
        <v>1.5627922471</v>
      </c>
      <c r="T630" s="163">
        <v>13.644628099</v>
      </c>
      <c r="U630" s="161">
        <f t="shared" si="22"/>
        <v>8.3533819559866319E-3</v>
      </c>
      <c r="V630" s="161">
        <f t="shared" si="20"/>
        <v>3.3691110066979191E-4</v>
      </c>
    </row>
    <row r="631" spans="2:23">
      <c r="B631" s="163">
        <v>2018</v>
      </c>
      <c r="C631" s="163">
        <v>20030200057</v>
      </c>
      <c r="D631" s="163" t="s">
        <v>770</v>
      </c>
      <c r="E631" s="163" t="s">
        <v>389</v>
      </c>
      <c r="F631" s="163" t="s">
        <v>100</v>
      </c>
      <c r="G631" s="163"/>
      <c r="H631" s="163">
        <v>20</v>
      </c>
      <c r="I631" s="163">
        <v>3</v>
      </c>
      <c r="J631" s="163">
        <v>2</v>
      </c>
      <c r="K631" s="163">
        <v>0</v>
      </c>
      <c r="L631" s="163">
        <v>1</v>
      </c>
      <c r="M631" s="163">
        <v>4</v>
      </c>
      <c r="N631" s="163">
        <v>372</v>
      </c>
      <c r="O631" s="163">
        <v>0</v>
      </c>
      <c r="P631" s="163">
        <v>4771</v>
      </c>
      <c r="Q631" s="163">
        <v>17739.169999999998</v>
      </c>
      <c r="R631" s="163">
        <v>47.685940860000002</v>
      </c>
      <c r="S631" s="163">
        <v>3.7181240830000002</v>
      </c>
      <c r="T631" s="163">
        <v>12.825268817</v>
      </c>
      <c r="U631" s="161">
        <f t="shared" si="22"/>
        <v>1.2069650306484622E-2</v>
      </c>
      <c r="V631" s="161">
        <f t="shared" si="20"/>
        <v>4.867967478181639E-4</v>
      </c>
    </row>
    <row r="632" spans="2:23">
      <c r="B632" s="163">
        <v>2018</v>
      </c>
      <c r="C632" s="163">
        <v>20030200058</v>
      </c>
      <c r="D632" s="163" t="s">
        <v>771</v>
      </c>
      <c r="E632" s="163" t="s">
        <v>389</v>
      </c>
      <c r="F632" s="163" t="s">
        <v>100</v>
      </c>
      <c r="G632" s="163"/>
      <c r="H632" s="163">
        <v>20</v>
      </c>
      <c r="I632" s="163">
        <v>3</v>
      </c>
      <c r="J632" s="163">
        <v>2</v>
      </c>
      <c r="K632" s="163">
        <v>0</v>
      </c>
      <c r="L632" s="163">
        <v>1</v>
      </c>
      <c r="M632" s="163">
        <v>4</v>
      </c>
      <c r="N632" s="163">
        <v>205</v>
      </c>
      <c r="O632" s="163">
        <v>0</v>
      </c>
      <c r="P632" s="163">
        <v>4024</v>
      </c>
      <c r="Q632" s="163">
        <v>28243</v>
      </c>
      <c r="R632" s="163">
        <v>137.77073171000001</v>
      </c>
      <c r="S632" s="163">
        <v>7.0186381710000001</v>
      </c>
      <c r="T632" s="163">
        <v>19.629268292999999</v>
      </c>
      <c r="U632" s="161">
        <f t="shared" si="22"/>
        <v>1.0179893698028531E-2</v>
      </c>
      <c r="V632" s="161">
        <f t="shared" si="20"/>
        <v>4.1057851880534302E-4</v>
      </c>
    </row>
    <row r="633" spans="2:23">
      <c r="B633" s="163">
        <v>2018</v>
      </c>
      <c r="C633" s="163">
        <v>20030200180</v>
      </c>
      <c r="D633" s="163" t="s">
        <v>772</v>
      </c>
      <c r="E633" s="163" t="s">
        <v>389</v>
      </c>
      <c r="F633" s="163" t="s">
        <v>100</v>
      </c>
      <c r="G633" s="163"/>
      <c r="H633" s="163">
        <v>20</v>
      </c>
      <c r="I633" s="163">
        <v>3</v>
      </c>
      <c r="J633" s="163">
        <v>2</v>
      </c>
      <c r="K633" s="163">
        <v>0</v>
      </c>
      <c r="L633" s="163">
        <v>1</v>
      </c>
      <c r="M633" s="163">
        <v>4</v>
      </c>
      <c r="N633" s="163">
        <v>42</v>
      </c>
      <c r="O633" s="163">
        <v>0</v>
      </c>
      <c r="P633" s="163">
        <v>786</v>
      </c>
      <c r="Q633" s="163">
        <v>2648.02</v>
      </c>
      <c r="R633" s="163">
        <v>63.048095238000002</v>
      </c>
      <c r="S633" s="163">
        <v>3.3689821883</v>
      </c>
      <c r="T633" s="163">
        <v>18.714285713999999</v>
      </c>
      <c r="U633" s="161">
        <f t="shared" si="22"/>
        <v>1.988418600062233E-3</v>
      </c>
      <c r="V633" s="161">
        <f t="shared" si="20"/>
        <v>8.0197493981361734E-5</v>
      </c>
    </row>
    <row r="634" spans="2:23">
      <c r="B634" s="163">
        <v>2018</v>
      </c>
      <c r="C634" s="163">
        <v>20030200181</v>
      </c>
      <c r="D634" s="163" t="s">
        <v>773</v>
      </c>
      <c r="E634" s="163" t="s">
        <v>389</v>
      </c>
      <c r="F634" s="163" t="s">
        <v>100</v>
      </c>
      <c r="G634" s="163"/>
      <c r="H634" s="163">
        <v>20</v>
      </c>
      <c r="I634" s="163">
        <v>3</v>
      </c>
      <c r="J634" s="163">
        <v>2</v>
      </c>
      <c r="K634" s="163">
        <v>0</v>
      </c>
      <c r="L634" s="163">
        <v>1</v>
      </c>
      <c r="M634" s="163">
        <v>4</v>
      </c>
      <c r="N634" s="163">
        <v>51</v>
      </c>
      <c r="O634" s="163">
        <v>0</v>
      </c>
      <c r="P634" s="163">
        <v>673</v>
      </c>
      <c r="Q634" s="163">
        <v>3766.6</v>
      </c>
      <c r="R634" s="163">
        <v>73.854901960999996</v>
      </c>
      <c r="S634" s="163">
        <v>5.5967310550000002</v>
      </c>
      <c r="T634" s="163">
        <v>13.196078431</v>
      </c>
      <c r="U634" s="161">
        <f t="shared" si="22"/>
        <v>1.7025518038700799E-3</v>
      </c>
      <c r="V634" s="161">
        <f t="shared" si="20"/>
        <v>6.866782881610235E-5</v>
      </c>
    </row>
    <row r="635" spans="2:23">
      <c r="B635" s="163">
        <v>2018</v>
      </c>
      <c r="C635" s="163">
        <v>20030200182</v>
      </c>
      <c r="D635" s="163" t="s">
        <v>774</v>
      </c>
      <c r="E635" s="163" t="s">
        <v>389</v>
      </c>
      <c r="F635" s="163" t="s">
        <v>100</v>
      </c>
      <c r="G635" s="163"/>
      <c r="H635" s="163">
        <v>20</v>
      </c>
      <c r="I635" s="163">
        <v>3</v>
      </c>
      <c r="J635" s="163">
        <v>2</v>
      </c>
      <c r="K635" s="163">
        <v>0</v>
      </c>
      <c r="L635" s="163">
        <v>1</v>
      </c>
      <c r="M635" s="163">
        <v>4</v>
      </c>
      <c r="N635" s="163">
        <v>56</v>
      </c>
      <c r="O635" s="163">
        <v>0</v>
      </c>
      <c r="P635" s="163">
        <v>761</v>
      </c>
      <c r="Q635" s="163">
        <v>5187.87</v>
      </c>
      <c r="R635" s="163">
        <v>92.640535713999995</v>
      </c>
      <c r="S635" s="163">
        <v>6.8171747700000003</v>
      </c>
      <c r="T635" s="163">
        <v>13.589285714000001</v>
      </c>
      <c r="U635" s="161">
        <f t="shared" si="22"/>
        <v>1.9251737336480397E-3</v>
      </c>
      <c r="V635" s="161">
        <f t="shared" si="20"/>
        <v>7.7646683104091964E-5</v>
      </c>
    </row>
    <row r="636" spans="2:23">
      <c r="B636" s="163">
        <v>2018</v>
      </c>
      <c r="C636" s="163">
        <v>20030200183</v>
      </c>
      <c r="D636" s="163" t="s">
        <v>775</v>
      </c>
      <c r="E636" s="163" t="s">
        <v>389</v>
      </c>
      <c r="F636" s="163" t="s">
        <v>100</v>
      </c>
      <c r="G636" s="163"/>
      <c r="H636" s="163">
        <v>20</v>
      </c>
      <c r="I636" s="163">
        <v>3</v>
      </c>
      <c r="J636" s="163">
        <v>2</v>
      </c>
      <c r="K636" s="163">
        <v>0</v>
      </c>
      <c r="L636" s="163">
        <v>1</v>
      </c>
      <c r="M636" s="163">
        <v>4</v>
      </c>
      <c r="N636" s="163">
        <v>27</v>
      </c>
      <c r="O636" s="163">
        <v>0</v>
      </c>
      <c r="P636" s="163">
        <v>324</v>
      </c>
      <c r="Q636" s="163">
        <v>2963.34</v>
      </c>
      <c r="R636" s="163">
        <v>109.75333333</v>
      </c>
      <c r="S636" s="163">
        <v>9.1461111110999997</v>
      </c>
      <c r="T636" s="163">
        <v>12</v>
      </c>
      <c r="U636" s="161">
        <f t="shared" si="22"/>
        <v>8.1965346872794333E-4</v>
      </c>
      <c r="V636" s="161">
        <f t="shared" si="20"/>
        <v>3.305850896941629E-5</v>
      </c>
    </row>
    <row r="637" spans="2:23">
      <c r="B637" s="163">
        <v>2018</v>
      </c>
      <c r="C637" s="163">
        <v>20030400290</v>
      </c>
      <c r="D637" s="163" t="s">
        <v>776</v>
      </c>
      <c r="E637" s="163" t="s">
        <v>389</v>
      </c>
      <c r="F637" s="163" t="s">
        <v>100</v>
      </c>
      <c r="G637" s="163"/>
      <c r="H637" s="163">
        <v>20</v>
      </c>
      <c r="I637" s="163">
        <v>3</v>
      </c>
      <c r="J637" s="163">
        <v>4</v>
      </c>
      <c r="K637" s="163">
        <v>0</v>
      </c>
      <c r="L637" s="163">
        <v>1</v>
      </c>
      <c r="M637" s="163">
        <v>4</v>
      </c>
      <c r="N637" s="163">
        <v>2043</v>
      </c>
      <c r="O637" s="163">
        <v>0</v>
      </c>
      <c r="P637" s="163">
        <v>19224</v>
      </c>
      <c r="Q637" s="163">
        <v>32355.67</v>
      </c>
      <c r="R637" s="163">
        <v>15.837332354000001</v>
      </c>
      <c r="S637" s="163">
        <v>1.6830872867</v>
      </c>
      <c r="T637" s="163">
        <v>9.4096916299999993</v>
      </c>
      <c r="U637" s="161">
        <f t="shared" si="22"/>
        <v>4.8632772477857973E-2</v>
      </c>
      <c r="V637" s="161">
        <f t="shared" si="20"/>
        <v>1.9614715321853663E-3</v>
      </c>
    </row>
    <row r="638" spans="2:23">
      <c r="B638" s="163">
        <v>2018</v>
      </c>
      <c r="C638" s="163">
        <v>20030400291</v>
      </c>
      <c r="D638" s="163" t="s">
        <v>777</v>
      </c>
      <c r="E638" s="163" t="s">
        <v>389</v>
      </c>
      <c r="F638" s="163" t="s">
        <v>100</v>
      </c>
      <c r="G638" s="163"/>
      <c r="H638" s="163">
        <v>20</v>
      </c>
      <c r="I638" s="163">
        <v>3</v>
      </c>
      <c r="J638" s="163">
        <v>4</v>
      </c>
      <c r="K638" s="163">
        <v>0</v>
      </c>
      <c r="L638" s="163">
        <v>1</v>
      </c>
      <c r="M638" s="163">
        <v>4</v>
      </c>
      <c r="N638" s="163">
        <v>995</v>
      </c>
      <c r="O638" s="163">
        <v>0</v>
      </c>
      <c r="P638" s="163">
        <v>14969</v>
      </c>
      <c r="Q638" s="163">
        <v>62095.02</v>
      </c>
      <c r="R638" s="163">
        <v>62.407055276000001</v>
      </c>
      <c r="S638" s="163">
        <v>4.1482410314999996</v>
      </c>
      <c r="T638" s="163">
        <v>15.044221106</v>
      </c>
      <c r="U638" s="161">
        <f t="shared" si="22"/>
        <v>3.7868496214162294E-2</v>
      </c>
      <c r="V638" s="161">
        <f t="shared" si="20"/>
        <v>1.5273235208740506E-3</v>
      </c>
    </row>
    <row r="639" spans="2:23">
      <c r="B639" s="163">
        <v>2018</v>
      </c>
      <c r="C639" s="163">
        <v>20030400295</v>
      </c>
      <c r="D639" s="163" t="s">
        <v>778</v>
      </c>
      <c r="E639" s="163" t="s">
        <v>389</v>
      </c>
      <c r="F639" s="163" t="s">
        <v>100</v>
      </c>
      <c r="G639" s="163"/>
      <c r="H639" s="163">
        <v>20</v>
      </c>
      <c r="I639" s="163">
        <v>3</v>
      </c>
      <c r="J639" s="163">
        <v>4</v>
      </c>
      <c r="K639" s="163">
        <v>0</v>
      </c>
      <c r="L639" s="163">
        <v>1</v>
      </c>
      <c r="M639" s="163">
        <v>4</v>
      </c>
      <c r="N639" s="163">
        <v>116</v>
      </c>
      <c r="O639" s="163">
        <v>0</v>
      </c>
      <c r="P639" s="163">
        <v>1449</v>
      </c>
      <c r="Q639" s="163">
        <v>6466.17</v>
      </c>
      <c r="R639" s="163">
        <v>55.742844828000003</v>
      </c>
      <c r="S639" s="163">
        <v>4.4625051759999996</v>
      </c>
      <c r="T639" s="163">
        <v>12.491379309999999</v>
      </c>
      <c r="U639" s="161">
        <f t="shared" si="22"/>
        <v>3.6656724573666355E-3</v>
      </c>
      <c r="V639" s="161">
        <f t="shared" si="20"/>
        <v>1.4784499844655618E-4</v>
      </c>
    </row>
    <row r="640" spans="2:23">
      <c r="B640" s="163">
        <v>2018</v>
      </c>
      <c r="C640" s="163">
        <v>20030400296</v>
      </c>
      <c r="D640" s="163" t="s">
        <v>779</v>
      </c>
      <c r="E640" s="163" t="s">
        <v>389</v>
      </c>
      <c r="F640" s="163" t="s">
        <v>100</v>
      </c>
      <c r="G640" s="163"/>
      <c r="H640" s="163">
        <v>20</v>
      </c>
      <c r="I640" s="163">
        <v>3</v>
      </c>
      <c r="J640" s="163">
        <v>4</v>
      </c>
      <c r="K640" s="163">
        <v>0</v>
      </c>
      <c r="L640" s="163">
        <v>1</v>
      </c>
      <c r="M640" s="163">
        <v>4</v>
      </c>
      <c r="N640" s="163">
        <v>516</v>
      </c>
      <c r="O640" s="163">
        <v>0</v>
      </c>
      <c r="P640" s="163">
        <v>7025</v>
      </c>
      <c r="Q640" s="163">
        <v>54082.26</v>
      </c>
      <c r="R640" s="163">
        <v>104.8105814</v>
      </c>
      <c r="S640" s="163">
        <v>7.6985423488000002</v>
      </c>
      <c r="T640" s="163">
        <v>13.614341085</v>
      </c>
      <c r="U640" s="161">
        <f t="shared" si="22"/>
        <v>1.7771807462388278E-2</v>
      </c>
      <c r="V640" s="161">
        <f t="shared" si="20"/>
        <v>7.167778565128069E-4</v>
      </c>
    </row>
    <row r="641" spans="2:22">
      <c r="B641" s="163">
        <v>2018</v>
      </c>
      <c r="C641" s="163">
        <v>20030600451</v>
      </c>
      <c r="D641" s="163" t="s">
        <v>780</v>
      </c>
      <c r="E641" s="163" t="s">
        <v>389</v>
      </c>
      <c r="F641" s="163" t="s">
        <v>100</v>
      </c>
      <c r="G641" s="163"/>
      <c r="H641" s="163">
        <v>20</v>
      </c>
      <c r="I641" s="163">
        <v>3</v>
      </c>
      <c r="J641" s="163">
        <v>6</v>
      </c>
      <c r="K641" s="163">
        <v>0</v>
      </c>
      <c r="L641" s="163">
        <v>1</v>
      </c>
      <c r="M641" s="163">
        <v>4</v>
      </c>
      <c r="N641" s="163">
        <v>131</v>
      </c>
      <c r="O641" s="163">
        <v>0</v>
      </c>
      <c r="P641" s="163">
        <v>1472</v>
      </c>
      <c r="Q641" s="163">
        <v>13128.3</v>
      </c>
      <c r="R641" s="163">
        <v>100.21603053</v>
      </c>
      <c r="S641" s="163">
        <v>8.9186820652000005</v>
      </c>
      <c r="T641" s="163">
        <v>11.236641220999999</v>
      </c>
      <c r="U641" s="161">
        <f t="shared" si="22"/>
        <v>3.7238577344676934E-3</v>
      </c>
      <c r="V641" s="161">
        <f t="shared" si="20"/>
        <v>1.5019174445364436E-4</v>
      </c>
    </row>
    <row r="642" spans="2:22">
      <c r="B642" s="163">
        <v>2018</v>
      </c>
      <c r="C642" s="163">
        <v>20030600452</v>
      </c>
      <c r="D642" s="163" t="s">
        <v>781</v>
      </c>
      <c r="E642" s="163" t="s">
        <v>389</v>
      </c>
      <c r="F642" s="163" t="s">
        <v>100</v>
      </c>
      <c r="G642" s="163"/>
      <c r="H642" s="163">
        <v>20</v>
      </c>
      <c r="I642" s="163">
        <v>3</v>
      </c>
      <c r="J642" s="163">
        <v>6</v>
      </c>
      <c r="K642" s="163">
        <v>0</v>
      </c>
      <c r="L642" s="163">
        <v>1</v>
      </c>
      <c r="M642" s="163">
        <v>4</v>
      </c>
      <c r="N642" s="163">
        <v>57</v>
      </c>
      <c r="O642" s="163">
        <v>0</v>
      </c>
      <c r="P642" s="163">
        <v>1154</v>
      </c>
      <c r="Q642" s="163">
        <v>20597.22</v>
      </c>
      <c r="R642" s="163">
        <v>361.35473683999999</v>
      </c>
      <c r="S642" s="163">
        <v>17.848544193999999</v>
      </c>
      <c r="T642" s="163">
        <v>20.245614034999999</v>
      </c>
      <c r="U642" s="161">
        <f t="shared" si="22"/>
        <v>2.9193830336791565E-3</v>
      </c>
      <c r="V642" s="161">
        <f t="shared" si="20"/>
        <v>1.1774543009477283E-4</v>
      </c>
    </row>
    <row r="643" spans="2:22">
      <c r="B643" s="163">
        <v>2018</v>
      </c>
      <c r="C643" s="163">
        <v>20030600455</v>
      </c>
      <c r="D643" s="163" t="s">
        <v>782</v>
      </c>
      <c r="E643" s="163" t="s">
        <v>389</v>
      </c>
      <c r="F643" s="163" t="s">
        <v>100</v>
      </c>
      <c r="G643" s="163"/>
      <c r="H643" s="163">
        <v>20</v>
      </c>
      <c r="I643" s="163">
        <v>3</v>
      </c>
      <c r="J643" s="163">
        <v>6</v>
      </c>
      <c r="K643" s="163">
        <v>0</v>
      </c>
      <c r="L643" s="163">
        <v>1</v>
      </c>
      <c r="M643" s="163">
        <v>4</v>
      </c>
      <c r="N643" s="163">
        <v>27</v>
      </c>
      <c r="O643" s="163">
        <v>0</v>
      </c>
      <c r="P643" s="163">
        <v>342</v>
      </c>
      <c r="Q643" s="163">
        <v>781.58</v>
      </c>
      <c r="R643" s="163">
        <v>28.947407407</v>
      </c>
      <c r="S643" s="163">
        <v>2.2853216374</v>
      </c>
      <c r="T643" s="163">
        <v>12.666666666999999</v>
      </c>
      <c r="U643" s="161">
        <f t="shared" si="22"/>
        <v>8.6518977254616239E-4</v>
      </c>
      <c r="V643" s="161">
        <f t="shared" si="20"/>
        <v>3.4895092801050526E-5</v>
      </c>
    </row>
    <row r="644" spans="2:22">
      <c r="B644" s="163">
        <v>2018</v>
      </c>
      <c r="C644" s="163">
        <v>20030600456</v>
      </c>
      <c r="D644" s="163" t="s">
        <v>783</v>
      </c>
      <c r="E644" s="163" t="s">
        <v>389</v>
      </c>
      <c r="F644" s="163" t="s">
        <v>100</v>
      </c>
      <c r="G644" s="163"/>
      <c r="H644" s="163">
        <v>20</v>
      </c>
      <c r="I644" s="163">
        <v>3</v>
      </c>
      <c r="J644" s="163">
        <v>6</v>
      </c>
      <c r="K644" s="163">
        <v>0</v>
      </c>
      <c r="L644" s="163">
        <v>1</v>
      </c>
      <c r="M644" s="163">
        <v>4</v>
      </c>
      <c r="N644" s="163">
        <v>20</v>
      </c>
      <c r="O644" s="163">
        <v>0</v>
      </c>
      <c r="P644" s="163">
        <v>190</v>
      </c>
      <c r="Q644" s="163">
        <v>1070.5999999999999</v>
      </c>
      <c r="R644" s="163">
        <v>53.53</v>
      </c>
      <c r="S644" s="163">
        <v>5.6347368420999997</v>
      </c>
      <c r="T644" s="163">
        <v>9.5</v>
      </c>
      <c r="U644" s="161">
        <f t="shared" si="22"/>
        <v>4.8066098474786799E-4</v>
      </c>
      <c r="V644" s="161">
        <f t="shared" si="20"/>
        <v>1.9386162667250293E-5</v>
      </c>
    </row>
    <row r="645" spans="2:22">
      <c r="B645" s="163">
        <v>2018</v>
      </c>
      <c r="C645" s="163">
        <v>20030800051</v>
      </c>
      <c r="D645" s="163" t="s">
        <v>784</v>
      </c>
      <c r="E645" s="163" t="s">
        <v>389</v>
      </c>
      <c r="F645" s="163" t="s">
        <v>100</v>
      </c>
      <c r="G645" s="163"/>
      <c r="H645" s="163">
        <v>20</v>
      </c>
      <c r="I645" s="163">
        <v>3</v>
      </c>
      <c r="J645" s="163">
        <v>8</v>
      </c>
      <c r="K645" s="163">
        <v>0</v>
      </c>
      <c r="L645" s="163">
        <v>1</v>
      </c>
      <c r="M645" s="163">
        <v>4</v>
      </c>
      <c r="N645" s="163">
        <v>274</v>
      </c>
      <c r="O645" s="163">
        <v>0</v>
      </c>
      <c r="P645" s="163">
        <v>3023</v>
      </c>
      <c r="Q645" s="163">
        <v>17502.84</v>
      </c>
      <c r="R645" s="163">
        <v>63.878978101999998</v>
      </c>
      <c r="S645" s="163">
        <v>5.7898908368999997</v>
      </c>
      <c r="T645" s="163">
        <v>11.032846715</v>
      </c>
      <c r="U645" s="161">
        <f t="shared" si="22"/>
        <v>7.6475692468042367E-3</v>
      </c>
      <c r="V645" s="161">
        <f t="shared" si="20"/>
        <v>3.084440512794612E-4</v>
      </c>
    </row>
    <row r="646" spans="2:22">
      <c r="B646" s="163">
        <v>2018</v>
      </c>
      <c r="C646" s="163">
        <v>20030800056</v>
      </c>
      <c r="D646" s="163" t="s">
        <v>785</v>
      </c>
      <c r="E646" s="163" t="s">
        <v>389</v>
      </c>
      <c r="F646" s="163" t="s">
        <v>100</v>
      </c>
      <c r="G646" s="163"/>
      <c r="H646" s="163">
        <v>20</v>
      </c>
      <c r="I646" s="163">
        <v>3</v>
      </c>
      <c r="J646" s="163">
        <v>8</v>
      </c>
      <c r="K646" s="163">
        <v>0</v>
      </c>
      <c r="L646" s="163">
        <v>1</v>
      </c>
      <c r="M646" s="163">
        <v>4</v>
      </c>
      <c r="N646" s="163">
        <v>895</v>
      </c>
      <c r="O646" s="163">
        <v>0</v>
      </c>
      <c r="P646" s="163">
        <v>11931</v>
      </c>
      <c r="Q646" s="163">
        <v>49805.85</v>
      </c>
      <c r="R646" s="163">
        <v>55.648994412999997</v>
      </c>
      <c r="S646" s="163">
        <v>4.1744908222000001</v>
      </c>
      <c r="T646" s="163">
        <v>13.330726257</v>
      </c>
      <c r="U646" s="161">
        <f t="shared" si="22"/>
        <v>3.0182980047509543E-2</v>
      </c>
      <c r="V646" s="161">
        <f t="shared" ref="V646:V709" si="23">P646/SUM($P$197:$P$772)</f>
        <v>1.2173489830682276E-3</v>
      </c>
    </row>
    <row r="647" spans="2:22">
      <c r="B647" s="163">
        <v>2018</v>
      </c>
      <c r="C647" s="163">
        <v>20030800086</v>
      </c>
      <c r="D647" s="163" t="s">
        <v>786</v>
      </c>
      <c r="E647" s="163" t="s">
        <v>389</v>
      </c>
      <c r="F647" s="163" t="s">
        <v>100</v>
      </c>
      <c r="G647" s="163"/>
      <c r="H647" s="163">
        <v>20</v>
      </c>
      <c r="I647" s="163">
        <v>3</v>
      </c>
      <c r="J647" s="163">
        <v>8</v>
      </c>
      <c r="K647" s="163">
        <v>0</v>
      </c>
      <c r="L647" s="163">
        <v>1</v>
      </c>
      <c r="M647" s="163">
        <v>4</v>
      </c>
      <c r="N647" s="163">
        <v>92</v>
      </c>
      <c r="O647" s="163">
        <v>0</v>
      </c>
      <c r="P647" s="163">
        <v>1176</v>
      </c>
      <c r="Q647" s="163">
        <v>4402.83</v>
      </c>
      <c r="R647" s="163">
        <v>47.856847825999999</v>
      </c>
      <c r="S647" s="163">
        <v>3.7439030612000002</v>
      </c>
      <c r="T647" s="163">
        <v>12.782608696</v>
      </c>
      <c r="U647" s="161">
        <f t="shared" si="22"/>
        <v>2.9750385161236462E-3</v>
      </c>
      <c r="V647" s="161">
        <f t="shared" si="23"/>
        <v>1.1999014366677023E-4</v>
      </c>
    </row>
    <row r="648" spans="2:22">
      <c r="B648" s="163">
        <v>2018</v>
      </c>
      <c r="C648" s="163">
        <v>20030800155</v>
      </c>
      <c r="D648" s="163" t="s">
        <v>787</v>
      </c>
      <c r="E648" s="163" t="s">
        <v>389</v>
      </c>
      <c r="F648" s="163" t="s">
        <v>100</v>
      </c>
      <c r="G648" s="163"/>
      <c r="H648" s="163">
        <v>20</v>
      </c>
      <c r="I648" s="163">
        <v>3</v>
      </c>
      <c r="J648" s="163">
        <v>8</v>
      </c>
      <c r="K648" s="163">
        <v>0</v>
      </c>
      <c r="L648" s="163">
        <v>1</v>
      </c>
      <c r="M648" s="163">
        <v>4</v>
      </c>
      <c r="N648" s="163">
        <v>15</v>
      </c>
      <c r="O648" s="163">
        <v>0</v>
      </c>
      <c r="P648" s="163">
        <v>150</v>
      </c>
      <c r="Q648" s="163">
        <v>1064.4000000000001</v>
      </c>
      <c r="R648" s="163">
        <v>70.959999999999994</v>
      </c>
      <c r="S648" s="163">
        <v>7.0960000000000001</v>
      </c>
      <c r="T648" s="163">
        <v>10</v>
      </c>
      <c r="U648" s="161">
        <f t="shared" si="22"/>
        <v>3.7946919848515898E-4</v>
      </c>
      <c r="V648" s="161">
        <f t="shared" si="23"/>
        <v>1.5304865263618653E-5</v>
      </c>
    </row>
    <row r="649" spans="2:22">
      <c r="B649" s="163">
        <v>2018</v>
      </c>
      <c r="C649" s="163">
        <v>20030800160</v>
      </c>
      <c r="D649" s="163" t="s">
        <v>660</v>
      </c>
      <c r="E649" s="163" t="s">
        <v>389</v>
      </c>
      <c r="F649" s="163" t="s">
        <v>100</v>
      </c>
      <c r="G649" s="163"/>
      <c r="H649" s="163">
        <v>20</v>
      </c>
      <c r="I649" s="163">
        <v>3</v>
      </c>
      <c r="J649" s="163">
        <v>8</v>
      </c>
      <c r="K649" s="163">
        <v>0</v>
      </c>
      <c r="L649" s="163">
        <v>1</v>
      </c>
      <c r="M649" s="163">
        <v>4</v>
      </c>
      <c r="N649" s="163">
        <v>157</v>
      </c>
      <c r="O649" s="163">
        <v>0</v>
      </c>
      <c r="P649" s="163">
        <v>1886</v>
      </c>
      <c r="Q649" s="163">
        <v>7430.84</v>
      </c>
      <c r="R649" s="163">
        <v>47.330191083000003</v>
      </c>
      <c r="S649" s="163">
        <v>3.94</v>
      </c>
      <c r="T649" s="163">
        <v>12.012738854</v>
      </c>
      <c r="U649" s="161">
        <f t="shared" si="22"/>
        <v>4.7711927222867318E-3</v>
      </c>
      <c r="V649" s="161">
        <f t="shared" si="23"/>
        <v>1.9243317258123185E-4</v>
      </c>
    </row>
    <row r="650" spans="2:22">
      <c r="B650" s="163">
        <v>2018</v>
      </c>
      <c r="C650" s="163">
        <v>20031600027</v>
      </c>
      <c r="D650" s="163" t="s">
        <v>676</v>
      </c>
      <c r="E650" s="163" t="s">
        <v>389</v>
      </c>
      <c r="F650" s="163" t="s">
        <v>100</v>
      </c>
      <c r="G650" s="163"/>
      <c r="H650" s="163">
        <v>20</v>
      </c>
      <c r="I650" s="163">
        <v>3</v>
      </c>
      <c r="J650" s="163">
        <v>16</v>
      </c>
      <c r="K650" s="163">
        <v>0</v>
      </c>
      <c r="L650" s="163">
        <v>1</v>
      </c>
      <c r="M650" s="163">
        <v>4</v>
      </c>
      <c r="N650" s="163">
        <v>63</v>
      </c>
      <c r="O650" s="163">
        <v>0</v>
      </c>
      <c r="P650" s="163">
        <v>771</v>
      </c>
      <c r="Q650" s="163">
        <v>3368.96</v>
      </c>
      <c r="R650" s="163">
        <v>53.475555556000003</v>
      </c>
      <c r="S650" s="163">
        <v>4.3695979247999999</v>
      </c>
      <c r="T650" s="163">
        <v>12.238095238</v>
      </c>
      <c r="U650" s="161">
        <f t="shared" si="22"/>
        <v>1.950471680213717E-3</v>
      </c>
      <c r="V650" s="161">
        <f t="shared" si="23"/>
        <v>7.8667007454999872E-5</v>
      </c>
    </row>
    <row r="651" spans="2:22">
      <c r="B651" s="163">
        <v>2018</v>
      </c>
      <c r="C651" s="163">
        <v>20031600028</v>
      </c>
      <c r="D651" s="163" t="s">
        <v>677</v>
      </c>
      <c r="E651" s="163" t="s">
        <v>389</v>
      </c>
      <c r="F651" s="163" t="s">
        <v>100</v>
      </c>
      <c r="G651" s="163"/>
      <c r="H651" s="163">
        <v>20</v>
      </c>
      <c r="I651" s="163">
        <v>3</v>
      </c>
      <c r="J651" s="163">
        <v>16</v>
      </c>
      <c r="K651" s="163">
        <v>0</v>
      </c>
      <c r="L651" s="163">
        <v>1</v>
      </c>
      <c r="M651" s="163">
        <v>4</v>
      </c>
      <c r="N651" s="163">
        <v>134</v>
      </c>
      <c r="O651" s="163">
        <v>0</v>
      </c>
      <c r="P651" s="163">
        <v>1678</v>
      </c>
      <c r="Q651" s="163">
        <v>10096.049999999999</v>
      </c>
      <c r="R651" s="163">
        <v>75.343656715999998</v>
      </c>
      <c r="S651" s="163">
        <v>6.0167163290000003</v>
      </c>
      <c r="T651" s="163">
        <v>12.522388060000001</v>
      </c>
      <c r="U651" s="161">
        <f t="shared" si="22"/>
        <v>4.244995433720645E-3</v>
      </c>
      <c r="V651" s="161">
        <f t="shared" si="23"/>
        <v>1.7121042608234731E-4</v>
      </c>
    </row>
    <row r="652" spans="2:22">
      <c r="B652" s="163">
        <v>2018</v>
      </c>
      <c r="C652" s="163">
        <v>20031600029</v>
      </c>
      <c r="D652" s="163" t="s">
        <v>678</v>
      </c>
      <c r="E652" s="163" t="s">
        <v>389</v>
      </c>
      <c r="F652" s="163" t="s">
        <v>100</v>
      </c>
      <c r="G652" s="163"/>
      <c r="H652" s="163">
        <v>20</v>
      </c>
      <c r="I652" s="163">
        <v>3</v>
      </c>
      <c r="J652" s="163">
        <v>16</v>
      </c>
      <c r="K652" s="163">
        <v>0</v>
      </c>
      <c r="L652" s="163">
        <v>1</v>
      </c>
      <c r="M652" s="163">
        <v>4</v>
      </c>
      <c r="N652" s="163">
        <v>76</v>
      </c>
      <c r="O652" s="163">
        <v>0</v>
      </c>
      <c r="P652" s="163">
        <v>1057</v>
      </c>
      <c r="Q652" s="163">
        <v>11636.77</v>
      </c>
      <c r="R652" s="163">
        <v>153.11539474</v>
      </c>
      <c r="S652" s="163">
        <v>11.009243141000001</v>
      </c>
      <c r="T652" s="163">
        <v>13.907894736999999</v>
      </c>
      <c r="U652" s="161">
        <f t="shared" si="22"/>
        <v>2.6739929519920868E-3</v>
      </c>
      <c r="V652" s="161">
        <f t="shared" si="23"/>
        <v>1.078482838909661E-4</v>
      </c>
    </row>
    <row r="653" spans="2:22">
      <c r="B653" s="163">
        <v>2018</v>
      </c>
      <c r="C653" s="163">
        <v>20031600050</v>
      </c>
      <c r="D653" s="163" t="s">
        <v>688</v>
      </c>
      <c r="E653" s="163" t="s">
        <v>389</v>
      </c>
      <c r="F653" s="163" t="s">
        <v>100</v>
      </c>
      <c r="G653" s="163"/>
      <c r="H653" s="163">
        <v>20</v>
      </c>
      <c r="I653" s="163">
        <v>3</v>
      </c>
      <c r="J653" s="163">
        <v>16</v>
      </c>
      <c r="K653" s="163">
        <v>0</v>
      </c>
      <c r="L653" s="163">
        <v>1</v>
      </c>
      <c r="M653" s="163">
        <v>4</v>
      </c>
      <c r="N653" s="163">
        <v>2687</v>
      </c>
      <c r="O653" s="163">
        <v>0</v>
      </c>
      <c r="P653" s="163">
        <v>28707</v>
      </c>
      <c r="Q653" s="163">
        <v>103852.62</v>
      </c>
      <c r="R653" s="163">
        <v>38.650026050999998</v>
      </c>
      <c r="S653" s="163">
        <v>3.6176758281999999</v>
      </c>
      <c r="T653" s="163">
        <v>10.683662076999999</v>
      </c>
      <c r="U653" s="161">
        <f t="shared" si="22"/>
        <v>7.2622815206089722E-2</v>
      </c>
      <c r="V653" s="161">
        <f t="shared" si="23"/>
        <v>2.9290451141513376E-3</v>
      </c>
    </row>
    <row r="654" spans="2:22">
      <c r="B654" s="163">
        <v>2018</v>
      </c>
      <c r="C654" s="163">
        <v>20031600051</v>
      </c>
      <c r="D654" s="163" t="s">
        <v>689</v>
      </c>
      <c r="E654" s="163" t="s">
        <v>389</v>
      </c>
      <c r="F654" s="163" t="s">
        <v>100</v>
      </c>
      <c r="G654" s="163"/>
      <c r="H654" s="163">
        <v>20</v>
      </c>
      <c r="I654" s="163">
        <v>3</v>
      </c>
      <c r="J654" s="163">
        <v>16</v>
      </c>
      <c r="K654" s="163">
        <v>0</v>
      </c>
      <c r="L654" s="163">
        <v>1</v>
      </c>
      <c r="M654" s="163">
        <v>4</v>
      </c>
      <c r="N654" s="163">
        <v>542</v>
      </c>
      <c r="O654" s="163">
        <v>0</v>
      </c>
      <c r="P654" s="163">
        <v>10311</v>
      </c>
      <c r="Q654" s="163">
        <v>101563.45</v>
      </c>
      <c r="R654" s="163">
        <v>187.38643911</v>
      </c>
      <c r="S654" s="163">
        <v>9.8500096983999992</v>
      </c>
      <c r="T654" s="163">
        <v>19.023985239999998</v>
      </c>
      <c r="U654" s="161">
        <f t="shared" si="22"/>
        <v>2.6084712703869826E-2</v>
      </c>
      <c r="V654" s="161">
        <f t="shared" si="23"/>
        <v>1.0520564382211462E-3</v>
      </c>
    </row>
    <row r="655" spans="2:22">
      <c r="B655" s="163">
        <v>2018</v>
      </c>
      <c r="C655" s="163">
        <v>20031700120</v>
      </c>
      <c r="D655" s="163" t="s">
        <v>661</v>
      </c>
      <c r="E655" s="163" t="s">
        <v>389</v>
      </c>
      <c r="F655" s="163" t="s">
        <v>100</v>
      </c>
      <c r="G655" s="163"/>
      <c r="H655" s="163">
        <v>20</v>
      </c>
      <c r="I655" s="163">
        <v>3</v>
      </c>
      <c r="J655" s="163">
        <v>17</v>
      </c>
      <c r="K655" s="163">
        <v>0</v>
      </c>
      <c r="L655" s="163">
        <v>1</v>
      </c>
      <c r="M655" s="163">
        <v>4</v>
      </c>
      <c r="N655" s="163">
        <v>1535</v>
      </c>
      <c r="O655" s="163">
        <v>0</v>
      </c>
      <c r="P655" s="163">
        <v>16009</v>
      </c>
      <c r="Q655" s="163">
        <v>25934.58</v>
      </c>
      <c r="R655" s="163">
        <v>16.895491857</v>
      </c>
      <c r="S655" s="163">
        <v>1.62</v>
      </c>
      <c r="T655" s="163">
        <v>10.429315961</v>
      </c>
      <c r="U655" s="161">
        <f t="shared" si="22"/>
        <v>4.0499482656992734E-2</v>
      </c>
      <c r="V655" s="161">
        <f t="shared" si="23"/>
        <v>1.6334372533684733E-3</v>
      </c>
    </row>
    <row r="656" spans="2:22">
      <c r="B656" s="163">
        <v>2018</v>
      </c>
      <c r="C656" s="163">
        <v>20031700121</v>
      </c>
      <c r="D656" s="163" t="s">
        <v>662</v>
      </c>
      <c r="E656" s="163" t="s">
        <v>389</v>
      </c>
      <c r="F656" s="163" t="s">
        <v>100</v>
      </c>
      <c r="G656" s="163"/>
      <c r="H656" s="163">
        <v>20</v>
      </c>
      <c r="I656" s="163">
        <v>3</v>
      </c>
      <c r="J656" s="163">
        <v>17</v>
      </c>
      <c r="K656" s="163">
        <v>0</v>
      </c>
      <c r="L656" s="163">
        <v>1</v>
      </c>
      <c r="M656" s="163">
        <v>4</v>
      </c>
      <c r="N656" s="163">
        <v>1040</v>
      </c>
      <c r="O656" s="163">
        <v>0</v>
      </c>
      <c r="P656" s="163">
        <v>14834</v>
      </c>
      <c r="Q656" s="163">
        <v>57704.26</v>
      </c>
      <c r="R656" s="163">
        <v>55.484865384999999</v>
      </c>
      <c r="S656" s="163">
        <v>3.89</v>
      </c>
      <c r="T656" s="163">
        <v>14.263461538</v>
      </c>
      <c r="U656" s="161">
        <f t="shared" si="22"/>
        <v>3.7526973935525655E-2</v>
      </c>
      <c r="V656" s="161">
        <f t="shared" si="23"/>
        <v>1.513549142136794E-3</v>
      </c>
    </row>
    <row r="657" spans="2:22">
      <c r="B657" s="163">
        <v>2018</v>
      </c>
      <c r="C657" s="163">
        <v>20031700122</v>
      </c>
      <c r="D657" s="163" t="s">
        <v>663</v>
      </c>
      <c r="E657" s="163" t="s">
        <v>389</v>
      </c>
      <c r="F657" s="163" t="s">
        <v>100</v>
      </c>
      <c r="G657" s="163"/>
      <c r="H657" s="163">
        <v>20</v>
      </c>
      <c r="I657" s="163">
        <v>3</v>
      </c>
      <c r="J657" s="163">
        <v>17</v>
      </c>
      <c r="K657" s="163">
        <v>0</v>
      </c>
      <c r="L657" s="163">
        <v>1</v>
      </c>
      <c r="M657" s="163">
        <v>4</v>
      </c>
      <c r="N657" s="163">
        <v>526</v>
      </c>
      <c r="O657" s="163">
        <v>0</v>
      </c>
      <c r="P657" s="163">
        <v>7808</v>
      </c>
      <c r="Q657" s="163">
        <v>56608</v>
      </c>
      <c r="R657" s="163">
        <v>107.61977186</v>
      </c>
      <c r="S657" s="163">
        <v>7.25</v>
      </c>
      <c r="T657" s="163">
        <v>14.844106463999999</v>
      </c>
      <c r="U657" s="161">
        <f t="shared" si="22"/>
        <v>1.9752636678480807E-2</v>
      </c>
      <c r="V657" s="161">
        <f t="shared" si="23"/>
        <v>7.9666925318889624E-4</v>
      </c>
    </row>
    <row r="658" spans="2:22">
      <c r="B658" s="163">
        <v>2018</v>
      </c>
      <c r="C658" s="163">
        <v>20031900001</v>
      </c>
      <c r="D658" s="163" t="s">
        <v>788</v>
      </c>
      <c r="E658" s="163" t="s">
        <v>389</v>
      </c>
      <c r="F658" s="163" t="s">
        <v>100</v>
      </c>
      <c r="G658" s="163"/>
      <c r="H658" s="163">
        <v>20</v>
      </c>
      <c r="I658" s="163">
        <v>3</v>
      </c>
      <c r="J658" s="163">
        <v>19</v>
      </c>
      <c r="K658" s="163">
        <v>0</v>
      </c>
      <c r="L658" s="163">
        <v>1</v>
      </c>
      <c r="M658" s="163">
        <v>4</v>
      </c>
      <c r="N658" s="163">
        <v>1058</v>
      </c>
      <c r="O658" s="163">
        <v>0</v>
      </c>
      <c r="P658" s="163">
        <v>11036</v>
      </c>
      <c r="Q658" s="163">
        <v>96514.2</v>
      </c>
      <c r="R658" s="163">
        <v>91.223251418000004</v>
      </c>
      <c r="S658" s="163">
        <v>8.7453968828999997</v>
      </c>
      <c r="T658" s="163">
        <v>10.431001889999999</v>
      </c>
      <c r="U658" s="161">
        <f t="shared" si="22"/>
        <v>2.7918813829881428E-2</v>
      </c>
      <c r="V658" s="161">
        <f t="shared" si="23"/>
        <v>1.1260299536619697E-3</v>
      </c>
    </row>
    <row r="659" spans="2:22">
      <c r="B659" s="163">
        <v>2018</v>
      </c>
      <c r="C659" s="163">
        <v>20031900002</v>
      </c>
      <c r="D659" s="163" t="s">
        <v>789</v>
      </c>
      <c r="E659" s="163" t="s">
        <v>389</v>
      </c>
      <c r="F659" s="163" t="s">
        <v>100</v>
      </c>
      <c r="G659" s="163"/>
      <c r="H659" s="163">
        <v>20</v>
      </c>
      <c r="I659" s="163">
        <v>3</v>
      </c>
      <c r="J659" s="163">
        <v>19</v>
      </c>
      <c r="K659" s="163">
        <v>0</v>
      </c>
      <c r="L659" s="163">
        <v>1</v>
      </c>
      <c r="M659" s="163">
        <v>4</v>
      </c>
      <c r="N659" s="163">
        <v>360</v>
      </c>
      <c r="O659" s="163">
        <v>0</v>
      </c>
      <c r="P659" s="163">
        <v>4055</v>
      </c>
      <c r="Q659" s="163">
        <v>55444.07</v>
      </c>
      <c r="R659" s="163">
        <v>154.01130556000001</v>
      </c>
      <c r="S659" s="163">
        <v>13.673013564</v>
      </c>
      <c r="T659" s="163">
        <v>11.263888889</v>
      </c>
      <c r="U659" s="161">
        <f t="shared" ref="U659:U690" si="24">P659/SUM($P$627:$P$690)</f>
        <v>1.025831733238213E-2</v>
      </c>
      <c r="V659" s="161">
        <f t="shared" si="23"/>
        <v>4.1374152429315758E-4</v>
      </c>
    </row>
    <row r="660" spans="2:22">
      <c r="B660" s="163">
        <v>2018</v>
      </c>
      <c r="C660" s="163">
        <v>20031900003</v>
      </c>
      <c r="D660" s="163" t="s">
        <v>790</v>
      </c>
      <c r="E660" s="163" t="s">
        <v>389</v>
      </c>
      <c r="F660" s="163" t="s">
        <v>100</v>
      </c>
      <c r="G660" s="163"/>
      <c r="H660" s="163">
        <v>20</v>
      </c>
      <c r="I660" s="163">
        <v>3</v>
      </c>
      <c r="J660" s="163">
        <v>19</v>
      </c>
      <c r="K660" s="163">
        <v>0</v>
      </c>
      <c r="L660" s="163">
        <v>1</v>
      </c>
      <c r="M660" s="163">
        <v>4</v>
      </c>
      <c r="N660" s="163">
        <v>85</v>
      </c>
      <c r="O660" s="163">
        <v>0</v>
      </c>
      <c r="P660" s="163">
        <v>814</v>
      </c>
      <c r="Q660" s="163">
        <v>27167.52</v>
      </c>
      <c r="R660" s="163">
        <v>319.61788235</v>
      </c>
      <c r="S660" s="163">
        <v>33.375331695</v>
      </c>
      <c r="T660" s="163">
        <v>9.5764705881999994</v>
      </c>
      <c r="U660" s="161">
        <f t="shared" si="24"/>
        <v>2.0592528504461294E-3</v>
      </c>
      <c r="V660" s="161">
        <f t="shared" si="23"/>
        <v>8.3054402163903885E-5</v>
      </c>
    </row>
    <row r="661" spans="2:22">
      <c r="B661" s="163">
        <v>2018</v>
      </c>
      <c r="C661" s="163">
        <v>20031900004</v>
      </c>
      <c r="D661" s="163" t="s">
        <v>791</v>
      </c>
      <c r="E661" s="163" t="s">
        <v>389</v>
      </c>
      <c r="F661" s="163" t="s">
        <v>100</v>
      </c>
      <c r="G661" s="163"/>
      <c r="H661" s="163">
        <v>20</v>
      </c>
      <c r="I661" s="163">
        <v>3</v>
      </c>
      <c r="J661" s="163">
        <v>19</v>
      </c>
      <c r="K661" s="163">
        <v>0</v>
      </c>
      <c r="L661" s="163">
        <v>1</v>
      </c>
      <c r="M661" s="163">
        <v>4</v>
      </c>
      <c r="N661" s="163">
        <v>363</v>
      </c>
      <c r="O661" s="163">
        <v>0</v>
      </c>
      <c r="P661" s="163">
        <v>3137</v>
      </c>
      <c r="Q661" s="163">
        <v>58154.33</v>
      </c>
      <c r="R661" s="163">
        <v>160.20476583999999</v>
      </c>
      <c r="S661" s="163">
        <v>18.538198915999999</v>
      </c>
      <c r="T661" s="163">
        <v>8.6418732782000003</v>
      </c>
      <c r="U661" s="161">
        <f t="shared" si="24"/>
        <v>7.9359658376529571E-3</v>
      </c>
      <c r="V661" s="161">
        <f t="shared" si="23"/>
        <v>3.2007574887981142E-4</v>
      </c>
    </row>
    <row r="662" spans="2:22">
      <c r="B662" s="163">
        <v>2018</v>
      </c>
      <c r="C662" s="163">
        <v>20031900005</v>
      </c>
      <c r="D662" s="163" t="s">
        <v>792</v>
      </c>
      <c r="E662" s="163" t="s">
        <v>389</v>
      </c>
      <c r="F662" s="163" t="s">
        <v>100</v>
      </c>
      <c r="G662" s="163"/>
      <c r="H662" s="163">
        <v>20</v>
      </c>
      <c r="I662" s="163">
        <v>3</v>
      </c>
      <c r="J662" s="163">
        <v>19</v>
      </c>
      <c r="K662" s="163">
        <v>0</v>
      </c>
      <c r="L662" s="163">
        <v>1</v>
      </c>
      <c r="M662" s="163">
        <v>4</v>
      </c>
      <c r="N662" s="163">
        <v>28</v>
      </c>
      <c r="O662" s="163">
        <v>0</v>
      </c>
      <c r="P662" s="163">
        <v>294</v>
      </c>
      <c r="Q662" s="163">
        <v>13725.64</v>
      </c>
      <c r="R662" s="163">
        <v>490.20142857000002</v>
      </c>
      <c r="S662" s="163">
        <v>46.685850340000002</v>
      </c>
      <c r="T662" s="163">
        <v>10.5</v>
      </c>
      <c r="U662" s="161">
        <f t="shared" si="24"/>
        <v>7.4375962903091154E-4</v>
      </c>
      <c r="V662" s="161">
        <f t="shared" si="23"/>
        <v>2.9997535916692558E-5</v>
      </c>
    </row>
    <row r="663" spans="2:22">
      <c r="B663" s="163">
        <v>2018</v>
      </c>
      <c r="C663" s="163">
        <v>20031900006</v>
      </c>
      <c r="D663" s="163" t="s">
        <v>793</v>
      </c>
      <c r="E663" s="163" t="s">
        <v>389</v>
      </c>
      <c r="F663" s="163" t="s">
        <v>100</v>
      </c>
      <c r="G663" s="163"/>
      <c r="H663" s="163">
        <v>20</v>
      </c>
      <c r="I663" s="163">
        <v>3</v>
      </c>
      <c r="J663" s="163">
        <v>19</v>
      </c>
      <c r="K663" s="163">
        <v>0</v>
      </c>
      <c r="L663" s="163">
        <v>1</v>
      </c>
      <c r="M663" s="163">
        <v>4</v>
      </c>
      <c r="N663" s="163">
        <v>818</v>
      </c>
      <c r="O663" s="163">
        <v>0</v>
      </c>
      <c r="P663" s="163">
        <v>6516</v>
      </c>
      <c r="Q663" s="163">
        <v>40545.360000000001</v>
      </c>
      <c r="R663" s="163">
        <v>49.566454768</v>
      </c>
      <c r="S663" s="163">
        <v>6.2224309391999997</v>
      </c>
      <c r="T663" s="163">
        <v>7.9657701711</v>
      </c>
      <c r="U663" s="161">
        <f t="shared" si="24"/>
        <v>1.6484141982195305E-2</v>
      </c>
      <c r="V663" s="161">
        <f t="shared" si="23"/>
        <v>6.648433470515942E-4</v>
      </c>
    </row>
    <row r="664" spans="2:22">
      <c r="B664" s="163">
        <v>2018</v>
      </c>
      <c r="C664" s="163">
        <v>20031900007</v>
      </c>
      <c r="D664" s="163" t="s">
        <v>794</v>
      </c>
      <c r="E664" s="163" t="s">
        <v>389</v>
      </c>
      <c r="F664" s="163" t="s">
        <v>100</v>
      </c>
      <c r="G664" s="163"/>
      <c r="H664" s="163">
        <v>20</v>
      </c>
      <c r="I664" s="163">
        <v>3</v>
      </c>
      <c r="J664" s="163">
        <v>19</v>
      </c>
      <c r="K664" s="163">
        <v>0</v>
      </c>
      <c r="L664" s="163">
        <v>1</v>
      </c>
      <c r="M664" s="163">
        <v>4</v>
      </c>
      <c r="N664" s="163">
        <v>876</v>
      </c>
      <c r="O664" s="163">
        <v>0</v>
      </c>
      <c r="P664" s="163">
        <v>7135</v>
      </c>
      <c r="Q664" s="163">
        <v>25538.31</v>
      </c>
      <c r="R664" s="163">
        <v>29.153321918</v>
      </c>
      <c r="S664" s="163">
        <v>3.5793006307000002</v>
      </c>
      <c r="T664" s="163">
        <v>8.1449771689000006</v>
      </c>
      <c r="U664" s="161">
        <f t="shared" si="24"/>
        <v>1.8050084874610729E-2</v>
      </c>
      <c r="V664" s="161">
        <f t="shared" si="23"/>
        <v>7.2800142437279389E-4</v>
      </c>
    </row>
    <row r="665" spans="2:22">
      <c r="B665" s="163">
        <v>2018</v>
      </c>
      <c r="C665" s="163">
        <v>20031900015</v>
      </c>
      <c r="D665" s="163" t="s">
        <v>795</v>
      </c>
      <c r="E665" s="163" t="s">
        <v>389</v>
      </c>
      <c r="F665" s="163" t="s">
        <v>100</v>
      </c>
      <c r="G665" s="163"/>
      <c r="H665" s="163">
        <v>20</v>
      </c>
      <c r="I665" s="163">
        <v>3</v>
      </c>
      <c r="J665" s="163">
        <v>19</v>
      </c>
      <c r="K665" s="163">
        <v>0</v>
      </c>
      <c r="L665" s="163">
        <v>1</v>
      </c>
      <c r="M665" s="163">
        <v>4</v>
      </c>
      <c r="N665" s="163">
        <v>119</v>
      </c>
      <c r="O665" s="163">
        <v>0</v>
      </c>
      <c r="P665" s="163">
        <v>1184</v>
      </c>
      <c r="Q665" s="163">
        <v>8674.06</v>
      </c>
      <c r="R665" s="163">
        <v>72.891260504000002</v>
      </c>
      <c r="S665" s="163">
        <v>7.3260641892000002</v>
      </c>
      <c r="T665" s="163">
        <v>9.9495798318999995</v>
      </c>
      <c r="U665" s="161">
        <f t="shared" si="24"/>
        <v>2.9952768733761881E-3</v>
      </c>
      <c r="V665" s="161">
        <f t="shared" si="23"/>
        <v>1.2080640314749656E-4</v>
      </c>
    </row>
    <row r="666" spans="2:22">
      <c r="B666" s="163">
        <v>2018</v>
      </c>
      <c r="C666" s="163">
        <v>20031900016</v>
      </c>
      <c r="D666" s="163" t="s">
        <v>796</v>
      </c>
      <c r="E666" s="163" t="s">
        <v>389</v>
      </c>
      <c r="F666" s="163" t="s">
        <v>100</v>
      </c>
      <c r="G666" s="163"/>
      <c r="H666" s="163">
        <v>20</v>
      </c>
      <c r="I666" s="163">
        <v>3</v>
      </c>
      <c r="J666" s="163">
        <v>19</v>
      </c>
      <c r="K666" s="163">
        <v>0</v>
      </c>
      <c r="L666" s="163">
        <v>1</v>
      </c>
      <c r="M666" s="163">
        <v>4</v>
      </c>
      <c r="N666" s="163">
        <v>40</v>
      </c>
      <c r="O666" s="163">
        <v>0</v>
      </c>
      <c r="P666" s="163">
        <v>422</v>
      </c>
      <c r="Q666" s="163">
        <v>7226.68</v>
      </c>
      <c r="R666" s="163">
        <v>180.667</v>
      </c>
      <c r="S666" s="163">
        <v>17.124834122999999</v>
      </c>
      <c r="T666" s="163">
        <v>10.55</v>
      </c>
      <c r="U666" s="161">
        <f t="shared" si="24"/>
        <v>1.0675733450715805E-3</v>
      </c>
      <c r="V666" s="161">
        <f t="shared" si="23"/>
        <v>4.3057687608313805E-5</v>
      </c>
    </row>
    <row r="667" spans="2:22">
      <c r="B667" s="163">
        <v>2018</v>
      </c>
      <c r="C667" s="163">
        <v>20031900017</v>
      </c>
      <c r="D667" s="163" t="s">
        <v>797</v>
      </c>
      <c r="E667" s="163" t="s">
        <v>389</v>
      </c>
      <c r="F667" s="163" t="s">
        <v>100</v>
      </c>
      <c r="G667" s="163"/>
      <c r="H667" s="163">
        <v>20</v>
      </c>
      <c r="I667" s="163">
        <v>3</v>
      </c>
      <c r="J667" s="163">
        <v>19</v>
      </c>
      <c r="K667" s="163">
        <v>0</v>
      </c>
      <c r="L667" s="163">
        <v>1</v>
      </c>
      <c r="M667" s="163">
        <v>4</v>
      </c>
      <c r="N667" s="163">
        <v>1</v>
      </c>
      <c r="O667" s="163">
        <v>0</v>
      </c>
      <c r="P667" s="163">
        <v>10</v>
      </c>
      <c r="Q667" s="163">
        <v>333.1</v>
      </c>
      <c r="R667" s="163">
        <v>333.1</v>
      </c>
      <c r="S667" s="163">
        <v>33.31</v>
      </c>
      <c r="T667" s="163">
        <v>10</v>
      </c>
      <c r="U667" s="161">
        <f t="shared" si="24"/>
        <v>2.5297946565677265E-5</v>
      </c>
      <c r="V667" s="161">
        <f t="shared" si="23"/>
        <v>1.0203243509079101E-6</v>
      </c>
    </row>
    <row r="668" spans="2:22">
      <c r="B668" s="163">
        <v>2018</v>
      </c>
      <c r="C668" s="163">
        <v>20031900020</v>
      </c>
      <c r="D668" s="163" t="s">
        <v>798</v>
      </c>
      <c r="E668" s="163" t="s">
        <v>389</v>
      </c>
      <c r="F668" s="163" t="s">
        <v>100</v>
      </c>
      <c r="G668" s="163"/>
      <c r="H668" s="163">
        <v>20</v>
      </c>
      <c r="I668" s="163">
        <v>3</v>
      </c>
      <c r="J668" s="163">
        <v>19</v>
      </c>
      <c r="K668" s="163">
        <v>0</v>
      </c>
      <c r="L668" s="163">
        <v>1</v>
      </c>
      <c r="M668" s="163">
        <v>4</v>
      </c>
      <c r="N668" s="163">
        <v>3152</v>
      </c>
      <c r="O668" s="163">
        <v>0</v>
      </c>
      <c r="P668" s="163">
        <v>29544</v>
      </c>
      <c r="Q668" s="163">
        <v>106293.06</v>
      </c>
      <c r="R668" s="163">
        <v>33.722417513000003</v>
      </c>
      <c r="S668" s="163">
        <v>3.5977883834000002</v>
      </c>
      <c r="T668" s="163">
        <v>9.3730964467</v>
      </c>
      <c r="U668" s="161">
        <f t="shared" si="24"/>
        <v>7.4740253333636902E-2</v>
      </c>
      <c r="V668" s="161">
        <f t="shared" si="23"/>
        <v>3.0144462623223297E-3</v>
      </c>
    </row>
    <row r="669" spans="2:22">
      <c r="B669" s="163">
        <v>2018</v>
      </c>
      <c r="C669" s="163">
        <v>20031900021</v>
      </c>
      <c r="D669" s="163" t="s">
        <v>799</v>
      </c>
      <c r="E669" s="163" t="s">
        <v>389</v>
      </c>
      <c r="F669" s="163" t="s">
        <v>100</v>
      </c>
      <c r="G669" s="163"/>
      <c r="H669" s="163">
        <v>20</v>
      </c>
      <c r="I669" s="163">
        <v>3</v>
      </c>
      <c r="J669" s="163">
        <v>19</v>
      </c>
      <c r="K669" s="163">
        <v>0</v>
      </c>
      <c r="L669" s="163">
        <v>1</v>
      </c>
      <c r="M669" s="163">
        <v>4</v>
      </c>
      <c r="N669" s="163">
        <v>3894</v>
      </c>
      <c r="O669" s="163">
        <v>0</v>
      </c>
      <c r="P669" s="163">
        <v>45368</v>
      </c>
      <c r="Q669" s="163">
        <v>398941.25</v>
      </c>
      <c r="R669" s="163">
        <v>102.45024397</v>
      </c>
      <c r="S669" s="163">
        <v>8.7934502291999994</v>
      </c>
      <c r="T669" s="163">
        <v>11.650744735</v>
      </c>
      <c r="U669" s="161">
        <f t="shared" si="24"/>
        <v>0.11477172397916462</v>
      </c>
      <c r="V669" s="161">
        <f t="shared" si="23"/>
        <v>4.6290075151990068E-3</v>
      </c>
    </row>
    <row r="670" spans="2:22">
      <c r="B670" s="163">
        <v>2018</v>
      </c>
      <c r="C670" s="163">
        <v>20031900022</v>
      </c>
      <c r="D670" s="163" t="s">
        <v>800</v>
      </c>
      <c r="E670" s="163" t="s">
        <v>389</v>
      </c>
      <c r="F670" s="163" t="s">
        <v>100</v>
      </c>
      <c r="G670" s="163"/>
      <c r="H670" s="163">
        <v>20</v>
      </c>
      <c r="I670" s="163">
        <v>3</v>
      </c>
      <c r="J670" s="163">
        <v>19</v>
      </c>
      <c r="K670" s="163">
        <v>0</v>
      </c>
      <c r="L670" s="163">
        <v>1</v>
      </c>
      <c r="M670" s="163">
        <v>4</v>
      </c>
      <c r="N670" s="163">
        <v>764</v>
      </c>
      <c r="O670" s="163">
        <v>0</v>
      </c>
      <c r="P670" s="163">
        <v>10807</v>
      </c>
      <c r="Q670" s="163">
        <v>148492.19</v>
      </c>
      <c r="R670" s="163">
        <v>194.36150524000001</v>
      </c>
      <c r="S670" s="163">
        <v>13.740371056000001</v>
      </c>
      <c r="T670" s="163">
        <v>14.145287958000001</v>
      </c>
      <c r="U670" s="161">
        <f t="shared" si="24"/>
        <v>2.733949085352742E-2</v>
      </c>
      <c r="V670" s="161">
        <f t="shared" si="23"/>
        <v>1.1026645260261785E-3</v>
      </c>
    </row>
    <row r="671" spans="2:22">
      <c r="B671" s="163">
        <v>2018</v>
      </c>
      <c r="C671" s="163">
        <v>20031900023</v>
      </c>
      <c r="D671" s="163" t="s">
        <v>801</v>
      </c>
      <c r="E671" s="163" t="s">
        <v>389</v>
      </c>
      <c r="F671" s="163" t="s">
        <v>100</v>
      </c>
      <c r="G671" s="163"/>
      <c r="H671" s="163">
        <v>20</v>
      </c>
      <c r="I671" s="163">
        <v>3</v>
      </c>
      <c r="J671" s="163">
        <v>19</v>
      </c>
      <c r="K671" s="163">
        <v>0</v>
      </c>
      <c r="L671" s="163">
        <v>1</v>
      </c>
      <c r="M671" s="163">
        <v>4</v>
      </c>
      <c r="N671" s="163">
        <v>65</v>
      </c>
      <c r="O671" s="163">
        <v>0</v>
      </c>
      <c r="P671" s="163">
        <v>756</v>
      </c>
      <c r="Q671" s="163">
        <v>35575.040000000001</v>
      </c>
      <c r="R671" s="163">
        <v>547.30830768999999</v>
      </c>
      <c r="S671" s="163">
        <v>47.056931216999999</v>
      </c>
      <c r="T671" s="163">
        <v>11.630769231</v>
      </c>
      <c r="U671" s="161">
        <f t="shared" si="24"/>
        <v>1.9125247603652012E-3</v>
      </c>
      <c r="V671" s="161">
        <f t="shared" si="23"/>
        <v>7.7136520928638009E-5</v>
      </c>
    </row>
    <row r="672" spans="2:22">
      <c r="B672" s="163">
        <v>2018</v>
      </c>
      <c r="C672" s="163">
        <v>20031900025</v>
      </c>
      <c r="D672" s="163" t="s">
        <v>802</v>
      </c>
      <c r="E672" s="163" t="s">
        <v>389</v>
      </c>
      <c r="F672" s="163" t="s">
        <v>100</v>
      </c>
      <c r="G672" s="163"/>
      <c r="H672" s="163">
        <v>20</v>
      </c>
      <c r="I672" s="163">
        <v>3</v>
      </c>
      <c r="J672" s="163">
        <v>19</v>
      </c>
      <c r="K672" s="163">
        <v>0</v>
      </c>
      <c r="L672" s="163">
        <v>1</v>
      </c>
      <c r="M672" s="163">
        <v>4</v>
      </c>
      <c r="N672" s="163">
        <v>923</v>
      </c>
      <c r="O672" s="163">
        <v>0</v>
      </c>
      <c r="P672" s="163">
        <v>7004</v>
      </c>
      <c r="Q672" s="163">
        <v>43813.09</v>
      </c>
      <c r="R672" s="163">
        <v>47.468136510999997</v>
      </c>
      <c r="S672" s="163">
        <v>6.2554383209999997</v>
      </c>
      <c r="T672" s="163">
        <v>7.5882990249000004</v>
      </c>
      <c r="U672" s="161">
        <f t="shared" si="24"/>
        <v>1.7718681774600356E-2</v>
      </c>
      <c r="V672" s="161">
        <f t="shared" si="23"/>
        <v>7.1463517537590025E-4</v>
      </c>
    </row>
    <row r="673" spans="2:22">
      <c r="B673" s="163">
        <v>2018</v>
      </c>
      <c r="C673" s="163">
        <v>20031900026</v>
      </c>
      <c r="D673" s="163" t="s">
        <v>803</v>
      </c>
      <c r="E673" s="163" t="s">
        <v>389</v>
      </c>
      <c r="F673" s="163" t="s">
        <v>100</v>
      </c>
      <c r="G673" s="163"/>
      <c r="H673" s="163">
        <v>20</v>
      </c>
      <c r="I673" s="163">
        <v>3</v>
      </c>
      <c r="J673" s="163">
        <v>19</v>
      </c>
      <c r="K673" s="163">
        <v>0</v>
      </c>
      <c r="L673" s="163">
        <v>1</v>
      </c>
      <c r="M673" s="163">
        <v>4</v>
      </c>
      <c r="N673" s="163">
        <v>122</v>
      </c>
      <c r="O673" s="163">
        <v>0</v>
      </c>
      <c r="P673" s="163">
        <v>1240</v>
      </c>
      <c r="Q673" s="163">
        <v>41560.980000000003</v>
      </c>
      <c r="R673" s="163">
        <v>340.66377048999999</v>
      </c>
      <c r="S673" s="163">
        <v>33.516919354999999</v>
      </c>
      <c r="T673" s="163">
        <v>10.163934426000001</v>
      </c>
      <c r="U673" s="161">
        <f t="shared" si="24"/>
        <v>3.1369453741439809E-3</v>
      </c>
      <c r="V673" s="161">
        <f t="shared" si="23"/>
        <v>1.2652021951258086E-4</v>
      </c>
    </row>
    <row r="674" spans="2:22">
      <c r="B674" s="163">
        <v>2018</v>
      </c>
      <c r="C674" s="163">
        <v>20031900027</v>
      </c>
      <c r="D674" s="163" t="s">
        <v>804</v>
      </c>
      <c r="E674" s="163" t="s">
        <v>389</v>
      </c>
      <c r="F674" s="163" t="s">
        <v>100</v>
      </c>
      <c r="G674" s="163"/>
      <c r="H674" s="163">
        <v>20</v>
      </c>
      <c r="I674" s="163">
        <v>3</v>
      </c>
      <c r="J674" s="163">
        <v>19</v>
      </c>
      <c r="K674" s="163">
        <v>0</v>
      </c>
      <c r="L674" s="163">
        <v>1</v>
      </c>
      <c r="M674" s="163">
        <v>4</v>
      </c>
      <c r="N674" s="163">
        <v>381</v>
      </c>
      <c r="O674" s="163">
        <v>0</v>
      </c>
      <c r="P674" s="163">
        <v>3561</v>
      </c>
      <c r="Q674" s="163">
        <v>66378.75</v>
      </c>
      <c r="R674" s="163">
        <v>174.22244094000001</v>
      </c>
      <c r="S674" s="163">
        <v>18.640480201999999</v>
      </c>
      <c r="T674" s="163">
        <v>9.3464566929000004</v>
      </c>
      <c r="U674" s="161">
        <f t="shared" si="24"/>
        <v>9.008598772037673E-3</v>
      </c>
      <c r="V674" s="161">
        <f t="shared" si="23"/>
        <v>3.6333750135830679E-4</v>
      </c>
    </row>
    <row r="675" spans="2:22">
      <c r="B675" s="163">
        <v>2018</v>
      </c>
      <c r="C675" s="163">
        <v>20031900028</v>
      </c>
      <c r="D675" s="163" t="s">
        <v>805</v>
      </c>
      <c r="E675" s="163" t="s">
        <v>389</v>
      </c>
      <c r="F675" s="163" t="s">
        <v>100</v>
      </c>
      <c r="G675" s="163"/>
      <c r="H675" s="163">
        <v>20</v>
      </c>
      <c r="I675" s="163">
        <v>3</v>
      </c>
      <c r="J675" s="163">
        <v>19</v>
      </c>
      <c r="K675" s="163">
        <v>0</v>
      </c>
      <c r="L675" s="163">
        <v>1</v>
      </c>
      <c r="M675" s="163">
        <v>4</v>
      </c>
      <c r="N675" s="163">
        <v>206</v>
      </c>
      <c r="O675" s="163">
        <v>0</v>
      </c>
      <c r="P675" s="163">
        <v>2388</v>
      </c>
      <c r="Q675" s="163">
        <v>7784.88</v>
      </c>
      <c r="R675" s="163">
        <v>37.790679611999998</v>
      </c>
      <c r="S675" s="163">
        <v>3.26</v>
      </c>
      <c r="T675" s="163">
        <v>11.592233009999999</v>
      </c>
      <c r="U675" s="161">
        <f t="shared" si="24"/>
        <v>6.0411496398837311E-3</v>
      </c>
      <c r="V675" s="161">
        <f t="shared" si="23"/>
        <v>2.4365345499680893E-4</v>
      </c>
    </row>
    <row r="676" spans="2:22">
      <c r="B676" s="163">
        <v>2018</v>
      </c>
      <c r="C676" s="163">
        <v>20031900029</v>
      </c>
      <c r="D676" s="163" t="s">
        <v>806</v>
      </c>
      <c r="E676" s="163" t="s">
        <v>389</v>
      </c>
      <c r="F676" s="163" t="s">
        <v>100</v>
      </c>
      <c r="G676" s="163"/>
      <c r="H676" s="163">
        <v>20</v>
      </c>
      <c r="I676" s="163">
        <v>3</v>
      </c>
      <c r="J676" s="163">
        <v>19</v>
      </c>
      <c r="K676" s="163">
        <v>0</v>
      </c>
      <c r="L676" s="163">
        <v>1</v>
      </c>
      <c r="M676" s="163">
        <v>4</v>
      </c>
      <c r="N676" s="163">
        <v>58</v>
      </c>
      <c r="O676" s="163">
        <v>0</v>
      </c>
      <c r="P676" s="163">
        <v>697</v>
      </c>
      <c r="Q676" s="163">
        <v>4405.04</v>
      </c>
      <c r="R676" s="163">
        <v>75.948965517000005</v>
      </c>
      <c r="S676" s="163">
        <v>6.32</v>
      </c>
      <c r="T676" s="163">
        <v>12.017241379</v>
      </c>
      <c r="U676" s="161">
        <f t="shared" si="24"/>
        <v>1.7632668756277052E-3</v>
      </c>
      <c r="V676" s="161">
        <f t="shared" si="23"/>
        <v>7.111660725828134E-5</v>
      </c>
    </row>
    <row r="677" spans="2:22">
      <c r="B677" s="163">
        <v>2018</v>
      </c>
      <c r="C677" s="163">
        <v>20031900030</v>
      </c>
      <c r="D677" s="163" t="s">
        <v>807</v>
      </c>
      <c r="E677" s="163" t="s">
        <v>389</v>
      </c>
      <c r="F677" s="163" t="s">
        <v>100</v>
      </c>
      <c r="G677" s="163"/>
      <c r="H677" s="163">
        <v>20</v>
      </c>
      <c r="I677" s="163">
        <v>3</v>
      </c>
      <c r="J677" s="163">
        <v>19</v>
      </c>
      <c r="K677" s="163">
        <v>0</v>
      </c>
      <c r="L677" s="163">
        <v>1</v>
      </c>
      <c r="M677" s="163">
        <v>4</v>
      </c>
      <c r="N677" s="163">
        <v>21</v>
      </c>
      <c r="O677" s="163">
        <v>0</v>
      </c>
      <c r="P677" s="163">
        <v>630</v>
      </c>
      <c r="Q677" s="163">
        <v>9286.2000000000007</v>
      </c>
      <c r="R677" s="163">
        <v>442.2</v>
      </c>
      <c r="S677" s="163">
        <v>14.74</v>
      </c>
      <c r="T677" s="163">
        <v>30</v>
      </c>
      <c r="U677" s="161">
        <f t="shared" si="24"/>
        <v>1.5937706336376677E-3</v>
      </c>
      <c r="V677" s="161">
        <f t="shared" si="23"/>
        <v>6.4280434107198337E-5</v>
      </c>
    </row>
    <row r="678" spans="2:22">
      <c r="B678" s="163">
        <v>2018</v>
      </c>
      <c r="C678" s="163">
        <v>20031900031</v>
      </c>
      <c r="D678" s="163" t="s">
        <v>808</v>
      </c>
      <c r="E678" s="163" t="s">
        <v>389</v>
      </c>
      <c r="F678" s="163" t="s">
        <v>100</v>
      </c>
      <c r="G678" s="163"/>
      <c r="H678" s="163">
        <v>20</v>
      </c>
      <c r="I678" s="163">
        <v>3</v>
      </c>
      <c r="J678" s="163">
        <v>19</v>
      </c>
      <c r="K678" s="163">
        <v>0</v>
      </c>
      <c r="L678" s="163">
        <v>1</v>
      </c>
      <c r="M678" s="163">
        <v>4</v>
      </c>
      <c r="N678" s="163">
        <v>242</v>
      </c>
      <c r="O678" s="163">
        <v>0</v>
      </c>
      <c r="P678" s="163">
        <v>2193</v>
      </c>
      <c r="Q678" s="163">
        <v>4386</v>
      </c>
      <c r="R678" s="163">
        <v>18.123966941999999</v>
      </c>
      <c r="S678" s="163">
        <v>2</v>
      </c>
      <c r="T678" s="163">
        <v>9.0619834710999996</v>
      </c>
      <c r="U678" s="161">
        <f t="shared" si="24"/>
        <v>5.5478396818530243E-3</v>
      </c>
      <c r="V678" s="161">
        <f t="shared" si="23"/>
        <v>2.2375713015410469E-4</v>
      </c>
    </row>
    <row r="679" spans="2:22">
      <c r="B679" s="163">
        <v>2018</v>
      </c>
      <c r="C679" s="163">
        <v>20031900032</v>
      </c>
      <c r="D679" s="163" t="s">
        <v>809</v>
      </c>
      <c r="E679" s="163" t="s">
        <v>389</v>
      </c>
      <c r="F679" s="163" t="s">
        <v>100</v>
      </c>
      <c r="G679" s="163"/>
      <c r="H679" s="163">
        <v>20</v>
      </c>
      <c r="I679" s="163">
        <v>3</v>
      </c>
      <c r="J679" s="163">
        <v>19</v>
      </c>
      <c r="K679" s="163">
        <v>0</v>
      </c>
      <c r="L679" s="163">
        <v>1</v>
      </c>
      <c r="M679" s="163">
        <v>4</v>
      </c>
      <c r="N679" s="163">
        <v>130</v>
      </c>
      <c r="O679" s="163">
        <v>0</v>
      </c>
      <c r="P679" s="163">
        <v>1472</v>
      </c>
      <c r="Q679" s="163">
        <v>6123.52</v>
      </c>
      <c r="R679" s="163">
        <v>47.103999999999999</v>
      </c>
      <c r="S679" s="163">
        <v>4.16</v>
      </c>
      <c r="T679" s="163">
        <v>11.323076923</v>
      </c>
      <c r="U679" s="161">
        <f t="shared" si="24"/>
        <v>3.7238577344676934E-3</v>
      </c>
      <c r="V679" s="161">
        <f t="shared" si="23"/>
        <v>1.5019174445364436E-4</v>
      </c>
    </row>
    <row r="680" spans="2:22">
      <c r="B680" s="163">
        <v>2018</v>
      </c>
      <c r="C680" s="163">
        <v>20031900033</v>
      </c>
      <c r="D680" s="163" t="s">
        <v>810</v>
      </c>
      <c r="E680" s="163" t="s">
        <v>389</v>
      </c>
      <c r="F680" s="163" t="s">
        <v>100</v>
      </c>
      <c r="G680" s="163"/>
      <c r="H680" s="163">
        <v>20</v>
      </c>
      <c r="I680" s="163">
        <v>3</v>
      </c>
      <c r="J680" s="163">
        <v>19</v>
      </c>
      <c r="K680" s="163">
        <v>0</v>
      </c>
      <c r="L680" s="163">
        <v>1</v>
      </c>
      <c r="M680" s="163">
        <v>4</v>
      </c>
      <c r="N680" s="163">
        <v>40</v>
      </c>
      <c r="O680" s="163">
        <v>0</v>
      </c>
      <c r="P680" s="163">
        <v>509</v>
      </c>
      <c r="Q680" s="163">
        <v>4748.97</v>
      </c>
      <c r="R680" s="163">
        <v>118.72425</v>
      </c>
      <c r="S680" s="163">
        <v>9.33</v>
      </c>
      <c r="T680" s="163">
        <v>12.725</v>
      </c>
      <c r="U680" s="161">
        <f t="shared" si="24"/>
        <v>1.2876654801929727E-3</v>
      </c>
      <c r="V680" s="161">
        <f t="shared" si="23"/>
        <v>5.1934509461212625E-5</v>
      </c>
    </row>
    <row r="681" spans="2:22">
      <c r="B681" s="163">
        <v>2018</v>
      </c>
      <c r="C681" s="163">
        <v>20031900034</v>
      </c>
      <c r="D681" s="163" t="s">
        <v>811</v>
      </c>
      <c r="E681" s="163" t="s">
        <v>389</v>
      </c>
      <c r="F681" s="163" t="s">
        <v>100</v>
      </c>
      <c r="G681" s="163"/>
      <c r="H681" s="163">
        <v>20</v>
      </c>
      <c r="I681" s="163">
        <v>3</v>
      </c>
      <c r="J681" s="163">
        <v>19</v>
      </c>
      <c r="K681" s="163">
        <v>0</v>
      </c>
      <c r="L681" s="163">
        <v>1</v>
      </c>
      <c r="M681" s="163">
        <v>4</v>
      </c>
      <c r="N681" s="163">
        <v>5</v>
      </c>
      <c r="O681" s="163">
        <v>0</v>
      </c>
      <c r="P681" s="163">
        <v>60</v>
      </c>
      <c r="Q681" s="163">
        <v>988.8</v>
      </c>
      <c r="R681" s="163">
        <v>197.76</v>
      </c>
      <c r="S681" s="163">
        <v>16.48</v>
      </c>
      <c r="T681" s="163">
        <v>12</v>
      </c>
      <c r="U681" s="161">
        <f t="shared" si="24"/>
        <v>1.5178767939406359E-4</v>
      </c>
      <c r="V681" s="161">
        <f t="shared" si="23"/>
        <v>6.1219461054474609E-6</v>
      </c>
    </row>
    <row r="682" spans="2:22">
      <c r="B682" s="163">
        <v>2018</v>
      </c>
      <c r="C682" s="163">
        <v>20031900039</v>
      </c>
      <c r="D682" s="163" t="s">
        <v>812</v>
      </c>
      <c r="E682" s="163" t="s">
        <v>389</v>
      </c>
      <c r="F682" s="163" t="s">
        <v>100</v>
      </c>
      <c r="G682" s="163"/>
      <c r="H682" s="163">
        <v>20</v>
      </c>
      <c r="I682" s="163">
        <v>3</v>
      </c>
      <c r="J682" s="163">
        <v>19</v>
      </c>
      <c r="K682" s="163">
        <v>0</v>
      </c>
      <c r="L682" s="163">
        <v>1</v>
      </c>
      <c r="M682" s="163">
        <v>4</v>
      </c>
      <c r="N682" s="163">
        <v>1465</v>
      </c>
      <c r="O682" s="163">
        <v>0</v>
      </c>
      <c r="P682" s="163">
        <v>14184</v>
      </c>
      <c r="Q682" s="163">
        <v>45304.26</v>
      </c>
      <c r="R682" s="163">
        <v>30.924409556000001</v>
      </c>
      <c r="S682" s="163">
        <v>3.1940397631000002</v>
      </c>
      <c r="T682" s="163">
        <v>9.6819112627999999</v>
      </c>
      <c r="U682" s="161">
        <f t="shared" si="24"/>
        <v>3.588260740875663E-2</v>
      </c>
      <c r="V682" s="161">
        <f t="shared" si="23"/>
        <v>1.4472280593277797E-3</v>
      </c>
    </row>
    <row r="683" spans="2:22">
      <c r="B683" s="163">
        <v>2018</v>
      </c>
      <c r="C683" s="163">
        <v>20031900040</v>
      </c>
      <c r="D683" s="163" t="s">
        <v>813</v>
      </c>
      <c r="E683" s="163" t="s">
        <v>389</v>
      </c>
      <c r="F683" s="163" t="s">
        <v>100</v>
      </c>
      <c r="G683" s="163"/>
      <c r="H683" s="163">
        <v>20</v>
      </c>
      <c r="I683" s="163">
        <v>3</v>
      </c>
      <c r="J683" s="163">
        <v>19</v>
      </c>
      <c r="K683" s="163">
        <v>0</v>
      </c>
      <c r="L683" s="163">
        <v>1</v>
      </c>
      <c r="M683" s="163">
        <v>4</v>
      </c>
      <c r="N683" s="163">
        <v>898</v>
      </c>
      <c r="O683" s="163">
        <v>0</v>
      </c>
      <c r="P683" s="163">
        <v>12602</v>
      </c>
      <c r="Q683" s="163">
        <v>172248.08</v>
      </c>
      <c r="R683" s="163">
        <v>191.81300668</v>
      </c>
      <c r="S683" s="163">
        <v>13.668312966</v>
      </c>
      <c r="T683" s="163">
        <v>14.033407572</v>
      </c>
      <c r="U683" s="161">
        <f t="shared" si="24"/>
        <v>3.1880472262066487E-2</v>
      </c>
      <c r="V683" s="161">
        <f t="shared" si="23"/>
        <v>1.2858127470141483E-3</v>
      </c>
    </row>
    <row r="684" spans="2:22">
      <c r="B684" s="163">
        <v>2018</v>
      </c>
      <c r="C684" s="163">
        <v>20031900041</v>
      </c>
      <c r="D684" s="163" t="s">
        <v>814</v>
      </c>
      <c r="E684" s="163" t="s">
        <v>389</v>
      </c>
      <c r="F684" s="163" t="s">
        <v>100</v>
      </c>
      <c r="G684" s="163"/>
      <c r="H684" s="163">
        <v>20</v>
      </c>
      <c r="I684" s="163">
        <v>3</v>
      </c>
      <c r="J684" s="163">
        <v>19</v>
      </c>
      <c r="K684" s="163">
        <v>0</v>
      </c>
      <c r="L684" s="163">
        <v>1</v>
      </c>
      <c r="M684" s="163">
        <v>4</v>
      </c>
      <c r="N684" s="163">
        <v>2161</v>
      </c>
      <c r="O684" s="163">
        <v>0</v>
      </c>
      <c r="P684" s="163">
        <v>23728</v>
      </c>
      <c r="Q684" s="163">
        <v>184975.48</v>
      </c>
      <c r="R684" s="163">
        <v>85.597167978000002</v>
      </c>
      <c r="S684" s="163">
        <v>7.7956625084000004</v>
      </c>
      <c r="T684" s="163">
        <v>10.980101805</v>
      </c>
      <c r="U684" s="161">
        <f t="shared" si="24"/>
        <v>6.0026967611039012E-2</v>
      </c>
      <c r="V684" s="161">
        <f t="shared" si="23"/>
        <v>2.4210256198342892E-3</v>
      </c>
    </row>
    <row r="685" spans="2:22">
      <c r="B685" s="163">
        <v>2018</v>
      </c>
      <c r="C685" s="163">
        <v>20031900042</v>
      </c>
      <c r="D685" s="163" t="s">
        <v>815</v>
      </c>
      <c r="E685" s="163" t="s">
        <v>389</v>
      </c>
      <c r="F685" s="163" t="s">
        <v>100</v>
      </c>
      <c r="G685" s="163"/>
      <c r="H685" s="163">
        <v>20</v>
      </c>
      <c r="I685" s="163">
        <v>3</v>
      </c>
      <c r="J685" s="163">
        <v>19</v>
      </c>
      <c r="K685" s="163">
        <v>0</v>
      </c>
      <c r="L685" s="163">
        <v>1</v>
      </c>
      <c r="M685" s="163">
        <v>4</v>
      </c>
      <c r="N685" s="163">
        <v>253</v>
      </c>
      <c r="O685" s="163">
        <v>0</v>
      </c>
      <c r="P685" s="163">
        <v>3395</v>
      </c>
      <c r="Q685" s="163">
        <v>141525.70000000001</v>
      </c>
      <c r="R685" s="163">
        <v>559.39011858000003</v>
      </c>
      <c r="S685" s="163">
        <v>41.686509573000002</v>
      </c>
      <c r="T685" s="163">
        <v>13.418972331999999</v>
      </c>
      <c r="U685" s="161">
        <f t="shared" si="24"/>
        <v>8.5886528590474309E-3</v>
      </c>
      <c r="V685" s="161">
        <f t="shared" si="23"/>
        <v>3.4640011713323547E-4</v>
      </c>
    </row>
    <row r="686" spans="2:22">
      <c r="B686" s="163">
        <v>2018</v>
      </c>
      <c r="C686" s="163">
        <v>20031900046</v>
      </c>
      <c r="D686" s="163" t="s">
        <v>816</v>
      </c>
      <c r="E686" s="163" t="s">
        <v>389</v>
      </c>
      <c r="F686" s="163" t="s">
        <v>100</v>
      </c>
      <c r="G686" s="163"/>
      <c r="H686" s="163">
        <v>20</v>
      </c>
      <c r="I686" s="163">
        <v>3</v>
      </c>
      <c r="J686" s="163">
        <v>19</v>
      </c>
      <c r="K686" s="163">
        <v>0</v>
      </c>
      <c r="L686" s="163">
        <v>1</v>
      </c>
      <c r="M686" s="163">
        <v>4</v>
      </c>
      <c r="N686" s="163">
        <v>2</v>
      </c>
      <c r="O686" s="163">
        <v>0</v>
      </c>
      <c r="P686" s="163">
        <v>4</v>
      </c>
      <c r="Q686" s="163">
        <v>101.6</v>
      </c>
      <c r="R686" s="163">
        <v>50.8</v>
      </c>
      <c r="S686" s="163">
        <v>25.4</v>
      </c>
      <c r="T686" s="163">
        <v>2</v>
      </c>
      <c r="U686" s="161">
        <f t="shared" si="24"/>
        <v>1.0119178626270905E-5</v>
      </c>
      <c r="V686" s="161">
        <f t="shared" si="23"/>
        <v>4.0812974036316405E-7</v>
      </c>
    </row>
    <row r="687" spans="2:22">
      <c r="B687" s="163">
        <v>2018</v>
      </c>
      <c r="C687" s="163">
        <v>20031900047</v>
      </c>
      <c r="D687" s="163" t="s">
        <v>817</v>
      </c>
      <c r="E687" s="163" t="s">
        <v>389</v>
      </c>
      <c r="F687" s="163" t="s">
        <v>100</v>
      </c>
      <c r="G687" s="163"/>
      <c r="H687" s="163">
        <v>20</v>
      </c>
      <c r="I687" s="163">
        <v>3</v>
      </c>
      <c r="J687" s="163">
        <v>19</v>
      </c>
      <c r="K687" s="163">
        <v>0</v>
      </c>
      <c r="L687" s="163">
        <v>1</v>
      </c>
      <c r="M687" s="163">
        <v>4</v>
      </c>
      <c r="N687" s="163">
        <v>1</v>
      </c>
      <c r="O687" s="163">
        <v>0</v>
      </c>
      <c r="P687" s="163">
        <v>10</v>
      </c>
      <c r="Q687" s="163">
        <v>482</v>
      </c>
      <c r="R687" s="163">
        <v>482</v>
      </c>
      <c r="S687" s="163">
        <v>48.2</v>
      </c>
      <c r="T687" s="163">
        <v>10</v>
      </c>
      <c r="U687" s="161">
        <f t="shared" si="24"/>
        <v>2.5297946565677265E-5</v>
      </c>
      <c r="V687" s="161">
        <f t="shared" si="23"/>
        <v>1.0203243509079101E-6</v>
      </c>
    </row>
    <row r="688" spans="2:22">
      <c r="B688" s="163">
        <v>2018</v>
      </c>
      <c r="C688" s="163">
        <v>20032100027</v>
      </c>
      <c r="D688" s="163" t="s">
        <v>624</v>
      </c>
      <c r="E688" s="163" t="s">
        <v>389</v>
      </c>
      <c r="F688" s="163" t="s">
        <v>100</v>
      </c>
      <c r="G688" s="163"/>
      <c r="H688" s="163">
        <v>20</v>
      </c>
      <c r="I688" s="163">
        <v>3</v>
      </c>
      <c r="J688" s="163">
        <v>21</v>
      </c>
      <c r="K688" s="163">
        <v>0</v>
      </c>
      <c r="L688" s="163">
        <v>1</v>
      </c>
      <c r="M688" s="163">
        <v>4</v>
      </c>
      <c r="N688" s="163">
        <v>41</v>
      </c>
      <c r="O688" s="163">
        <v>0</v>
      </c>
      <c r="P688" s="163">
        <v>262</v>
      </c>
      <c r="Q688" s="163">
        <v>8626.08</v>
      </c>
      <c r="R688" s="163">
        <v>210.39219512</v>
      </c>
      <c r="S688" s="163">
        <v>32.923969466000003</v>
      </c>
      <c r="T688" s="163">
        <v>6.3902439024</v>
      </c>
      <c r="U688" s="161">
        <f t="shared" si="24"/>
        <v>6.6280620002074427E-4</v>
      </c>
      <c r="V688" s="161">
        <f t="shared" si="23"/>
        <v>2.6732497993787244E-5</v>
      </c>
    </row>
    <row r="689" spans="2:23">
      <c r="B689" s="163">
        <v>2018</v>
      </c>
      <c r="C689" s="163">
        <v>20032100028</v>
      </c>
      <c r="D689" s="163" t="s">
        <v>625</v>
      </c>
      <c r="E689" s="163" t="s">
        <v>389</v>
      </c>
      <c r="F689" s="163" t="s">
        <v>100</v>
      </c>
      <c r="G689" s="163"/>
      <c r="H689" s="163">
        <v>20</v>
      </c>
      <c r="I689" s="163">
        <v>3</v>
      </c>
      <c r="J689" s="163">
        <v>21</v>
      </c>
      <c r="K689" s="163">
        <v>0</v>
      </c>
      <c r="L689" s="163">
        <v>1</v>
      </c>
      <c r="M689" s="163">
        <v>4</v>
      </c>
      <c r="N689" s="163">
        <v>37</v>
      </c>
      <c r="O689" s="163">
        <v>0</v>
      </c>
      <c r="P689" s="163">
        <v>227</v>
      </c>
      <c r="Q689" s="163">
        <v>8647.84</v>
      </c>
      <c r="R689" s="163">
        <v>233.72540541000001</v>
      </c>
      <c r="S689" s="163">
        <v>38.096211453999999</v>
      </c>
      <c r="T689" s="163">
        <v>6.1351351350999996</v>
      </c>
      <c r="U689" s="161">
        <f t="shared" si="24"/>
        <v>5.7426338704087384E-4</v>
      </c>
      <c r="V689" s="161">
        <f t="shared" si="23"/>
        <v>2.3161362765609558E-5</v>
      </c>
    </row>
    <row r="690" spans="2:23">
      <c r="B690" s="163">
        <v>2018</v>
      </c>
      <c r="C690" s="163">
        <v>20032800001</v>
      </c>
      <c r="D690" s="163" t="s">
        <v>818</v>
      </c>
      <c r="E690" s="163" t="s">
        <v>389</v>
      </c>
      <c r="F690" s="163" t="s">
        <v>100</v>
      </c>
      <c r="G690" s="163"/>
      <c r="H690" s="163">
        <v>20</v>
      </c>
      <c r="I690" s="163">
        <v>3</v>
      </c>
      <c r="J690" s="163">
        <v>28</v>
      </c>
      <c r="K690" s="163">
        <v>0</v>
      </c>
      <c r="L690" s="163">
        <v>1</v>
      </c>
      <c r="M690" s="163">
        <v>4</v>
      </c>
      <c r="N690" s="163">
        <v>375</v>
      </c>
      <c r="O690" s="163">
        <v>0</v>
      </c>
      <c r="P690" s="163">
        <v>22620</v>
      </c>
      <c r="Q690" s="163">
        <v>10073.44</v>
      </c>
      <c r="R690" s="163">
        <v>26.862506667000002</v>
      </c>
      <c r="S690" s="163">
        <v>0.44533333330000002</v>
      </c>
      <c r="T690" s="163">
        <v>60.32</v>
      </c>
      <c r="U690" s="161">
        <f t="shared" si="24"/>
        <v>5.722395513156197E-2</v>
      </c>
      <c r="V690" s="161">
        <f t="shared" si="23"/>
        <v>2.3079736817536926E-3</v>
      </c>
    </row>
    <row r="691" spans="2:23">
      <c r="V691">
        <f t="shared" si="23"/>
        <v>0</v>
      </c>
    </row>
    <row r="692" spans="2:23">
      <c r="V692">
        <f t="shared" si="23"/>
        <v>0</v>
      </c>
    </row>
    <row r="693" spans="2:23">
      <c r="B693" s="9" t="s">
        <v>819</v>
      </c>
      <c r="V693">
        <f t="shared" si="23"/>
        <v>0</v>
      </c>
    </row>
    <row r="694" spans="2:23">
      <c r="B694" s="141" t="s">
        <v>3</v>
      </c>
      <c r="C694" s="141" t="s">
        <v>220</v>
      </c>
      <c r="D694" s="141" t="s">
        <v>221</v>
      </c>
      <c r="E694" s="141" t="s">
        <v>222</v>
      </c>
      <c r="F694" s="141" t="s">
        <v>223</v>
      </c>
      <c r="G694" s="141" t="s">
        <v>224</v>
      </c>
      <c r="H694" s="141" t="s">
        <v>225</v>
      </c>
      <c r="I694" s="141" t="s">
        <v>226</v>
      </c>
      <c r="J694" s="141" t="s">
        <v>227</v>
      </c>
      <c r="K694" s="141" t="s">
        <v>228</v>
      </c>
      <c r="L694" s="141" t="s">
        <v>229</v>
      </c>
      <c r="M694" s="141" t="s">
        <v>230</v>
      </c>
      <c r="N694" s="141" t="s">
        <v>231</v>
      </c>
      <c r="O694" s="141" t="s">
        <v>232</v>
      </c>
      <c r="P694" s="141" t="s">
        <v>233</v>
      </c>
      <c r="Q694" s="141" t="s">
        <v>234</v>
      </c>
      <c r="R694" s="141" t="s">
        <v>235</v>
      </c>
      <c r="S694" s="141" t="s">
        <v>236</v>
      </c>
      <c r="T694" s="141" t="s">
        <v>237</v>
      </c>
      <c r="U694" s="141"/>
      <c r="V694" s="141"/>
    </row>
    <row r="695" spans="2:23">
      <c r="B695" s="163">
        <v>2018</v>
      </c>
      <c r="C695" s="163">
        <v>20030200040</v>
      </c>
      <c r="D695" s="163" t="s">
        <v>820</v>
      </c>
      <c r="E695" s="163" t="s">
        <v>389</v>
      </c>
      <c r="F695" s="163" t="s">
        <v>100</v>
      </c>
      <c r="G695" s="163"/>
      <c r="H695" s="163">
        <v>20</v>
      </c>
      <c r="I695" s="163">
        <v>3</v>
      </c>
      <c r="J695" s="163">
        <v>2</v>
      </c>
      <c r="K695" s="163">
        <v>0</v>
      </c>
      <c r="L695" s="163">
        <v>1</v>
      </c>
      <c r="M695" s="163">
        <v>4</v>
      </c>
      <c r="N695" s="163">
        <v>196</v>
      </c>
      <c r="O695" s="163">
        <v>0</v>
      </c>
      <c r="P695" s="163">
        <v>2009</v>
      </c>
      <c r="Q695" s="163">
        <v>1635.33</v>
      </c>
      <c r="R695" s="163">
        <v>8.3435204081999998</v>
      </c>
      <c r="S695" s="163">
        <v>0.81400199100000004</v>
      </c>
      <c r="T695" s="163">
        <v>10.25</v>
      </c>
      <c r="U695" s="161">
        <f t="shared" ref="U695:U720" si="25">P695/SUM($P$695:$P$720)</f>
        <v>9.951899975727074E-3</v>
      </c>
      <c r="V695" s="161">
        <f t="shared" si="23"/>
        <v>2.0498316209739914E-4</v>
      </c>
    </row>
    <row r="696" spans="2:23">
      <c r="B696" s="163">
        <v>2018</v>
      </c>
      <c r="C696" s="163">
        <v>20030200041</v>
      </c>
      <c r="D696" s="163" t="s">
        <v>821</v>
      </c>
      <c r="E696" s="163" t="s">
        <v>389</v>
      </c>
      <c r="F696" s="163" t="s">
        <v>100</v>
      </c>
      <c r="G696" s="163"/>
      <c r="H696" s="163">
        <v>20</v>
      </c>
      <c r="I696" s="163">
        <v>3</v>
      </c>
      <c r="J696" s="163">
        <v>2</v>
      </c>
      <c r="K696" s="163">
        <v>0</v>
      </c>
      <c r="L696" s="163">
        <v>1</v>
      </c>
      <c r="M696" s="163">
        <v>4</v>
      </c>
      <c r="N696" s="163">
        <v>141</v>
      </c>
      <c r="O696" s="163">
        <v>0</v>
      </c>
      <c r="P696" s="163">
        <v>2161</v>
      </c>
      <c r="Q696" s="163">
        <v>3723.79</v>
      </c>
      <c r="R696" s="163">
        <v>26.409858155999999</v>
      </c>
      <c r="S696" s="163">
        <v>1.7231790838000001</v>
      </c>
      <c r="T696" s="163">
        <v>15.326241135</v>
      </c>
      <c r="U696" s="161">
        <f t="shared" si="25"/>
        <v>1.0704856071451571E-2</v>
      </c>
      <c r="V696" s="161">
        <f t="shared" si="23"/>
        <v>2.2049209223119938E-4</v>
      </c>
    </row>
    <row r="697" spans="2:23">
      <c r="B697" s="163">
        <v>2018</v>
      </c>
      <c r="C697" s="163">
        <v>20030200045</v>
      </c>
      <c r="D697" s="163" t="s">
        <v>822</v>
      </c>
      <c r="E697" s="163" t="s">
        <v>389</v>
      </c>
      <c r="F697" s="163" t="s">
        <v>100</v>
      </c>
      <c r="G697" s="163"/>
      <c r="H697" s="163">
        <v>20</v>
      </c>
      <c r="I697" s="163">
        <v>3</v>
      </c>
      <c r="J697" s="163">
        <v>2</v>
      </c>
      <c r="K697" s="163">
        <v>0</v>
      </c>
      <c r="L697" s="163">
        <v>1</v>
      </c>
      <c r="M697" s="163">
        <v>4</v>
      </c>
      <c r="N697" s="163">
        <v>223</v>
      </c>
      <c r="O697" s="163">
        <v>0</v>
      </c>
      <c r="P697" s="163">
        <v>2246</v>
      </c>
      <c r="Q697" s="163">
        <v>3132.3</v>
      </c>
      <c r="R697" s="163">
        <v>14.046188341000001</v>
      </c>
      <c r="S697" s="163">
        <v>1.3946126447</v>
      </c>
      <c r="T697" s="163">
        <v>10.071748878999999</v>
      </c>
      <c r="U697" s="161">
        <f t="shared" si="25"/>
        <v>1.1125917046034349E-2</v>
      </c>
      <c r="V697" s="161">
        <f t="shared" si="23"/>
        <v>2.2916484921391662E-4</v>
      </c>
      <c r="W697" s="2">
        <f>SUMPRODUCT(S695:S720,U695:U720)</f>
        <v>1.4541610731703309</v>
      </c>
    </row>
    <row r="698" spans="2:23">
      <c r="B698" s="163">
        <v>2018</v>
      </c>
      <c r="C698" s="163">
        <v>20030200046</v>
      </c>
      <c r="D698" s="163" t="s">
        <v>823</v>
      </c>
      <c r="E698" s="163" t="s">
        <v>389</v>
      </c>
      <c r="F698" s="163" t="s">
        <v>100</v>
      </c>
      <c r="G698" s="163"/>
      <c r="H698" s="163">
        <v>20</v>
      </c>
      <c r="I698" s="163">
        <v>3</v>
      </c>
      <c r="J698" s="163">
        <v>2</v>
      </c>
      <c r="K698" s="163">
        <v>0</v>
      </c>
      <c r="L698" s="163">
        <v>1</v>
      </c>
      <c r="M698" s="163">
        <v>4</v>
      </c>
      <c r="N698" s="163">
        <v>270</v>
      </c>
      <c r="O698" s="163">
        <v>0</v>
      </c>
      <c r="P698" s="163">
        <v>4459</v>
      </c>
      <c r="Q698" s="163">
        <v>14504.97</v>
      </c>
      <c r="R698" s="163">
        <v>53.722111110999997</v>
      </c>
      <c r="S698" s="163">
        <v>3.2529647903000001</v>
      </c>
      <c r="T698" s="163">
        <v>16.514814815000001</v>
      </c>
      <c r="U698" s="161">
        <f t="shared" si="25"/>
        <v>2.2088363360760088E-2</v>
      </c>
      <c r="V698" s="161">
        <f t="shared" si="23"/>
        <v>4.5496262806983713E-4</v>
      </c>
    </row>
    <row r="699" spans="2:23">
      <c r="B699" s="163">
        <v>2018</v>
      </c>
      <c r="C699" s="163">
        <v>20030200047</v>
      </c>
      <c r="D699" s="163" t="s">
        <v>824</v>
      </c>
      <c r="E699" s="163" t="s">
        <v>389</v>
      </c>
      <c r="F699" s="163" t="s">
        <v>100</v>
      </c>
      <c r="G699" s="163"/>
      <c r="H699" s="163">
        <v>20</v>
      </c>
      <c r="I699" s="163">
        <v>3</v>
      </c>
      <c r="J699" s="163">
        <v>2</v>
      </c>
      <c r="K699" s="163">
        <v>0</v>
      </c>
      <c r="L699" s="163">
        <v>1</v>
      </c>
      <c r="M699" s="163">
        <v>4</v>
      </c>
      <c r="N699" s="163">
        <v>125</v>
      </c>
      <c r="O699" s="163">
        <v>0</v>
      </c>
      <c r="P699" s="163">
        <v>1534</v>
      </c>
      <c r="Q699" s="163">
        <v>1165.8399999999999</v>
      </c>
      <c r="R699" s="163">
        <v>9.3267199999999999</v>
      </c>
      <c r="S699" s="163">
        <v>0.76</v>
      </c>
      <c r="T699" s="163">
        <v>12.272</v>
      </c>
      <c r="U699" s="161">
        <f t="shared" si="25"/>
        <v>7.5989121765880187E-3</v>
      </c>
      <c r="V699" s="161">
        <f t="shared" si="23"/>
        <v>1.5651775542927342E-4</v>
      </c>
    </row>
    <row r="700" spans="2:23">
      <c r="B700" s="163">
        <v>2018</v>
      </c>
      <c r="C700" s="163">
        <v>20030200048</v>
      </c>
      <c r="D700" s="163" t="s">
        <v>825</v>
      </c>
      <c r="E700" s="163" t="s">
        <v>389</v>
      </c>
      <c r="F700" s="163" t="s">
        <v>100</v>
      </c>
      <c r="G700" s="163"/>
      <c r="H700" s="163">
        <v>20</v>
      </c>
      <c r="I700" s="163">
        <v>3</v>
      </c>
      <c r="J700" s="163">
        <v>2</v>
      </c>
      <c r="K700" s="163">
        <v>0</v>
      </c>
      <c r="L700" s="163">
        <v>1</v>
      </c>
      <c r="M700" s="163">
        <v>4</v>
      </c>
      <c r="N700" s="163">
        <v>204</v>
      </c>
      <c r="O700" s="163">
        <v>0</v>
      </c>
      <c r="P700" s="163">
        <v>2296</v>
      </c>
      <c r="Q700" s="163">
        <v>3650.64</v>
      </c>
      <c r="R700" s="163">
        <v>17.895294117999999</v>
      </c>
      <c r="S700" s="163">
        <v>1.59</v>
      </c>
      <c r="T700" s="163">
        <v>11.254901961</v>
      </c>
      <c r="U700" s="161">
        <f t="shared" si="25"/>
        <v>1.1373599972259512E-2</v>
      </c>
      <c r="V700" s="161">
        <f t="shared" si="23"/>
        <v>2.3426647096845617E-4</v>
      </c>
    </row>
    <row r="701" spans="2:23">
      <c r="B701" s="163">
        <v>2018</v>
      </c>
      <c r="C701" s="163">
        <v>20030200049</v>
      </c>
      <c r="D701" s="163" t="s">
        <v>826</v>
      </c>
      <c r="E701" s="163" t="s">
        <v>389</v>
      </c>
      <c r="F701" s="163" t="s">
        <v>100</v>
      </c>
      <c r="G701" s="163"/>
      <c r="H701" s="163">
        <v>20</v>
      </c>
      <c r="I701" s="163">
        <v>3</v>
      </c>
      <c r="J701" s="163">
        <v>2</v>
      </c>
      <c r="K701" s="163">
        <v>0</v>
      </c>
      <c r="L701" s="163">
        <v>1</v>
      </c>
      <c r="M701" s="163">
        <v>4</v>
      </c>
      <c r="N701" s="163">
        <v>107</v>
      </c>
      <c r="O701" s="163">
        <v>0</v>
      </c>
      <c r="P701" s="163">
        <v>1497</v>
      </c>
      <c r="Q701" s="163">
        <v>4491</v>
      </c>
      <c r="R701" s="163">
        <v>41.971962617000003</v>
      </c>
      <c r="S701" s="163">
        <v>3</v>
      </c>
      <c r="T701" s="163">
        <v>13.990654206</v>
      </c>
      <c r="U701" s="161">
        <f t="shared" si="25"/>
        <v>7.4156268111813979E-3</v>
      </c>
      <c r="V701" s="161">
        <f t="shared" si="23"/>
        <v>1.5274255533091416E-4</v>
      </c>
    </row>
    <row r="702" spans="2:23">
      <c r="B702" s="163">
        <v>2018</v>
      </c>
      <c r="C702" s="163">
        <v>20030200053</v>
      </c>
      <c r="D702" s="163" t="s">
        <v>827</v>
      </c>
      <c r="E702" s="163" t="s">
        <v>389</v>
      </c>
      <c r="F702" s="163" t="s">
        <v>100</v>
      </c>
      <c r="G702" s="163"/>
      <c r="H702" s="163">
        <v>20</v>
      </c>
      <c r="I702" s="163">
        <v>3</v>
      </c>
      <c r="J702" s="163">
        <v>2</v>
      </c>
      <c r="K702" s="163">
        <v>0</v>
      </c>
      <c r="L702" s="163">
        <v>1</v>
      </c>
      <c r="M702" s="163">
        <v>4</v>
      </c>
      <c r="N702" s="163">
        <v>496</v>
      </c>
      <c r="O702" s="163">
        <v>0</v>
      </c>
      <c r="P702" s="163">
        <v>7477</v>
      </c>
      <c r="Q702" s="163">
        <v>7426.68</v>
      </c>
      <c r="R702" s="163">
        <v>14.973145161</v>
      </c>
      <c r="S702" s="163">
        <v>0.99327002809999998</v>
      </c>
      <c r="T702" s="163">
        <v>15.074596774</v>
      </c>
      <c r="U702" s="161">
        <f t="shared" si="25"/>
        <v>3.7038504787710966E-2</v>
      </c>
      <c r="V702" s="161">
        <f t="shared" si="23"/>
        <v>7.6289651717384444E-4</v>
      </c>
    </row>
    <row r="703" spans="2:23">
      <c r="B703" s="163">
        <v>2018</v>
      </c>
      <c r="C703" s="163">
        <v>20030200054</v>
      </c>
      <c r="D703" s="163" t="s">
        <v>828</v>
      </c>
      <c r="E703" s="163" t="s">
        <v>389</v>
      </c>
      <c r="F703" s="163" t="s">
        <v>100</v>
      </c>
      <c r="G703" s="163"/>
      <c r="H703" s="163">
        <v>20</v>
      </c>
      <c r="I703" s="163">
        <v>3</v>
      </c>
      <c r="J703" s="163">
        <v>2</v>
      </c>
      <c r="K703" s="163">
        <v>0</v>
      </c>
      <c r="L703" s="163">
        <v>1</v>
      </c>
      <c r="M703" s="163">
        <v>4</v>
      </c>
      <c r="N703" s="163">
        <v>486</v>
      </c>
      <c r="O703" s="163">
        <v>0</v>
      </c>
      <c r="P703" s="163">
        <v>5580</v>
      </c>
      <c r="Q703" s="163">
        <v>13147.82</v>
      </c>
      <c r="R703" s="163">
        <v>27.053127572000001</v>
      </c>
      <c r="S703" s="163">
        <v>2.3562401434</v>
      </c>
      <c r="T703" s="163">
        <v>11.481481480999999</v>
      </c>
      <c r="U703" s="161">
        <f t="shared" si="25"/>
        <v>2.7641414566728258E-2</v>
      </c>
      <c r="V703" s="161">
        <f t="shared" si="23"/>
        <v>5.6934098780661384E-4</v>
      </c>
    </row>
    <row r="704" spans="2:23">
      <c r="B704" s="163">
        <v>2018</v>
      </c>
      <c r="C704" s="163">
        <v>20030200055</v>
      </c>
      <c r="D704" s="163" t="s">
        <v>829</v>
      </c>
      <c r="E704" s="163" t="s">
        <v>389</v>
      </c>
      <c r="F704" s="163" t="s">
        <v>100</v>
      </c>
      <c r="G704" s="163"/>
      <c r="H704" s="163">
        <v>20</v>
      </c>
      <c r="I704" s="163">
        <v>3</v>
      </c>
      <c r="J704" s="163">
        <v>2</v>
      </c>
      <c r="K704" s="163">
        <v>0</v>
      </c>
      <c r="L704" s="163">
        <v>1</v>
      </c>
      <c r="M704" s="163">
        <v>4</v>
      </c>
      <c r="N704" s="163">
        <v>91</v>
      </c>
      <c r="O704" s="163">
        <v>0</v>
      </c>
      <c r="P704" s="163">
        <v>1629</v>
      </c>
      <c r="Q704" s="163">
        <v>7282.1</v>
      </c>
      <c r="R704" s="163">
        <v>80.023076923000005</v>
      </c>
      <c r="S704" s="163">
        <v>4.4702885205999996</v>
      </c>
      <c r="T704" s="163">
        <v>17.901098901000001</v>
      </c>
      <c r="U704" s="161">
        <f t="shared" si="25"/>
        <v>8.0695097364158301E-3</v>
      </c>
      <c r="V704" s="161">
        <f t="shared" si="23"/>
        <v>1.6621083676289855E-4</v>
      </c>
    </row>
    <row r="705" spans="2:22">
      <c r="B705" s="163">
        <v>2018</v>
      </c>
      <c r="C705" s="163">
        <v>20030200130</v>
      </c>
      <c r="D705" s="163" t="s">
        <v>830</v>
      </c>
      <c r="E705" s="163" t="s">
        <v>389</v>
      </c>
      <c r="F705" s="163" t="s">
        <v>100</v>
      </c>
      <c r="G705" s="163"/>
      <c r="H705" s="163">
        <v>20</v>
      </c>
      <c r="I705" s="163">
        <v>3</v>
      </c>
      <c r="J705" s="163">
        <v>2</v>
      </c>
      <c r="K705" s="163">
        <v>0</v>
      </c>
      <c r="L705" s="163">
        <v>1</v>
      </c>
      <c r="M705" s="163">
        <v>4</v>
      </c>
      <c r="N705" s="163">
        <v>5164</v>
      </c>
      <c r="O705" s="163">
        <v>0</v>
      </c>
      <c r="P705" s="163">
        <v>71734</v>
      </c>
      <c r="Q705" s="163">
        <v>42323.06</v>
      </c>
      <c r="R705" s="163">
        <v>8.1957900852000005</v>
      </c>
      <c r="S705" s="163">
        <v>0.59</v>
      </c>
      <c r="T705" s="163">
        <v>13.891169636000001</v>
      </c>
      <c r="U705" s="161">
        <f t="shared" si="25"/>
        <v>0.3553457405967177</v>
      </c>
      <c r="V705" s="161">
        <f t="shared" si="23"/>
        <v>7.3191946988028023E-3</v>
      </c>
    </row>
    <row r="706" spans="2:22">
      <c r="B706" s="163">
        <v>2018</v>
      </c>
      <c r="C706" s="163">
        <v>20030200131</v>
      </c>
      <c r="D706" s="163" t="s">
        <v>831</v>
      </c>
      <c r="E706" s="163" t="s">
        <v>389</v>
      </c>
      <c r="F706" s="163" t="s">
        <v>100</v>
      </c>
      <c r="G706" s="163"/>
      <c r="H706" s="163">
        <v>20</v>
      </c>
      <c r="I706" s="163">
        <v>3</v>
      </c>
      <c r="J706" s="163">
        <v>2</v>
      </c>
      <c r="K706" s="163">
        <v>0</v>
      </c>
      <c r="L706" s="163">
        <v>1</v>
      </c>
      <c r="M706" s="163">
        <v>4</v>
      </c>
      <c r="N706" s="163">
        <v>3447</v>
      </c>
      <c r="O706" s="163">
        <v>0</v>
      </c>
      <c r="P706" s="163">
        <v>51486</v>
      </c>
      <c r="Q706" s="163">
        <v>59208.67</v>
      </c>
      <c r="R706" s="163">
        <v>17.176869742000001</v>
      </c>
      <c r="S706" s="163">
        <v>1.1499955328</v>
      </c>
      <c r="T706" s="163">
        <v>14.936466492999999</v>
      </c>
      <c r="U706" s="161">
        <f t="shared" si="25"/>
        <v>0.25504406279257547</v>
      </c>
      <c r="V706" s="161">
        <f t="shared" si="23"/>
        <v>5.253241953084466E-3</v>
      </c>
    </row>
    <row r="707" spans="2:22">
      <c r="B707" s="163">
        <v>2018</v>
      </c>
      <c r="C707" s="163">
        <v>20030200132</v>
      </c>
      <c r="D707" s="163" t="s">
        <v>832</v>
      </c>
      <c r="E707" s="163" t="s">
        <v>389</v>
      </c>
      <c r="F707" s="163" t="s">
        <v>100</v>
      </c>
      <c r="G707" s="163"/>
      <c r="H707" s="163">
        <v>20</v>
      </c>
      <c r="I707" s="163">
        <v>3</v>
      </c>
      <c r="J707" s="163">
        <v>2</v>
      </c>
      <c r="K707" s="163">
        <v>0</v>
      </c>
      <c r="L707" s="163">
        <v>1</v>
      </c>
      <c r="M707" s="163">
        <v>4</v>
      </c>
      <c r="N707" s="163">
        <v>701</v>
      </c>
      <c r="O707" s="163">
        <v>0</v>
      </c>
      <c r="P707" s="163">
        <v>11797</v>
      </c>
      <c r="Q707" s="163">
        <v>33385.51</v>
      </c>
      <c r="R707" s="163">
        <v>47.625549214999999</v>
      </c>
      <c r="S707" s="163">
        <v>2.83</v>
      </c>
      <c r="T707" s="163">
        <v>16.828815977000001</v>
      </c>
      <c r="U707" s="161">
        <f t="shared" si="25"/>
        <v>5.8438309613565095E-2</v>
      </c>
      <c r="V707" s="161">
        <f t="shared" si="23"/>
        <v>1.2036766367660616E-3</v>
      </c>
    </row>
    <row r="708" spans="2:22">
      <c r="B708" s="163">
        <v>2018</v>
      </c>
      <c r="C708" s="163">
        <v>20030200195</v>
      </c>
      <c r="D708" s="163" t="s">
        <v>833</v>
      </c>
      <c r="E708" s="163" t="s">
        <v>389</v>
      </c>
      <c r="F708" s="163" t="s">
        <v>100</v>
      </c>
      <c r="G708" s="163"/>
      <c r="H708" s="163">
        <v>20</v>
      </c>
      <c r="I708" s="163">
        <v>3</v>
      </c>
      <c r="J708" s="163">
        <v>2</v>
      </c>
      <c r="K708" s="163">
        <v>0</v>
      </c>
      <c r="L708" s="163">
        <v>1</v>
      </c>
      <c r="M708" s="163">
        <v>4</v>
      </c>
      <c r="N708" s="163">
        <v>410</v>
      </c>
      <c r="O708" s="163">
        <v>0</v>
      </c>
      <c r="P708" s="163">
        <v>3635</v>
      </c>
      <c r="Q708" s="163">
        <v>6010.76</v>
      </c>
      <c r="R708" s="163">
        <v>14.660390244</v>
      </c>
      <c r="S708" s="163">
        <v>1.6535790922</v>
      </c>
      <c r="T708" s="163">
        <v>8.8658536585000007</v>
      </c>
      <c r="U708" s="161">
        <f t="shared" si="25"/>
        <v>1.8006548736569393E-2</v>
      </c>
      <c r="V708" s="161">
        <f t="shared" si="23"/>
        <v>3.7088790155502532E-4</v>
      </c>
    </row>
    <row r="709" spans="2:22">
      <c r="B709" s="163">
        <v>2018</v>
      </c>
      <c r="C709" s="163">
        <v>20030200196</v>
      </c>
      <c r="D709" s="163" t="s">
        <v>834</v>
      </c>
      <c r="E709" s="163" t="s">
        <v>389</v>
      </c>
      <c r="F709" s="163" t="s">
        <v>100</v>
      </c>
      <c r="G709" s="163"/>
      <c r="H709" s="163">
        <v>20</v>
      </c>
      <c r="I709" s="163">
        <v>3</v>
      </c>
      <c r="J709" s="163">
        <v>2</v>
      </c>
      <c r="K709" s="163">
        <v>0</v>
      </c>
      <c r="L709" s="163">
        <v>1</v>
      </c>
      <c r="M709" s="163">
        <v>4</v>
      </c>
      <c r="N709" s="163">
        <v>261</v>
      </c>
      <c r="O709" s="163">
        <v>0</v>
      </c>
      <c r="P709" s="163">
        <v>2780</v>
      </c>
      <c r="Q709" s="163">
        <v>11267.16</v>
      </c>
      <c r="R709" s="163">
        <v>43.169195402</v>
      </c>
      <c r="S709" s="163">
        <v>4.0529352518000001</v>
      </c>
      <c r="T709" s="163">
        <v>10.651340996</v>
      </c>
      <c r="U709" s="161">
        <f t="shared" si="25"/>
        <v>1.3771170698119096E-2</v>
      </c>
      <c r="V709" s="161">
        <f t="shared" si="23"/>
        <v>2.8365016955239901E-4</v>
      </c>
    </row>
    <row r="710" spans="2:22">
      <c r="B710" s="163">
        <v>2018</v>
      </c>
      <c r="C710" s="163">
        <v>20030200197</v>
      </c>
      <c r="D710" s="163" t="s">
        <v>835</v>
      </c>
      <c r="E710" s="163" t="s">
        <v>389</v>
      </c>
      <c r="F710" s="163" t="s">
        <v>100</v>
      </c>
      <c r="G710" s="163"/>
      <c r="H710" s="163">
        <v>20</v>
      </c>
      <c r="I710" s="163">
        <v>3</v>
      </c>
      <c r="J710" s="163">
        <v>2</v>
      </c>
      <c r="K710" s="163">
        <v>0</v>
      </c>
      <c r="L710" s="163">
        <v>1</v>
      </c>
      <c r="M710" s="163">
        <v>4</v>
      </c>
      <c r="N710" s="163">
        <v>59</v>
      </c>
      <c r="O710" s="163">
        <v>0</v>
      </c>
      <c r="P710" s="163">
        <v>705</v>
      </c>
      <c r="Q710" s="163">
        <v>4675.3999999999996</v>
      </c>
      <c r="R710" s="163">
        <v>79.244067797</v>
      </c>
      <c r="S710" s="163">
        <v>6.6317730495999996</v>
      </c>
      <c r="T710" s="163">
        <v>11.949152542</v>
      </c>
      <c r="U710" s="161">
        <f t="shared" si="25"/>
        <v>3.4923292597748069E-3</v>
      </c>
      <c r="V710" s="161">
        <f t="shared" ref="V710:V722" si="26">P710/SUM($P$197:$P$772)</f>
        <v>7.1932866739007662E-5</v>
      </c>
    </row>
    <row r="711" spans="2:22">
      <c r="B711" s="163">
        <v>2018</v>
      </c>
      <c r="C711" s="163">
        <v>20030200198</v>
      </c>
      <c r="D711" s="163" t="s">
        <v>836</v>
      </c>
      <c r="E711" s="163" t="s">
        <v>389</v>
      </c>
      <c r="F711" s="163" t="s">
        <v>100</v>
      </c>
      <c r="G711" s="163"/>
      <c r="H711" s="163">
        <v>20</v>
      </c>
      <c r="I711" s="163">
        <v>3</v>
      </c>
      <c r="J711" s="163">
        <v>2</v>
      </c>
      <c r="K711" s="163">
        <v>0</v>
      </c>
      <c r="L711" s="163">
        <v>1</v>
      </c>
      <c r="M711" s="163">
        <v>4</v>
      </c>
      <c r="N711" s="163">
        <v>329</v>
      </c>
      <c r="O711" s="163">
        <v>0</v>
      </c>
      <c r="P711" s="163">
        <v>3856</v>
      </c>
      <c r="Q711" s="163">
        <v>16899.599999999999</v>
      </c>
      <c r="R711" s="163">
        <v>51.366565350000002</v>
      </c>
      <c r="S711" s="163">
        <v>4.3826763485000004</v>
      </c>
      <c r="T711" s="163">
        <v>11.720364741999999</v>
      </c>
      <c r="U711" s="161">
        <f t="shared" si="25"/>
        <v>1.9101307270484615E-2</v>
      </c>
      <c r="V711" s="161">
        <f t="shared" si="26"/>
        <v>3.9343706971009014E-4</v>
      </c>
    </row>
    <row r="712" spans="2:22">
      <c r="B712" s="163">
        <v>2018</v>
      </c>
      <c r="C712" s="163">
        <v>20030200225</v>
      </c>
      <c r="D712" s="163" t="s">
        <v>837</v>
      </c>
      <c r="E712" s="163" t="s">
        <v>389</v>
      </c>
      <c r="F712" s="163" t="s">
        <v>100</v>
      </c>
      <c r="G712" s="163"/>
      <c r="H712" s="163">
        <v>20</v>
      </c>
      <c r="I712" s="163">
        <v>3</v>
      </c>
      <c r="J712" s="163">
        <v>2</v>
      </c>
      <c r="K712" s="163">
        <v>0</v>
      </c>
      <c r="L712" s="163">
        <v>1</v>
      </c>
      <c r="M712" s="163">
        <v>4</v>
      </c>
      <c r="N712" s="163">
        <v>7</v>
      </c>
      <c r="O712" s="163">
        <v>0</v>
      </c>
      <c r="P712" s="163">
        <v>98</v>
      </c>
      <c r="Q712" s="163">
        <v>57.98</v>
      </c>
      <c r="R712" s="163">
        <v>8.2828571428999993</v>
      </c>
      <c r="S712" s="163">
        <v>0.59163265310000002</v>
      </c>
      <c r="T712" s="163">
        <v>14</v>
      </c>
      <c r="U712" s="161">
        <f t="shared" si="25"/>
        <v>4.8545853540132064E-4</v>
      </c>
      <c r="V712" s="161">
        <f t="shared" si="26"/>
        <v>9.9991786388975184E-6</v>
      </c>
    </row>
    <row r="713" spans="2:22">
      <c r="B713" s="163">
        <v>2018</v>
      </c>
      <c r="C713" s="163">
        <v>20030200226</v>
      </c>
      <c r="D713" s="163" t="s">
        <v>838</v>
      </c>
      <c r="E713" s="163" t="s">
        <v>389</v>
      </c>
      <c r="F713" s="163" t="s">
        <v>100</v>
      </c>
      <c r="G713" s="163"/>
      <c r="H713" s="163">
        <v>20</v>
      </c>
      <c r="I713" s="163">
        <v>3</v>
      </c>
      <c r="J713" s="163">
        <v>2</v>
      </c>
      <c r="K713" s="163">
        <v>0</v>
      </c>
      <c r="L713" s="163">
        <v>1</v>
      </c>
      <c r="M713" s="163">
        <v>4</v>
      </c>
      <c r="N713" s="163">
        <v>9</v>
      </c>
      <c r="O713" s="163">
        <v>0</v>
      </c>
      <c r="P713" s="163">
        <v>150</v>
      </c>
      <c r="Q713" s="163">
        <v>141.5</v>
      </c>
      <c r="R713" s="163">
        <v>15.722222221999999</v>
      </c>
      <c r="S713" s="163">
        <v>0.94333333330000002</v>
      </c>
      <c r="T713" s="163">
        <v>16.666666667000001</v>
      </c>
      <c r="U713" s="161">
        <f t="shared" si="25"/>
        <v>7.4304877867549079E-4</v>
      </c>
      <c r="V713" s="161">
        <f t="shared" si="26"/>
        <v>1.5304865263618653E-5</v>
      </c>
    </row>
    <row r="714" spans="2:22">
      <c r="B714" s="163">
        <v>2018</v>
      </c>
      <c r="C714" s="163">
        <v>20030200228</v>
      </c>
      <c r="D714" s="163" t="s">
        <v>839</v>
      </c>
      <c r="E714" s="163" t="s">
        <v>389</v>
      </c>
      <c r="F714" s="163" t="s">
        <v>100</v>
      </c>
      <c r="G714" s="163"/>
      <c r="H714" s="163">
        <v>20</v>
      </c>
      <c r="I714" s="163">
        <v>3</v>
      </c>
      <c r="J714" s="163">
        <v>2</v>
      </c>
      <c r="K714" s="163">
        <v>0</v>
      </c>
      <c r="L714" s="163">
        <v>1</v>
      </c>
      <c r="M714" s="163">
        <v>4</v>
      </c>
      <c r="N714" s="163">
        <v>2</v>
      </c>
      <c r="O714" s="163">
        <v>0</v>
      </c>
      <c r="P714" s="163">
        <v>30</v>
      </c>
      <c r="Q714" s="163">
        <v>134.4</v>
      </c>
      <c r="R714" s="163">
        <v>67.2</v>
      </c>
      <c r="S714" s="163">
        <v>4.4800000000000004</v>
      </c>
      <c r="T714" s="163">
        <v>15</v>
      </c>
      <c r="U714" s="161">
        <f t="shared" si="25"/>
        <v>1.4860975573509816E-4</v>
      </c>
      <c r="V714" s="161">
        <f t="shared" si="26"/>
        <v>3.0609730527237304E-6</v>
      </c>
    </row>
    <row r="715" spans="2:22">
      <c r="B715" s="163">
        <v>2018</v>
      </c>
      <c r="C715" s="163">
        <v>20030800043</v>
      </c>
      <c r="D715" s="163" t="s">
        <v>840</v>
      </c>
      <c r="E715" s="163" t="s">
        <v>389</v>
      </c>
      <c r="F715" s="163" t="s">
        <v>100</v>
      </c>
      <c r="G715" s="163"/>
      <c r="H715" s="163">
        <v>20</v>
      </c>
      <c r="I715" s="163">
        <v>3</v>
      </c>
      <c r="J715" s="163">
        <v>8</v>
      </c>
      <c r="K715" s="163">
        <v>0</v>
      </c>
      <c r="L715" s="163">
        <v>1</v>
      </c>
      <c r="M715" s="163">
        <v>4</v>
      </c>
      <c r="N715" s="163">
        <v>321</v>
      </c>
      <c r="O715" s="163">
        <v>0</v>
      </c>
      <c r="P715" s="163">
        <v>3174</v>
      </c>
      <c r="Q715" s="163">
        <v>8814.9599999999991</v>
      </c>
      <c r="R715" s="163">
        <v>27.460934579</v>
      </c>
      <c r="S715" s="163">
        <v>2.7772400756</v>
      </c>
      <c r="T715" s="163">
        <v>9.8878504672999998</v>
      </c>
      <c r="U715" s="161">
        <f t="shared" si="25"/>
        <v>1.5722912156773385E-2</v>
      </c>
      <c r="V715" s="161">
        <f t="shared" si="26"/>
        <v>3.2385094897817066E-4</v>
      </c>
    </row>
    <row r="716" spans="2:22">
      <c r="B716" s="163">
        <v>2018</v>
      </c>
      <c r="C716" s="163">
        <v>20030800070</v>
      </c>
      <c r="D716" s="163" t="s">
        <v>841</v>
      </c>
      <c r="E716" s="163" t="s">
        <v>389</v>
      </c>
      <c r="F716" s="163" t="s">
        <v>100</v>
      </c>
      <c r="G716" s="163"/>
      <c r="H716" s="163">
        <v>20</v>
      </c>
      <c r="I716" s="163">
        <v>3</v>
      </c>
      <c r="J716" s="163">
        <v>8</v>
      </c>
      <c r="K716" s="163">
        <v>0</v>
      </c>
      <c r="L716" s="163">
        <v>1</v>
      </c>
      <c r="M716" s="163">
        <v>4</v>
      </c>
      <c r="N716" s="163">
        <v>68</v>
      </c>
      <c r="O716" s="163">
        <v>0</v>
      </c>
      <c r="P716" s="163">
        <v>496</v>
      </c>
      <c r="Q716" s="163">
        <v>1427.9</v>
      </c>
      <c r="R716" s="163">
        <v>20.998529412</v>
      </c>
      <c r="S716" s="163">
        <v>2.8788306451999999</v>
      </c>
      <c r="T716" s="163">
        <v>7.2941176471000002</v>
      </c>
      <c r="U716" s="161">
        <f t="shared" si="25"/>
        <v>2.4570146281536229E-3</v>
      </c>
      <c r="V716" s="161">
        <f t="shared" si="26"/>
        <v>5.0608087805032343E-5</v>
      </c>
    </row>
    <row r="717" spans="2:22">
      <c r="B717" s="163">
        <v>2018</v>
      </c>
      <c r="C717" s="163">
        <v>20030800073</v>
      </c>
      <c r="D717" s="163" t="s">
        <v>842</v>
      </c>
      <c r="E717" s="163" t="s">
        <v>389</v>
      </c>
      <c r="F717" s="163" t="s">
        <v>100</v>
      </c>
      <c r="G717" s="163"/>
      <c r="H717" s="163">
        <v>20</v>
      </c>
      <c r="I717" s="163">
        <v>3</v>
      </c>
      <c r="J717" s="163">
        <v>8</v>
      </c>
      <c r="K717" s="163">
        <v>0</v>
      </c>
      <c r="L717" s="163">
        <v>1</v>
      </c>
      <c r="M717" s="163">
        <v>4</v>
      </c>
      <c r="N717" s="163">
        <v>110</v>
      </c>
      <c r="O717" s="163">
        <v>0</v>
      </c>
      <c r="P717" s="163">
        <v>1822</v>
      </c>
      <c r="Q717" s="163">
        <v>6759.16</v>
      </c>
      <c r="R717" s="163">
        <v>61.446909091000002</v>
      </c>
      <c r="S717" s="163">
        <v>3.7097475302</v>
      </c>
      <c r="T717" s="163">
        <v>16.563636364000001</v>
      </c>
      <c r="U717" s="161">
        <f t="shared" si="25"/>
        <v>9.0255658316449622E-3</v>
      </c>
      <c r="V717" s="161">
        <f t="shared" si="26"/>
        <v>1.8590309673542123E-4</v>
      </c>
    </row>
    <row r="718" spans="2:22">
      <c r="B718" s="163">
        <v>2018</v>
      </c>
      <c r="C718" s="163">
        <v>20030800100</v>
      </c>
      <c r="D718" s="163" t="s">
        <v>843</v>
      </c>
      <c r="E718" s="163" t="s">
        <v>389</v>
      </c>
      <c r="F718" s="163" t="s">
        <v>100</v>
      </c>
      <c r="G718" s="163"/>
      <c r="H718" s="163">
        <v>20</v>
      </c>
      <c r="I718" s="163">
        <v>3</v>
      </c>
      <c r="J718" s="163">
        <v>8</v>
      </c>
      <c r="K718" s="163">
        <v>0</v>
      </c>
      <c r="L718" s="163">
        <v>1</v>
      </c>
      <c r="M718" s="163">
        <v>4</v>
      </c>
      <c r="N718" s="163">
        <v>1391</v>
      </c>
      <c r="O718" s="163">
        <v>0</v>
      </c>
      <c r="P718" s="163">
        <v>18194</v>
      </c>
      <c r="Q718" s="163">
        <v>38753.22</v>
      </c>
      <c r="R718" s="163">
        <v>27.859971244</v>
      </c>
      <c r="S718" s="163">
        <v>2.13</v>
      </c>
      <c r="T718" s="163">
        <v>13.079798706</v>
      </c>
      <c r="U718" s="161">
        <f t="shared" si="25"/>
        <v>9.0126863194812529E-2</v>
      </c>
      <c r="V718" s="161">
        <f t="shared" si="26"/>
        <v>1.8563781240418518E-3</v>
      </c>
    </row>
    <row r="719" spans="2:22">
      <c r="B719" s="163">
        <v>2018</v>
      </c>
      <c r="C719" s="163">
        <v>20030800133</v>
      </c>
      <c r="D719" s="163" t="s">
        <v>844</v>
      </c>
      <c r="E719" s="163" t="s">
        <v>389</v>
      </c>
      <c r="F719" s="163" t="s">
        <v>100</v>
      </c>
      <c r="G719" s="163"/>
      <c r="H719" s="163">
        <v>20</v>
      </c>
      <c r="I719" s="163">
        <v>3</v>
      </c>
      <c r="J719" s="163">
        <v>8</v>
      </c>
      <c r="K719" s="163">
        <v>0</v>
      </c>
      <c r="L719" s="163">
        <v>1</v>
      </c>
      <c r="M719" s="163">
        <v>4</v>
      </c>
      <c r="N719" s="163">
        <v>72</v>
      </c>
      <c r="O719" s="163">
        <v>0</v>
      </c>
      <c r="P719" s="163">
        <v>851</v>
      </c>
      <c r="Q719" s="163">
        <v>3114.66</v>
      </c>
      <c r="R719" s="163">
        <v>43.259166667000002</v>
      </c>
      <c r="S719" s="163">
        <v>3.66</v>
      </c>
      <c r="T719" s="163">
        <v>11.819444444</v>
      </c>
      <c r="U719" s="161">
        <f t="shared" si="25"/>
        <v>4.2155634043522846E-3</v>
      </c>
      <c r="V719" s="161">
        <f t="shared" si="26"/>
        <v>8.6829602262263151E-5</v>
      </c>
    </row>
    <row r="720" spans="2:22">
      <c r="B720" s="163">
        <v>2018</v>
      </c>
      <c r="C720" s="163">
        <v>20030800168</v>
      </c>
      <c r="D720" s="163" t="s">
        <v>845</v>
      </c>
      <c r="E720" s="163" t="s">
        <v>389</v>
      </c>
      <c r="F720" s="163" t="s">
        <v>100</v>
      </c>
      <c r="G720" s="163"/>
      <c r="H720" s="163">
        <v>20</v>
      </c>
      <c r="I720" s="163">
        <v>3</v>
      </c>
      <c r="J720" s="163">
        <v>8</v>
      </c>
      <c r="K720" s="163">
        <v>0</v>
      </c>
      <c r="L720" s="163">
        <v>1</v>
      </c>
      <c r="M720" s="163">
        <v>4</v>
      </c>
      <c r="N720" s="163">
        <v>30</v>
      </c>
      <c r="O720" s="163">
        <v>0</v>
      </c>
      <c r="P720" s="163">
        <v>175</v>
      </c>
      <c r="Q720" s="163">
        <v>418.54</v>
      </c>
      <c r="R720" s="163">
        <v>13.951333332999999</v>
      </c>
      <c r="S720" s="163">
        <v>2.3916571429000002</v>
      </c>
      <c r="T720" s="163">
        <v>5.8333333332999997</v>
      </c>
      <c r="U720" s="161">
        <f t="shared" si="25"/>
        <v>8.6689024178807257E-4</v>
      </c>
      <c r="V720" s="161">
        <f t="shared" si="26"/>
        <v>1.7855676140888427E-5</v>
      </c>
    </row>
    <row r="721" spans="2:23">
      <c r="V721">
        <f t="shared" si="26"/>
        <v>0</v>
      </c>
    </row>
    <row r="722" spans="2:23">
      <c r="B722" s="9" t="s">
        <v>846</v>
      </c>
      <c r="V722">
        <f t="shared" si="26"/>
        <v>0</v>
      </c>
    </row>
    <row r="723" spans="2:23">
      <c r="B723" s="141" t="s">
        <v>3</v>
      </c>
      <c r="C723" s="141" t="s">
        <v>220</v>
      </c>
      <c r="D723" s="141" t="s">
        <v>221</v>
      </c>
      <c r="E723" s="141" t="s">
        <v>222</v>
      </c>
      <c r="F723" s="141" t="s">
        <v>223</v>
      </c>
      <c r="G723" s="141" t="s">
        <v>224</v>
      </c>
      <c r="H723" s="141" t="s">
        <v>225</v>
      </c>
      <c r="I723" s="141" t="s">
        <v>226</v>
      </c>
      <c r="J723" s="141" t="s">
        <v>227</v>
      </c>
      <c r="K723" s="141" t="s">
        <v>228</v>
      </c>
      <c r="L723" s="141" t="s">
        <v>229</v>
      </c>
      <c r="M723" s="141" t="s">
        <v>230</v>
      </c>
      <c r="N723" s="141" t="s">
        <v>231</v>
      </c>
      <c r="O723" s="141" t="s">
        <v>232</v>
      </c>
      <c r="P723" s="141" t="s">
        <v>233</v>
      </c>
      <c r="Q723" s="141" t="s">
        <v>234</v>
      </c>
      <c r="R723" s="141" t="s">
        <v>235</v>
      </c>
      <c r="S723" s="141" t="s">
        <v>236</v>
      </c>
      <c r="T723" s="141" t="s">
        <v>237</v>
      </c>
      <c r="U723" s="141"/>
      <c r="V723" s="141"/>
    </row>
    <row r="724" spans="2:23">
      <c r="B724" s="163"/>
      <c r="C724" s="163"/>
      <c r="D724" s="163"/>
      <c r="E724" s="163"/>
      <c r="F724" s="163"/>
      <c r="G724" s="163"/>
      <c r="H724" s="163"/>
      <c r="I724" s="163"/>
      <c r="J724" s="163"/>
      <c r="K724" s="163"/>
      <c r="L724" s="163"/>
      <c r="M724" s="163"/>
      <c r="N724" s="163"/>
      <c r="O724" s="163"/>
      <c r="P724" s="163"/>
      <c r="Q724" s="163"/>
      <c r="R724" s="163"/>
      <c r="S724" s="163"/>
      <c r="T724" s="163"/>
      <c r="U724" s="161"/>
      <c r="V724" s="161"/>
    </row>
    <row r="725" spans="2:23">
      <c r="B725" s="163"/>
      <c r="C725" s="163"/>
      <c r="D725" s="163"/>
      <c r="E725" s="163"/>
      <c r="F725" s="163"/>
      <c r="G725" s="163"/>
      <c r="H725" s="163"/>
      <c r="I725" s="163"/>
      <c r="J725" s="163"/>
      <c r="K725" s="163"/>
      <c r="L725" s="163"/>
      <c r="M725" s="163"/>
      <c r="N725" s="163"/>
      <c r="O725" s="163"/>
      <c r="P725" s="163"/>
      <c r="Q725" s="163"/>
      <c r="R725" s="163"/>
      <c r="S725" s="163"/>
      <c r="T725" s="163"/>
      <c r="U725" s="161"/>
      <c r="V725" s="161"/>
      <c r="W725" s="2"/>
    </row>
    <row r="726" spans="2:23">
      <c r="B726" s="163"/>
      <c r="C726" s="163"/>
      <c r="D726" s="163"/>
      <c r="E726" s="163"/>
      <c r="F726" s="163"/>
      <c r="G726" s="163"/>
      <c r="H726" s="163"/>
      <c r="I726" s="163"/>
      <c r="J726" s="163"/>
      <c r="K726" s="163"/>
      <c r="L726" s="163"/>
      <c r="M726" s="163"/>
      <c r="N726" s="163"/>
      <c r="O726" s="163"/>
      <c r="P726" s="163"/>
      <c r="Q726" s="163"/>
      <c r="R726" s="163"/>
      <c r="S726" s="163"/>
      <c r="T726" s="163"/>
      <c r="U726" s="161"/>
      <c r="V726" s="161"/>
    </row>
    <row r="727" spans="2:23">
      <c r="B727" s="163"/>
      <c r="C727" s="163"/>
      <c r="D727" s="163"/>
      <c r="E727" s="163"/>
      <c r="F727" s="163"/>
      <c r="G727" s="163"/>
      <c r="H727" s="163"/>
      <c r="I727" s="163"/>
      <c r="J727" s="163"/>
      <c r="K727" s="163"/>
      <c r="L727" s="163"/>
      <c r="M727" s="163"/>
      <c r="N727" s="163"/>
      <c r="O727" s="163"/>
      <c r="P727" s="163"/>
      <c r="Q727" s="163"/>
      <c r="R727" s="163"/>
      <c r="S727" s="163"/>
      <c r="T727" s="163"/>
      <c r="U727" s="161"/>
      <c r="V727" s="161"/>
    </row>
    <row r="728" spans="2:23">
      <c r="B728" s="163"/>
      <c r="C728" s="163"/>
      <c r="D728" s="163"/>
      <c r="E728" s="163"/>
      <c r="F728" s="163"/>
      <c r="G728" s="163"/>
      <c r="H728" s="163"/>
      <c r="I728" s="163"/>
      <c r="J728" s="163"/>
      <c r="K728" s="163"/>
      <c r="L728" s="163"/>
      <c r="M728" s="163"/>
      <c r="N728" s="163"/>
      <c r="O728" s="163"/>
      <c r="P728" s="163"/>
      <c r="Q728" s="163"/>
      <c r="R728" s="163"/>
      <c r="S728" s="163"/>
      <c r="T728" s="163"/>
      <c r="U728" s="161"/>
      <c r="V728" s="161"/>
    </row>
    <row r="729" spans="2:23">
      <c r="B729" s="163"/>
      <c r="C729" s="163"/>
      <c r="D729" s="163"/>
      <c r="E729" s="163"/>
      <c r="F729" s="163"/>
      <c r="G729" s="163"/>
      <c r="H729" s="163"/>
      <c r="I729" s="163"/>
      <c r="J729" s="163"/>
      <c r="K729" s="163"/>
      <c r="L729" s="163"/>
      <c r="M729" s="163"/>
      <c r="N729" s="163"/>
      <c r="O729" s="163"/>
      <c r="P729" s="163"/>
      <c r="Q729" s="163"/>
      <c r="R729" s="163"/>
      <c r="S729" s="163"/>
      <c r="T729" s="163"/>
      <c r="U729" s="161"/>
      <c r="V729" s="161"/>
    </row>
    <row r="730" spans="2:23">
      <c r="B730" s="163"/>
      <c r="C730" s="163"/>
      <c r="D730" s="163"/>
      <c r="E730" s="163"/>
      <c r="F730" s="163"/>
      <c r="G730" s="163"/>
      <c r="H730" s="163"/>
      <c r="I730" s="163"/>
      <c r="J730" s="163"/>
      <c r="K730" s="163"/>
      <c r="L730" s="163"/>
      <c r="M730" s="163"/>
      <c r="N730" s="163"/>
      <c r="O730" s="163"/>
      <c r="P730" s="163"/>
      <c r="Q730" s="163"/>
      <c r="R730" s="163"/>
      <c r="S730" s="163"/>
      <c r="T730" s="163"/>
      <c r="U730" s="161"/>
      <c r="V730" s="161"/>
    </row>
    <row r="731" spans="2:23">
      <c r="B731" s="163"/>
      <c r="C731" s="163"/>
      <c r="D731" s="163"/>
      <c r="E731" s="163"/>
      <c r="F731" s="163"/>
      <c r="G731" s="163"/>
      <c r="H731" s="163"/>
      <c r="I731" s="163"/>
      <c r="J731" s="163"/>
      <c r="K731" s="163"/>
      <c r="L731" s="163"/>
      <c r="M731" s="163"/>
      <c r="N731" s="163"/>
      <c r="O731" s="163"/>
      <c r="P731" s="163"/>
      <c r="Q731" s="163"/>
      <c r="R731" s="163"/>
      <c r="S731" s="163"/>
      <c r="T731" s="163"/>
      <c r="U731" s="161"/>
      <c r="V731" s="161"/>
    </row>
    <row r="732" spans="2:23">
      <c r="B732" s="163"/>
      <c r="C732" s="163"/>
      <c r="D732" s="163"/>
      <c r="E732" s="163"/>
      <c r="F732" s="163"/>
      <c r="G732" s="163"/>
      <c r="H732" s="163"/>
      <c r="I732" s="163"/>
      <c r="J732" s="163"/>
      <c r="K732" s="163"/>
      <c r="L732" s="163"/>
      <c r="M732" s="163"/>
      <c r="N732" s="163"/>
      <c r="O732" s="163"/>
      <c r="P732" s="163"/>
      <c r="Q732" s="163"/>
      <c r="R732" s="163"/>
      <c r="S732" s="163"/>
      <c r="T732" s="163"/>
      <c r="U732" s="161"/>
      <c r="V732" s="161"/>
    </row>
    <row r="733" spans="2:23">
      <c r="B733" s="163"/>
      <c r="C733" s="163"/>
      <c r="D733" s="163"/>
      <c r="E733" s="163"/>
      <c r="F733" s="163"/>
      <c r="G733" s="163"/>
      <c r="H733" s="163"/>
      <c r="I733" s="163"/>
      <c r="J733" s="163"/>
      <c r="K733" s="163"/>
      <c r="L733" s="163"/>
      <c r="M733" s="163"/>
      <c r="N733" s="163"/>
      <c r="O733" s="163"/>
      <c r="P733" s="163"/>
      <c r="Q733" s="163"/>
      <c r="R733" s="163"/>
      <c r="S733" s="163"/>
      <c r="T733" s="163"/>
      <c r="U733" s="161"/>
      <c r="V733" s="161"/>
    </row>
    <row r="734" spans="2:23">
      <c r="B734" s="163"/>
      <c r="C734" s="163"/>
      <c r="D734" s="163"/>
      <c r="E734" s="163"/>
      <c r="F734" s="163"/>
      <c r="G734" s="163"/>
      <c r="H734" s="163"/>
      <c r="I734" s="163"/>
      <c r="J734" s="163"/>
      <c r="K734" s="163"/>
      <c r="L734" s="163"/>
      <c r="M734" s="163"/>
      <c r="N734" s="163"/>
      <c r="O734" s="163"/>
      <c r="P734" s="163"/>
      <c r="Q734" s="163"/>
      <c r="R734" s="163"/>
      <c r="S734" s="163"/>
      <c r="T734" s="163"/>
      <c r="U734" s="161"/>
      <c r="V734" s="161"/>
    </row>
    <row r="735" spans="2:23">
      <c r="B735" s="163"/>
      <c r="C735" s="163"/>
      <c r="D735" s="163"/>
      <c r="E735" s="163"/>
      <c r="F735" s="163"/>
      <c r="G735" s="163"/>
      <c r="H735" s="163"/>
      <c r="I735" s="163"/>
      <c r="J735" s="163"/>
      <c r="K735" s="163"/>
      <c r="L735" s="163"/>
      <c r="M735" s="163"/>
      <c r="N735" s="163"/>
      <c r="O735" s="163"/>
      <c r="P735" s="163"/>
      <c r="Q735" s="163"/>
      <c r="R735" s="163"/>
      <c r="S735" s="163"/>
      <c r="T735" s="163"/>
      <c r="U735" s="161"/>
      <c r="V735" s="161"/>
    </row>
    <row r="736" spans="2:23">
      <c r="B736" s="163"/>
      <c r="C736" s="163"/>
      <c r="D736" s="163"/>
      <c r="E736" s="163"/>
      <c r="F736" s="163"/>
      <c r="G736" s="163"/>
      <c r="H736" s="163"/>
      <c r="I736" s="163"/>
      <c r="J736" s="163"/>
      <c r="K736" s="163"/>
      <c r="L736" s="163"/>
      <c r="M736" s="163"/>
      <c r="N736" s="163"/>
      <c r="O736" s="163"/>
      <c r="P736" s="163"/>
      <c r="Q736" s="163"/>
      <c r="R736" s="163"/>
      <c r="S736" s="163"/>
      <c r="T736" s="163"/>
      <c r="U736" s="161"/>
      <c r="V736" s="161"/>
    </row>
    <row r="737" spans="2:22">
      <c r="B737" s="163"/>
      <c r="C737" s="163"/>
      <c r="D737" s="163"/>
      <c r="E737" s="163"/>
      <c r="F737" s="163"/>
      <c r="G737" s="163"/>
      <c r="H737" s="163"/>
      <c r="I737" s="163"/>
      <c r="J737" s="163"/>
      <c r="K737" s="163"/>
      <c r="L737" s="163"/>
      <c r="M737" s="163"/>
      <c r="N737" s="163"/>
      <c r="O737" s="163"/>
      <c r="P737" s="163"/>
      <c r="Q737" s="163"/>
      <c r="R737" s="163"/>
      <c r="S737" s="163"/>
      <c r="T737" s="163"/>
      <c r="U737" s="161"/>
      <c r="V737" s="161"/>
    </row>
    <row r="738" spans="2:22">
      <c r="B738" s="163"/>
      <c r="C738" s="163"/>
      <c r="D738" s="163"/>
      <c r="E738" s="163"/>
      <c r="F738" s="163"/>
      <c r="G738" s="163"/>
      <c r="H738" s="163"/>
      <c r="I738" s="163"/>
      <c r="J738" s="163"/>
      <c r="K738" s="163"/>
      <c r="L738" s="163"/>
      <c r="M738" s="163"/>
      <c r="N738" s="163"/>
      <c r="O738" s="163"/>
      <c r="P738" s="163"/>
      <c r="Q738" s="163"/>
      <c r="R738" s="163"/>
      <c r="S738" s="163"/>
      <c r="T738" s="163"/>
      <c r="U738" s="161"/>
      <c r="V738" s="161"/>
    </row>
    <row r="739" spans="2:22">
      <c r="B739" s="163"/>
      <c r="C739" s="163"/>
      <c r="D739" s="163"/>
      <c r="E739" s="163"/>
      <c r="F739" s="163"/>
      <c r="G739" s="163"/>
      <c r="H739" s="163"/>
      <c r="I739" s="163"/>
      <c r="J739" s="163"/>
      <c r="K739" s="163"/>
      <c r="L739" s="163"/>
      <c r="M739" s="163"/>
      <c r="N739" s="163"/>
      <c r="O739" s="163"/>
      <c r="P739" s="163"/>
      <c r="Q739" s="163"/>
      <c r="R739" s="163"/>
      <c r="S739" s="163"/>
      <c r="T739" s="163"/>
      <c r="U739" s="161"/>
      <c r="V739" s="161"/>
    </row>
    <row r="740" spans="2:22">
      <c r="B740" s="163"/>
      <c r="C740" s="163"/>
      <c r="D740" s="163"/>
      <c r="E740" s="163"/>
      <c r="F740" s="163"/>
      <c r="G740" s="163"/>
      <c r="H740" s="163"/>
      <c r="I740" s="163"/>
      <c r="J740" s="163"/>
      <c r="K740" s="163"/>
      <c r="L740" s="163"/>
      <c r="M740" s="163"/>
      <c r="N740" s="163"/>
      <c r="O740" s="163"/>
      <c r="P740" s="163"/>
      <c r="Q740" s="163"/>
      <c r="R740" s="163"/>
      <c r="S740" s="163"/>
      <c r="T740" s="163"/>
      <c r="U740" s="161"/>
      <c r="V740" s="161"/>
    </row>
    <row r="741" spans="2:22">
      <c r="B741" s="163"/>
      <c r="C741" s="163"/>
      <c r="D741" s="163"/>
      <c r="E741" s="163"/>
      <c r="F741" s="163"/>
      <c r="G741" s="163"/>
      <c r="H741" s="163"/>
      <c r="I741" s="163"/>
      <c r="J741" s="163"/>
      <c r="K741" s="163"/>
      <c r="L741" s="163"/>
      <c r="M741" s="163"/>
      <c r="N741" s="163"/>
      <c r="O741" s="163"/>
      <c r="P741" s="163"/>
      <c r="Q741" s="163"/>
      <c r="R741" s="163"/>
      <c r="S741" s="163"/>
      <c r="T741" s="163"/>
      <c r="U741" s="161"/>
      <c r="V741" s="161"/>
    </row>
    <row r="742" spans="2:22">
      <c r="B742" s="163"/>
      <c r="C742" s="163"/>
      <c r="D742" s="163"/>
      <c r="E742" s="163"/>
      <c r="F742" s="163"/>
      <c r="G742" s="163"/>
      <c r="H742" s="163"/>
      <c r="I742" s="163"/>
      <c r="J742" s="163"/>
      <c r="K742" s="163"/>
      <c r="L742" s="163"/>
      <c r="M742" s="163"/>
      <c r="N742" s="163"/>
      <c r="O742" s="163"/>
      <c r="P742" s="163"/>
      <c r="Q742" s="163"/>
      <c r="R742" s="163"/>
      <c r="S742" s="163"/>
      <c r="T742" s="163"/>
      <c r="U742" s="161"/>
      <c r="V742" s="161"/>
    </row>
    <row r="743" spans="2:22">
      <c r="B743" s="163"/>
      <c r="C743" s="163"/>
      <c r="D743" s="163"/>
      <c r="E743" s="163"/>
      <c r="F743" s="163"/>
      <c r="G743" s="163"/>
      <c r="H743" s="163"/>
      <c r="I743" s="163"/>
      <c r="J743" s="163"/>
      <c r="K743" s="163"/>
      <c r="L743" s="163"/>
      <c r="M743" s="163"/>
      <c r="N743" s="163"/>
      <c r="O743" s="163"/>
      <c r="P743" s="163"/>
      <c r="Q743" s="163"/>
      <c r="R743" s="163"/>
      <c r="S743" s="163"/>
      <c r="T743" s="163"/>
      <c r="U743" s="161"/>
      <c r="V743" s="161"/>
    </row>
    <row r="744" spans="2:22">
      <c r="B744" s="163"/>
      <c r="C744" s="163"/>
      <c r="D744" s="163"/>
      <c r="E744" s="163"/>
      <c r="F744" s="163"/>
      <c r="G744" s="163"/>
      <c r="H744" s="163"/>
      <c r="I744" s="163"/>
      <c r="J744" s="163"/>
      <c r="K744" s="163"/>
      <c r="L744" s="163"/>
      <c r="M744" s="163"/>
      <c r="N744" s="163"/>
      <c r="O744" s="163"/>
      <c r="P744" s="163"/>
      <c r="Q744" s="163"/>
      <c r="R744" s="163"/>
      <c r="S744" s="163"/>
      <c r="T744" s="163"/>
      <c r="U744" s="161"/>
      <c r="V744" s="161"/>
    </row>
    <row r="745" spans="2:22">
      <c r="B745" s="163"/>
      <c r="C745" s="163"/>
      <c r="D745" s="163"/>
      <c r="E745" s="163"/>
      <c r="F745" s="163"/>
      <c r="G745" s="163"/>
      <c r="H745" s="163"/>
      <c r="I745" s="163"/>
      <c r="J745" s="163"/>
      <c r="K745" s="163"/>
      <c r="L745" s="163"/>
      <c r="M745" s="163"/>
      <c r="N745" s="163"/>
      <c r="O745" s="163"/>
      <c r="P745" s="163"/>
      <c r="Q745" s="163"/>
      <c r="R745" s="163"/>
      <c r="S745" s="163"/>
      <c r="T745" s="163"/>
      <c r="U745" s="161"/>
      <c r="V745" s="161"/>
    </row>
    <row r="746" spans="2:22">
      <c r="B746" s="163"/>
      <c r="C746" s="163"/>
      <c r="D746" s="163"/>
      <c r="E746" s="163"/>
      <c r="F746" s="163"/>
      <c r="G746" s="163"/>
      <c r="H746" s="163"/>
      <c r="I746" s="163"/>
      <c r="J746" s="163"/>
      <c r="K746" s="163"/>
      <c r="L746" s="163"/>
      <c r="M746" s="163"/>
      <c r="N746" s="163"/>
      <c r="O746" s="163"/>
      <c r="P746" s="163"/>
      <c r="Q746" s="163"/>
      <c r="R746" s="163"/>
      <c r="S746" s="163"/>
      <c r="T746" s="163"/>
      <c r="U746" s="161"/>
      <c r="V746" s="161"/>
    </row>
    <row r="747" spans="2:22">
      <c r="B747" s="163"/>
      <c r="C747" s="163"/>
      <c r="D747" s="163"/>
      <c r="E747" s="163"/>
      <c r="F747" s="163"/>
      <c r="G747" s="163"/>
      <c r="H747" s="163"/>
      <c r="I747" s="163"/>
      <c r="J747" s="163"/>
      <c r="K747" s="163"/>
      <c r="L747" s="163"/>
      <c r="M747" s="163"/>
      <c r="N747" s="163"/>
      <c r="O747" s="163"/>
      <c r="P747" s="163"/>
      <c r="Q747" s="163"/>
      <c r="R747" s="163"/>
      <c r="S747" s="163"/>
      <c r="T747" s="163"/>
      <c r="U747" s="161"/>
      <c r="V747" s="161"/>
    </row>
    <row r="748" spans="2:22">
      <c r="B748" s="163"/>
      <c r="C748" s="163"/>
      <c r="D748" s="163"/>
      <c r="E748" s="163"/>
      <c r="F748" s="163"/>
      <c r="G748" s="163"/>
      <c r="H748" s="163"/>
      <c r="I748" s="163"/>
      <c r="J748" s="163"/>
      <c r="K748" s="163"/>
      <c r="L748" s="163"/>
      <c r="M748" s="163"/>
      <c r="N748" s="163"/>
      <c r="O748" s="163"/>
      <c r="P748" s="163"/>
      <c r="Q748" s="163"/>
      <c r="R748" s="163"/>
      <c r="S748" s="163"/>
      <c r="T748" s="163"/>
      <c r="U748" s="161"/>
      <c r="V748" s="161"/>
    </row>
    <row r="749" spans="2:22">
      <c r="B749" s="163"/>
      <c r="C749" s="163"/>
      <c r="D749" s="163"/>
      <c r="E749" s="163"/>
      <c r="F749" s="163"/>
      <c r="G749" s="163"/>
      <c r="H749" s="163"/>
      <c r="I749" s="163"/>
      <c r="J749" s="163"/>
      <c r="K749" s="163"/>
      <c r="L749" s="163"/>
      <c r="M749" s="163"/>
      <c r="N749" s="163"/>
      <c r="O749" s="163"/>
      <c r="P749" s="163"/>
      <c r="Q749" s="163"/>
      <c r="R749" s="163"/>
      <c r="S749" s="163"/>
      <c r="T749" s="163"/>
      <c r="U749" s="161"/>
      <c r="V749" s="161"/>
    </row>
    <row r="750" spans="2:22">
      <c r="B750" s="163"/>
      <c r="C750" s="163"/>
      <c r="D750" s="163"/>
      <c r="E750" s="163"/>
      <c r="F750" s="163"/>
      <c r="G750" s="163"/>
      <c r="H750" s="163"/>
      <c r="I750" s="163"/>
      <c r="J750" s="163"/>
      <c r="K750" s="163"/>
      <c r="L750" s="163"/>
      <c r="M750" s="163"/>
      <c r="N750" s="163"/>
      <c r="O750" s="163"/>
      <c r="P750" s="163"/>
      <c r="Q750" s="163"/>
      <c r="R750" s="163"/>
      <c r="S750" s="163"/>
      <c r="T750" s="163"/>
      <c r="U750" s="161"/>
      <c r="V750" s="161"/>
    </row>
    <row r="751" spans="2:22">
      <c r="B751" s="163"/>
      <c r="C751" s="163"/>
      <c r="D751" s="163"/>
      <c r="E751" s="163"/>
      <c r="F751" s="163"/>
      <c r="G751" s="163"/>
      <c r="H751" s="163"/>
      <c r="I751" s="163"/>
      <c r="J751" s="163"/>
      <c r="K751" s="163"/>
      <c r="L751" s="163"/>
      <c r="M751" s="163"/>
      <c r="N751" s="163"/>
      <c r="O751" s="163"/>
      <c r="P751" s="163"/>
      <c r="Q751" s="163"/>
      <c r="R751" s="163"/>
      <c r="S751" s="163"/>
      <c r="T751" s="163"/>
      <c r="U751" s="161"/>
      <c r="V751" s="161"/>
    </row>
    <row r="752" spans="2:22">
      <c r="B752" s="163"/>
      <c r="C752" s="163"/>
      <c r="D752" s="163"/>
      <c r="E752" s="163"/>
      <c r="F752" s="163"/>
      <c r="G752" s="163"/>
      <c r="H752" s="163"/>
      <c r="I752" s="163"/>
      <c r="J752" s="163"/>
      <c r="K752" s="163"/>
      <c r="L752" s="163"/>
      <c r="M752" s="163"/>
      <c r="N752" s="163"/>
      <c r="O752" s="163"/>
      <c r="P752" s="163"/>
      <c r="Q752" s="163"/>
      <c r="R752" s="163"/>
      <c r="S752" s="163"/>
      <c r="T752" s="163"/>
      <c r="U752" s="161"/>
      <c r="V752" s="161"/>
    </row>
    <row r="753" spans="2:22">
      <c r="B753" s="163"/>
      <c r="C753" s="163"/>
      <c r="D753" s="163"/>
      <c r="E753" s="163"/>
      <c r="F753" s="163"/>
      <c r="G753" s="163"/>
      <c r="H753" s="163"/>
      <c r="I753" s="163"/>
      <c r="J753" s="163"/>
      <c r="K753" s="163"/>
      <c r="L753" s="163"/>
      <c r="M753" s="163"/>
      <c r="N753" s="163"/>
      <c r="O753" s="163"/>
      <c r="P753" s="163"/>
      <c r="Q753" s="163"/>
      <c r="R753" s="163"/>
      <c r="S753" s="163"/>
      <c r="T753" s="163"/>
      <c r="U753" s="161"/>
      <c r="V753" s="161"/>
    </row>
    <row r="754" spans="2:22">
      <c r="B754" s="163"/>
      <c r="C754" s="163"/>
      <c r="D754" s="163"/>
      <c r="E754" s="163"/>
      <c r="F754" s="163"/>
      <c r="G754" s="163"/>
      <c r="H754" s="163"/>
      <c r="I754" s="163"/>
      <c r="J754" s="163"/>
      <c r="K754" s="163"/>
      <c r="L754" s="163"/>
      <c r="M754" s="163"/>
      <c r="N754" s="163"/>
      <c r="O754" s="163"/>
      <c r="P754" s="163"/>
      <c r="Q754" s="163"/>
      <c r="R754" s="163"/>
      <c r="S754" s="163"/>
      <c r="T754" s="163"/>
      <c r="U754" s="161"/>
      <c r="V754" s="161"/>
    </row>
    <row r="755" spans="2:22">
      <c r="B755" s="163"/>
      <c r="C755" s="163"/>
      <c r="D755" s="163"/>
      <c r="E755" s="163"/>
      <c r="F755" s="163"/>
      <c r="G755" s="163"/>
      <c r="H755" s="163"/>
      <c r="I755" s="163"/>
      <c r="J755" s="163"/>
      <c r="K755" s="163"/>
      <c r="L755" s="163"/>
      <c r="M755" s="163"/>
      <c r="N755" s="163"/>
      <c r="O755" s="163"/>
      <c r="P755" s="163"/>
      <c r="Q755" s="163"/>
      <c r="R755" s="163"/>
      <c r="S755" s="163"/>
      <c r="T755" s="163"/>
      <c r="U755" s="161"/>
      <c r="V755" s="161"/>
    </row>
    <row r="756" spans="2:22">
      <c r="B756" s="163"/>
      <c r="C756" s="163"/>
      <c r="D756" s="163"/>
      <c r="E756" s="163"/>
      <c r="F756" s="163"/>
      <c r="G756" s="163"/>
      <c r="H756" s="163"/>
      <c r="I756" s="163"/>
      <c r="J756" s="163"/>
      <c r="K756" s="163"/>
      <c r="L756" s="163"/>
      <c r="M756" s="163"/>
      <c r="N756" s="163"/>
      <c r="O756" s="163"/>
      <c r="P756" s="163"/>
      <c r="Q756" s="163"/>
      <c r="R756" s="163"/>
      <c r="S756" s="163"/>
      <c r="T756" s="163"/>
      <c r="U756" s="161"/>
      <c r="V756" s="161"/>
    </row>
    <row r="757" spans="2:22">
      <c r="B757" s="163"/>
      <c r="C757" s="163"/>
      <c r="D757" s="163"/>
      <c r="E757" s="163"/>
      <c r="F757" s="163"/>
      <c r="G757" s="163"/>
      <c r="H757" s="163"/>
      <c r="I757" s="163"/>
      <c r="J757" s="163"/>
      <c r="K757" s="163"/>
      <c r="L757" s="163"/>
      <c r="M757" s="163"/>
      <c r="N757" s="163"/>
      <c r="O757" s="163"/>
      <c r="P757" s="163"/>
      <c r="Q757" s="163"/>
      <c r="R757" s="163"/>
      <c r="S757" s="163"/>
      <c r="T757" s="163"/>
      <c r="U757" s="161"/>
      <c r="V757" s="161"/>
    </row>
    <row r="758" spans="2:22">
      <c r="B758" s="163"/>
      <c r="C758" s="163"/>
      <c r="D758" s="163"/>
      <c r="E758" s="163"/>
      <c r="F758" s="163"/>
      <c r="G758" s="163"/>
      <c r="H758" s="163"/>
      <c r="I758" s="163"/>
      <c r="J758" s="163"/>
      <c r="K758" s="163"/>
      <c r="L758" s="163"/>
      <c r="M758" s="163"/>
      <c r="N758" s="163"/>
      <c r="O758" s="163"/>
      <c r="P758" s="163"/>
      <c r="Q758" s="163"/>
      <c r="R758" s="163"/>
      <c r="S758" s="163"/>
      <c r="T758" s="163"/>
      <c r="U758" s="161"/>
      <c r="V758" s="161"/>
    </row>
    <row r="759" spans="2:22">
      <c r="B759" s="163"/>
      <c r="C759" s="163"/>
      <c r="D759" s="163"/>
      <c r="E759" s="163"/>
      <c r="F759" s="163"/>
      <c r="G759" s="163"/>
      <c r="H759" s="163"/>
      <c r="I759" s="163"/>
      <c r="J759" s="163"/>
      <c r="K759" s="163"/>
      <c r="L759" s="163"/>
      <c r="M759" s="163"/>
      <c r="N759" s="163"/>
      <c r="O759" s="163"/>
      <c r="P759" s="163"/>
      <c r="Q759" s="163"/>
      <c r="R759" s="163"/>
      <c r="S759" s="163"/>
      <c r="T759" s="163"/>
      <c r="U759" s="161"/>
      <c r="V759" s="161"/>
    </row>
    <row r="760" spans="2:22">
      <c r="B760" s="163"/>
      <c r="C760" s="163"/>
      <c r="D760" s="163"/>
      <c r="E760" s="163"/>
      <c r="F760" s="163"/>
      <c r="G760" s="163"/>
      <c r="H760" s="163"/>
      <c r="I760" s="163"/>
      <c r="J760" s="163"/>
      <c r="K760" s="163"/>
      <c r="L760" s="163"/>
      <c r="M760" s="163"/>
      <c r="N760" s="163"/>
      <c r="O760" s="163"/>
      <c r="P760" s="163"/>
      <c r="Q760" s="163"/>
      <c r="R760" s="163"/>
      <c r="S760" s="163"/>
      <c r="T760" s="163"/>
      <c r="U760" s="161"/>
      <c r="V760" s="161"/>
    </row>
    <row r="761" spans="2:22">
      <c r="B761" s="163"/>
      <c r="C761" s="163"/>
      <c r="D761" s="163"/>
      <c r="E761" s="163"/>
      <c r="F761" s="163"/>
      <c r="G761" s="163"/>
      <c r="H761" s="163"/>
      <c r="I761" s="163"/>
      <c r="J761" s="163"/>
      <c r="K761" s="163"/>
      <c r="L761" s="163"/>
      <c r="M761" s="163"/>
      <c r="N761" s="163"/>
      <c r="O761" s="163"/>
      <c r="P761" s="163"/>
      <c r="Q761" s="163"/>
      <c r="R761" s="163"/>
      <c r="S761" s="163"/>
      <c r="T761" s="163"/>
      <c r="U761" s="161"/>
      <c r="V761" s="161"/>
    </row>
    <row r="762" spans="2:22">
      <c r="B762" s="163"/>
      <c r="C762" s="163"/>
      <c r="D762" s="163"/>
      <c r="E762" s="163"/>
      <c r="F762" s="163"/>
      <c r="G762" s="163"/>
      <c r="H762" s="163"/>
      <c r="I762" s="163"/>
      <c r="J762" s="163"/>
      <c r="K762" s="163"/>
      <c r="L762" s="163"/>
      <c r="M762" s="163"/>
      <c r="N762" s="163"/>
      <c r="O762" s="163"/>
      <c r="P762" s="163"/>
      <c r="Q762" s="163"/>
      <c r="R762" s="163"/>
      <c r="S762" s="163"/>
      <c r="T762" s="163"/>
      <c r="U762" s="161"/>
      <c r="V762" s="161"/>
    </row>
    <row r="763" spans="2:22">
      <c r="B763" s="163"/>
      <c r="C763" s="163"/>
      <c r="D763" s="163"/>
      <c r="E763" s="163"/>
      <c r="F763" s="163"/>
      <c r="G763" s="163"/>
      <c r="H763" s="163"/>
      <c r="I763" s="163"/>
      <c r="J763" s="163"/>
      <c r="K763" s="163"/>
      <c r="L763" s="163"/>
      <c r="M763" s="163"/>
      <c r="N763" s="163"/>
      <c r="O763" s="163"/>
      <c r="P763" s="163"/>
      <c r="Q763" s="163"/>
      <c r="R763" s="163"/>
      <c r="S763" s="163"/>
      <c r="T763" s="163"/>
      <c r="U763" s="161"/>
      <c r="V763" s="161"/>
    </row>
    <row r="764" spans="2:22">
      <c r="B764" s="163"/>
      <c r="C764" s="163"/>
      <c r="D764" s="163"/>
      <c r="E764" s="163"/>
      <c r="F764" s="163"/>
      <c r="G764" s="163"/>
      <c r="H764" s="163"/>
      <c r="I764" s="163"/>
      <c r="J764" s="163"/>
      <c r="K764" s="163"/>
      <c r="L764" s="163"/>
      <c r="M764" s="163"/>
      <c r="N764" s="163"/>
      <c r="O764" s="163"/>
      <c r="P764" s="163"/>
      <c r="Q764" s="163"/>
      <c r="R764" s="163"/>
      <c r="S764" s="163"/>
      <c r="T764" s="163"/>
      <c r="U764" s="161"/>
      <c r="V764" s="161"/>
    </row>
    <row r="765" spans="2:22">
      <c r="B765" s="163"/>
      <c r="C765" s="163"/>
      <c r="D765" s="163"/>
      <c r="E765" s="163"/>
      <c r="F765" s="163"/>
      <c r="G765" s="163"/>
      <c r="H765" s="163"/>
      <c r="I765" s="163"/>
      <c r="J765" s="163"/>
      <c r="K765" s="163"/>
      <c r="L765" s="163"/>
      <c r="M765" s="163"/>
      <c r="N765" s="163"/>
      <c r="O765" s="163"/>
      <c r="P765" s="163"/>
      <c r="Q765" s="163"/>
      <c r="R765" s="163"/>
      <c r="S765" s="163"/>
      <c r="T765" s="163"/>
      <c r="U765" s="161"/>
      <c r="V765" s="161"/>
    </row>
    <row r="766" spans="2:22">
      <c r="B766" s="163"/>
      <c r="C766" s="163"/>
      <c r="D766" s="163"/>
      <c r="E766" s="163"/>
      <c r="F766" s="163"/>
      <c r="G766" s="163"/>
      <c r="H766" s="163"/>
      <c r="I766" s="163"/>
      <c r="J766" s="163"/>
      <c r="K766" s="163"/>
      <c r="L766" s="163"/>
      <c r="M766" s="163"/>
      <c r="N766" s="163"/>
      <c r="O766" s="163"/>
      <c r="P766" s="163"/>
      <c r="Q766" s="163"/>
      <c r="R766" s="163"/>
      <c r="S766" s="163"/>
      <c r="T766" s="163"/>
      <c r="U766" s="161"/>
      <c r="V766" s="161"/>
    </row>
    <row r="767" spans="2:22">
      <c r="B767" s="163"/>
      <c r="C767" s="163"/>
      <c r="D767" s="163"/>
      <c r="E767" s="163"/>
      <c r="F767" s="163"/>
      <c r="G767" s="163"/>
      <c r="H767" s="163"/>
      <c r="I767" s="163"/>
      <c r="J767" s="163"/>
      <c r="K767" s="163"/>
      <c r="L767" s="163"/>
      <c r="M767" s="163"/>
      <c r="N767" s="163"/>
      <c r="O767" s="163"/>
      <c r="P767" s="163"/>
      <c r="Q767" s="163"/>
      <c r="R767" s="163"/>
      <c r="S767" s="163"/>
      <c r="T767" s="163"/>
      <c r="U767" s="161"/>
      <c r="V767" s="161"/>
    </row>
    <row r="768" spans="2:22">
      <c r="B768" s="163"/>
      <c r="C768" s="163"/>
      <c r="D768" s="163"/>
      <c r="E768" s="163"/>
      <c r="F768" s="163"/>
      <c r="G768" s="163"/>
      <c r="H768" s="163"/>
      <c r="I768" s="163"/>
      <c r="J768" s="163"/>
      <c r="K768" s="163"/>
      <c r="L768" s="163"/>
      <c r="M768" s="163"/>
      <c r="N768" s="163"/>
      <c r="O768" s="163"/>
      <c r="P768" s="163"/>
      <c r="Q768" s="163"/>
      <c r="R768" s="163"/>
      <c r="S768" s="163"/>
      <c r="T768" s="163"/>
      <c r="U768" s="161"/>
      <c r="V768" s="161"/>
    </row>
    <row r="769" spans="1:22">
      <c r="B769" s="163"/>
      <c r="C769" s="163"/>
      <c r="D769" s="163"/>
      <c r="E769" s="163"/>
      <c r="F769" s="163"/>
      <c r="G769" s="163"/>
      <c r="H769" s="163"/>
      <c r="I769" s="163"/>
      <c r="J769" s="163"/>
      <c r="K769" s="163"/>
      <c r="L769" s="163"/>
      <c r="M769" s="163"/>
      <c r="N769" s="163"/>
      <c r="O769" s="163"/>
      <c r="P769" s="163"/>
      <c r="Q769" s="163"/>
      <c r="R769" s="163"/>
      <c r="S769" s="163"/>
      <c r="T769" s="163"/>
      <c r="U769" s="161"/>
      <c r="V769" s="161"/>
    </row>
    <row r="770" spans="1:22">
      <c r="B770" s="163"/>
      <c r="C770" s="163"/>
      <c r="D770" s="163"/>
      <c r="E770" s="163"/>
      <c r="F770" s="163"/>
      <c r="G770" s="163"/>
      <c r="H770" s="163"/>
      <c r="I770" s="163"/>
      <c r="J770" s="163"/>
      <c r="K770" s="163"/>
      <c r="L770" s="163"/>
      <c r="M770" s="163"/>
      <c r="N770" s="163"/>
      <c r="O770" s="163"/>
      <c r="P770" s="163"/>
      <c r="Q770" s="163"/>
      <c r="R770" s="163"/>
      <c r="S770" s="163"/>
      <c r="T770" s="163"/>
      <c r="U770" s="161"/>
      <c r="V770" s="161"/>
    </row>
    <row r="771" spans="1:22">
      <c r="B771" s="163"/>
      <c r="C771" s="163"/>
      <c r="D771" s="163"/>
      <c r="E771" s="163"/>
      <c r="F771" s="163"/>
      <c r="G771" s="163"/>
      <c r="H771" s="163"/>
      <c r="I771" s="163"/>
      <c r="J771" s="163"/>
      <c r="K771" s="163"/>
      <c r="L771" s="163"/>
      <c r="M771" s="163"/>
      <c r="N771" s="163"/>
      <c r="O771" s="163"/>
      <c r="P771" s="163"/>
      <c r="Q771" s="163"/>
      <c r="R771" s="163"/>
      <c r="S771" s="163"/>
      <c r="T771" s="163"/>
      <c r="U771" s="161"/>
      <c r="V771" s="161"/>
    </row>
    <row r="772" spans="1:22">
      <c r="B772" s="163"/>
      <c r="C772" s="163"/>
      <c r="D772" s="163"/>
      <c r="E772" s="163"/>
      <c r="F772" s="163"/>
      <c r="G772" s="163"/>
      <c r="H772" s="163"/>
      <c r="I772" s="163"/>
      <c r="J772" s="163"/>
      <c r="K772" s="163"/>
      <c r="L772" s="163"/>
      <c r="M772" s="163"/>
      <c r="N772" s="163"/>
      <c r="O772" s="163"/>
      <c r="P772" s="163"/>
      <c r="Q772" s="163"/>
      <c r="R772" s="163"/>
      <c r="S772" s="163"/>
      <c r="T772" s="163"/>
      <c r="U772" s="161"/>
      <c r="V772" s="161"/>
    </row>
    <row r="784" spans="1:22">
      <c r="A784" s="9" t="s">
        <v>10</v>
      </c>
      <c r="B784" s="9" t="s">
        <v>217</v>
      </c>
    </row>
    <row r="786" spans="2:22">
      <c r="B786" s="9" t="s">
        <v>847</v>
      </c>
    </row>
    <row r="789" spans="2:22" s="54" customFormat="1">
      <c r="B789" s="61" t="s">
        <v>848</v>
      </c>
    </row>
    <row r="790" spans="2:22" s="54" customFormat="1">
      <c r="B790" s="54" t="s">
        <v>849</v>
      </c>
      <c r="C790" s="54" t="s">
        <v>221</v>
      </c>
      <c r="D790" s="54" t="s">
        <v>222</v>
      </c>
      <c r="E790" s="54" t="s">
        <v>223</v>
      </c>
      <c r="F790" s="54" t="s">
        <v>224</v>
      </c>
      <c r="G790" s="54" t="s">
        <v>225</v>
      </c>
      <c r="H790" s="54" t="s">
        <v>226</v>
      </c>
      <c r="I790" s="54" t="s">
        <v>227</v>
      </c>
      <c r="J790" s="54" t="s">
        <v>228</v>
      </c>
      <c r="K790" s="54" t="s">
        <v>229</v>
      </c>
      <c r="L790" s="54" t="s">
        <v>230</v>
      </c>
      <c r="M790" s="54" t="s">
        <v>231</v>
      </c>
      <c r="N790" s="54" t="s">
        <v>232</v>
      </c>
      <c r="O790" s="54" t="s">
        <v>233</v>
      </c>
      <c r="P790" s="54" t="s">
        <v>234</v>
      </c>
      <c r="Q790" s="162" t="s">
        <v>235</v>
      </c>
      <c r="R790" s="54" t="s">
        <v>236</v>
      </c>
      <c r="S790" s="54" t="s">
        <v>237</v>
      </c>
    </row>
    <row r="791" spans="2:22" s="54" customFormat="1">
      <c r="B791" s="54" t="s">
        <v>850</v>
      </c>
      <c r="C791" s="54" t="s">
        <v>851</v>
      </c>
      <c r="D791" s="54" t="s">
        <v>852</v>
      </c>
      <c r="E791" s="54" t="s">
        <v>853</v>
      </c>
      <c r="F791" s="54" t="s">
        <v>854</v>
      </c>
      <c r="G791" s="54">
        <v>4</v>
      </c>
      <c r="H791" s="54">
        <v>7</v>
      </c>
      <c r="I791" s="54">
        <v>4</v>
      </c>
      <c r="J791" s="54">
        <v>1</v>
      </c>
      <c r="K791" s="54">
        <v>1</v>
      </c>
      <c r="L791" s="54">
        <v>3</v>
      </c>
      <c r="M791" s="54">
        <v>51797</v>
      </c>
      <c r="N791" s="54">
        <v>13</v>
      </c>
      <c r="O791" s="54">
        <v>65791</v>
      </c>
      <c r="P791" s="54">
        <v>303011.06</v>
      </c>
      <c r="Q791" s="54">
        <v>5.8499731644999997</v>
      </c>
      <c r="R791" s="54">
        <v>4.6056612606999998</v>
      </c>
      <c r="S791" s="54">
        <v>1.2701700870999999</v>
      </c>
      <c r="T791" s="54">
        <f>M791/SUM($M$791:$M$795)</f>
        <v>0.29824611912110183</v>
      </c>
      <c r="V791" s="162">
        <f>SUMPRODUCT(Q791:Q795,T791:T795)</f>
        <v>7.9382508982025604</v>
      </c>
    </row>
    <row r="792" spans="2:22" s="54" customFormat="1">
      <c r="B792" s="54" t="s">
        <v>855</v>
      </c>
      <c r="C792" s="54" t="s">
        <v>856</v>
      </c>
      <c r="D792" s="54" t="s">
        <v>852</v>
      </c>
      <c r="E792" s="54" t="s">
        <v>853</v>
      </c>
      <c r="F792" s="54" t="s">
        <v>854</v>
      </c>
      <c r="G792" s="54">
        <v>4</v>
      </c>
      <c r="H792" s="54">
        <v>7</v>
      </c>
      <c r="I792" s="54">
        <v>4</v>
      </c>
      <c r="J792" s="54">
        <v>1</v>
      </c>
      <c r="K792" s="54">
        <v>1</v>
      </c>
      <c r="L792" s="54">
        <v>3</v>
      </c>
      <c r="M792" s="54">
        <v>56761</v>
      </c>
      <c r="N792" s="54">
        <v>19</v>
      </c>
      <c r="O792" s="54">
        <v>1654761</v>
      </c>
      <c r="P792" s="54">
        <v>324681.24</v>
      </c>
      <c r="Q792" s="54">
        <v>5.7201465794999997</v>
      </c>
      <c r="R792" s="54">
        <v>0.196210353</v>
      </c>
      <c r="S792" s="54">
        <v>29.153133313000001</v>
      </c>
      <c r="T792" s="54">
        <f t="shared" ref="T792:T795" si="27">M792/SUM($M$791:$M$795)</f>
        <v>0.32682873462619189</v>
      </c>
    </row>
    <row r="793" spans="2:22" s="54" customFormat="1">
      <c r="B793" s="54" t="s">
        <v>857</v>
      </c>
      <c r="C793" s="54" t="s">
        <v>858</v>
      </c>
      <c r="D793" s="54" t="s">
        <v>852</v>
      </c>
      <c r="E793" s="54" t="s">
        <v>853</v>
      </c>
      <c r="F793" s="54" t="s">
        <v>854</v>
      </c>
      <c r="G793" s="54">
        <v>4</v>
      </c>
      <c r="H793" s="54">
        <v>7</v>
      </c>
      <c r="I793" s="54">
        <v>4</v>
      </c>
      <c r="J793" s="54">
        <v>1</v>
      </c>
      <c r="K793" s="54">
        <v>1</v>
      </c>
      <c r="L793" s="54">
        <v>3</v>
      </c>
      <c r="M793" s="54">
        <v>12105</v>
      </c>
      <c r="N793" s="54">
        <v>6527</v>
      </c>
      <c r="O793" s="54">
        <v>545410</v>
      </c>
      <c r="P793" s="54">
        <v>162585.89000000001</v>
      </c>
      <c r="Q793" s="54">
        <v>13.431300288999999</v>
      </c>
      <c r="R793" s="54">
        <v>0.29809847639999998</v>
      </c>
      <c r="S793" s="54">
        <v>45.056588187000003</v>
      </c>
      <c r="T793" s="54">
        <f t="shared" si="27"/>
        <v>6.9700354691602559E-2</v>
      </c>
    </row>
    <row r="794" spans="2:22" s="54" customFormat="1">
      <c r="B794" s="54" t="s">
        <v>859</v>
      </c>
      <c r="C794" s="54" t="s">
        <v>209</v>
      </c>
      <c r="D794" s="54" t="s">
        <v>852</v>
      </c>
      <c r="E794" s="54" t="s">
        <v>853</v>
      </c>
      <c r="F794" s="54" t="s">
        <v>854</v>
      </c>
      <c r="G794" s="54">
        <v>4</v>
      </c>
      <c r="H794" s="54">
        <v>7</v>
      </c>
      <c r="I794" s="54">
        <v>4</v>
      </c>
      <c r="J794" s="54">
        <v>1</v>
      </c>
      <c r="K794" s="54">
        <v>1</v>
      </c>
      <c r="L794" s="54">
        <v>3</v>
      </c>
      <c r="M794" s="54">
        <v>42763</v>
      </c>
      <c r="N794" s="54">
        <v>26343</v>
      </c>
      <c r="O794" s="54">
        <v>2048166</v>
      </c>
      <c r="P794" s="54">
        <v>470102.76</v>
      </c>
      <c r="Q794" s="54">
        <v>10.993212824</v>
      </c>
      <c r="R794" s="54">
        <v>0.22952375929999999</v>
      </c>
      <c r="S794" s="54">
        <v>47.895750999999997</v>
      </c>
      <c r="T794" s="54">
        <f t="shared" si="27"/>
        <v>0.24622852273250725</v>
      </c>
    </row>
    <row r="795" spans="2:22" s="54" customFormat="1">
      <c r="B795" s="54" t="s">
        <v>860</v>
      </c>
      <c r="C795" s="54" t="s">
        <v>861</v>
      </c>
      <c r="D795" s="54" t="s">
        <v>852</v>
      </c>
      <c r="E795" s="54" t="s">
        <v>853</v>
      </c>
      <c r="F795" s="54" t="s">
        <v>854</v>
      </c>
      <c r="G795" s="54">
        <v>4</v>
      </c>
      <c r="H795" s="54">
        <v>7</v>
      </c>
      <c r="I795" s="54">
        <v>4</v>
      </c>
      <c r="J795" s="54">
        <v>1</v>
      </c>
      <c r="K795" s="54">
        <v>1</v>
      </c>
      <c r="L795" s="54">
        <v>3</v>
      </c>
      <c r="M795" s="54">
        <v>10246</v>
      </c>
      <c r="N795" s="54">
        <v>5595</v>
      </c>
      <c r="O795" s="54">
        <v>107358</v>
      </c>
      <c r="P795" s="54">
        <v>118270.96</v>
      </c>
      <c r="Q795" s="54">
        <v>11.543134882</v>
      </c>
      <c r="R795" s="54">
        <v>1.1016501798</v>
      </c>
      <c r="S795" s="54">
        <v>10.478040211</v>
      </c>
      <c r="T795" s="54">
        <f t="shared" si="27"/>
        <v>5.8996268828596432E-2</v>
      </c>
    </row>
    <row r="800" spans="2:22">
      <c r="B800" s="9" t="s">
        <v>862</v>
      </c>
    </row>
    <row r="801" spans="2:22">
      <c r="B801" s="141" t="s">
        <v>220</v>
      </c>
      <c r="C801" s="141" t="s">
        <v>221</v>
      </c>
      <c r="D801" s="141" t="s">
        <v>222</v>
      </c>
      <c r="E801" s="141" t="s">
        <v>223</v>
      </c>
      <c r="F801" s="141" t="s">
        <v>224</v>
      </c>
      <c r="G801" s="141" t="s">
        <v>225</v>
      </c>
      <c r="H801" s="141" t="s">
        <v>226</v>
      </c>
      <c r="I801" s="141" t="s">
        <v>227</v>
      </c>
      <c r="J801" s="141" t="s">
        <v>228</v>
      </c>
      <c r="K801" s="141" t="s">
        <v>229</v>
      </c>
      <c r="L801" s="141" t="s">
        <v>230</v>
      </c>
      <c r="M801" s="141" t="s">
        <v>231</v>
      </c>
      <c r="N801" s="141" t="s">
        <v>232</v>
      </c>
      <c r="O801" s="141" t="s">
        <v>233</v>
      </c>
      <c r="P801" s="141" t="s">
        <v>234</v>
      </c>
      <c r="Q801" s="141" t="s">
        <v>235</v>
      </c>
      <c r="R801" s="141" t="s">
        <v>236</v>
      </c>
      <c r="S801" s="141" t="s">
        <v>237</v>
      </c>
      <c r="T801" s="141"/>
    </row>
    <row r="802" spans="2:22">
      <c r="B802" s="163" t="s">
        <v>863</v>
      </c>
      <c r="C802" s="163" t="s">
        <v>864</v>
      </c>
      <c r="D802" s="163" t="s">
        <v>865</v>
      </c>
      <c r="E802" s="163" t="s">
        <v>866</v>
      </c>
      <c r="F802" s="163" t="s">
        <v>867</v>
      </c>
      <c r="G802" s="163">
        <v>5</v>
      </c>
      <c r="H802" s="163">
        <v>1</v>
      </c>
      <c r="I802" s="163">
        <v>7</v>
      </c>
      <c r="J802" s="163">
        <v>0</v>
      </c>
      <c r="K802" s="163">
        <v>1</v>
      </c>
      <c r="L802" s="163">
        <v>1</v>
      </c>
      <c r="M802" s="163">
        <v>3</v>
      </c>
      <c r="N802" s="163">
        <v>0</v>
      </c>
      <c r="O802" s="163">
        <v>150</v>
      </c>
      <c r="P802" s="163">
        <v>5140.67</v>
      </c>
      <c r="Q802" s="163">
        <v>1713.5566667000001</v>
      </c>
      <c r="R802" s="163">
        <v>34.271133333000002</v>
      </c>
      <c r="S802" s="163">
        <v>50</v>
      </c>
      <c r="T802" s="161">
        <f>M802/SUM($M$802:$M$868)</f>
        <v>1.7849450593910719E-6</v>
      </c>
      <c r="V802" s="2">
        <f>SUMPRODUCT(T802:T868,Q802:Q868)</f>
        <v>16.261147422097082</v>
      </c>
    </row>
    <row r="803" spans="2:22">
      <c r="B803" s="163" t="s">
        <v>868</v>
      </c>
      <c r="C803" s="163" t="s">
        <v>869</v>
      </c>
      <c r="D803" s="163" t="s">
        <v>870</v>
      </c>
      <c r="E803" s="163" t="s">
        <v>866</v>
      </c>
      <c r="F803" s="163" t="s">
        <v>867</v>
      </c>
      <c r="G803" s="163">
        <v>5</v>
      </c>
      <c r="H803" s="163">
        <v>1</v>
      </c>
      <c r="I803" s="163">
        <v>7</v>
      </c>
      <c r="J803" s="163">
        <v>0</v>
      </c>
      <c r="K803" s="163">
        <v>1</v>
      </c>
      <c r="L803" s="163">
        <v>3</v>
      </c>
      <c r="M803" s="163">
        <v>137</v>
      </c>
      <c r="N803" s="163">
        <v>137</v>
      </c>
      <c r="O803" s="163">
        <v>2710</v>
      </c>
      <c r="P803" s="163">
        <v>182925</v>
      </c>
      <c r="Q803" s="163">
        <v>1335.2189781</v>
      </c>
      <c r="R803" s="163">
        <v>67.5</v>
      </c>
      <c r="S803" s="163">
        <v>19.781021897999999</v>
      </c>
      <c r="T803" s="161">
        <f t="shared" ref="T803:T866" si="28">M803/SUM($M$802:$M$868)</f>
        <v>8.1512491045525613E-5</v>
      </c>
    </row>
    <row r="804" spans="2:22">
      <c r="B804" s="163" t="s">
        <v>871</v>
      </c>
      <c r="C804" s="163" t="s">
        <v>872</v>
      </c>
      <c r="D804" s="163" t="s">
        <v>873</v>
      </c>
      <c r="E804" s="163" t="s">
        <v>866</v>
      </c>
      <c r="F804" s="163" t="s">
        <v>867</v>
      </c>
      <c r="G804" s="163">
        <v>5</v>
      </c>
      <c r="H804" s="163">
        <v>1</v>
      </c>
      <c r="I804" s="163">
        <v>7</v>
      </c>
      <c r="J804" s="163">
        <v>0</v>
      </c>
      <c r="K804" s="163">
        <v>1</v>
      </c>
      <c r="L804" s="163">
        <v>1</v>
      </c>
      <c r="M804" s="163">
        <v>5</v>
      </c>
      <c r="N804" s="163">
        <v>0</v>
      </c>
      <c r="O804" s="163">
        <v>69</v>
      </c>
      <c r="P804" s="163">
        <v>6247.26</v>
      </c>
      <c r="Q804" s="163">
        <v>1249.452</v>
      </c>
      <c r="R804" s="163">
        <v>90.54</v>
      </c>
      <c r="S804" s="163">
        <v>13.8</v>
      </c>
      <c r="T804" s="161">
        <f t="shared" si="28"/>
        <v>2.9749084323184532E-6</v>
      </c>
    </row>
    <row r="805" spans="2:22">
      <c r="B805" s="163" t="s">
        <v>874</v>
      </c>
      <c r="C805" s="163" t="s">
        <v>875</v>
      </c>
      <c r="D805" s="163" t="s">
        <v>873</v>
      </c>
      <c r="E805" s="163" t="s">
        <v>866</v>
      </c>
      <c r="F805" s="163" t="s">
        <v>867</v>
      </c>
      <c r="G805" s="163">
        <v>5</v>
      </c>
      <c r="H805" s="163">
        <v>1</v>
      </c>
      <c r="I805" s="163">
        <v>7</v>
      </c>
      <c r="J805" s="163">
        <v>0</v>
      </c>
      <c r="K805" s="163">
        <v>1</v>
      </c>
      <c r="L805" s="163">
        <v>1</v>
      </c>
      <c r="M805" s="163">
        <v>21509</v>
      </c>
      <c r="N805" s="163">
        <v>0</v>
      </c>
      <c r="O805" s="163">
        <v>33501</v>
      </c>
      <c r="P805" s="163">
        <v>163308.99</v>
      </c>
      <c r="Q805" s="163">
        <v>7.5925886837999998</v>
      </c>
      <c r="R805" s="163">
        <v>4.8747497089999996</v>
      </c>
      <c r="S805" s="163">
        <v>1.5575340554999999</v>
      </c>
      <c r="T805" s="161">
        <f t="shared" si="28"/>
        <v>1.2797461094147523E-2</v>
      </c>
    </row>
    <row r="806" spans="2:22">
      <c r="B806" s="163" t="s">
        <v>876</v>
      </c>
      <c r="C806" s="163" t="s">
        <v>877</v>
      </c>
      <c r="D806" s="163" t="s">
        <v>873</v>
      </c>
      <c r="E806" s="163" t="s">
        <v>866</v>
      </c>
      <c r="F806" s="163" t="s">
        <v>867</v>
      </c>
      <c r="G806" s="163">
        <v>5</v>
      </c>
      <c r="H806" s="163">
        <v>1</v>
      </c>
      <c r="I806" s="163">
        <v>7</v>
      </c>
      <c r="J806" s="163">
        <v>0</v>
      </c>
      <c r="K806" s="163">
        <v>1</v>
      </c>
      <c r="L806" s="163">
        <v>3</v>
      </c>
      <c r="M806" s="163">
        <v>10826</v>
      </c>
      <c r="N806" s="163">
        <v>0</v>
      </c>
      <c r="O806" s="163">
        <v>16514</v>
      </c>
      <c r="P806" s="163">
        <v>80258.039999999994</v>
      </c>
      <c r="Q806" s="163">
        <v>7.4134527987999999</v>
      </c>
      <c r="R806" s="163">
        <v>4.8600000000000003</v>
      </c>
      <c r="S806" s="163">
        <v>1.5254018105</v>
      </c>
      <c r="T806" s="161">
        <f t="shared" si="28"/>
        <v>6.4412717376559148E-3</v>
      </c>
    </row>
    <row r="807" spans="2:22">
      <c r="B807" s="163" t="s">
        <v>878</v>
      </c>
      <c r="C807" s="163" t="s">
        <v>879</v>
      </c>
      <c r="D807" s="163" t="s">
        <v>873</v>
      </c>
      <c r="E807" s="163" t="s">
        <v>866</v>
      </c>
      <c r="F807" s="163" t="s">
        <v>867</v>
      </c>
      <c r="G807" s="163">
        <v>5</v>
      </c>
      <c r="H807" s="163">
        <v>1</v>
      </c>
      <c r="I807" s="163">
        <v>7</v>
      </c>
      <c r="J807" s="163">
        <v>0</v>
      </c>
      <c r="K807" s="163">
        <v>1</v>
      </c>
      <c r="L807" s="163">
        <v>3</v>
      </c>
      <c r="M807" s="163">
        <v>4</v>
      </c>
      <c r="N807" s="163">
        <v>0</v>
      </c>
      <c r="O807" s="163">
        <v>7</v>
      </c>
      <c r="P807" s="163">
        <v>34.020000000000003</v>
      </c>
      <c r="Q807" s="163">
        <v>8.5050000000000008</v>
      </c>
      <c r="R807" s="163">
        <v>4.8600000000000003</v>
      </c>
      <c r="S807" s="163">
        <v>1.75</v>
      </c>
      <c r="T807" s="161">
        <f t="shared" si="28"/>
        <v>2.3799267458547628E-6</v>
      </c>
    </row>
    <row r="808" spans="2:22">
      <c r="B808" s="163" t="s">
        <v>880</v>
      </c>
      <c r="C808" s="163" t="s">
        <v>881</v>
      </c>
      <c r="D808" s="163" t="s">
        <v>882</v>
      </c>
      <c r="E808" s="163" t="s">
        <v>866</v>
      </c>
      <c r="F808" s="163" t="s">
        <v>867</v>
      </c>
      <c r="G808" s="163">
        <v>5</v>
      </c>
      <c r="H808" s="163">
        <v>1</v>
      </c>
      <c r="I808" s="163">
        <v>7</v>
      </c>
      <c r="J808" s="163">
        <v>0</v>
      </c>
      <c r="K808" s="163">
        <v>1</v>
      </c>
      <c r="L808" s="163">
        <v>1</v>
      </c>
      <c r="M808" s="163">
        <v>101</v>
      </c>
      <c r="N808" s="163">
        <v>0</v>
      </c>
      <c r="O808" s="163">
        <v>8623</v>
      </c>
      <c r="P808" s="163">
        <v>54181.1</v>
      </c>
      <c r="Q808" s="163">
        <v>536.44653464999999</v>
      </c>
      <c r="R808" s="163">
        <v>6.2833236692999996</v>
      </c>
      <c r="S808" s="163">
        <v>85.376237623999998</v>
      </c>
      <c r="T808" s="161">
        <f t="shared" si="28"/>
        <v>6.0093150332832753E-5</v>
      </c>
    </row>
    <row r="809" spans="2:22">
      <c r="B809" s="163" t="s">
        <v>883</v>
      </c>
      <c r="C809" s="163" t="s">
        <v>884</v>
      </c>
      <c r="D809" s="163" t="s">
        <v>882</v>
      </c>
      <c r="E809" s="163" t="s">
        <v>866</v>
      </c>
      <c r="F809" s="163" t="s">
        <v>867</v>
      </c>
      <c r="G809" s="163">
        <v>5</v>
      </c>
      <c r="H809" s="163">
        <v>1</v>
      </c>
      <c r="I809" s="163">
        <v>7</v>
      </c>
      <c r="J809" s="163">
        <v>0</v>
      </c>
      <c r="K809" s="163">
        <v>1</v>
      </c>
      <c r="L809" s="163">
        <v>1</v>
      </c>
      <c r="M809" s="163">
        <v>3</v>
      </c>
      <c r="N809" s="163">
        <v>0</v>
      </c>
      <c r="O809" s="163">
        <v>4</v>
      </c>
      <c r="P809" s="163">
        <v>88</v>
      </c>
      <c r="Q809" s="163">
        <v>29.333333332999999</v>
      </c>
      <c r="R809" s="163">
        <v>22</v>
      </c>
      <c r="S809" s="163">
        <v>1.3333333332999999</v>
      </c>
      <c r="T809" s="161">
        <f t="shared" si="28"/>
        <v>1.7849450593910719E-6</v>
      </c>
    </row>
    <row r="810" spans="2:22">
      <c r="B810" s="163" t="s">
        <v>885</v>
      </c>
      <c r="C810" s="163" t="s">
        <v>886</v>
      </c>
      <c r="D810" s="163" t="s">
        <v>887</v>
      </c>
      <c r="E810" s="163" t="s">
        <v>866</v>
      </c>
      <c r="F810" s="163" t="s">
        <v>867</v>
      </c>
      <c r="G810" s="163">
        <v>5</v>
      </c>
      <c r="H810" s="163">
        <v>1</v>
      </c>
      <c r="I810" s="163">
        <v>7</v>
      </c>
      <c r="J810" s="163">
        <v>0</v>
      </c>
      <c r="K810" s="163">
        <v>1</v>
      </c>
      <c r="L810" s="163">
        <v>3</v>
      </c>
      <c r="M810" s="163">
        <v>10</v>
      </c>
      <c r="N810" s="163">
        <v>10</v>
      </c>
      <c r="O810" s="163">
        <v>985</v>
      </c>
      <c r="P810" s="163">
        <v>1083.5</v>
      </c>
      <c r="Q810" s="163">
        <v>108.35</v>
      </c>
      <c r="R810" s="163">
        <v>1.1000000000000001</v>
      </c>
      <c r="S810" s="163">
        <v>98.5</v>
      </c>
      <c r="T810" s="161">
        <f t="shared" si="28"/>
        <v>5.9498168646369065E-6</v>
      </c>
    </row>
    <row r="811" spans="2:22">
      <c r="B811" s="163" t="s">
        <v>888</v>
      </c>
      <c r="C811" s="163" t="s">
        <v>889</v>
      </c>
      <c r="D811" s="163" t="s">
        <v>890</v>
      </c>
      <c r="E811" s="163" t="s">
        <v>866</v>
      </c>
      <c r="F811" s="163" t="s">
        <v>867</v>
      </c>
      <c r="G811" s="163">
        <v>5</v>
      </c>
      <c r="H811" s="163">
        <v>1</v>
      </c>
      <c r="I811" s="163">
        <v>7</v>
      </c>
      <c r="J811" s="163">
        <v>0</v>
      </c>
      <c r="K811" s="163">
        <v>1</v>
      </c>
      <c r="L811" s="163">
        <v>1</v>
      </c>
      <c r="M811" s="163">
        <v>3639</v>
      </c>
      <c r="N811" s="163">
        <v>0</v>
      </c>
      <c r="O811" s="163">
        <v>219208</v>
      </c>
      <c r="P811" s="163">
        <v>394654.9</v>
      </c>
      <c r="Q811" s="163">
        <v>108.45147018</v>
      </c>
      <c r="R811" s="163">
        <v>1.8003672311000001</v>
      </c>
      <c r="S811" s="163">
        <v>60.238527068000003</v>
      </c>
      <c r="T811" s="161">
        <f t="shared" si="28"/>
        <v>2.1651383570413705E-3</v>
      </c>
    </row>
    <row r="812" spans="2:22">
      <c r="B812" s="163" t="s">
        <v>891</v>
      </c>
      <c r="C812" s="163" t="s">
        <v>892</v>
      </c>
      <c r="D812" s="163" t="s">
        <v>890</v>
      </c>
      <c r="E812" s="163" t="s">
        <v>866</v>
      </c>
      <c r="F812" s="163" t="s">
        <v>867</v>
      </c>
      <c r="G812" s="163">
        <v>5</v>
      </c>
      <c r="H812" s="163">
        <v>1</v>
      </c>
      <c r="I812" s="163">
        <v>7</v>
      </c>
      <c r="J812" s="163">
        <v>0</v>
      </c>
      <c r="K812" s="163">
        <v>1</v>
      </c>
      <c r="L812" s="163">
        <v>3</v>
      </c>
      <c r="M812" s="163">
        <v>13294</v>
      </c>
      <c r="N812" s="163">
        <v>0</v>
      </c>
      <c r="O812" s="163">
        <v>819222</v>
      </c>
      <c r="P812" s="163">
        <v>1474313.58</v>
      </c>
      <c r="Q812" s="163">
        <v>110.90067549</v>
      </c>
      <c r="R812" s="163">
        <v>1.7996508639</v>
      </c>
      <c r="S812" s="163">
        <v>61.623439144999999</v>
      </c>
      <c r="T812" s="161">
        <f t="shared" si="28"/>
        <v>7.9096865398483041E-3</v>
      </c>
    </row>
    <row r="813" spans="2:22">
      <c r="B813" s="163" t="s">
        <v>893</v>
      </c>
      <c r="C813" s="163" t="s">
        <v>894</v>
      </c>
      <c r="D813" s="163" t="s">
        <v>890</v>
      </c>
      <c r="E813" s="163" t="s">
        <v>866</v>
      </c>
      <c r="F813" s="163" t="s">
        <v>867</v>
      </c>
      <c r="G813" s="163">
        <v>5</v>
      </c>
      <c r="H813" s="163">
        <v>1</v>
      </c>
      <c r="I813" s="163">
        <v>7</v>
      </c>
      <c r="J813" s="163">
        <v>0</v>
      </c>
      <c r="K813" s="163">
        <v>1</v>
      </c>
      <c r="L813" s="163">
        <v>3</v>
      </c>
      <c r="M813" s="163">
        <v>10878</v>
      </c>
      <c r="N813" s="163">
        <v>3472</v>
      </c>
      <c r="O813" s="163">
        <v>630130</v>
      </c>
      <c r="P813" s="163">
        <v>2041611.24</v>
      </c>
      <c r="Q813" s="163">
        <v>187.68259239</v>
      </c>
      <c r="R813" s="163">
        <v>3.2399841936999998</v>
      </c>
      <c r="S813" s="163">
        <v>57.927008641</v>
      </c>
      <c r="T813" s="161">
        <f t="shared" si="28"/>
        <v>6.4722107853520273E-3</v>
      </c>
    </row>
    <row r="814" spans="2:22">
      <c r="B814" s="163" t="s">
        <v>895</v>
      </c>
      <c r="C814" s="163" t="s">
        <v>896</v>
      </c>
      <c r="D814" s="163" t="s">
        <v>890</v>
      </c>
      <c r="E814" s="163" t="s">
        <v>866</v>
      </c>
      <c r="F814" s="163" t="s">
        <v>867</v>
      </c>
      <c r="G814" s="163">
        <v>5</v>
      </c>
      <c r="H814" s="163">
        <v>1</v>
      </c>
      <c r="I814" s="163">
        <v>7</v>
      </c>
      <c r="J814" s="163">
        <v>0</v>
      </c>
      <c r="K814" s="163">
        <v>1</v>
      </c>
      <c r="L814" s="163">
        <v>3</v>
      </c>
      <c r="M814" s="163">
        <v>8550</v>
      </c>
      <c r="N814" s="163">
        <v>3987</v>
      </c>
      <c r="O814" s="163">
        <v>512850</v>
      </c>
      <c r="P814" s="163">
        <v>2871960</v>
      </c>
      <c r="Q814" s="163">
        <v>335.90175439000001</v>
      </c>
      <c r="R814" s="163">
        <v>5.6</v>
      </c>
      <c r="S814" s="163">
        <v>59.982456139999996</v>
      </c>
      <c r="T814" s="161">
        <f t="shared" si="28"/>
        <v>5.0870934192645554E-3</v>
      </c>
    </row>
    <row r="815" spans="2:22">
      <c r="B815" s="163" t="s">
        <v>897</v>
      </c>
      <c r="C815" s="163" t="s">
        <v>898</v>
      </c>
      <c r="D815" s="163" t="s">
        <v>890</v>
      </c>
      <c r="E815" s="163" t="s">
        <v>866</v>
      </c>
      <c r="F815" s="163" t="s">
        <v>867</v>
      </c>
      <c r="G815" s="163">
        <v>5</v>
      </c>
      <c r="H815" s="163">
        <v>1</v>
      </c>
      <c r="I815" s="163">
        <v>7</v>
      </c>
      <c r="J815" s="163">
        <v>0</v>
      </c>
      <c r="K815" s="163">
        <v>1</v>
      </c>
      <c r="L815" s="163">
        <v>3</v>
      </c>
      <c r="M815" s="163">
        <v>40</v>
      </c>
      <c r="N815" s="163">
        <v>0</v>
      </c>
      <c r="O815" s="163">
        <v>2234</v>
      </c>
      <c r="P815" s="163">
        <v>6702</v>
      </c>
      <c r="Q815" s="163">
        <v>167.55</v>
      </c>
      <c r="R815" s="163">
        <v>3</v>
      </c>
      <c r="S815" s="163">
        <v>55.85</v>
      </c>
      <c r="T815" s="161">
        <f t="shared" si="28"/>
        <v>2.3799267458547626E-5</v>
      </c>
    </row>
    <row r="816" spans="2:22">
      <c r="B816" s="163" t="s">
        <v>899</v>
      </c>
      <c r="C816" s="163" t="s">
        <v>900</v>
      </c>
      <c r="D816" s="163" t="s">
        <v>890</v>
      </c>
      <c r="E816" s="163" t="s">
        <v>866</v>
      </c>
      <c r="F816" s="163" t="s">
        <v>867</v>
      </c>
      <c r="G816" s="163">
        <v>5</v>
      </c>
      <c r="H816" s="163">
        <v>1</v>
      </c>
      <c r="I816" s="163">
        <v>7</v>
      </c>
      <c r="J816" s="163">
        <v>0</v>
      </c>
      <c r="K816" s="163">
        <v>1</v>
      </c>
      <c r="L816" s="163">
        <v>3</v>
      </c>
      <c r="M816" s="163">
        <v>74</v>
      </c>
      <c r="N816" s="163">
        <v>41</v>
      </c>
      <c r="O816" s="163">
        <v>4004</v>
      </c>
      <c r="P816" s="163">
        <v>69269.2</v>
      </c>
      <c r="Q816" s="163">
        <v>936.07027027000004</v>
      </c>
      <c r="R816" s="163">
        <v>17.3</v>
      </c>
      <c r="S816" s="163">
        <v>54.108108108000003</v>
      </c>
      <c r="T816" s="161">
        <f t="shared" si="28"/>
        <v>4.4028644798313111E-5</v>
      </c>
    </row>
    <row r="817" spans="2:20">
      <c r="B817" s="163" t="s">
        <v>901</v>
      </c>
      <c r="C817" s="163" t="s">
        <v>902</v>
      </c>
      <c r="D817" s="163" t="s">
        <v>890</v>
      </c>
      <c r="E817" s="163" t="s">
        <v>866</v>
      </c>
      <c r="F817" s="163" t="s">
        <v>867</v>
      </c>
      <c r="G817" s="163">
        <v>5</v>
      </c>
      <c r="H817" s="163">
        <v>1</v>
      </c>
      <c r="I817" s="163">
        <v>7</v>
      </c>
      <c r="J817" s="163">
        <v>0</v>
      </c>
      <c r="K817" s="163">
        <v>1</v>
      </c>
      <c r="L817" s="163">
        <v>3</v>
      </c>
      <c r="M817" s="163">
        <v>13</v>
      </c>
      <c r="N817" s="163">
        <v>0</v>
      </c>
      <c r="O817" s="163">
        <v>707</v>
      </c>
      <c r="P817" s="163">
        <v>2279.2199999999998</v>
      </c>
      <c r="Q817" s="163">
        <v>175.32461538000001</v>
      </c>
      <c r="R817" s="163">
        <v>3.2237906648000001</v>
      </c>
      <c r="S817" s="163">
        <v>54.384615384999996</v>
      </c>
      <c r="T817" s="161">
        <f t="shared" si="28"/>
        <v>7.7347619240279788E-6</v>
      </c>
    </row>
    <row r="818" spans="2:20">
      <c r="B818" s="163" t="s">
        <v>903</v>
      </c>
      <c r="C818" s="163" t="s">
        <v>904</v>
      </c>
      <c r="D818" s="163" t="s">
        <v>890</v>
      </c>
      <c r="E818" s="163" t="s">
        <v>866</v>
      </c>
      <c r="F818" s="163" t="s">
        <v>867</v>
      </c>
      <c r="G818" s="163">
        <v>5</v>
      </c>
      <c r="H818" s="163">
        <v>1</v>
      </c>
      <c r="I818" s="163">
        <v>7</v>
      </c>
      <c r="J818" s="163">
        <v>0</v>
      </c>
      <c r="K818" s="163">
        <v>1</v>
      </c>
      <c r="L818" s="163">
        <v>3</v>
      </c>
      <c r="M818" s="163">
        <v>217</v>
      </c>
      <c r="N818" s="163">
        <v>215</v>
      </c>
      <c r="O818" s="163">
        <v>11935</v>
      </c>
      <c r="P818" s="163">
        <v>55779.14</v>
      </c>
      <c r="Q818" s="163">
        <v>257.04672811</v>
      </c>
      <c r="R818" s="163">
        <v>4.6735768747000002</v>
      </c>
      <c r="S818" s="163">
        <v>55</v>
      </c>
      <c r="T818" s="161">
        <f t="shared" si="28"/>
        <v>1.2911102596262087E-4</v>
      </c>
    </row>
    <row r="819" spans="2:20">
      <c r="B819" s="163" t="s">
        <v>905</v>
      </c>
      <c r="C819" s="163" t="s">
        <v>906</v>
      </c>
      <c r="D819" s="163" t="s">
        <v>907</v>
      </c>
      <c r="E819" s="163" t="s">
        <v>866</v>
      </c>
      <c r="F819" s="163" t="s">
        <v>867</v>
      </c>
      <c r="G819" s="163">
        <v>5</v>
      </c>
      <c r="H819" s="163">
        <v>1</v>
      </c>
      <c r="I819" s="163">
        <v>7</v>
      </c>
      <c r="J819" s="163">
        <v>0</v>
      </c>
      <c r="K819" s="163">
        <v>3</v>
      </c>
      <c r="L819" s="163">
        <v>3</v>
      </c>
      <c r="M819" s="163">
        <v>361</v>
      </c>
      <c r="N819" s="163">
        <v>331</v>
      </c>
      <c r="O819" s="163">
        <v>114350</v>
      </c>
      <c r="P819" s="163">
        <v>15391.51</v>
      </c>
      <c r="Q819" s="163">
        <v>42.635761772999999</v>
      </c>
      <c r="R819" s="163">
        <v>0.1346</v>
      </c>
      <c r="S819" s="163">
        <v>316.75900277</v>
      </c>
      <c r="T819" s="161">
        <f t="shared" si="28"/>
        <v>2.1478838881339233E-4</v>
      </c>
    </row>
    <row r="820" spans="2:20">
      <c r="B820" s="163" t="s">
        <v>908</v>
      </c>
      <c r="C820" s="163" t="s">
        <v>909</v>
      </c>
      <c r="D820" s="163" t="s">
        <v>910</v>
      </c>
      <c r="E820" s="163" t="s">
        <v>866</v>
      </c>
      <c r="F820" s="163" t="s">
        <v>867</v>
      </c>
      <c r="G820" s="163">
        <v>5</v>
      </c>
      <c r="H820" s="163">
        <v>1</v>
      </c>
      <c r="I820" s="163">
        <v>7</v>
      </c>
      <c r="J820" s="163">
        <v>0</v>
      </c>
      <c r="K820" s="163">
        <v>1</v>
      </c>
      <c r="L820" s="163">
        <v>3</v>
      </c>
      <c r="M820" s="163">
        <v>3336</v>
      </c>
      <c r="N820" s="163">
        <v>2921</v>
      </c>
      <c r="O820" s="163">
        <v>252567</v>
      </c>
      <c r="P820" s="163">
        <v>150484.29</v>
      </c>
      <c r="Q820" s="163">
        <v>45.10919964</v>
      </c>
      <c r="R820" s="163">
        <v>0.59581928760000002</v>
      </c>
      <c r="S820" s="163">
        <v>75.709532374000005</v>
      </c>
      <c r="T820" s="161">
        <f t="shared" si="28"/>
        <v>1.9848589060428722E-3</v>
      </c>
    </row>
    <row r="821" spans="2:20">
      <c r="B821" s="163" t="s">
        <v>911</v>
      </c>
      <c r="C821" s="163" t="s">
        <v>912</v>
      </c>
      <c r="D821" s="163" t="s">
        <v>913</v>
      </c>
      <c r="E821" s="163" t="s">
        <v>866</v>
      </c>
      <c r="F821" s="163" t="s">
        <v>867</v>
      </c>
      <c r="G821" s="163">
        <v>5</v>
      </c>
      <c r="H821" s="163">
        <v>1</v>
      </c>
      <c r="I821" s="163">
        <v>7</v>
      </c>
      <c r="J821" s="163">
        <v>0</v>
      </c>
      <c r="K821" s="163">
        <v>1</v>
      </c>
      <c r="L821" s="163">
        <v>3</v>
      </c>
      <c r="M821" s="163">
        <v>1281</v>
      </c>
      <c r="N821" s="163">
        <v>829</v>
      </c>
      <c r="O821" s="163">
        <v>9340</v>
      </c>
      <c r="P821" s="163">
        <v>68368.800000000003</v>
      </c>
      <c r="Q821" s="163">
        <v>53.371428571000003</v>
      </c>
      <c r="R821" s="163">
        <v>7.32</v>
      </c>
      <c r="S821" s="163">
        <v>7.2911787665999999</v>
      </c>
      <c r="T821" s="161">
        <f t="shared" si="28"/>
        <v>7.6217154035998773E-4</v>
      </c>
    </row>
    <row r="822" spans="2:20">
      <c r="B822" s="163" t="s">
        <v>914</v>
      </c>
      <c r="C822" s="163" t="s">
        <v>915</v>
      </c>
      <c r="D822" s="163" t="s">
        <v>913</v>
      </c>
      <c r="E822" s="163" t="s">
        <v>866</v>
      </c>
      <c r="F822" s="163" t="s">
        <v>867</v>
      </c>
      <c r="G822" s="163">
        <v>5</v>
      </c>
      <c r="H822" s="163">
        <v>1</v>
      </c>
      <c r="I822" s="163">
        <v>7</v>
      </c>
      <c r="J822" s="163">
        <v>0</v>
      </c>
      <c r="K822" s="163">
        <v>1</v>
      </c>
      <c r="L822" s="163">
        <v>3</v>
      </c>
      <c r="M822" s="163">
        <v>471</v>
      </c>
      <c r="N822" s="163">
        <v>354</v>
      </c>
      <c r="O822" s="163">
        <v>4527</v>
      </c>
      <c r="P822" s="163">
        <v>17791.11</v>
      </c>
      <c r="Q822" s="163">
        <v>37.773057325000003</v>
      </c>
      <c r="R822" s="163">
        <v>3.93</v>
      </c>
      <c r="S822" s="163">
        <v>9.6114649682</v>
      </c>
      <c r="T822" s="161">
        <f t="shared" si="28"/>
        <v>2.8023637432439831E-4</v>
      </c>
    </row>
    <row r="823" spans="2:20">
      <c r="B823" s="163" t="s">
        <v>916</v>
      </c>
      <c r="C823" s="163" t="s">
        <v>917</v>
      </c>
      <c r="D823" s="163" t="s">
        <v>918</v>
      </c>
      <c r="E823" s="163" t="s">
        <v>866</v>
      </c>
      <c r="F823" s="163" t="s">
        <v>867</v>
      </c>
      <c r="G823" s="163">
        <v>5</v>
      </c>
      <c r="H823" s="163">
        <v>1</v>
      </c>
      <c r="I823" s="163">
        <v>7</v>
      </c>
      <c r="J823" s="163">
        <v>0</v>
      </c>
      <c r="K823" s="163">
        <v>1</v>
      </c>
      <c r="L823" s="163">
        <v>1</v>
      </c>
      <c r="M823" s="163">
        <v>3595</v>
      </c>
      <c r="N823" s="163">
        <v>0</v>
      </c>
      <c r="O823" s="163">
        <v>160086</v>
      </c>
      <c r="P823" s="163">
        <v>757399.56</v>
      </c>
      <c r="Q823" s="163">
        <v>210.68137969</v>
      </c>
      <c r="R823" s="163">
        <v>4.7312042277000002</v>
      </c>
      <c r="S823" s="163">
        <v>44.530180807000001</v>
      </c>
      <c r="T823" s="161">
        <f t="shared" si="28"/>
        <v>2.138959162836968E-3</v>
      </c>
    </row>
    <row r="824" spans="2:20">
      <c r="B824" s="163" t="s">
        <v>919</v>
      </c>
      <c r="C824" s="163" t="s">
        <v>920</v>
      </c>
      <c r="D824" s="163" t="s">
        <v>918</v>
      </c>
      <c r="E824" s="163" t="s">
        <v>866</v>
      </c>
      <c r="F824" s="163" t="s">
        <v>867</v>
      </c>
      <c r="G824" s="163">
        <v>5</v>
      </c>
      <c r="H824" s="163">
        <v>1</v>
      </c>
      <c r="I824" s="163">
        <v>7</v>
      </c>
      <c r="J824" s="163">
        <v>0</v>
      </c>
      <c r="K824" s="163">
        <v>1</v>
      </c>
      <c r="L824" s="163">
        <v>1</v>
      </c>
      <c r="M824" s="163">
        <v>774</v>
      </c>
      <c r="N824" s="163">
        <v>0</v>
      </c>
      <c r="O824" s="163">
        <v>39795</v>
      </c>
      <c r="P824" s="163">
        <v>201333.52</v>
      </c>
      <c r="Q824" s="163">
        <v>260.12082686999997</v>
      </c>
      <c r="R824" s="163">
        <v>5.0592667421000002</v>
      </c>
      <c r="S824" s="163">
        <v>51.414728682000003</v>
      </c>
      <c r="T824" s="161">
        <f t="shared" si="28"/>
        <v>4.6051582532289655E-4</v>
      </c>
    </row>
    <row r="825" spans="2:20">
      <c r="B825" s="163" t="s">
        <v>921</v>
      </c>
      <c r="C825" s="163" t="s">
        <v>922</v>
      </c>
      <c r="D825" s="163" t="s">
        <v>918</v>
      </c>
      <c r="E825" s="163" t="s">
        <v>866</v>
      </c>
      <c r="F825" s="163" t="s">
        <v>867</v>
      </c>
      <c r="G825" s="163">
        <v>5</v>
      </c>
      <c r="H825" s="163">
        <v>1</v>
      </c>
      <c r="I825" s="163">
        <v>7</v>
      </c>
      <c r="J825" s="163">
        <v>0</v>
      </c>
      <c r="K825" s="163">
        <v>1</v>
      </c>
      <c r="L825" s="163">
        <v>1</v>
      </c>
      <c r="M825" s="163">
        <v>72</v>
      </c>
      <c r="N825" s="163">
        <v>0</v>
      </c>
      <c r="O825" s="163">
        <v>1396</v>
      </c>
      <c r="P825" s="163">
        <v>9718.19</v>
      </c>
      <c r="Q825" s="163">
        <v>134.97486111000001</v>
      </c>
      <c r="R825" s="163">
        <v>6.9614541547000002</v>
      </c>
      <c r="S825" s="163">
        <v>19.388888889</v>
      </c>
      <c r="T825" s="161">
        <f t="shared" si="28"/>
        <v>4.2838681425385728E-5</v>
      </c>
    </row>
    <row r="826" spans="2:20">
      <c r="B826" s="163" t="s">
        <v>923</v>
      </c>
      <c r="C826" s="163" t="s">
        <v>924</v>
      </c>
      <c r="D826" s="163" t="s">
        <v>918</v>
      </c>
      <c r="E826" s="163" t="s">
        <v>866</v>
      </c>
      <c r="F826" s="163" t="s">
        <v>867</v>
      </c>
      <c r="G826" s="163">
        <v>5</v>
      </c>
      <c r="H826" s="163">
        <v>1</v>
      </c>
      <c r="I826" s="163">
        <v>7</v>
      </c>
      <c r="J826" s="163">
        <v>0</v>
      </c>
      <c r="K826" s="163">
        <v>1</v>
      </c>
      <c r="L826" s="163">
        <v>1</v>
      </c>
      <c r="M826" s="163">
        <v>23</v>
      </c>
      <c r="N826" s="163">
        <v>0</v>
      </c>
      <c r="O826" s="163">
        <v>160</v>
      </c>
      <c r="P826" s="163">
        <v>2277.75</v>
      </c>
      <c r="Q826" s="163">
        <v>99.032608695999997</v>
      </c>
      <c r="R826" s="163">
        <v>14.2359375</v>
      </c>
      <c r="S826" s="163">
        <v>6.9565217391000003</v>
      </c>
      <c r="T826" s="161">
        <f t="shared" si="28"/>
        <v>1.3684578788664885E-5</v>
      </c>
    </row>
    <row r="827" spans="2:20">
      <c r="B827" s="163" t="s">
        <v>925</v>
      </c>
      <c r="C827" s="163" t="s">
        <v>926</v>
      </c>
      <c r="D827" s="163" t="s">
        <v>918</v>
      </c>
      <c r="E827" s="163" t="s">
        <v>866</v>
      </c>
      <c r="F827" s="163" t="s">
        <v>867</v>
      </c>
      <c r="G827" s="163">
        <v>5</v>
      </c>
      <c r="H827" s="163">
        <v>1</v>
      </c>
      <c r="I827" s="163">
        <v>7</v>
      </c>
      <c r="J827" s="163">
        <v>0</v>
      </c>
      <c r="K827" s="163">
        <v>3</v>
      </c>
      <c r="L827" s="163">
        <v>1</v>
      </c>
      <c r="M827" s="163">
        <v>38</v>
      </c>
      <c r="N827" s="163">
        <v>0</v>
      </c>
      <c r="O827" s="163">
        <v>18280</v>
      </c>
      <c r="P827" s="163">
        <v>19161.419999999998</v>
      </c>
      <c r="Q827" s="163">
        <v>504.24789473999999</v>
      </c>
      <c r="R827" s="163">
        <v>1.0482177242999999</v>
      </c>
      <c r="S827" s="163">
        <v>481.05263158000002</v>
      </c>
      <c r="T827" s="161">
        <f t="shared" si="28"/>
        <v>2.2609304085620243E-5</v>
      </c>
    </row>
    <row r="828" spans="2:20">
      <c r="B828" s="163" t="s">
        <v>927</v>
      </c>
      <c r="C828" s="163" t="s">
        <v>928</v>
      </c>
      <c r="D828" s="163" t="s">
        <v>918</v>
      </c>
      <c r="E828" s="163" t="s">
        <v>866</v>
      </c>
      <c r="F828" s="163" t="s">
        <v>867</v>
      </c>
      <c r="G828" s="163">
        <v>5</v>
      </c>
      <c r="H828" s="163">
        <v>1</v>
      </c>
      <c r="I828" s="163">
        <v>7</v>
      </c>
      <c r="J828" s="163">
        <v>0</v>
      </c>
      <c r="K828" s="163">
        <v>3</v>
      </c>
      <c r="L828" s="163">
        <v>1</v>
      </c>
      <c r="M828" s="163">
        <v>22</v>
      </c>
      <c r="N828" s="163">
        <v>0</v>
      </c>
      <c r="O828" s="163">
        <v>4408</v>
      </c>
      <c r="P828" s="163">
        <v>14267.1</v>
      </c>
      <c r="Q828" s="163">
        <v>648.50454545000002</v>
      </c>
      <c r="R828" s="163">
        <v>3.2366379310000002</v>
      </c>
      <c r="S828" s="163">
        <v>200.36363635999999</v>
      </c>
      <c r="T828" s="161">
        <f t="shared" si="28"/>
        <v>1.3089597102201194E-5</v>
      </c>
    </row>
    <row r="829" spans="2:20">
      <c r="B829" s="163" t="s">
        <v>929</v>
      </c>
      <c r="C829" s="163" t="s">
        <v>930</v>
      </c>
      <c r="D829" s="163" t="s">
        <v>918</v>
      </c>
      <c r="E829" s="163" t="s">
        <v>866</v>
      </c>
      <c r="F829" s="163" t="s">
        <v>867</v>
      </c>
      <c r="G829" s="163">
        <v>5</v>
      </c>
      <c r="H829" s="163">
        <v>1</v>
      </c>
      <c r="I829" s="163">
        <v>7</v>
      </c>
      <c r="J829" s="163">
        <v>0</v>
      </c>
      <c r="K829" s="163">
        <v>3</v>
      </c>
      <c r="L829" s="163">
        <v>1</v>
      </c>
      <c r="M829" s="163">
        <v>4</v>
      </c>
      <c r="N829" s="163">
        <v>0</v>
      </c>
      <c r="O829" s="163">
        <v>890</v>
      </c>
      <c r="P829" s="163">
        <v>2288.08</v>
      </c>
      <c r="Q829" s="163">
        <v>572.02</v>
      </c>
      <c r="R829" s="163">
        <v>2.5708764044999999</v>
      </c>
      <c r="S829" s="163">
        <v>222.5</v>
      </c>
      <c r="T829" s="161">
        <f t="shared" si="28"/>
        <v>2.3799267458547628E-6</v>
      </c>
    </row>
    <row r="830" spans="2:20">
      <c r="B830" s="163" t="s">
        <v>931</v>
      </c>
      <c r="C830" s="163" t="s">
        <v>932</v>
      </c>
      <c r="D830" s="163" t="s">
        <v>918</v>
      </c>
      <c r="E830" s="163" t="s">
        <v>866</v>
      </c>
      <c r="F830" s="163" t="s">
        <v>867</v>
      </c>
      <c r="G830" s="163">
        <v>5</v>
      </c>
      <c r="H830" s="163">
        <v>1</v>
      </c>
      <c r="I830" s="163">
        <v>7</v>
      </c>
      <c r="J830" s="163">
        <v>0</v>
      </c>
      <c r="K830" s="163">
        <v>1</v>
      </c>
      <c r="L830" s="163">
        <v>3</v>
      </c>
      <c r="M830" s="163">
        <v>12</v>
      </c>
      <c r="N830" s="163">
        <v>0</v>
      </c>
      <c r="O830" s="163">
        <v>566</v>
      </c>
      <c r="P830" s="163">
        <v>1785.14</v>
      </c>
      <c r="Q830" s="163">
        <v>148.76166667000001</v>
      </c>
      <c r="R830" s="163">
        <v>3.1539575971999998</v>
      </c>
      <c r="S830" s="163">
        <v>47.166666667000001</v>
      </c>
      <c r="T830" s="161">
        <f t="shared" si="28"/>
        <v>7.1397802375642874E-6</v>
      </c>
    </row>
    <row r="831" spans="2:20">
      <c r="B831" s="163" t="s">
        <v>933</v>
      </c>
      <c r="C831" s="163" t="s">
        <v>934</v>
      </c>
      <c r="D831" s="163" t="s">
        <v>918</v>
      </c>
      <c r="E831" s="163" t="s">
        <v>866</v>
      </c>
      <c r="F831" s="163" t="s">
        <v>867</v>
      </c>
      <c r="G831" s="163">
        <v>5</v>
      </c>
      <c r="H831" s="163">
        <v>1</v>
      </c>
      <c r="I831" s="163">
        <v>7</v>
      </c>
      <c r="J831" s="163">
        <v>0</v>
      </c>
      <c r="K831" s="163">
        <v>1</v>
      </c>
      <c r="L831" s="163">
        <v>3</v>
      </c>
      <c r="M831" s="163">
        <v>35</v>
      </c>
      <c r="N831" s="163">
        <v>0</v>
      </c>
      <c r="O831" s="163">
        <v>495</v>
      </c>
      <c r="P831" s="163">
        <v>3093.75</v>
      </c>
      <c r="Q831" s="163">
        <v>88.392857143000001</v>
      </c>
      <c r="R831" s="163">
        <v>6.25</v>
      </c>
      <c r="S831" s="163">
        <v>14.142857143000001</v>
      </c>
      <c r="T831" s="161">
        <f t="shared" si="28"/>
        <v>2.0824359026229173E-5</v>
      </c>
    </row>
    <row r="832" spans="2:20">
      <c r="B832" s="163" t="s">
        <v>935</v>
      </c>
      <c r="C832" s="163" t="s">
        <v>936</v>
      </c>
      <c r="D832" s="163" t="s">
        <v>918</v>
      </c>
      <c r="E832" s="163" t="s">
        <v>866</v>
      </c>
      <c r="F832" s="163" t="s">
        <v>867</v>
      </c>
      <c r="G832" s="163">
        <v>5</v>
      </c>
      <c r="H832" s="163">
        <v>1</v>
      </c>
      <c r="I832" s="163">
        <v>7</v>
      </c>
      <c r="J832" s="163">
        <v>0</v>
      </c>
      <c r="K832" s="163">
        <v>1</v>
      </c>
      <c r="L832" s="163">
        <v>3</v>
      </c>
      <c r="M832" s="163">
        <v>19</v>
      </c>
      <c r="N832" s="163">
        <v>0</v>
      </c>
      <c r="O832" s="163">
        <v>157</v>
      </c>
      <c r="P832" s="163">
        <v>1962.5</v>
      </c>
      <c r="Q832" s="163">
        <v>103.28947368</v>
      </c>
      <c r="R832" s="163">
        <v>12.5</v>
      </c>
      <c r="S832" s="163">
        <v>8.2631578947000008</v>
      </c>
      <c r="T832" s="161">
        <f t="shared" si="28"/>
        <v>1.1304652042810122E-5</v>
      </c>
    </row>
    <row r="833" spans="2:20">
      <c r="B833" s="163" t="s">
        <v>937</v>
      </c>
      <c r="C833" s="163" t="s">
        <v>938</v>
      </c>
      <c r="D833" s="163" t="s">
        <v>939</v>
      </c>
      <c r="E833" s="163" t="s">
        <v>866</v>
      </c>
      <c r="F833" s="163" t="s">
        <v>867</v>
      </c>
      <c r="G833" s="163">
        <v>5</v>
      </c>
      <c r="H833" s="163">
        <v>1</v>
      </c>
      <c r="I833" s="163">
        <v>7</v>
      </c>
      <c r="J833" s="163">
        <v>0</v>
      </c>
      <c r="K833" s="163">
        <v>1</v>
      </c>
      <c r="L833" s="163">
        <v>1</v>
      </c>
      <c r="M833" s="163">
        <v>1337</v>
      </c>
      <c r="N833" s="163">
        <v>0</v>
      </c>
      <c r="O833" s="163">
        <v>27866</v>
      </c>
      <c r="P833" s="163">
        <v>872050.15</v>
      </c>
      <c r="Q833" s="163">
        <v>652.24394166000002</v>
      </c>
      <c r="R833" s="163">
        <v>31.294414339999999</v>
      </c>
      <c r="S833" s="163">
        <v>20.842183993999999</v>
      </c>
      <c r="T833" s="161">
        <f t="shared" si="28"/>
        <v>7.9549051480195436E-4</v>
      </c>
    </row>
    <row r="834" spans="2:20">
      <c r="B834" s="163" t="s">
        <v>940</v>
      </c>
      <c r="C834" s="163" t="s">
        <v>941</v>
      </c>
      <c r="D834" s="163" t="s">
        <v>939</v>
      </c>
      <c r="E834" s="163" t="s">
        <v>866</v>
      </c>
      <c r="F834" s="163" t="s">
        <v>867</v>
      </c>
      <c r="G834" s="163">
        <v>5</v>
      </c>
      <c r="H834" s="163">
        <v>1</v>
      </c>
      <c r="I834" s="163">
        <v>7</v>
      </c>
      <c r="J834" s="163">
        <v>0</v>
      </c>
      <c r="K834" s="163">
        <v>1</v>
      </c>
      <c r="L834" s="163">
        <v>3</v>
      </c>
      <c r="M834" s="163">
        <v>20</v>
      </c>
      <c r="N834" s="163">
        <v>0</v>
      </c>
      <c r="O834" s="163">
        <v>284</v>
      </c>
      <c r="P834" s="163">
        <v>12638</v>
      </c>
      <c r="Q834" s="163">
        <v>631.9</v>
      </c>
      <c r="R834" s="163">
        <v>44.5</v>
      </c>
      <c r="S834" s="163">
        <v>14.2</v>
      </c>
      <c r="T834" s="161">
        <f t="shared" si="28"/>
        <v>1.1899633729273813E-5</v>
      </c>
    </row>
    <row r="835" spans="2:20">
      <c r="B835" s="163" t="s">
        <v>942</v>
      </c>
      <c r="C835" s="163" t="s">
        <v>943</v>
      </c>
      <c r="D835" s="163" t="s">
        <v>939</v>
      </c>
      <c r="E835" s="163" t="s">
        <v>866</v>
      </c>
      <c r="F835" s="163" t="s">
        <v>867</v>
      </c>
      <c r="G835" s="163">
        <v>5</v>
      </c>
      <c r="H835" s="163">
        <v>1</v>
      </c>
      <c r="I835" s="163">
        <v>7</v>
      </c>
      <c r="J835" s="163">
        <v>0</v>
      </c>
      <c r="K835" s="163">
        <v>3</v>
      </c>
      <c r="L835" s="163">
        <v>3</v>
      </c>
      <c r="M835" s="163">
        <v>87</v>
      </c>
      <c r="N835" s="163">
        <v>85</v>
      </c>
      <c r="O835" s="163">
        <v>29250</v>
      </c>
      <c r="P835" s="163">
        <v>43387.5</v>
      </c>
      <c r="Q835" s="163">
        <v>498.70689655000001</v>
      </c>
      <c r="R835" s="163">
        <v>1.4833333333000001</v>
      </c>
      <c r="S835" s="163">
        <v>336.20689655000001</v>
      </c>
      <c r="T835" s="161">
        <f t="shared" si="28"/>
        <v>5.1763406722341088E-5</v>
      </c>
    </row>
    <row r="836" spans="2:20">
      <c r="B836" s="163" t="s">
        <v>944</v>
      </c>
      <c r="C836" s="163" t="s">
        <v>945</v>
      </c>
      <c r="D836" s="163" t="s">
        <v>946</v>
      </c>
      <c r="E836" s="163" t="s">
        <v>866</v>
      </c>
      <c r="F836" s="163" t="s">
        <v>867</v>
      </c>
      <c r="G836" s="163">
        <v>5</v>
      </c>
      <c r="H836" s="163">
        <v>1</v>
      </c>
      <c r="I836" s="163">
        <v>7</v>
      </c>
      <c r="J836" s="163">
        <v>0</v>
      </c>
      <c r="K836" s="163">
        <v>3</v>
      </c>
      <c r="L836" s="163">
        <v>1</v>
      </c>
      <c r="M836" s="163">
        <v>19</v>
      </c>
      <c r="N836" s="163">
        <v>0</v>
      </c>
      <c r="O836" s="163">
        <v>6780</v>
      </c>
      <c r="P836" s="163">
        <v>7955.25</v>
      </c>
      <c r="Q836" s="163">
        <v>418.69736841999998</v>
      </c>
      <c r="R836" s="163">
        <v>1.173340708</v>
      </c>
      <c r="S836" s="163">
        <v>356.84210525999998</v>
      </c>
      <c r="T836" s="161">
        <f t="shared" si="28"/>
        <v>1.1304652042810122E-5</v>
      </c>
    </row>
    <row r="837" spans="2:20">
      <c r="B837" s="163" t="s">
        <v>947</v>
      </c>
      <c r="C837" s="163" t="s">
        <v>948</v>
      </c>
      <c r="D837" s="163" t="s">
        <v>946</v>
      </c>
      <c r="E837" s="163" t="s">
        <v>866</v>
      </c>
      <c r="F837" s="163" t="s">
        <v>867</v>
      </c>
      <c r="G837" s="163">
        <v>5</v>
      </c>
      <c r="H837" s="163">
        <v>1</v>
      </c>
      <c r="I837" s="163">
        <v>7</v>
      </c>
      <c r="J837" s="163">
        <v>0</v>
      </c>
      <c r="K837" s="163">
        <v>3</v>
      </c>
      <c r="L837" s="163">
        <v>3</v>
      </c>
      <c r="M837" s="163">
        <v>6</v>
      </c>
      <c r="N837" s="163">
        <v>0</v>
      </c>
      <c r="O837" s="163">
        <v>1970</v>
      </c>
      <c r="P837" s="163">
        <v>2432.69</v>
      </c>
      <c r="Q837" s="163">
        <v>405.44833333000003</v>
      </c>
      <c r="R837" s="163">
        <v>1.2348680203</v>
      </c>
      <c r="S837" s="163">
        <v>328.33333333000002</v>
      </c>
      <c r="T837" s="161">
        <f t="shared" si="28"/>
        <v>3.5698901187821437E-6</v>
      </c>
    </row>
    <row r="838" spans="2:20">
      <c r="B838" s="163" t="s">
        <v>949</v>
      </c>
      <c r="C838" s="163" t="s">
        <v>950</v>
      </c>
      <c r="D838" s="163" t="s">
        <v>946</v>
      </c>
      <c r="E838" s="163" t="s">
        <v>866</v>
      </c>
      <c r="F838" s="163" t="s">
        <v>867</v>
      </c>
      <c r="G838" s="163">
        <v>5</v>
      </c>
      <c r="H838" s="163">
        <v>1</v>
      </c>
      <c r="I838" s="163">
        <v>7</v>
      </c>
      <c r="J838" s="163">
        <v>0</v>
      </c>
      <c r="K838" s="163">
        <v>1</v>
      </c>
      <c r="L838" s="163">
        <v>3</v>
      </c>
      <c r="M838" s="163">
        <v>1570</v>
      </c>
      <c r="N838" s="163">
        <v>1516</v>
      </c>
      <c r="O838" s="163">
        <v>92560</v>
      </c>
      <c r="P838" s="163">
        <v>155809.1</v>
      </c>
      <c r="Q838" s="163">
        <v>99.241464968000003</v>
      </c>
      <c r="R838" s="163">
        <v>1.6833308123999999</v>
      </c>
      <c r="S838" s="163">
        <v>58.955414013000002</v>
      </c>
      <c r="T838" s="161">
        <f t="shared" si="28"/>
        <v>9.3412124774799432E-4</v>
      </c>
    </row>
    <row r="839" spans="2:20">
      <c r="B839" s="163" t="s">
        <v>951</v>
      </c>
      <c r="C839" s="163" t="s">
        <v>952</v>
      </c>
      <c r="D839" s="163" t="s">
        <v>946</v>
      </c>
      <c r="E839" s="163" t="s">
        <v>866</v>
      </c>
      <c r="F839" s="163" t="s">
        <v>867</v>
      </c>
      <c r="G839" s="163">
        <v>5</v>
      </c>
      <c r="H839" s="163">
        <v>1</v>
      </c>
      <c r="I839" s="163">
        <v>7</v>
      </c>
      <c r="J839" s="163">
        <v>0</v>
      </c>
      <c r="K839" s="163">
        <v>1</v>
      </c>
      <c r="L839" s="163">
        <v>3</v>
      </c>
      <c r="M839" s="163">
        <v>59466</v>
      </c>
      <c r="N839" s="163">
        <v>58832</v>
      </c>
      <c r="O839" s="163">
        <v>2259937</v>
      </c>
      <c r="P839" s="163">
        <v>10461559.960000001</v>
      </c>
      <c r="Q839" s="163">
        <v>175.92506574999999</v>
      </c>
      <c r="R839" s="163">
        <v>4.6291378741999996</v>
      </c>
      <c r="S839" s="163">
        <v>38.00385094</v>
      </c>
      <c r="T839" s="161">
        <f t="shared" si="28"/>
        <v>3.5381180967249827E-2</v>
      </c>
    </row>
    <row r="840" spans="2:20">
      <c r="B840" s="163" t="s">
        <v>953</v>
      </c>
      <c r="C840" s="163" t="s">
        <v>954</v>
      </c>
      <c r="D840" s="163" t="s">
        <v>955</v>
      </c>
      <c r="E840" s="163" t="s">
        <v>866</v>
      </c>
      <c r="F840" s="163" t="s">
        <v>867</v>
      </c>
      <c r="G840" s="163">
        <v>5</v>
      </c>
      <c r="H840" s="163">
        <v>1</v>
      </c>
      <c r="I840" s="163">
        <v>7</v>
      </c>
      <c r="J840" s="163">
        <v>0</v>
      </c>
      <c r="K840" s="163">
        <v>1</v>
      </c>
      <c r="L840" s="163">
        <v>1</v>
      </c>
      <c r="M840" s="163">
        <v>1</v>
      </c>
      <c r="N840" s="163">
        <v>0</v>
      </c>
      <c r="O840" s="163">
        <v>4</v>
      </c>
      <c r="P840" s="163">
        <v>240</v>
      </c>
      <c r="Q840" s="163">
        <v>240</v>
      </c>
      <c r="R840" s="163">
        <v>60</v>
      </c>
      <c r="S840" s="163">
        <v>4</v>
      </c>
      <c r="T840" s="161">
        <f t="shared" si="28"/>
        <v>5.9498168646369069E-7</v>
      </c>
    </row>
    <row r="841" spans="2:20">
      <c r="B841" s="163" t="s">
        <v>956</v>
      </c>
      <c r="C841" s="163" t="s">
        <v>957</v>
      </c>
      <c r="D841" s="163" t="s">
        <v>955</v>
      </c>
      <c r="E841" s="163" t="s">
        <v>866</v>
      </c>
      <c r="F841" s="163" t="s">
        <v>867</v>
      </c>
      <c r="G841" s="163">
        <v>5</v>
      </c>
      <c r="H841" s="163">
        <v>1</v>
      </c>
      <c r="I841" s="163">
        <v>7</v>
      </c>
      <c r="J841" s="163">
        <v>0</v>
      </c>
      <c r="K841" s="163">
        <v>1</v>
      </c>
      <c r="L841" s="163">
        <v>3</v>
      </c>
      <c r="M841" s="163">
        <v>4</v>
      </c>
      <c r="N841" s="163">
        <v>0</v>
      </c>
      <c r="O841" s="163">
        <v>101</v>
      </c>
      <c r="P841" s="163">
        <v>6262</v>
      </c>
      <c r="Q841" s="163">
        <v>1565.5</v>
      </c>
      <c r="R841" s="163">
        <v>62</v>
      </c>
      <c r="S841" s="163">
        <v>25.25</v>
      </c>
      <c r="T841" s="161">
        <f t="shared" si="28"/>
        <v>2.3799267458547628E-6</v>
      </c>
    </row>
    <row r="842" spans="2:20">
      <c r="B842" s="163" t="s">
        <v>958</v>
      </c>
      <c r="C842" s="163" t="s">
        <v>959</v>
      </c>
      <c r="D842" s="163" t="s">
        <v>960</v>
      </c>
      <c r="E842" s="163" t="s">
        <v>866</v>
      </c>
      <c r="F842" s="163" t="s">
        <v>867</v>
      </c>
      <c r="G842" s="163">
        <v>5</v>
      </c>
      <c r="H842" s="163">
        <v>1</v>
      </c>
      <c r="I842" s="163">
        <v>7</v>
      </c>
      <c r="J842" s="163">
        <v>0</v>
      </c>
      <c r="K842" s="163">
        <v>1</v>
      </c>
      <c r="L842" s="163">
        <v>1</v>
      </c>
      <c r="M842" s="163">
        <v>2</v>
      </c>
      <c r="N842" s="163">
        <v>0</v>
      </c>
      <c r="O842" s="163">
        <v>192</v>
      </c>
      <c r="P842" s="163">
        <v>2124.5700000000002</v>
      </c>
      <c r="Q842" s="163">
        <v>1062.2850000000001</v>
      </c>
      <c r="R842" s="163">
        <v>11.065468750000001</v>
      </c>
      <c r="S842" s="163">
        <v>96</v>
      </c>
      <c r="T842" s="161">
        <f t="shared" si="28"/>
        <v>1.1899633729273814E-6</v>
      </c>
    </row>
    <row r="843" spans="2:20">
      <c r="B843" s="163" t="s">
        <v>961</v>
      </c>
      <c r="C843" s="163" t="s">
        <v>962</v>
      </c>
      <c r="D843" s="163" t="s">
        <v>960</v>
      </c>
      <c r="E843" s="163" t="s">
        <v>866</v>
      </c>
      <c r="F843" s="163" t="s">
        <v>867</v>
      </c>
      <c r="G843" s="163">
        <v>5</v>
      </c>
      <c r="H843" s="163">
        <v>1</v>
      </c>
      <c r="I843" s="163">
        <v>7</v>
      </c>
      <c r="J843" s="163">
        <v>0</v>
      </c>
      <c r="K843" s="163">
        <v>1</v>
      </c>
      <c r="L843" s="163">
        <v>3</v>
      </c>
      <c r="M843" s="163">
        <v>3</v>
      </c>
      <c r="N843" s="163">
        <v>0</v>
      </c>
      <c r="O843" s="163">
        <v>392</v>
      </c>
      <c r="P843" s="163">
        <v>4429.71</v>
      </c>
      <c r="Q843" s="163">
        <v>1476.57</v>
      </c>
      <c r="R843" s="163">
        <v>11.300280612</v>
      </c>
      <c r="S843" s="163">
        <v>130.66666667000001</v>
      </c>
      <c r="T843" s="161">
        <f t="shared" si="28"/>
        <v>1.7849450593910719E-6</v>
      </c>
    </row>
    <row r="844" spans="2:20">
      <c r="B844" s="163" t="s">
        <v>963</v>
      </c>
      <c r="C844" s="163" t="s">
        <v>964</v>
      </c>
      <c r="D844" s="163" t="s">
        <v>965</v>
      </c>
      <c r="E844" s="163" t="s">
        <v>966</v>
      </c>
      <c r="F844" s="163" t="s">
        <v>967</v>
      </c>
      <c r="G844" s="163">
        <v>13</v>
      </c>
      <c r="H844" s="163">
        <v>10</v>
      </c>
      <c r="I844" s="163">
        <v>1</v>
      </c>
      <c r="J844" s="163">
        <v>1</v>
      </c>
      <c r="K844" s="163">
        <v>6</v>
      </c>
      <c r="L844" s="163">
        <v>3</v>
      </c>
      <c r="M844" s="163">
        <v>17</v>
      </c>
      <c r="N844" s="163">
        <v>16</v>
      </c>
      <c r="O844" s="163">
        <v>85</v>
      </c>
      <c r="P844" s="163">
        <v>134.13</v>
      </c>
      <c r="Q844" s="163">
        <v>7.89</v>
      </c>
      <c r="R844" s="163">
        <v>1.5780000000000001</v>
      </c>
      <c r="S844" s="163">
        <v>5</v>
      </c>
      <c r="T844" s="161">
        <f t="shared" si="28"/>
        <v>1.0114688669882741E-5</v>
      </c>
    </row>
    <row r="845" spans="2:20">
      <c r="B845" s="163" t="s">
        <v>968</v>
      </c>
      <c r="C845" s="163" t="s">
        <v>969</v>
      </c>
      <c r="D845" s="163" t="s">
        <v>970</v>
      </c>
      <c r="E845" s="163" t="s">
        <v>966</v>
      </c>
      <c r="F845" s="163" t="s">
        <v>967</v>
      </c>
      <c r="G845" s="163">
        <v>13</v>
      </c>
      <c r="H845" s="163">
        <v>10</v>
      </c>
      <c r="I845" s="163">
        <v>1</v>
      </c>
      <c r="J845" s="163">
        <v>1</v>
      </c>
      <c r="K845" s="163">
        <v>6</v>
      </c>
      <c r="L845" s="163">
        <v>1</v>
      </c>
      <c r="M845" s="163">
        <v>38999</v>
      </c>
      <c r="N845" s="163">
        <v>0</v>
      </c>
      <c r="O845" s="163">
        <v>707400</v>
      </c>
      <c r="P845" s="163">
        <v>248663.42</v>
      </c>
      <c r="Q845" s="163">
        <v>6.3761486192000003</v>
      </c>
      <c r="R845" s="163">
        <v>0.35151741590000002</v>
      </c>
      <c r="S845" s="163">
        <v>18.138926639000001</v>
      </c>
      <c r="T845" s="161">
        <f t="shared" si="28"/>
        <v>2.3203690790397472E-2</v>
      </c>
    </row>
    <row r="846" spans="2:20">
      <c r="B846" s="163" t="s">
        <v>971</v>
      </c>
      <c r="C846" s="163" t="s">
        <v>972</v>
      </c>
      <c r="D846" s="163" t="s">
        <v>970</v>
      </c>
      <c r="E846" s="163" t="s">
        <v>966</v>
      </c>
      <c r="F846" s="163" t="s">
        <v>967</v>
      </c>
      <c r="G846" s="163">
        <v>13</v>
      </c>
      <c r="H846" s="163">
        <v>10</v>
      </c>
      <c r="I846" s="163">
        <v>1</v>
      </c>
      <c r="J846" s="163">
        <v>1</v>
      </c>
      <c r="K846" s="163">
        <v>6</v>
      </c>
      <c r="L846" s="163">
        <v>3</v>
      </c>
      <c r="M846" s="163">
        <v>10213</v>
      </c>
      <c r="N846" s="163">
        <v>0</v>
      </c>
      <c r="O846" s="163">
        <v>202710</v>
      </c>
      <c r="P846" s="163">
        <v>71083.64</v>
      </c>
      <c r="Q846" s="163">
        <v>6.9601135806999999</v>
      </c>
      <c r="R846" s="163">
        <v>0.35066666670000002</v>
      </c>
      <c r="S846" s="163">
        <v>19.848232645</v>
      </c>
      <c r="T846" s="161">
        <f t="shared" si="28"/>
        <v>6.0765479638536729E-3</v>
      </c>
    </row>
    <row r="847" spans="2:20">
      <c r="B847" s="163" t="s">
        <v>973</v>
      </c>
      <c r="C847" s="163" t="s">
        <v>974</v>
      </c>
      <c r="D847" s="163" t="s">
        <v>970</v>
      </c>
      <c r="E847" s="163" t="s">
        <v>966</v>
      </c>
      <c r="F847" s="163" t="s">
        <v>967</v>
      </c>
      <c r="G847" s="163">
        <v>13</v>
      </c>
      <c r="H847" s="163">
        <v>10</v>
      </c>
      <c r="I847" s="163">
        <v>1</v>
      </c>
      <c r="J847" s="163">
        <v>1</v>
      </c>
      <c r="K847" s="163">
        <v>6</v>
      </c>
      <c r="L847" s="163">
        <v>3</v>
      </c>
      <c r="M847" s="163">
        <v>20325</v>
      </c>
      <c r="N847" s="163">
        <v>17189</v>
      </c>
      <c r="O847" s="163">
        <v>359535</v>
      </c>
      <c r="P847" s="163">
        <v>126076.83</v>
      </c>
      <c r="Q847" s="163">
        <v>6.2030420664000001</v>
      </c>
      <c r="R847" s="163">
        <v>0.35066636070000001</v>
      </c>
      <c r="S847" s="163">
        <v>17.689298893</v>
      </c>
      <c r="T847" s="161">
        <f t="shared" si="28"/>
        <v>1.2093002777374512E-2</v>
      </c>
    </row>
    <row r="848" spans="2:20">
      <c r="B848" s="163" t="s">
        <v>975</v>
      </c>
      <c r="C848" s="163" t="s">
        <v>976</v>
      </c>
      <c r="D848" s="163" t="s">
        <v>977</v>
      </c>
      <c r="E848" s="163" t="s">
        <v>966</v>
      </c>
      <c r="F848" s="163" t="s">
        <v>967</v>
      </c>
      <c r="G848" s="163">
        <v>13</v>
      </c>
      <c r="H848" s="163">
        <v>10</v>
      </c>
      <c r="I848" s="163">
        <v>1</v>
      </c>
      <c r="J848" s="163">
        <v>1</v>
      </c>
      <c r="K848" s="163">
        <v>6</v>
      </c>
      <c r="L848" s="163">
        <v>1</v>
      </c>
      <c r="M848" s="163">
        <v>117</v>
      </c>
      <c r="N848" s="163">
        <v>0</v>
      </c>
      <c r="O848" s="163">
        <v>1892</v>
      </c>
      <c r="P848" s="163">
        <v>32202.23</v>
      </c>
      <c r="Q848" s="163">
        <v>275.23273504000002</v>
      </c>
      <c r="R848" s="163">
        <v>17.020206130999998</v>
      </c>
      <c r="S848" s="163">
        <v>16.170940171000002</v>
      </c>
      <c r="T848" s="161">
        <f t="shared" si="28"/>
        <v>6.96128573162518E-5</v>
      </c>
    </row>
    <row r="849" spans="2:20">
      <c r="B849" s="163" t="s">
        <v>978</v>
      </c>
      <c r="C849" s="163" t="s">
        <v>979</v>
      </c>
      <c r="D849" s="163" t="s">
        <v>980</v>
      </c>
      <c r="E849" s="163" t="s">
        <v>966</v>
      </c>
      <c r="F849" s="163" t="s">
        <v>967</v>
      </c>
      <c r="G849" s="163">
        <v>13</v>
      </c>
      <c r="H849" s="163">
        <v>10</v>
      </c>
      <c r="I849" s="163">
        <v>1</v>
      </c>
      <c r="J849" s="163">
        <v>1</v>
      </c>
      <c r="K849" s="163">
        <v>6</v>
      </c>
      <c r="L849" s="163">
        <v>3</v>
      </c>
      <c r="M849" s="163">
        <v>1026</v>
      </c>
      <c r="N849" s="163">
        <v>408</v>
      </c>
      <c r="O849" s="163">
        <v>22564</v>
      </c>
      <c r="P849" s="163">
        <v>6627.9</v>
      </c>
      <c r="Q849" s="163">
        <v>6.4599415205000001</v>
      </c>
      <c r="R849" s="163">
        <v>0.29373781240000002</v>
      </c>
      <c r="S849" s="163">
        <v>21.992202728999999</v>
      </c>
      <c r="T849" s="161">
        <f t="shared" si="28"/>
        <v>6.1045121031174656E-4</v>
      </c>
    </row>
    <row r="850" spans="2:20">
      <c r="B850" s="163" t="s">
        <v>981</v>
      </c>
      <c r="C850" s="163" t="s">
        <v>982</v>
      </c>
      <c r="D850" s="163" t="s">
        <v>983</v>
      </c>
      <c r="E850" s="163" t="s">
        <v>966</v>
      </c>
      <c r="F850" s="163" t="s">
        <v>967</v>
      </c>
      <c r="G850" s="163">
        <v>13</v>
      </c>
      <c r="H850" s="163">
        <v>10</v>
      </c>
      <c r="I850" s="163">
        <v>1</v>
      </c>
      <c r="J850" s="163">
        <v>1</v>
      </c>
      <c r="K850" s="163">
        <v>6</v>
      </c>
      <c r="L850" s="163">
        <v>3</v>
      </c>
      <c r="M850" s="163">
        <v>46709</v>
      </c>
      <c r="N850" s="163">
        <v>14822</v>
      </c>
      <c r="O850" s="163">
        <v>4290150</v>
      </c>
      <c r="P850" s="163">
        <v>294756.77</v>
      </c>
      <c r="Q850" s="163">
        <v>6.3104919823000003</v>
      </c>
      <c r="R850" s="163">
        <v>6.8705469500000005E-2</v>
      </c>
      <c r="S850" s="163">
        <v>91.848466033999998</v>
      </c>
      <c r="T850" s="161">
        <f t="shared" si="28"/>
        <v>2.7790999593032526E-2</v>
      </c>
    </row>
    <row r="851" spans="2:20">
      <c r="B851" s="163" t="s">
        <v>984</v>
      </c>
      <c r="C851" s="163" t="s">
        <v>985</v>
      </c>
      <c r="D851" s="163" t="s">
        <v>907</v>
      </c>
      <c r="E851" s="163" t="s">
        <v>966</v>
      </c>
      <c r="F851" s="163" t="s">
        <v>986</v>
      </c>
      <c r="G851" s="163">
        <v>13</v>
      </c>
      <c r="H851" s="163">
        <v>10</v>
      </c>
      <c r="I851" s="163">
        <v>1</v>
      </c>
      <c r="J851" s="163">
        <v>2</v>
      </c>
      <c r="K851" s="163">
        <v>6</v>
      </c>
      <c r="L851" s="163">
        <v>1</v>
      </c>
      <c r="M851" s="163">
        <v>1020290</v>
      </c>
      <c r="N851" s="163">
        <v>0</v>
      </c>
      <c r="O851" s="163">
        <v>21448815</v>
      </c>
      <c r="P851" s="163">
        <v>2207756.12</v>
      </c>
      <c r="Q851" s="163">
        <v>2.1638515716</v>
      </c>
      <c r="R851" s="163">
        <v>0.10293137970000001</v>
      </c>
      <c r="S851" s="163">
        <v>21.022273079000001</v>
      </c>
      <c r="T851" s="161">
        <f t="shared" si="28"/>
        <v>0.60705386488203894</v>
      </c>
    </row>
    <row r="852" spans="2:20">
      <c r="B852" s="163" t="s">
        <v>987</v>
      </c>
      <c r="C852" s="163" t="s">
        <v>988</v>
      </c>
      <c r="D852" s="163" t="s">
        <v>907</v>
      </c>
      <c r="E852" s="163" t="s">
        <v>966</v>
      </c>
      <c r="F852" s="163" t="s">
        <v>986</v>
      </c>
      <c r="G852" s="163">
        <v>13</v>
      </c>
      <c r="H852" s="163">
        <v>10</v>
      </c>
      <c r="I852" s="163">
        <v>1</v>
      </c>
      <c r="J852" s="163">
        <v>2</v>
      </c>
      <c r="K852" s="163">
        <v>6</v>
      </c>
      <c r="L852" s="163">
        <v>3</v>
      </c>
      <c r="M852" s="163">
        <v>66648</v>
      </c>
      <c r="N852" s="163">
        <v>0</v>
      </c>
      <c r="O852" s="163">
        <v>1481805</v>
      </c>
      <c r="P852" s="163">
        <v>183356.16</v>
      </c>
      <c r="Q852" s="163">
        <v>2.7511127115999998</v>
      </c>
      <c r="R852" s="163">
        <v>0.1237383866</v>
      </c>
      <c r="S852" s="163">
        <v>22.233300323999998</v>
      </c>
      <c r="T852" s="161">
        <f t="shared" si="28"/>
        <v>3.9654339439432057E-2</v>
      </c>
    </row>
    <row r="853" spans="2:20">
      <c r="B853" s="163" t="s">
        <v>989</v>
      </c>
      <c r="C853" s="163" t="s">
        <v>990</v>
      </c>
      <c r="D853" s="163" t="s">
        <v>907</v>
      </c>
      <c r="E853" s="163" t="s">
        <v>966</v>
      </c>
      <c r="F853" s="163" t="s">
        <v>986</v>
      </c>
      <c r="G853" s="163">
        <v>13</v>
      </c>
      <c r="H853" s="163">
        <v>10</v>
      </c>
      <c r="I853" s="163">
        <v>1</v>
      </c>
      <c r="J853" s="163">
        <v>2</v>
      </c>
      <c r="K853" s="163">
        <v>6</v>
      </c>
      <c r="L853" s="163">
        <v>3</v>
      </c>
      <c r="M853" s="163">
        <v>7</v>
      </c>
      <c r="N853" s="163">
        <v>0</v>
      </c>
      <c r="O853" s="163">
        <v>195</v>
      </c>
      <c r="P853" s="163">
        <v>28.8</v>
      </c>
      <c r="Q853" s="163">
        <v>4.1142857143000002</v>
      </c>
      <c r="R853" s="163">
        <v>0.1476923077</v>
      </c>
      <c r="S853" s="163">
        <v>27.857142856999999</v>
      </c>
      <c r="T853" s="161">
        <f t="shared" si="28"/>
        <v>4.1648718052458342E-6</v>
      </c>
    </row>
    <row r="854" spans="2:20">
      <c r="B854" s="163" t="s">
        <v>991</v>
      </c>
      <c r="C854" s="163" t="s">
        <v>992</v>
      </c>
      <c r="D854" s="163" t="s">
        <v>993</v>
      </c>
      <c r="E854" s="163" t="s">
        <v>966</v>
      </c>
      <c r="F854" s="163" t="s">
        <v>986</v>
      </c>
      <c r="G854" s="163">
        <v>13</v>
      </c>
      <c r="H854" s="163">
        <v>10</v>
      </c>
      <c r="I854" s="163">
        <v>1</v>
      </c>
      <c r="J854" s="163">
        <v>2</v>
      </c>
      <c r="K854" s="163">
        <v>6</v>
      </c>
      <c r="L854" s="163">
        <v>1</v>
      </c>
      <c r="M854" s="163">
        <v>34</v>
      </c>
      <c r="N854" s="163">
        <v>0</v>
      </c>
      <c r="O854" s="163">
        <v>585</v>
      </c>
      <c r="P854" s="163">
        <v>4727.16</v>
      </c>
      <c r="Q854" s="163">
        <v>139.03411765000001</v>
      </c>
      <c r="R854" s="163">
        <v>8.0806153845999997</v>
      </c>
      <c r="S854" s="163">
        <v>17.205882353</v>
      </c>
      <c r="T854" s="161">
        <f t="shared" si="28"/>
        <v>2.0229377339765481E-5</v>
      </c>
    </row>
    <row r="855" spans="2:20">
      <c r="B855" s="163" t="s">
        <v>994</v>
      </c>
      <c r="C855" s="163" t="s">
        <v>995</v>
      </c>
      <c r="D855" s="163" t="s">
        <v>996</v>
      </c>
      <c r="E855" s="163" t="s">
        <v>966</v>
      </c>
      <c r="F855" s="163" t="s">
        <v>986</v>
      </c>
      <c r="G855" s="163">
        <v>13</v>
      </c>
      <c r="H855" s="163">
        <v>10</v>
      </c>
      <c r="I855" s="163">
        <v>1</v>
      </c>
      <c r="J855" s="163">
        <v>2</v>
      </c>
      <c r="K855" s="163">
        <v>6</v>
      </c>
      <c r="L855" s="163">
        <v>1</v>
      </c>
      <c r="M855" s="163">
        <v>1</v>
      </c>
      <c r="N855" s="163">
        <v>0</v>
      </c>
      <c r="O855" s="163">
        <v>100</v>
      </c>
      <c r="P855" s="163">
        <v>359.72</v>
      </c>
      <c r="Q855" s="163">
        <v>359.72</v>
      </c>
      <c r="R855" s="163">
        <v>3.5972</v>
      </c>
      <c r="S855" s="163">
        <v>100</v>
      </c>
      <c r="T855" s="161">
        <f t="shared" si="28"/>
        <v>5.9498168646369069E-7</v>
      </c>
    </row>
    <row r="856" spans="2:20">
      <c r="B856" s="163" t="s">
        <v>997</v>
      </c>
      <c r="C856" s="163" t="s">
        <v>998</v>
      </c>
      <c r="D856" s="163" t="s">
        <v>996</v>
      </c>
      <c r="E856" s="163" t="s">
        <v>966</v>
      </c>
      <c r="F856" s="163" t="s">
        <v>986</v>
      </c>
      <c r="G856" s="163">
        <v>13</v>
      </c>
      <c r="H856" s="163">
        <v>10</v>
      </c>
      <c r="I856" s="163">
        <v>1</v>
      </c>
      <c r="J856" s="163">
        <v>2</v>
      </c>
      <c r="K856" s="163">
        <v>6</v>
      </c>
      <c r="L856" s="163">
        <v>1</v>
      </c>
      <c r="M856" s="163">
        <v>92165</v>
      </c>
      <c r="N856" s="163">
        <v>0</v>
      </c>
      <c r="O856" s="163">
        <v>3473235</v>
      </c>
      <c r="P856" s="163">
        <v>1663729.97</v>
      </c>
      <c r="Q856" s="163">
        <v>18.051646177999999</v>
      </c>
      <c r="R856" s="163">
        <v>0.47901451239999998</v>
      </c>
      <c r="S856" s="163">
        <v>37.684967178000001</v>
      </c>
      <c r="T856" s="161">
        <f t="shared" si="28"/>
        <v>5.4836487132926048E-2</v>
      </c>
    </row>
    <row r="857" spans="2:20">
      <c r="B857" s="163" t="s">
        <v>999</v>
      </c>
      <c r="C857" s="163" t="s">
        <v>1000</v>
      </c>
      <c r="D857" s="163" t="s">
        <v>996</v>
      </c>
      <c r="E857" s="163" t="s">
        <v>966</v>
      </c>
      <c r="F857" s="163" t="s">
        <v>986</v>
      </c>
      <c r="G857" s="163">
        <v>13</v>
      </c>
      <c r="H857" s="163">
        <v>10</v>
      </c>
      <c r="I857" s="163">
        <v>1</v>
      </c>
      <c r="J857" s="163">
        <v>2</v>
      </c>
      <c r="K857" s="163">
        <v>6</v>
      </c>
      <c r="L857" s="163">
        <v>1</v>
      </c>
      <c r="M857" s="163">
        <v>90676</v>
      </c>
      <c r="N857" s="163">
        <v>0</v>
      </c>
      <c r="O857" s="163">
        <v>3183560</v>
      </c>
      <c r="P857" s="163">
        <v>716397.14</v>
      </c>
      <c r="Q857" s="163">
        <v>7.9006257444000001</v>
      </c>
      <c r="R857" s="163">
        <v>0.22503019890000001</v>
      </c>
      <c r="S857" s="163">
        <v>35.109179937</v>
      </c>
      <c r="T857" s="161">
        <f t="shared" si="28"/>
        <v>5.395055940178161E-2</v>
      </c>
    </row>
    <row r="858" spans="2:20">
      <c r="B858" s="163" t="s">
        <v>1001</v>
      </c>
      <c r="C858" s="163" t="s">
        <v>1002</v>
      </c>
      <c r="D858" s="163" t="s">
        <v>996</v>
      </c>
      <c r="E858" s="163" t="s">
        <v>966</v>
      </c>
      <c r="F858" s="163" t="s">
        <v>986</v>
      </c>
      <c r="G858" s="163">
        <v>13</v>
      </c>
      <c r="H858" s="163">
        <v>10</v>
      </c>
      <c r="I858" s="163">
        <v>1</v>
      </c>
      <c r="J858" s="163">
        <v>2</v>
      </c>
      <c r="K858" s="163">
        <v>6</v>
      </c>
      <c r="L858" s="163">
        <v>1</v>
      </c>
      <c r="M858" s="163">
        <v>27</v>
      </c>
      <c r="N858" s="163">
        <v>0</v>
      </c>
      <c r="O858" s="163">
        <v>990</v>
      </c>
      <c r="P858" s="163">
        <v>5930.35</v>
      </c>
      <c r="Q858" s="163">
        <v>219.64259258999999</v>
      </c>
      <c r="R858" s="163">
        <v>5.9902525252999999</v>
      </c>
      <c r="S858" s="163">
        <v>36.666666667000001</v>
      </c>
      <c r="T858" s="161">
        <f t="shared" si="28"/>
        <v>1.6064505534519649E-5</v>
      </c>
    </row>
    <row r="859" spans="2:20">
      <c r="B859" s="163" t="s">
        <v>1003</v>
      </c>
      <c r="C859" s="163" t="s">
        <v>1004</v>
      </c>
      <c r="D859" s="163" t="s">
        <v>996</v>
      </c>
      <c r="E859" s="163" t="s">
        <v>966</v>
      </c>
      <c r="F859" s="163" t="s">
        <v>986</v>
      </c>
      <c r="G859" s="163">
        <v>13</v>
      </c>
      <c r="H859" s="163">
        <v>10</v>
      </c>
      <c r="I859" s="163">
        <v>1</v>
      </c>
      <c r="J859" s="163">
        <v>2</v>
      </c>
      <c r="K859" s="163">
        <v>6</v>
      </c>
      <c r="L859" s="163">
        <v>1</v>
      </c>
      <c r="M859" s="163">
        <v>4</v>
      </c>
      <c r="N859" s="163">
        <v>0</v>
      </c>
      <c r="O859" s="163">
        <v>225</v>
      </c>
      <c r="P859" s="163">
        <v>1830.24</v>
      </c>
      <c r="Q859" s="163">
        <v>457.56</v>
      </c>
      <c r="R859" s="163">
        <v>8.1343999999999994</v>
      </c>
      <c r="S859" s="163">
        <v>56.25</v>
      </c>
      <c r="T859" s="161">
        <f t="shared" si="28"/>
        <v>2.3799267458547628E-6</v>
      </c>
    </row>
    <row r="860" spans="2:20">
      <c r="B860" s="163" t="s">
        <v>1005</v>
      </c>
      <c r="C860" s="163" t="s">
        <v>1006</v>
      </c>
      <c r="D860" s="163" t="s">
        <v>996</v>
      </c>
      <c r="E860" s="163" t="s">
        <v>966</v>
      </c>
      <c r="F860" s="163" t="s">
        <v>986</v>
      </c>
      <c r="G860" s="163">
        <v>13</v>
      </c>
      <c r="H860" s="163">
        <v>10</v>
      </c>
      <c r="I860" s="163">
        <v>1</v>
      </c>
      <c r="J860" s="163">
        <v>2</v>
      </c>
      <c r="K860" s="163">
        <v>6</v>
      </c>
      <c r="L860" s="163">
        <v>3</v>
      </c>
      <c r="M860" s="163">
        <v>27178</v>
      </c>
      <c r="N860" s="163">
        <v>0</v>
      </c>
      <c r="O860" s="163">
        <v>1156240</v>
      </c>
      <c r="P860" s="163">
        <v>654142.66</v>
      </c>
      <c r="Q860" s="163">
        <v>24.068829936</v>
      </c>
      <c r="R860" s="163">
        <v>0.56574989620000005</v>
      </c>
      <c r="S860" s="163">
        <v>42.543233497999999</v>
      </c>
      <c r="T860" s="161">
        <f t="shared" si="28"/>
        <v>1.6170412274710184E-2</v>
      </c>
    </row>
    <row r="861" spans="2:20">
      <c r="B861" s="163" t="s">
        <v>1007</v>
      </c>
      <c r="C861" s="163" t="s">
        <v>1008</v>
      </c>
      <c r="D861" s="163" t="s">
        <v>996</v>
      </c>
      <c r="E861" s="163" t="s">
        <v>966</v>
      </c>
      <c r="F861" s="163" t="s">
        <v>986</v>
      </c>
      <c r="G861" s="163">
        <v>13</v>
      </c>
      <c r="H861" s="163">
        <v>10</v>
      </c>
      <c r="I861" s="163">
        <v>1</v>
      </c>
      <c r="J861" s="163">
        <v>2</v>
      </c>
      <c r="K861" s="163">
        <v>6</v>
      </c>
      <c r="L861" s="163">
        <v>3</v>
      </c>
      <c r="M861" s="163">
        <v>50076</v>
      </c>
      <c r="N861" s="163">
        <v>0</v>
      </c>
      <c r="O861" s="163">
        <v>1857510</v>
      </c>
      <c r="P861" s="163">
        <v>432047.83</v>
      </c>
      <c r="Q861" s="163">
        <v>8.6278422796999994</v>
      </c>
      <c r="R861" s="163">
        <v>0.232595157</v>
      </c>
      <c r="S861" s="163">
        <v>37.093817397999999</v>
      </c>
      <c r="T861" s="161">
        <f t="shared" si="28"/>
        <v>2.9794302931355772E-2</v>
      </c>
    </row>
    <row r="862" spans="2:20">
      <c r="B862" s="163" t="s">
        <v>1009</v>
      </c>
      <c r="C862" s="163" t="s">
        <v>1010</v>
      </c>
      <c r="D862" s="163" t="s">
        <v>996</v>
      </c>
      <c r="E862" s="163" t="s">
        <v>966</v>
      </c>
      <c r="F862" s="163" t="s">
        <v>986</v>
      </c>
      <c r="G862" s="163">
        <v>13</v>
      </c>
      <c r="H862" s="163">
        <v>10</v>
      </c>
      <c r="I862" s="163">
        <v>1</v>
      </c>
      <c r="J862" s="163">
        <v>2</v>
      </c>
      <c r="K862" s="163">
        <v>6</v>
      </c>
      <c r="L862" s="163">
        <v>3</v>
      </c>
      <c r="M862" s="163">
        <v>21289</v>
      </c>
      <c r="N862" s="163">
        <v>0</v>
      </c>
      <c r="O862" s="163">
        <v>751260</v>
      </c>
      <c r="P862" s="163">
        <v>170584.18</v>
      </c>
      <c r="Q862" s="163">
        <v>8.0127850062999997</v>
      </c>
      <c r="R862" s="163">
        <v>0.22706410560000001</v>
      </c>
      <c r="S862" s="163">
        <v>35.288646718999999</v>
      </c>
      <c r="T862" s="161">
        <f t="shared" si="28"/>
        <v>1.2666565123125511E-2</v>
      </c>
    </row>
    <row r="863" spans="2:20">
      <c r="B863" s="163" t="s">
        <v>1011</v>
      </c>
      <c r="C863" s="163" t="s">
        <v>1012</v>
      </c>
      <c r="D863" s="163" t="s">
        <v>996</v>
      </c>
      <c r="E863" s="163" t="s">
        <v>966</v>
      </c>
      <c r="F863" s="163" t="s">
        <v>986</v>
      </c>
      <c r="G863" s="163">
        <v>13</v>
      </c>
      <c r="H863" s="163">
        <v>10</v>
      </c>
      <c r="I863" s="163">
        <v>1</v>
      </c>
      <c r="J863" s="163">
        <v>2</v>
      </c>
      <c r="K863" s="163">
        <v>6</v>
      </c>
      <c r="L863" s="163">
        <v>3</v>
      </c>
      <c r="M863" s="163">
        <v>4307</v>
      </c>
      <c r="N863" s="163">
        <v>0</v>
      </c>
      <c r="O863" s="163">
        <v>153640</v>
      </c>
      <c r="P863" s="163">
        <v>44458.73</v>
      </c>
      <c r="Q863" s="163">
        <v>10.32243557</v>
      </c>
      <c r="R863" s="163">
        <v>0.28936950010000001</v>
      </c>
      <c r="S863" s="163">
        <v>35.672161596999999</v>
      </c>
      <c r="T863" s="161">
        <f t="shared" si="28"/>
        <v>2.5625861235991157E-3</v>
      </c>
    </row>
    <row r="864" spans="2:20">
      <c r="B864" s="163" t="s">
        <v>1013</v>
      </c>
      <c r="C864" s="163" t="s">
        <v>1014</v>
      </c>
      <c r="D864" s="163" t="s">
        <v>996</v>
      </c>
      <c r="E864" s="163" t="s">
        <v>966</v>
      </c>
      <c r="F864" s="163" t="s">
        <v>986</v>
      </c>
      <c r="G864" s="163">
        <v>13</v>
      </c>
      <c r="H864" s="163">
        <v>10</v>
      </c>
      <c r="I864" s="163">
        <v>1</v>
      </c>
      <c r="J864" s="163">
        <v>2</v>
      </c>
      <c r="K864" s="163">
        <v>6</v>
      </c>
      <c r="L864" s="163">
        <v>3</v>
      </c>
      <c r="M864" s="163">
        <v>102</v>
      </c>
      <c r="N864" s="163">
        <v>0</v>
      </c>
      <c r="O864" s="163">
        <v>3360</v>
      </c>
      <c r="P864" s="163">
        <v>1344</v>
      </c>
      <c r="Q864" s="163">
        <v>13.176470588000001</v>
      </c>
      <c r="R864" s="163">
        <v>0.4</v>
      </c>
      <c r="S864" s="163">
        <v>32.941176470999999</v>
      </c>
      <c r="T864" s="161">
        <f t="shared" si="28"/>
        <v>6.0688132019296447E-5</v>
      </c>
    </row>
    <row r="865" spans="2:22">
      <c r="B865" s="163" t="s">
        <v>1015</v>
      </c>
      <c r="C865" s="163" t="s">
        <v>1016</v>
      </c>
      <c r="D865" s="163" t="s">
        <v>996</v>
      </c>
      <c r="E865" s="163" t="s">
        <v>966</v>
      </c>
      <c r="F865" s="163" t="s">
        <v>986</v>
      </c>
      <c r="G865" s="163">
        <v>13</v>
      </c>
      <c r="H865" s="163">
        <v>10</v>
      </c>
      <c r="I865" s="163">
        <v>1</v>
      </c>
      <c r="J865" s="163">
        <v>2</v>
      </c>
      <c r="K865" s="163">
        <v>6</v>
      </c>
      <c r="L865" s="163">
        <v>3</v>
      </c>
      <c r="M865" s="163">
        <v>2245</v>
      </c>
      <c r="N865" s="163">
        <v>0</v>
      </c>
      <c r="O865" s="163">
        <v>100480</v>
      </c>
      <c r="P865" s="163">
        <v>24994.400000000001</v>
      </c>
      <c r="Q865" s="163">
        <v>11.133363029</v>
      </c>
      <c r="R865" s="163">
        <v>0.24875</v>
      </c>
      <c r="S865" s="163">
        <v>44.757238307000001</v>
      </c>
      <c r="T865" s="161">
        <f t="shared" si="28"/>
        <v>1.3357338861109856E-3</v>
      </c>
    </row>
    <row r="866" spans="2:22">
      <c r="B866" s="163" t="s">
        <v>1017</v>
      </c>
      <c r="C866" s="163" t="s">
        <v>1018</v>
      </c>
      <c r="D866" s="163" t="s">
        <v>996</v>
      </c>
      <c r="E866" s="163" t="s">
        <v>966</v>
      </c>
      <c r="F866" s="163" t="s">
        <v>986</v>
      </c>
      <c r="G866" s="163">
        <v>13</v>
      </c>
      <c r="H866" s="163">
        <v>10</v>
      </c>
      <c r="I866" s="163">
        <v>1</v>
      </c>
      <c r="J866" s="163">
        <v>2</v>
      </c>
      <c r="K866" s="163">
        <v>6</v>
      </c>
      <c r="L866" s="163">
        <v>3</v>
      </c>
      <c r="M866" s="163">
        <v>2256</v>
      </c>
      <c r="N866" s="163">
        <v>0</v>
      </c>
      <c r="O866" s="163">
        <v>81360</v>
      </c>
      <c r="P866" s="163">
        <v>35235</v>
      </c>
      <c r="Q866" s="163">
        <v>15.618351064000001</v>
      </c>
      <c r="R866" s="163">
        <v>0.43307522120000003</v>
      </c>
      <c r="S866" s="163">
        <v>36.063829787000003</v>
      </c>
      <c r="T866" s="161">
        <f t="shared" si="28"/>
        <v>1.3422786846620861E-3</v>
      </c>
    </row>
    <row r="867" spans="2:22">
      <c r="B867" s="163" t="s">
        <v>1019</v>
      </c>
      <c r="C867" s="163" t="s">
        <v>1020</v>
      </c>
      <c r="D867" s="163" t="s">
        <v>996</v>
      </c>
      <c r="E867" s="163" t="s">
        <v>966</v>
      </c>
      <c r="F867" s="163" t="s">
        <v>986</v>
      </c>
      <c r="G867" s="163">
        <v>13</v>
      </c>
      <c r="H867" s="163">
        <v>10</v>
      </c>
      <c r="I867" s="163">
        <v>1</v>
      </c>
      <c r="J867" s="163">
        <v>2</v>
      </c>
      <c r="K867" s="163">
        <v>6</v>
      </c>
      <c r="L867" s="163">
        <v>3</v>
      </c>
      <c r="M867" s="163">
        <v>564</v>
      </c>
      <c r="N867" s="163">
        <v>0</v>
      </c>
      <c r="O867" s="163">
        <v>20040</v>
      </c>
      <c r="P867" s="163">
        <v>4408.8</v>
      </c>
      <c r="Q867" s="163">
        <v>7.8170212766000002</v>
      </c>
      <c r="R867" s="163">
        <v>0.22</v>
      </c>
      <c r="S867" s="163">
        <v>35.531914894000003</v>
      </c>
      <c r="T867" s="161">
        <f t="shared" ref="T867:T868" si="29">M867/SUM($M$802:$M$868)</f>
        <v>3.3556967116552151E-4</v>
      </c>
    </row>
    <row r="868" spans="2:22">
      <c r="B868" s="163" t="s">
        <v>1021</v>
      </c>
      <c r="C868" s="163" t="s">
        <v>1022</v>
      </c>
      <c r="D868" s="163" t="s">
        <v>910</v>
      </c>
      <c r="E868" s="163" t="s">
        <v>966</v>
      </c>
      <c r="F868" s="163" t="s">
        <v>986</v>
      </c>
      <c r="G868" s="163">
        <v>13</v>
      </c>
      <c r="H868" s="163">
        <v>10</v>
      </c>
      <c r="I868" s="163">
        <v>1</v>
      </c>
      <c r="J868" s="163">
        <v>2</v>
      </c>
      <c r="K868" s="163">
        <v>6</v>
      </c>
      <c r="L868" s="163">
        <v>3</v>
      </c>
      <c r="M868" s="163">
        <v>43588</v>
      </c>
      <c r="N868" s="163">
        <v>26633</v>
      </c>
      <c r="O868" s="163">
        <v>931260</v>
      </c>
      <c r="P868" s="163">
        <v>155577.04999999999</v>
      </c>
      <c r="Q868" s="163">
        <v>3.5692633294</v>
      </c>
      <c r="R868" s="163">
        <v>0.16706081010000001</v>
      </c>
      <c r="S868" s="163">
        <v>21.365054602000001</v>
      </c>
      <c r="T868" s="161">
        <f t="shared" si="29"/>
        <v>2.5934061749579348E-2</v>
      </c>
    </row>
    <row r="872" spans="2:22">
      <c r="B872" s="9" t="s">
        <v>1023</v>
      </c>
    </row>
    <row r="873" spans="2:22">
      <c r="B873" s="141" t="s">
        <v>220</v>
      </c>
      <c r="C873" s="141" t="s">
        <v>221</v>
      </c>
      <c r="D873" s="141" t="s">
        <v>222</v>
      </c>
      <c r="E873" s="141" t="s">
        <v>223</v>
      </c>
      <c r="F873" s="141" t="s">
        <v>224</v>
      </c>
      <c r="G873" s="141" t="s">
        <v>225</v>
      </c>
      <c r="H873" s="141" t="s">
        <v>226</v>
      </c>
      <c r="I873" s="141" t="s">
        <v>227</v>
      </c>
      <c r="J873" s="141" t="s">
        <v>228</v>
      </c>
      <c r="K873" s="141" t="s">
        <v>229</v>
      </c>
      <c r="L873" s="141" t="s">
        <v>230</v>
      </c>
      <c r="M873" s="141" t="s">
        <v>231</v>
      </c>
      <c r="N873" s="141" t="s">
        <v>232</v>
      </c>
      <c r="O873" s="141" t="s">
        <v>233</v>
      </c>
      <c r="P873" s="141" t="s">
        <v>234</v>
      </c>
      <c r="Q873" s="141" t="s">
        <v>235</v>
      </c>
      <c r="R873" s="141" t="s">
        <v>236</v>
      </c>
      <c r="S873" s="141" t="s">
        <v>237</v>
      </c>
    </row>
    <row r="874" spans="2:22">
      <c r="B874" s="163" t="s">
        <v>1024</v>
      </c>
      <c r="C874" s="163" t="s">
        <v>1025</v>
      </c>
      <c r="D874" s="163" t="s">
        <v>1026</v>
      </c>
      <c r="E874" s="163" t="s">
        <v>853</v>
      </c>
      <c r="F874" s="163" t="s">
        <v>1027</v>
      </c>
      <c r="G874" s="163">
        <v>4</v>
      </c>
      <c r="H874" s="163">
        <v>7</v>
      </c>
      <c r="I874" s="163">
        <v>1</v>
      </c>
      <c r="J874" s="163">
        <v>0</v>
      </c>
      <c r="K874" s="163">
        <v>1</v>
      </c>
      <c r="L874" s="163">
        <v>3</v>
      </c>
      <c r="M874" s="163">
        <v>413</v>
      </c>
      <c r="N874" s="163">
        <v>51</v>
      </c>
      <c r="O874" s="163">
        <v>774</v>
      </c>
      <c r="P874" s="163">
        <v>2863.8</v>
      </c>
      <c r="Q874" s="163">
        <v>6.9341404357999998</v>
      </c>
      <c r="R874" s="163">
        <v>3.7</v>
      </c>
      <c r="S874" s="161">
        <v>1.8740920097</v>
      </c>
      <c r="T874">
        <f>O874/SUM($O$874:$O$1513)</f>
        <v>1.1294684894749483E-7</v>
      </c>
    </row>
    <row r="875" spans="2:22">
      <c r="B875" s="163" t="s">
        <v>1028</v>
      </c>
      <c r="C875" s="163" t="s">
        <v>1029</v>
      </c>
      <c r="D875" s="163" t="s">
        <v>1030</v>
      </c>
      <c r="E875" s="163" t="s">
        <v>853</v>
      </c>
      <c r="F875" s="163" t="s">
        <v>1027</v>
      </c>
      <c r="G875" s="163">
        <v>4</v>
      </c>
      <c r="H875" s="163">
        <v>7</v>
      </c>
      <c r="I875" s="163">
        <v>1</v>
      </c>
      <c r="J875" s="163">
        <v>0</v>
      </c>
      <c r="K875" s="163">
        <v>1</v>
      </c>
      <c r="L875" s="163">
        <v>3</v>
      </c>
      <c r="M875" s="163">
        <v>39</v>
      </c>
      <c r="N875" s="163">
        <v>18</v>
      </c>
      <c r="O875" s="163">
        <v>2083</v>
      </c>
      <c r="P875" s="163">
        <v>156.97999999999999</v>
      </c>
      <c r="Q875" s="163">
        <v>4.0251282050999997</v>
      </c>
      <c r="R875" s="163">
        <v>7.5362457999999993E-2</v>
      </c>
      <c r="S875" s="161">
        <v>53.410256410000002</v>
      </c>
      <c r="T875">
        <f t="shared" ref="T875:T938" si="30">O875/SUM($O$874:$O$1513)</f>
        <v>3.0396419426050609E-7</v>
      </c>
    </row>
    <row r="876" spans="2:22">
      <c r="B876" s="163" t="s">
        <v>1031</v>
      </c>
      <c r="C876" s="163" t="s">
        <v>1032</v>
      </c>
      <c r="D876" s="163" t="s">
        <v>1033</v>
      </c>
      <c r="E876" s="163" t="s">
        <v>853</v>
      </c>
      <c r="F876" s="163" t="s">
        <v>1027</v>
      </c>
      <c r="G876" s="163">
        <v>4</v>
      </c>
      <c r="H876" s="163">
        <v>7</v>
      </c>
      <c r="I876" s="163">
        <v>1</v>
      </c>
      <c r="J876" s="163">
        <v>0</v>
      </c>
      <c r="K876" s="163">
        <v>1</v>
      </c>
      <c r="L876" s="163">
        <v>3</v>
      </c>
      <c r="M876" s="163">
        <v>5</v>
      </c>
      <c r="N876" s="163">
        <v>0</v>
      </c>
      <c r="O876" s="163">
        <v>50</v>
      </c>
      <c r="P876" s="163">
        <v>13.42</v>
      </c>
      <c r="Q876" s="163">
        <v>2.6840000000000002</v>
      </c>
      <c r="R876" s="163">
        <v>0.26840000000000003</v>
      </c>
      <c r="S876" s="161">
        <v>10</v>
      </c>
      <c r="T876">
        <f t="shared" si="30"/>
        <v>7.2963080715435934E-9</v>
      </c>
      <c r="V876" s="2">
        <f>SUMPRODUCT(T874:T1513, Q874:Q1513)</f>
        <v>4.6362210390219314</v>
      </c>
    </row>
    <row r="877" spans="2:22">
      <c r="B877" s="163" t="s">
        <v>1034</v>
      </c>
      <c r="C877" s="163" t="s">
        <v>1035</v>
      </c>
      <c r="D877" s="163" t="s">
        <v>1033</v>
      </c>
      <c r="E877" s="163" t="s">
        <v>853</v>
      </c>
      <c r="F877" s="163" t="s">
        <v>1027</v>
      </c>
      <c r="G877" s="163">
        <v>4</v>
      </c>
      <c r="H877" s="163">
        <v>7</v>
      </c>
      <c r="I877" s="163">
        <v>1</v>
      </c>
      <c r="J877" s="163">
        <v>0</v>
      </c>
      <c r="K877" s="163">
        <v>1</v>
      </c>
      <c r="L877" s="163">
        <v>3</v>
      </c>
      <c r="M877" s="163">
        <v>5</v>
      </c>
      <c r="N877" s="163">
        <v>1</v>
      </c>
      <c r="O877" s="163">
        <v>60</v>
      </c>
      <c r="P877" s="163">
        <v>15.48</v>
      </c>
      <c r="Q877" s="163">
        <v>3.0960000000000001</v>
      </c>
      <c r="R877" s="163">
        <v>0.25800000000000001</v>
      </c>
      <c r="S877" s="161">
        <v>12</v>
      </c>
      <c r="T877">
        <f t="shared" si="30"/>
        <v>8.7555696858523124E-9</v>
      </c>
    </row>
    <row r="878" spans="2:22">
      <c r="B878" s="163" t="s">
        <v>1036</v>
      </c>
      <c r="C878" s="163" t="s">
        <v>1037</v>
      </c>
      <c r="D878" s="163" t="s">
        <v>1033</v>
      </c>
      <c r="E878" s="163" t="s">
        <v>853</v>
      </c>
      <c r="F878" s="163" t="s">
        <v>1027</v>
      </c>
      <c r="G878" s="163">
        <v>4</v>
      </c>
      <c r="H878" s="163">
        <v>7</v>
      </c>
      <c r="I878" s="163">
        <v>1</v>
      </c>
      <c r="J878" s="163">
        <v>0</v>
      </c>
      <c r="K878" s="163">
        <v>1</v>
      </c>
      <c r="L878" s="163">
        <v>3</v>
      </c>
      <c r="M878" s="163">
        <v>1</v>
      </c>
      <c r="N878" s="163">
        <v>1</v>
      </c>
      <c r="O878" s="163">
        <v>12</v>
      </c>
      <c r="P878" s="163">
        <v>3.04</v>
      </c>
      <c r="Q878" s="163">
        <v>3.04</v>
      </c>
      <c r="R878" s="163">
        <v>0.25333333330000002</v>
      </c>
      <c r="S878" s="161">
        <v>12</v>
      </c>
      <c r="T878">
        <f t="shared" si="30"/>
        <v>1.7511139371704624E-9</v>
      </c>
    </row>
    <row r="879" spans="2:22">
      <c r="B879" s="163" t="s">
        <v>1038</v>
      </c>
      <c r="C879" s="163" t="s">
        <v>1039</v>
      </c>
      <c r="D879" s="163" t="s">
        <v>1033</v>
      </c>
      <c r="E879" s="163" t="s">
        <v>853</v>
      </c>
      <c r="F879" s="163" t="s">
        <v>1027</v>
      </c>
      <c r="G879" s="163">
        <v>4</v>
      </c>
      <c r="H879" s="163">
        <v>7</v>
      </c>
      <c r="I879" s="163">
        <v>1</v>
      </c>
      <c r="J879" s="163">
        <v>0</v>
      </c>
      <c r="K879" s="163">
        <v>1</v>
      </c>
      <c r="L879" s="163">
        <v>3</v>
      </c>
      <c r="M879" s="163">
        <v>2</v>
      </c>
      <c r="N879" s="163">
        <v>2</v>
      </c>
      <c r="O879" s="163">
        <v>10</v>
      </c>
      <c r="P879" s="163">
        <v>3.04</v>
      </c>
      <c r="Q879" s="163">
        <v>1.52</v>
      </c>
      <c r="R879" s="163">
        <v>0.30399999999999999</v>
      </c>
      <c r="S879" s="161">
        <v>5</v>
      </c>
      <c r="T879">
        <f t="shared" si="30"/>
        <v>1.4592616143087188E-9</v>
      </c>
    </row>
    <row r="880" spans="2:22">
      <c r="B880" s="163" t="s">
        <v>1040</v>
      </c>
      <c r="C880" s="163" t="s">
        <v>1041</v>
      </c>
      <c r="D880" s="163" t="s">
        <v>1042</v>
      </c>
      <c r="E880" s="163" t="s">
        <v>853</v>
      </c>
      <c r="F880" s="163" t="s">
        <v>1027</v>
      </c>
      <c r="G880" s="163">
        <v>4</v>
      </c>
      <c r="H880" s="163">
        <v>7</v>
      </c>
      <c r="I880" s="163">
        <v>1</v>
      </c>
      <c r="J880" s="163">
        <v>0</v>
      </c>
      <c r="K880" s="163">
        <v>1</v>
      </c>
      <c r="L880" s="163">
        <v>3</v>
      </c>
      <c r="M880" s="163">
        <v>2287</v>
      </c>
      <c r="N880" s="163">
        <v>991</v>
      </c>
      <c r="O880" s="163">
        <v>84718</v>
      </c>
      <c r="P880" s="163">
        <v>21664.53</v>
      </c>
      <c r="Q880" s="163">
        <v>9.4729033669000007</v>
      </c>
      <c r="R880" s="163">
        <v>0.25572522959999999</v>
      </c>
      <c r="S880" s="161">
        <v>37.043288150000002</v>
      </c>
      <c r="T880">
        <f t="shared" si="30"/>
        <v>1.2362572544100603E-5</v>
      </c>
    </row>
    <row r="881" spans="2:20">
      <c r="B881" s="163" t="s">
        <v>1043</v>
      </c>
      <c r="C881" s="163" t="s">
        <v>1044</v>
      </c>
      <c r="D881" s="163" t="s">
        <v>1045</v>
      </c>
      <c r="E881" s="163" t="s">
        <v>853</v>
      </c>
      <c r="F881" s="163" t="s">
        <v>1027</v>
      </c>
      <c r="G881" s="163">
        <v>4</v>
      </c>
      <c r="H881" s="163">
        <v>7</v>
      </c>
      <c r="I881" s="163">
        <v>1</v>
      </c>
      <c r="J881" s="163">
        <v>0</v>
      </c>
      <c r="K881" s="163">
        <v>1</v>
      </c>
      <c r="L881" s="163">
        <v>3</v>
      </c>
      <c r="M881" s="163">
        <v>159</v>
      </c>
      <c r="N881" s="163">
        <v>113</v>
      </c>
      <c r="O881" s="163">
        <v>11891</v>
      </c>
      <c r="P881" s="163">
        <v>2297.27</v>
      </c>
      <c r="Q881" s="163">
        <v>14.448238994</v>
      </c>
      <c r="R881" s="163">
        <v>0.1931940123</v>
      </c>
      <c r="S881" s="161">
        <v>74.786163521999995</v>
      </c>
      <c r="T881">
        <f t="shared" si="30"/>
        <v>1.7352079855744973E-6</v>
      </c>
    </row>
    <row r="882" spans="2:20">
      <c r="B882" s="163" t="s">
        <v>1046</v>
      </c>
      <c r="C882" s="163" t="s">
        <v>1047</v>
      </c>
      <c r="D882" s="163" t="s">
        <v>1045</v>
      </c>
      <c r="E882" s="163" t="s">
        <v>853</v>
      </c>
      <c r="F882" s="163" t="s">
        <v>1027</v>
      </c>
      <c r="G882" s="163">
        <v>4</v>
      </c>
      <c r="H882" s="163">
        <v>7</v>
      </c>
      <c r="I882" s="163">
        <v>1</v>
      </c>
      <c r="J882" s="163">
        <v>0</v>
      </c>
      <c r="K882" s="163">
        <v>1</v>
      </c>
      <c r="L882" s="163">
        <v>3</v>
      </c>
      <c r="M882" s="163">
        <v>54</v>
      </c>
      <c r="N882" s="163">
        <v>33</v>
      </c>
      <c r="O882" s="163">
        <v>2772</v>
      </c>
      <c r="P882" s="163">
        <v>376.82</v>
      </c>
      <c r="Q882" s="163">
        <v>6.9781481480999998</v>
      </c>
      <c r="R882" s="163">
        <v>0.13593795089999999</v>
      </c>
      <c r="S882" s="161">
        <v>51.333333332999999</v>
      </c>
      <c r="T882">
        <f t="shared" si="30"/>
        <v>4.0450731948637683E-7</v>
      </c>
    </row>
    <row r="883" spans="2:20">
      <c r="B883" s="163" t="s">
        <v>1048</v>
      </c>
      <c r="C883" s="163" t="s">
        <v>1049</v>
      </c>
      <c r="D883" s="163" t="s">
        <v>1050</v>
      </c>
      <c r="E883" s="163" t="s">
        <v>853</v>
      </c>
      <c r="F883" s="163" t="s">
        <v>1027</v>
      </c>
      <c r="G883" s="163">
        <v>4</v>
      </c>
      <c r="H883" s="163">
        <v>7</v>
      </c>
      <c r="I883" s="163">
        <v>1</v>
      </c>
      <c r="J883" s="163">
        <v>0</v>
      </c>
      <c r="K883" s="163">
        <v>1</v>
      </c>
      <c r="L883" s="163">
        <v>1</v>
      </c>
      <c r="M883" s="163">
        <v>13481</v>
      </c>
      <c r="N883" s="163">
        <v>0</v>
      </c>
      <c r="O883" s="163">
        <v>559510</v>
      </c>
      <c r="P883" s="163">
        <v>118316.87</v>
      </c>
      <c r="Q883" s="163">
        <v>8.7765647949000005</v>
      </c>
      <c r="R883" s="163">
        <v>0.21146515699999999</v>
      </c>
      <c r="S883" s="161">
        <v>41.503597655999997</v>
      </c>
      <c r="T883">
        <f t="shared" si="30"/>
        <v>8.1647146582187116E-5</v>
      </c>
    </row>
    <row r="884" spans="2:20">
      <c r="B884" s="163" t="s">
        <v>1051</v>
      </c>
      <c r="C884" s="163" t="s">
        <v>1052</v>
      </c>
      <c r="D884" s="163" t="s">
        <v>1050</v>
      </c>
      <c r="E884" s="163" t="s">
        <v>853</v>
      </c>
      <c r="F884" s="163" t="s">
        <v>1027</v>
      </c>
      <c r="G884" s="163">
        <v>4</v>
      </c>
      <c r="H884" s="163">
        <v>7</v>
      </c>
      <c r="I884" s="163">
        <v>1</v>
      </c>
      <c r="J884" s="163">
        <v>0</v>
      </c>
      <c r="K884" s="163">
        <v>1</v>
      </c>
      <c r="L884" s="163">
        <v>1</v>
      </c>
      <c r="M884" s="163">
        <v>43115</v>
      </c>
      <c r="N884" s="163">
        <v>0</v>
      </c>
      <c r="O884" s="163">
        <v>1489944</v>
      </c>
      <c r="P884" s="163">
        <v>58907.73</v>
      </c>
      <c r="Q884" s="163">
        <v>1.3662931694</v>
      </c>
      <c r="R884" s="163">
        <v>3.9536875200000002E-2</v>
      </c>
      <c r="S884" s="161">
        <v>34.557439406</v>
      </c>
      <c r="T884">
        <f t="shared" si="30"/>
        <v>2.1742180866695895E-4</v>
      </c>
    </row>
    <row r="885" spans="2:20">
      <c r="B885" s="163" t="s">
        <v>1053</v>
      </c>
      <c r="C885" s="163" t="s">
        <v>1054</v>
      </c>
      <c r="D885" s="163" t="s">
        <v>1050</v>
      </c>
      <c r="E885" s="163" t="s">
        <v>853</v>
      </c>
      <c r="F885" s="163" t="s">
        <v>1027</v>
      </c>
      <c r="G885" s="163">
        <v>4</v>
      </c>
      <c r="H885" s="163">
        <v>7</v>
      </c>
      <c r="I885" s="163">
        <v>1</v>
      </c>
      <c r="J885" s="163">
        <v>0</v>
      </c>
      <c r="K885" s="163">
        <v>1</v>
      </c>
      <c r="L885" s="163">
        <v>1</v>
      </c>
      <c r="M885" s="163">
        <v>20954</v>
      </c>
      <c r="N885" s="163">
        <v>0</v>
      </c>
      <c r="O885" s="163">
        <v>670842</v>
      </c>
      <c r="P885" s="163">
        <v>70644.289999999994</v>
      </c>
      <c r="Q885" s="163">
        <v>3.3713987783000001</v>
      </c>
      <c r="R885" s="163">
        <v>0.1053068979</v>
      </c>
      <c r="S885" s="161">
        <v>32.014985205999999</v>
      </c>
      <c r="T885">
        <f t="shared" si="30"/>
        <v>9.7893397986608953E-5</v>
      </c>
    </row>
    <row r="886" spans="2:20">
      <c r="B886" s="163" t="s">
        <v>1055</v>
      </c>
      <c r="C886" s="163" t="s">
        <v>1056</v>
      </c>
      <c r="D886" s="163" t="s">
        <v>1050</v>
      </c>
      <c r="E886" s="163" t="s">
        <v>853</v>
      </c>
      <c r="F886" s="163" t="s">
        <v>1027</v>
      </c>
      <c r="G886" s="163">
        <v>4</v>
      </c>
      <c r="H886" s="163">
        <v>7</v>
      </c>
      <c r="I886" s="163">
        <v>1</v>
      </c>
      <c r="J886" s="163">
        <v>0</v>
      </c>
      <c r="K886" s="163">
        <v>1</v>
      </c>
      <c r="L886" s="163">
        <v>1</v>
      </c>
      <c r="M886" s="163">
        <v>28</v>
      </c>
      <c r="N886" s="163">
        <v>0</v>
      </c>
      <c r="O886" s="163">
        <v>836</v>
      </c>
      <c r="P886" s="163">
        <v>1560.83</v>
      </c>
      <c r="Q886" s="163">
        <v>55.743928570999998</v>
      </c>
      <c r="R886" s="163">
        <v>1.8670215311</v>
      </c>
      <c r="S886" s="161">
        <v>29.857142856999999</v>
      </c>
      <c r="T886">
        <f t="shared" si="30"/>
        <v>1.2199427095620888E-7</v>
      </c>
    </row>
    <row r="887" spans="2:20">
      <c r="B887" s="163" t="s">
        <v>1057</v>
      </c>
      <c r="C887" s="163" t="s">
        <v>1058</v>
      </c>
      <c r="D887" s="163" t="s">
        <v>1050</v>
      </c>
      <c r="E887" s="163" t="s">
        <v>853</v>
      </c>
      <c r="F887" s="163" t="s">
        <v>1027</v>
      </c>
      <c r="G887" s="163">
        <v>4</v>
      </c>
      <c r="H887" s="163">
        <v>7</v>
      </c>
      <c r="I887" s="163">
        <v>1</v>
      </c>
      <c r="J887" s="163">
        <v>0</v>
      </c>
      <c r="K887" s="163">
        <v>1</v>
      </c>
      <c r="L887" s="163">
        <v>1</v>
      </c>
      <c r="M887" s="163">
        <v>7</v>
      </c>
      <c r="N887" s="163">
        <v>0</v>
      </c>
      <c r="O887" s="163">
        <v>126</v>
      </c>
      <c r="P887" s="163">
        <v>452.22</v>
      </c>
      <c r="Q887" s="163">
        <v>64.602857142999994</v>
      </c>
      <c r="R887" s="163">
        <v>3.589047619</v>
      </c>
      <c r="S887" s="161">
        <v>18</v>
      </c>
      <c r="T887">
        <f t="shared" si="30"/>
        <v>1.8386696340289855E-8</v>
      </c>
    </row>
    <row r="888" spans="2:20">
      <c r="B888" s="163" t="s">
        <v>1059</v>
      </c>
      <c r="C888" s="163" t="s">
        <v>1060</v>
      </c>
      <c r="D888" s="163" t="s">
        <v>1050</v>
      </c>
      <c r="E888" s="163" t="s">
        <v>853</v>
      </c>
      <c r="F888" s="163" t="s">
        <v>1027</v>
      </c>
      <c r="G888" s="163">
        <v>4</v>
      </c>
      <c r="H888" s="163">
        <v>7</v>
      </c>
      <c r="I888" s="163">
        <v>1</v>
      </c>
      <c r="J888" s="163">
        <v>0</v>
      </c>
      <c r="K888" s="163">
        <v>6</v>
      </c>
      <c r="L888" s="163">
        <v>1</v>
      </c>
      <c r="M888" s="163">
        <v>1</v>
      </c>
      <c r="N888" s="163">
        <v>0</v>
      </c>
      <c r="O888" s="163">
        <v>60</v>
      </c>
      <c r="P888" s="163">
        <v>2.2200000000000002</v>
      </c>
      <c r="Q888" s="163">
        <v>2.2200000000000002</v>
      </c>
      <c r="R888" s="163">
        <v>3.6999999999999998E-2</v>
      </c>
      <c r="S888" s="161">
        <v>60</v>
      </c>
      <c r="T888">
        <f t="shared" si="30"/>
        <v>8.7555696858523124E-9</v>
      </c>
    </row>
    <row r="889" spans="2:20">
      <c r="B889" s="163" t="s">
        <v>1061</v>
      </c>
      <c r="C889" s="163" t="s">
        <v>1062</v>
      </c>
      <c r="D889" s="163" t="s">
        <v>1050</v>
      </c>
      <c r="E889" s="163" t="s">
        <v>853</v>
      </c>
      <c r="F889" s="163" t="s">
        <v>1027</v>
      </c>
      <c r="G889" s="163">
        <v>4</v>
      </c>
      <c r="H889" s="163">
        <v>7</v>
      </c>
      <c r="I889" s="163">
        <v>1</v>
      </c>
      <c r="J889" s="163">
        <v>0</v>
      </c>
      <c r="K889" s="163">
        <v>1</v>
      </c>
      <c r="L889" s="163">
        <v>3</v>
      </c>
      <c r="M889" s="163">
        <v>2</v>
      </c>
      <c r="N889" s="163">
        <v>0</v>
      </c>
      <c r="O889" s="163">
        <v>200</v>
      </c>
      <c r="P889" s="163">
        <v>37.29</v>
      </c>
      <c r="Q889" s="163">
        <v>18.645</v>
      </c>
      <c r="R889" s="163">
        <v>0.18645</v>
      </c>
      <c r="S889" s="161">
        <v>100</v>
      </c>
      <c r="T889">
        <f t="shared" si="30"/>
        <v>2.9185232286174373E-8</v>
      </c>
    </row>
    <row r="890" spans="2:20">
      <c r="B890" s="163" t="s">
        <v>1063</v>
      </c>
      <c r="C890" s="163" t="s">
        <v>1064</v>
      </c>
      <c r="D890" s="163" t="s">
        <v>1065</v>
      </c>
      <c r="E890" s="163" t="s">
        <v>853</v>
      </c>
      <c r="F890" s="163" t="s">
        <v>1027</v>
      </c>
      <c r="G890" s="163">
        <v>4</v>
      </c>
      <c r="H890" s="163">
        <v>7</v>
      </c>
      <c r="I890" s="163">
        <v>1</v>
      </c>
      <c r="J890" s="163">
        <v>0</v>
      </c>
      <c r="K890" s="163">
        <v>1</v>
      </c>
      <c r="L890" s="163">
        <v>1</v>
      </c>
      <c r="M890" s="163">
        <v>2378184</v>
      </c>
      <c r="N890" s="163">
        <v>0</v>
      </c>
      <c r="O890" s="163">
        <v>240200038</v>
      </c>
      <c r="P890" s="163">
        <v>5673085.8099999996</v>
      </c>
      <c r="Q890" s="163">
        <v>2.3854696734999998</v>
      </c>
      <c r="R890" s="163">
        <v>2.3618172E-2</v>
      </c>
      <c r="S890" s="161">
        <v>101.00145237</v>
      </c>
      <c r="T890">
        <f t="shared" si="30"/>
        <v>3.5051469520889555E-2</v>
      </c>
    </row>
    <row r="891" spans="2:20">
      <c r="B891" s="163" t="s">
        <v>1066</v>
      </c>
      <c r="C891" s="163" t="s">
        <v>1067</v>
      </c>
      <c r="D891" s="163" t="s">
        <v>1065</v>
      </c>
      <c r="E891" s="163" t="s">
        <v>853</v>
      </c>
      <c r="F891" s="163" t="s">
        <v>1027</v>
      </c>
      <c r="G891" s="163">
        <v>4</v>
      </c>
      <c r="H891" s="163">
        <v>7</v>
      </c>
      <c r="I891" s="163">
        <v>1</v>
      </c>
      <c r="J891" s="163">
        <v>0</v>
      </c>
      <c r="K891" s="163">
        <v>1</v>
      </c>
      <c r="L891" s="163">
        <v>1</v>
      </c>
      <c r="M891" s="163">
        <v>153311</v>
      </c>
      <c r="N891" s="163">
        <v>0</v>
      </c>
      <c r="O891" s="163">
        <v>15723466</v>
      </c>
      <c r="P891" s="163">
        <v>2435645.1</v>
      </c>
      <c r="Q891" s="163">
        <v>15.886955926000001</v>
      </c>
      <c r="R891" s="163">
        <v>0.15490510169999999</v>
      </c>
      <c r="S891" s="161">
        <v>102.55928145999999</v>
      </c>
      <c r="T891">
        <f t="shared" si="30"/>
        <v>2.2944650377688253E-3</v>
      </c>
    </row>
    <row r="892" spans="2:20">
      <c r="B892" s="163" t="s">
        <v>1068</v>
      </c>
      <c r="C892" s="163" t="s">
        <v>1069</v>
      </c>
      <c r="D892" s="163" t="s">
        <v>1065</v>
      </c>
      <c r="E892" s="163" t="s">
        <v>853</v>
      </c>
      <c r="F892" s="163" t="s">
        <v>1027</v>
      </c>
      <c r="G892" s="163">
        <v>4</v>
      </c>
      <c r="H892" s="163">
        <v>7</v>
      </c>
      <c r="I892" s="163">
        <v>1</v>
      </c>
      <c r="J892" s="163">
        <v>0</v>
      </c>
      <c r="K892" s="163">
        <v>1</v>
      </c>
      <c r="L892" s="163">
        <v>1</v>
      </c>
      <c r="M892" s="163">
        <v>251813</v>
      </c>
      <c r="N892" s="163">
        <v>0</v>
      </c>
      <c r="O892" s="163">
        <v>29283276</v>
      </c>
      <c r="P892" s="163">
        <v>2009084.36</v>
      </c>
      <c r="Q892" s="163">
        <v>7.9784775210000003</v>
      </c>
      <c r="R892" s="163">
        <v>6.8608592800000007E-2</v>
      </c>
      <c r="S892" s="161">
        <v>116.28977058</v>
      </c>
      <c r="T892">
        <f t="shared" si="30"/>
        <v>4.2731960608007758E-3</v>
      </c>
    </row>
    <row r="893" spans="2:20">
      <c r="B893" s="163" t="s">
        <v>1070</v>
      </c>
      <c r="C893" s="163" t="s">
        <v>1071</v>
      </c>
      <c r="D893" s="163" t="s">
        <v>1065</v>
      </c>
      <c r="E893" s="163" t="s">
        <v>853</v>
      </c>
      <c r="F893" s="163" t="s">
        <v>1027</v>
      </c>
      <c r="G893" s="163">
        <v>4</v>
      </c>
      <c r="H893" s="163">
        <v>7</v>
      </c>
      <c r="I893" s="163">
        <v>1</v>
      </c>
      <c r="J893" s="163">
        <v>0</v>
      </c>
      <c r="K893" s="163">
        <v>1</v>
      </c>
      <c r="L893" s="163">
        <v>1</v>
      </c>
      <c r="M893" s="163">
        <v>1883459</v>
      </c>
      <c r="N893" s="163">
        <v>0</v>
      </c>
      <c r="O893" s="163">
        <v>226240311</v>
      </c>
      <c r="P893" s="163">
        <v>9356947.0199999996</v>
      </c>
      <c r="Q893" s="163">
        <v>4.9679589627</v>
      </c>
      <c r="R893" s="163">
        <v>4.1358443100000003E-2</v>
      </c>
      <c r="S893" s="161">
        <v>120.11958370000001</v>
      </c>
      <c r="T893">
        <f t="shared" si="30"/>
        <v>3.3014380145156653E-2</v>
      </c>
    </row>
    <row r="894" spans="2:20">
      <c r="B894" s="163" t="s">
        <v>1072</v>
      </c>
      <c r="C894" s="163" t="s">
        <v>1073</v>
      </c>
      <c r="D894" s="163" t="s">
        <v>1065</v>
      </c>
      <c r="E894" s="163" t="s">
        <v>853</v>
      </c>
      <c r="F894" s="163" t="s">
        <v>1027</v>
      </c>
      <c r="G894" s="163">
        <v>4</v>
      </c>
      <c r="H894" s="163">
        <v>7</v>
      </c>
      <c r="I894" s="163">
        <v>1</v>
      </c>
      <c r="J894" s="163">
        <v>0</v>
      </c>
      <c r="K894" s="163">
        <v>1</v>
      </c>
      <c r="L894" s="163">
        <v>1</v>
      </c>
      <c r="M894" s="163">
        <v>536851</v>
      </c>
      <c r="N894" s="163">
        <v>0</v>
      </c>
      <c r="O894" s="163">
        <v>70982460</v>
      </c>
      <c r="P894" s="163">
        <v>5271184.8899999997</v>
      </c>
      <c r="Q894" s="163">
        <v>9.8187111321000007</v>
      </c>
      <c r="R894" s="163">
        <v>7.42603862E-2</v>
      </c>
      <c r="S894" s="161">
        <v>132.22003871000001</v>
      </c>
      <c r="T894">
        <f t="shared" si="30"/>
        <v>1.0358197916720406E-2</v>
      </c>
    </row>
    <row r="895" spans="2:20">
      <c r="B895" s="163" t="s">
        <v>1074</v>
      </c>
      <c r="C895" s="163" t="s">
        <v>1075</v>
      </c>
      <c r="D895" s="163" t="s">
        <v>1065</v>
      </c>
      <c r="E895" s="163" t="s">
        <v>853</v>
      </c>
      <c r="F895" s="163" t="s">
        <v>1027</v>
      </c>
      <c r="G895" s="163">
        <v>4</v>
      </c>
      <c r="H895" s="163">
        <v>7</v>
      </c>
      <c r="I895" s="163">
        <v>1</v>
      </c>
      <c r="J895" s="163">
        <v>0</v>
      </c>
      <c r="K895" s="163">
        <v>1</v>
      </c>
      <c r="L895" s="163">
        <v>1</v>
      </c>
      <c r="M895" s="163">
        <v>4767504</v>
      </c>
      <c r="N895" s="163">
        <v>0</v>
      </c>
      <c r="O895" s="163">
        <v>546470137</v>
      </c>
      <c r="P895" s="163">
        <v>17220750.359999999</v>
      </c>
      <c r="Q895" s="163">
        <v>3.6121103118</v>
      </c>
      <c r="R895" s="163">
        <v>3.1512701599999998E-2</v>
      </c>
      <c r="S895" s="161">
        <v>114.62394935</v>
      </c>
      <c r="T895">
        <f t="shared" si="30"/>
        <v>7.9744289429012669E-2</v>
      </c>
    </row>
    <row r="896" spans="2:20">
      <c r="B896" s="163" t="s">
        <v>1076</v>
      </c>
      <c r="C896" s="163" t="s">
        <v>1077</v>
      </c>
      <c r="D896" s="163" t="s">
        <v>1065</v>
      </c>
      <c r="E896" s="163" t="s">
        <v>853</v>
      </c>
      <c r="F896" s="163" t="s">
        <v>1027</v>
      </c>
      <c r="G896" s="163">
        <v>4</v>
      </c>
      <c r="H896" s="163">
        <v>7</v>
      </c>
      <c r="I896" s="163">
        <v>1</v>
      </c>
      <c r="J896" s="163">
        <v>0</v>
      </c>
      <c r="K896" s="163">
        <v>1</v>
      </c>
      <c r="L896" s="163">
        <v>1</v>
      </c>
      <c r="M896" s="163">
        <v>1209149</v>
      </c>
      <c r="N896" s="163">
        <v>0</v>
      </c>
      <c r="O896" s="163">
        <v>126627626</v>
      </c>
      <c r="P896" s="163">
        <v>5613198.9100000001</v>
      </c>
      <c r="Q896" s="163">
        <v>4.6422723006000002</v>
      </c>
      <c r="R896" s="163">
        <v>4.43283909E-2</v>
      </c>
      <c r="S896" s="161">
        <v>104.72458398000001</v>
      </c>
      <c r="T896">
        <f t="shared" si="30"/>
        <v>1.8478283393284067E-2</v>
      </c>
    </row>
    <row r="897" spans="2:20">
      <c r="B897" s="163" t="s">
        <v>1078</v>
      </c>
      <c r="C897" s="163" t="s">
        <v>1079</v>
      </c>
      <c r="D897" s="163" t="s">
        <v>1065</v>
      </c>
      <c r="E897" s="163" t="s">
        <v>853</v>
      </c>
      <c r="F897" s="163" t="s">
        <v>1027</v>
      </c>
      <c r="G897" s="163">
        <v>4</v>
      </c>
      <c r="H897" s="163">
        <v>7</v>
      </c>
      <c r="I897" s="163">
        <v>1</v>
      </c>
      <c r="J897" s="163">
        <v>0</v>
      </c>
      <c r="K897" s="163">
        <v>1</v>
      </c>
      <c r="L897" s="163">
        <v>1</v>
      </c>
      <c r="M897" s="163">
        <v>215139</v>
      </c>
      <c r="N897" s="163">
        <v>0</v>
      </c>
      <c r="O897" s="163">
        <v>23063908</v>
      </c>
      <c r="P897" s="163">
        <v>1966893.85</v>
      </c>
      <c r="Q897" s="163">
        <v>9.1424327992999999</v>
      </c>
      <c r="R897" s="163">
        <v>8.5280163699999995E-2</v>
      </c>
      <c r="S897" s="161">
        <v>107.20468162</v>
      </c>
      <c r="T897">
        <f t="shared" si="30"/>
        <v>3.3656275620347772E-3</v>
      </c>
    </row>
    <row r="898" spans="2:20">
      <c r="B898" s="163" t="s">
        <v>1080</v>
      </c>
      <c r="C898" s="163" t="s">
        <v>1081</v>
      </c>
      <c r="D898" s="163" t="s">
        <v>1065</v>
      </c>
      <c r="E898" s="163" t="s">
        <v>853</v>
      </c>
      <c r="F898" s="163" t="s">
        <v>1027</v>
      </c>
      <c r="G898" s="163">
        <v>4</v>
      </c>
      <c r="H898" s="163">
        <v>7</v>
      </c>
      <c r="I898" s="163">
        <v>1</v>
      </c>
      <c r="J898" s="163">
        <v>0</v>
      </c>
      <c r="K898" s="163">
        <v>1</v>
      </c>
      <c r="L898" s="163">
        <v>1</v>
      </c>
      <c r="M898" s="163">
        <v>76</v>
      </c>
      <c r="N898" s="163">
        <v>0</v>
      </c>
      <c r="O898" s="163">
        <v>7248</v>
      </c>
      <c r="P898" s="163">
        <v>830.53</v>
      </c>
      <c r="Q898" s="163">
        <v>10.928026316</v>
      </c>
      <c r="R898" s="163">
        <v>0.1145874724</v>
      </c>
      <c r="S898" s="161">
        <v>95.368421053000006</v>
      </c>
      <c r="T898">
        <f t="shared" si="30"/>
        <v>1.0576728180509593E-6</v>
      </c>
    </row>
    <row r="899" spans="2:20">
      <c r="B899" s="163" t="s">
        <v>1082</v>
      </c>
      <c r="C899" s="163" t="s">
        <v>1083</v>
      </c>
      <c r="D899" s="163" t="s">
        <v>1065</v>
      </c>
      <c r="E899" s="163" t="s">
        <v>853</v>
      </c>
      <c r="F899" s="163" t="s">
        <v>1027</v>
      </c>
      <c r="G899" s="163">
        <v>4</v>
      </c>
      <c r="H899" s="163">
        <v>7</v>
      </c>
      <c r="I899" s="163">
        <v>1</v>
      </c>
      <c r="J899" s="163">
        <v>0</v>
      </c>
      <c r="K899" s="163">
        <v>1</v>
      </c>
      <c r="L899" s="163">
        <v>3</v>
      </c>
      <c r="M899" s="163">
        <v>1</v>
      </c>
      <c r="N899" s="163">
        <v>0</v>
      </c>
      <c r="O899" s="163">
        <v>100</v>
      </c>
      <c r="P899" s="163">
        <v>8.5500000000000007</v>
      </c>
      <c r="Q899" s="163">
        <v>8.5500000000000007</v>
      </c>
      <c r="R899" s="163">
        <v>8.5500000000000007E-2</v>
      </c>
      <c r="S899" s="161">
        <v>100</v>
      </c>
      <c r="T899">
        <f t="shared" si="30"/>
        <v>1.4592616143087187E-8</v>
      </c>
    </row>
    <row r="900" spans="2:20">
      <c r="B900" s="163" t="s">
        <v>1084</v>
      </c>
      <c r="C900" s="163" t="s">
        <v>1085</v>
      </c>
      <c r="D900" s="163" t="s">
        <v>1065</v>
      </c>
      <c r="E900" s="163" t="s">
        <v>853</v>
      </c>
      <c r="F900" s="163" t="s">
        <v>1027</v>
      </c>
      <c r="G900" s="163">
        <v>4</v>
      </c>
      <c r="H900" s="163">
        <v>7</v>
      </c>
      <c r="I900" s="163">
        <v>1</v>
      </c>
      <c r="J900" s="163">
        <v>0</v>
      </c>
      <c r="K900" s="163">
        <v>1</v>
      </c>
      <c r="L900" s="163">
        <v>3</v>
      </c>
      <c r="M900" s="163">
        <v>33722</v>
      </c>
      <c r="N900" s="163">
        <v>0</v>
      </c>
      <c r="O900" s="163">
        <v>4808966</v>
      </c>
      <c r="P900" s="163">
        <v>381339.66</v>
      </c>
      <c r="Q900" s="163">
        <v>11.308334618</v>
      </c>
      <c r="R900" s="163">
        <v>7.9297641099999996E-2</v>
      </c>
      <c r="S900" s="161">
        <v>142.6061918</v>
      </c>
      <c r="T900">
        <f t="shared" si="30"/>
        <v>7.0175394883157413E-4</v>
      </c>
    </row>
    <row r="901" spans="2:20">
      <c r="B901" s="163" t="s">
        <v>1086</v>
      </c>
      <c r="C901" s="163" t="s">
        <v>1087</v>
      </c>
      <c r="D901" s="163" t="s">
        <v>1065</v>
      </c>
      <c r="E901" s="163" t="s">
        <v>853</v>
      </c>
      <c r="F901" s="163" t="s">
        <v>1027</v>
      </c>
      <c r="G901" s="163">
        <v>4</v>
      </c>
      <c r="H901" s="163">
        <v>7</v>
      </c>
      <c r="I901" s="163">
        <v>1</v>
      </c>
      <c r="J901" s="163">
        <v>0</v>
      </c>
      <c r="K901" s="163">
        <v>1</v>
      </c>
      <c r="L901" s="163">
        <v>3</v>
      </c>
      <c r="M901" s="163">
        <v>44</v>
      </c>
      <c r="N901" s="163">
        <v>0</v>
      </c>
      <c r="O901" s="163">
        <v>4267</v>
      </c>
      <c r="P901" s="163">
        <v>386.59</v>
      </c>
      <c r="Q901" s="163">
        <v>8.7861363636000007</v>
      </c>
      <c r="R901" s="163">
        <v>9.0599953100000005E-2</v>
      </c>
      <c r="S901" s="161">
        <v>96.977272726999999</v>
      </c>
      <c r="T901">
        <f t="shared" si="30"/>
        <v>6.2266693082553026E-7</v>
      </c>
    </row>
    <row r="902" spans="2:20">
      <c r="B902" s="163" t="s">
        <v>1088</v>
      </c>
      <c r="C902" s="163" t="s">
        <v>1089</v>
      </c>
      <c r="D902" s="163" t="s">
        <v>1065</v>
      </c>
      <c r="E902" s="163" t="s">
        <v>853</v>
      </c>
      <c r="F902" s="163" t="s">
        <v>1027</v>
      </c>
      <c r="G902" s="163">
        <v>4</v>
      </c>
      <c r="H902" s="163">
        <v>7</v>
      </c>
      <c r="I902" s="163">
        <v>1</v>
      </c>
      <c r="J902" s="163">
        <v>0</v>
      </c>
      <c r="K902" s="163">
        <v>1</v>
      </c>
      <c r="L902" s="163">
        <v>3</v>
      </c>
      <c r="M902" s="163">
        <v>79553</v>
      </c>
      <c r="N902" s="163">
        <v>0</v>
      </c>
      <c r="O902" s="163">
        <v>12179813</v>
      </c>
      <c r="P902" s="163">
        <v>1078205.76</v>
      </c>
      <c r="Q902" s="163">
        <v>13.55330107</v>
      </c>
      <c r="R902" s="163">
        <v>8.8523999500000006E-2</v>
      </c>
      <c r="S902" s="161">
        <v>153.10312622000001</v>
      </c>
      <c r="T902">
        <f t="shared" si="30"/>
        <v>1.7773533580358318E-3</v>
      </c>
    </row>
    <row r="903" spans="2:20">
      <c r="B903" s="163" t="s">
        <v>1090</v>
      </c>
      <c r="C903" s="163" t="s">
        <v>1091</v>
      </c>
      <c r="D903" s="163" t="s">
        <v>1065</v>
      </c>
      <c r="E903" s="163" t="s">
        <v>853</v>
      </c>
      <c r="F903" s="163" t="s">
        <v>1027</v>
      </c>
      <c r="G903" s="163">
        <v>4</v>
      </c>
      <c r="H903" s="163">
        <v>7</v>
      </c>
      <c r="I903" s="163">
        <v>1</v>
      </c>
      <c r="J903" s="163">
        <v>0</v>
      </c>
      <c r="K903" s="163">
        <v>1</v>
      </c>
      <c r="L903" s="163">
        <v>3</v>
      </c>
      <c r="M903" s="163">
        <v>68926</v>
      </c>
      <c r="N903" s="163">
        <v>0</v>
      </c>
      <c r="O903" s="163">
        <v>9586143</v>
      </c>
      <c r="P903" s="163">
        <v>646110.14</v>
      </c>
      <c r="Q903" s="163">
        <v>9.3739683138000007</v>
      </c>
      <c r="R903" s="163">
        <v>6.7400427900000004E-2</v>
      </c>
      <c r="S903" s="161">
        <v>139.07876562999999</v>
      </c>
      <c r="T903">
        <f t="shared" si="30"/>
        <v>1.3988690509174223E-3</v>
      </c>
    </row>
    <row r="904" spans="2:20">
      <c r="B904" s="163" t="s">
        <v>1092</v>
      </c>
      <c r="C904" s="163" t="s">
        <v>1093</v>
      </c>
      <c r="D904" s="163" t="s">
        <v>1065</v>
      </c>
      <c r="E904" s="163" t="s">
        <v>853</v>
      </c>
      <c r="F904" s="163" t="s">
        <v>1027</v>
      </c>
      <c r="G904" s="163">
        <v>4</v>
      </c>
      <c r="H904" s="163">
        <v>7</v>
      </c>
      <c r="I904" s="163">
        <v>1</v>
      </c>
      <c r="J904" s="163">
        <v>0</v>
      </c>
      <c r="K904" s="163">
        <v>1</v>
      </c>
      <c r="L904" s="163">
        <v>3</v>
      </c>
      <c r="M904" s="163">
        <v>15924</v>
      </c>
      <c r="N904" s="163">
        <v>0</v>
      </c>
      <c r="O904" s="163">
        <v>2117961</v>
      </c>
      <c r="P904" s="163">
        <v>142751.28</v>
      </c>
      <c r="Q904" s="163">
        <v>8.9645365485999999</v>
      </c>
      <c r="R904" s="163">
        <v>6.74003346E-2</v>
      </c>
      <c r="S904" s="161">
        <v>133.00433308000001</v>
      </c>
      <c r="T904">
        <f t="shared" si="30"/>
        <v>3.0906591879029083E-4</v>
      </c>
    </row>
    <row r="905" spans="2:20">
      <c r="B905" s="163" t="s">
        <v>1094</v>
      </c>
      <c r="C905" s="163" t="s">
        <v>1095</v>
      </c>
      <c r="D905" s="163" t="s">
        <v>1065</v>
      </c>
      <c r="E905" s="163" t="s">
        <v>853</v>
      </c>
      <c r="F905" s="163" t="s">
        <v>1027</v>
      </c>
      <c r="G905" s="163">
        <v>4</v>
      </c>
      <c r="H905" s="163">
        <v>7</v>
      </c>
      <c r="I905" s="163">
        <v>1</v>
      </c>
      <c r="J905" s="163">
        <v>0</v>
      </c>
      <c r="K905" s="163">
        <v>1</v>
      </c>
      <c r="L905" s="163">
        <v>3</v>
      </c>
      <c r="M905" s="163">
        <v>34392</v>
      </c>
      <c r="N905" s="163">
        <v>0</v>
      </c>
      <c r="O905" s="163">
        <v>4885004</v>
      </c>
      <c r="P905" s="163">
        <v>329428.87</v>
      </c>
      <c r="Q905" s="163">
        <v>9.5786482321000008</v>
      </c>
      <c r="R905" s="163">
        <v>6.7436765699999998E-2</v>
      </c>
      <c r="S905" s="161">
        <v>142.03896255000001</v>
      </c>
      <c r="T905">
        <f t="shared" si="30"/>
        <v>7.1284988229445483E-4</v>
      </c>
    </row>
    <row r="906" spans="2:20">
      <c r="B906" s="163" t="s">
        <v>1096</v>
      </c>
      <c r="C906" s="163" t="s">
        <v>1097</v>
      </c>
      <c r="D906" s="163" t="s">
        <v>1065</v>
      </c>
      <c r="E906" s="163" t="s">
        <v>853</v>
      </c>
      <c r="F906" s="163" t="s">
        <v>1027</v>
      </c>
      <c r="G906" s="163">
        <v>4</v>
      </c>
      <c r="H906" s="163">
        <v>7</v>
      </c>
      <c r="I906" s="163">
        <v>1</v>
      </c>
      <c r="J906" s="163">
        <v>0</v>
      </c>
      <c r="K906" s="163">
        <v>1</v>
      </c>
      <c r="L906" s="163">
        <v>3</v>
      </c>
      <c r="M906" s="163">
        <v>13159</v>
      </c>
      <c r="N906" s="163">
        <v>0</v>
      </c>
      <c r="O906" s="163">
        <v>1863483</v>
      </c>
      <c r="P906" s="163">
        <v>125449.34</v>
      </c>
      <c r="Q906" s="163">
        <v>9.5333490387000008</v>
      </c>
      <c r="R906" s="163">
        <v>6.7319819899999994E-2</v>
      </c>
      <c r="S906" s="161">
        <v>141.61281252000001</v>
      </c>
      <c r="T906">
        <f t="shared" si="30"/>
        <v>2.719309210816854E-4</v>
      </c>
    </row>
    <row r="907" spans="2:20">
      <c r="B907" s="163" t="s">
        <v>1098</v>
      </c>
      <c r="C907" s="163" t="s">
        <v>1099</v>
      </c>
      <c r="D907" s="163" t="s">
        <v>1065</v>
      </c>
      <c r="E907" s="163" t="s">
        <v>853</v>
      </c>
      <c r="F907" s="163" t="s">
        <v>1027</v>
      </c>
      <c r="G907" s="163">
        <v>4</v>
      </c>
      <c r="H907" s="163">
        <v>7</v>
      </c>
      <c r="I907" s="163">
        <v>1</v>
      </c>
      <c r="J907" s="163">
        <v>0</v>
      </c>
      <c r="K907" s="163">
        <v>1</v>
      </c>
      <c r="L907" s="163">
        <v>3</v>
      </c>
      <c r="M907" s="163">
        <v>3</v>
      </c>
      <c r="N907" s="163">
        <v>0</v>
      </c>
      <c r="O907" s="163">
        <v>260</v>
      </c>
      <c r="P907" s="163">
        <v>14.47</v>
      </c>
      <c r="Q907" s="163">
        <v>4.8233333332999999</v>
      </c>
      <c r="R907" s="163">
        <v>5.5653846200000003E-2</v>
      </c>
      <c r="S907" s="161">
        <v>86.666666667000001</v>
      </c>
      <c r="T907">
        <f t="shared" si="30"/>
        <v>3.7940801972026689E-8</v>
      </c>
    </row>
    <row r="908" spans="2:20">
      <c r="B908" s="163" t="s">
        <v>1100</v>
      </c>
      <c r="C908" s="163" t="s">
        <v>1101</v>
      </c>
      <c r="D908" s="163" t="s">
        <v>1065</v>
      </c>
      <c r="E908" s="163" t="s">
        <v>853</v>
      </c>
      <c r="F908" s="163" t="s">
        <v>1027</v>
      </c>
      <c r="G908" s="163">
        <v>4</v>
      </c>
      <c r="H908" s="163">
        <v>7</v>
      </c>
      <c r="I908" s="163">
        <v>1</v>
      </c>
      <c r="J908" s="163">
        <v>0</v>
      </c>
      <c r="K908" s="163">
        <v>1</v>
      </c>
      <c r="L908" s="163">
        <v>3</v>
      </c>
      <c r="M908" s="163">
        <v>251.2</v>
      </c>
      <c r="N908" s="163">
        <v>222.2</v>
      </c>
      <c r="O908" s="163">
        <v>24069.9</v>
      </c>
      <c r="P908" s="163">
        <v>4164.3879999999999</v>
      </c>
      <c r="Q908" s="163">
        <v>16.577977706999999</v>
      </c>
      <c r="R908" s="163">
        <v>0.1730122684</v>
      </c>
      <c r="S908" s="161">
        <v>95.819665604999997</v>
      </c>
      <c r="T908">
        <f t="shared" si="30"/>
        <v>3.5124281130249428E-6</v>
      </c>
    </row>
    <row r="909" spans="2:20">
      <c r="B909" s="163" t="s">
        <v>1102</v>
      </c>
      <c r="C909" s="163" t="s">
        <v>1103</v>
      </c>
      <c r="D909" s="163" t="s">
        <v>1065</v>
      </c>
      <c r="E909" s="163" t="s">
        <v>853</v>
      </c>
      <c r="F909" s="163" t="s">
        <v>1027</v>
      </c>
      <c r="G909" s="163">
        <v>4</v>
      </c>
      <c r="H909" s="163">
        <v>7</v>
      </c>
      <c r="I909" s="163">
        <v>1</v>
      </c>
      <c r="J909" s="163">
        <v>0</v>
      </c>
      <c r="K909" s="163">
        <v>1</v>
      </c>
      <c r="L909" s="163">
        <v>3</v>
      </c>
      <c r="M909" s="163">
        <v>4015.8</v>
      </c>
      <c r="N909" s="163">
        <v>3360.8</v>
      </c>
      <c r="O909" s="163">
        <v>373749.1</v>
      </c>
      <c r="P909" s="163">
        <v>61614.771999999997</v>
      </c>
      <c r="Q909" s="163">
        <v>15.343087803</v>
      </c>
      <c r="R909" s="163">
        <v>0.16485597420000001</v>
      </c>
      <c r="S909" s="161">
        <v>93.069649882999997</v>
      </c>
      <c r="T909">
        <f t="shared" si="30"/>
        <v>5.4539771501243073E-5</v>
      </c>
    </row>
    <row r="910" spans="2:20">
      <c r="B910" s="163" t="s">
        <v>1104</v>
      </c>
      <c r="C910" s="163" t="s">
        <v>1105</v>
      </c>
      <c r="D910" s="163" t="s">
        <v>1065</v>
      </c>
      <c r="E910" s="163" t="s">
        <v>853</v>
      </c>
      <c r="F910" s="163" t="s">
        <v>1027</v>
      </c>
      <c r="G910" s="163">
        <v>4</v>
      </c>
      <c r="H910" s="163">
        <v>7</v>
      </c>
      <c r="I910" s="163">
        <v>1</v>
      </c>
      <c r="J910" s="163">
        <v>0</v>
      </c>
      <c r="K910" s="163">
        <v>1</v>
      </c>
      <c r="L910" s="163">
        <v>3</v>
      </c>
      <c r="M910" s="163">
        <v>3229366</v>
      </c>
      <c r="N910" s="163">
        <v>0</v>
      </c>
      <c r="O910" s="163">
        <v>388370395</v>
      </c>
      <c r="P910" s="163">
        <v>12079484.300000001</v>
      </c>
      <c r="Q910" s="163">
        <v>3.7405126269000002</v>
      </c>
      <c r="R910" s="163">
        <v>3.11029998E-2</v>
      </c>
      <c r="S910" s="161">
        <v>120.26211800999999</v>
      </c>
      <c r="T910">
        <f t="shared" si="30"/>
        <v>5.6673400955741471E-2</v>
      </c>
    </row>
    <row r="911" spans="2:20">
      <c r="B911" s="163" t="s">
        <v>1106</v>
      </c>
      <c r="C911" s="163" t="s">
        <v>1107</v>
      </c>
      <c r="D911" s="163" t="s">
        <v>1065</v>
      </c>
      <c r="E911" s="163" t="s">
        <v>853</v>
      </c>
      <c r="F911" s="163" t="s">
        <v>1027</v>
      </c>
      <c r="G911" s="163">
        <v>4</v>
      </c>
      <c r="H911" s="163">
        <v>7</v>
      </c>
      <c r="I911" s="163">
        <v>1</v>
      </c>
      <c r="J911" s="163">
        <v>0</v>
      </c>
      <c r="K911" s="163">
        <v>1</v>
      </c>
      <c r="L911" s="163">
        <v>3</v>
      </c>
      <c r="M911" s="163">
        <v>266340</v>
      </c>
      <c r="N911" s="163">
        <v>0</v>
      </c>
      <c r="O911" s="163">
        <v>32500103</v>
      </c>
      <c r="P911" s="163">
        <v>1251277.8</v>
      </c>
      <c r="Q911" s="163">
        <v>4.6980468573999996</v>
      </c>
      <c r="R911" s="163">
        <v>3.8500733400000001E-2</v>
      </c>
      <c r="S911" s="161">
        <v>122.02486671</v>
      </c>
      <c r="T911">
        <f t="shared" si="30"/>
        <v>4.7426152768979633E-3</v>
      </c>
    </row>
    <row r="912" spans="2:20">
      <c r="B912" s="163" t="s">
        <v>1108</v>
      </c>
      <c r="C912" s="163" t="s">
        <v>1109</v>
      </c>
      <c r="D912" s="163" t="s">
        <v>1065</v>
      </c>
      <c r="E912" s="163" t="s">
        <v>853</v>
      </c>
      <c r="F912" s="163" t="s">
        <v>1027</v>
      </c>
      <c r="G912" s="163">
        <v>4</v>
      </c>
      <c r="H912" s="163">
        <v>7</v>
      </c>
      <c r="I912" s="163">
        <v>1</v>
      </c>
      <c r="J912" s="163">
        <v>0</v>
      </c>
      <c r="K912" s="163">
        <v>1</v>
      </c>
      <c r="L912" s="163">
        <v>3</v>
      </c>
      <c r="M912" s="163">
        <v>4853</v>
      </c>
      <c r="N912" s="163">
        <v>0</v>
      </c>
      <c r="O912" s="163">
        <v>616656</v>
      </c>
      <c r="P912" s="163">
        <v>50875.3</v>
      </c>
      <c r="Q912" s="163">
        <v>10.483268082</v>
      </c>
      <c r="R912" s="163">
        <v>8.2501913499999996E-2</v>
      </c>
      <c r="S912" s="161">
        <v>127.06696889</v>
      </c>
      <c r="T912">
        <f t="shared" si="30"/>
        <v>8.9986243003315728E-5</v>
      </c>
    </row>
    <row r="913" spans="2:20">
      <c r="B913" s="163" t="s">
        <v>1110</v>
      </c>
      <c r="C913" s="163" t="s">
        <v>1111</v>
      </c>
      <c r="D913" s="163" t="s">
        <v>1065</v>
      </c>
      <c r="E913" s="163" t="s">
        <v>853</v>
      </c>
      <c r="F913" s="163" t="s">
        <v>1027</v>
      </c>
      <c r="G913" s="163">
        <v>4</v>
      </c>
      <c r="H913" s="163">
        <v>7</v>
      </c>
      <c r="I913" s="163">
        <v>1</v>
      </c>
      <c r="J913" s="163">
        <v>0</v>
      </c>
      <c r="K913" s="163">
        <v>1</v>
      </c>
      <c r="L913" s="163">
        <v>3</v>
      </c>
      <c r="M913" s="163">
        <v>3141</v>
      </c>
      <c r="N913" s="163">
        <v>0</v>
      </c>
      <c r="O913" s="163">
        <v>383808</v>
      </c>
      <c r="P913" s="163">
        <v>30128.78</v>
      </c>
      <c r="Q913" s="163">
        <v>9.5920980578999995</v>
      </c>
      <c r="R913" s="163">
        <v>7.8499614400000001E-2</v>
      </c>
      <c r="S913" s="161">
        <v>122.19293218999999</v>
      </c>
      <c r="T913">
        <f t="shared" si="30"/>
        <v>5.6007628166460072E-5</v>
      </c>
    </row>
    <row r="914" spans="2:20">
      <c r="B914" s="163" t="s">
        <v>1112</v>
      </c>
      <c r="C914" s="163" t="s">
        <v>1113</v>
      </c>
      <c r="D914" s="163" t="s">
        <v>1065</v>
      </c>
      <c r="E914" s="163" t="s">
        <v>853</v>
      </c>
      <c r="F914" s="163" t="s">
        <v>1027</v>
      </c>
      <c r="G914" s="163">
        <v>4</v>
      </c>
      <c r="H914" s="163">
        <v>7</v>
      </c>
      <c r="I914" s="163">
        <v>1</v>
      </c>
      <c r="J914" s="163">
        <v>0</v>
      </c>
      <c r="K914" s="163">
        <v>1</v>
      </c>
      <c r="L914" s="163">
        <v>3</v>
      </c>
      <c r="M914" s="163">
        <v>16835</v>
      </c>
      <c r="N914" s="163">
        <v>16639</v>
      </c>
      <c r="O914" s="163">
        <v>1807636</v>
      </c>
      <c r="P914" s="163">
        <v>149137.07999999999</v>
      </c>
      <c r="Q914" s="163">
        <v>8.8587514108000001</v>
      </c>
      <c r="R914" s="163">
        <v>8.2503933299999999E-2</v>
      </c>
      <c r="S914" s="161">
        <v>107.37368576999999</v>
      </c>
      <c r="T914">
        <f t="shared" si="30"/>
        <v>2.6378138274425549E-4</v>
      </c>
    </row>
    <row r="915" spans="2:20">
      <c r="B915" s="163" t="s">
        <v>1114</v>
      </c>
      <c r="C915" s="163" t="s">
        <v>1115</v>
      </c>
      <c r="D915" s="163" t="s">
        <v>1065</v>
      </c>
      <c r="E915" s="163" t="s">
        <v>853</v>
      </c>
      <c r="F915" s="163" t="s">
        <v>1027</v>
      </c>
      <c r="G915" s="163">
        <v>4</v>
      </c>
      <c r="H915" s="163">
        <v>7</v>
      </c>
      <c r="I915" s="163">
        <v>1</v>
      </c>
      <c r="J915" s="163">
        <v>0</v>
      </c>
      <c r="K915" s="163">
        <v>1</v>
      </c>
      <c r="L915" s="163">
        <v>3</v>
      </c>
      <c r="M915" s="163">
        <v>13935</v>
      </c>
      <c r="N915" s="163">
        <v>0</v>
      </c>
      <c r="O915" s="163">
        <v>447809</v>
      </c>
      <c r="P915" s="163">
        <v>84610.62</v>
      </c>
      <c r="Q915" s="163">
        <v>6.0718062433000002</v>
      </c>
      <c r="R915" s="163">
        <v>0.1889435451</v>
      </c>
      <c r="S915" s="161">
        <v>32.135557947999999</v>
      </c>
      <c r="T915">
        <f t="shared" si="30"/>
        <v>6.5347048424197306E-5</v>
      </c>
    </row>
    <row r="916" spans="2:20">
      <c r="B916" s="163" t="s">
        <v>1116</v>
      </c>
      <c r="C916" s="163" t="s">
        <v>1117</v>
      </c>
      <c r="D916" s="163" t="s">
        <v>1065</v>
      </c>
      <c r="E916" s="163" t="s">
        <v>853</v>
      </c>
      <c r="F916" s="163" t="s">
        <v>1027</v>
      </c>
      <c r="G916" s="163">
        <v>4</v>
      </c>
      <c r="H916" s="163">
        <v>7</v>
      </c>
      <c r="I916" s="163">
        <v>1</v>
      </c>
      <c r="J916" s="163">
        <v>0</v>
      </c>
      <c r="K916" s="163">
        <v>1</v>
      </c>
      <c r="L916" s="163">
        <v>3</v>
      </c>
      <c r="M916" s="163">
        <v>4</v>
      </c>
      <c r="N916" s="163">
        <v>0</v>
      </c>
      <c r="O916" s="163">
        <v>328</v>
      </c>
      <c r="P916" s="163">
        <v>7.49</v>
      </c>
      <c r="Q916" s="163">
        <v>1.8725000000000001</v>
      </c>
      <c r="R916" s="163">
        <v>2.2835365900000001E-2</v>
      </c>
      <c r="S916" s="161">
        <v>82</v>
      </c>
      <c r="T916">
        <f t="shared" si="30"/>
        <v>4.7863780949325973E-8</v>
      </c>
    </row>
    <row r="917" spans="2:20">
      <c r="B917" s="163" t="s">
        <v>1118</v>
      </c>
      <c r="C917" s="163" t="s">
        <v>1119</v>
      </c>
      <c r="D917" s="163" t="s">
        <v>1120</v>
      </c>
      <c r="E917" s="163" t="s">
        <v>853</v>
      </c>
      <c r="F917" s="163" t="s">
        <v>1027</v>
      </c>
      <c r="G917" s="163">
        <v>4</v>
      </c>
      <c r="H917" s="163">
        <v>7</v>
      </c>
      <c r="I917" s="163">
        <v>1</v>
      </c>
      <c r="J917" s="163">
        <v>0</v>
      </c>
      <c r="K917" s="163">
        <v>3</v>
      </c>
      <c r="L917" s="163">
        <v>1</v>
      </c>
      <c r="M917" s="163">
        <v>4756</v>
      </c>
      <c r="N917" s="163">
        <v>0</v>
      </c>
      <c r="O917" s="163">
        <v>2317511</v>
      </c>
      <c r="P917" s="163">
        <v>367654.16</v>
      </c>
      <c r="Q917" s="163">
        <v>77.303229604999999</v>
      </c>
      <c r="R917" s="163">
        <v>0.15864181869999999</v>
      </c>
      <c r="S917" s="161">
        <v>487.28153910999998</v>
      </c>
      <c r="T917">
        <f t="shared" si="30"/>
        <v>3.3818548430382129E-4</v>
      </c>
    </row>
    <row r="918" spans="2:20">
      <c r="B918" s="163" t="s">
        <v>1121</v>
      </c>
      <c r="C918" s="163" t="s">
        <v>1122</v>
      </c>
      <c r="D918" s="163" t="s">
        <v>1120</v>
      </c>
      <c r="E918" s="163" t="s">
        <v>853</v>
      </c>
      <c r="F918" s="163" t="s">
        <v>1027</v>
      </c>
      <c r="G918" s="163">
        <v>4</v>
      </c>
      <c r="H918" s="163">
        <v>7</v>
      </c>
      <c r="I918" s="163">
        <v>1</v>
      </c>
      <c r="J918" s="163">
        <v>0</v>
      </c>
      <c r="K918" s="163">
        <v>3</v>
      </c>
      <c r="L918" s="163">
        <v>1</v>
      </c>
      <c r="M918" s="163">
        <v>107000</v>
      </c>
      <c r="N918" s="163">
        <v>0</v>
      </c>
      <c r="O918" s="163">
        <v>21142179</v>
      </c>
      <c r="P918" s="163">
        <v>251588.94</v>
      </c>
      <c r="Q918" s="163">
        <v>2.3512985046999999</v>
      </c>
      <c r="R918" s="163">
        <v>1.18998586E-2</v>
      </c>
      <c r="S918" s="161">
        <v>197.59045793999999</v>
      </c>
      <c r="T918">
        <f t="shared" si="30"/>
        <v>3.0851970257543891E-3</v>
      </c>
    </row>
    <row r="919" spans="2:20">
      <c r="B919" s="163" t="s">
        <v>1123</v>
      </c>
      <c r="C919" s="163" t="s">
        <v>1124</v>
      </c>
      <c r="D919" s="163" t="s">
        <v>1120</v>
      </c>
      <c r="E919" s="163" t="s">
        <v>853</v>
      </c>
      <c r="F919" s="163" t="s">
        <v>1027</v>
      </c>
      <c r="G919" s="163">
        <v>4</v>
      </c>
      <c r="H919" s="163">
        <v>7</v>
      </c>
      <c r="I919" s="163">
        <v>1</v>
      </c>
      <c r="J919" s="163">
        <v>0</v>
      </c>
      <c r="K919" s="163">
        <v>1</v>
      </c>
      <c r="L919" s="163">
        <v>1</v>
      </c>
      <c r="M919" s="163">
        <v>797654</v>
      </c>
      <c r="N919" s="163">
        <v>0</v>
      </c>
      <c r="O919" s="163">
        <v>102923007</v>
      </c>
      <c r="P919" s="163">
        <v>2344075.5499999998</v>
      </c>
      <c r="Q919" s="163">
        <v>2.9387122110999999</v>
      </c>
      <c r="R919" s="163">
        <v>2.27750395E-2</v>
      </c>
      <c r="S919" s="161">
        <v>129.03214552</v>
      </c>
      <c r="T919">
        <f t="shared" si="30"/>
        <v>1.5019159334432755E-2</v>
      </c>
    </row>
    <row r="920" spans="2:20">
      <c r="B920" s="163" t="s">
        <v>1123</v>
      </c>
      <c r="C920" s="163" t="s">
        <v>1124</v>
      </c>
      <c r="D920" s="163" t="s">
        <v>1120</v>
      </c>
      <c r="E920" s="163" t="s">
        <v>853</v>
      </c>
      <c r="F920" s="163" t="s">
        <v>1027</v>
      </c>
      <c r="G920" s="163">
        <v>4</v>
      </c>
      <c r="H920" s="163">
        <v>7</v>
      </c>
      <c r="I920" s="163">
        <v>1</v>
      </c>
      <c r="J920" s="163">
        <v>0</v>
      </c>
      <c r="K920" s="163">
        <v>1</v>
      </c>
      <c r="L920" s="163">
        <v>3</v>
      </c>
      <c r="M920" s="163">
        <v>3</v>
      </c>
      <c r="N920" s="163">
        <v>0</v>
      </c>
      <c r="O920" s="163">
        <v>292</v>
      </c>
      <c r="P920" s="163">
        <v>16.63</v>
      </c>
      <c r="Q920" s="163">
        <v>5.5433333332999997</v>
      </c>
      <c r="R920" s="163">
        <v>5.6952054799999999E-2</v>
      </c>
      <c r="S920" s="161">
        <v>97.333333332999999</v>
      </c>
      <c r="T920">
        <f t="shared" si="30"/>
        <v>4.2610439137814583E-8</v>
      </c>
    </row>
    <row r="921" spans="2:20">
      <c r="B921" s="163" t="s">
        <v>1125</v>
      </c>
      <c r="C921" s="163" t="s">
        <v>1126</v>
      </c>
      <c r="D921" s="163" t="s">
        <v>1120</v>
      </c>
      <c r="E921" s="163" t="s">
        <v>853</v>
      </c>
      <c r="F921" s="163" t="s">
        <v>1027</v>
      </c>
      <c r="G921" s="163">
        <v>4</v>
      </c>
      <c r="H921" s="163">
        <v>7</v>
      </c>
      <c r="I921" s="163">
        <v>1</v>
      </c>
      <c r="J921" s="163">
        <v>0</v>
      </c>
      <c r="K921" s="163">
        <v>3</v>
      </c>
      <c r="L921" s="163">
        <v>1</v>
      </c>
      <c r="M921" s="163">
        <v>120</v>
      </c>
      <c r="N921" s="163">
        <v>0</v>
      </c>
      <c r="O921" s="163">
        <v>27400</v>
      </c>
      <c r="P921" s="163">
        <v>295.14</v>
      </c>
      <c r="Q921" s="163">
        <v>2.4594999999999998</v>
      </c>
      <c r="R921" s="163">
        <v>1.0771532800000001E-2</v>
      </c>
      <c r="S921" s="161">
        <v>228.33333332999999</v>
      </c>
      <c r="T921">
        <f t="shared" si="30"/>
        <v>3.9983768232058892E-6</v>
      </c>
    </row>
    <row r="922" spans="2:20">
      <c r="B922" s="163" t="s">
        <v>1127</v>
      </c>
      <c r="C922" s="163" t="s">
        <v>1128</v>
      </c>
      <c r="D922" s="163" t="s">
        <v>1120</v>
      </c>
      <c r="E922" s="163" t="s">
        <v>853</v>
      </c>
      <c r="F922" s="163" t="s">
        <v>1027</v>
      </c>
      <c r="G922" s="163">
        <v>4</v>
      </c>
      <c r="H922" s="163">
        <v>7</v>
      </c>
      <c r="I922" s="163">
        <v>1</v>
      </c>
      <c r="J922" s="163">
        <v>0</v>
      </c>
      <c r="K922" s="163">
        <v>3</v>
      </c>
      <c r="L922" s="163">
        <v>1</v>
      </c>
      <c r="M922" s="163">
        <v>227502</v>
      </c>
      <c r="N922" s="163">
        <v>0</v>
      </c>
      <c r="O922" s="163">
        <v>134470727</v>
      </c>
      <c r="P922" s="163">
        <v>1765226.13</v>
      </c>
      <c r="Q922" s="163">
        <v>7.7591675238000004</v>
      </c>
      <c r="R922" s="163">
        <v>1.31272149E-2</v>
      </c>
      <c r="S922" s="161">
        <v>591.07492242000001</v>
      </c>
      <c r="T922">
        <f t="shared" si="30"/>
        <v>1.96227970159287E-2</v>
      </c>
    </row>
    <row r="923" spans="2:20">
      <c r="B923" s="163" t="s">
        <v>1129</v>
      </c>
      <c r="C923" s="163" t="s">
        <v>1130</v>
      </c>
      <c r="D923" s="163" t="s">
        <v>1120</v>
      </c>
      <c r="E923" s="163" t="s">
        <v>853</v>
      </c>
      <c r="F923" s="163" t="s">
        <v>1027</v>
      </c>
      <c r="G923" s="163">
        <v>4</v>
      </c>
      <c r="H923" s="163">
        <v>7</v>
      </c>
      <c r="I923" s="163">
        <v>1</v>
      </c>
      <c r="J923" s="163">
        <v>0</v>
      </c>
      <c r="K923" s="163">
        <v>3</v>
      </c>
      <c r="L923" s="163">
        <v>1</v>
      </c>
      <c r="M923" s="163">
        <v>149496</v>
      </c>
      <c r="N923" s="163">
        <v>0</v>
      </c>
      <c r="O923" s="163">
        <v>25472486</v>
      </c>
      <c r="P923" s="163">
        <v>254317.88</v>
      </c>
      <c r="Q923" s="163">
        <v>1.7011684594000001</v>
      </c>
      <c r="R923" s="163">
        <v>9.9840228000000007E-3</v>
      </c>
      <c r="S923" s="161">
        <v>170.38908064</v>
      </c>
      <c r="T923">
        <f t="shared" si="30"/>
        <v>3.7171021040816239E-3</v>
      </c>
    </row>
    <row r="924" spans="2:20">
      <c r="B924" s="163" t="s">
        <v>1131</v>
      </c>
      <c r="C924" s="163" t="s">
        <v>1132</v>
      </c>
      <c r="D924" s="163" t="s">
        <v>1120</v>
      </c>
      <c r="E924" s="163" t="s">
        <v>853</v>
      </c>
      <c r="F924" s="163" t="s">
        <v>1027</v>
      </c>
      <c r="G924" s="163">
        <v>4</v>
      </c>
      <c r="H924" s="163">
        <v>7</v>
      </c>
      <c r="I924" s="163">
        <v>1</v>
      </c>
      <c r="J924" s="163">
        <v>0</v>
      </c>
      <c r="K924" s="163">
        <v>1</v>
      </c>
      <c r="L924" s="163">
        <v>1</v>
      </c>
      <c r="M924" s="163">
        <v>15749204</v>
      </c>
      <c r="N924" s="163">
        <v>0</v>
      </c>
      <c r="O924" s="163">
        <v>1971397892</v>
      </c>
      <c r="P924" s="163">
        <v>28130468.41</v>
      </c>
      <c r="Q924" s="163">
        <v>1.7861517578999999</v>
      </c>
      <c r="R924" s="163">
        <v>1.42693002E-2</v>
      </c>
      <c r="S924" s="161">
        <v>125.17444639999999</v>
      </c>
      <c r="T924">
        <f t="shared" si="30"/>
        <v>0.28767852703247249</v>
      </c>
    </row>
    <row r="925" spans="2:20">
      <c r="B925" s="163" t="s">
        <v>1133</v>
      </c>
      <c r="C925" s="163" t="s">
        <v>1134</v>
      </c>
      <c r="D925" s="163" t="s">
        <v>1120</v>
      </c>
      <c r="E925" s="163" t="s">
        <v>853</v>
      </c>
      <c r="F925" s="163" t="s">
        <v>1027</v>
      </c>
      <c r="G925" s="163">
        <v>4</v>
      </c>
      <c r="H925" s="163">
        <v>7</v>
      </c>
      <c r="I925" s="163">
        <v>1</v>
      </c>
      <c r="J925" s="163">
        <v>0</v>
      </c>
      <c r="K925" s="163">
        <v>1</v>
      </c>
      <c r="L925" s="163">
        <v>1</v>
      </c>
      <c r="M925" s="163">
        <v>554332</v>
      </c>
      <c r="N925" s="163">
        <v>0</v>
      </c>
      <c r="O925" s="163">
        <v>65461606</v>
      </c>
      <c r="P925" s="163">
        <v>4879284.93</v>
      </c>
      <c r="Q925" s="163">
        <v>8.8020986160000003</v>
      </c>
      <c r="R925" s="163">
        <v>7.4536590700000002E-2</v>
      </c>
      <c r="S925" s="161">
        <v>118.09097436</v>
      </c>
      <c r="T925">
        <f t="shared" si="30"/>
        <v>9.5525608846801311E-3</v>
      </c>
    </row>
    <row r="926" spans="2:20">
      <c r="B926" s="163" t="s">
        <v>1135</v>
      </c>
      <c r="C926" s="163" t="s">
        <v>1136</v>
      </c>
      <c r="D926" s="163" t="s">
        <v>1120</v>
      </c>
      <c r="E926" s="163" t="s">
        <v>853</v>
      </c>
      <c r="F926" s="163" t="s">
        <v>1027</v>
      </c>
      <c r="G926" s="163">
        <v>4</v>
      </c>
      <c r="H926" s="163">
        <v>7</v>
      </c>
      <c r="I926" s="163">
        <v>1</v>
      </c>
      <c r="J926" s="163">
        <v>0</v>
      </c>
      <c r="K926" s="163">
        <v>3</v>
      </c>
      <c r="L926" s="163">
        <v>1</v>
      </c>
      <c r="M926" s="163">
        <v>232383</v>
      </c>
      <c r="N926" s="163">
        <v>0</v>
      </c>
      <c r="O926" s="163">
        <v>36094372</v>
      </c>
      <c r="P926" s="163">
        <v>429533.7</v>
      </c>
      <c r="Q926" s="163">
        <v>1.8483869302</v>
      </c>
      <c r="R926" s="163">
        <v>1.1900295700000001E-2</v>
      </c>
      <c r="S926" s="161">
        <v>155.32277318000001</v>
      </c>
      <c r="T926">
        <f t="shared" si="30"/>
        <v>5.2671131552179413E-3</v>
      </c>
    </row>
    <row r="927" spans="2:20">
      <c r="B927" s="163" t="s">
        <v>1137</v>
      </c>
      <c r="C927" s="163" t="s">
        <v>1138</v>
      </c>
      <c r="D927" s="163" t="s">
        <v>1120</v>
      </c>
      <c r="E927" s="163" t="s">
        <v>853</v>
      </c>
      <c r="F927" s="163" t="s">
        <v>1027</v>
      </c>
      <c r="G927" s="163">
        <v>4</v>
      </c>
      <c r="H927" s="163">
        <v>7</v>
      </c>
      <c r="I927" s="163">
        <v>1</v>
      </c>
      <c r="J927" s="163">
        <v>0</v>
      </c>
      <c r="K927" s="163">
        <v>3</v>
      </c>
      <c r="L927" s="163">
        <v>1</v>
      </c>
      <c r="M927" s="163">
        <v>454657</v>
      </c>
      <c r="N927" s="163">
        <v>0</v>
      </c>
      <c r="O927" s="163">
        <v>281062929</v>
      </c>
      <c r="P927" s="163">
        <v>3222954.33</v>
      </c>
      <c r="Q927" s="163">
        <v>7.0887599442999996</v>
      </c>
      <c r="R927" s="163">
        <v>1.14670204E-2</v>
      </c>
      <c r="S927" s="161">
        <v>618.18674077000003</v>
      </c>
      <c r="T927">
        <f t="shared" si="30"/>
        <v>4.1014434349487677E-2</v>
      </c>
    </row>
    <row r="928" spans="2:20">
      <c r="B928" s="163" t="s">
        <v>1139</v>
      </c>
      <c r="C928" s="163" t="s">
        <v>1140</v>
      </c>
      <c r="D928" s="163" t="s">
        <v>1120</v>
      </c>
      <c r="E928" s="163" t="s">
        <v>853</v>
      </c>
      <c r="F928" s="163" t="s">
        <v>1027</v>
      </c>
      <c r="G928" s="163">
        <v>4</v>
      </c>
      <c r="H928" s="163">
        <v>7</v>
      </c>
      <c r="I928" s="163">
        <v>1</v>
      </c>
      <c r="J928" s="163">
        <v>0</v>
      </c>
      <c r="K928" s="163">
        <v>1</v>
      </c>
      <c r="L928" s="163">
        <v>1</v>
      </c>
      <c r="M928" s="163">
        <v>846</v>
      </c>
      <c r="N928" s="163">
        <v>0</v>
      </c>
      <c r="O928" s="163">
        <v>16983</v>
      </c>
      <c r="P928" s="163">
        <v>101048.85</v>
      </c>
      <c r="Q928" s="163">
        <v>119.44308511</v>
      </c>
      <c r="R928" s="163">
        <v>5.95</v>
      </c>
      <c r="S928" s="161">
        <v>20.074468084999999</v>
      </c>
      <c r="T928">
        <f t="shared" si="30"/>
        <v>2.4782639995804971E-6</v>
      </c>
    </row>
    <row r="929" spans="2:20">
      <c r="B929" s="163" t="s">
        <v>1141</v>
      </c>
      <c r="C929" s="163" t="s">
        <v>1142</v>
      </c>
      <c r="D929" s="163" t="s">
        <v>1120</v>
      </c>
      <c r="E929" s="163" t="s">
        <v>853</v>
      </c>
      <c r="F929" s="163" t="s">
        <v>1027</v>
      </c>
      <c r="G929" s="163">
        <v>4</v>
      </c>
      <c r="H929" s="163">
        <v>7</v>
      </c>
      <c r="I929" s="163">
        <v>1</v>
      </c>
      <c r="J929" s="163">
        <v>0</v>
      </c>
      <c r="K929" s="163">
        <v>1</v>
      </c>
      <c r="L929" s="163">
        <v>1</v>
      </c>
      <c r="M929" s="163">
        <v>8558</v>
      </c>
      <c r="N929" s="163">
        <v>0</v>
      </c>
      <c r="O929" s="163">
        <v>116725</v>
      </c>
      <c r="P929" s="163">
        <v>144622.69</v>
      </c>
      <c r="Q929" s="163">
        <v>16.899122459000001</v>
      </c>
      <c r="R929" s="163">
        <v>1.2390035554000001</v>
      </c>
      <c r="S929" s="161">
        <v>13.63928488</v>
      </c>
      <c r="T929">
        <f t="shared" si="30"/>
        <v>1.703323119301852E-5</v>
      </c>
    </row>
    <row r="930" spans="2:20">
      <c r="B930" s="163" t="s">
        <v>1143</v>
      </c>
      <c r="C930" s="163" t="s">
        <v>1144</v>
      </c>
      <c r="D930" s="163" t="s">
        <v>1120</v>
      </c>
      <c r="E930" s="163" t="s">
        <v>853</v>
      </c>
      <c r="F930" s="163" t="s">
        <v>1027</v>
      </c>
      <c r="G930" s="163">
        <v>4</v>
      </c>
      <c r="H930" s="163">
        <v>7</v>
      </c>
      <c r="I930" s="163">
        <v>1</v>
      </c>
      <c r="J930" s="163">
        <v>0</v>
      </c>
      <c r="K930" s="163">
        <v>1</v>
      </c>
      <c r="L930" s="163">
        <v>1</v>
      </c>
      <c r="M930" s="163">
        <v>2411</v>
      </c>
      <c r="N930" s="163">
        <v>0</v>
      </c>
      <c r="O930" s="163">
        <v>38648</v>
      </c>
      <c r="P930" s="163">
        <v>85064.36</v>
      </c>
      <c r="Q930" s="163">
        <v>35.281775197000002</v>
      </c>
      <c r="R930" s="163">
        <v>2.201002898</v>
      </c>
      <c r="S930" s="161">
        <v>16.029863126999999</v>
      </c>
      <c r="T930">
        <f t="shared" si="30"/>
        <v>5.6397542869803358E-6</v>
      </c>
    </row>
    <row r="931" spans="2:20">
      <c r="B931" s="163" t="s">
        <v>1145</v>
      </c>
      <c r="C931" s="163" t="s">
        <v>1146</v>
      </c>
      <c r="D931" s="163" t="s">
        <v>1120</v>
      </c>
      <c r="E931" s="163" t="s">
        <v>853</v>
      </c>
      <c r="F931" s="163" t="s">
        <v>1027</v>
      </c>
      <c r="G931" s="163">
        <v>4</v>
      </c>
      <c r="H931" s="163">
        <v>7</v>
      </c>
      <c r="I931" s="163">
        <v>1</v>
      </c>
      <c r="J931" s="163">
        <v>0</v>
      </c>
      <c r="K931" s="163">
        <v>1</v>
      </c>
      <c r="L931" s="163">
        <v>1</v>
      </c>
      <c r="M931" s="163">
        <v>5665</v>
      </c>
      <c r="N931" s="163">
        <v>0</v>
      </c>
      <c r="O931" s="163">
        <v>150942</v>
      </c>
      <c r="P931" s="163">
        <v>550937.52</v>
      </c>
      <c r="Q931" s="163">
        <v>97.252872021000002</v>
      </c>
      <c r="R931" s="163">
        <v>3.6499948325</v>
      </c>
      <c r="S931" s="161">
        <v>26.644660194</v>
      </c>
      <c r="T931">
        <f t="shared" si="30"/>
        <v>2.2026386658698663E-5</v>
      </c>
    </row>
    <row r="932" spans="2:20">
      <c r="B932" s="163" t="s">
        <v>1147</v>
      </c>
      <c r="C932" s="163" t="s">
        <v>1148</v>
      </c>
      <c r="D932" s="163" t="s">
        <v>1120</v>
      </c>
      <c r="E932" s="163" t="s">
        <v>853</v>
      </c>
      <c r="F932" s="163" t="s">
        <v>1027</v>
      </c>
      <c r="G932" s="163">
        <v>4</v>
      </c>
      <c r="H932" s="163">
        <v>7</v>
      </c>
      <c r="I932" s="163">
        <v>1</v>
      </c>
      <c r="J932" s="163">
        <v>0</v>
      </c>
      <c r="K932" s="163">
        <v>1</v>
      </c>
      <c r="L932" s="163">
        <v>1</v>
      </c>
      <c r="M932" s="163">
        <v>2309</v>
      </c>
      <c r="N932" s="163">
        <v>0</v>
      </c>
      <c r="O932" s="163">
        <v>38515</v>
      </c>
      <c r="P932" s="163">
        <v>106301.4</v>
      </c>
      <c r="Q932" s="163">
        <v>46.037851883999998</v>
      </c>
      <c r="R932" s="163">
        <v>2.76</v>
      </c>
      <c r="S932" s="161">
        <v>16.680381117</v>
      </c>
      <c r="T932">
        <f t="shared" si="30"/>
        <v>5.6203461075100297E-6</v>
      </c>
    </row>
    <row r="933" spans="2:20">
      <c r="B933" s="163" t="s">
        <v>1149</v>
      </c>
      <c r="C933" s="163" t="s">
        <v>1150</v>
      </c>
      <c r="D933" s="163" t="s">
        <v>1120</v>
      </c>
      <c r="E933" s="163" t="s">
        <v>853</v>
      </c>
      <c r="F933" s="163" t="s">
        <v>1027</v>
      </c>
      <c r="G933" s="163">
        <v>4</v>
      </c>
      <c r="H933" s="163">
        <v>7</v>
      </c>
      <c r="I933" s="163">
        <v>1</v>
      </c>
      <c r="J933" s="163">
        <v>0</v>
      </c>
      <c r="K933" s="163">
        <v>1</v>
      </c>
      <c r="L933" s="163">
        <v>1</v>
      </c>
      <c r="M933" s="163">
        <v>4</v>
      </c>
      <c r="N933" s="163">
        <v>0</v>
      </c>
      <c r="O933" s="163">
        <v>140</v>
      </c>
      <c r="P933" s="163">
        <v>140</v>
      </c>
      <c r="Q933" s="163">
        <v>35</v>
      </c>
      <c r="R933" s="163">
        <v>1</v>
      </c>
      <c r="S933" s="161">
        <v>35</v>
      </c>
      <c r="T933">
        <f t="shared" si="30"/>
        <v>2.0429662600322061E-8</v>
      </c>
    </row>
    <row r="934" spans="2:20">
      <c r="B934" s="163" t="s">
        <v>1151</v>
      </c>
      <c r="C934" s="163" t="s">
        <v>1152</v>
      </c>
      <c r="D934" s="163" t="s">
        <v>1120</v>
      </c>
      <c r="E934" s="163" t="s">
        <v>853</v>
      </c>
      <c r="F934" s="163" t="s">
        <v>1027</v>
      </c>
      <c r="G934" s="163">
        <v>4</v>
      </c>
      <c r="H934" s="163">
        <v>7</v>
      </c>
      <c r="I934" s="163">
        <v>1</v>
      </c>
      <c r="J934" s="163">
        <v>0</v>
      </c>
      <c r="K934" s="163">
        <v>1</v>
      </c>
      <c r="L934" s="163">
        <v>1</v>
      </c>
      <c r="M934" s="163">
        <v>4159</v>
      </c>
      <c r="N934" s="163">
        <v>0</v>
      </c>
      <c r="O934" s="163">
        <v>63119</v>
      </c>
      <c r="P934" s="163">
        <v>87104.22</v>
      </c>
      <c r="Q934" s="163">
        <v>20.943548929999999</v>
      </c>
      <c r="R934" s="163">
        <v>1.38</v>
      </c>
      <c r="S934" s="161">
        <v>15.176484732</v>
      </c>
      <c r="T934">
        <f t="shared" si="30"/>
        <v>9.2107133833552013E-6</v>
      </c>
    </row>
    <row r="935" spans="2:20">
      <c r="B935" s="163" t="s">
        <v>1153</v>
      </c>
      <c r="C935" s="163" t="s">
        <v>1154</v>
      </c>
      <c r="D935" s="163" t="s">
        <v>1120</v>
      </c>
      <c r="E935" s="163" t="s">
        <v>853</v>
      </c>
      <c r="F935" s="163" t="s">
        <v>1027</v>
      </c>
      <c r="G935" s="163">
        <v>4</v>
      </c>
      <c r="H935" s="163">
        <v>7</v>
      </c>
      <c r="I935" s="163">
        <v>1</v>
      </c>
      <c r="J935" s="163">
        <v>0</v>
      </c>
      <c r="K935" s="163">
        <v>3</v>
      </c>
      <c r="L935" s="163">
        <v>1</v>
      </c>
      <c r="M935" s="163">
        <v>85</v>
      </c>
      <c r="N935" s="163">
        <v>0</v>
      </c>
      <c r="O935" s="163">
        <v>32405</v>
      </c>
      <c r="P935" s="163">
        <v>11713.09</v>
      </c>
      <c r="Q935" s="163">
        <v>137.80105882000001</v>
      </c>
      <c r="R935" s="163">
        <v>0.36145934270000002</v>
      </c>
      <c r="S935" s="161">
        <v>381.23529411999999</v>
      </c>
      <c r="T935">
        <f t="shared" si="30"/>
        <v>4.728737261167403E-6</v>
      </c>
    </row>
    <row r="936" spans="2:20">
      <c r="B936" s="163" t="s">
        <v>1155</v>
      </c>
      <c r="C936" s="163" t="s">
        <v>1156</v>
      </c>
      <c r="D936" s="163" t="s">
        <v>1120</v>
      </c>
      <c r="E936" s="163" t="s">
        <v>853</v>
      </c>
      <c r="F936" s="163" t="s">
        <v>1027</v>
      </c>
      <c r="G936" s="163">
        <v>4</v>
      </c>
      <c r="H936" s="163">
        <v>7</v>
      </c>
      <c r="I936" s="163">
        <v>1</v>
      </c>
      <c r="J936" s="163">
        <v>0</v>
      </c>
      <c r="K936" s="163">
        <v>3</v>
      </c>
      <c r="L936" s="163">
        <v>1</v>
      </c>
      <c r="M936" s="163">
        <v>142</v>
      </c>
      <c r="N936" s="163">
        <v>0</v>
      </c>
      <c r="O936" s="163">
        <v>70450</v>
      </c>
      <c r="P936" s="163">
        <v>3326.77</v>
      </c>
      <c r="Q936" s="163">
        <v>23.427957746000001</v>
      </c>
      <c r="R936" s="163">
        <v>4.7221717500000003E-2</v>
      </c>
      <c r="S936" s="161">
        <v>496.12676055999998</v>
      </c>
      <c r="T936">
        <f t="shared" si="30"/>
        <v>1.0280498072804923E-5</v>
      </c>
    </row>
    <row r="937" spans="2:20">
      <c r="B937" s="163" t="s">
        <v>1157</v>
      </c>
      <c r="C937" s="163" t="s">
        <v>1158</v>
      </c>
      <c r="D937" s="163" t="s">
        <v>1120</v>
      </c>
      <c r="E937" s="163" t="s">
        <v>853</v>
      </c>
      <c r="F937" s="163" t="s">
        <v>1027</v>
      </c>
      <c r="G937" s="163">
        <v>4</v>
      </c>
      <c r="H937" s="163">
        <v>7</v>
      </c>
      <c r="I937" s="163">
        <v>1</v>
      </c>
      <c r="J937" s="163">
        <v>0</v>
      </c>
      <c r="K937" s="163">
        <v>1</v>
      </c>
      <c r="L937" s="163">
        <v>1</v>
      </c>
      <c r="M937" s="163">
        <v>180</v>
      </c>
      <c r="N937" s="163">
        <v>0</v>
      </c>
      <c r="O937" s="163">
        <v>8050</v>
      </c>
      <c r="P937" s="163">
        <v>9660</v>
      </c>
      <c r="Q937" s="163">
        <v>53.666666667000001</v>
      </c>
      <c r="R937" s="163">
        <v>1.2</v>
      </c>
      <c r="S937" s="161">
        <v>44.722222221999999</v>
      </c>
      <c r="T937">
        <f t="shared" si="30"/>
        <v>1.1747055995185185E-6</v>
      </c>
    </row>
    <row r="938" spans="2:20">
      <c r="B938" s="163" t="s">
        <v>1159</v>
      </c>
      <c r="C938" s="163" t="s">
        <v>1160</v>
      </c>
      <c r="D938" s="163" t="s">
        <v>1120</v>
      </c>
      <c r="E938" s="163" t="s">
        <v>853</v>
      </c>
      <c r="F938" s="163" t="s">
        <v>1027</v>
      </c>
      <c r="G938" s="163">
        <v>4</v>
      </c>
      <c r="H938" s="163">
        <v>7</v>
      </c>
      <c r="I938" s="163">
        <v>1</v>
      </c>
      <c r="J938" s="163">
        <v>0</v>
      </c>
      <c r="K938" s="163">
        <v>1</v>
      </c>
      <c r="L938" s="163">
        <v>1</v>
      </c>
      <c r="M938" s="163">
        <v>1</v>
      </c>
      <c r="N938" s="163">
        <v>0</v>
      </c>
      <c r="O938" s="163">
        <v>42</v>
      </c>
      <c r="P938" s="163">
        <v>46.2</v>
      </c>
      <c r="Q938" s="163">
        <v>46.2</v>
      </c>
      <c r="R938" s="163">
        <v>1.1000000000000001</v>
      </c>
      <c r="S938" s="161">
        <v>42</v>
      </c>
      <c r="T938">
        <f t="shared" si="30"/>
        <v>6.1288987800966182E-9</v>
      </c>
    </row>
    <row r="939" spans="2:20">
      <c r="B939" s="163" t="s">
        <v>1161</v>
      </c>
      <c r="C939" s="163" t="s">
        <v>1162</v>
      </c>
      <c r="D939" s="163" t="s">
        <v>1120</v>
      </c>
      <c r="E939" s="163" t="s">
        <v>853</v>
      </c>
      <c r="F939" s="163" t="s">
        <v>1027</v>
      </c>
      <c r="G939" s="163">
        <v>4</v>
      </c>
      <c r="H939" s="163">
        <v>7</v>
      </c>
      <c r="I939" s="163">
        <v>1</v>
      </c>
      <c r="J939" s="163">
        <v>0</v>
      </c>
      <c r="K939" s="163">
        <v>1</v>
      </c>
      <c r="L939" s="163">
        <v>1</v>
      </c>
      <c r="M939" s="163">
        <v>43</v>
      </c>
      <c r="N939" s="163">
        <v>0</v>
      </c>
      <c r="O939" s="163">
        <v>3742</v>
      </c>
      <c r="P939" s="163">
        <v>93.4</v>
      </c>
      <c r="Q939" s="163">
        <v>2.1720930233</v>
      </c>
      <c r="R939" s="163">
        <v>2.4959914499999999E-2</v>
      </c>
      <c r="S939" s="161">
        <v>87.023255813999995</v>
      </c>
      <c r="T939">
        <f t="shared" ref="T939:T1002" si="31">O939/SUM($O$874:$O$1513)</f>
        <v>5.4605569607432255E-7</v>
      </c>
    </row>
    <row r="940" spans="2:20">
      <c r="B940" s="163" t="s">
        <v>1163</v>
      </c>
      <c r="C940" s="163" t="s">
        <v>1164</v>
      </c>
      <c r="D940" s="163" t="s">
        <v>1120</v>
      </c>
      <c r="E940" s="163" t="s">
        <v>853</v>
      </c>
      <c r="F940" s="163" t="s">
        <v>1027</v>
      </c>
      <c r="G940" s="163">
        <v>4</v>
      </c>
      <c r="H940" s="163">
        <v>7</v>
      </c>
      <c r="I940" s="163">
        <v>1</v>
      </c>
      <c r="J940" s="163">
        <v>0</v>
      </c>
      <c r="K940" s="163">
        <v>3</v>
      </c>
      <c r="L940" s="163">
        <v>1</v>
      </c>
      <c r="M940" s="163">
        <v>11010</v>
      </c>
      <c r="N940" s="163">
        <v>0</v>
      </c>
      <c r="O940" s="163">
        <v>5092366</v>
      </c>
      <c r="P940" s="163">
        <v>461409.83</v>
      </c>
      <c r="Q940" s="163">
        <v>41.908249773000001</v>
      </c>
      <c r="R940" s="163">
        <v>9.0608143599999996E-2</v>
      </c>
      <c r="S940" s="161">
        <v>462.52188919000002</v>
      </c>
      <c r="T940">
        <f t="shared" si="31"/>
        <v>7.4310942298108325E-4</v>
      </c>
    </row>
    <row r="941" spans="2:20">
      <c r="B941" s="163" t="s">
        <v>1165</v>
      </c>
      <c r="C941" s="163" t="s">
        <v>1166</v>
      </c>
      <c r="D941" s="163" t="s">
        <v>1120</v>
      </c>
      <c r="E941" s="163" t="s">
        <v>853</v>
      </c>
      <c r="F941" s="163" t="s">
        <v>1027</v>
      </c>
      <c r="G941" s="163">
        <v>4</v>
      </c>
      <c r="H941" s="163">
        <v>7</v>
      </c>
      <c r="I941" s="163">
        <v>1</v>
      </c>
      <c r="J941" s="163">
        <v>0</v>
      </c>
      <c r="K941" s="163">
        <v>1</v>
      </c>
      <c r="L941" s="163">
        <v>1</v>
      </c>
      <c r="M941" s="163">
        <v>5</v>
      </c>
      <c r="N941" s="163">
        <v>0</v>
      </c>
      <c r="O941" s="163">
        <v>440</v>
      </c>
      <c r="P941" s="163">
        <v>4372.6000000000004</v>
      </c>
      <c r="Q941" s="163">
        <v>874.52</v>
      </c>
      <c r="R941" s="163">
        <v>9.9377272727000001</v>
      </c>
      <c r="S941" s="161">
        <v>88</v>
      </c>
      <c r="T941">
        <f t="shared" si="31"/>
        <v>6.420751102958362E-8</v>
      </c>
    </row>
    <row r="942" spans="2:20">
      <c r="B942" s="163" t="s">
        <v>1167</v>
      </c>
      <c r="C942" s="163" t="s">
        <v>1168</v>
      </c>
      <c r="D942" s="163" t="s">
        <v>1120</v>
      </c>
      <c r="E942" s="163" t="s">
        <v>853</v>
      </c>
      <c r="F942" s="163" t="s">
        <v>1027</v>
      </c>
      <c r="G942" s="163">
        <v>4</v>
      </c>
      <c r="H942" s="163">
        <v>7</v>
      </c>
      <c r="I942" s="163">
        <v>1</v>
      </c>
      <c r="J942" s="163">
        <v>0</v>
      </c>
      <c r="K942" s="163">
        <v>1</v>
      </c>
      <c r="L942" s="163">
        <v>1</v>
      </c>
      <c r="M942" s="163">
        <v>15502</v>
      </c>
      <c r="N942" s="163">
        <v>0</v>
      </c>
      <c r="O942" s="163">
        <v>1670834</v>
      </c>
      <c r="P942" s="163">
        <v>128526.02</v>
      </c>
      <c r="Q942" s="163">
        <v>8.2909314927000004</v>
      </c>
      <c r="R942" s="163">
        <v>7.6923273E-2</v>
      </c>
      <c r="S942" s="161">
        <v>107.7818346</v>
      </c>
      <c r="T942">
        <f t="shared" si="31"/>
        <v>2.4381839200818937E-4</v>
      </c>
    </row>
    <row r="943" spans="2:20">
      <c r="B943" s="163" t="s">
        <v>1169</v>
      </c>
      <c r="C943" s="163" t="s">
        <v>1170</v>
      </c>
      <c r="D943" s="163" t="s">
        <v>1120</v>
      </c>
      <c r="E943" s="163" t="s">
        <v>853</v>
      </c>
      <c r="F943" s="163" t="s">
        <v>1027</v>
      </c>
      <c r="G943" s="163">
        <v>4</v>
      </c>
      <c r="H943" s="163">
        <v>7</v>
      </c>
      <c r="I943" s="163">
        <v>1</v>
      </c>
      <c r="J943" s="163">
        <v>0</v>
      </c>
      <c r="K943" s="163">
        <v>1</v>
      </c>
      <c r="L943" s="163">
        <v>3</v>
      </c>
      <c r="M943" s="163">
        <v>5</v>
      </c>
      <c r="N943" s="163">
        <v>0</v>
      </c>
      <c r="O943" s="163">
        <v>996</v>
      </c>
      <c r="P943" s="163">
        <v>14.09</v>
      </c>
      <c r="Q943" s="163">
        <v>2.8180000000000001</v>
      </c>
      <c r="R943" s="163">
        <v>1.41465863E-2</v>
      </c>
      <c r="S943" s="161">
        <v>199.2</v>
      </c>
      <c r="T943">
        <f t="shared" si="31"/>
        <v>1.4534245678514839E-7</v>
      </c>
    </row>
    <row r="944" spans="2:20">
      <c r="B944" s="163" t="s">
        <v>1171</v>
      </c>
      <c r="C944" s="163" t="s">
        <v>1172</v>
      </c>
      <c r="D944" s="163" t="s">
        <v>1120</v>
      </c>
      <c r="E944" s="163" t="s">
        <v>853</v>
      </c>
      <c r="F944" s="163" t="s">
        <v>1027</v>
      </c>
      <c r="G944" s="163">
        <v>4</v>
      </c>
      <c r="H944" s="163">
        <v>7</v>
      </c>
      <c r="I944" s="163">
        <v>1</v>
      </c>
      <c r="J944" s="163">
        <v>0</v>
      </c>
      <c r="K944" s="163">
        <v>1</v>
      </c>
      <c r="L944" s="163">
        <v>3</v>
      </c>
      <c r="M944" s="163">
        <v>2</v>
      </c>
      <c r="N944" s="163">
        <v>2</v>
      </c>
      <c r="O944" s="163">
        <v>23</v>
      </c>
      <c r="P944" s="163">
        <v>1.94</v>
      </c>
      <c r="Q944" s="163">
        <v>0.97</v>
      </c>
      <c r="R944" s="163">
        <v>8.4347826099999995E-2</v>
      </c>
      <c r="S944" s="161">
        <v>11.5</v>
      </c>
      <c r="T944">
        <f t="shared" si="31"/>
        <v>3.3563017129100529E-9</v>
      </c>
    </row>
    <row r="945" spans="2:20">
      <c r="B945" s="163" t="s">
        <v>1173</v>
      </c>
      <c r="C945" s="163" t="s">
        <v>1174</v>
      </c>
      <c r="D945" s="163" t="s">
        <v>1120</v>
      </c>
      <c r="E945" s="163" t="s">
        <v>853</v>
      </c>
      <c r="F945" s="163" t="s">
        <v>1027</v>
      </c>
      <c r="G945" s="163">
        <v>4</v>
      </c>
      <c r="H945" s="163">
        <v>7</v>
      </c>
      <c r="I945" s="163">
        <v>1</v>
      </c>
      <c r="J945" s="163">
        <v>0</v>
      </c>
      <c r="K945" s="163">
        <v>3</v>
      </c>
      <c r="L945" s="163">
        <v>3</v>
      </c>
      <c r="M945" s="163">
        <v>2</v>
      </c>
      <c r="N945" s="163">
        <v>0</v>
      </c>
      <c r="O945" s="163">
        <v>400</v>
      </c>
      <c r="P945" s="163">
        <v>4.76</v>
      </c>
      <c r="Q945" s="163">
        <v>2.38</v>
      </c>
      <c r="R945" s="163">
        <v>1.1900000000000001E-2</v>
      </c>
      <c r="S945" s="161">
        <v>200</v>
      </c>
      <c r="T945">
        <f t="shared" si="31"/>
        <v>5.8370464572348747E-8</v>
      </c>
    </row>
    <row r="946" spans="2:20">
      <c r="B946" s="163" t="s">
        <v>1175</v>
      </c>
      <c r="C946" s="163" t="s">
        <v>1176</v>
      </c>
      <c r="D946" s="163" t="s">
        <v>1120</v>
      </c>
      <c r="E946" s="163" t="s">
        <v>853</v>
      </c>
      <c r="F946" s="163" t="s">
        <v>1027</v>
      </c>
      <c r="G946" s="163">
        <v>4</v>
      </c>
      <c r="H946" s="163">
        <v>7</v>
      </c>
      <c r="I946" s="163">
        <v>1</v>
      </c>
      <c r="J946" s="163">
        <v>0</v>
      </c>
      <c r="K946" s="163">
        <v>3</v>
      </c>
      <c r="L946" s="163">
        <v>3</v>
      </c>
      <c r="M946" s="163">
        <v>1</v>
      </c>
      <c r="N946" s="163">
        <v>0</v>
      </c>
      <c r="O946" s="163">
        <v>200</v>
      </c>
      <c r="P946" s="163">
        <v>4.54</v>
      </c>
      <c r="Q946" s="163">
        <v>4.54</v>
      </c>
      <c r="R946" s="163">
        <v>2.2700000000000001E-2</v>
      </c>
      <c r="S946" s="161">
        <v>200</v>
      </c>
      <c r="T946">
        <f t="shared" si="31"/>
        <v>2.9185232286174373E-8</v>
      </c>
    </row>
    <row r="947" spans="2:20">
      <c r="B947" s="163" t="s">
        <v>1177</v>
      </c>
      <c r="C947" s="163" t="s">
        <v>1178</v>
      </c>
      <c r="D947" s="163" t="s">
        <v>1120</v>
      </c>
      <c r="E947" s="163" t="s">
        <v>853</v>
      </c>
      <c r="F947" s="163" t="s">
        <v>1027</v>
      </c>
      <c r="G947" s="163">
        <v>4</v>
      </c>
      <c r="H947" s="163">
        <v>7</v>
      </c>
      <c r="I947" s="163">
        <v>1</v>
      </c>
      <c r="J947" s="163">
        <v>0</v>
      </c>
      <c r="K947" s="163">
        <v>3</v>
      </c>
      <c r="L947" s="163">
        <v>3</v>
      </c>
      <c r="M947" s="163">
        <v>68</v>
      </c>
      <c r="N947" s="163">
        <v>0</v>
      </c>
      <c r="O947" s="163">
        <v>12087</v>
      </c>
      <c r="P947" s="163">
        <v>257.98</v>
      </c>
      <c r="Q947" s="163">
        <v>3.7938235294</v>
      </c>
      <c r="R947" s="163">
        <v>2.1343592299999999E-2</v>
      </c>
      <c r="S947" s="161">
        <v>177.75</v>
      </c>
      <c r="T947">
        <f t="shared" si="31"/>
        <v>1.7638095132149482E-6</v>
      </c>
    </row>
    <row r="948" spans="2:20">
      <c r="B948" s="163" t="s">
        <v>1179</v>
      </c>
      <c r="C948" s="163" t="s">
        <v>1180</v>
      </c>
      <c r="D948" s="163" t="s">
        <v>1120</v>
      </c>
      <c r="E948" s="163" t="s">
        <v>853</v>
      </c>
      <c r="F948" s="163" t="s">
        <v>1027</v>
      </c>
      <c r="G948" s="163">
        <v>4</v>
      </c>
      <c r="H948" s="163">
        <v>7</v>
      </c>
      <c r="I948" s="163">
        <v>1</v>
      </c>
      <c r="J948" s="163">
        <v>0</v>
      </c>
      <c r="K948" s="163">
        <v>1</v>
      </c>
      <c r="L948" s="163">
        <v>3</v>
      </c>
      <c r="M948" s="163">
        <v>229</v>
      </c>
      <c r="N948" s="163">
        <v>174</v>
      </c>
      <c r="O948" s="163">
        <v>4988</v>
      </c>
      <c r="P948" s="163">
        <v>966.51</v>
      </c>
      <c r="Q948" s="163">
        <v>4.2205676855999998</v>
      </c>
      <c r="R948" s="163">
        <v>0.19376704089999999</v>
      </c>
      <c r="S948" s="161">
        <v>21.781659389000001</v>
      </c>
      <c r="T948">
        <f t="shared" si="31"/>
        <v>7.2787969321718886E-7</v>
      </c>
    </row>
    <row r="949" spans="2:20">
      <c r="B949" s="163" t="s">
        <v>1181</v>
      </c>
      <c r="C949" s="163" t="s">
        <v>1182</v>
      </c>
      <c r="D949" s="163" t="s">
        <v>1120</v>
      </c>
      <c r="E949" s="163" t="s">
        <v>853</v>
      </c>
      <c r="F949" s="163" t="s">
        <v>1027</v>
      </c>
      <c r="G949" s="163">
        <v>4</v>
      </c>
      <c r="H949" s="163">
        <v>7</v>
      </c>
      <c r="I949" s="163">
        <v>1</v>
      </c>
      <c r="J949" s="163">
        <v>0</v>
      </c>
      <c r="K949" s="163">
        <v>3</v>
      </c>
      <c r="L949" s="163">
        <v>3</v>
      </c>
      <c r="M949" s="163">
        <v>1908</v>
      </c>
      <c r="N949" s="163">
        <v>0</v>
      </c>
      <c r="O949" s="163">
        <v>355040</v>
      </c>
      <c r="P949" s="163">
        <v>7192.99</v>
      </c>
      <c r="Q949" s="163">
        <v>3.7699109014999999</v>
      </c>
      <c r="R949" s="163">
        <v>2.02596609E-2</v>
      </c>
      <c r="S949" s="161">
        <v>186.07966457000001</v>
      </c>
      <c r="T949">
        <f t="shared" si="31"/>
        <v>5.1809624354416751E-5</v>
      </c>
    </row>
    <row r="950" spans="2:20">
      <c r="B950" s="163" t="s">
        <v>1183</v>
      </c>
      <c r="C950" s="163" t="s">
        <v>1184</v>
      </c>
      <c r="D950" s="163" t="s">
        <v>1120</v>
      </c>
      <c r="E950" s="163" t="s">
        <v>853</v>
      </c>
      <c r="F950" s="163" t="s">
        <v>1027</v>
      </c>
      <c r="G950" s="163">
        <v>4</v>
      </c>
      <c r="H950" s="163">
        <v>7</v>
      </c>
      <c r="I950" s="163">
        <v>1</v>
      </c>
      <c r="J950" s="163">
        <v>0</v>
      </c>
      <c r="K950" s="163">
        <v>3</v>
      </c>
      <c r="L950" s="163">
        <v>3</v>
      </c>
      <c r="M950" s="163">
        <v>1</v>
      </c>
      <c r="N950" s="163">
        <v>0</v>
      </c>
      <c r="O950" s="163">
        <v>100</v>
      </c>
      <c r="P950" s="163">
        <v>1.26</v>
      </c>
      <c r="Q950" s="163">
        <v>1.26</v>
      </c>
      <c r="R950" s="163">
        <v>1.26E-2</v>
      </c>
      <c r="S950" s="161">
        <v>100</v>
      </c>
      <c r="T950">
        <f t="shared" si="31"/>
        <v>1.4592616143087187E-8</v>
      </c>
    </row>
    <row r="951" spans="2:20">
      <c r="B951" s="163" t="s">
        <v>1185</v>
      </c>
      <c r="C951" s="163" t="s">
        <v>1186</v>
      </c>
      <c r="D951" s="163" t="s">
        <v>1120</v>
      </c>
      <c r="E951" s="163" t="s">
        <v>853</v>
      </c>
      <c r="F951" s="163" t="s">
        <v>1027</v>
      </c>
      <c r="G951" s="163">
        <v>4</v>
      </c>
      <c r="H951" s="163">
        <v>7</v>
      </c>
      <c r="I951" s="163">
        <v>1</v>
      </c>
      <c r="J951" s="163">
        <v>0</v>
      </c>
      <c r="K951" s="163">
        <v>3</v>
      </c>
      <c r="L951" s="163">
        <v>3</v>
      </c>
      <c r="M951" s="163">
        <v>7</v>
      </c>
      <c r="N951" s="163">
        <v>0</v>
      </c>
      <c r="O951" s="163">
        <v>1400</v>
      </c>
      <c r="P951" s="163">
        <v>30.38</v>
      </c>
      <c r="Q951" s="163">
        <v>4.34</v>
      </c>
      <c r="R951" s="163">
        <v>2.1700000000000001E-2</v>
      </c>
      <c r="S951" s="161">
        <v>200</v>
      </c>
      <c r="T951">
        <f t="shared" si="31"/>
        <v>2.0429662600322062E-7</v>
      </c>
    </row>
    <row r="952" spans="2:20">
      <c r="B952" s="163" t="s">
        <v>1187</v>
      </c>
      <c r="C952" s="163" t="s">
        <v>1188</v>
      </c>
      <c r="D952" s="163" t="s">
        <v>1120</v>
      </c>
      <c r="E952" s="163" t="s">
        <v>853</v>
      </c>
      <c r="F952" s="163" t="s">
        <v>1027</v>
      </c>
      <c r="G952" s="163">
        <v>4</v>
      </c>
      <c r="H952" s="163">
        <v>7</v>
      </c>
      <c r="I952" s="163">
        <v>1</v>
      </c>
      <c r="J952" s="163">
        <v>0</v>
      </c>
      <c r="K952" s="163">
        <v>3</v>
      </c>
      <c r="L952" s="163">
        <v>3</v>
      </c>
      <c r="M952" s="163">
        <v>1486</v>
      </c>
      <c r="N952" s="163">
        <v>0</v>
      </c>
      <c r="O952" s="163">
        <v>567347</v>
      </c>
      <c r="P952" s="163">
        <v>12760.3</v>
      </c>
      <c r="Q952" s="163">
        <v>8.5870121131000001</v>
      </c>
      <c r="R952" s="163">
        <v>2.24911738E-2</v>
      </c>
      <c r="S952" s="161">
        <v>381.79475101000003</v>
      </c>
      <c r="T952">
        <f t="shared" si="31"/>
        <v>8.2790769909320866E-5</v>
      </c>
    </row>
    <row r="953" spans="2:20">
      <c r="B953" s="163" t="s">
        <v>1189</v>
      </c>
      <c r="C953" s="163" t="s">
        <v>1190</v>
      </c>
      <c r="D953" s="163" t="s">
        <v>1120</v>
      </c>
      <c r="E953" s="163" t="s">
        <v>853</v>
      </c>
      <c r="F953" s="163" t="s">
        <v>1027</v>
      </c>
      <c r="G953" s="163">
        <v>4</v>
      </c>
      <c r="H953" s="163">
        <v>7</v>
      </c>
      <c r="I953" s="163">
        <v>1</v>
      </c>
      <c r="J953" s="163">
        <v>0</v>
      </c>
      <c r="K953" s="163">
        <v>1</v>
      </c>
      <c r="L953" s="163">
        <v>3</v>
      </c>
      <c r="M953" s="163">
        <v>3011</v>
      </c>
      <c r="N953" s="163">
        <v>2531</v>
      </c>
      <c r="O953" s="163">
        <v>273441</v>
      </c>
      <c r="P953" s="163">
        <v>49314.53</v>
      </c>
      <c r="Q953" s="163">
        <v>16.378123547000001</v>
      </c>
      <c r="R953" s="163">
        <v>0.1803479727</v>
      </c>
      <c r="S953" s="161">
        <v>90.814015276999996</v>
      </c>
      <c r="T953">
        <f t="shared" si="31"/>
        <v>3.9902195507819032E-5</v>
      </c>
    </row>
    <row r="954" spans="2:20">
      <c r="B954" s="163" t="s">
        <v>1191</v>
      </c>
      <c r="C954" s="163" t="s">
        <v>1192</v>
      </c>
      <c r="D954" s="163" t="s">
        <v>1120</v>
      </c>
      <c r="E954" s="163" t="s">
        <v>853</v>
      </c>
      <c r="F954" s="163" t="s">
        <v>1027</v>
      </c>
      <c r="G954" s="163">
        <v>4</v>
      </c>
      <c r="H954" s="163">
        <v>7</v>
      </c>
      <c r="I954" s="163">
        <v>1</v>
      </c>
      <c r="J954" s="163">
        <v>0</v>
      </c>
      <c r="K954" s="163">
        <v>1</v>
      </c>
      <c r="L954" s="163">
        <v>3</v>
      </c>
      <c r="M954" s="163">
        <v>473</v>
      </c>
      <c r="N954" s="163">
        <v>445</v>
      </c>
      <c r="O954" s="163">
        <v>19335</v>
      </c>
      <c r="P954" s="163">
        <v>4605.3900000000003</v>
      </c>
      <c r="Q954" s="163">
        <v>9.7365539111999997</v>
      </c>
      <c r="R954" s="163">
        <v>0.238189294</v>
      </c>
      <c r="S954" s="161">
        <v>40.877378436000001</v>
      </c>
      <c r="T954">
        <f t="shared" si="31"/>
        <v>2.8214823312659078E-6</v>
      </c>
    </row>
    <row r="955" spans="2:20">
      <c r="B955" s="163" t="s">
        <v>1193</v>
      </c>
      <c r="C955" s="163" t="s">
        <v>1194</v>
      </c>
      <c r="D955" s="163" t="s">
        <v>1120</v>
      </c>
      <c r="E955" s="163" t="s">
        <v>853</v>
      </c>
      <c r="F955" s="163" t="s">
        <v>1027</v>
      </c>
      <c r="G955" s="163">
        <v>4</v>
      </c>
      <c r="H955" s="163">
        <v>7</v>
      </c>
      <c r="I955" s="163">
        <v>1</v>
      </c>
      <c r="J955" s="163">
        <v>0</v>
      </c>
      <c r="K955" s="163">
        <v>1</v>
      </c>
      <c r="L955" s="163">
        <v>3</v>
      </c>
      <c r="M955" s="163">
        <v>114</v>
      </c>
      <c r="N955" s="163">
        <v>112</v>
      </c>
      <c r="O955" s="163">
        <v>2945</v>
      </c>
      <c r="P955" s="163">
        <v>581.29999999999995</v>
      </c>
      <c r="Q955" s="163">
        <v>5.0991228069999996</v>
      </c>
      <c r="R955" s="163">
        <v>0.19738539899999999</v>
      </c>
      <c r="S955" s="161">
        <v>25.833333332999999</v>
      </c>
      <c r="T955">
        <f t="shared" si="31"/>
        <v>4.2975254541391765E-7</v>
      </c>
    </row>
    <row r="956" spans="2:20">
      <c r="B956" s="163" t="s">
        <v>1195</v>
      </c>
      <c r="C956" s="163" t="s">
        <v>1196</v>
      </c>
      <c r="D956" s="163" t="s">
        <v>1120</v>
      </c>
      <c r="E956" s="163" t="s">
        <v>853</v>
      </c>
      <c r="F956" s="163" t="s">
        <v>1027</v>
      </c>
      <c r="G956" s="163">
        <v>4</v>
      </c>
      <c r="H956" s="163">
        <v>7</v>
      </c>
      <c r="I956" s="163">
        <v>1</v>
      </c>
      <c r="J956" s="163">
        <v>0</v>
      </c>
      <c r="K956" s="163">
        <v>3</v>
      </c>
      <c r="L956" s="163">
        <v>3</v>
      </c>
      <c r="M956" s="163">
        <v>397</v>
      </c>
      <c r="N956" s="163">
        <v>0</v>
      </c>
      <c r="O956" s="163">
        <v>62312</v>
      </c>
      <c r="P956" s="163">
        <v>1391.08</v>
      </c>
      <c r="Q956" s="163">
        <v>3.5039798488999998</v>
      </c>
      <c r="R956" s="163">
        <v>2.23244319E-2</v>
      </c>
      <c r="S956" s="161">
        <v>156.95717884000001</v>
      </c>
      <c r="T956">
        <f t="shared" si="31"/>
        <v>9.0929509710804878E-6</v>
      </c>
    </row>
    <row r="957" spans="2:20">
      <c r="B957" s="163" t="s">
        <v>1197</v>
      </c>
      <c r="C957" s="163" t="s">
        <v>1198</v>
      </c>
      <c r="D957" s="163" t="s">
        <v>1120</v>
      </c>
      <c r="E957" s="163" t="s">
        <v>853</v>
      </c>
      <c r="F957" s="163" t="s">
        <v>1027</v>
      </c>
      <c r="G957" s="163">
        <v>4</v>
      </c>
      <c r="H957" s="163">
        <v>7</v>
      </c>
      <c r="I957" s="163">
        <v>1</v>
      </c>
      <c r="J957" s="163">
        <v>0</v>
      </c>
      <c r="K957" s="163">
        <v>1</v>
      </c>
      <c r="L957" s="163">
        <v>3</v>
      </c>
      <c r="M957" s="163">
        <v>326</v>
      </c>
      <c r="N957" s="163">
        <v>0</v>
      </c>
      <c r="O957" s="163">
        <v>35776</v>
      </c>
      <c r="P957" s="163">
        <v>4217.1499999999996</v>
      </c>
      <c r="Q957" s="163">
        <v>12.936042945000001</v>
      </c>
      <c r="R957" s="163">
        <v>0.1178765094</v>
      </c>
      <c r="S957" s="161">
        <v>109.74233129</v>
      </c>
      <c r="T957">
        <f t="shared" si="31"/>
        <v>5.2206543513508723E-6</v>
      </c>
    </row>
    <row r="958" spans="2:20">
      <c r="B958" s="163" t="s">
        <v>1199</v>
      </c>
      <c r="C958" s="163" t="s">
        <v>1200</v>
      </c>
      <c r="D958" s="163" t="s">
        <v>1120</v>
      </c>
      <c r="E958" s="163" t="s">
        <v>853</v>
      </c>
      <c r="F958" s="163" t="s">
        <v>1027</v>
      </c>
      <c r="G958" s="163">
        <v>4</v>
      </c>
      <c r="H958" s="163">
        <v>7</v>
      </c>
      <c r="I958" s="163">
        <v>1</v>
      </c>
      <c r="J958" s="163">
        <v>0</v>
      </c>
      <c r="K958" s="163">
        <v>1</v>
      </c>
      <c r="L958" s="163">
        <v>3</v>
      </c>
      <c r="M958" s="163">
        <v>54</v>
      </c>
      <c r="N958" s="163">
        <v>0</v>
      </c>
      <c r="O958" s="163">
        <v>5256</v>
      </c>
      <c r="P958" s="163">
        <v>564.16999999999996</v>
      </c>
      <c r="Q958" s="163">
        <v>10.447592593</v>
      </c>
      <c r="R958" s="163">
        <v>0.1073382801</v>
      </c>
      <c r="S958" s="161">
        <v>97.333333332999999</v>
      </c>
      <c r="T958">
        <f t="shared" si="31"/>
        <v>7.6698790448066259E-7</v>
      </c>
    </row>
    <row r="959" spans="2:20">
      <c r="B959" s="163" t="s">
        <v>1201</v>
      </c>
      <c r="C959" s="163" t="s">
        <v>1202</v>
      </c>
      <c r="D959" s="163" t="s">
        <v>1120</v>
      </c>
      <c r="E959" s="163" t="s">
        <v>853</v>
      </c>
      <c r="F959" s="163" t="s">
        <v>1027</v>
      </c>
      <c r="G959" s="163">
        <v>4</v>
      </c>
      <c r="H959" s="163">
        <v>7</v>
      </c>
      <c r="I959" s="163">
        <v>1</v>
      </c>
      <c r="J959" s="163">
        <v>0</v>
      </c>
      <c r="K959" s="163">
        <v>1</v>
      </c>
      <c r="L959" s="163">
        <v>3</v>
      </c>
      <c r="M959" s="163">
        <v>256</v>
      </c>
      <c r="N959" s="163">
        <v>0</v>
      </c>
      <c r="O959" s="163">
        <v>26104</v>
      </c>
      <c r="P959" s="163">
        <v>1503.92</v>
      </c>
      <c r="Q959" s="163">
        <v>5.8746875000000003</v>
      </c>
      <c r="R959" s="163">
        <v>5.7612626399999999E-2</v>
      </c>
      <c r="S959" s="161">
        <v>101.96875</v>
      </c>
      <c r="T959">
        <f t="shared" si="31"/>
        <v>3.8092565179914794E-6</v>
      </c>
    </row>
    <row r="960" spans="2:20">
      <c r="B960" s="163" t="s">
        <v>1203</v>
      </c>
      <c r="C960" s="163" t="s">
        <v>1204</v>
      </c>
      <c r="D960" s="163" t="s">
        <v>1120</v>
      </c>
      <c r="E960" s="163" t="s">
        <v>853</v>
      </c>
      <c r="F960" s="163" t="s">
        <v>1027</v>
      </c>
      <c r="G960" s="163">
        <v>4</v>
      </c>
      <c r="H960" s="163">
        <v>7</v>
      </c>
      <c r="I960" s="163">
        <v>1</v>
      </c>
      <c r="J960" s="163">
        <v>0</v>
      </c>
      <c r="K960" s="163">
        <v>1</v>
      </c>
      <c r="L960" s="163">
        <v>3</v>
      </c>
      <c r="M960" s="163">
        <v>15</v>
      </c>
      <c r="N960" s="163">
        <v>0</v>
      </c>
      <c r="O960" s="163">
        <v>692</v>
      </c>
      <c r="P960" s="163">
        <v>74.42</v>
      </c>
      <c r="Q960" s="163">
        <v>4.9613333332999998</v>
      </c>
      <c r="R960" s="163">
        <v>0.1075433526</v>
      </c>
      <c r="S960" s="161">
        <v>46.133333333000003</v>
      </c>
      <c r="T960">
        <f t="shared" si="31"/>
        <v>1.0098090371016333E-7</v>
      </c>
    </row>
    <row r="961" spans="2:20">
      <c r="B961" s="163" t="s">
        <v>1205</v>
      </c>
      <c r="C961" s="163" t="s">
        <v>1206</v>
      </c>
      <c r="D961" s="163" t="s">
        <v>1120</v>
      </c>
      <c r="E961" s="163" t="s">
        <v>853</v>
      </c>
      <c r="F961" s="163" t="s">
        <v>1027</v>
      </c>
      <c r="G961" s="163">
        <v>4</v>
      </c>
      <c r="H961" s="163">
        <v>7</v>
      </c>
      <c r="I961" s="163">
        <v>1</v>
      </c>
      <c r="J961" s="163">
        <v>0</v>
      </c>
      <c r="K961" s="163">
        <v>1</v>
      </c>
      <c r="L961" s="163">
        <v>3</v>
      </c>
      <c r="M961" s="163">
        <v>6</v>
      </c>
      <c r="N961" s="163">
        <v>0</v>
      </c>
      <c r="O961" s="163">
        <v>402</v>
      </c>
      <c r="P961" s="163">
        <v>24.39</v>
      </c>
      <c r="Q961" s="163">
        <v>4.0650000000000004</v>
      </c>
      <c r="R961" s="163">
        <v>6.0671641800000002E-2</v>
      </c>
      <c r="S961" s="161">
        <v>67</v>
      </c>
      <c r="T961">
        <f t="shared" si="31"/>
        <v>5.8662316895210495E-8</v>
      </c>
    </row>
    <row r="962" spans="2:20">
      <c r="B962" s="163" t="s">
        <v>1207</v>
      </c>
      <c r="C962" s="163" t="s">
        <v>1208</v>
      </c>
      <c r="D962" s="163" t="s">
        <v>1120</v>
      </c>
      <c r="E962" s="163" t="s">
        <v>853</v>
      </c>
      <c r="F962" s="163" t="s">
        <v>1027</v>
      </c>
      <c r="G962" s="163">
        <v>4</v>
      </c>
      <c r="H962" s="163">
        <v>7</v>
      </c>
      <c r="I962" s="163">
        <v>1</v>
      </c>
      <c r="J962" s="163">
        <v>0</v>
      </c>
      <c r="K962" s="163">
        <v>1</v>
      </c>
      <c r="L962" s="163">
        <v>3</v>
      </c>
      <c r="M962" s="163">
        <v>62</v>
      </c>
      <c r="N962" s="163">
        <v>0</v>
      </c>
      <c r="O962" s="163">
        <v>888</v>
      </c>
      <c r="P962" s="163">
        <v>1225.44</v>
      </c>
      <c r="Q962" s="163">
        <v>19.765161290000002</v>
      </c>
      <c r="R962" s="163">
        <v>1.38</v>
      </c>
      <c r="S962" s="161">
        <v>14.322580645</v>
      </c>
      <c r="T962">
        <f t="shared" si="31"/>
        <v>1.2958243135061423E-7</v>
      </c>
    </row>
    <row r="963" spans="2:20">
      <c r="B963" s="163" t="s">
        <v>1209</v>
      </c>
      <c r="C963" s="163" t="s">
        <v>1210</v>
      </c>
      <c r="D963" s="163" t="s">
        <v>1120</v>
      </c>
      <c r="E963" s="163" t="s">
        <v>853</v>
      </c>
      <c r="F963" s="163" t="s">
        <v>1027</v>
      </c>
      <c r="G963" s="163">
        <v>4</v>
      </c>
      <c r="H963" s="163">
        <v>7</v>
      </c>
      <c r="I963" s="163">
        <v>1</v>
      </c>
      <c r="J963" s="163">
        <v>0</v>
      </c>
      <c r="K963" s="163">
        <v>1</v>
      </c>
      <c r="L963" s="163">
        <v>3</v>
      </c>
      <c r="M963" s="163">
        <v>1558</v>
      </c>
      <c r="N963" s="163">
        <v>1541</v>
      </c>
      <c r="O963" s="163">
        <v>21047</v>
      </c>
      <c r="P963" s="163">
        <v>25151.26</v>
      </c>
      <c r="Q963" s="163">
        <v>16.143299101</v>
      </c>
      <c r="R963" s="163">
        <v>1.1950045137</v>
      </c>
      <c r="S963" s="161">
        <v>13.508985879000001</v>
      </c>
      <c r="T963">
        <f t="shared" si="31"/>
        <v>3.0713079196355603E-6</v>
      </c>
    </row>
    <row r="964" spans="2:20">
      <c r="B964" s="163" t="s">
        <v>1211</v>
      </c>
      <c r="C964" s="163" t="s">
        <v>1212</v>
      </c>
      <c r="D964" s="163" t="s">
        <v>1120</v>
      </c>
      <c r="E964" s="163" t="s">
        <v>853</v>
      </c>
      <c r="F964" s="163" t="s">
        <v>1027</v>
      </c>
      <c r="G964" s="163">
        <v>4</v>
      </c>
      <c r="H964" s="163">
        <v>7</v>
      </c>
      <c r="I964" s="163">
        <v>1</v>
      </c>
      <c r="J964" s="163">
        <v>0</v>
      </c>
      <c r="K964" s="163">
        <v>1</v>
      </c>
      <c r="L964" s="163">
        <v>3</v>
      </c>
      <c r="M964" s="163">
        <v>32</v>
      </c>
      <c r="N964" s="163">
        <v>0</v>
      </c>
      <c r="O964" s="163">
        <v>1010</v>
      </c>
      <c r="P964" s="163">
        <v>2787.6</v>
      </c>
      <c r="Q964" s="163">
        <v>87.112499999999997</v>
      </c>
      <c r="R964" s="163">
        <v>2.76</v>
      </c>
      <c r="S964" s="161">
        <v>31.5625</v>
      </c>
      <c r="T964">
        <f t="shared" si="31"/>
        <v>1.473854230451806E-7</v>
      </c>
    </row>
    <row r="965" spans="2:20">
      <c r="B965" s="163" t="s">
        <v>1213</v>
      </c>
      <c r="C965" s="163" t="s">
        <v>1214</v>
      </c>
      <c r="D965" s="163" t="s">
        <v>1120</v>
      </c>
      <c r="E965" s="163" t="s">
        <v>853</v>
      </c>
      <c r="F965" s="163" t="s">
        <v>1027</v>
      </c>
      <c r="G965" s="163">
        <v>4</v>
      </c>
      <c r="H965" s="163">
        <v>7</v>
      </c>
      <c r="I965" s="163">
        <v>1</v>
      </c>
      <c r="J965" s="163">
        <v>0</v>
      </c>
      <c r="K965" s="163">
        <v>1</v>
      </c>
      <c r="L965" s="163">
        <v>3</v>
      </c>
      <c r="M965" s="163">
        <v>15</v>
      </c>
      <c r="N965" s="163">
        <v>15</v>
      </c>
      <c r="O965" s="163">
        <v>1500</v>
      </c>
      <c r="P965" s="163">
        <v>3722.4</v>
      </c>
      <c r="Q965" s="163">
        <v>248.16</v>
      </c>
      <c r="R965" s="163">
        <v>2.4815999999999998</v>
      </c>
      <c r="S965" s="161">
        <v>100</v>
      </c>
      <c r="T965">
        <f t="shared" si="31"/>
        <v>2.1888924214630782E-7</v>
      </c>
    </row>
    <row r="966" spans="2:20">
      <c r="B966" s="163" t="s">
        <v>1215</v>
      </c>
      <c r="C966" s="163" t="s">
        <v>1216</v>
      </c>
      <c r="D966" s="163" t="s">
        <v>1120</v>
      </c>
      <c r="E966" s="163" t="s">
        <v>853</v>
      </c>
      <c r="F966" s="163" t="s">
        <v>1027</v>
      </c>
      <c r="G966" s="163">
        <v>4</v>
      </c>
      <c r="H966" s="163">
        <v>7</v>
      </c>
      <c r="I966" s="163">
        <v>1</v>
      </c>
      <c r="J966" s="163">
        <v>0</v>
      </c>
      <c r="K966" s="163">
        <v>1</v>
      </c>
      <c r="L966" s="163">
        <v>3</v>
      </c>
      <c r="M966" s="163">
        <v>118076</v>
      </c>
      <c r="N966" s="163">
        <v>0</v>
      </c>
      <c r="O966" s="163">
        <v>16697929</v>
      </c>
      <c r="P966" s="163">
        <v>193260.59</v>
      </c>
      <c r="Q966" s="163">
        <v>1.6367474339000001</v>
      </c>
      <c r="R966" s="163">
        <v>1.1573925699999999E-2</v>
      </c>
      <c r="S966" s="161">
        <v>141.41679088000001</v>
      </c>
      <c r="T966">
        <f t="shared" si="31"/>
        <v>2.4366646828152369E-3</v>
      </c>
    </row>
    <row r="967" spans="2:20">
      <c r="B967" s="163" t="s">
        <v>1217</v>
      </c>
      <c r="C967" s="163" t="s">
        <v>1218</v>
      </c>
      <c r="D967" s="163" t="s">
        <v>1120</v>
      </c>
      <c r="E967" s="163" t="s">
        <v>853</v>
      </c>
      <c r="F967" s="163" t="s">
        <v>1027</v>
      </c>
      <c r="G967" s="163">
        <v>4</v>
      </c>
      <c r="H967" s="163">
        <v>7</v>
      </c>
      <c r="I967" s="163">
        <v>1</v>
      </c>
      <c r="J967" s="163">
        <v>0</v>
      </c>
      <c r="K967" s="163">
        <v>1</v>
      </c>
      <c r="L967" s="163">
        <v>3</v>
      </c>
      <c r="M967" s="163">
        <v>4927</v>
      </c>
      <c r="N967" s="163">
        <v>0</v>
      </c>
      <c r="O967" s="163">
        <v>700643</v>
      </c>
      <c r="P967" s="163">
        <v>7996.51</v>
      </c>
      <c r="Q967" s="163">
        <v>1.6229977674</v>
      </c>
      <c r="R967" s="163">
        <v>1.1413102E-2</v>
      </c>
      <c r="S967" s="161">
        <v>142.20478993</v>
      </c>
      <c r="T967">
        <f t="shared" si="31"/>
        <v>1.0224214352341036E-4</v>
      </c>
    </row>
    <row r="968" spans="2:20">
      <c r="B968" s="163" t="s">
        <v>1219</v>
      </c>
      <c r="C968" s="163" t="s">
        <v>1220</v>
      </c>
      <c r="D968" s="163" t="s">
        <v>1120</v>
      </c>
      <c r="E968" s="163" t="s">
        <v>853</v>
      </c>
      <c r="F968" s="163" t="s">
        <v>1027</v>
      </c>
      <c r="G968" s="163">
        <v>4</v>
      </c>
      <c r="H968" s="163">
        <v>7</v>
      </c>
      <c r="I968" s="163">
        <v>1</v>
      </c>
      <c r="J968" s="163">
        <v>0</v>
      </c>
      <c r="K968" s="163">
        <v>3</v>
      </c>
      <c r="L968" s="163">
        <v>3</v>
      </c>
      <c r="M968" s="163">
        <v>1</v>
      </c>
      <c r="N968" s="163">
        <v>0</v>
      </c>
      <c r="O968" s="163">
        <v>200</v>
      </c>
      <c r="P968" s="163">
        <v>1.05</v>
      </c>
      <c r="Q968" s="163">
        <v>1.05</v>
      </c>
      <c r="R968" s="163">
        <v>5.2500000000000003E-3</v>
      </c>
      <c r="S968" s="161">
        <v>200</v>
      </c>
      <c r="T968">
        <f t="shared" si="31"/>
        <v>2.9185232286174373E-8</v>
      </c>
    </row>
    <row r="969" spans="2:20">
      <c r="B969" s="163" t="s">
        <v>1221</v>
      </c>
      <c r="C969" s="163" t="s">
        <v>1222</v>
      </c>
      <c r="D969" s="163" t="s">
        <v>1120</v>
      </c>
      <c r="E969" s="163" t="s">
        <v>853</v>
      </c>
      <c r="F969" s="163" t="s">
        <v>1027</v>
      </c>
      <c r="G969" s="163">
        <v>4</v>
      </c>
      <c r="H969" s="163">
        <v>7</v>
      </c>
      <c r="I969" s="163">
        <v>1</v>
      </c>
      <c r="J969" s="163">
        <v>0</v>
      </c>
      <c r="K969" s="163">
        <v>1</v>
      </c>
      <c r="L969" s="163">
        <v>1</v>
      </c>
      <c r="M969" s="163">
        <v>16</v>
      </c>
      <c r="N969" s="163">
        <v>0</v>
      </c>
      <c r="O969" s="163">
        <v>1816</v>
      </c>
      <c r="P969" s="163">
        <v>29.77</v>
      </c>
      <c r="Q969" s="163">
        <v>1.860625</v>
      </c>
      <c r="R969" s="163">
        <v>1.6393171799999998E-2</v>
      </c>
      <c r="S969" s="161">
        <v>113.5</v>
      </c>
      <c r="T969">
        <f t="shared" si="31"/>
        <v>2.6500190915846334E-7</v>
      </c>
    </row>
    <row r="970" spans="2:20">
      <c r="B970" s="163" t="s">
        <v>1223</v>
      </c>
      <c r="C970" s="163" t="s">
        <v>1224</v>
      </c>
      <c r="D970" s="163" t="s">
        <v>1120</v>
      </c>
      <c r="E970" s="163" t="s">
        <v>853</v>
      </c>
      <c r="F970" s="163" t="s">
        <v>1027</v>
      </c>
      <c r="G970" s="163">
        <v>4</v>
      </c>
      <c r="H970" s="163">
        <v>7</v>
      </c>
      <c r="I970" s="163">
        <v>1</v>
      </c>
      <c r="J970" s="163">
        <v>0</v>
      </c>
      <c r="K970" s="163">
        <v>3</v>
      </c>
      <c r="L970" s="163">
        <v>3</v>
      </c>
      <c r="M970" s="163">
        <v>1</v>
      </c>
      <c r="N970" s="163">
        <v>0</v>
      </c>
      <c r="O970" s="163">
        <v>200</v>
      </c>
      <c r="P970" s="163">
        <v>3.98</v>
      </c>
      <c r="Q970" s="163">
        <v>3.98</v>
      </c>
      <c r="R970" s="163">
        <v>1.9900000000000001E-2</v>
      </c>
      <c r="S970" s="161">
        <v>200</v>
      </c>
      <c r="T970">
        <f t="shared" si="31"/>
        <v>2.9185232286174373E-8</v>
      </c>
    </row>
    <row r="971" spans="2:20">
      <c r="B971" s="163" t="s">
        <v>1225</v>
      </c>
      <c r="C971" s="163" t="s">
        <v>1226</v>
      </c>
      <c r="D971" s="163" t="s">
        <v>1120</v>
      </c>
      <c r="E971" s="163" t="s">
        <v>853</v>
      </c>
      <c r="F971" s="163" t="s">
        <v>1027</v>
      </c>
      <c r="G971" s="163">
        <v>4</v>
      </c>
      <c r="H971" s="163">
        <v>7</v>
      </c>
      <c r="I971" s="163">
        <v>1</v>
      </c>
      <c r="J971" s="163">
        <v>0</v>
      </c>
      <c r="K971" s="163">
        <v>1</v>
      </c>
      <c r="L971" s="163">
        <v>3</v>
      </c>
      <c r="M971" s="163">
        <v>134</v>
      </c>
      <c r="N971" s="163">
        <v>0</v>
      </c>
      <c r="O971" s="163">
        <v>4183</v>
      </c>
      <c r="P971" s="163">
        <v>5214.74</v>
      </c>
      <c r="Q971" s="163">
        <v>38.915970149000003</v>
      </c>
      <c r="R971" s="163">
        <v>1.2466507291</v>
      </c>
      <c r="S971" s="161">
        <v>31.216417910000001</v>
      </c>
      <c r="T971">
        <f t="shared" si="31"/>
        <v>6.1040913326533699E-7</v>
      </c>
    </row>
    <row r="972" spans="2:20">
      <c r="B972" s="163" t="s">
        <v>1227</v>
      </c>
      <c r="C972" s="163" t="s">
        <v>1228</v>
      </c>
      <c r="D972" s="163" t="s">
        <v>1120</v>
      </c>
      <c r="E972" s="163" t="s">
        <v>853</v>
      </c>
      <c r="F972" s="163" t="s">
        <v>1027</v>
      </c>
      <c r="G972" s="163">
        <v>4</v>
      </c>
      <c r="H972" s="163">
        <v>7</v>
      </c>
      <c r="I972" s="163">
        <v>1</v>
      </c>
      <c r="J972" s="163">
        <v>0</v>
      </c>
      <c r="K972" s="163">
        <v>1</v>
      </c>
      <c r="L972" s="163">
        <v>3</v>
      </c>
      <c r="M972" s="163">
        <v>13</v>
      </c>
      <c r="N972" s="163">
        <v>0</v>
      </c>
      <c r="O972" s="163">
        <v>529</v>
      </c>
      <c r="P972" s="163">
        <v>599.53</v>
      </c>
      <c r="Q972" s="163">
        <v>46.117692308000002</v>
      </c>
      <c r="R972" s="163">
        <v>1.1333270321</v>
      </c>
      <c r="S972" s="161">
        <v>40.692307692</v>
      </c>
      <c r="T972">
        <f t="shared" si="31"/>
        <v>7.7194939396931221E-8</v>
      </c>
    </row>
    <row r="973" spans="2:20">
      <c r="B973" s="163" t="s">
        <v>1229</v>
      </c>
      <c r="C973" s="163" t="s">
        <v>1230</v>
      </c>
      <c r="D973" s="163" t="s">
        <v>1120</v>
      </c>
      <c r="E973" s="163" t="s">
        <v>853</v>
      </c>
      <c r="F973" s="163" t="s">
        <v>1027</v>
      </c>
      <c r="G973" s="163">
        <v>4</v>
      </c>
      <c r="H973" s="163">
        <v>7</v>
      </c>
      <c r="I973" s="163">
        <v>1</v>
      </c>
      <c r="J973" s="163">
        <v>0</v>
      </c>
      <c r="K973" s="163">
        <v>1</v>
      </c>
      <c r="L973" s="163">
        <v>3</v>
      </c>
      <c r="M973" s="163">
        <v>40</v>
      </c>
      <c r="N973" s="163">
        <v>0</v>
      </c>
      <c r="O973" s="163">
        <v>3510</v>
      </c>
      <c r="P973" s="163">
        <v>261.17</v>
      </c>
      <c r="Q973" s="163">
        <v>6.5292500000000002</v>
      </c>
      <c r="R973" s="163">
        <v>7.44074074E-2</v>
      </c>
      <c r="S973" s="161">
        <v>87.75</v>
      </c>
      <c r="T973">
        <f t="shared" si="31"/>
        <v>5.1220082662236029E-7</v>
      </c>
    </row>
    <row r="974" spans="2:20">
      <c r="B974" s="163" t="s">
        <v>1231</v>
      </c>
      <c r="C974" s="163" t="s">
        <v>1232</v>
      </c>
      <c r="D974" s="163" t="s">
        <v>1120</v>
      </c>
      <c r="E974" s="163" t="s">
        <v>853</v>
      </c>
      <c r="F974" s="163" t="s">
        <v>1027</v>
      </c>
      <c r="G974" s="163">
        <v>4</v>
      </c>
      <c r="H974" s="163">
        <v>7</v>
      </c>
      <c r="I974" s="163">
        <v>1</v>
      </c>
      <c r="J974" s="163">
        <v>0</v>
      </c>
      <c r="K974" s="163">
        <v>6</v>
      </c>
      <c r="L974" s="163">
        <v>3</v>
      </c>
      <c r="M974" s="163">
        <v>16</v>
      </c>
      <c r="N974" s="163">
        <v>7</v>
      </c>
      <c r="O974" s="163">
        <v>1212</v>
      </c>
      <c r="P974" s="163">
        <v>134.53</v>
      </c>
      <c r="Q974" s="163">
        <v>8.4081250000000001</v>
      </c>
      <c r="R974" s="163">
        <v>0.11099834980000001</v>
      </c>
      <c r="S974" s="161">
        <v>75.75</v>
      </c>
      <c r="T974">
        <f t="shared" si="31"/>
        <v>1.768625076542167E-7</v>
      </c>
    </row>
    <row r="975" spans="2:20">
      <c r="B975" s="163" t="s">
        <v>1233</v>
      </c>
      <c r="C975" s="163" t="s">
        <v>1234</v>
      </c>
      <c r="D975" s="163" t="s">
        <v>1120</v>
      </c>
      <c r="E975" s="163" t="s">
        <v>853</v>
      </c>
      <c r="F975" s="163" t="s">
        <v>1027</v>
      </c>
      <c r="G975" s="163">
        <v>4</v>
      </c>
      <c r="H975" s="163">
        <v>7</v>
      </c>
      <c r="I975" s="163">
        <v>1</v>
      </c>
      <c r="J975" s="163">
        <v>0</v>
      </c>
      <c r="K975" s="163">
        <v>1</v>
      </c>
      <c r="L975" s="163">
        <v>3</v>
      </c>
      <c r="M975" s="163">
        <v>55212</v>
      </c>
      <c r="N975" s="163">
        <v>0</v>
      </c>
      <c r="O975" s="163">
        <v>6847924</v>
      </c>
      <c r="P975" s="163">
        <v>110949.41</v>
      </c>
      <c r="Q975" s="163">
        <v>2.0095162283999999</v>
      </c>
      <c r="R975" s="163">
        <v>1.6201904400000001E-2</v>
      </c>
      <c r="S975" s="161">
        <v>124.02963124</v>
      </c>
      <c r="T975">
        <f t="shared" si="31"/>
        <v>9.9929126309034185E-4</v>
      </c>
    </row>
    <row r="976" spans="2:20">
      <c r="B976" s="163" t="s">
        <v>1235</v>
      </c>
      <c r="C976" s="163" t="s">
        <v>1236</v>
      </c>
      <c r="D976" s="163" t="s">
        <v>1237</v>
      </c>
      <c r="E976" s="163" t="s">
        <v>853</v>
      </c>
      <c r="F976" s="163" t="s">
        <v>1027</v>
      </c>
      <c r="G976" s="163">
        <v>4</v>
      </c>
      <c r="H976" s="163">
        <v>7</v>
      </c>
      <c r="I976" s="163">
        <v>1</v>
      </c>
      <c r="J976" s="163">
        <v>0</v>
      </c>
      <c r="K976" s="163">
        <v>1</v>
      </c>
      <c r="L976" s="163">
        <v>1</v>
      </c>
      <c r="M976" s="163">
        <v>1</v>
      </c>
      <c r="N976" s="163">
        <v>0</v>
      </c>
      <c r="O976" s="163">
        <v>160</v>
      </c>
      <c r="P976" s="163">
        <v>19.95</v>
      </c>
      <c r="Q976" s="163">
        <v>19.95</v>
      </c>
      <c r="R976" s="163">
        <v>0.12468750000000001</v>
      </c>
      <c r="S976" s="161">
        <v>160</v>
      </c>
      <c r="T976">
        <f t="shared" si="31"/>
        <v>2.3348185828939501E-8</v>
      </c>
    </row>
    <row r="977" spans="2:20">
      <c r="B977" s="163" t="s">
        <v>1238</v>
      </c>
      <c r="C977" s="163" t="s">
        <v>1239</v>
      </c>
      <c r="D977" s="163" t="s">
        <v>1237</v>
      </c>
      <c r="E977" s="163" t="s">
        <v>853</v>
      </c>
      <c r="F977" s="163" t="s">
        <v>1027</v>
      </c>
      <c r="G977" s="163">
        <v>4</v>
      </c>
      <c r="H977" s="163">
        <v>7</v>
      </c>
      <c r="I977" s="163">
        <v>1</v>
      </c>
      <c r="J977" s="163">
        <v>0</v>
      </c>
      <c r="K977" s="163">
        <v>1</v>
      </c>
      <c r="L977" s="163">
        <v>1</v>
      </c>
      <c r="M977" s="163">
        <v>330</v>
      </c>
      <c r="N977" s="163">
        <v>0</v>
      </c>
      <c r="O977" s="163">
        <v>32354</v>
      </c>
      <c r="P977" s="163">
        <v>29926.09</v>
      </c>
      <c r="Q977" s="163">
        <v>90.685121211999999</v>
      </c>
      <c r="R977" s="163">
        <v>0.92495796500000005</v>
      </c>
      <c r="S977" s="161">
        <v>98.042424241999996</v>
      </c>
      <c r="T977">
        <f t="shared" si="31"/>
        <v>4.7212950269344285E-6</v>
      </c>
    </row>
    <row r="978" spans="2:20">
      <c r="B978" s="163" t="s">
        <v>1240</v>
      </c>
      <c r="C978" s="163" t="s">
        <v>1241</v>
      </c>
      <c r="D978" s="163" t="s">
        <v>1237</v>
      </c>
      <c r="E978" s="163" t="s">
        <v>853</v>
      </c>
      <c r="F978" s="163" t="s">
        <v>1027</v>
      </c>
      <c r="G978" s="163">
        <v>4</v>
      </c>
      <c r="H978" s="163">
        <v>7</v>
      </c>
      <c r="I978" s="163">
        <v>1</v>
      </c>
      <c r="J978" s="163">
        <v>0</v>
      </c>
      <c r="K978" s="163">
        <v>1</v>
      </c>
      <c r="L978" s="163">
        <v>3</v>
      </c>
      <c r="M978" s="163">
        <v>3</v>
      </c>
      <c r="N978" s="163">
        <v>0</v>
      </c>
      <c r="O978" s="163">
        <v>92</v>
      </c>
      <c r="P978" s="163">
        <v>9.6999999999999993</v>
      </c>
      <c r="Q978" s="163">
        <v>3.2333333333000001</v>
      </c>
      <c r="R978" s="163">
        <v>0.1054347826</v>
      </c>
      <c r="S978" s="161">
        <v>30.666666667000001</v>
      </c>
      <c r="T978">
        <f t="shared" si="31"/>
        <v>1.3425206851640212E-8</v>
      </c>
    </row>
    <row r="979" spans="2:20">
      <c r="B979" s="163" t="s">
        <v>1242</v>
      </c>
      <c r="C979" s="163" t="s">
        <v>1243</v>
      </c>
      <c r="D979" s="163" t="s">
        <v>1244</v>
      </c>
      <c r="E979" s="163" t="s">
        <v>853</v>
      </c>
      <c r="F979" s="163" t="s">
        <v>1027</v>
      </c>
      <c r="G979" s="163">
        <v>4</v>
      </c>
      <c r="H979" s="163">
        <v>7</v>
      </c>
      <c r="I979" s="163">
        <v>1</v>
      </c>
      <c r="J979" s="163">
        <v>0</v>
      </c>
      <c r="K979" s="163">
        <v>1</v>
      </c>
      <c r="L979" s="163">
        <v>1</v>
      </c>
      <c r="M979" s="163">
        <v>1809469</v>
      </c>
      <c r="N979" s="163">
        <v>0</v>
      </c>
      <c r="O979" s="163">
        <v>200851424</v>
      </c>
      <c r="P979" s="163">
        <v>4564584.34</v>
      </c>
      <c r="Q979" s="163">
        <v>2.5226098596000002</v>
      </c>
      <c r="R979" s="163">
        <v>2.2726173700000001E-2</v>
      </c>
      <c r="S979" s="161">
        <v>111.00020172000001</v>
      </c>
      <c r="T979">
        <f t="shared" si="31"/>
        <v>2.9309477322244492E-2</v>
      </c>
    </row>
    <row r="980" spans="2:20">
      <c r="B980" s="163" t="s">
        <v>1245</v>
      </c>
      <c r="C980" s="163" t="s">
        <v>1246</v>
      </c>
      <c r="D980" s="163" t="s">
        <v>1244</v>
      </c>
      <c r="E980" s="163" t="s">
        <v>853</v>
      </c>
      <c r="F980" s="163" t="s">
        <v>1027</v>
      </c>
      <c r="G980" s="163">
        <v>4</v>
      </c>
      <c r="H980" s="163">
        <v>7</v>
      </c>
      <c r="I980" s="163">
        <v>1</v>
      </c>
      <c r="J980" s="163">
        <v>0</v>
      </c>
      <c r="K980" s="163">
        <v>3</v>
      </c>
      <c r="L980" s="163">
        <v>1</v>
      </c>
      <c r="M980" s="163">
        <v>24</v>
      </c>
      <c r="N980" s="163">
        <v>0</v>
      </c>
      <c r="O980" s="163">
        <v>9700</v>
      </c>
      <c r="P980" s="163">
        <v>2102.62</v>
      </c>
      <c r="Q980" s="163">
        <v>87.609166666999997</v>
      </c>
      <c r="R980" s="163">
        <v>0.2167649485</v>
      </c>
      <c r="S980" s="161">
        <v>404.16666666999998</v>
      </c>
      <c r="T980">
        <f t="shared" si="31"/>
        <v>1.4154837658794571E-6</v>
      </c>
    </row>
    <row r="981" spans="2:20">
      <c r="B981" s="163" t="s">
        <v>1247</v>
      </c>
      <c r="C981" s="163" t="s">
        <v>1248</v>
      </c>
      <c r="D981" s="163" t="s">
        <v>1244</v>
      </c>
      <c r="E981" s="163" t="s">
        <v>853</v>
      </c>
      <c r="F981" s="163" t="s">
        <v>1027</v>
      </c>
      <c r="G981" s="163">
        <v>4</v>
      </c>
      <c r="H981" s="163">
        <v>7</v>
      </c>
      <c r="I981" s="163">
        <v>1</v>
      </c>
      <c r="J981" s="163">
        <v>0</v>
      </c>
      <c r="K981" s="163">
        <v>3</v>
      </c>
      <c r="L981" s="163">
        <v>1</v>
      </c>
      <c r="M981" s="163">
        <v>101</v>
      </c>
      <c r="N981" s="163">
        <v>0</v>
      </c>
      <c r="O981" s="163">
        <v>28100</v>
      </c>
      <c r="P981" s="163">
        <v>5091.17</v>
      </c>
      <c r="Q981" s="163">
        <v>50.407623762</v>
      </c>
      <c r="R981" s="163">
        <v>0.18118042700000001</v>
      </c>
      <c r="S981" s="161">
        <v>278.21782178000001</v>
      </c>
      <c r="T981">
        <f t="shared" si="31"/>
        <v>4.1005251362074999E-6</v>
      </c>
    </row>
    <row r="982" spans="2:20">
      <c r="B982" s="163" t="s">
        <v>1249</v>
      </c>
      <c r="C982" s="163" t="s">
        <v>1250</v>
      </c>
      <c r="D982" s="163" t="s">
        <v>1244</v>
      </c>
      <c r="E982" s="163" t="s">
        <v>853</v>
      </c>
      <c r="F982" s="163" t="s">
        <v>1027</v>
      </c>
      <c r="G982" s="163">
        <v>4</v>
      </c>
      <c r="H982" s="163">
        <v>7</v>
      </c>
      <c r="I982" s="163">
        <v>1</v>
      </c>
      <c r="J982" s="163">
        <v>0</v>
      </c>
      <c r="K982" s="163">
        <v>1</v>
      </c>
      <c r="L982" s="163">
        <v>1</v>
      </c>
      <c r="M982" s="163">
        <v>26858</v>
      </c>
      <c r="N982" s="163">
        <v>0</v>
      </c>
      <c r="O982" s="163">
        <v>3486971</v>
      </c>
      <c r="P982" s="163">
        <v>346581.06</v>
      </c>
      <c r="Q982" s="163">
        <v>12.904202099999999</v>
      </c>
      <c r="R982" s="163">
        <v>9.9393158100000004E-2</v>
      </c>
      <c r="S982" s="161">
        <v>129.82988309000001</v>
      </c>
      <c r="T982">
        <f t="shared" si="31"/>
        <v>5.0884029305076875E-4</v>
      </c>
    </row>
    <row r="983" spans="2:20">
      <c r="B983" s="163" t="s">
        <v>1251</v>
      </c>
      <c r="C983" s="163" t="s">
        <v>1252</v>
      </c>
      <c r="D983" s="163" t="s">
        <v>1244</v>
      </c>
      <c r="E983" s="163" t="s">
        <v>853</v>
      </c>
      <c r="F983" s="163" t="s">
        <v>1027</v>
      </c>
      <c r="G983" s="163">
        <v>4</v>
      </c>
      <c r="H983" s="163">
        <v>7</v>
      </c>
      <c r="I983" s="163">
        <v>1</v>
      </c>
      <c r="J983" s="163">
        <v>0</v>
      </c>
      <c r="K983" s="163">
        <v>1</v>
      </c>
      <c r="L983" s="163">
        <v>1</v>
      </c>
      <c r="M983" s="163">
        <v>43561</v>
      </c>
      <c r="N983" s="163">
        <v>0</v>
      </c>
      <c r="O983" s="163">
        <v>6075174</v>
      </c>
      <c r="P983" s="163">
        <v>739883.32</v>
      </c>
      <c r="Q983" s="163">
        <v>16.984993917000001</v>
      </c>
      <c r="R983" s="163">
        <v>0.1217880048</v>
      </c>
      <c r="S983" s="161">
        <v>139.46360275999999</v>
      </c>
      <c r="T983">
        <f t="shared" si="31"/>
        <v>8.8652682184463553E-4</v>
      </c>
    </row>
    <row r="984" spans="2:20">
      <c r="B984" s="163" t="s">
        <v>1253</v>
      </c>
      <c r="C984" s="163" t="s">
        <v>1254</v>
      </c>
      <c r="D984" s="163" t="s">
        <v>1244</v>
      </c>
      <c r="E984" s="163" t="s">
        <v>853</v>
      </c>
      <c r="F984" s="163" t="s">
        <v>1027</v>
      </c>
      <c r="G984" s="163">
        <v>4</v>
      </c>
      <c r="H984" s="163">
        <v>7</v>
      </c>
      <c r="I984" s="163">
        <v>1</v>
      </c>
      <c r="J984" s="163">
        <v>0</v>
      </c>
      <c r="K984" s="163">
        <v>1</v>
      </c>
      <c r="L984" s="163">
        <v>3</v>
      </c>
      <c r="M984" s="163">
        <v>14881</v>
      </c>
      <c r="N984" s="163">
        <v>0</v>
      </c>
      <c r="O984" s="163">
        <v>1908737</v>
      </c>
      <c r="P984" s="163">
        <v>194798.5</v>
      </c>
      <c r="Q984" s="163">
        <v>13.090417311</v>
      </c>
      <c r="R984" s="163">
        <v>0.1020562288</v>
      </c>
      <c r="S984" s="161">
        <v>128.26671594999999</v>
      </c>
      <c r="T984">
        <f t="shared" si="31"/>
        <v>2.7853466359107807E-4</v>
      </c>
    </row>
    <row r="985" spans="2:20">
      <c r="B985" s="163" t="s">
        <v>1255</v>
      </c>
      <c r="C985" s="163" t="s">
        <v>1256</v>
      </c>
      <c r="D985" s="163" t="s">
        <v>1244</v>
      </c>
      <c r="E985" s="163" t="s">
        <v>853</v>
      </c>
      <c r="F985" s="163" t="s">
        <v>1027</v>
      </c>
      <c r="G985" s="163">
        <v>4</v>
      </c>
      <c r="H985" s="163">
        <v>7</v>
      </c>
      <c r="I985" s="163">
        <v>1</v>
      </c>
      <c r="J985" s="163">
        <v>0</v>
      </c>
      <c r="K985" s="163">
        <v>1</v>
      </c>
      <c r="L985" s="163">
        <v>3</v>
      </c>
      <c r="M985" s="163">
        <v>22102</v>
      </c>
      <c r="N985" s="163">
        <v>0</v>
      </c>
      <c r="O985" s="163">
        <v>3073835</v>
      </c>
      <c r="P985" s="163">
        <v>374356.58</v>
      </c>
      <c r="Q985" s="163">
        <v>16.937678943000002</v>
      </c>
      <c r="R985" s="163">
        <v>0.1217881181</v>
      </c>
      <c r="S985" s="161">
        <v>139.07497058999999</v>
      </c>
      <c r="T985">
        <f t="shared" si="31"/>
        <v>4.4855294242186403E-4</v>
      </c>
    </row>
    <row r="986" spans="2:20">
      <c r="B986" s="163" t="s">
        <v>1257</v>
      </c>
      <c r="C986" s="163" t="s">
        <v>1258</v>
      </c>
      <c r="D986" s="163" t="s">
        <v>1244</v>
      </c>
      <c r="E986" s="163" t="s">
        <v>853</v>
      </c>
      <c r="F986" s="163" t="s">
        <v>1027</v>
      </c>
      <c r="G986" s="163">
        <v>4</v>
      </c>
      <c r="H986" s="163">
        <v>7</v>
      </c>
      <c r="I986" s="163">
        <v>1</v>
      </c>
      <c r="J986" s="163">
        <v>0</v>
      </c>
      <c r="K986" s="163">
        <v>1</v>
      </c>
      <c r="L986" s="163">
        <v>3</v>
      </c>
      <c r="M986" s="163">
        <v>38</v>
      </c>
      <c r="N986" s="163">
        <v>38</v>
      </c>
      <c r="O986" s="163">
        <v>4528</v>
      </c>
      <c r="P986" s="163">
        <v>626.69000000000005</v>
      </c>
      <c r="Q986" s="163">
        <v>16.491842105</v>
      </c>
      <c r="R986" s="163">
        <v>0.13840326859999999</v>
      </c>
      <c r="S986" s="161">
        <v>119.15789474</v>
      </c>
      <c r="T986">
        <f t="shared" si="31"/>
        <v>6.6075365895898785E-7</v>
      </c>
    </row>
    <row r="987" spans="2:20">
      <c r="B987" s="163" t="s">
        <v>1259</v>
      </c>
      <c r="C987" s="163" t="s">
        <v>1260</v>
      </c>
      <c r="D987" s="163" t="s">
        <v>1244</v>
      </c>
      <c r="E987" s="163" t="s">
        <v>853</v>
      </c>
      <c r="F987" s="163" t="s">
        <v>1027</v>
      </c>
      <c r="G987" s="163">
        <v>4</v>
      </c>
      <c r="H987" s="163">
        <v>7</v>
      </c>
      <c r="I987" s="163">
        <v>1</v>
      </c>
      <c r="J987" s="163">
        <v>0</v>
      </c>
      <c r="K987" s="163">
        <v>1</v>
      </c>
      <c r="L987" s="163">
        <v>3</v>
      </c>
      <c r="M987" s="163">
        <v>7241</v>
      </c>
      <c r="N987" s="163">
        <v>0</v>
      </c>
      <c r="O987" s="163">
        <v>895753</v>
      </c>
      <c r="P987" s="163">
        <v>17431.93</v>
      </c>
      <c r="Q987" s="163">
        <v>2.4073926253</v>
      </c>
      <c r="R987" s="163">
        <v>1.9460643699999999E-2</v>
      </c>
      <c r="S987" s="161">
        <v>123.70570363</v>
      </c>
      <c r="T987">
        <f t="shared" si="31"/>
        <v>1.3071379688018778E-4</v>
      </c>
    </row>
    <row r="988" spans="2:20">
      <c r="B988" s="163" t="s">
        <v>1261</v>
      </c>
      <c r="C988" s="163" t="s">
        <v>1262</v>
      </c>
      <c r="D988" s="163" t="s">
        <v>1263</v>
      </c>
      <c r="E988" s="163" t="s">
        <v>853</v>
      </c>
      <c r="F988" s="163" t="s">
        <v>1027</v>
      </c>
      <c r="G988" s="163">
        <v>4</v>
      </c>
      <c r="H988" s="163">
        <v>7</v>
      </c>
      <c r="I988" s="163">
        <v>1</v>
      </c>
      <c r="J988" s="163">
        <v>0</v>
      </c>
      <c r="K988" s="163">
        <v>1</v>
      </c>
      <c r="L988" s="163">
        <v>1</v>
      </c>
      <c r="M988" s="163">
        <v>268966</v>
      </c>
      <c r="N988" s="163">
        <v>0</v>
      </c>
      <c r="O988" s="163">
        <v>24744116</v>
      </c>
      <c r="P988" s="163">
        <v>3911770.28</v>
      </c>
      <c r="Q988" s="163">
        <v>14.543735193</v>
      </c>
      <c r="R988" s="163">
        <v>0.15808890810000001</v>
      </c>
      <c r="S988" s="161">
        <v>91.997189235999997</v>
      </c>
      <c r="T988">
        <f t="shared" si="31"/>
        <v>3.6108138658802196E-3</v>
      </c>
    </row>
    <row r="989" spans="2:20">
      <c r="B989" s="163" t="s">
        <v>1264</v>
      </c>
      <c r="C989" s="163" t="s">
        <v>1265</v>
      </c>
      <c r="D989" s="163" t="s">
        <v>1263</v>
      </c>
      <c r="E989" s="163" t="s">
        <v>853</v>
      </c>
      <c r="F989" s="163" t="s">
        <v>1027</v>
      </c>
      <c r="G989" s="163">
        <v>4</v>
      </c>
      <c r="H989" s="163">
        <v>7</v>
      </c>
      <c r="I989" s="163">
        <v>1</v>
      </c>
      <c r="J989" s="163">
        <v>0</v>
      </c>
      <c r="K989" s="163">
        <v>3</v>
      </c>
      <c r="L989" s="163">
        <v>1</v>
      </c>
      <c r="M989" s="163">
        <v>1</v>
      </c>
      <c r="N989" s="163">
        <v>0</v>
      </c>
      <c r="O989" s="163">
        <v>1200</v>
      </c>
      <c r="P989" s="163">
        <v>1123</v>
      </c>
      <c r="Q989" s="163">
        <v>1123</v>
      </c>
      <c r="R989" s="163">
        <v>0.93583333329999996</v>
      </c>
      <c r="S989" s="161">
        <v>1200</v>
      </c>
      <c r="T989">
        <f t="shared" si="31"/>
        <v>1.7511139371704625E-7</v>
      </c>
    </row>
    <row r="990" spans="2:20">
      <c r="B990" s="163" t="s">
        <v>1266</v>
      </c>
      <c r="C990" s="163" t="s">
        <v>1267</v>
      </c>
      <c r="D990" s="163" t="s">
        <v>1263</v>
      </c>
      <c r="E990" s="163" t="s">
        <v>853</v>
      </c>
      <c r="F990" s="163" t="s">
        <v>1027</v>
      </c>
      <c r="G990" s="163">
        <v>4</v>
      </c>
      <c r="H990" s="163">
        <v>7</v>
      </c>
      <c r="I990" s="163">
        <v>1</v>
      </c>
      <c r="J990" s="163">
        <v>0</v>
      </c>
      <c r="K990" s="163">
        <v>1</v>
      </c>
      <c r="L990" s="163">
        <v>3</v>
      </c>
      <c r="M990" s="163">
        <v>4</v>
      </c>
      <c r="N990" s="163">
        <v>0</v>
      </c>
      <c r="O990" s="163">
        <v>294</v>
      </c>
      <c r="P990" s="163">
        <v>41.97</v>
      </c>
      <c r="Q990" s="163">
        <v>10.4925</v>
      </c>
      <c r="R990" s="163">
        <v>0.14275510199999999</v>
      </c>
      <c r="S990" s="161">
        <v>73.5</v>
      </c>
      <c r="T990">
        <f t="shared" si="31"/>
        <v>4.2902291460676331E-8</v>
      </c>
    </row>
    <row r="991" spans="2:20">
      <c r="B991" s="163" t="s">
        <v>1268</v>
      </c>
      <c r="C991" s="163" t="s">
        <v>1269</v>
      </c>
      <c r="D991" s="163" t="s">
        <v>1270</v>
      </c>
      <c r="E991" s="163" t="s">
        <v>853</v>
      </c>
      <c r="F991" s="163" t="s">
        <v>1027</v>
      </c>
      <c r="G991" s="163">
        <v>4</v>
      </c>
      <c r="H991" s="163">
        <v>7</v>
      </c>
      <c r="I991" s="163">
        <v>1</v>
      </c>
      <c r="J991" s="163">
        <v>0</v>
      </c>
      <c r="K991" s="163">
        <v>1</v>
      </c>
      <c r="L991" s="163">
        <v>1</v>
      </c>
      <c r="M991" s="163">
        <v>22001</v>
      </c>
      <c r="N991" s="163">
        <v>0</v>
      </c>
      <c r="O991" s="163">
        <v>3157974</v>
      </c>
      <c r="P991" s="163">
        <v>3925885.4</v>
      </c>
      <c r="Q991" s="163">
        <v>178.44122540000001</v>
      </c>
      <c r="R991" s="163">
        <v>1.2431658399000001</v>
      </c>
      <c r="S991" s="161">
        <v>143.53774827999999</v>
      </c>
      <c r="T991">
        <f t="shared" si="31"/>
        <v>4.6083102371849617E-4</v>
      </c>
    </row>
    <row r="992" spans="2:20">
      <c r="B992" s="163" t="s">
        <v>1271</v>
      </c>
      <c r="C992" s="163" t="s">
        <v>1272</v>
      </c>
      <c r="D992" s="163" t="s">
        <v>1270</v>
      </c>
      <c r="E992" s="163" t="s">
        <v>853</v>
      </c>
      <c r="F992" s="163" t="s">
        <v>1027</v>
      </c>
      <c r="G992" s="163">
        <v>4</v>
      </c>
      <c r="H992" s="163">
        <v>7</v>
      </c>
      <c r="I992" s="163">
        <v>1</v>
      </c>
      <c r="J992" s="163">
        <v>0</v>
      </c>
      <c r="K992" s="163">
        <v>3</v>
      </c>
      <c r="L992" s="163">
        <v>1</v>
      </c>
      <c r="M992" s="163">
        <v>37</v>
      </c>
      <c r="N992" s="163">
        <v>0</v>
      </c>
      <c r="O992" s="163">
        <v>5727</v>
      </c>
      <c r="P992" s="163">
        <v>5903.07</v>
      </c>
      <c r="Q992" s="163">
        <v>159.54243242999999</v>
      </c>
      <c r="R992" s="163">
        <v>1.0307438448999999</v>
      </c>
      <c r="S992" s="161">
        <v>154.78378377999999</v>
      </c>
      <c r="T992">
        <f t="shared" si="31"/>
        <v>8.3571912651460325E-7</v>
      </c>
    </row>
    <row r="993" spans="2:20">
      <c r="B993" s="163" t="s">
        <v>1273</v>
      </c>
      <c r="C993" s="163" t="s">
        <v>1274</v>
      </c>
      <c r="D993" s="163" t="s">
        <v>1275</v>
      </c>
      <c r="E993" s="163" t="s">
        <v>853</v>
      </c>
      <c r="F993" s="163" t="s">
        <v>1027</v>
      </c>
      <c r="G993" s="163">
        <v>4</v>
      </c>
      <c r="H993" s="163">
        <v>7</v>
      </c>
      <c r="I993" s="163">
        <v>1</v>
      </c>
      <c r="J993" s="163">
        <v>0</v>
      </c>
      <c r="K993" s="163">
        <v>1</v>
      </c>
      <c r="L993" s="163">
        <v>1</v>
      </c>
      <c r="M993" s="163">
        <v>7</v>
      </c>
      <c r="N993" s="163">
        <v>0</v>
      </c>
      <c r="O993" s="163">
        <v>484</v>
      </c>
      <c r="P993" s="163">
        <v>93.53</v>
      </c>
      <c r="Q993" s="163">
        <v>13.361428570999999</v>
      </c>
      <c r="R993" s="163">
        <v>0.1932438017</v>
      </c>
      <c r="S993" s="161">
        <v>69.142857143000001</v>
      </c>
      <c r="T993">
        <f t="shared" si="31"/>
        <v>7.0628262132541981E-8</v>
      </c>
    </row>
    <row r="994" spans="2:20">
      <c r="B994" s="163" t="s">
        <v>1276</v>
      </c>
      <c r="C994" s="163" t="s">
        <v>1277</v>
      </c>
      <c r="D994" s="163" t="s">
        <v>1275</v>
      </c>
      <c r="E994" s="163" t="s">
        <v>853</v>
      </c>
      <c r="F994" s="163" t="s">
        <v>1027</v>
      </c>
      <c r="G994" s="163">
        <v>4</v>
      </c>
      <c r="H994" s="163">
        <v>7</v>
      </c>
      <c r="I994" s="163">
        <v>1</v>
      </c>
      <c r="J994" s="163">
        <v>0</v>
      </c>
      <c r="K994" s="163">
        <v>1</v>
      </c>
      <c r="L994" s="163">
        <v>3</v>
      </c>
      <c r="M994" s="163">
        <v>2</v>
      </c>
      <c r="N994" s="163">
        <v>0</v>
      </c>
      <c r="O994" s="163">
        <v>244</v>
      </c>
      <c r="P994" s="163">
        <v>18.53</v>
      </c>
      <c r="Q994" s="163">
        <v>9.2650000000000006</v>
      </c>
      <c r="R994" s="163">
        <v>7.5942623000000001E-2</v>
      </c>
      <c r="S994" s="161">
        <v>122</v>
      </c>
      <c r="T994">
        <f t="shared" si="31"/>
        <v>3.5605983389132739E-8</v>
      </c>
    </row>
    <row r="995" spans="2:20">
      <c r="B995" s="163" t="s">
        <v>1278</v>
      </c>
      <c r="C995" s="163" t="s">
        <v>1279</v>
      </c>
      <c r="D995" s="163" t="s">
        <v>1275</v>
      </c>
      <c r="E995" s="163" t="s">
        <v>853</v>
      </c>
      <c r="F995" s="163" t="s">
        <v>1027</v>
      </c>
      <c r="G995" s="163">
        <v>4</v>
      </c>
      <c r="H995" s="163">
        <v>7</v>
      </c>
      <c r="I995" s="163">
        <v>1</v>
      </c>
      <c r="J995" s="163">
        <v>0</v>
      </c>
      <c r="K995" s="163">
        <v>1</v>
      </c>
      <c r="L995" s="163">
        <v>3</v>
      </c>
      <c r="M995" s="163">
        <v>106</v>
      </c>
      <c r="N995" s="163">
        <v>0</v>
      </c>
      <c r="O995" s="163">
        <v>8302</v>
      </c>
      <c r="P995" s="163">
        <v>1132.58</v>
      </c>
      <c r="Q995" s="163">
        <v>10.684716980999999</v>
      </c>
      <c r="R995" s="163">
        <v>0.13642254879999999</v>
      </c>
      <c r="S995" s="161">
        <v>78.320754717</v>
      </c>
      <c r="T995">
        <f t="shared" si="31"/>
        <v>1.2114789921990983E-6</v>
      </c>
    </row>
    <row r="996" spans="2:20">
      <c r="B996" s="163" t="s">
        <v>1280</v>
      </c>
      <c r="C996" s="163" t="s">
        <v>1281</v>
      </c>
      <c r="D996" s="163" t="s">
        <v>1275</v>
      </c>
      <c r="E996" s="163" t="s">
        <v>853</v>
      </c>
      <c r="F996" s="163" t="s">
        <v>1027</v>
      </c>
      <c r="G996" s="163">
        <v>4</v>
      </c>
      <c r="H996" s="163">
        <v>7</v>
      </c>
      <c r="I996" s="163">
        <v>1</v>
      </c>
      <c r="J996" s="163">
        <v>0</v>
      </c>
      <c r="K996" s="163">
        <v>1</v>
      </c>
      <c r="L996" s="163">
        <v>3</v>
      </c>
      <c r="M996" s="163">
        <v>1</v>
      </c>
      <c r="N996" s="163">
        <v>0</v>
      </c>
      <c r="O996" s="163">
        <v>96</v>
      </c>
      <c r="P996" s="163">
        <v>7.68</v>
      </c>
      <c r="Q996" s="163">
        <v>7.68</v>
      </c>
      <c r="R996" s="163">
        <v>0.08</v>
      </c>
      <c r="S996" s="161">
        <v>96</v>
      </c>
      <c r="T996">
        <f t="shared" si="31"/>
        <v>1.4008911497363699E-8</v>
      </c>
    </row>
    <row r="997" spans="2:20">
      <c r="B997" s="163" t="s">
        <v>1282</v>
      </c>
      <c r="C997" s="163" t="s">
        <v>1283</v>
      </c>
      <c r="D997" s="163" t="s">
        <v>1275</v>
      </c>
      <c r="E997" s="163" t="s">
        <v>853</v>
      </c>
      <c r="F997" s="163" t="s">
        <v>1027</v>
      </c>
      <c r="G997" s="163">
        <v>4</v>
      </c>
      <c r="H997" s="163">
        <v>7</v>
      </c>
      <c r="I997" s="163">
        <v>1</v>
      </c>
      <c r="J997" s="163">
        <v>0</v>
      </c>
      <c r="K997" s="163">
        <v>1</v>
      </c>
      <c r="L997" s="163">
        <v>3</v>
      </c>
      <c r="M997" s="163">
        <v>89</v>
      </c>
      <c r="N997" s="163">
        <v>0</v>
      </c>
      <c r="O997" s="163">
        <v>5662</v>
      </c>
      <c r="P997" s="163">
        <v>682.96</v>
      </c>
      <c r="Q997" s="163">
        <v>7.6737078651999999</v>
      </c>
      <c r="R997" s="163">
        <v>0.1206216884</v>
      </c>
      <c r="S997" s="161">
        <v>63.617977527999997</v>
      </c>
      <c r="T997">
        <f t="shared" si="31"/>
        <v>8.2623392602159654E-7</v>
      </c>
    </row>
    <row r="998" spans="2:20">
      <c r="B998" s="163" t="s">
        <v>1284</v>
      </c>
      <c r="C998" s="163" t="s">
        <v>1285</v>
      </c>
      <c r="D998" s="163" t="s">
        <v>1275</v>
      </c>
      <c r="E998" s="163" t="s">
        <v>853</v>
      </c>
      <c r="F998" s="163" t="s">
        <v>1027</v>
      </c>
      <c r="G998" s="163">
        <v>4</v>
      </c>
      <c r="H998" s="163">
        <v>7</v>
      </c>
      <c r="I998" s="163">
        <v>1</v>
      </c>
      <c r="J998" s="163">
        <v>0</v>
      </c>
      <c r="K998" s="163">
        <v>1</v>
      </c>
      <c r="L998" s="163">
        <v>3</v>
      </c>
      <c r="M998" s="163">
        <v>1</v>
      </c>
      <c r="N998" s="163">
        <v>0</v>
      </c>
      <c r="O998" s="163">
        <v>48</v>
      </c>
      <c r="P998" s="163">
        <v>6.58</v>
      </c>
      <c r="Q998" s="163">
        <v>6.58</v>
      </c>
      <c r="R998" s="163">
        <v>0.1370833333</v>
      </c>
      <c r="S998" s="161">
        <v>48</v>
      </c>
      <c r="T998">
        <f t="shared" si="31"/>
        <v>7.0044557486818496E-9</v>
      </c>
    </row>
    <row r="999" spans="2:20">
      <c r="B999" s="163" t="s">
        <v>1286</v>
      </c>
      <c r="C999" s="163" t="s">
        <v>1287</v>
      </c>
      <c r="D999" s="163" t="s">
        <v>1275</v>
      </c>
      <c r="E999" s="163" t="s">
        <v>853</v>
      </c>
      <c r="F999" s="163" t="s">
        <v>1027</v>
      </c>
      <c r="G999" s="163">
        <v>4</v>
      </c>
      <c r="H999" s="163">
        <v>7</v>
      </c>
      <c r="I999" s="163">
        <v>1</v>
      </c>
      <c r="J999" s="163">
        <v>0</v>
      </c>
      <c r="K999" s="163">
        <v>1</v>
      </c>
      <c r="L999" s="163">
        <v>3</v>
      </c>
      <c r="M999" s="163">
        <v>1</v>
      </c>
      <c r="N999" s="163">
        <v>0</v>
      </c>
      <c r="O999" s="163">
        <v>24</v>
      </c>
      <c r="P999" s="163">
        <v>3.81</v>
      </c>
      <c r="Q999" s="163">
        <v>3.81</v>
      </c>
      <c r="R999" s="163">
        <v>0.15875</v>
      </c>
      <c r="S999" s="161">
        <v>24</v>
      </c>
      <c r="T999">
        <f t="shared" si="31"/>
        <v>3.5022278743409248E-9</v>
      </c>
    </row>
    <row r="1000" spans="2:20">
      <c r="B1000" s="163" t="s">
        <v>1288</v>
      </c>
      <c r="C1000" s="163" t="s">
        <v>1289</v>
      </c>
      <c r="D1000" s="163" t="s">
        <v>1290</v>
      </c>
      <c r="E1000" s="163" t="s">
        <v>853</v>
      </c>
      <c r="F1000" s="163" t="s">
        <v>1027</v>
      </c>
      <c r="G1000" s="163">
        <v>4</v>
      </c>
      <c r="H1000" s="163">
        <v>7</v>
      </c>
      <c r="I1000" s="163">
        <v>1</v>
      </c>
      <c r="J1000" s="163">
        <v>0</v>
      </c>
      <c r="K1000" s="163">
        <v>1</v>
      </c>
      <c r="L1000" s="163">
        <v>3</v>
      </c>
      <c r="M1000" s="163">
        <v>37</v>
      </c>
      <c r="N1000" s="163">
        <v>0</v>
      </c>
      <c r="O1000" s="163">
        <v>2140</v>
      </c>
      <c r="P1000" s="163">
        <v>324.22000000000003</v>
      </c>
      <c r="Q1000" s="163">
        <v>8.7627027027000004</v>
      </c>
      <c r="R1000" s="163">
        <v>0.1515046729</v>
      </c>
      <c r="S1000" s="161">
        <v>57.837837837999999</v>
      </c>
      <c r="T1000">
        <f t="shared" si="31"/>
        <v>3.1228198546206578E-7</v>
      </c>
    </row>
    <row r="1001" spans="2:20">
      <c r="B1001" s="163" t="s">
        <v>1291</v>
      </c>
      <c r="C1001" s="163" t="s">
        <v>1292</v>
      </c>
      <c r="D1001" s="163" t="s">
        <v>1290</v>
      </c>
      <c r="E1001" s="163" t="s">
        <v>853</v>
      </c>
      <c r="F1001" s="163" t="s">
        <v>1027</v>
      </c>
      <c r="G1001" s="163">
        <v>4</v>
      </c>
      <c r="H1001" s="163">
        <v>7</v>
      </c>
      <c r="I1001" s="163">
        <v>1</v>
      </c>
      <c r="J1001" s="163">
        <v>0</v>
      </c>
      <c r="K1001" s="163">
        <v>1</v>
      </c>
      <c r="L1001" s="163">
        <v>3</v>
      </c>
      <c r="M1001" s="163">
        <v>387</v>
      </c>
      <c r="N1001" s="163">
        <v>275</v>
      </c>
      <c r="O1001" s="163">
        <v>31266</v>
      </c>
      <c r="P1001" s="163">
        <v>3155.9</v>
      </c>
      <c r="Q1001" s="163">
        <v>8.1547803618000003</v>
      </c>
      <c r="R1001" s="163">
        <v>0.10093712019999999</v>
      </c>
      <c r="S1001" s="161">
        <v>80.790697674</v>
      </c>
      <c r="T1001">
        <f t="shared" si="31"/>
        <v>4.56252736329764E-6</v>
      </c>
    </row>
    <row r="1002" spans="2:20">
      <c r="B1002" s="163" t="s">
        <v>1293</v>
      </c>
      <c r="C1002" s="163" t="s">
        <v>1294</v>
      </c>
      <c r="D1002" s="163" t="s">
        <v>1290</v>
      </c>
      <c r="E1002" s="163" t="s">
        <v>853</v>
      </c>
      <c r="F1002" s="163" t="s">
        <v>1027</v>
      </c>
      <c r="G1002" s="163">
        <v>4</v>
      </c>
      <c r="H1002" s="163">
        <v>7</v>
      </c>
      <c r="I1002" s="163">
        <v>1</v>
      </c>
      <c r="J1002" s="163">
        <v>0</v>
      </c>
      <c r="K1002" s="163">
        <v>1</v>
      </c>
      <c r="L1002" s="163">
        <v>3</v>
      </c>
      <c r="M1002" s="163">
        <v>26</v>
      </c>
      <c r="N1002" s="163">
        <v>0</v>
      </c>
      <c r="O1002" s="163">
        <v>2204</v>
      </c>
      <c r="P1002" s="163">
        <v>209.17</v>
      </c>
      <c r="Q1002" s="163">
        <v>8.0449999999999999</v>
      </c>
      <c r="R1002" s="163">
        <v>9.4904718700000001E-2</v>
      </c>
      <c r="S1002" s="161">
        <v>84.769230769000004</v>
      </c>
      <c r="T1002">
        <f t="shared" si="31"/>
        <v>3.2162125979364161E-7</v>
      </c>
    </row>
    <row r="1003" spans="2:20">
      <c r="B1003" s="163" t="s">
        <v>1295</v>
      </c>
      <c r="C1003" s="163" t="s">
        <v>1296</v>
      </c>
      <c r="D1003" s="163" t="s">
        <v>1290</v>
      </c>
      <c r="E1003" s="163" t="s">
        <v>853</v>
      </c>
      <c r="F1003" s="163" t="s">
        <v>1027</v>
      </c>
      <c r="G1003" s="163">
        <v>4</v>
      </c>
      <c r="H1003" s="163">
        <v>7</v>
      </c>
      <c r="I1003" s="163">
        <v>1</v>
      </c>
      <c r="J1003" s="163">
        <v>0</v>
      </c>
      <c r="K1003" s="163">
        <v>1</v>
      </c>
      <c r="L1003" s="163">
        <v>3</v>
      </c>
      <c r="M1003" s="163">
        <v>1</v>
      </c>
      <c r="N1003" s="163">
        <v>1</v>
      </c>
      <c r="O1003" s="163">
        <v>56</v>
      </c>
      <c r="P1003" s="163">
        <v>10.31</v>
      </c>
      <c r="Q1003" s="163">
        <v>10.31</v>
      </c>
      <c r="R1003" s="163">
        <v>0.18410714289999999</v>
      </c>
      <c r="S1003" s="161">
        <v>56</v>
      </c>
      <c r="T1003">
        <f t="shared" ref="T1003:T1066" si="32">O1003/SUM($O$874:$O$1513)</f>
        <v>8.1718650401288248E-9</v>
      </c>
    </row>
    <row r="1004" spans="2:20">
      <c r="B1004" s="163" t="s">
        <v>1297</v>
      </c>
      <c r="C1004" s="163" t="s">
        <v>1298</v>
      </c>
      <c r="D1004" s="163" t="s">
        <v>1299</v>
      </c>
      <c r="E1004" s="163" t="s">
        <v>853</v>
      </c>
      <c r="F1004" s="163" t="s">
        <v>1027</v>
      </c>
      <c r="G1004" s="163">
        <v>4</v>
      </c>
      <c r="H1004" s="163">
        <v>7</v>
      </c>
      <c r="I1004" s="163">
        <v>1</v>
      </c>
      <c r="J1004" s="163">
        <v>0</v>
      </c>
      <c r="K1004" s="163">
        <v>1</v>
      </c>
      <c r="L1004" s="163">
        <v>3</v>
      </c>
      <c r="M1004" s="163">
        <v>44</v>
      </c>
      <c r="N1004" s="163">
        <v>0</v>
      </c>
      <c r="O1004" s="163">
        <v>3104</v>
      </c>
      <c r="P1004" s="163">
        <v>336.47</v>
      </c>
      <c r="Q1004" s="163">
        <v>7.6470454544999997</v>
      </c>
      <c r="R1004" s="163">
        <v>0.1083988402</v>
      </c>
      <c r="S1004" s="161">
        <v>70.545454544999998</v>
      </c>
      <c r="T1004">
        <f t="shared" si="32"/>
        <v>4.5295480508142629E-7</v>
      </c>
    </row>
    <row r="1005" spans="2:20">
      <c r="B1005" s="163" t="s">
        <v>1300</v>
      </c>
      <c r="C1005" s="163" t="s">
        <v>1301</v>
      </c>
      <c r="D1005" s="163" t="s">
        <v>1299</v>
      </c>
      <c r="E1005" s="163" t="s">
        <v>853</v>
      </c>
      <c r="F1005" s="163" t="s">
        <v>1027</v>
      </c>
      <c r="G1005" s="163">
        <v>4</v>
      </c>
      <c r="H1005" s="163">
        <v>7</v>
      </c>
      <c r="I1005" s="163">
        <v>1</v>
      </c>
      <c r="J1005" s="163">
        <v>0</v>
      </c>
      <c r="K1005" s="163">
        <v>1</v>
      </c>
      <c r="L1005" s="163">
        <v>3</v>
      </c>
      <c r="M1005" s="163">
        <v>166</v>
      </c>
      <c r="N1005" s="163">
        <v>0</v>
      </c>
      <c r="O1005" s="163">
        <v>17008</v>
      </c>
      <c r="P1005" s="163">
        <v>2195.1799999999998</v>
      </c>
      <c r="Q1005" s="163">
        <v>13.223975904</v>
      </c>
      <c r="R1005" s="163">
        <v>0.1290674976</v>
      </c>
      <c r="S1005" s="161">
        <v>102.45783133</v>
      </c>
      <c r="T1005">
        <f t="shared" si="32"/>
        <v>2.4819121536162688E-6</v>
      </c>
    </row>
    <row r="1006" spans="2:20">
      <c r="B1006" s="163" t="s">
        <v>1302</v>
      </c>
      <c r="C1006" s="163" t="s">
        <v>1303</v>
      </c>
      <c r="D1006" s="163" t="s">
        <v>1299</v>
      </c>
      <c r="E1006" s="163" t="s">
        <v>853</v>
      </c>
      <c r="F1006" s="163" t="s">
        <v>1027</v>
      </c>
      <c r="G1006" s="163">
        <v>4</v>
      </c>
      <c r="H1006" s="163">
        <v>7</v>
      </c>
      <c r="I1006" s="163">
        <v>1</v>
      </c>
      <c r="J1006" s="163">
        <v>0</v>
      </c>
      <c r="K1006" s="163">
        <v>1</v>
      </c>
      <c r="L1006" s="163">
        <v>3</v>
      </c>
      <c r="M1006" s="163">
        <v>2696</v>
      </c>
      <c r="N1006" s="163">
        <v>0</v>
      </c>
      <c r="O1006" s="163">
        <v>283098</v>
      </c>
      <c r="P1006" s="163">
        <v>38688.17</v>
      </c>
      <c r="Q1006" s="163">
        <v>14.350211423999999</v>
      </c>
      <c r="R1006" s="163">
        <v>0.13665999049999999</v>
      </c>
      <c r="S1006" s="161">
        <v>105.00667656</v>
      </c>
      <c r="T1006">
        <f t="shared" si="32"/>
        <v>4.1311404448756968E-5</v>
      </c>
    </row>
    <row r="1007" spans="2:20">
      <c r="B1007" s="163" t="s">
        <v>1304</v>
      </c>
      <c r="C1007" s="163" t="s">
        <v>1305</v>
      </c>
      <c r="D1007" s="163" t="s">
        <v>1299</v>
      </c>
      <c r="E1007" s="163" t="s">
        <v>853</v>
      </c>
      <c r="F1007" s="163" t="s">
        <v>1027</v>
      </c>
      <c r="G1007" s="163">
        <v>4</v>
      </c>
      <c r="H1007" s="163">
        <v>7</v>
      </c>
      <c r="I1007" s="163">
        <v>1</v>
      </c>
      <c r="J1007" s="163">
        <v>0</v>
      </c>
      <c r="K1007" s="163">
        <v>1</v>
      </c>
      <c r="L1007" s="163">
        <v>3</v>
      </c>
      <c r="M1007" s="163">
        <v>1019</v>
      </c>
      <c r="N1007" s="163">
        <v>1</v>
      </c>
      <c r="O1007" s="163">
        <v>97222</v>
      </c>
      <c r="P1007" s="163">
        <v>12548.6</v>
      </c>
      <c r="Q1007" s="163">
        <v>12.314622179000001</v>
      </c>
      <c r="R1007" s="163">
        <v>0.1290716093</v>
      </c>
      <c r="S1007" s="161">
        <v>95.409224730000005</v>
      </c>
      <c r="T1007">
        <f t="shared" si="32"/>
        <v>1.4187233266632225E-5</v>
      </c>
    </row>
    <row r="1008" spans="2:20">
      <c r="B1008" s="163" t="s">
        <v>1306</v>
      </c>
      <c r="C1008" s="163" t="s">
        <v>1307</v>
      </c>
      <c r="D1008" s="163" t="s">
        <v>1299</v>
      </c>
      <c r="E1008" s="163" t="s">
        <v>853</v>
      </c>
      <c r="F1008" s="163" t="s">
        <v>1027</v>
      </c>
      <c r="G1008" s="163">
        <v>4</v>
      </c>
      <c r="H1008" s="163">
        <v>7</v>
      </c>
      <c r="I1008" s="163">
        <v>1</v>
      </c>
      <c r="J1008" s="163">
        <v>0</v>
      </c>
      <c r="K1008" s="163">
        <v>1</v>
      </c>
      <c r="L1008" s="163">
        <v>3</v>
      </c>
      <c r="M1008" s="163">
        <v>849</v>
      </c>
      <c r="N1008" s="163">
        <v>0</v>
      </c>
      <c r="O1008" s="163">
        <v>88838</v>
      </c>
      <c r="P1008" s="163">
        <v>13875.39</v>
      </c>
      <c r="Q1008" s="163">
        <v>16.343215548</v>
      </c>
      <c r="R1008" s="163">
        <v>0.1561875549</v>
      </c>
      <c r="S1008" s="161">
        <v>104.63839812000001</v>
      </c>
      <c r="T1008">
        <f t="shared" si="32"/>
        <v>1.2963788329195796E-5</v>
      </c>
    </row>
    <row r="1009" spans="2:20">
      <c r="B1009" s="163" t="s">
        <v>1308</v>
      </c>
      <c r="C1009" s="163" t="s">
        <v>1309</v>
      </c>
      <c r="D1009" s="163" t="s">
        <v>1299</v>
      </c>
      <c r="E1009" s="163" t="s">
        <v>853</v>
      </c>
      <c r="F1009" s="163" t="s">
        <v>1027</v>
      </c>
      <c r="G1009" s="163">
        <v>4</v>
      </c>
      <c r="H1009" s="163">
        <v>7</v>
      </c>
      <c r="I1009" s="163">
        <v>1</v>
      </c>
      <c r="J1009" s="163">
        <v>0</v>
      </c>
      <c r="K1009" s="163">
        <v>3</v>
      </c>
      <c r="L1009" s="163">
        <v>3</v>
      </c>
      <c r="M1009" s="163">
        <v>4</v>
      </c>
      <c r="N1009" s="163">
        <v>0</v>
      </c>
      <c r="O1009" s="163">
        <v>640</v>
      </c>
      <c r="P1009" s="163">
        <v>12.36</v>
      </c>
      <c r="Q1009" s="163">
        <v>3.09</v>
      </c>
      <c r="R1009" s="163">
        <v>1.93125E-2</v>
      </c>
      <c r="S1009" s="161">
        <v>160</v>
      </c>
      <c r="T1009">
        <f t="shared" si="32"/>
        <v>9.3392743315758003E-8</v>
      </c>
    </row>
    <row r="1010" spans="2:20">
      <c r="B1010" s="163" t="s">
        <v>1310</v>
      </c>
      <c r="C1010" s="163" t="s">
        <v>1311</v>
      </c>
      <c r="D1010" s="163" t="s">
        <v>1299</v>
      </c>
      <c r="E1010" s="163" t="s">
        <v>853</v>
      </c>
      <c r="F1010" s="163" t="s">
        <v>1027</v>
      </c>
      <c r="G1010" s="163">
        <v>4</v>
      </c>
      <c r="H1010" s="163">
        <v>7</v>
      </c>
      <c r="I1010" s="163">
        <v>1</v>
      </c>
      <c r="J1010" s="163">
        <v>0</v>
      </c>
      <c r="K1010" s="163">
        <v>1</v>
      </c>
      <c r="L1010" s="163">
        <v>3</v>
      </c>
      <c r="M1010" s="163">
        <v>6</v>
      </c>
      <c r="N1010" s="163">
        <v>0</v>
      </c>
      <c r="O1010" s="163">
        <v>133</v>
      </c>
      <c r="P1010" s="163">
        <v>21.7</v>
      </c>
      <c r="Q1010" s="163">
        <v>3.6166666667</v>
      </c>
      <c r="R1010" s="163">
        <v>0.1631578947</v>
      </c>
      <c r="S1010" s="161">
        <v>22.166666667000001</v>
      </c>
      <c r="T1010">
        <f t="shared" si="32"/>
        <v>1.940817947030596E-8</v>
      </c>
    </row>
    <row r="1011" spans="2:20">
      <c r="B1011" s="163" t="s">
        <v>1312</v>
      </c>
      <c r="C1011" s="163" t="s">
        <v>1313</v>
      </c>
      <c r="D1011" s="163" t="s">
        <v>1299</v>
      </c>
      <c r="E1011" s="163" t="s">
        <v>853</v>
      </c>
      <c r="F1011" s="163" t="s">
        <v>1027</v>
      </c>
      <c r="G1011" s="163">
        <v>4</v>
      </c>
      <c r="H1011" s="163">
        <v>7</v>
      </c>
      <c r="I1011" s="163">
        <v>1</v>
      </c>
      <c r="J1011" s="163">
        <v>0</v>
      </c>
      <c r="K1011" s="163">
        <v>1</v>
      </c>
      <c r="L1011" s="163">
        <v>3</v>
      </c>
      <c r="M1011" s="163">
        <v>1</v>
      </c>
      <c r="N1011" s="163">
        <v>0</v>
      </c>
      <c r="O1011" s="163">
        <v>5</v>
      </c>
      <c r="P1011" s="163">
        <v>1.2</v>
      </c>
      <c r="Q1011" s="163">
        <v>1.2</v>
      </c>
      <c r="R1011" s="163">
        <v>0.24</v>
      </c>
      <c r="S1011" s="161">
        <v>5</v>
      </c>
      <c r="T1011">
        <f t="shared" si="32"/>
        <v>7.296308071543594E-10</v>
      </c>
    </row>
    <row r="1012" spans="2:20">
      <c r="B1012" s="163" t="s">
        <v>1314</v>
      </c>
      <c r="C1012" s="163" t="s">
        <v>1315</v>
      </c>
      <c r="D1012" s="163" t="s">
        <v>1299</v>
      </c>
      <c r="E1012" s="163" t="s">
        <v>853</v>
      </c>
      <c r="F1012" s="163" t="s">
        <v>1027</v>
      </c>
      <c r="G1012" s="163">
        <v>4</v>
      </c>
      <c r="H1012" s="163">
        <v>7</v>
      </c>
      <c r="I1012" s="163">
        <v>1</v>
      </c>
      <c r="J1012" s="163">
        <v>0</v>
      </c>
      <c r="K1012" s="163">
        <v>1</v>
      </c>
      <c r="L1012" s="163">
        <v>3</v>
      </c>
      <c r="M1012" s="163">
        <v>1</v>
      </c>
      <c r="N1012" s="163">
        <v>0</v>
      </c>
      <c r="O1012" s="163">
        <v>20</v>
      </c>
      <c r="P1012" s="163">
        <v>5.5</v>
      </c>
      <c r="Q1012" s="163">
        <v>5.5</v>
      </c>
      <c r="R1012" s="163">
        <v>0.27500000000000002</v>
      </c>
      <c r="S1012" s="161">
        <v>20</v>
      </c>
      <c r="T1012">
        <f t="shared" si="32"/>
        <v>2.9185232286174376E-9</v>
      </c>
    </row>
    <row r="1013" spans="2:20">
      <c r="B1013" s="163" t="s">
        <v>1316</v>
      </c>
      <c r="C1013" s="163" t="s">
        <v>1317</v>
      </c>
      <c r="D1013" s="163" t="s">
        <v>1299</v>
      </c>
      <c r="E1013" s="163" t="s">
        <v>853</v>
      </c>
      <c r="F1013" s="163" t="s">
        <v>1027</v>
      </c>
      <c r="G1013" s="163">
        <v>4</v>
      </c>
      <c r="H1013" s="163">
        <v>7</v>
      </c>
      <c r="I1013" s="163">
        <v>1</v>
      </c>
      <c r="J1013" s="163">
        <v>0</v>
      </c>
      <c r="K1013" s="163">
        <v>1</v>
      </c>
      <c r="L1013" s="163">
        <v>3</v>
      </c>
      <c r="M1013" s="163">
        <v>3</v>
      </c>
      <c r="N1013" s="163">
        <v>0</v>
      </c>
      <c r="O1013" s="163">
        <v>60</v>
      </c>
      <c r="P1013" s="163">
        <v>20.34</v>
      </c>
      <c r="Q1013" s="163">
        <v>6.78</v>
      </c>
      <c r="R1013" s="163">
        <v>0.33900000000000002</v>
      </c>
      <c r="S1013" s="161">
        <v>20</v>
      </c>
      <c r="T1013">
        <f t="shared" si="32"/>
        <v>8.7555696858523124E-9</v>
      </c>
    </row>
    <row r="1014" spans="2:20">
      <c r="B1014" s="163" t="s">
        <v>1318</v>
      </c>
      <c r="C1014" s="163" t="s">
        <v>1319</v>
      </c>
      <c r="D1014" s="163" t="s">
        <v>1299</v>
      </c>
      <c r="E1014" s="163" t="s">
        <v>853</v>
      </c>
      <c r="F1014" s="163" t="s">
        <v>1027</v>
      </c>
      <c r="G1014" s="163">
        <v>4</v>
      </c>
      <c r="H1014" s="163">
        <v>7</v>
      </c>
      <c r="I1014" s="163">
        <v>1</v>
      </c>
      <c r="J1014" s="163">
        <v>0</v>
      </c>
      <c r="K1014" s="163">
        <v>1</v>
      </c>
      <c r="L1014" s="163">
        <v>3</v>
      </c>
      <c r="M1014" s="163">
        <v>3</v>
      </c>
      <c r="N1014" s="163">
        <v>0</v>
      </c>
      <c r="O1014" s="163">
        <v>48</v>
      </c>
      <c r="P1014" s="163">
        <v>10.17</v>
      </c>
      <c r="Q1014" s="163">
        <v>3.39</v>
      </c>
      <c r="R1014" s="163">
        <v>0.21187500000000001</v>
      </c>
      <c r="S1014" s="161">
        <v>16</v>
      </c>
      <c r="T1014">
        <f t="shared" si="32"/>
        <v>7.0044557486818496E-9</v>
      </c>
    </row>
    <row r="1015" spans="2:20">
      <c r="B1015" s="163" t="s">
        <v>1320</v>
      </c>
      <c r="C1015" s="163" t="s">
        <v>1321</v>
      </c>
      <c r="D1015" s="163" t="s">
        <v>1299</v>
      </c>
      <c r="E1015" s="163" t="s">
        <v>853</v>
      </c>
      <c r="F1015" s="163" t="s">
        <v>1027</v>
      </c>
      <c r="G1015" s="163">
        <v>4</v>
      </c>
      <c r="H1015" s="163">
        <v>7</v>
      </c>
      <c r="I1015" s="163">
        <v>1</v>
      </c>
      <c r="J1015" s="163">
        <v>0</v>
      </c>
      <c r="K1015" s="163">
        <v>1</v>
      </c>
      <c r="L1015" s="163">
        <v>3</v>
      </c>
      <c r="M1015" s="163">
        <v>11</v>
      </c>
      <c r="N1015" s="163">
        <v>3</v>
      </c>
      <c r="O1015" s="163">
        <v>648</v>
      </c>
      <c r="P1015" s="163">
        <v>84.56</v>
      </c>
      <c r="Q1015" s="163">
        <v>7.6872727272999999</v>
      </c>
      <c r="R1015" s="163">
        <v>0.1304938272</v>
      </c>
      <c r="S1015" s="161">
        <v>58.909090909</v>
      </c>
      <c r="T1015">
        <f t="shared" si="32"/>
        <v>9.4560152607204968E-8</v>
      </c>
    </row>
    <row r="1016" spans="2:20">
      <c r="B1016" s="163" t="s">
        <v>1322</v>
      </c>
      <c r="C1016" s="163" t="s">
        <v>1323</v>
      </c>
      <c r="D1016" s="163" t="s">
        <v>1299</v>
      </c>
      <c r="E1016" s="163" t="s">
        <v>853</v>
      </c>
      <c r="F1016" s="163" t="s">
        <v>1027</v>
      </c>
      <c r="G1016" s="163">
        <v>4</v>
      </c>
      <c r="H1016" s="163">
        <v>7</v>
      </c>
      <c r="I1016" s="163">
        <v>1</v>
      </c>
      <c r="J1016" s="163">
        <v>0</v>
      </c>
      <c r="K1016" s="163">
        <v>3</v>
      </c>
      <c r="L1016" s="163">
        <v>3</v>
      </c>
      <c r="M1016" s="163">
        <v>2</v>
      </c>
      <c r="N1016" s="163">
        <v>2</v>
      </c>
      <c r="O1016" s="163">
        <v>200</v>
      </c>
      <c r="P1016" s="163">
        <v>4.22</v>
      </c>
      <c r="Q1016" s="163">
        <v>2.11</v>
      </c>
      <c r="R1016" s="163">
        <v>2.1100000000000001E-2</v>
      </c>
      <c r="S1016" s="161">
        <v>100</v>
      </c>
      <c r="T1016">
        <f t="shared" si="32"/>
        <v>2.9185232286174373E-8</v>
      </c>
    </row>
    <row r="1017" spans="2:20">
      <c r="B1017" s="163" t="s">
        <v>1324</v>
      </c>
      <c r="C1017" s="163" t="s">
        <v>1325</v>
      </c>
      <c r="D1017" s="163" t="s">
        <v>1299</v>
      </c>
      <c r="E1017" s="163" t="s">
        <v>853</v>
      </c>
      <c r="F1017" s="163" t="s">
        <v>1027</v>
      </c>
      <c r="G1017" s="163">
        <v>4</v>
      </c>
      <c r="H1017" s="163">
        <v>7</v>
      </c>
      <c r="I1017" s="163">
        <v>1</v>
      </c>
      <c r="J1017" s="163">
        <v>0</v>
      </c>
      <c r="K1017" s="163">
        <v>1</v>
      </c>
      <c r="L1017" s="163">
        <v>3</v>
      </c>
      <c r="M1017" s="163">
        <v>13</v>
      </c>
      <c r="N1017" s="163">
        <v>0</v>
      </c>
      <c r="O1017" s="163">
        <v>1912</v>
      </c>
      <c r="P1017" s="163">
        <v>171.52</v>
      </c>
      <c r="Q1017" s="163">
        <v>13.193846153999999</v>
      </c>
      <c r="R1017" s="163">
        <v>8.9707113000000005E-2</v>
      </c>
      <c r="S1017" s="161">
        <v>147.07692308</v>
      </c>
      <c r="T1017">
        <f t="shared" si="32"/>
        <v>2.7901082065582703E-7</v>
      </c>
    </row>
    <row r="1018" spans="2:20">
      <c r="B1018" s="163" t="s">
        <v>1326</v>
      </c>
      <c r="C1018" s="163" t="s">
        <v>1327</v>
      </c>
      <c r="D1018" s="163" t="s">
        <v>1299</v>
      </c>
      <c r="E1018" s="163" t="s">
        <v>853</v>
      </c>
      <c r="F1018" s="163" t="s">
        <v>1027</v>
      </c>
      <c r="G1018" s="163">
        <v>4</v>
      </c>
      <c r="H1018" s="163">
        <v>7</v>
      </c>
      <c r="I1018" s="163">
        <v>1</v>
      </c>
      <c r="J1018" s="163">
        <v>0</v>
      </c>
      <c r="K1018" s="163">
        <v>1</v>
      </c>
      <c r="L1018" s="163">
        <v>3</v>
      </c>
      <c r="M1018" s="163">
        <v>1</v>
      </c>
      <c r="N1018" s="163">
        <v>0</v>
      </c>
      <c r="O1018" s="163">
        <v>16</v>
      </c>
      <c r="P1018" s="163">
        <v>2.58</v>
      </c>
      <c r="Q1018" s="163">
        <v>2.58</v>
      </c>
      <c r="R1018" s="163">
        <v>0.16125</v>
      </c>
      <c r="S1018" s="161">
        <v>16</v>
      </c>
      <c r="T1018">
        <f t="shared" si="32"/>
        <v>2.33481858289395E-9</v>
      </c>
    </row>
    <row r="1019" spans="2:20">
      <c r="B1019" s="163" t="s">
        <v>1328</v>
      </c>
      <c r="C1019" s="163" t="s">
        <v>1329</v>
      </c>
      <c r="D1019" s="163" t="s">
        <v>1299</v>
      </c>
      <c r="E1019" s="163" t="s">
        <v>853</v>
      </c>
      <c r="F1019" s="163" t="s">
        <v>1027</v>
      </c>
      <c r="G1019" s="163">
        <v>4</v>
      </c>
      <c r="H1019" s="163">
        <v>7</v>
      </c>
      <c r="I1019" s="163">
        <v>1</v>
      </c>
      <c r="J1019" s="163">
        <v>0</v>
      </c>
      <c r="K1019" s="163">
        <v>1</v>
      </c>
      <c r="L1019" s="163">
        <v>3</v>
      </c>
      <c r="M1019" s="163">
        <v>1</v>
      </c>
      <c r="N1019" s="163">
        <v>1</v>
      </c>
      <c r="O1019" s="163">
        <v>10</v>
      </c>
      <c r="P1019" s="163">
        <v>3.23</v>
      </c>
      <c r="Q1019" s="163">
        <v>3.23</v>
      </c>
      <c r="R1019" s="163">
        <v>0.32300000000000001</v>
      </c>
      <c r="S1019" s="161">
        <v>10</v>
      </c>
      <c r="T1019">
        <f t="shared" si="32"/>
        <v>1.4592616143087188E-9</v>
      </c>
    </row>
    <row r="1020" spans="2:20">
      <c r="B1020" s="163" t="s">
        <v>1330</v>
      </c>
      <c r="C1020" s="163" t="s">
        <v>1331</v>
      </c>
      <c r="D1020" s="163" t="s">
        <v>1299</v>
      </c>
      <c r="E1020" s="163" t="s">
        <v>853</v>
      </c>
      <c r="F1020" s="163" t="s">
        <v>1027</v>
      </c>
      <c r="G1020" s="163">
        <v>4</v>
      </c>
      <c r="H1020" s="163">
        <v>7</v>
      </c>
      <c r="I1020" s="163">
        <v>1</v>
      </c>
      <c r="J1020" s="163">
        <v>0</v>
      </c>
      <c r="K1020" s="163">
        <v>1</v>
      </c>
      <c r="L1020" s="163">
        <v>3</v>
      </c>
      <c r="M1020" s="163">
        <v>1</v>
      </c>
      <c r="N1020" s="163">
        <v>0</v>
      </c>
      <c r="O1020" s="163">
        <v>1</v>
      </c>
      <c r="P1020" s="163">
        <v>3.23</v>
      </c>
      <c r="Q1020" s="163">
        <v>3.23</v>
      </c>
      <c r="R1020" s="163">
        <v>3.23</v>
      </c>
      <c r="S1020" s="161">
        <v>1</v>
      </c>
      <c r="T1020">
        <f t="shared" si="32"/>
        <v>1.4592616143087187E-10</v>
      </c>
    </row>
    <row r="1021" spans="2:20">
      <c r="B1021" s="163" t="s">
        <v>1332</v>
      </c>
      <c r="C1021" s="163" t="s">
        <v>1333</v>
      </c>
      <c r="D1021" s="163" t="s">
        <v>1299</v>
      </c>
      <c r="E1021" s="163" t="s">
        <v>853</v>
      </c>
      <c r="F1021" s="163" t="s">
        <v>1027</v>
      </c>
      <c r="G1021" s="163">
        <v>4</v>
      </c>
      <c r="H1021" s="163">
        <v>7</v>
      </c>
      <c r="I1021" s="163">
        <v>1</v>
      </c>
      <c r="J1021" s="163">
        <v>0</v>
      </c>
      <c r="K1021" s="163">
        <v>1</v>
      </c>
      <c r="L1021" s="163">
        <v>3</v>
      </c>
      <c r="M1021" s="163">
        <v>2</v>
      </c>
      <c r="N1021" s="163">
        <v>0</v>
      </c>
      <c r="O1021" s="163">
        <v>116</v>
      </c>
      <c r="P1021" s="163">
        <v>23.42</v>
      </c>
      <c r="Q1021" s="163">
        <v>11.71</v>
      </c>
      <c r="R1021" s="163">
        <v>0.20189655170000001</v>
      </c>
      <c r="S1021" s="161">
        <v>58</v>
      </c>
      <c r="T1021">
        <f t="shared" si="32"/>
        <v>1.6927434725981135E-8</v>
      </c>
    </row>
    <row r="1022" spans="2:20">
      <c r="B1022" s="163" t="s">
        <v>1334</v>
      </c>
      <c r="C1022" s="163" t="s">
        <v>1335</v>
      </c>
      <c r="D1022" s="163" t="s">
        <v>1299</v>
      </c>
      <c r="E1022" s="163" t="s">
        <v>853</v>
      </c>
      <c r="F1022" s="163" t="s">
        <v>1027</v>
      </c>
      <c r="G1022" s="163">
        <v>4</v>
      </c>
      <c r="H1022" s="163">
        <v>7</v>
      </c>
      <c r="I1022" s="163">
        <v>1</v>
      </c>
      <c r="J1022" s="163">
        <v>0</v>
      </c>
      <c r="K1022" s="163">
        <v>3</v>
      </c>
      <c r="L1022" s="163">
        <v>3</v>
      </c>
      <c r="M1022" s="163">
        <v>2</v>
      </c>
      <c r="N1022" s="163">
        <v>0</v>
      </c>
      <c r="O1022" s="163">
        <v>260</v>
      </c>
      <c r="P1022" s="163">
        <v>5.73</v>
      </c>
      <c r="Q1022" s="163">
        <v>2.8650000000000002</v>
      </c>
      <c r="R1022" s="163">
        <v>2.2038461499999999E-2</v>
      </c>
      <c r="S1022" s="161">
        <v>130</v>
      </c>
      <c r="T1022">
        <f t="shared" si="32"/>
        <v>3.7940801972026689E-8</v>
      </c>
    </row>
    <row r="1023" spans="2:20">
      <c r="B1023" s="163" t="s">
        <v>1336</v>
      </c>
      <c r="C1023" s="163" t="s">
        <v>1337</v>
      </c>
      <c r="D1023" s="163" t="s">
        <v>1299</v>
      </c>
      <c r="E1023" s="163" t="s">
        <v>853</v>
      </c>
      <c r="F1023" s="163" t="s">
        <v>1027</v>
      </c>
      <c r="G1023" s="163">
        <v>4</v>
      </c>
      <c r="H1023" s="163">
        <v>7</v>
      </c>
      <c r="I1023" s="163">
        <v>1</v>
      </c>
      <c r="J1023" s="163">
        <v>0</v>
      </c>
      <c r="K1023" s="163">
        <v>1</v>
      </c>
      <c r="L1023" s="163">
        <v>3</v>
      </c>
      <c r="M1023" s="163">
        <v>1</v>
      </c>
      <c r="N1023" s="163">
        <v>0</v>
      </c>
      <c r="O1023" s="163">
        <v>20</v>
      </c>
      <c r="P1023" s="163">
        <v>4.45</v>
      </c>
      <c r="Q1023" s="163">
        <v>4.45</v>
      </c>
      <c r="R1023" s="163">
        <v>0.2225</v>
      </c>
      <c r="S1023" s="161">
        <v>20</v>
      </c>
      <c r="T1023">
        <f t="shared" si="32"/>
        <v>2.9185232286174376E-9</v>
      </c>
    </row>
    <row r="1024" spans="2:20">
      <c r="B1024" s="163" t="s">
        <v>1338</v>
      </c>
      <c r="C1024" s="163" t="s">
        <v>1339</v>
      </c>
      <c r="D1024" s="163" t="s">
        <v>1299</v>
      </c>
      <c r="E1024" s="163" t="s">
        <v>853</v>
      </c>
      <c r="F1024" s="163" t="s">
        <v>1027</v>
      </c>
      <c r="G1024" s="163">
        <v>4</v>
      </c>
      <c r="H1024" s="163">
        <v>7</v>
      </c>
      <c r="I1024" s="163">
        <v>1</v>
      </c>
      <c r="J1024" s="163">
        <v>0</v>
      </c>
      <c r="K1024" s="163">
        <v>3</v>
      </c>
      <c r="L1024" s="163">
        <v>3</v>
      </c>
      <c r="M1024" s="163">
        <v>87</v>
      </c>
      <c r="N1024" s="163">
        <v>0</v>
      </c>
      <c r="O1024" s="163">
        <v>13920</v>
      </c>
      <c r="P1024" s="163">
        <v>390.5</v>
      </c>
      <c r="Q1024" s="163">
        <v>4.4885057470999996</v>
      </c>
      <c r="R1024" s="163">
        <v>2.8053160899999999E-2</v>
      </c>
      <c r="S1024" s="161">
        <v>160</v>
      </c>
      <c r="T1024">
        <f t="shared" si="32"/>
        <v>2.0312921671177363E-6</v>
      </c>
    </row>
    <row r="1025" spans="2:20">
      <c r="B1025" s="163" t="s">
        <v>1340</v>
      </c>
      <c r="C1025" s="163" t="s">
        <v>1341</v>
      </c>
      <c r="D1025" s="163" t="s">
        <v>1299</v>
      </c>
      <c r="E1025" s="163" t="s">
        <v>853</v>
      </c>
      <c r="F1025" s="163" t="s">
        <v>1027</v>
      </c>
      <c r="G1025" s="163">
        <v>4</v>
      </c>
      <c r="H1025" s="163">
        <v>7</v>
      </c>
      <c r="I1025" s="163">
        <v>1</v>
      </c>
      <c r="J1025" s="163">
        <v>0</v>
      </c>
      <c r="K1025" s="163">
        <v>1</v>
      </c>
      <c r="L1025" s="163">
        <v>3</v>
      </c>
      <c r="M1025" s="163">
        <v>14</v>
      </c>
      <c r="N1025" s="163">
        <v>0</v>
      </c>
      <c r="O1025" s="163">
        <v>206</v>
      </c>
      <c r="P1025" s="163">
        <v>61.77</v>
      </c>
      <c r="Q1025" s="163">
        <v>4.4121428571000001</v>
      </c>
      <c r="R1025" s="163">
        <v>0.2998543689</v>
      </c>
      <c r="S1025" s="161">
        <v>14.714285714000001</v>
      </c>
      <c r="T1025">
        <f t="shared" si="32"/>
        <v>3.0060789254759607E-8</v>
      </c>
    </row>
    <row r="1026" spans="2:20">
      <c r="B1026" s="163" t="s">
        <v>1342</v>
      </c>
      <c r="C1026" s="163" t="s">
        <v>1343</v>
      </c>
      <c r="D1026" s="163" t="s">
        <v>1299</v>
      </c>
      <c r="E1026" s="163" t="s">
        <v>853</v>
      </c>
      <c r="F1026" s="163" t="s">
        <v>1027</v>
      </c>
      <c r="G1026" s="163">
        <v>4</v>
      </c>
      <c r="H1026" s="163">
        <v>7</v>
      </c>
      <c r="I1026" s="163">
        <v>1</v>
      </c>
      <c r="J1026" s="163">
        <v>0</v>
      </c>
      <c r="K1026" s="163">
        <v>1</v>
      </c>
      <c r="L1026" s="163">
        <v>3</v>
      </c>
      <c r="M1026" s="163">
        <v>1</v>
      </c>
      <c r="N1026" s="163">
        <v>0</v>
      </c>
      <c r="O1026" s="163">
        <v>32</v>
      </c>
      <c r="P1026" s="163">
        <v>5.82</v>
      </c>
      <c r="Q1026" s="163">
        <v>5.82</v>
      </c>
      <c r="R1026" s="163">
        <v>0.18187500000000001</v>
      </c>
      <c r="S1026" s="161">
        <v>32</v>
      </c>
      <c r="T1026">
        <f t="shared" si="32"/>
        <v>4.6696371657879E-9</v>
      </c>
    </row>
    <row r="1027" spans="2:20">
      <c r="B1027" s="163" t="s">
        <v>1344</v>
      </c>
      <c r="C1027" s="163" t="s">
        <v>1345</v>
      </c>
      <c r="D1027" s="163" t="s">
        <v>1299</v>
      </c>
      <c r="E1027" s="163" t="s">
        <v>853</v>
      </c>
      <c r="F1027" s="163" t="s">
        <v>1027</v>
      </c>
      <c r="G1027" s="163">
        <v>4</v>
      </c>
      <c r="H1027" s="163">
        <v>7</v>
      </c>
      <c r="I1027" s="163">
        <v>1</v>
      </c>
      <c r="J1027" s="163">
        <v>0</v>
      </c>
      <c r="K1027" s="163">
        <v>1</v>
      </c>
      <c r="L1027" s="163">
        <v>3</v>
      </c>
      <c r="M1027" s="163">
        <v>1</v>
      </c>
      <c r="N1027" s="163">
        <v>0</v>
      </c>
      <c r="O1027" s="163">
        <v>16</v>
      </c>
      <c r="P1027" s="163">
        <v>2.8</v>
      </c>
      <c r="Q1027" s="163">
        <v>2.8</v>
      </c>
      <c r="R1027" s="163">
        <v>0.17499999999999999</v>
      </c>
      <c r="S1027" s="161">
        <v>16</v>
      </c>
      <c r="T1027">
        <f t="shared" si="32"/>
        <v>2.33481858289395E-9</v>
      </c>
    </row>
    <row r="1028" spans="2:20">
      <c r="B1028" s="163" t="s">
        <v>1346</v>
      </c>
      <c r="C1028" s="163" t="s">
        <v>1347</v>
      </c>
      <c r="D1028" s="163" t="s">
        <v>1299</v>
      </c>
      <c r="E1028" s="163" t="s">
        <v>853</v>
      </c>
      <c r="F1028" s="163" t="s">
        <v>1027</v>
      </c>
      <c r="G1028" s="163">
        <v>4</v>
      </c>
      <c r="H1028" s="163">
        <v>7</v>
      </c>
      <c r="I1028" s="163">
        <v>1</v>
      </c>
      <c r="J1028" s="163">
        <v>0</v>
      </c>
      <c r="K1028" s="163">
        <v>1</v>
      </c>
      <c r="L1028" s="163">
        <v>3</v>
      </c>
      <c r="M1028" s="163">
        <v>14</v>
      </c>
      <c r="N1028" s="163">
        <v>0</v>
      </c>
      <c r="O1028" s="163">
        <v>14</v>
      </c>
      <c r="P1028" s="163">
        <v>67.2</v>
      </c>
      <c r="Q1028" s="163">
        <v>4.8</v>
      </c>
      <c r="R1028" s="163">
        <v>4.8</v>
      </c>
      <c r="S1028" s="161">
        <v>1</v>
      </c>
      <c r="T1028">
        <f t="shared" si="32"/>
        <v>2.0429662600322062E-9</v>
      </c>
    </row>
    <row r="1029" spans="2:20">
      <c r="B1029" s="163" t="s">
        <v>1348</v>
      </c>
      <c r="C1029" s="163" t="s">
        <v>1349</v>
      </c>
      <c r="D1029" s="163" t="s">
        <v>1299</v>
      </c>
      <c r="E1029" s="163" t="s">
        <v>853</v>
      </c>
      <c r="F1029" s="163" t="s">
        <v>1027</v>
      </c>
      <c r="G1029" s="163">
        <v>4</v>
      </c>
      <c r="H1029" s="163">
        <v>7</v>
      </c>
      <c r="I1029" s="163">
        <v>1</v>
      </c>
      <c r="J1029" s="163">
        <v>0</v>
      </c>
      <c r="K1029" s="163">
        <v>1</v>
      </c>
      <c r="L1029" s="163">
        <v>3</v>
      </c>
      <c r="M1029" s="163">
        <v>2</v>
      </c>
      <c r="N1029" s="163">
        <v>0</v>
      </c>
      <c r="O1029" s="163">
        <v>12</v>
      </c>
      <c r="P1029" s="163">
        <v>28.56</v>
      </c>
      <c r="Q1029" s="163">
        <v>14.28</v>
      </c>
      <c r="R1029" s="163">
        <v>2.38</v>
      </c>
      <c r="S1029" s="161">
        <v>6</v>
      </c>
      <c r="T1029">
        <f t="shared" si="32"/>
        <v>1.7511139371704624E-9</v>
      </c>
    </row>
    <row r="1030" spans="2:20">
      <c r="B1030" s="163" t="s">
        <v>1350</v>
      </c>
      <c r="C1030" s="163" t="s">
        <v>1351</v>
      </c>
      <c r="D1030" s="163" t="s">
        <v>1299</v>
      </c>
      <c r="E1030" s="163" t="s">
        <v>853</v>
      </c>
      <c r="F1030" s="163" t="s">
        <v>1027</v>
      </c>
      <c r="G1030" s="163">
        <v>4</v>
      </c>
      <c r="H1030" s="163">
        <v>7</v>
      </c>
      <c r="I1030" s="163">
        <v>1</v>
      </c>
      <c r="J1030" s="163">
        <v>0</v>
      </c>
      <c r="K1030" s="163">
        <v>1</v>
      </c>
      <c r="L1030" s="163">
        <v>3</v>
      </c>
      <c r="M1030" s="163">
        <v>29</v>
      </c>
      <c r="N1030" s="163">
        <v>0</v>
      </c>
      <c r="O1030" s="163">
        <v>843</v>
      </c>
      <c r="P1030" s="163">
        <v>140.61000000000001</v>
      </c>
      <c r="Q1030" s="163">
        <v>4.8486206896999997</v>
      </c>
      <c r="R1030" s="163">
        <v>0.166797153</v>
      </c>
      <c r="S1030" s="161">
        <v>29.068965516999999</v>
      </c>
      <c r="T1030">
        <f t="shared" si="32"/>
        <v>1.2301575408622499E-7</v>
      </c>
    </row>
    <row r="1031" spans="2:20">
      <c r="B1031" s="163" t="s">
        <v>1352</v>
      </c>
      <c r="C1031" s="163" t="s">
        <v>1353</v>
      </c>
      <c r="D1031" s="163" t="s">
        <v>1299</v>
      </c>
      <c r="E1031" s="163" t="s">
        <v>853</v>
      </c>
      <c r="F1031" s="163" t="s">
        <v>1027</v>
      </c>
      <c r="G1031" s="163">
        <v>4</v>
      </c>
      <c r="H1031" s="163">
        <v>7</v>
      </c>
      <c r="I1031" s="163">
        <v>1</v>
      </c>
      <c r="J1031" s="163">
        <v>0</v>
      </c>
      <c r="K1031" s="163">
        <v>1</v>
      </c>
      <c r="L1031" s="163">
        <v>3</v>
      </c>
      <c r="M1031" s="163">
        <v>18</v>
      </c>
      <c r="N1031" s="163">
        <v>1</v>
      </c>
      <c r="O1031" s="163">
        <v>352</v>
      </c>
      <c r="P1031" s="163">
        <v>63.14</v>
      </c>
      <c r="Q1031" s="163">
        <v>3.5077777777999999</v>
      </c>
      <c r="R1031" s="163">
        <v>0.17937500000000001</v>
      </c>
      <c r="S1031" s="161">
        <v>19.555555556000002</v>
      </c>
      <c r="T1031">
        <f t="shared" si="32"/>
        <v>5.1366008823666896E-8</v>
      </c>
    </row>
    <row r="1032" spans="2:20">
      <c r="B1032" s="163" t="s">
        <v>1354</v>
      </c>
      <c r="C1032" s="163" t="s">
        <v>1355</v>
      </c>
      <c r="D1032" s="163" t="s">
        <v>1299</v>
      </c>
      <c r="E1032" s="163" t="s">
        <v>853</v>
      </c>
      <c r="F1032" s="163" t="s">
        <v>1027</v>
      </c>
      <c r="G1032" s="163">
        <v>4</v>
      </c>
      <c r="H1032" s="163">
        <v>7</v>
      </c>
      <c r="I1032" s="163">
        <v>1</v>
      </c>
      <c r="J1032" s="163">
        <v>0</v>
      </c>
      <c r="K1032" s="163">
        <v>1</v>
      </c>
      <c r="L1032" s="163">
        <v>3</v>
      </c>
      <c r="M1032" s="163">
        <v>12</v>
      </c>
      <c r="N1032" s="163">
        <v>0</v>
      </c>
      <c r="O1032" s="163">
        <v>15</v>
      </c>
      <c r="P1032" s="163">
        <v>43.21</v>
      </c>
      <c r="Q1032" s="163">
        <v>3.6008333333000002</v>
      </c>
      <c r="R1032" s="163">
        <v>2.8806666666999998</v>
      </c>
      <c r="S1032" s="161">
        <v>1.25</v>
      </c>
      <c r="T1032">
        <f t="shared" si="32"/>
        <v>2.1888924214630781E-9</v>
      </c>
    </row>
    <row r="1033" spans="2:20">
      <c r="B1033" s="163" t="s">
        <v>1356</v>
      </c>
      <c r="C1033" s="163" t="s">
        <v>1357</v>
      </c>
      <c r="D1033" s="163" t="s">
        <v>1299</v>
      </c>
      <c r="E1033" s="163" t="s">
        <v>853</v>
      </c>
      <c r="F1033" s="163" t="s">
        <v>1027</v>
      </c>
      <c r="G1033" s="163">
        <v>4</v>
      </c>
      <c r="H1033" s="163">
        <v>7</v>
      </c>
      <c r="I1033" s="163">
        <v>1</v>
      </c>
      <c r="J1033" s="163">
        <v>0</v>
      </c>
      <c r="K1033" s="163">
        <v>1</v>
      </c>
      <c r="L1033" s="163">
        <v>3</v>
      </c>
      <c r="M1033" s="163">
        <v>39</v>
      </c>
      <c r="N1033" s="163">
        <v>0</v>
      </c>
      <c r="O1033" s="163">
        <v>66</v>
      </c>
      <c r="P1033" s="163">
        <v>186.78</v>
      </c>
      <c r="Q1033" s="163">
        <v>4.7892307691999996</v>
      </c>
      <c r="R1033" s="163">
        <v>2.83</v>
      </c>
      <c r="S1033" s="161">
        <v>1.6923076923</v>
      </c>
      <c r="T1033">
        <f t="shared" si="32"/>
        <v>9.6311266544375429E-9</v>
      </c>
    </row>
    <row r="1034" spans="2:20">
      <c r="B1034" s="163" t="s">
        <v>1358</v>
      </c>
      <c r="C1034" s="163" t="s">
        <v>1359</v>
      </c>
      <c r="D1034" s="163" t="s">
        <v>1299</v>
      </c>
      <c r="E1034" s="163" t="s">
        <v>853</v>
      </c>
      <c r="F1034" s="163" t="s">
        <v>1027</v>
      </c>
      <c r="G1034" s="163">
        <v>4</v>
      </c>
      <c r="H1034" s="163">
        <v>7</v>
      </c>
      <c r="I1034" s="163">
        <v>1</v>
      </c>
      <c r="J1034" s="163">
        <v>0</v>
      </c>
      <c r="K1034" s="163">
        <v>1</v>
      </c>
      <c r="L1034" s="163">
        <v>3</v>
      </c>
      <c r="M1034" s="163">
        <v>18</v>
      </c>
      <c r="N1034" s="163">
        <v>0</v>
      </c>
      <c r="O1034" s="163">
        <v>336</v>
      </c>
      <c r="P1034" s="163">
        <v>56.55</v>
      </c>
      <c r="Q1034" s="163">
        <v>3.1416666666999999</v>
      </c>
      <c r="R1034" s="163">
        <v>0.16830357139999999</v>
      </c>
      <c r="S1034" s="161">
        <v>18.666666667000001</v>
      </c>
      <c r="T1034">
        <f t="shared" si="32"/>
        <v>4.9031190240772945E-8</v>
      </c>
    </row>
    <row r="1035" spans="2:20">
      <c r="B1035" s="163" t="s">
        <v>1360</v>
      </c>
      <c r="C1035" s="163" t="s">
        <v>1361</v>
      </c>
      <c r="D1035" s="163" t="s">
        <v>1362</v>
      </c>
      <c r="E1035" s="163" t="s">
        <v>853</v>
      </c>
      <c r="F1035" s="163" t="s">
        <v>1363</v>
      </c>
      <c r="G1035" s="163">
        <v>4</v>
      </c>
      <c r="H1035" s="163">
        <v>7</v>
      </c>
      <c r="I1035" s="163">
        <v>2</v>
      </c>
      <c r="J1035" s="163">
        <v>0</v>
      </c>
      <c r="K1035" s="163">
        <v>1</v>
      </c>
      <c r="L1035" s="163">
        <v>1</v>
      </c>
      <c r="M1035" s="163">
        <v>1</v>
      </c>
      <c r="N1035" s="163">
        <v>0</v>
      </c>
      <c r="O1035" s="163">
        <v>1</v>
      </c>
      <c r="P1035" s="163">
        <v>8.77</v>
      </c>
      <c r="Q1035" s="163">
        <v>8.77</v>
      </c>
      <c r="R1035" s="163">
        <v>8.77</v>
      </c>
      <c r="S1035" s="161">
        <v>1</v>
      </c>
      <c r="T1035">
        <f t="shared" si="32"/>
        <v>1.4592616143087187E-10</v>
      </c>
    </row>
    <row r="1036" spans="2:20">
      <c r="B1036" s="163" t="s">
        <v>1364</v>
      </c>
      <c r="C1036" s="163" t="s">
        <v>1365</v>
      </c>
      <c r="D1036" s="163" t="s">
        <v>1362</v>
      </c>
      <c r="E1036" s="163" t="s">
        <v>853</v>
      </c>
      <c r="F1036" s="163" t="s">
        <v>1363</v>
      </c>
      <c r="G1036" s="163">
        <v>4</v>
      </c>
      <c r="H1036" s="163">
        <v>7</v>
      </c>
      <c r="I1036" s="163">
        <v>2</v>
      </c>
      <c r="J1036" s="163">
        <v>0</v>
      </c>
      <c r="K1036" s="163">
        <v>1</v>
      </c>
      <c r="L1036" s="163">
        <v>3</v>
      </c>
      <c r="M1036" s="163">
        <v>98</v>
      </c>
      <c r="N1036" s="163">
        <v>0</v>
      </c>
      <c r="O1036" s="163">
        <v>509</v>
      </c>
      <c r="P1036" s="163">
        <v>892.56</v>
      </c>
      <c r="Q1036" s="163">
        <v>9.1077551020000005</v>
      </c>
      <c r="R1036" s="163">
        <v>1.7535559920999999</v>
      </c>
      <c r="S1036" s="161">
        <v>5.1938775509999999</v>
      </c>
      <c r="T1036">
        <f t="shared" si="32"/>
        <v>7.4276416168313781E-8</v>
      </c>
    </row>
    <row r="1037" spans="2:20">
      <c r="B1037" s="163" t="s">
        <v>1366</v>
      </c>
      <c r="C1037" s="163" t="s">
        <v>1367</v>
      </c>
      <c r="D1037" s="163" t="s">
        <v>1362</v>
      </c>
      <c r="E1037" s="163" t="s">
        <v>853</v>
      </c>
      <c r="F1037" s="163" t="s">
        <v>1363</v>
      </c>
      <c r="G1037" s="163">
        <v>4</v>
      </c>
      <c r="H1037" s="163">
        <v>7</v>
      </c>
      <c r="I1037" s="163">
        <v>2</v>
      </c>
      <c r="J1037" s="163">
        <v>0</v>
      </c>
      <c r="K1037" s="163">
        <v>1</v>
      </c>
      <c r="L1037" s="163">
        <v>3</v>
      </c>
      <c r="M1037" s="163">
        <v>133</v>
      </c>
      <c r="N1037" s="163">
        <v>0</v>
      </c>
      <c r="O1037" s="163">
        <v>3219</v>
      </c>
      <c r="P1037" s="163">
        <v>5871.29</v>
      </c>
      <c r="Q1037" s="163">
        <v>44.145037594000001</v>
      </c>
      <c r="R1037" s="163">
        <v>1.8239484312000001</v>
      </c>
      <c r="S1037" s="161">
        <v>24.203007519</v>
      </c>
      <c r="T1037">
        <f t="shared" si="32"/>
        <v>4.6973631364597654E-7</v>
      </c>
    </row>
    <row r="1038" spans="2:20">
      <c r="B1038" s="163" t="s">
        <v>1368</v>
      </c>
      <c r="C1038" s="163" t="s">
        <v>1369</v>
      </c>
      <c r="D1038" s="163" t="s">
        <v>1370</v>
      </c>
      <c r="E1038" s="163" t="s">
        <v>853</v>
      </c>
      <c r="F1038" s="163" t="s">
        <v>1363</v>
      </c>
      <c r="G1038" s="163">
        <v>4</v>
      </c>
      <c r="H1038" s="163">
        <v>7</v>
      </c>
      <c r="I1038" s="163">
        <v>2</v>
      </c>
      <c r="J1038" s="163">
        <v>0</v>
      </c>
      <c r="K1038" s="163">
        <v>1</v>
      </c>
      <c r="L1038" s="163">
        <v>1</v>
      </c>
      <c r="M1038" s="163">
        <v>5248438</v>
      </c>
      <c r="N1038" s="163">
        <v>0</v>
      </c>
      <c r="O1038" s="163">
        <v>535196822</v>
      </c>
      <c r="P1038" s="163">
        <v>13019939.33</v>
      </c>
      <c r="Q1038" s="163">
        <v>2.4807265190000001</v>
      </c>
      <c r="R1038" s="163">
        <v>2.4327385399999998E-2</v>
      </c>
      <c r="S1038" s="161">
        <v>101.97259108</v>
      </c>
      <c r="T1038">
        <f t="shared" si="32"/>
        <v>7.8099217844461596E-2</v>
      </c>
    </row>
    <row r="1039" spans="2:20">
      <c r="B1039" s="163" t="s">
        <v>1371</v>
      </c>
      <c r="C1039" s="163" t="s">
        <v>1372</v>
      </c>
      <c r="D1039" s="163" t="s">
        <v>1370</v>
      </c>
      <c r="E1039" s="163" t="s">
        <v>853</v>
      </c>
      <c r="F1039" s="163" t="s">
        <v>1363</v>
      </c>
      <c r="G1039" s="163">
        <v>4</v>
      </c>
      <c r="H1039" s="163">
        <v>7</v>
      </c>
      <c r="I1039" s="163">
        <v>2</v>
      </c>
      <c r="J1039" s="163">
        <v>0</v>
      </c>
      <c r="K1039" s="163">
        <v>1</v>
      </c>
      <c r="L1039" s="163">
        <v>1</v>
      </c>
      <c r="M1039" s="163">
        <v>28</v>
      </c>
      <c r="N1039" s="163">
        <v>0</v>
      </c>
      <c r="O1039" s="163">
        <v>1239</v>
      </c>
      <c r="P1039" s="163">
        <v>3939.82</v>
      </c>
      <c r="Q1039" s="163">
        <v>140.70785713999999</v>
      </c>
      <c r="R1039" s="163">
        <v>3.1798385795000002</v>
      </c>
      <c r="S1039" s="161">
        <v>44.25</v>
      </c>
      <c r="T1039">
        <f t="shared" si="32"/>
        <v>1.8080251401285025E-7</v>
      </c>
    </row>
    <row r="1040" spans="2:20">
      <c r="B1040" s="163" t="s">
        <v>1373</v>
      </c>
      <c r="C1040" s="163" t="s">
        <v>1374</v>
      </c>
      <c r="D1040" s="163" t="s">
        <v>1370</v>
      </c>
      <c r="E1040" s="163" t="s">
        <v>853</v>
      </c>
      <c r="F1040" s="163" t="s">
        <v>1363</v>
      </c>
      <c r="G1040" s="163">
        <v>4</v>
      </c>
      <c r="H1040" s="163">
        <v>7</v>
      </c>
      <c r="I1040" s="163">
        <v>2</v>
      </c>
      <c r="J1040" s="163">
        <v>0</v>
      </c>
      <c r="K1040" s="163">
        <v>1</v>
      </c>
      <c r="L1040" s="163">
        <v>1</v>
      </c>
      <c r="M1040" s="163">
        <v>11072</v>
      </c>
      <c r="N1040" s="163">
        <v>0</v>
      </c>
      <c r="O1040" s="163">
        <v>727125</v>
      </c>
      <c r="P1040" s="163">
        <v>502595.06</v>
      </c>
      <c r="Q1040" s="163">
        <v>45.393339957000002</v>
      </c>
      <c r="R1040" s="163">
        <v>0.69120860920000005</v>
      </c>
      <c r="S1040" s="161">
        <v>65.672416908000002</v>
      </c>
      <c r="T1040">
        <f t="shared" si="32"/>
        <v>1.0610656013042271E-4</v>
      </c>
    </row>
    <row r="1041" spans="2:20">
      <c r="B1041" s="163" t="s">
        <v>1375</v>
      </c>
      <c r="C1041" s="163" t="s">
        <v>1376</v>
      </c>
      <c r="D1041" s="163" t="s">
        <v>1370</v>
      </c>
      <c r="E1041" s="163" t="s">
        <v>853</v>
      </c>
      <c r="F1041" s="163" t="s">
        <v>1363</v>
      </c>
      <c r="G1041" s="163">
        <v>4</v>
      </c>
      <c r="H1041" s="163">
        <v>7</v>
      </c>
      <c r="I1041" s="163">
        <v>2</v>
      </c>
      <c r="J1041" s="163">
        <v>0</v>
      </c>
      <c r="K1041" s="163">
        <v>1</v>
      </c>
      <c r="L1041" s="163">
        <v>1</v>
      </c>
      <c r="M1041" s="163">
        <v>1705</v>
      </c>
      <c r="N1041" s="163">
        <v>0</v>
      </c>
      <c r="O1041" s="163">
        <v>93132</v>
      </c>
      <c r="P1041" s="163">
        <v>64939.54</v>
      </c>
      <c r="Q1041" s="163">
        <v>38.087706744999998</v>
      </c>
      <c r="R1041" s="163">
        <v>0.69728492890000005</v>
      </c>
      <c r="S1041" s="161">
        <v>54.622873900000002</v>
      </c>
      <c r="T1041">
        <f t="shared" si="32"/>
        <v>1.3590395266379959E-5</v>
      </c>
    </row>
    <row r="1042" spans="2:20">
      <c r="B1042" s="163" t="s">
        <v>1377</v>
      </c>
      <c r="C1042" s="163" t="s">
        <v>1378</v>
      </c>
      <c r="D1042" s="163" t="s">
        <v>1370</v>
      </c>
      <c r="E1042" s="163" t="s">
        <v>853</v>
      </c>
      <c r="F1042" s="163" t="s">
        <v>1363</v>
      </c>
      <c r="G1042" s="163">
        <v>4</v>
      </c>
      <c r="H1042" s="163">
        <v>7</v>
      </c>
      <c r="I1042" s="163">
        <v>2</v>
      </c>
      <c r="J1042" s="163">
        <v>0</v>
      </c>
      <c r="K1042" s="163">
        <v>1</v>
      </c>
      <c r="L1042" s="163">
        <v>1</v>
      </c>
      <c r="M1042" s="163">
        <v>4054</v>
      </c>
      <c r="N1042" s="163">
        <v>0</v>
      </c>
      <c r="O1042" s="163">
        <v>207633</v>
      </c>
      <c r="P1042" s="163">
        <v>175362.22</v>
      </c>
      <c r="Q1042" s="163">
        <v>43.256591020999998</v>
      </c>
      <c r="R1042" s="163">
        <v>0.8445777887</v>
      </c>
      <c r="S1042" s="161">
        <v>51.216822891</v>
      </c>
      <c r="T1042">
        <f t="shared" si="32"/>
        <v>3.029908667637622E-5</v>
      </c>
    </row>
    <row r="1043" spans="2:20">
      <c r="B1043" s="163" t="s">
        <v>1379</v>
      </c>
      <c r="C1043" s="163" t="s">
        <v>1380</v>
      </c>
      <c r="D1043" s="163" t="s">
        <v>1370</v>
      </c>
      <c r="E1043" s="163" t="s">
        <v>853</v>
      </c>
      <c r="F1043" s="163" t="s">
        <v>1363</v>
      </c>
      <c r="G1043" s="163">
        <v>4</v>
      </c>
      <c r="H1043" s="163">
        <v>7</v>
      </c>
      <c r="I1043" s="163">
        <v>2</v>
      </c>
      <c r="J1043" s="163">
        <v>0</v>
      </c>
      <c r="K1043" s="163">
        <v>1</v>
      </c>
      <c r="L1043" s="163">
        <v>1</v>
      </c>
      <c r="M1043" s="163">
        <v>76112</v>
      </c>
      <c r="N1043" s="163">
        <v>0</v>
      </c>
      <c r="O1043" s="163">
        <v>5232378</v>
      </c>
      <c r="P1043" s="163">
        <v>631391.31999999995</v>
      </c>
      <c r="Q1043" s="163">
        <v>8.2955554972000005</v>
      </c>
      <c r="R1043" s="163">
        <v>0.120670051</v>
      </c>
      <c r="S1043" s="161">
        <v>68.745769392</v>
      </c>
      <c r="T1043">
        <f t="shared" si="32"/>
        <v>7.6354083669534251E-4</v>
      </c>
    </row>
    <row r="1044" spans="2:20">
      <c r="B1044" s="163" t="s">
        <v>1381</v>
      </c>
      <c r="C1044" s="163" t="s">
        <v>1382</v>
      </c>
      <c r="D1044" s="163" t="s">
        <v>1370</v>
      </c>
      <c r="E1044" s="163" t="s">
        <v>853</v>
      </c>
      <c r="F1044" s="163" t="s">
        <v>1363</v>
      </c>
      <c r="G1044" s="163">
        <v>4</v>
      </c>
      <c r="H1044" s="163">
        <v>7</v>
      </c>
      <c r="I1044" s="163">
        <v>2</v>
      </c>
      <c r="J1044" s="163">
        <v>0</v>
      </c>
      <c r="K1044" s="163">
        <v>1</v>
      </c>
      <c r="L1044" s="163">
        <v>1</v>
      </c>
      <c r="M1044" s="163">
        <v>121177</v>
      </c>
      <c r="N1044" s="163">
        <v>0</v>
      </c>
      <c r="O1044" s="163">
        <v>7905559</v>
      </c>
      <c r="P1044" s="163">
        <v>1907899.44</v>
      </c>
      <c r="Q1044" s="163">
        <v>15.744732416</v>
      </c>
      <c r="R1044" s="163">
        <v>0.2413364368</v>
      </c>
      <c r="S1044" s="161">
        <v>65.239764972000003</v>
      </c>
      <c r="T1044">
        <f t="shared" si="32"/>
        <v>1.1536278788352821E-3</v>
      </c>
    </row>
    <row r="1045" spans="2:20">
      <c r="B1045" s="163" t="s">
        <v>1383</v>
      </c>
      <c r="C1045" s="163" t="s">
        <v>1384</v>
      </c>
      <c r="D1045" s="163" t="s">
        <v>1370</v>
      </c>
      <c r="E1045" s="163" t="s">
        <v>853</v>
      </c>
      <c r="F1045" s="163" t="s">
        <v>1363</v>
      </c>
      <c r="G1045" s="163">
        <v>4</v>
      </c>
      <c r="H1045" s="163">
        <v>7</v>
      </c>
      <c r="I1045" s="163">
        <v>2</v>
      </c>
      <c r="J1045" s="163">
        <v>0</v>
      </c>
      <c r="K1045" s="163">
        <v>1</v>
      </c>
      <c r="L1045" s="163">
        <v>1</v>
      </c>
      <c r="M1045" s="163">
        <v>22229</v>
      </c>
      <c r="N1045" s="163">
        <v>0</v>
      </c>
      <c r="O1045" s="163">
        <v>1171971</v>
      </c>
      <c r="P1045" s="163">
        <v>424182.47</v>
      </c>
      <c r="Q1045" s="163">
        <v>19.082391020999999</v>
      </c>
      <c r="R1045" s="163">
        <v>0.361939391</v>
      </c>
      <c r="S1045" s="161">
        <v>52.722614602999997</v>
      </c>
      <c r="T1045">
        <f t="shared" si="32"/>
        <v>1.7102122933830035E-4</v>
      </c>
    </row>
    <row r="1046" spans="2:20">
      <c r="B1046" s="163" t="s">
        <v>1385</v>
      </c>
      <c r="C1046" s="163" t="s">
        <v>1386</v>
      </c>
      <c r="D1046" s="163" t="s">
        <v>1370</v>
      </c>
      <c r="E1046" s="163" t="s">
        <v>853</v>
      </c>
      <c r="F1046" s="163" t="s">
        <v>1363</v>
      </c>
      <c r="G1046" s="163">
        <v>4</v>
      </c>
      <c r="H1046" s="163">
        <v>7</v>
      </c>
      <c r="I1046" s="163">
        <v>2</v>
      </c>
      <c r="J1046" s="163">
        <v>0</v>
      </c>
      <c r="K1046" s="163">
        <v>1</v>
      </c>
      <c r="L1046" s="163">
        <v>1</v>
      </c>
      <c r="M1046" s="163">
        <v>53639</v>
      </c>
      <c r="N1046" s="163">
        <v>0</v>
      </c>
      <c r="O1046" s="163">
        <v>2828875</v>
      </c>
      <c r="P1046" s="163">
        <v>1364124.43</v>
      </c>
      <c r="Q1046" s="163">
        <v>25.431578329000001</v>
      </c>
      <c r="R1046" s="163">
        <v>0.48221445979999999</v>
      </c>
      <c r="S1046" s="161">
        <v>52.739145024999999</v>
      </c>
      <c r="T1046">
        <f t="shared" si="32"/>
        <v>4.1280686991775767E-4</v>
      </c>
    </row>
    <row r="1047" spans="2:20">
      <c r="B1047" s="163" t="s">
        <v>1387</v>
      </c>
      <c r="C1047" s="163" t="s">
        <v>1388</v>
      </c>
      <c r="D1047" s="163" t="s">
        <v>1370</v>
      </c>
      <c r="E1047" s="163" t="s">
        <v>853</v>
      </c>
      <c r="F1047" s="163" t="s">
        <v>1363</v>
      </c>
      <c r="G1047" s="163">
        <v>4</v>
      </c>
      <c r="H1047" s="163">
        <v>7</v>
      </c>
      <c r="I1047" s="163">
        <v>2</v>
      </c>
      <c r="J1047" s="163">
        <v>0</v>
      </c>
      <c r="K1047" s="163">
        <v>1</v>
      </c>
      <c r="L1047" s="163">
        <v>1</v>
      </c>
      <c r="M1047" s="163">
        <v>30</v>
      </c>
      <c r="N1047" s="163">
        <v>0</v>
      </c>
      <c r="O1047" s="163">
        <v>1040</v>
      </c>
      <c r="P1047" s="163">
        <v>2845.53</v>
      </c>
      <c r="Q1047" s="163">
        <v>94.850999999999999</v>
      </c>
      <c r="R1047" s="163">
        <v>2.7360865384999999</v>
      </c>
      <c r="S1047" s="161">
        <v>34.666666667000001</v>
      </c>
      <c r="T1047">
        <f t="shared" si="32"/>
        <v>1.5176320788810676E-7</v>
      </c>
    </row>
    <row r="1048" spans="2:20">
      <c r="B1048" s="163" t="s">
        <v>1389</v>
      </c>
      <c r="C1048" s="163" t="s">
        <v>1390</v>
      </c>
      <c r="D1048" s="163" t="s">
        <v>1370</v>
      </c>
      <c r="E1048" s="163" t="s">
        <v>853</v>
      </c>
      <c r="F1048" s="163" t="s">
        <v>1363</v>
      </c>
      <c r="G1048" s="163">
        <v>4</v>
      </c>
      <c r="H1048" s="163">
        <v>7</v>
      </c>
      <c r="I1048" s="163">
        <v>2</v>
      </c>
      <c r="J1048" s="163">
        <v>0</v>
      </c>
      <c r="K1048" s="163">
        <v>1</v>
      </c>
      <c r="L1048" s="163">
        <v>1</v>
      </c>
      <c r="M1048" s="163">
        <v>24</v>
      </c>
      <c r="N1048" s="163">
        <v>0</v>
      </c>
      <c r="O1048" s="163">
        <v>841</v>
      </c>
      <c r="P1048" s="163">
        <v>1349.22</v>
      </c>
      <c r="Q1048" s="163">
        <v>56.217500000000001</v>
      </c>
      <c r="R1048" s="163">
        <v>1.6043043994999999</v>
      </c>
      <c r="S1048" s="161">
        <v>35.041666667000001</v>
      </c>
      <c r="T1048">
        <f t="shared" si="32"/>
        <v>1.2272390176336324E-7</v>
      </c>
    </row>
    <row r="1049" spans="2:20">
      <c r="B1049" s="163" t="s">
        <v>1391</v>
      </c>
      <c r="C1049" s="163" t="s">
        <v>1392</v>
      </c>
      <c r="D1049" s="163" t="s">
        <v>1370</v>
      </c>
      <c r="E1049" s="163" t="s">
        <v>853</v>
      </c>
      <c r="F1049" s="163" t="s">
        <v>1363</v>
      </c>
      <c r="G1049" s="163">
        <v>4</v>
      </c>
      <c r="H1049" s="163">
        <v>7</v>
      </c>
      <c r="I1049" s="163">
        <v>2</v>
      </c>
      <c r="J1049" s="163">
        <v>0</v>
      </c>
      <c r="K1049" s="163">
        <v>1</v>
      </c>
      <c r="L1049" s="163">
        <v>1</v>
      </c>
      <c r="M1049" s="163">
        <v>101</v>
      </c>
      <c r="N1049" s="163">
        <v>0</v>
      </c>
      <c r="O1049" s="163">
        <v>9592</v>
      </c>
      <c r="P1049" s="163">
        <v>7856.86</v>
      </c>
      <c r="Q1049" s="163">
        <v>77.790693069</v>
      </c>
      <c r="R1049" s="163">
        <v>0.81910550459999998</v>
      </c>
      <c r="S1049" s="161">
        <v>94.970297029999998</v>
      </c>
      <c r="T1049">
        <f t="shared" si="32"/>
        <v>1.399723740444923E-6</v>
      </c>
    </row>
    <row r="1050" spans="2:20">
      <c r="B1050" s="163" t="s">
        <v>1393</v>
      </c>
      <c r="C1050" s="163" t="s">
        <v>1394</v>
      </c>
      <c r="D1050" s="163" t="s">
        <v>1370</v>
      </c>
      <c r="E1050" s="163" t="s">
        <v>853</v>
      </c>
      <c r="F1050" s="163" t="s">
        <v>1363</v>
      </c>
      <c r="G1050" s="163">
        <v>4</v>
      </c>
      <c r="H1050" s="163">
        <v>7</v>
      </c>
      <c r="I1050" s="163">
        <v>2</v>
      </c>
      <c r="J1050" s="163">
        <v>0</v>
      </c>
      <c r="K1050" s="163">
        <v>1</v>
      </c>
      <c r="L1050" s="163">
        <v>1</v>
      </c>
      <c r="M1050" s="163">
        <v>59300</v>
      </c>
      <c r="N1050" s="163">
        <v>0</v>
      </c>
      <c r="O1050" s="163">
        <v>6141068</v>
      </c>
      <c r="P1050" s="163">
        <v>294724.93</v>
      </c>
      <c r="Q1050" s="163">
        <v>4.9700662731999996</v>
      </c>
      <c r="R1050" s="163">
        <v>4.7992455099999998E-2</v>
      </c>
      <c r="S1050" s="161">
        <v>103.55932546</v>
      </c>
      <c r="T1050">
        <f t="shared" si="32"/>
        <v>8.9614248032596146E-4</v>
      </c>
    </row>
    <row r="1051" spans="2:20">
      <c r="B1051" s="163" t="s">
        <v>1395</v>
      </c>
      <c r="C1051" s="163" t="s">
        <v>1396</v>
      </c>
      <c r="D1051" s="163" t="s">
        <v>1370</v>
      </c>
      <c r="E1051" s="163" t="s">
        <v>853</v>
      </c>
      <c r="F1051" s="163" t="s">
        <v>1363</v>
      </c>
      <c r="G1051" s="163">
        <v>4</v>
      </c>
      <c r="H1051" s="163">
        <v>7</v>
      </c>
      <c r="I1051" s="163">
        <v>2</v>
      </c>
      <c r="J1051" s="163">
        <v>0</v>
      </c>
      <c r="K1051" s="163">
        <v>1</v>
      </c>
      <c r="L1051" s="163">
        <v>1</v>
      </c>
      <c r="M1051" s="163">
        <v>7</v>
      </c>
      <c r="N1051" s="163">
        <v>0</v>
      </c>
      <c r="O1051" s="163">
        <v>570</v>
      </c>
      <c r="P1051" s="163">
        <v>285.16000000000003</v>
      </c>
      <c r="Q1051" s="163">
        <v>40.737142857000002</v>
      </c>
      <c r="R1051" s="163">
        <v>0.50028070179999995</v>
      </c>
      <c r="S1051" s="161">
        <v>81.428571429000002</v>
      </c>
      <c r="T1051">
        <f t="shared" si="32"/>
        <v>8.3177912015596964E-8</v>
      </c>
    </row>
    <row r="1052" spans="2:20">
      <c r="B1052" s="163" t="s">
        <v>1397</v>
      </c>
      <c r="C1052" s="163" t="s">
        <v>1398</v>
      </c>
      <c r="D1052" s="163" t="s">
        <v>1370</v>
      </c>
      <c r="E1052" s="163" t="s">
        <v>853</v>
      </c>
      <c r="F1052" s="163" t="s">
        <v>1363</v>
      </c>
      <c r="G1052" s="163">
        <v>4</v>
      </c>
      <c r="H1052" s="163">
        <v>7</v>
      </c>
      <c r="I1052" s="163">
        <v>2</v>
      </c>
      <c r="J1052" s="163">
        <v>0</v>
      </c>
      <c r="K1052" s="163">
        <v>3</v>
      </c>
      <c r="L1052" s="163">
        <v>1</v>
      </c>
      <c r="M1052" s="163">
        <v>16</v>
      </c>
      <c r="N1052" s="163">
        <v>0</v>
      </c>
      <c r="O1052" s="163">
        <v>15100</v>
      </c>
      <c r="P1052" s="163">
        <v>23224.5</v>
      </c>
      <c r="Q1052" s="163">
        <v>1451.53125</v>
      </c>
      <c r="R1052" s="163">
        <v>1.5380463576000001</v>
      </c>
      <c r="S1052" s="161">
        <v>943.75</v>
      </c>
      <c r="T1052">
        <f t="shared" si="32"/>
        <v>2.2034850376061651E-6</v>
      </c>
    </row>
    <row r="1053" spans="2:20">
      <c r="B1053" s="163" t="s">
        <v>1399</v>
      </c>
      <c r="C1053" s="163" t="s">
        <v>1400</v>
      </c>
      <c r="D1053" s="163" t="s">
        <v>1370</v>
      </c>
      <c r="E1053" s="163" t="s">
        <v>853</v>
      </c>
      <c r="F1053" s="163" t="s">
        <v>1363</v>
      </c>
      <c r="G1053" s="163">
        <v>4</v>
      </c>
      <c r="H1053" s="163">
        <v>7</v>
      </c>
      <c r="I1053" s="163">
        <v>2</v>
      </c>
      <c r="J1053" s="163">
        <v>0</v>
      </c>
      <c r="K1053" s="163">
        <v>3</v>
      </c>
      <c r="L1053" s="163">
        <v>1</v>
      </c>
      <c r="M1053" s="163">
        <v>248</v>
      </c>
      <c r="N1053" s="163">
        <v>0</v>
      </c>
      <c r="O1053" s="163">
        <v>7910</v>
      </c>
      <c r="P1053" s="163">
        <v>2768.47</v>
      </c>
      <c r="Q1053" s="163">
        <v>11.163185484</v>
      </c>
      <c r="R1053" s="163">
        <v>0.34999620729999997</v>
      </c>
      <c r="S1053" s="161">
        <v>31.895161290000001</v>
      </c>
      <c r="T1053">
        <f t="shared" si="32"/>
        <v>1.1542759369181965E-6</v>
      </c>
    </row>
    <row r="1054" spans="2:20">
      <c r="B1054" s="163" t="s">
        <v>1401</v>
      </c>
      <c r="C1054" s="163" t="s">
        <v>1402</v>
      </c>
      <c r="D1054" s="163" t="s">
        <v>1370</v>
      </c>
      <c r="E1054" s="163" t="s">
        <v>853</v>
      </c>
      <c r="F1054" s="163" t="s">
        <v>1363</v>
      </c>
      <c r="G1054" s="163">
        <v>4</v>
      </c>
      <c r="H1054" s="163">
        <v>7</v>
      </c>
      <c r="I1054" s="163">
        <v>2</v>
      </c>
      <c r="J1054" s="163">
        <v>0</v>
      </c>
      <c r="K1054" s="163">
        <v>1</v>
      </c>
      <c r="L1054" s="163">
        <v>1</v>
      </c>
      <c r="M1054" s="163">
        <v>37</v>
      </c>
      <c r="N1054" s="163">
        <v>0</v>
      </c>
      <c r="O1054" s="163">
        <v>2338</v>
      </c>
      <c r="P1054" s="163">
        <v>1519.7</v>
      </c>
      <c r="Q1054" s="163">
        <v>41.072972972999999</v>
      </c>
      <c r="R1054" s="163">
        <v>0.65</v>
      </c>
      <c r="S1054" s="161">
        <v>63.189189188999997</v>
      </c>
      <c r="T1054">
        <f t="shared" si="32"/>
        <v>3.4117536542537842E-7</v>
      </c>
    </row>
    <row r="1055" spans="2:20">
      <c r="B1055" s="163" t="s">
        <v>1403</v>
      </c>
      <c r="C1055" s="163" t="s">
        <v>1404</v>
      </c>
      <c r="D1055" s="163" t="s">
        <v>1370</v>
      </c>
      <c r="E1055" s="163" t="s">
        <v>853</v>
      </c>
      <c r="F1055" s="163" t="s">
        <v>1363</v>
      </c>
      <c r="G1055" s="163">
        <v>4</v>
      </c>
      <c r="H1055" s="163">
        <v>7</v>
      </c>
      <c r="I1055" s="163">
        <v>2</v>
      </c>
      <c r="J1055" s="163">
        <v>0</v>
      </c>
      <c r="K1055" s="163">
        <v>1</v>
      </c>
      <c r="L1055" s="163">
        <v>3</v>
      </c>
      <c r="M1055" s="163">
        <v>4159</v>
      </c>
      <c r="N1055" s="163">
        <v>0</v>
      </c>
      <c r="O1055" s="163">
        <v>578928</v>
      </c>
      <c r="P1055" s="163">
        <v>44175.28</v>
      </c>
      <c r="Q1055" s="163">
        <v>10.621610964</v>
      </c>
      <c r="R1055" s="163">
        <v>7.6305309099999996E-2</v>
      </c>
      <c r="S1055" s="161">
        <v>139.19884587999999</v>
      </c>
      <c r="T1055">
        <f t="shared" si="32"/>
        <v>8.4480740784851786E-5</v>
      </c>
    </row>
    <row r="1056" spans="2:20">
      <c r="B1056" s="163" t="s">
        <v>1405</v>
      </c>
      <c r="C1056" s="163" t="s">
        <v>1406</v>
      </c>
      <c r="D1056" s="163" t="s">
        <v>1370</v>
      </c>
      <c r="E1056" s="163" t="s">
        <v>853</v>
      </c>
      <c r="F1056" s="163" t="s">
        <v>1363</v>
      </c>
      <c r="G1056" s="163">
        <v>4</v>
      </c>
      <c r="H1056" s="163">
        <v>7</v>
      </c>
      <c r="I1056" s="163">
        <v>2</v>
      </c>
      <c r="J1056" s="163">
        <v>0</v>
      </c>
      <c r="K1056" s="163">
        <v>1</v>
      </c>
      <c r="L1056" s="163">
        <v>3</v>
      </c>
      <c r="M1056" s="163">
        <v>544</v>
      </c>
      <c r="N1056" s="163">
        <v>0</v>
      </c>
      <c r="O1056" s="163">
        <v>16123</v>
      </c>
      <c r="P1056" s="163">
        <v>12898.4</v>
      </c>
      <c r="Q1056" s="163">
        <v>23.710294118</v>
      </c>
      <c r="R1056" s="163">
        <v>0.8</v>
      </c>
      <c r="S1056" s="161">
        <v>29.637867647</v>
      </c>
      <c r="T1056">
        <f t="shared" si="32"/>
        <v>2.3527675007499473E-6</v>
      </c>
    </row>
    <row r="1057" spans="2:20">
      <c r="B1057" s="163" t="s">
        <v>1407</v>
      </c>
      <c r="C1057" s="163" t="s">
        <v>1408</v>
      </c>
      <c r="D1057" s="163" t="s">
        <v>1370</v>
      </c>
      <c r="E1057" s="163" t="s">
        <v>853</v>
      </c>
      <c r="F1057" s="163" t="s">
        <v>1363</v>
      </c>
      <c r="G1057" s="163">
        <v>4</v>
      </c>
      <c r="H1057" s="163">
        <v>7</v>
      </c>
      <c r="I1057" s="163">
        <v>2</v>
      </c>
      <c r="J1057" s="163">
        <v>0</v>
      </c>
      <c r="K1057" s="163">
        <v>1</v>
      </c>
      <c r="L1057" s="163">
        <v>3</v>
      </c>
      <c r="M1057" s="163">
        <v>42894</v>
      </c>
      <c r="N1057" s="163">
        <v>37087</v>
      </c>
      <c r="O1057" s="163">
        <v>2853851</v>
      </c>
      <c r="P1057" s="163">
        <v>827759.32</v>
      </c>
      <c r="Q1057" s="163">
        <v>19.297788036</v>
      </c>
      <c r="R1057" s="163">
        <v>0.29004994299999998</v>
      </c>
      <c r="S1057" s="161">
        <v>66.532638597000002</v>
      </c>
      <c r="T1057">
        <f t="shared" si="32"/>
        <v>4.1645152172565511E-4</v>
      </c>
    </row>
    <row r="1058" spans="2:20">
      <c r="B1058" s="163" t="s">
        <v>1409</v>
      </c>
      <c r="C1058" s="163" t="s">
        <v>1410</v>
      </c>
      <c r="D1058" s="163" t="s">
        <v>1370</v>
      </c>
      <c r="E1058" s="163" t="s">
        <v>853</v>
      </c>
      <c r="F1058" s="163" t="s">
        <v>1363</v>
      </c>
      <c r="G1058" s="163">
        <v>4</v>
      </c>
      <c r="H1058" s="163">
        <v>7</v>
      </c>
      <c r="I1058" s="163">
        <v>2</v>
      </c>
      <c r="J1058" s="163">
        <v>0</v>
      </c>
      <c r="K1058" s="163">
        <v>1</v>
      </c>
      <c r="L1058" s="163">
        <v>3</v>
      </c>
      <c r="M1058" s="163">
        <v>7970</v>
      </c>
      <c r="N1058" s="163">
        <v>6759</v>
      </c>
      <c r="O1058" s="163">
        <v>401130</v>
      </c>
      <c r="P1058" s="163">
        <v>174466.57</v>
      </c>
      <c r="Q1058" s="163">
        <v>21.890410288999998</v>
      </c>
      <c r="R1058" s="163">
        <v>0.43493772590000002</v>
      </c>
      <c r="S1058" s="161">
        <v>50.329987453000001</v>
      </c>
      <c r="T1058">
        <f t="shared" si="32"/>
        <v>5.8535361134765634E-5</v>
      </c>
    </row>
    <row r="1059" spans="2:20">
      <c r="B1059" s="163" t="s">
        <v>1411</v>
      </c>
      <c r="C1059" s="163" t="s">
        <v>1412</v>
      </c>
      <c r="D1059" s="163" t="s">
        <v>1370</v>
      </c>
      <c r="E1059" s="163" t="s">
        <v>853</v>
      </c>
      <c r="F1059" s="163" t="s">
        <v>1363</v>
      </c>
      <c r="G1059" s="163">
        <v>4</v>
      </c>
      <c r="H1059" s="163">
        <v>7</v>
      </c>
      <c r="I1059" s="163">
        <v>2</v>
      </c>
      <c r="J1059" s="163">
        <v>0</v>
      </c>
      <c r="K1059" s="163">
        <v>1</v>
      </c>
      <c r="L1059" s="163">
        <v>3</v>
      </c>
      <c r="M1059" s="163">
        <v>16588</v>
      </c>
      <c r="N1059" s="163">
        <v>12811</v>
      </c>
      <c r="O1059" s="163">
        <v>912878</v>
      </c>
      <c r="P1059" s="163">
        <v>529072.66</v>
      </c>
      <c r="Q1059" s="163">
        <v>31.894903544999998</v>
      </c>
      <c r="R1059" s="163">
        <v>0.5795655717</v>
      </c>
      <c r="S1059" s="161">
        <v>55.032433083999997</v>
      </c>
      <c r="T1059">
        <f t="shared" si="32"/>
        <v>1.3321278239469144E-4</v>
      </c>
    </row>
    <row r="1060" spans="2:20">
      <c r="B1060" s="163" t="s">
        <v>1413</v>
      </c>
      <c r="C1060" s="163" t="s">
        <v>1414</v>
      </c>
      <c r="D1060" s="163" t="s">
        <v>1370</v>
      </c>
      <c r="E1060" s="163" t="s">
        <v>853</v>
      </c>
      <c r="F1060" s="163" t="s">
        <v>1363</v>
      </c>
      <c r="G1060" s="163">
        <v>4</v>
      </c>
      <c r="H1060" s="163">
        <v>7</v>
      </c>
      <c r="I1060" s="163">
        <v>2</v>
      </c>
      <c r="J1060" s="163">
        <v>0</v>
      </c>
      <c r="K1060" s="163">
        <v>1</v>
      </c>
      <c r="L1060" s="163">
        <v>3</v>
      </c>
      <c r="M1060" s="163">
        <v>14939</v>
      </c>
      <c r="N1060" s="163">
        <v>14186</v>
      </c>
      <c r="O1060" s="163">
        <v>1583957</v>
      </c>
      <c r="P1060" s="163">
        <v>211230.64</v>
      </c>
      <c r="Q1060" s="163">
        <v>14.139543477</v>
      </c>
      <c r="R1060" s="163">
        <v>0.1333562969</v>
      </c>
      <c r="S1060" s="161">
        <v>106.02831515</v>
      </c>
      <c r="T1060">
        <f t="shared" si="32"/>
        <v>2.3114076488155952E-4</v>
      </c>
    </row>
    <row r="1061" spans="2:20">
      <c r="B1061" s="163" t="s">
        <v>1415</v>
      </c>
      <c r="C1061" s="163" t="s">
        <v>1416</v>
      </c>
      <c r="D1061" s="163" t="s">
        <v>1370</v>
      </c>
      <c r="E1061" s="163" t="s">
        <v>853</v>
      </c>
      <c r="F1061" s="163" t="s">
        <v>1363</v>
      </c>
      <c r="G1061" s="163">
        <v>4</v>
      </c>
      <c r="H1061" s="163">
        <v>7</v>
      </c>
      <c r="I1061" s="163">
        <v>2</v>
      </c>
      <c r="J1061" s="163">
        <v>0</v>
      </c>
      <c r="K1061" s="163">
        <v>1</v>
      </c>
      <c r="L1061" s="163">
        <v>3</v>
      </c>
      <c r="M1061" s="163">
        <v>850</v>
      </c>
      <c r="N1061" s="163">
        <v>508</v>
      </c>
      <c r="O1061" s="163">
        <v>31573</v>
      </c>
      <c r="P1061" s="163">
        <v>12818.15</v>
      </c>
      <c r="Q1061" s="163">
        <v>15.080176471</v>
      </c>
      <c r="R1061" s="163">
        <v>0.40598454379999999</v>
      </c>
      <c r="S1061" s="161">
        <v>37.144705881999997</v>
      </c>
      <c r="T1061">
        <f t="shared" si="32"/>
        <v>4.6073266948569174E-6</v>
      </c>
    </row>
    <row r="1062" spans="2:20">
      <c r="B1062" s="163" t="s">
        <v>1417</v>
      </c>
      <c r="C1062" s="163" t="s">
        <v>1418</v>
      </c>
      <c r="D1062" s="163" t="s">
        <v>1370</v>
      </c>
      <c r="E1062" s="163" t="s">
        <v>853</v>
      </c>
      <c r="F1062" s="163" t="s">
        <v>1363</v>
      </c>
      <c r="G1062" s="163">
        <v>4</v>
      </c>
      <c r="H1062" s="163">
        <v>7</v>
      </c>
      <c r="I1062" s="163">
        <v>2</v>
      </c>
      <c r="J1062" s="163">
        <v>0</v>
      </c>
      <c r="K1062" s="163">
        <v>1</v>
      </c>
      <c r="L1062" s="163">
        <v>3</v>
      </c>
      <c r="M1062" s="163">
        <v>1028</v>
      </c>
      <c r="N1062" s="163">
        <v>445</v>
      </c>
      <c r="O1062" s="163">
        <v>43983</v>
      </c>
      <c r="P1062" s="163">
        <v>26359.82</v>
      </c>
      <c r="Q1062" s="163">
        <v>25.641848248999999</v>
      </c>
      <c r="R1062" s="163">
        <v>0.59931837300000002</v>
      </c>
      <c r="S1062" s="161">
        <v>42.785019454999997</v>
      </c>
      <c r="T1062">
        <f t="shared" si="32"/>
        <v>6.418270358214037E-6</v>
      </c>
    </row>
    <row r="1063" spans="2:20">
      <c r="B1063" s="163" t="s">
        <v>1419</v>
      </c>
      <c r="C1063" s="163" t="s">
        <v>1420</v>
      </c>
      <c r="D1063" s="163" t="s">
        <v>1370</v>
      </c>
      <c r="E1063" s="163" t="s">
        <v>853</v>
      </c>
      <c r="F1063" s="163" t="s">
        <v>1363</v>
      </c>
      <c r="G1063" s="163">
        <v>4</v>
      </c>
      <c r="H1063" s="163">
        <v>7</v>
      </c>
      <c r="I1063" s="163">
        <v>2</v>
      </c>
      <c r="J1063" s="163">
        <v>0</v>
      </c>
      <c r="K1063" s="163">
        <v>1</v>
      </c>
      <c r="L1063" s="163">
        <v>3</v>
      </c>
      <c r="M1063" s="163">
        <v>1452</v>
      </c>
      <c r="N1063" s="163">
        <v>1113</v>
      </c>
      <c r="O1063" s="163">
        <v>45667</v>
      </c>
      <c r="P1063" s="163">
        <v>37965.11</v>
      </c>
      <c r="Q1063" s="163">
        <v>26.146769972000001</v>
      </c>
      <c r="R1063" s="163">
        <v>0.8313467055</v>
      </c>
      <c r="S1063" s="161">
        <v>31.451101928</v>
      </c>
      <c r="T1063">
        <f t="shared" si="32"/>
        <v>6.6640100140636259E-6</v>
      </c>
    </row>
    <row r="1064" spans="2:20">
      <c r="B1064" s="163" t="s">
        <v>1421</v>
      </c>
      <c r="C1064" s="163" t="s">
        <v>1422</v>
      </c>
      <c r="D1064" s="163" t="s">
        <v>1370</v>
      </c>
      <c r="E1064" s="163" t="s">
        <v>853</v>
      </c>
      <c r="F1064" s="163" t="s">
        <v>1363</v>
      </c>
      <c r="G1064" s="163">
        <v>4</v>
      </c>
      <c r="H1064" s="163">
        <v>7</v>
      </c>
      <c r="I1064" s="163">
        <v>2</v>
      </c>
      <c r="J1064" s="163">
        <v>0</v>
      </c>
      <c r="K1064" s="163">
        <v>1</v>
      </c>
      <c r="L1064" s="163">
        <v>3</v>
      </c>
      <c r="M1064" s="163">
        <v>1664</v>
      </c>
      <c r="N1064" s="163">
        <v>1121</v>
      </c>
      <c r="O1064" s="163">
        <v>45153</v>
      </c>
      <c r="P1064" s="163">
        <v>48873.440000000002</v>
      </c>
      <c r="Q1064" s="163">
        <v>29.371057692000001</v>
      </c>
      <c r="R1064" s="163">
        <v>1.0823962970000001</v>
      </c>
      <c r="S1064" s="161">
        <v>27.135216346</v>
      </c>
      <c r="T1064">
        <f t="shared" si="32"/>
        <v>6.5890039670881579E-6</v>
      </c>
    </row>
    <row r="1065" spans="2:20">
      <c r="B1065" s="163" t="s">
        <v>1423</v>
      </c>
      <c r="C1065" s="163" t="s">
        <v>1424</v>
      </c>
      <c r="D1065" s="163" t="s">
        <v>1370</v>
      </c>
      <c r="E1065" s="163" t="s">
        <v>853</v>
      </c>
      <c r="F1065" s="163" t="s">
        <v>1363</v>
      </c>
      <c r="G1065" s="163">
        <v>4</v>
      </c>
      <c r="H1065" s="163">
        <v>7</v>
      </c>
      <c r="I1065" s="163">
        <v>2</v>
      </c>
      <c r="J1065" s="163">
        <v>0</v>
      </c>
      <c r="K1065" s="163">
        <v>1</v>
      </c>
      <c r="L1065" s="163">
        <v>3</v>
      </c>
      <c r="M1065" s="163">
        <v>83318</v>
      </c>
      <c r="N1065" s="163">
        <v>78165</v>
      </c>
      <c r="O1065" s="163">
        <v>5270192</v>
      </c>
      <c r="P1065" s="163">
        <v>404030.33</v>
      </c>
      <c r="Q1065" s="163">
        <v>4.8492562231000003</v>
      </c>
      <c r="R1065" s="163">
        <v>7.6663303700000004E-2</v>
      </c>
      <c r="S1065" s="161">
        <v>63.253942725000002</v>
      </c>
      <c r="T1065">
        <f t="shared" si="32"/>
        <v>7.6905888856368951E-4</v>
      </c>
    </row>
    <row r="1066" spans="2:20">
      <c r="B1066" s="163" t="s">
        <v>1425</v>
      </c>
      <c r="C1066" s="163" t="s">
        <v>1426</v>
      </c>
      <c r="D1066" s="163" t="s">
        <v>1370</v>
      </c>
      <c r="E1066" s="163" t="s">
        <v>853</v>
      </c>
      <c r="F1066" s="163" t="s">
        <v>1363</v>
      </c>
      <c r="G1066" s="163">
        <v>4</v>
      </c>
      <c r="H1066" s="163">
        <v>7</v>
      </c>
      <c r="I1066" s="163">
        <v>2</v>
      </c>
      <c r="J1066" s="163">
        <v>0</v>
      </c>
      <c r="K1066" s="163">
        <v>1</v>
      </c>
      <c r="L1066" s="163">
        <v>3</v>
      </c>
      <c r="M1066" s="163">
        <v>461</v>
      </c>
      <c r="N1066" s="163">
        <v>0</v>
      </c>
      <c r="O1066" s="163">
        <v>58459</v>
      </c>
      <c r="P1066" s="163">
        <v>4676.72</v>
      </c>
      <c r="Q1066" s="163">
        <v>10.14472885</v>
      </c>
      <c r="R1066" s="163">
        <v>0.08</v>
      </c>
      <c r="S1066" s="161">
        <v>126.80911063000001</v>
      </c>
      <c r="T1066">
        <f t="shared" si="32"/>
        <v>8.5306974710873394E-6</v>
      </c>
    </row>
    <row r="1067" spans="2:20">
      <c r="B1067" s="163" t="s">
        <v>1427</v>
      </c>
      <c r="C1067" s="163" t="s">
        <v>1428</v>
      </c>
      <c r="D1067" s="163" t="s">
        <v>1370</v>
      </c>
      <c r="E1067" s="163" t="s">
        <v>853</v>
      </c>
      <c r="F1067" s="163" t="s">
        <v>1363</v>
      </c>
      <c r="G1067" s="163">
        <v>4</v>
      </c>
      <c r="H1067" s="163">
        <v>7</v>
      </c>
      <c r="I1067" s="163">
        <v>2</v>
      </c>
      <c r="J1067" s="163">
        <v>0</v>
      </c>
      <c r="K1067" s="163">
        <v>1</v>
      </c>
      <c r="L1067" s="163">
        <v>3</v>
      </c>
      <c r="M1067" s="163">
        <v>1923</v>
      </c>
      <c r="N1067" s="163">
        <v>0</v>
      </c>
      <c r="O1067" s="163">
        <v>120292</v>
      </c>
      <c r="P1067" s="163">
        <v>14515.67</v>
      </c>
      <c r="Q1067" s="163">
        <v>7.5484503380000003</v>
      </c>
      <c r="R1067" s="163">
        <v>0.1206702856</v>
      </c>
      <c r="S1067" s="161">
        <v>62.554342173999999</v>
      </c>
      <c r="T1067">
        <f t="shared" ref="T1067:T1130" si="33">O1067/SUM($O$874:$O$1513)</f>
        <v>1.755374981084244E-5</v>
      </c>
    </row>
    <row r="1068" spans="2:20">
      <c r="B1068" s="163" t="s">
        <v>1429</v>
      </c>
      <c r="C1068" s="163" t="s">
        <v>1430</v>
      </c>
      <c r="D1068" s="163" t="s">
        <v>1370</v>
      </c>
      <c r="E1068" s="163" t="s">
        <v>853</v>
      </c>
      <c r="F1068" s="163" t="s">
        <v>1363</v>
      </c>
      <c r="G1068" s="163">
        <v>4</v>
      </c>
      <c r="H1068" s="163">
        <v>7</v>
      </c>
      <c r="I1068" s="163">
        <v>2</v>
      </c>
      <c r="J1068" s="163">
        <v>0</v>
      </c>
      <c r="K1068" s="163">
        <v>1</v>
      </c>
      <c r="L1068" s="163">
        <v>3</v>
      </c>
      <c r="M1068" s="163">
        <v>3613</v>
      </c>
      <c r="N1068" s="163">
        <v>0</v>
      </c>
      <c r="O1068" s="163">
        <v>250705</v>
      </c>
      <c r="P1068" s="163">
        <v>60464.31</v>
      </c>
      <c r="Q1068" s="163">
        <v>16.735208967999998</v>
      </c>
      <c r="R1068" s="163">
        <v>0.24117712050000001</v>
      </c>
      <c r="S1068" s="161">
        <v>69.389703847000007</v>
      </c>
      <c r="T1068">
        <f t="shared" si="33"/>
        <v>3.6584418301526732E-5</v>
      </c>
    </row>
    <row r="1069" spans="2:20">
      <c r="B1069" s="163" t="s">
        <v>1431</v>
      </c>
      <c r="C1069" s="163" t="s">
        <v>1432</v>
      </c>
      <c r="D1069" s="163" t="s">
        <v>1370</v>
      </c>
      <c r="E1069" s="163" t="s">
        <v>853</v>
      </c>
      <c r="F1069" s="163" t="s">
        <v>1363</v>
      </c>
      <c r="G1069" s="163">
        <v>4</v>
      </c>
      <c r="H1069" s="163">
        <v>7</v>
      </c>
      <c r="I1069" s="163">
        <v>2</v>
      </c>
      <c r="J1069" s="163">
        <v>0</v>
      </c>
      <c r="K1069" s="163">
        <v>1</v>
      </c>
      <c r="L1069" s="163">
        <v>3</v>
      </c>
      <c r="M1069" s="163">
        <v>1012</v>
      </c>
      <c r="N1069" s="163">
        <v>0</v>
      </c>
      <c r="O1069" s="163">
        <v>53193</v>
      </c>
      <c r="P1069" s="163">
        <v>19246.919999999998</v>
      </c>
      <c r="Q1069" s="163">
        <v>19.018695652000002</v>
      </c>
      <c r="R1069" s="163">
        <v>0.36183182000000003</v>
      </c>
      <c r="S1069" s="161">
        <v>52.562252964000002</v>
      </c>
      <c r="T1069">
        <f t="shared" si="33"/>
        <v>7.7622503049923681E-6</v>
      </c>
    </row>
    <row r="1070" spans="2:20">
      <c r="B1070" s="163" t="s">
        <v>1433</v>
      </c>
      <c r="C1070" s="163" t="s">
        <v>1434</v>
      </c>
      <c r="D1070" s="163" t="s">
        <v>1370</v>
      </c>
      <c r="E1070" s="163" t="s">
        <v>853</v>
      </c>
      <c r="F1070" s="163" t="s">
        <v>1363</v>
      </c>
      <c r="G1070" s="163">
        <v>4</v>
      </c>
      <c r="H1070" s="163">
        <v>7</v>
      </c>
      <c r="I1070" s="163">
        <v>2</v>
      </c>
      <c r="J1070" s="163">
        <v>0</v>
      </c>
      <c r="K1070" s="163">
        <v>1</v>
      </c>
      <c r="L1070" s="163">
        <v>3</v>
      </c>
      <c r="M1070" s="163">
        <v>2071</v>
      </c>
      <c r="N1070" s="163">
        <v>0</v>
      </c>
      <c r="O1070" s="163">
        <v>107626</v>
      </c>
      <c r="P1070" s="163">
        <v>51893.440000000002</v>
      </c>
      <c r="Q1070" s="163">
        <v>25.057189763</v>
      </c>
      <c r="R1070" s="163">
        <v>0.48216453269999998</v>
      </c>
      <c r="S1070" s="161">
        <v>51.968131337999999</v>
      </c>
      <c r="T1070">
        <f t="shared" si="33"/>
        <v>1.5705449050159015E-5</v>
      </c>
    </row>
    <row r="1071" spans="2:20">
      <c r="B1071" s="163" t="s">
        <v>1435</v>
      </c>
      <c r="C1071" s="163" t="s">
        <v>1436</v>
      </c>
      <c r="D1071" s="163" t="s">
        <v>1370</v>
      </c>
      <c r="E1071" s="163" t="s">
        <v>853</v>
      </c>
      <c r="F1071" s="163" t="s">
        <v>1363</v>
      </c>
      <c r="G1071" s="163">
        <v>4</v>
      </c>
      <c r="H1071" s="163">
        <v>7</v>
      </c>
      <c r="I1071" s="163">
        <v>2</v>
      </c>
      <c r="J1071" s="163">
        <v>0</v>
      </c>
      <c r="K1071" s="163">
        <v>1</v>
      </c>
      <c r="L1071" s="163">
        <v>3</v>
      </c>
      <c r="M1071" s="163">
        <v>66</v>
      </c>
      <c r="N1071" s="163">
        <v>0</v>
      </c>
      <c r="O1071" s="163">
        <v>1950</v>
      </c>
      <c r="P1071" s="163">
        <v>2138.6999999999998</v>
      </c>
      <c r="Q1071" s="163">
        <v>32.404545454999997</v>
      </c>
      <c r="R1071" s="163">
        <v>1.0967692308000001</v>
      </c>
      <c r="S1071" s="161">
        <v>29.545454544999998</v>
      </c>
      <c r="T1071">
        <f t="shared" si="33"/>
        <v>2.8455601479020015E-7</v>
      </c>
    </row>
    <row r="1072" spans="2:20">
      <c r="B1072" s="163" t="s">
        <v>1437</v>
      </c>
      <c r="C1072" s="163" t="s">
        <v>1438</v>
      </c>
      <c r="D1072" s="163" t="s">
        <v>1370</v>
      </c>
      <c r="E1072" s="163" t="s">
        <v>853</v>
      </c>
      <c r="F1072" s="163" t="s">
        <v>1363</v>
      </c>
      <c r="G1072" s="163">
        <v>4</v>
      </c>
      <c r="H1072" s="163">
        <v>7</v>
      </c>
      <c r="I1072" s="163">
        <v>2</v>
      </c>
      <c r="J1072" s="163">
        <v>0</v>
      </c>
      <c r="K1072" s="163">
        <v>1</v>
      </c>
      <c r="L1072" s="163">
        <v>3</v>
      </c>
      <c r="M1072" s="163">
        <v>7309</v>
      </c>
      <c r="N1072" s="163">
        <v>6421</v>
      </c>
      <c r="O1072" s="163">
        <v>695588</v>
      </c>
      <c r="P1072" s="163">
        <v>82545.98</v>
      </c>
      <c r="Q1072" s="163">
        <v>11.293744697999999</v>
      </c>
      <c r="R1072" s="163">
        <v>0.1186707936</v>
      </c>
      <c r="S1072" s="161">
        <v>95.168696127999993</v>
      </c>
      <c r="T1072">
        <f t="shared" si="33"/>
        <v>1.015044867773773E-4</v>
      </c>
    </row>
    <row r="1073" spans="2:20">
      <c r="B1073" s="163" t="s">
        <v>1439</v>
      </c>
      <c r="C1073" s="163" t="s">
        <v>1440</v>
      </c>
      <c r="D1073" s="163" t="s">
        <v>1370</v>
      </c>
      <c r="E1073" s="163" t="s">
        <v>853</v>
      </c>
      <c r="F1073" s="163" t="s">
        <v>1363</v>
      </c>
      <c r="G1073" s="163">
        <v>4</v>
      </c>
      <c r="H1073" s="163">
        <v>7</v>
      </c>
      <c r="I1073" s="163">
        <v>2</v>
      </c>
      <c r="J1073" s="163">
        <v>0</v>
      </c>
      <c r="K1073" s="163">
        <v>1</v>
      </c>
      <c r="L1073" s="163">
        <v>3</v>
      </c>
      <c r="M1073" s="163">
        <v>812</v>
      </c>
      <c r="N1073" s="163">
        <v>250</v>
      </c>
      <c r="O1073" s="163">
        <v>28071</v>
      </c>
      <c r="P1073" s="163">
        <v>10727.09</v>
      </c>
      <c r="Q1073" s="163">
        <v>13.210701970000001</v>
      </c>
      <c r="R1073" s="163">
        <v>0.38214135580000003</v>
      </c>
      <c r="S1073" s="161">
        <v>34.570197043999997</v>
      </c>
      <c r="T1073">
        <f t="shared" si="33"/>
        <v>4.0962932775260042E-6</v>
      </c>
    </row>
    <row r="1074" spans="2:20">
      <c r="B1074" s="163" t="s">
        <v>1441</v>
      </c>
      <c r="C1074" s="163" t="s">
        <v>1442</v>
      </c>
      <c r="D1074" s="163" t="s">
        <v>1370</v>
      </c>
      <c r="E1074" s="163" t="s">
        <v>853</v>
      </c>
      <c r="F1074" s="163" t="s">
        <v>1363</v>
      </c>
      <c r="G1074" s="163">
        <v>4</v>
      </c>
      <c r="H1074" s="163">
        <v>7</v>
      </c>
      <c r="I1074" s="163">
        <v>2</v>
      </c>
      <c r="J1074" s="163">
        <v>0</v>
      </c>
      <c r="K1074" s="163">
        <v>1</v>
      </c>
      <c r="L1074" s="163">
        <v>3</v>
      </c>
      <c r="M1074" s="163">
        <v>1205</v>
      </c>
      <c r="N1074" s="163">
        <v>599</v>
      </c>
      <c r="O1074" s="163">
        <v>46371</v>
      </c>
      <c r="P1074" s="163">
        <v>23616.85</v>
      </c>
      <c r="Q1074" s="163">
        <v>19.599045643</v>
      </c>
      <c r="R1074" s="163">
        <v>0.50930215010000002</v>
      </c>
      <c r="S1074" s="161">
        <v>38.482157676</v>
      </c>
      <c r="T1074">
        <f t="shared" si="33"/>
        <v>6.7667420317109593E-6</v>
      </c>
    </row>
    <row r="1075" spans="2:20">
      <c r="B1075" s="163" t="s">
        <v>1443</v>
      </c>
      <c r="C1075" s="163" t="s">
        <v>1444</v>
      </c>
      <c r="D1075" s="163" t="s">
        <v>1370</v>
      </c>
      <c r="E1075" s="163" t="s">
        <v>853</v>
      </c>
      <c r="F1075" s="163" t="s">
        <v>1363</v>
      </c>
      <c r="G1075" s="163">
        <v>4</v>
      </c>
      <c r="H1075" s="163">
        <v>7</v>
      </c>
      <c r="I1075" s="163">
        <v>2</v>
      </c>
      <c r="J1075" s="163">
        <v>0</v>
      </c>
      <c r="K1075" s="163">
        <v>1</v>
      </c>
      <c r="L1075" s="163">
        <v>3</v>
      </c>
      <c r="M1075" s="163">
        <v>1154</v>
      </c>
      <c r="N1075" s="163">
        <v>579</v>
      </c>
      <c r="O1075" s="163">
        <v>31248</v>
      </c>
      <c r="P1075" s="163">
        <v>23872.47</v>
      </c>
      <c r="Q1075" s="163">
        <v>20.686715770999999</v>
      </c>
      <c r="R1075" s="163">
        <v>0.76396793389999995</v>
      </c>
      <c r="S1075" s="161">
        <v>27.077989600999999</v>
      </c>
      <c r="T1075">
        <f t="shared" si="33"/>
        <v>4.5599006923918846E-6</v>
      </c>
    </row>
    <row r="1076" spans="2:20">
      <c r="B1076" s="163" t="s">
        <v>1445</v>
      </c>
      <c r="C1076" s="163" t="s">
        <v>1446</v>
      </c>
      <c r="D1076" s="163" t="s">
        <v>1370</v>
      </c>
      <c r="E1076" s="163" t="s">
        <v>853</v>
      </c>
      <c r="F1076" s="163" t="s">
        <v>1363</v>
      </c>
      <c r="G1076" s="163">
        <v>4</v>
      </c>
      <c r="H1076" s="163">
        <v>7</v>
      </c>
      <c r="I1076" s="163">
        <v>2</v>
      </c>
      <c r="J1076" s="163">
        <v>0</v>
      </c>
      <c r="K1076" s="163">
        <v>1</v>
      </c>
      <c r="L1076" s="163">
        <v>3</v>
      </c>
      <c r="M1076" s="163">
        <v>2867</v>
      </c>
      <c r="N1076" s="163">
        <v>2205</v>
      </c>
      <c r="O1076" s="163">
        <v>79188</v>
      </c>
      <c r="P1076" s="163">
        <v>80634.240000000005</v>
      </c>
      <c r="Q1076" s="163">
        <v>28.124952912000001</v>
      </c>
      <c r="R1076" s="163">
        <v>1.0182633731999999</v>
      </c>
      <c r="S1076" s="161">
        <v>27.620509243000001</v>
      </c>
      <c r="T1076">
        <f t="shared" si="33"/>
        <v>1.1555600871387882E-5</v>
      </c>
    </row>
    <row r="1077" spans="2:20">
      <c r="B1077" s="163" t="s">
        <v>1447</v>
      </c>
      <c r="C1077" s="163" t="s">
        <v>1448</v>
      </c>
      <c r="D1077" s="163" t="s">
        <v>1370</v>
      </c>
      <c r="E1077" s="163" t="s">
        <v>853</v>
      </c>
      <c r="F1077" s="163" t="s">
        <v>1363</v>
      </c>
      <c r="G1077" s="163">
        <v>4</v>
      </c>
      <c r="H1077" s="163">
        <v>7</v>
      </c>
      <c r="I1077" s="163">
        <v>2</v>
      </c>
      <c r="J1077" s="163">
        <v>0</v>
      </c>
      <c r="K1077" s="163">
        <v>1</v>
      </c>
      <c r="L1077" s="163">
        <v>3</v>
      </c>
      <c r="M1077" s="163">
        <v>17</v>
      </c>
      <c r="N1077" s="163">
        <v>15</v>
      </c>
      <c r="O1077" s="163">
        <v>1406</v>
      </c>
      <c r="P1077" s="163">
        <v>504.74</v>
      </c>
      <c r="Q1077" s="163">
        <v>29.690588235</v>
      </c>
      <c r="R1077" s="163">
        <v>0.35899004270000001</v>
      </c>
      <c r="S1077" s="161">
        <v>82.705882353000007</v>
      </c>
      <c r="T1077">
        <f t="shared" si="33"/>
        <v>2.0517218297180585E-7</v>
      </c>
    </row>
    <row r="1078" spans="2:20">
      <c r="B1078" s="163" t="s">
        <v>1449</v>
      </c>
      <c r="C1078" s="163" t="s">
        <v>1450</v>
      </c>
      <c r="D1078" s="163" t="s">
        <v>1370</v>
      </c>
      <c r="E1078" s="163" t="s">
        <v>853</v>
      </c>
      <c r="F1078" s="163" t="s">
        <v>1363</v>
      </c>
      <c r="G1078" s="163">
        <v>4</v>
      </c>
      <c r="H1078" s="163">
        <v>7</v>
      </c>
      <c r="I1078" s="163">
        <v>2</v>
      </c>
      <c r="J1078" s="163">
        <v>0</v>
      </c>
      <c r="K1078" s="163">
        <v>1</v>
      </c>
      <c r="L1078" s="163">
        <v>3</v>
      </c>
      <c r="M1078" s="163">
        <v>8</v>
      </c>
      <c r="N1078" s="163">
        <v>0</v>
      </c>
      <c r="O1078" s="163">
        <v>480</v>
      </c>
      <c r="P1078" s="163">
        <v>99.82</v>
      </c>
      <c r="Q1078" s="163">
        <v>12.477499999999999</v>
      </c>
      <c r="R1078" s="163">
        <v>0.20795833329999999</v>
      </c>
      <c r="S1078" s="161">
        <v>60</v>
      </c>
      <c r="T1078">
        <f t="shared" si="33"/>
        <v>7.0044557486818499E-8</v>
      </c>
    </row>
    <row r="1079" spans="2:20">
      <c r="B1079" s="163" t="s">
        <v>1451</v>
      </c>
      <c r="C1079" s="163" t="s">
        <v>1452</v>
      </c>
      <c r="D1079" s="163" t="s">
        <v>1370</v>
      </c>
      <c r="E1079" s="163" t="s">
        <v>853</v>
      </c>
      <c r="F1079" s="163" t="s">
        <v>1363</v>
      </c>
      <c r="G1079" s="163">
        <v>4</v>
      </c>
      <c r="H1079" s="163">
        <v>7</v>
      </c>
      <c r="I1079" s="163">
        <v>2</v>
      </c>
      <c r="J1079" s="163">
        <v>0</v>
      </c>
      <c r="K1079" s="163">
        <v>1</v>
      </c>
      <c r="L1079" s="163">
        <v>3</v>
      </c>
      <c r="M1079" s="163">
        <v>13776</v>
      </c>
      <c r="N1079" s="163">
        <v>0</v>
      </c>
      <c r="O1079" s="163">
        <v>1574338</v>
      </c>
      <c r="P1079" s="163">
        <v>253988.88</v>
      </c>
      <c r="Q1079" s="163">
        <v>18.437055748999999</v>
      </c>
      <c r="R1079" s="163">
        <v>0.161330591</v>
      </c>
      <c r="S1079" s="161">
        <v>114.2812137</v>
      </c>
      <c r="T1079">
        <f t="shared" si="33"/>
        <v>2.2973710113475596E-4</v>
      </c>
    </row>
    <row r="1080" spans="2:20">
      <c r="B1080" s="163" t="s">
        <v>1453</v>
      </c>
      <c r="C1080" s="163" t="s">
        <v>1454</v>
      </c>
      <c r="D1080" s="163" t="s">
        <v>1370</v>
      </c>
      <c r="E1080" s="163" t="s">
        <v>853</v>
      </c>
      <c r="F1080" s="163" t="s">
        <v>1363</v>
      </c>
      <c r="G1080" s="163">
        <v>4</v>
      </c>
      <c r="H1080" s="163">
        <v>7</v>
      </c>
      <c r="I1080" s="163">
        <v>2</v>
      </c>
      <c r="J1080" s="163">
        <v>0</v>
      </c>
      <c r="K1080" s="163">
        <v>1</v>
      </c>
      <c r="L1080" s="163">
        <v>3</v>
      </c>
      <c r="M1080" s="163">
        <v>1928</v>
      </c>
      <c r="N1080" s="163">
        <v>1390</v>
      </c>
      <c r="O1080" s="163">
        <v>172779</v>
      </c>
      <c r="P1080" s="163">
        <v>27874.33</v>
      </c>
      <c r="Q1080" s="163">
        <v>14.457640040999999</v>
      </c>
      <c r="R1080" s="163">
        <v>0.1613293861</v>
      </c>
      <c r="S1080" s="161">
        <v>89.615663900000001</v>
      </c>
      <c r="T1080">
        <f t="shared" si="33"/>
        <v>2.521297624586461E-5</v>
      </c>
    </row>
    <row r="1081" spans="2:20">
      <c r="B1081" s="163" t="s">
        <v>1455</v>
      </c>
      <c r="C1081" s="163" t="s">
        <v>1456</v>
      </c>
      <c r="D1081" s="163" t="s">
        <v>1370</v>
      </c>
      <c r="E1081" s="163" t="s">
        <v>853</v>
      </c>
      <c r="F1081" s="163" t="s">
        <v>1363</v>
      </c>
      <c r="G1081" s="163">
        <v>4</v>
      </c>
      <c r="H1081" s="163">
        <v>7</v>
      </c>
      <c r="I1081" s="163">
        <v>2</v>
      </c>
      <c r="J1081" s="163">
        <v>0</v>
      </c>
      <c r="K1081" s="163">
        <v>1</v>
      </c>
      <c r="L1081" s="163">
        <v>3</v>
      </c>
      <c r="M1081" s="163">
        <v>93</v>
      </c>
      <c r="N1081" s="163">
        <v>93</v>
      </c>
      <c r="O1081" s="163">
        <v>5888</v>
      </c>
      <c r="P1081" s="163">
        <v>1770.48</v>
      </c>
      <c r="Q1081" s="163">
        <v>19.037419355000001</v>
      </c>
      <c r="R1081" s="163">
        <v>0.30069293479999998</v>
      </c>
      <c r="S1081" s="161">
        <v>63.311827956999998</v>
      </c>
      <c r="T1081">
        <f t="shared" si="33"/>
        <v>8.5921323850497354E-7</v>
      </c>
    </row>
    <row r="1082" spans="2:20">
      <c r="B1082" s="163" t="s">
        <v>1457</v>
      </c>
      <c r="C1082" s="163" t="s">
        <v>1458</v>
      </c>
      <c r="D1082" s="163" t="s">
        <v>1370</v>
      </c>
      <c r="E1082" s="163" t="s">
        <v>853</v>
      </c>
      <c r="F1082" s="163" t="s">
        <v>1363</v>
      </c>
      <c r="G1082" s="163">
        <v>4</v>
      </c>
      <c r="H1082" s="163">
        <v>7</v>
      </c>
      <c r="I1082" s="163">
        <v>2</v>
      </c>
      <c r="J1082" s="163">
        <v>0</v>
      </c>
      <c r="K1082" s="163">
        <v>1</v>
      </c>
      <c r="L1082" s="163">
        <v>3</v>
      </c>
      <c r="M1082" s="163">
        <v>55</v>
      </c>
      <c r="N1082" s="163">
        <v>53</v>
      </c>
      <c r="O1082" s="163">
        <v>2837</v>
      </c>
      <c r="P1082" s="163">
        <v>1224.32</v>
      </c>
      <c r="Q1082" s="163">
        <v>22.260363636000001</v>
      </c>
      <c r="R1082" s="163">
        <v>0.43155445889999999</v>
      </c>
      <c r="S1082" s="161">
        <v>51.581818181999999</v>
      </c>
      <c r="T1082">
        <f t="shared" si="33"/>
        <v>4.1399251997938348E-7</v>
      </c>
    </row>
    <row r="1083" spans="2:20">
      <c r="B1083" s="163" t="s">
        <v>1459</v>
      </c>
      <c r="C1083" s="163" t="s">
        <v>1460</v>
      </c>
      <c r="D1083" s="163" t="s">
        <v>1370</v>
      </c>
      <c r="E1083" s="163" t="s">
        <v>853</v>
      </c>
      <c r="F1083" s="163" t="s">
        <v>1363</v>
      </c>
      <c r="G1083" s="163">
        <v>4</v>
      </c>
      <c r="H1083" s="163">
        <v>7</v>
      </c>
      <c r="I1083" s="163">
        <v>2</v>
      </c>
      <c r="J1083" s="163">
        <v>0</v>
      </c>
      <c r="K1083" s="163">
        <v>1</v>
      </c>
      <c r="L1083" s="163">
        <v>3</v>
      </c>
      <c r="M1083" s="163">
        <v>3</v>
      </c>
      <c r="N1083" s="163">
        <v>3</v>
      </c>
      <c r="O1083" s="163">
        <v>180</v>
      </c>
      <c r="P1083" s="163">
        <v>74.48</v>
      </c>
      <c r="Q1083" s="163">
        <v>24.826666667000001</v>
      </c>
      <c r="R1083" s="163">
        <v>0.41377777780000002</v>
      </c>
      <c r="S1083" s="161">
        <v>60</v>
      </c>
      <c r="T1083">
        <f t="shared" si="33"/>
        <v>2.6266709057556937E-8</v>
      </c>
    </row>
    <row r="1084" spans="2:20">
      <c r="B1084" s="163" t="s">
        <v>1461</v>
      </c>
      <c r="C1084" s="163" t="s">
        <v>1462</v>
      </c>
      <c r="D1084" s="163" t="s">
        <v>1370</v>
      </c>
      <c r="E1084" s="163" t="s">
        <v>853</v>
      </c>
      <c r="F1084" s="163" t="s">
        <v>1363</v>
      </c>
      <c r="G1084" s="163">
        <v>4</v>
      </c>
      <c r="H1084" s="163">
        <v>7</v>
      </c>
      <c r="I1084" s="163">
        <v>2</v>
      </c>
      <c r="J1084" s="163">
        <v>0</v>
      </c>
      <c r="K1084" s="163">
        <v>1</v>
      </c>
      <c r="L1084" s="163">
        <v>3</v>
      </c>
      <c r="M1084" s="163">
        <v>4286</v>
      </c>
      <c r="N1084" s="163">
        <v>2549</v>
      </c>
      <c r="O1084" s="163">
        <v>266935</v>
      </c>
      <c r="P1084" s="163">
        <v>70044.320000000007</v>
      </c>
      <c r="Q1084" s="163">
        <v>16.342585160999999</v>
      </c>
      <c r="R1084" s="163">
        <v>0.26240215779999998</v>
      </c>
      <c r="S1084" s="161">
        <v>62.280681287999997</v>
      </c>
      <c r="T1084">
        <f t="shared" si="33"/>
        <v>3.8952799901549785E-5</v>
      </c>
    </row>
    <row r="1085" spans="2:20">
      <c r="B1085" s="163" t="s">
        <v>1463</v>
      </c>
      <c r="C1085" s="163" t="s">
        <v>1464</v>
      </c>
      <c r="D1085" s="163" t="s">
        <v>1370</v>
      </c>
      <c r="E1085" s="163" t="s">
        <v>853</v>
      </c>
      <c r="F1085" s="163" t="s">
        <v>1363</v>
      </c>
      <c r="G1085" s="163">
        <v>4</v>
      </c>
      <c r="H1085" s="163">
        <v>7</v>
      </c>
      <c r="I1085" s="163">
        <v>2</v>
      </c>
      <c r="J1085" s="163">
        <v>0</v>
      </c>
      <c r="K1085" s="163">
        <v>1</v>
      </c>
      <c r="L1085" s="163">
        <v>3</v>
      </c>
      <c r="M1085" s="163">
        <v>523</v>
      </c>
      <c r="N1085" s="163">
        <v>289</v>
      </c>
      <c r="O1085" s="163">
        <v>28629</v>
      </c>
      <c r="P1085" s="163">
        <v>11316.34</v>
      </c>
      <c r="Q1085" s="163">
        <v>21.637361377000001</v>
      </c>
      <c r="R1085" s="163">
        <v>0.39527541999999999</v>
      </c>
      <c r="S1085" s="161">
        <v>54.739961759000003</v>
      </c>
      <c r="T1085">
        <f t="shared" si="33"/>
        <v>4.1777200756044308E-6</v>
      </c>
    </row>
    <row r="1086" spans="2:20">
      <c r="B1086" s="163" t="s">
        <v>1465</v>
      </c>
      <c r="C1086" s="163" t="s">
        <v>1466</v>
      </c>
      <c r="D1086" s="163" t="s">
        <v>1370</v>
      </c>
      <c r="E1086" s="163" t="s">
        <v>853</v>
      </c>
      <c r="F1086" s="163" t="s">
        <v>1363</v>
      </c>
      <c r="G1086" s="163">
        <v>4</v>
      </c>
      <c r="H1086" s="163">
        <v>7</v>
      </c>
      <c r="I1086" s="163">
        <v>2</v>
      </c>
      <c r="J1086" s="163">
        <v>0</v>
      </c>
      <c r="K1086" s="163">
        <v>1</v>
      </c>
      <c r="L1086" s="163">
        <v>3</v>
      </c>
      <c r="M1086" s="163">
        <v>1216</v>
      </c>
      <c r="N1086" s="163">
        <v>518</v>
      </c>
      <c r="O1086" s="163">
        <v>59270</v>
      </c>
      <c r="P1086" s="163">
        <v>31236.65</v>
      </c>
      <c r="Q1086" s="163">
        <v>25.688034539</v>
      </c>
      <c r="R1086" s="163">
        <v>0.52702294579999998</v>
      </c>
      <c r="S1086" s="161">
        <v>48.741776315999999</v>
      </c>
      <c r="T1086">
        <f t="shared" si="33"/>
        <v>8.6490435880077756E-6</v>
      </c>
    </row>
    <row r="1087" spans="2:20">
      <c r="B1087" s="163" t="s">
        <v>1467</v>
      </c>
      <c r="C1087" s="163" t="s">
        <v>1468</v>
      </c>
      <c r="D1087" s="163" t="s">
        <v>1370</v>
      </c>
      <c r="E1087" s="163" t="s">
        <v>853</v>
      </c>
      <c r="F1087" s="163" t="s">
        <v>1363</v>
      </c>
      <c r="G1087" s="163">
        <v>4</v>
      </c>
      <c r="H1087" s="163">
        <v>7</v>
      </c>
      <c r="I1087" s="163">
        <v>2</v>
      </c>
      <c r="J1087" s="163">
        <v>0</v>
      </c>
      <c r="K1087" s="163">
        <v>1</v>
      </c>
      <c r="L1087" s="163">
        <v>3</v>
      </c>
      <c r="M1087" s="163">
        <v>7981</v>
      </c>
      <c r="N1087" s="163">
        <v>7673</v>
      </c>
      <c r="O1087" s="163">
        <v>535659</v>
      </c>
      <c r="P1087" s="163">
        <v>138558.54999999999</v>
      </c>
      <c r="Q1087" s="163">
        <v>17.361051246999999</v>
      </c>
      <c r="R1087" s="163">
        <v>0.25866932129999998</v>
      </c>
      <c r="S1087" s="161">
        <v>67.116777346000006</v>
      </c>
      <c r="T1087">
        <f t="shared" si="33"/>
        <v>7.8166661705899394E-5</v>
      </c>
    </row>
    <row r="1088" spans="2:20">
      <c r="B1088" s="163" t="s">
        <v>1469</v>
      </c>
      <c r="C1088" s="163" t="s">
        <v>1470</v>
      </c>
      <c r="D1088" s="163" t="s">
        <v>1370</v>
      </c>
      <c r="E1088" s="163" t="s">
        <v>853</v>
      </c>
      <c r="F1088" s="163" t="s">
        <v>1363</v>
      </c>
      <c r="G1088" s="163">
        <v>4</v>
      </c>
      <c r="H1088" s="163">
        <v>7</v>
      </c>
      <c r="I1088" s="163">
        <v>2</v>
      </c>
      <c r="J1088" s="163">
        <v>0</v>
      </c>
      <c r="K1088" s="163">
        <v>1</v>
      </c>
      <c r="L1088" s="163">
        <v>3</v>
      </c>
      <c r="M1088" s="163">
        <v>1038</v>
      </c>
      <c r="N1088" s="163">
        <v>912</v>
      </c>
      <c r="O1088" s="163">
        <v>50160</v>
      </c>
      <c r="P1088" s="163">
        <v>19461.61</v>
      </c>
      <c r="Q1088" s="163">
        <v>18.749142582000001</v>
      </c>
      <c r="R1088" s="163">
        <v>0.38799063</v>
      </c>
      <c r="S1088" s="161">
        <v>48.323699421999997</v>
      </c>
      <c r="T1088">
        <f t="shared" si="33"/>
        <v>7.3196562573725332E-6</v>
      </c>
    </row>
    <row r="1089" spans="2:20">
      <c r="B1089" s="163" t="s">
        <v>1471</v>
      </c>
      <c r="C1089" s="163" t="s">
        <v>1472</v>
      </c>
      <c r="D1089" s="163" t="s">
        <v>1370</v>
      </c>
      <c r="E1089" s="163" t="s">
        <v>853</v>
      </c>
      <c r="F1089" s="163" t="s">
        <v>1363</v>
      </c>
      <c r="G1089" s="163">
        <v>4</v>
      </c>
      <c r="H1089" s="163">
        <v>7</v>
      </c>
      <c r="I1089" s="163">
        <v>2</v>
      </c>
      <c r="J1089" s="163">
        <v>0</v>
      </c>
      <c r="K1089" s="163">
        <v>1</v>
      </c>
      <c r="L1089" s="163">
        <v>3</v>
      </c>
      <c r="M1089" s="163">
        <v>3243</v>
      </c>
      <c r="N1089" s="163">
        <v>2961</v>
      </c>
      <c r="O1089" s="163">
        <v>160491</v>
      </c>
      <c r="P1089" s="163">
        <v>83025.490000000005</v>
      </c>
      <c r="Q1089" s="163">
        <v>25.601446192000001</v>
      </c>
      <c r="R1089" s="163">
        <v>0.51732178129999995</v>
      </c>
      <c r="S1089" s="161">
        <v>49.488436632999999</v>
      </c>
      <c r="T1089">
        <f t="shared" si="33"/>
        <v>2.3419835574202057E-5</v>
      </c>
    </row>
    <row r="1090" spans="2:20">
      <c r="B1090" s="163" t="s">
        <v>1473</v>
      </c>
      <c r="C1090" s="163" t="s">
        <v>1474</v>
      </c>
      <c r="D1090" s="163" t="s">
        <v>1370</v>
      </c>
      <c r="E1090" s="163" t="s">
        <v>853</v>
      </c>
      <c r="F1090" s="163" t="s">
        <v>1363</v>
      </c>
      <c r="G1090" s="163">
        <v>4</v>
      </c>
      <c r="H1090" s="163">
        <v>7</v>
      </c>
      <c r="I1090" s="163">
        <v>2</v>
      </c>
      <c r="J1090" s="163">
        <v>0</v>
      </c>
      <c r="K1090" s="163">
        <v>1</v>
      </c>
      <c r="L1090" s="163">
        <v>3</v>
      </c>
      <c r="M1090" s="163">
        <v>3333</v>
      </c>
      <c r="N1090" s="163">
        <v>1759</v>
      </c>
      <c r="O1090" s="163">
        <v>151471</v>
      </c>
      <c r="P1090" s="163">
        <v>71191.37</v>
      </c>
      <c r="Q1090" s="163">
        <v>21.359546954999999</v>
      </c>
      <c r="R1090" s="163">
        <v>0.47</v>
      </c>
      <c r="S1090" s="161">
        <v>45.445844584</v>
      </c>
      <c r="T1090">
        <f t="shared" si="33"/>
        <v>2.2103581598095593E-5</v>
      </c>
    </row>
    <row r="1091" spans="2:20">
      <c r="B1091" s="163" t="s">
        <v>1475</v>
      </c>
      <c r="C1091" s="163" t="s">
        <v>1476</v>
      </c>
      <c r="D1091" s="163" t="s">
        <v>1370</v>
      </c>
      <c r="E1091" s="163" t="s">
        <v>853</v>
      </c>
      <c r="F1091" s="163" t="s">
        <v>1363</v>
      </c>
      <c r="G1091" s="163">
        <v>4</v>
      </c>
      <c r="H1091" s="163">
        <v>7</v>
      </c>
      <c r="I1091" s="163">
        <v>2</v>
      </c>
      <c r="J1091" s="163">
        <v>0</v>
      </c>
      <c r="K1091" s="163">
        <v>1</v>
      </c>
      <c r="L1091" s="163">
        <v>3</v>
      </c>
      <c r="M1091" s="163">
        <v>2543</v>
      </c>
      <c r="N1091" s="163">
        <v>788</v>
      </c>
      <c r="O1091" s="163">
        <v>100924</v>
      </c>
      <c r="P1091" s="163">
        <v>50393.94</v>
      </c>
      <c r="Q1091" s="163">
        <v>19.816728273999999</v>
      </c>
      <c r="R1091" s="163">
        <v>0.49932563120000001</v>
      </c>
      <c r="S1091" s="161">
        <v>39.686983877000003</v>
      </c>
      <c r="T1091">
        <f t="shared" si="33"/>
        <v>1.4727451916249312E-5</v>
      </c>
    </row>
    <row r="1092" spans="2:20">
      <c r="B1092" s="163" t="s">
        <v>1477</v>
      </c>
      <c r="C1092" s="163" t="s">
        <v>1478</v>
      </c>
      <c r="D1092" s="163" t="s">
        <v>1370</v>
      </c>
      <c r="E1092" s="163" t="s">
        <v>853</v>
      </c>
      <c r="F1092" s="163" t="s">
        <v>1363</v>
      </c>
      <c r="G1092" s="163">
        <v>4</v>
      </c>
      <c r="H1092" s="163">
        <v>7</v>
      </c>
      <c r="I1092" s="163">
        <v>2</v>
      </c>
      <c r="J1092" s="163">
        <v>0</v>
      </c>
      <c r="K1092" s="163">
        <v>1</v>
      </c>
      <c r="L1092" s="163">
        <v>3</v>
      </c>
      <c r="M1092" s="163">
        <v>1404</v>
      </c>
      <c r="N1092" s="163">
        <v>741</v>
      </c>
      <c r="O1092" s="163">
        <v>45637</v>
      </c>
      <c r="P1092" s="163">
        <v>34181.17</v>
      </c>
      <c r="Q1092" s="163">
        <v>24.345562678</v>
      </c>
      <c r="R1092" s="163">
        <v>0.74897933689999996</v>
      </c>
      <c r="S1092" s="161">
        <v>32.504985755</v>
      </c>
      <c r="T1092">
        <f t="shared" si="33"/>
        <v>6.6596322292206992E-6</v>
      </c>
    </row>
    <row r="1093" spans="2:20">
      <c r="B1093" s="163" t="s">
        <v>1479</v>
      </c>
      <c r="C1093" s="163" t="s">
        <v>1480</v>
      </c>
      <c r="D1093" s="163" t="s">
        <v>1370</v>
      </c>
      <c r="E1093" s="163" t="s">
        <v>853</v>
      </c>
      <c r="F1093" s="163" t="s">
        <v>1363</v>
      </c>
      <c r="G1093" s="163">
        <v>4</v>
      </c>
      <c r="H1093" s="163">
        <v>7</v>
      </c>
      <c r="I1093" s="163">
        <v>2</v>
      </c>
      <c r="J1093" s="163">
        <v>0</v>
      </c>
      <c r="K1093" s="163">
        <v>1</v>
      </c>
      <c r="L1093" s="163">
        <v>3</v>
      </c>
      <c r="M1093" s="163">
        <v>477</v>
      </c>
      <c r="N1093" s="163">
        <v>0</v>
      </c>
      <c r="O1093" s="163">
        <v>33128</v>
      </c>
      <c r="P1093" s="163">
        <v>3997.62</v>
      </c>
      <c r="Q1093" s="163">
        <v>8.3807547170000003</v>
      </c>
      <c r="R1093" s="163">
        <v>0.1206719391</v>
      </c>
      <c r="S1093" s="161">
        <v>69.450733752999994</v>
      </c>
      <c r="T1093">
        <f t="shared" si="33"/>
        <v>4.8342418758819237E-6</v>
      </c>
    </row>
    <row r="1094" spans="2:20">
      <c r="B1094" s="163" t="s">
        <v>1481</v>
      </c>
      <c r="C1094" s="163" t="s">
        <v>1482</v>
      </c>
      <c r="D1094" s="163" t="s">
        <v>1370</v>
      </c>
      <c r="E1094" s="163" t="s">
        <v>853</v>
      </c>
      <c r="F1094" s="163" t="s">
        <v>1363</v>
      </c>
      <c r="G1094" s="163">
        <v>4</v>
      </c>
      <c r="H1094" s="163">
        <v>7</v>
      </c>
      <c r="I1094" s="163">
        <v>2</v>
      </c>
      <c r="J1094" s="163">
        <v>0</v>
      </c>
      <c r="K1094" s="163">
        <v>1</v>
      </c>
      <c r="L1094" s="163">
        <v>3</v>
      </c>
      <c r="M1094" s="163">
        <v>833</v>
      </c>
      <c r="N1094" s="163">
        <v>0</v>
      </c>
      <c r="O1094" s="163">
        <v>57195</v>
      </c>
      <c r="P1094" s="163">
        <v>13794.65</v>
      </c>
      <c r="Q1094" s="163">
        <v>16.560204081999998</v>
      </c>
      <c r="R1094" s="163">
        <v>0.24118629250000001</v>
      </c>
      <c r="S1094" s="161">
        <v>68.661464585999994</v>
      </c>
      <c r="T1094">
        <f t="shared" si="33"/>
        <v>8.3462468030387173E-6</v>
      </c>
    </row>
    <row r="1095" spans="2:20">
      <c r="B1095" s="163" t="s">
        <v>1483</v>
      </c>
      <c r="C1095" s="163" t="s">
        <v>1484</v>
      </c>
      <c r="D1095" s="163" t="s">
        <v>1370</v>
      </c>
      <c r="E1095" s="163" t="s">
        <v>853</v>
      </c>
      <c r="F1095" s="163" t="s">
        <v>1363</v>
      </c>
      <c r="G1095" s="163">
        <v>4</v>
      </c>
      <c r="H1095" s="163">
        <v>7</v>
      </c>
      <c r="I1095" s="163">
        <v>2</v>
      </c>
      <c r="J1095" s="163">
        <v>0</v>
      </c>
      <c r="K1095" s="163">
        <v>1</v>
      </c>
      <c r="L1095" s="163">
        <v>3</v>
      </c>
      <c r="M1095" s="163">
        <v>211</v>
      </c>
      <c r="N1095" s="163">
        <v>0</v>
      </c>
      <c r="O1095" s="163">
        <v>12364</v>
      </c>
      <c r="P1095" s="163">
        <v>4473.62</v>
      </c>
      <c r="Q1095" s="163">
        <v>21.201990520999999</v>
      </c>
      <c r="R1095" s="163">
        <v>0.36182626979999999</v>
      </c>
      <c r="S1095" s="161">
        <v>58.597156398000003</v>
      </c>
      <c r="T1095">
        <f t="shared" si="33"/>
        <v>1.8042310599312997E-6</v>
      </c>
    </row>
    <row r="1096" spans="2:20">
      <c r="B1096" s="163" t="s">
        <v>1485</v>
      </c>
      <c r="C1096" s="163" t="s">
        <v>1486</v>
      </c>
      <c r="D1096" s="163" t="s">
        <v>1370</v>
      </c>
      <c r="E1096" s="163" t="s">
        <v>853</v>
      </c>
      <c r="F1096" s="163" t="s">
        <v>1363</v>
      </c>
      <c r="G1096" s="163">
        <v>4</v>
      </c>
      <c r="H1096" s="163">
        <v>7</v>
      </c>
      <c r="I1096" s="163">
        <v>2</v>
      </c>
      <c r="J1096" s="163">
        <v>0</v>
      </c>
      <c r="K1096" s="163">
        <v>1</v>
      </c>
      <c r="L1096" s="163">
        <v>3</v>
      </c>
      <c r="M1096" s="163">
        <v>465</v>
      </c>
      <c r="N1096" s="163">
        <v>0</v>
      </c>
      <c r="O1096" s="163">
        <v>27380</v>
      </c>
      <c r="P1096" s="163">
        <v>13201.67</v>
      </c>
      <c r="Q1096" s="163">
        <v>28.390688172000001</v>
      </c>
      <c r="R1096" s="163">
        <v>0.4821647188</v>
      </c>
      <c r="S1096" s="161">
        <v>58.881720430000001</v>
      </c>
      <c r="T1096">
        <f t="shared" si="33"/>
        <v>3.9954582999772716E-6</v>
      </c>
    </row>
    <row r="1097" spans="2:20">
      <c r="B1097" s="163" t="s">
        <v>1487</v>
      </c>
      <c r="C1097" s="163" t="s">
        <v>1488</v>
      </c>
      <c r="D1097" s="163" t="s">
        <v>1370</v>
      </c>
      <c r="E1097" s="163" t="s">
        <v>853</v>
      </c>
      <c r="F1097" s="163" t="s">
        <v>1363</v>
      </c>
      <c r="G1097" s="163">
        <v>4</v>
      </c>
      <c r="H1097" s="163">
        <v>7</v>
      </c>
      <c r="I1097" s="163">
        <v>2</v>
      </c>
      <c r="J1097" s="163">
        <v>0</v>
      </c>
      <c r="K1097" s="163">
        <v>1</v>
      </c>
      <c r="L1097" s="163">
        <v>3</v>
      </c>
      <c r="M1097" s="163">
        <v>63730</v>
      </c>
      <c r="N1097" s="163">
        <v>2297</v>
      </c>
      <c r="O1097" s="163">
        <v>4128457</v>
      </c>
      <c r="P1097" s="163">
        <v>480238.41</v>
      </c>
      <c r="Q1097" s="163">
        <v>7.5355156127000003</v>
      </c>
      <c r="R1097" s="163">
        <v>0.1163239462</v>
      </c>
      <c r="S1097" s="161">
        <v>64.780433076999998</v>
      </c>
      <c r="T1097">
        <f t="shared" si="33"/>
        <v>6.0244988264241295E-4</v>
      </c>
    </row>
    <row r="1098" spans="2:20">
      <c r="B1098" s="163" t="s">
        <v>1489</v>
      </c>
      <c r="C1098" s="163" t="s">
        <v>1490</v>
      </c>
      <c r="D1098" s="163" t="s">
        <v>1370</v>
      </c>
      <c r="E1098" s="163" t="s">
        <v>853</v>
      </c>
      <c r="F1098" s="163" t="s">
        <v>1363</v>
      </c>
      <c r="G1098" s="163">
        <v>4</v>
      </c>
      <c r="H1098" s="163">
        <v>7</v>
      </c>
      <c r="I1098" s="163">
        <v>2</v>
      </c>
      <c r="J1098" s="163">
        <v>0</v>
      </c>
      <c r="K1098" s="163">
        <v>1</v>
      </c>
      <c r="L1098" s="163">
        <v>3</v>
      </c>
      <c r="M1098" s="163">
        <v>14866</v>
      </c>
      <c r="N1098" s="163">
        <v>447</v>
      </c>
      <c r="O1098" s="163">
        <v>781706</v>
      </c>
      <c r="P1098" s="163">
        <v>136540.13</v>
      </c>
      <c r="Q1098" s="163">
        <v>9.1847255481999994</v>
      </c>
      <c r="R1098" s="163">
        <v>0.1746694154</v>
      </c>
      <c r="S1098" s="161">
        <v>52.583479079999996</v>
      </c>
      <c r="T1098">
        <f t="shared" si="33"/>
        <v>1.1407135594748112E-4</v>
      </c>
    </row>
    <row r="1099" spans="2:20">
      <c r="B1099" s="163" t="s">
        <v>1491</v>
      </c>
      <c r="C1099" s="163" t="s">
        <v>1492</v>
      </c>
      <c r="D1099" s="163" t="s">
        <v>1370</v>
      </c>
      <c r="E1099" s="163" t="s">
        <v>853</v>
      </c>
      <c r="F1099" s="163" t="s">
        <v>1363</v>
      </c>
      <c r="G1099" s="163">
        <v>4</v>
      </c>
      <c r="H1099" s="163">
        <v>7</v>
      </c>
      <c r="I1099" s="163">
        <v>2</v>
      </c>
      <c r="J1099" s="163">
        <v>0</v>
      </c>
      <c r="K1099" s="163">
        <v>1</v>
      </c>
      <c r="L1099" s="163">
        <v>3</v>
      </c>
      <c r="M1099" s="163">
        <v>33517</v>
      </c>
      <c r="N1099" s="163">
        <v>991</v>
      </c>
      <c r="O1099" s="163">
        <v>1775802</v>
      </c>
      <c r="P1099" s="163">
        <v>422649.87</v>
      </c>
      <c r="Q1099" s="163">
        <v>12.610014917999999</v>
      </c>
      <c r="R1099" s="163">
        <v>0.2380050648</v>
      </c>
      <c r="S1099" s="161">
        <v>52.982128471999999</v>
      </c>
      <c r="T1099">
        <f t="shared" si="33"/>
        <v>2.5913596932126515E-4</v>
      </c>
    </row>
    <row r="1100" spans="2:20">
      <c r="B1100" s="163" t="s">
        <v>1493</v>
      </c>
      <c r="C1100" s="163" t="s">
        <v>1494</v>
      </c>
      <c r="D1100" s="163" t="s">
        <v>1370</v>
      </c>
      <c r="E1100" s="163" t="s">
        <v>853</v>
      </c>
      <c r="F1100" s="163" t="s">
        <v>1363</v>
      </c>
      <c r="G1100" s="163">
        <v>4</v>
      </c>
      <c r="H1100" s="163">
        <v>7</v>
      </c>
      <c r="I1100" s="163">
        <v>2</v>
      </c>
      <c r="J1100" s="163">
        <v>0</v>
      </c>
      <c r="K1100" s="163">
        <v>1</v>
      </c>
      <c r="L1100" s="163">
        <v>3</v>
      </c>
      <c r="M1100" s="163">
        <v>6505</v>
      </c>
      <c r="N1100" s="163">
        <v>6307</v>
      </c>
      <c r="O1100" s="163">
        <v>434484</v>
      </c>
      <c r="P1100" s="163">
        <v>124626.48</v>
      </c>
      <c r="Q1100" s="163">
        <v>19.158567256000001</v>
      </c>
      <c r="R1100" s="163">
        <v>0.2868379043</v>
      </c>
      <c r="S1100" s="161">
        <v>66.792313605000004</v>
      </c>
      <c r="T1100">
        <f t="shared" si="33"/>
        <v>6.3402582323130932E-5</v>
      </c>
    </row>
    <row r="1101" spans="2:20">
      <c r="B1101" s="163" t="s">
        <v>1495</v>
      </c>
      <c r="C1101" s="163" t="s">
        <v>1496</v>
      </c>
      <c r="D1101" s="163" t="s">
        <v>1370</v>
      </c>
      <c r="E1101" s="163" t="s">
        <v>853</v>
      </c>
      <c r="F1101" s="163" t="s">
        <v>1363</v>
      </c>
      <c r="G1101" s="163">
        <v>4</v>
      </c>
      <c r="H1101" s="163">
        <v>7</v>
      </c>
      <c r="I1101" s="163">
        <v>2</v>
      </c>
      <c r="J1101" s="163">
        <v>0</v>
      </c>
      <c r="K1101" s="163">
        <v>1</v>
      </c>
      <c r="L1101" s="163">
        <v>3</v>
      </c>
      <c r="M1101" s="163">
        <v>876</v>
      </c>
      <c r="N1101" s="163">
        <v>851</v>
      </c>
      <c r="O1101" s="163">
        <v>52448</v>
      </c>
      <c r="P1101" s="163">
        <v>22570.5</v>
      </c>
      <c r="Q1101" s="163">
        <v>25.765410959</v>
      </c>
      <c r="R1101" s="163">
        <v>0.43034052779999998</v>
      </c>
      <c r="S1101" s="161">
        <v>59.872146119</v>
      </c>
      <c r="T1101">
        <f t="shared" si="33"/>
        <v>7.6535353147263685E-6</v>
      </c>
    </row>
    <row r="1102" spans="2:20">
      <c r="B1102" s="163" t="s">
        <v>1497</v>
      </c>
      <c r="C1102" s="163" t="s">
        <v>1498</v>
      </c>
      <c r="D1102" s="163" t="s">
        <v>1370</v>
      </c>
      <c r="E1102" s="163" t="s">
        <v>853</v>
      </c>
      <c r="F1102" s="163" t="s">
        <v>1363</v>
      </c>
      <c r="G1102" s="163">
        <v>4</v>
      </c>
      <c r="H1102" s="163">
        <v>7</v>
      </c>
      <c r="I1102" s="163">
        <v>2</v>
      </c>
      <c r="J1102" s="163">
        <v>0</v>
      </c>
      <c r="K1102" s="163">
        <v>1</v>
      </c>
      <c r="L1102" s="163">
        <v>3</v>
      </c>
      <c r="M1102" s="163">
        <v>1794</v>
      </c>
      <c r="N1102" s="163">
        <v>1658</v>
      </c>
      <c r="O1102" s="163">
        <v>104740</v>
      </c>
      <c r="P1102" s="163">
        <v>60100.69</v>
      </c>
      <c r="Q1102" s="163">
        <v>33.500942029000001</v>
      </c>
      <c r="R1102" s="163">
        <v>0.57380838270000001</v>
      </c>
      <c r="S1102" s="161">
        <v>58.383500556999998</v>
      </c>
      <c r="T1102">
        <f t="shared" si="33"/>
        <v>1.5284306148269521E-5</v>
      </c>
    </row>
    <row r="1103" spans="2:20">
      <c r="B1103" s="163" t="s">
        <v>1499</v>
      </c>
      <c r="C1103" s="163" t="s">
        <v>1500</v>
      </c>
      <c r="D1103" s="163" t="s">
        <v>1370</v>
      </c>
      <c r="E1103" s="163" t="s">
        <v>853</v>
      </c>
      <c r="F1103" s="163" t="s">
        <v>1363</v>
      </c>
      <c r="G1103" s="163">
        <v>4</v>
      </c>
      <c r="H1103" s="163">
        <v>7</v>
      </c>
      <c r="I1103" s="163">
        <v>2</v>
      </c>
      <c r="J1103" s="163">
        <v>0</v>
      </c>
      <c r="K1103" s="163">
        <v>1</v>
      </c>
      <c r="L1103" s="163">
        <v>3</v>
      </c>
      <c r="M1103" s="163">
        <v>35</v>
      </c>
      <c r="N1103" s="163">
        <v>31</v>
      </c>
      <c r="O1103" s="163">
        <v>2528</v>
      </c>
      <c r="P1103" s="163">
        <v>420.16</v>
      </c>
      <c r="Q1103" s="163">
        <v>12.004571429</v>
      </c>
      <c r="R1103" s="163">
        <v>0.16620253160000001</v>
      </c>
      <c r="S1103" s="161">
        <v>72.228571428999999</v>
      </c>
      <c r="T1103">
        <f t="shared" si="33"/>
        <v>3.689013360972441E-7</v>
      </c>
    </row>
    <row r="1104" spans="2:20">
      <c r="B1104" s="163" t="s">
        <v>1501</v>
      </c>
      <c r="C1104" s="163" t="s">
        <v>1502</v>
      </c>
      <c r="D1104" s="163" t="s">
        <v>1370</v>
      </c>
      <c r="E1104" s="163" t="s">
        <v>853</v>
      </c>
      <c r="F1104" s="163" t="s">
        <v>1363</v>
      </c>
      <c r="G1104" s="163">
        <v>4</v>
      </c>
      <c r="H1104" s="163">
        <v>7</v>
      </c>
      <c r="I1104" s="163">
        <v>2</v>
      </c>
      <c r="J1104" s="163">
        <v>0</v>
      </c>
      <c r="K1104" s="163">
        <v>1</v>
      </c>
      <c r="L1104" s="163">
        <v>3</v>
      </c>
      <c r="M1104" s="163">
        <v>11</v>
      </c>
      <c r="N1104" s="163">
        <v>10</v>
      </c>
      <c r="O1104" s="163">
        <v>532</v>
      </c>
      <c r="P1104" s="163">
        <v>204.24</v>
      </c>
      <c r="Q1104" s="163">
        <v>18.567272726999999</v>
      </c>
      <c r="R1104" s="163">
        <v>0.38390977440000001</v>
      </c>
      <c r="S1104" s="161">
        <v>48.363636364000001</v>
      </c>
      <c r="T1104">
        <f t="shared" si="33"/>
        <v>7.7632717881223839E-8</v>
      </c>
    </row>
    <row r="1105" spans="2:20">
      <c r="B1105" s="163" t="s">
        <v>1503</v>
      </c>
      <c r="C1105" s="163" t="s">
        <v>1504</v>
      </c>
      <c r="D1105" s="163" t="s">
        <v>1370</v>
      </c>
      <c r="E1105" s="163" t="s">
        <v>853</v>
      </c>
      <c r="F1105" s="163" t="s">
        <v>1363</v>
      </c>
      <c r="G1105" s="163">
        <v>4</v>
      </c>
      <c r="H1105" s="163">
        <v>7</v>
      </c>
      <c r="I1105" s="163">
        <v>2</v>
      </c>
      <c r="J1105" s="163">
        <v>0</v>
      </c>
      <c r="K1105" s="163">
        <v>1</v>
      </c>
      <c r="L1105" s="163">
        <v>3</v>
      </c>
      <c r="M1105" s="163">
        <v>13</v>
      </c>
      <c r="N1105" s="163">
        <v>7</v>
      </c>
      <c r="O1105" s="163">
        <v>720</v>
      </c>
      <c r="P1105" s="163">
        <v>198.71</v>
      </c>
      <c r="Q1105" s="163">
        <v>15.285384615</v>
      </c>
      <c r="R1105" s="163">
        <v>0.27598611109999999</v>
      </c>
      <c r="S1105" s="161">
        <v>55.384615384999996</v>
      </c>
      <c r="T1105">
        <f t="shared" si="33"/>
        <v>1.0506683623022775E-7</v>
      </c>
    </row>
    <row r="1106" spans="2:20">
      <c r="B1106" s="163" t="s">
        <v>1505</v>
      </c>
      <c r="C1106" s="163" t="s">
        <v>1506</v>
      </c>
      <c r="D1106" s="163" t="s">
        <v>1370</v>
      </c>
      <c r="E1106" s="163" t="s">
        <v>853</v>
      </c>
      <c r="F1106" s="163" t="s">
        <v>1363</v>
      </c>
      <c r="G1106" s="163">
        <v>4</v>
      </c>
      <c r="H1106" s="163">
        <v>7</v>
      </c>
      <c r="I1106" s="163">
        <v>2</v>
      </c>
      <c r="J1106" s="163">
        <v>0</v>
      </c>
      <c r="K1106" s="163">
        <v>1</v>
      </c>
      <c r="L1106" s="163">
        <v>3</v>
      </c>
      <c r="M1106" s="163">
        <v>93702</v>
      </c>
      <c r="N1106" s="163">
        <v>3694</v>
      </c>
      <c r="O1106" s="163">
        <v>4955419</v>
      </c>
      <c r="P1106" s="163">
        <v>1171854.0900000001</v>
      </c>
      <c r="Q1106" s="163">
        <v>12.506180124</v>
      </c>
      <c r="R1106" s="163">
        <v>0.23647931489999999</v>
      </c>
      <c r="S1106" s="161">
        <v>52.884879724999998</v>
      </c>
      <c r="T1106">
        <f t="shared" si="33"/>
        <v>7.2312527295160969E-4</v>
      </c>
    </row>
    <row r="1107" spans="2:20">
      <c r="B1107" s="163" t="s">
        <v>1507</v>
      </c>
      <c r="C1107" s="163" t="s">
        <v>1508</v>
      </c>
      <c r="D1107" s="163" t="s">
        <v>1370</v>
      </c>
      <c r="E1107" s="163" t="s">
        <v>853</v>
      </c>
      <c r="F1107" s="163" t="s">
        <v>1363</v>
      </c>
      <c r="G1107" s="163">
        <v>4</v>
      </c>
      <c r="H1107" s="163">
        <v>7</v>
      </c>
      <c r="I1107" s="163">
        <v>2</v>
      </c>
      <c r="J1107" s="163">
        <v>0</v>
      </c>
      <c r="K1107" s="163">
        <v>1</v>
      </c>
      <c r="L1107" s="163">
        <v>3</v>
      </c>
      <c r="M1107" s="163">
        <v>40166</v>
      </c>
      <c r="N1107" s="163">
        <v>1861</v>
      </c>
      <c r="O1107" s="163">
        <v>2087536</v>
      </c>
      <c r="P1107" s="163">
        <v>361510.9</v>
      </c>
      <c r="Q1107" s="163">
        <v>9.0004207539000003</v>
      </c>
      <c r="R1107" s="163">
        <v>0.1731758877</v>
      </c>
      <c r="S1107" s="161">
        <v>51.972713239999997</v>
      </c>
      <c r="T1107">
        <f t="shared" si="33"/>
        <v>3.0462611532875653E-4</v>
      </c>
    </row>
    <row r="1108" spans="2:20">
      <c r="B1108" s="163" t="s">
        <v>1509</v>
      </c>
      <c r="C1108" s="163" t="s">
        <v>1510</v>
      </c>
      <c r="D1108" s="163" t="s">
        <v>1370</v>
      </c>
      <c r="E1108" s="163" t="s">
        <v>853</v>
      </c>
      <c r="F1108" s="163" t="s">
        <v>1363</v>
      </c>
      <c r="G1108" s="163">
        <v>4</v>
      </c>
      <c r="H1108" s="163">
        <v>7</v>
      </c>
      <c r="I1108" s="163">
        <v>2</v>
      </c>
      <c r="J1108" s="163">
        <v>0</v>
      </c>
      <c r="K1108" s="163">
        <v>1</v>
      </c>
      <c r="L1108" s="163">
        <v>3</v>
      </c>
      <c r="M1108" s="163">
        <v>203601</v>
      </c>
      <c r="N1108" s="163">
        <v>10657</v>
      </c>
      <c r="O1108" s="163">
        <v>13114252</v>
      </c>
      <c r="P1108" s="163">
        <v>1516952.81</v>
      </c>
      <c r="Q1108" s="163">
        <v>7.4506157140999996</v>
      </c>
      <c r="R1108" s="163">
        <v>0.11567208029999999</v>
      </c>
      <c r="S1108" s="161">
        <v>64.411530395</v>
      </c>
      <c r="T1108">
        <f t="shared" si="33"/>
        <v>1.9137124543971342E-3</v>
      </c>
    </row>
    <row r="1109" spans="2:20">
      <c r="B1109" s="163" t="s">
        <v>1511</v>
      </c>
      <c r="C1109" s="163" t="s">
        <v>1512</v>
      </c>
      <c r="D1109" s="163" t="s">
        <v>1370</v>
      </c>
      <c r="E1109" s="163" t="s">
        <v>853</v>
      </c>
      <c r="F1109" s="163" t="s">
        <v>1363</v>
      </c>
      <c r="G1109" s="163">
        <v>4</v>
      </c>
      <c r="H1109" s="163">
        <v>7</v>
      </c>
      <c r="I1109" s="163">
        <v>2</v>
      </c>
      <c r="J1109" s="163">
        <v>0</v>
      </c>
      <c r="K1109" s="163">
        <v>1</v>
      </c>
      <c r="L1109" s="163">
        <v>3</v>
      </c>
      <c r="M1109" s="163">
        <v>13781</v>
      </c>
      <c r="N1109" s="163">
        <v>0</v>
      </c>
      <c r="O1109" s="163">
        <v>976044</v>
      </c>
      <c r="P1109" s="163">
        <v>74022.02</v>
      </c>
      <c r="Q1109" s="163">
        <v>5.3713097743000002</v>
      </c>
      <c r="R1109" s="163">
        <v>7.5838814599999999E-2</v>
      </c>
      <c r="S1109" s="161">
        <v>70.825339235000001</v>
      </c>
      <c r="T1109">
        <f t="shared" si="33"/>
        <v>1.4243035430763391E-4</v>
      </c>
    </row>
    <row r="1110" spans="2:20">
      <c r="B1110" s="163" t="s">
        <v>1513</v>
      </c>
      <c r="C1110" s="163" t="s">
        <v>1514</v>
      </c>
      <c r="D1110" s="163" t="s">
        <v>1370</v>
      </c>
      <c r="E1110" s="163" t="s">
        <v>853</v>
      </c>
      <c r="F1110" s="163" t="s">
        <v>1363</v>
      </c>
      <c r="G1110" s="163">
        <v>4</v>
      </c>
      <c r="H1110" s="163">
        <v>7</v>
      </c>
      <c r="I1110" s="163">
        <v>2</v>
      </c>
      <c r="J1110" s="163">
        <v>0</v>
      </c>
      <c r="K1110" s="163">
        <v>1</v>
      </c>
      <c r="L1110" s="163">
        <v>3</v>
      </c>
      <c r="M1110" s="163">
        <v>9298</v>
      </c>
      <c r="N1110" s="163">
        <v>0</v>
      </c>
      <c r="O1110" s="163">
        <v>622574</v>
      </c>
      <c r="P1110" s="163">
        <v>125967.02</v>
      </c>
      <c r="Q1110" s="163">
        <v>13.547754356</v>
      </c>
      <c r="R1110" s="163">
        <v>0.20233260619999999</v>
      </c>
      <c r="S1110" s="161">
        <v>66.957840395999995</v>
      </c>
      <c r="T1110">
        <f t="shared" si="33"/>
        <v>9.084983402666362E-5</v>
      </c>
    </row>
    <row r="1111" spans="2:20">
      <c r="B1111" s="163" t="s">
        <v>1515</v>
      </c>
      <c r="C1111" s="163" t="s">
        <v>1516</v>
      </c>
      <c r="D1111" s="163" t="s">
        <v>1370</v>
      </c>
      <c r="E1111" s="163" t="s">
        <v>853</v>
      </c>
      <c r="F1111" s="163" t="s">
        <v>1363</v>
      </c>
      <c r="G1111" s="163">
        <v>4</v>
      </c>
      <c r="H1111" s="163">
        <v>7</v>
      </c>
      <c r="I1111" s="163">
        <v>2</v>
      </c>
      <c r="J1111" s="163">
        <v>0</v>
      </c>
      <c r="K1111" s="163">
        <v>1</v>
      </c>
      <c r="L1111" s="163">
        <v>3</v>
      </c>
      <c r="M1111" s="163">
        <v>2461</v>
      </c>
      <c r="N1111" s="163">
        <v>0</v>
      </c>
      <c r="O1111" s="163">
        <v>109693</v>
      </c>
      <c r="P1111" s="163">
        <v>33295.99</v>
      </c>
      <c r="Q1111" s="163">
        <v>13.529455506</v>
      </c>
      <c r="R1111" s="163">
        <v>0.30353796500000002</v>
      </c>
      <c r="S1111" s="161">
        <v>44.572531490999999</v>
      </c>
      <c r="T1111">
        <f t="shared" si="33"/>
        <v>1.6007078425836627E-5</v>
      </c>
    </row>
    <row r="1112" spans="2:20">
      <c r="B1112" s="163" t="s">
        <v>1517</v>
      </c>
      <c r="C1112" s="163" t="s">
        <v>1518</v>
      </c>
      <c r="D1112" s="163" t="s">
        <v>1370</v>
      </c>
      <c r="E1112" s="163" t="s">
        <v>853</v>
      </c>
      <c r="F1112" s="163" t="s">
        <v>1363</v>
      </c>
      <c r="G1112" s="163">
        <v>4</v>
      </c>
      <c r="H1112" s="163">
        <v>7</v>
      </c>
      <c r="I1112" s="163">
        <v>2</v>
      </c>
      <c r="J1112" s="163">
        <v>0</v>
      </c>
      <c r="K1112" s="163">
        <v>1</v>
      </c>
      <c r="L1112" s="163">
        <v>3</v>
      </c>
      <c r="M1112" s="163">
        <v>4993</v>
      </c>
      <c r="N1112" s="163">
        <v>0</v>
      </c>
      <c r="O1112" s="163">
        <v>259831</v>
      </c>
      <c r="P1112" s="163">
        <v>105145.86</v>
      </c>
      <c r="Q1112" s="163">
        <v>21.058654116</v>
      </c>
      <c r="R1112" s="163">
        <v>0.4046701895</v>
      </c>
      <c r="S1112" s="161">
        <v>52.039054677000003</v>
      </c>
      <c r="T1112">
        <f t="shared" si="33"/>
        <v>3.7916140450744867E-5</v>
      </c>
    </row>
    <row r="1113" spans="2:20">
      <c r="B1113" s="163" t="s">
        <v>1519</v>
      </c>
      <c r="C1113" s="163" t="s">
        <v>1520</v>
      </c>
      <c r="D1113" s="163" t="s">
        <v>1370</v>
      </c>
      <c r="E1113" s="163" t="s">
        <v>853</v>
      </c>
      <c r="F1113" s="163" t="s">
        <v>1363</v>
      </c>
      <c r="G1113" s="163">
        <v>4</v>
      </c>
      <c r="H1113" s="163">
        <v>7</v>
      </c>
      <c r="I1113" s="163">
        <v>2</v>
      </c>
      <c r="J1113" s="163">
        <v>0</v>
      </c>
      <c r="K1113" s="163">
        <v>1</v>
      </c>
      <c r="L1113" s="163">
        <v>3</v>
      </c>
      <c r="M1113" s="163">
        <v>978</v>
      </c>
      <c r="N1113" s="163">
        <v>972</v>
      </c>
      <c r="O1113" s="163">
        <v>67982</v>
      </c>
      <c r="P1113" s="163">
        <v>21301.02</v>
      </c>
      <c r="Q1113" s="163">
        <v>21.780184048999999</v>
      </c>
      <c r="R1113" s="163">
        <v>0.31333323530000001</v>
      </c>
      <c r="S1113" s="161">
        <v>69.511247444000006</v>
      </c>
      <c r="T1113">
        <f t="shared" si="33"/>
        <v>9.920352306393531E-6</v>
      </c>
    </row>
    <row r="1114" spans="2:20">
      <c r="B1114" s="163" t="s">
        <v>1521</v>
      </c>
      <c r="C1114" s="163" t="s">
        <v>1522</v>
      </c>
      <c r="D1114" s="163" t="s">
        <v>1370</v>
      </c>
      <c r="E1114" s="163" t="s">
        <v>853</v>
      </c>
      <c r="F1114" s="163" t="s">
        <v>1363</v>
      </c>
      <c r="G1114" s="163">
        <v>4</v>
      </c>
      <c r="H1114" s="163">
        <v>7</v>
      </c>
      <c r="I1114" s="163">
        <v>2</v>
      </c>
      <c r="J1114" s="163">
        <v>0</v>
      </c>
      <c r="K1114" s="163">
        <v>1</v>
      </c>
      <c r="L1114" s="163">
        <v>3</v>
      </c>
      <c r="M1114" s="163">
        <v>92</v>
      </c>
      <c r="N1114" s="163">
        <v>90</v>
      </c>
      <c r="O1114" s="163">
        <v>5880</v>
      </c>
      <c r="P1114" s="163">
        <v>2764.59</v>
      </c>
      <c r="Q1114" s="163">
        <v>30.049891303999999</v>
      </c>
      <c r="R1114" s="163">
        <v>0.4701683673</v>
      </c>
      <c r="S1114" s="161">
        <v>63.913043477999999</v>
      </c>
      <c r="T1114">
        <f t="shared" si="33"/>
        <v>8.5804582921352662E-7</v>
      </c>
    </row>
    <row r="1115" spans="2:20">
      <c r="B1115" s="163" t="s">
        <v>1523</v>
      </c>
      <c r="C1115" s="163" t="s">
        <v>1524</v>
      </c>
      <c r="D1115" s="163" t="s">
        <v>1370</v>
      </c>
      <c r="E1115" s="163" t="s">
        <v>853</v>
      </c>
      <c r="F1115" s="163" t="s">
        <v>1363</v>
      </c>
      <c r="G1115" s="163">
        <v>4</v>
      </c>
      <c r="H1115" s="163">
        <v>7</v>
      </c>
      <c r="I1115" s="163">
        <v>2</v>
      </c>
      <c r="J1115" s="163">
        <v>0</v>
      </c>
      <c r="K1115" s="163">
        <v>1</v>
      </c>
      <c r="L1115" s="163">
        <v>3</v>
      </c>
      <c r="M1115" s="163">
        <v>219</v>
      </c>
      <c r="N1115" s="163">
        <v>216</v>
      </c>
      <c r="O1115" s="163">
        <v>12704</v>
      </c>
      <c r="P1115" s="163">
        <v>7965.32</v>
      </c>
      <c r="Q1115" s="163">
        <v>36.371324201</v>
      </c>
      <c r="R1115" s="163">
        <v>0.62699307299999996</v>
      </c>
      <c r="S1115" s="161">
        <v>58.00913242</v>
      </c>
      <c r="T1115">
        <f t="shared" si="33"/>
        <v>1.8538459548177963E-6</v>
      </c>
    </row>
    <row r="1116" spans="2:20">
      <c r="B1116" s="163" t="s">
        <v>1525</v>
      </c>
      <c r="C1116" s="163" t="s">
        <v>1526</v>
      </c>
      <c r="D1116" s="163" t="s">
        <v>1370</v>
      </c>
      <c r="E1116" s="163" t="s">
        <v>853</v>
      </c>
      <c r="F1116" s="163" t="s">
        <v>1363</v>
      </c>
      <c r="G1116" s="163">
        <v>4</v>
      </c>
      <c r="H1116" s="163">
        <v>7</v>
      </c>
      <c r="I1116" s="163">
        <v>2</v>
      </c>
      <c r="J1116" s="163">
        <v>0</v>
      </c>
      <c r="K1116" s="163">
        <v>1</v>
      </c>
      <c r="L1116" s="163">
        <v>3</v>
      </c>
      <c r="M1116" s="163">
        <v>5268</v>
      </c>
      <c r="N1116" s="163">
        <v>5141</v>
      </c>
      <c r="O1116" s="163">
        <v>332848</v>
      </c>
      <c r="P1116" s="163">
        <v>86095.81</v>
      </c>
      <c r="Q1116" s="163">
        <v>16.343168185</v>
      </c>
      <c r="R1116" s="163">
        <v>0.25866404479999999</v>
      </c>
      <c r="S1116" s="161">
        <v>63.182991647999998</v>
      </c>
      <c r="T1116">
        <f t="shared" si="33"/>
        <v>4.8571230979942841E-5</v>
      </c>
    </row>
    <row r="1117" spans="2:20">
      <c r="B1117" s="163" t="s">
        <v>1527</v>
      </c>
      <c r="C1117" s="163" t="s">
        <v>1528</v>
      </c>
      <c r="D1117" s="163" t="s">
        <v>1370</v>
      </c>
      <c r="E1117" s="163" t="s">
        <v>853</v>
      </c>
      <c r="F1117" s="163" t="s">
        <v>1363</v>
      </c>
      <c r="G1117" s="163">
        <v>4</v>
      </c>
      <c r="H1117" s="163">
        <v>7</v>
      </c>
      <c r="I1117" s="163">
        <v>2</v>
      </c>
      <c r="J1117" s="163">
        <v>0</v>
      </c>
      <c r="K1117" s="163">
        <v>1</v>
      </c>
      <c r="L1117" s="163">
        <v>3</v>
      </c>
      <c r="M1117" s="163">
        <v>448</v>
      </c>
      <c r="N1117" s="163">
        <v>431</v>
      </c>
      <c r="O1117" s="163">
        <v>22340</v>
      </c>
      <c r="P1117" s="163">
        <v>8667.77</v>
      </c>
      <c r="Q1117" s="163">
        <v>19.347700892999999</v>
      </c>
      <c r="R1117" s="163">
        <v>0.38799328560000002</v>
      </c>
      <c r="S1117" s="161">
        <v>49.866071429000002</v>
      </c>
      <c r="T1117">
        <f t="shared" si="33"/>
        <v>3.2599904463656777E-6</v>
      </c>
    </row>
    <row r="1118" spans="2:20">
      <c r="B1118" s="163" t="s">
        <v>1529</v>
      </c>
      <c r="C1118" s="163" t="s">
        <v>1530</v>
      </c>
      <c r="D1118" s="163" t="s">
        <v>1370</v>
      </c>
      <c r="E1118" s="163" t="s">
        <v>853</v>
      </c>
      <c r="F1118" s="163" t="s">
        <v>1363</v>
      </c>
      <c r="G1118" s="163">
        <v>4</v>
      </c>
      <c r="H1118" s="163">
        <v>7</v>
      </c>
      <c r="I1118" s="163">
        <v>2</v>
      </c>
      <c r="J1118" s="163">
        <v>0</v>
      </c>
      <c r="K1118" s="163">
        <v>1</v>
      </c>
      <c r="L1118" s="163">
        <v>3</v>
      </c>
      <c r="M1118" s="163">
        <v>830</v>
      </c>
      <c r="N1118" s="163">
        <v>742</v>
      </c>
      <c r="O1118" s="163">
        <v>39206</v>
      </c>
      <c r="P1118" s="163">
        <v>20282.03</v>
      </c>
      <c r="Q1118" s="163">
        <v>24.436180723</v>
      </c>
      <c r="R1118" s="163">
        <v>0.51731954290000004</v>
      </c>
      <c r="S1118" s="161">
        <v>47.236144578000001</v>
      </c>
      <c r="T1118">
        <f t="shared" si="33"/>
        <v>5.7211810850587623E-6</v>
      </c>
    </row>
    <row r="1119" spans="2:20">
      <c r="B1119" s="163" t="s">
        <v>1531</v>
      </c>
      <c r="C1119" s="163" t="s">
        <v>1532</v>
      </c>
      <c r="D1119" s="163" t="s">
        <v>1370</v>
      </c>
      <c r="E1119" s="163" t="s">
        <v>853</v>
      </c>
      <c r="F1119" s="163" t="s">
        <v>1363</v>
      </c>
      <c r="G1119" s="163">
        <v>4</v>
      </c>
      <c r="H1119" s="163">
        <v>7</v>
      </c>
      <c r="I1119" s="163">
        <v>2</v>
      </c>
      <c r="J1119" s="163">
        <v>0</v>
      </c>
      <c r="K1119" s="163">
        <v>1</v>
      </c>
      <c r="L1119" s="163">
        <v>3</v>
      </c>
      <c r="M1119" s="163">
        <v>490</v>
      </c>
      <c r="N1119" s="163">
        <v>475</v>
      </c>
      <c r="O1119" s="163">
        <v>32645</v>
      </c>
      <c r="P1119" s="163">
        <v>6447.79</v>
      </c>
      <c r="Q1119" s="163">
        <v>13.158755102000001</v>
      </c>
      <c r="R1119" s="163">
        <v>0.19751232960000001</v>
      </c>
      <c r="S1119" s="161">
        <v>66.622448980000001</v>
      </c>
      <c r="T1119">
        <f t="shared" si="33"/>
        <v>4.7637595399108119E-6</v>
      </c>
    </row>
    <row r="1120" spans="2:20">
      <c r="B1120" s="163" t="s">
        <v>1533</v>
      </c>
      <c r="C1120" s="163" t="s">
        <v>1534</v>
      </c>
      <c r="D1120" s="163" t="s">
        <v>1370</v>
      </c>
      <c r="E1120" s="163" t="s">
        <v>853</v>
      </c>
      <c r="F1120" s="163" t="s">
        <v>1363</v>
      </c>
      <c r="G1120" s="163">
        <v>4</v>
      </c>
      <c r="H1120" s="163">
        <v>7</v>
      </c>
      <c r="I1120" s="163">
        <v>2</v>
      </c>
      <c r="J1120" s="163">
        <v>0</v>
      </c>
      <c r="K1120" s="163">
        <v>1</v>
      </c>
      <c r="L1120" s="163">
        <v>3</v>
      </c>
      <c r="M1120" s="163">
        <v>287</v>
      </c>
      <c r="N1120" s="163">
        <v>275</v>
      </c>
      <c r="O1120" s="163">
        <v>14502</v>
      </c>
      <c r="P1120" s="163">
        <v>4525.7700000000004</v>
      </c>
      <c r="Q1120" s="163">
        <v>15.769233449</v>
      </c>
      <c r="R1120" s="163">
        <v>0.31207902360000001</v>
      </c>
      <c r="S1120" s="161">
        <v>50.529616724999997</v>
      </c>
      <c r="T1120">
        <f t="shared" si="33"/>
        <v>2.1162211930705039E-6</v>
      </c>
    </row>
    <row r="1121" spans="2:20">
      <c r="B1121" s="163" t="s">
        <v>1535</v>
      </c>
      <c r="C1121" s="163" t="s">
        <v>1536</v>
      </c>
      <c r="D1121" s="163" t="s">
        <v>1370</v>
      </c>
      <c r="E1121" s="163" t="s">
        <v>853</v>
      </c>
      <c r="F1121" s="163" t="s">
        <v>1363</v>
      </c>
      <c r="G1121" s="163">
        <v>4</v>
      </c>
      <c r="H1121" s="163">
        <v>7</v>
      </c>
      <c r="I1121" s="163">
        <v>2</v>
      </c>
      <c r="J1121" s="163">
        <v>0</v>
      </c>
      <c r="K1121" s="163">
        <v>1</v>
      </c>
      <c r="L1121" s="163">
        <v>3</v>
      </c>
      <c r="M1121" s="163">
        <v>638</v>
      </c>
      <c r="N1121" s="163">
        <v>635</v>
      </c>
      <c r="O1121" s="163">
        <v>22456</v>
      </c>
      <c r="P1121" s="163">
        <v>10160.700000000001</v>
      </c>
      <c r="Q1121" s="163">
        <v>15.925862069000001</v>
      </c>
      <c r="R1121" s="163">
        <v>0.45247149980000001</v>
      </c>
      <c r="S1121" s="161">
        <v>35.197492163</v>
      </c>
      <c r="T1121">
        <f t="shared" si="33"/>
        <v>3.2769178810916586E-6</v>
      </c>
    </row>
    <row r="1122" spans="2:20">
      <c r="B1122" s="163" t="s">
        <v>1537</v>
      </c>
      <c r="C1122" s="163" t="s">
        <v>1538</v>
      </c>
      <c r="D1122" s="163" t="s">
        <v>1370</v>
      </c>
      <c r="E1122" s="163" t="s">
        <v>853</v>
      </c>
      <c r="F1122" s="163" t="s">
        <v>1363</v>
      </c>
      <c r="G1122" s="163">
        <v>4</v>
      </c>
      <c r="H1122" s="163">
        <v>7</v>
      </c>
      <c r="I1122" s="163">
        <v>2</v>
      </c>
      <c r="J1122" s="163">
        <v>0</v>
      </c>
      <c r="K1122" s="163">
        <v>1</v>
      </c>
      <c r="L1122" s="163">
        <v>3</v>
      </c>
      <c r="M1122" s="163">
        <v>5515</v>
      </c>
      <c r="N1122" s="163">
        <v>5335</v>
      </c>
      <c r="O1122" s="163">
        <v>326532</v>
      </c>
      <c r="P1122" s="163">
        <v>37826.050000000003</v>
      </c>
      <c r="Q1122" s="163">
        <v>6.8587579328999997</v>
      </c>
      <c r="R1122" s="163">
        <v>0.1158417858</v>
      </c>
      <c r="S1122" s="161">
        <v>59.207978240999999</v>
      </c>
      <c r="T1122">
        <f t="shared" si="33"/>
        <v>4.7649561344345455E-5</v>
      </c>
    </row>
    <row r="1123" spans="2:20">
      <c r="B1123" s="163" t="s">
        <v>1539</v>
      </c>
      <c r="C1123" s="163" t="s">
        <v>1540</v>
      </c>
      <c r="D1123" s="163" t="s">
        <v>1370</v>
      </c>
      <c r="E1123" s="163" t="s">
        <v>853</v>
      </c>
      <c r="F1123" s="163" t="s">
        <v>1363</v>
      </c>
      <c r="G1123" s="163">
        <v>4</v>
      </c>
      <c r="H1123" s="163">
        <v>7</v>
      </c>
      <c r="I1123" s="163">
        <v>2</v>
      </c>
      <c r="J1123" s="163">
        <v>0</v>
      </c>
      <c r="K1123" s="163">
        <v>1</v>
      </c>
      <c r="L1123" s="163">
        <v>3</v>
      </c>
      <c r="M1123" s="163">
        <v>808</v>
      </c>
      <c r="N1123" s="163">
        <v>794</v>
      </c>
      <c r="O1123" s="163">
        <v>39864</v>
      </c>
      <c r="P1123" s="163">
        <v>6910.19</v>
      </c>
      <c r="Q1123" s="163">
        <v>8.5522153465000006</v>
      </c>
      <c r="R1123" s="163">
        <v>0.17334411999999999</v>
      </c>
      <c r="S1123" s="161">
        <v>49.336633663000001</v>
      </c>
      <c r="T1123">
        <f t="shared" si="33"/>
        <v>5.8172004992802766E-6</v>
      </c>
    </row>
    <row r="1124" spans="2:20">
      <c r="B1124" s="163" t="s">
        <v>1541</v>
      </c>
      <c r="C1124" s="163" t="s">
        <v>1542</v>
      </c>
      <c r="D1124" s="163" t="s">
        <v>1370</v>
      </c>
      <c r="E1124" s="163" t="s">
        <v>853</v>
      </c>
      <c r="F1124" s="163" t="s">
        <v>1363</v>
      </c>
      <c r="G1124" s="163">
        <v>4</v>
      </c>
      <c r="H1124" s="163">
        <v>7</v>
      </c>
      <c r="I1124" s="163">
        <v>2</v>
      </c>
      <c r="J1124" s="163">
        <v>0</v>
      </c>
      <c r="K1124" s="163">
        <v>1</v>
      </c>
      <c r="L1124" s="163">
        <v>3</v>
      </c>
      <c r="M1124" s="163">
        <v>1475</v>
      </c>
      <c r="N1124" s="163">
        <v>1411</v>
      </c>
      <c r="O1124" s="163">
        <v>67114</v>
      </c>
      <c r="P1124" s="163">
        <v>15882.6</v>
      </c>
      <c r="Q1124" s="163">
        <v>10.767864406999999</v>
      </c>
      <c r="R1124" s="163">
        <v>0.23665107129999999</v>
      </c>
      <c r="S1124" s="161">
        <v>45.501016948999997</v>
      </c>
      <c r="T1124">
        <f t="shared" si="33"/>
        <v>9.7936883982715355E-6</v>
      </c>
    </row>
    <row r="1125" spans="2:20">
      <c r="B1125" s="163" t="s">
        <v>1543</v>
      </c>
      <c r="C1125" s="163" t="s">
        <v>1544</v>
      </c>
      <c r="D1125" s="163" t="s">
        <v>1370</v>
      </c>
      <c r="E1125" s="163" t="s">
        <v>853</v>
      </c>
      <c r="F1125" s="163" t="s">
        <v>1363</v>
      </c>
      <c r="G1125" s="163">
        <v>4</v>
      </c>
      <c r="H1125" s="163">
        <v>7</v>
      </c>
      <c r="I1125" s="163">
        <v>2</v>
      </c>
      <c r="J1125" s="163">
        <v>0</v>
      </c>
      <c r="K1125" s="163">
        <v>1</v>
      </c>
      <c r="L1125" s="163">
        <v>3</v>
      </c>
      <c r="M1125" s="163">
        <v>22</v>
      </c>
      <c r="N1125" s="163">
        <v>12</v>
      </c>
      <c r="O1125" s="163">
        <v>1492</v>
      </c>
      <c r="P1125" s="163">
        <v>258.37</v>
      </c>
      <c r="Q1125" s="163">
        <v>11.744090909000001</v>
      </c>
      <c r="R1125" s="163">
        <v>0.1731702413</v>
      </c>
      <c r="S1125" s="161">
        <v>67.818181817999999</v>
      </c>
      <c r="T1125">
        <f t="shared" si="33"/>
        <v>2.1772183285486082E-7</v>
      </c>
    </row>
    <row r="1126" spans="2:20">
      <c r="B1126" s="163" t="s">
        <v>1545</v>
      </c>
      <c r="C1126" s="163" t="s">
        <v>1546</v>
      </c>
      <c r="D1126" s="163" t="s">
        <v>1370</v>
      </c>
      <c r="E1126" s="163" t="s">
        <v>853</v>
      </c>
      <c r="F1126" s="163" t="s">
        <v>1363</v>
      </c>
      <c r="G1126" s="163">
        <v>4</v>
      </c>
      <c r="H1126" s="163">
        <v>7</v>
      </c>
      <c r="I1126" s="163">
        <v>2</v>
      </c>
      <c r="J1126" s="163">
        <v>0</v>
      </c>
      <c r="K1126" s="163">
        <v>1</v>
      </c>
      <c r="L1126" s="163">
        <v>3</v>
      </c>
      <c r="M1126" s="163">
        <v>806</v>
      </c>
      <c r="N1126" s="163">
        <v>775</v>
      </c>
      <c r="O1126" s="163">
        <v>40817</v>
      </c>
      <c r="P1126" s="163">
        <v>3503.83</v>
      </c>
      <c r="Q1126" s="163">
        <v>4.3471836228000003</v>
      </c>
      <c r="R1126" s="163">
        <v>8.5842418599999998E-2</v>
      </c>
      <c r="S1126" s="161">
        <v>50.641439206000001</v>
      </c>
      <c r="T1126">
        <f t="shared" si="33"/>
        <v>5.9562681311238969E-6</v>
      </c>
    </row>
    <row r="1127" spans="2:20">
      <c r="B1127" s="163" t="s">
        <v>1547</v>
      </c>
      <c r="C1127" s="163" t="s">
        <v>1548</v>
      </c>
      <c r="D1127" s="163" t="s">
        <v>1370</v>
      </c>
      <c r="E1127" s="163" t="s">
        <v>853</v>
      </c>
      <c r="F1127" s="163" t="s">
        <v>1363</v>
      </c>
      <c r="G1127" s="163">
        <v>4</v>
      </c>
      <c r="H1127" s="163">
        <v>7</v>
      </c>
      <c r="I1127" s="163">
        <v>2</v>
      </c>
      <c r="J1127" s="163">
        <v>0</v>
      </c>
      <c r="K1127" s="163">
        <v>1</v>
      </c>
      <c r="L1127" s="163">
        <v>3</v>
      </c>
      <c r="M1127" s="163">
        <v>311</v>
      </c>
      <c r="N1127" s="163">
        <v>146</v>
      </c>
      <c r="O1127" s="163">
        <v>18773</v>
      </c>
      <c r="P1127" s="163">
        <v>2171.1799999999998</v>
      </c>
      <c r="Q1127" s="163">
        <v>6.9812861736</v>
      </c>
      <c r="R1127" s="163">
        <v>0.1156543973</v>
      </c>
      <c r="S1127" s="161">
        <v>60.363344050999999</v>
      </c>
      <c r="T1127">
        <f t="shared" si="33"/>
        <v>2.7394718285417577E-6</v>
      </c>
    </row>
    <row r="1128" spans="2:20">
      <c r="B1128" s="163" t="s">
        <v>1549</v>
      </c>
      <c r="C1128" s="163" t="s">
        <v>1550</v>
      </c>
      <c r="D1128" s="163" t="s">
        <v>1370</v>
      </c>
      <c r="E1128" s="163" t="s">
        <v>853</v>
      </c>
      <c r="F1128" s="163" t="s">
        <v>1363</v>
      </c>
      <c r="G1128" s="163">
        <v>4</v>
      </c>
      <c r="H1128" s="163">
        <v>7</v>
      </c>
      <c r="I1128" s="163">
        <v>2</v>
      </c>
      <c r="J1128" s="163">
        <v>0</v>
      </c>
      <c r="K1128" s="163">
        <v>1</v>
      </c>
      <c r="L1128" s="163">
        <v>3</v>
      </c>
      <c r="M1128" s="163">
        <v>94</v>
      </c>
      <c r="N1128" s="163">
        <v>35</v>
      </c>
      <c r="O1128" s="163">
        <v>5022</v>
      </c>
      <c r="P1128" s="163">
        <v>1184.93</v>
      </c>
      <c r="Q1128" s="163">
        <v>12.605638298000001</v>
      </c>
      <c r="R1128" s="163">
        <v>0.23594782950000001</v>
      </c>
      <c r="S1128" s="161">
        <v>53.425531915000001</v>
      </c>
      <c r="T1128">
        <f t="shared" si="33"/>
        <v>7.3284118270583858E-7</v>
      </c>
    </row>
    <row r="1129" spans="2:20">
      <c r="B1129" s="163" t="s">
        <v>1551</v>
      </c>
      <c r="C1129" s="163" t="s">
        <v>1552</v>
      </c>
      <c r="D1129" s="163" t="s">
        <v>1370</v>
      </c>
      <c r="E1129" s="163" t="s">
        <v>853</v>
      </c>
      <c r="F1129" s="163" t="s">
        <v>1363</v>
      </c>
      <c r="G1129" s="163">
        <v>4</v>
      </c>
      <c r="H1129" s="163">
        <v>7</v>
      </c>
      <c r="I1129" s="163">
        <v>2</v>
      </c>
      <c r="J1129" s="163">
        <v>0</v>
      </c>
      <c r="K1129" s="163">
        <v>1</v>
      </c>
      <c r="L1129" s="163">
        <v>3</v>
      </c>
      <c r="M1129" s="163">
        <v>1324</v>
      </c>
      <c r="N1129" s="163">
        <v>1315</v>
      </c>
      <c r="O1129" s="163">
        <v>81298</v>
      </c>
      <c r="P1129" s="163">
        <v>24389.4</v>
      </c>
      <c r="Q1129" s="163">
        <v>18.420996979000002</v>
      </c>
      <c r="R1129" s="163">
        <v>0.3</v>
      </c>
      <c r="S1129" s="161">
        <v>61.403323262999997</v>
      </c>
      <c r="T1129">
        <f t="shared" si="33"/>
        <v>1.1863505072007021E-5</v>
      </c>
    </row>
    <row r="1130" spans="2:20">
      <c r="B1130" s="163" t="s">
        <v>1553</v>
      </c>
      <c r="C1130" s="163" t="s">
        <v>1554</v>
      </c>
      <c r="D1130" s="163" t="s">
        <v>1370</v>
      </c>
      <c r="E1130" s="163" t="s">
        <v>853</v>
      </c>
      <c r="F1130" s="163" t="s">
        <v>1363</v>
      </c>
      <c r="G1130" s="163">
        <v>4</v>
      </c>
      <c r="H1130" s="163">
        <v>7</v>
      </c>
      <c r="I1130" s="163">
        <v>2</v>
      </c>
      <c r="J1130" s="163">
        <v>0</v>
      </c>
      <c r="K1130" s="163">
        <v>1</v>
      </c>
      <c r="L1130" s="163">
        <v>3</v>
      </c>
      <c r="M1130" s="163">
        <v>1</v>
      </c>
      <c r="N1130" s="163">
        <v>1</v>
      </c>
      <c r="O1130" s="163">
        <v>28</v>
      </c>
      <c r="P1130" s="163">
        <v>7.73</v>
      </c>
      <c r="Q1130" s="163">
        <v>7.73</v>
      </c>
      <c r="R1130" s="163">
        <v>0.2760714286</v>
      </c>
      <c r="S1130" s="161">
        <v>28</v>
      </c>
      <c r="T1130">
        <f t="shared" si="33"/>
        <v>4.0859325200644124E-9</v>
      </c>
    </row>
    <row r="1131" spans="2:20">
      <c r="B1131" s="163" t="s">
        <v>1555</v>
      </c>
      <c r="C1131" s="163" t="s">
        <v>1556</v>
      </c>
      <c r="D1131" s="163" t="s">
        <v>1557</v>
      </c>
      <c r="E1131" s="163" t="s">
        <v>853</v>
      </c>
      <c r="F1131" s="163" t="s">
        <v>1363</v>
      </c>
      <c r="G1131" s="163">
        <v>4</v>
      </c>
      <c r="H1131" s="163">
        <v>7</v>
      </c>
      <c r="I1131" s="163">
        <v>2</v>
      </c>
      <c r="J1131" s="163">
        <v>0</v>
      </c>
      <c r="K1131" s="163">
        <v>1</v>
      </c>
      <c r="L1131" s="163">
        <v>3</v>
      </c>
      <c r="M1131" s="163">
        <v>2562</v>
      </c>
      <c r="N1131" s="163">
        <v>2337</v>
      </c>
      <c r="O1131" s="163">
        <v>189141</v>
      </c>
      <c r="P1131" s="163">
        <v>29791.35</v>
      </c>
      <c r="Q1131" s="163">
        <v>11.628161593</v>
      </c>
      <c r="R1131" s="163">
        <v>0.15750868400000001</v>
      </c>
      <c r="S1131" s="161">
        <v>73.825526932000002</v>
      </c>
      <c r="T1131">
        <f t="shared" ref="T1131:T1194" si="34">O1131/SUM($O$874:$O$1513)</f>
        <v>2.7600620099196536E-5</v>
      </c>
    </row>
    <row r="1132" spans="2:20">
      <c r="B1132" s="163" t="s">
        <v>1558</v>
      </c>
      <c r="C1132" s="163" t="s">
        <v>1559</v>
      </c>
      <c r="D1132" s="163" t="s">
        <v>1557</v>
      </c>
      <c r="E1132" s="163" t="s">
        <v>853</v>
      </c>
      <c r="F1132" s="163" t="s">
        <v>1363</v>
      </c>
      <c r="G1132" s="163">
        <v>4</v>
      </c>
      <c r="H1132" s="163">
        <v>7</v>
      </c>
      <c r="I1132" s="163">
        <v>2</v>
      </c>
      <c r="J1132" s="163">
        <v>0</v>
      </c>
      <c r="K1132" s="163">
        <v>1</v>
      </c>
      <c r="L1132" s="163">
        <v>3</v>
      </c>
      <c r="M1132" s="163">
        <v>1523</v>
      </c>
      <c r="N1132" s="163">
        <v>1316</v>
      </c>
      <c r="O1132" s="163">
        <v>128334</v>
      </c>
      <c r="P1132" s="163">
        <v>40425.589999999997</v>
      </c>
      <c r="Q1132" s="163">
        <v>26.543394616</v>
      </c>
      <c r="R1132" s="163">
        <v>0.31500296100000003</v>
      </c>
      <c r="S1132" s="161">
        <v>84.263952724999996</v>
      </c>
      <c r="T1132">
        <f t="shared" si="34"/>
        <v>1.8727288001069511E-5</v>
      </c>
    </row>
    <row r="1133" spans="2:20">
      <c r="B1133" s="163" t="s">
        <v>1560</v>
      </c>
      <c r="C1133" s="163" t="s">
        <v>1561</v>
      </c>
      <c r="D1133" s="163" t="s">
        <v>1557</v>
      </c>
      <c r="E1133" s="163" t="s">
        <v>853</v>
      </c>
      <c r="F1133" s="163" t="s">
        <v>1363</v>
      </c>
      <c r="G1133" s="163">
        <v>4</v>
      </c>
      <c r="H1133" s="163">
        <v>7</v>
      </c>
      <c r="I1133" s="163">
        <v>2</v>
      </c>
      <c r="J1133" s="163">
        <v>0</v>
      </c>
      <c r="K1133" s="163">
        <v>1</v>
      </c>
      <c r="L1133" s="163">
        <v>3</v>
      </c>
      <c r="M1133" s="163">
        <v>1182</v>
      </c>
      <c r="N1133" s="163">
        <v>921</v>
      </c>
      <c r="O1133" s="163">
        <v>62656</v>
      </c>
      <c r="P1133" s="163">
        <v>23474.9</v>
      </c>
      <c r="Q1133" s="163">
        <v>19.860321489</v>
      </c>
      <c r="R1133" s="163">
        <v>0.3746632406</v>
      </c>
      <c r="S1133" s="161">
        <v>53.008460237000001</v>
      </c>
      <c r="T1133">
        <f t="shared" si="34"/>
        <v>9.1431495706127078E-6</v>
      </c>
    </row>
    <row r="1134" spans="2:20">
      <c r="B1134" s="163" t="s">
        <v>1562</v>
      </c>
      <c r="C1134" s="163" t="s">
        <v>1563</v>
      </c>
      <c r="D1134" s="163" t="s">
        <v>1557</v>
      </c>
      <c r="E1134" s="163" t="s">
        <v>853</v>
      </c>
      <c r="F1134" s="163" t="s">
        <v>1363</v>
      </c>
      <c r="G1134" s="163">
        <v>4</v>
      </c>
      <c r="H1134" s="163">
        <v>7</v>
      </c>
      <c r="I1134" s="163">
        <v>2</v>
      </c>
      <c r="J1134" s="163">
        <v>0</v>
      </c>
      <c r="K1134" s="163">
        <v>1</v>
      </c>
      <c r="L1134" s="163">
        <v>3</v>
      </c>
      <c r="M1134" s="163">
        <v>1321</v>
      </c>
      <c r="N1134" s="163">
        <v>1073</v>
      </c>
      <c r="O1134" s="163">
        <v>78496</v>
      </c>
      <c r="P1134" s="163">
        <v>40300.22</v>
      </c>
      <c r="Q1134" s="163">
        <v>30.507358062000002</v>
      </c>
      <c r="R1134" s="163">
        <v>0.51340475949999997</v>
      </c>
      <c r="S1134" s="161">
        <v>59.421650264999997</v>
      </c>
      <c r="T1134">
        <f t="shared" si="34"/>
        <v>1.1454619967677718E-5</v>
      </c>
    </row>
    <row r="1135" spans="2:20">
      <c r="B1135" s="163" t="s">
        <v>1564</v>
      </c>
      <c r="C1135" s="163" t="s">
        <v>1565</v>
      </c>
      <c r="D1135" s="163" t="s">
        <v>1557</v>
      </c>
      <c r="E1135" s="163" t="s">
        <v>853</v>
      </c>
      <c r="F1135" s="163" t="s">
        <v>1363</v>
      </c>
      <c r="G1135" s="163">
        <v>4</v>
      </c>
      <c r="H1135" s="163">
        <v>7</v>
      </c>
      <c r="I1135" s="163">
        <v>2</v>
      </c>
      <c r="J1135" s="163">
        <v>0</v>
      </c>
      <c r="K1135" s="163">
        <v>1</v>
      </c>
      <c r="L1135" s="163">
        <v>3</v>
      </c>
      <c r="M1135" s="163">
        <v>1119</v>
      </c>
      <c r="N1135" s="163">
        <v>986</v>
      </c>
      <c r="O1135" s="163">
        <v>59917</v>
      </c>
      <c r="P1135" s="163">
        <v>60002.59</v>
      </c>
      <c r="Q1135" s="163">
        <v>53.621617516000001</v>
      </c>
      <c r="R1135" s="163">
        <v>1.0014284761000001</v>
      </c>
      <c r="S1135" s="161">
        <v>53.545129580000001</v>
      </c>
      <c r="T1135">
        <f t="shared" si="34"/>
        <v>8.7434578144535504E-6</v>
      </c>
    </row>
    <row r="1136" spans="2:20">
      <c r="B1136" s="163" t="s">
        <v>1566</v>
      </c>
      <c r="C1136" s="163" t="s">
        <v>1567</v>
      </c>
      <c r="D1136" s="163" t="s">
        <v>1557</v>
      </c>
      <c r="E1136" s="163" t="s">
        <v>853</v>
      </c>
      <c r="F1136" s="163" t="s">
        <v>1363</v>
      </c>
      <c r="G1136" s="163">
        <v>4</v>
      </c>
      <c r="H1136" s="163">
        <v>7</v>
      </c>
      <c r="I1136" s="163">
        <v>2</v>
      </c>
      <c r="J1136" s="163">
        <v>0</v>
      </c>
      <c r="K1136" s="163">
        <v>1</v>
      </c>
      <c r="L1136" s="163">
        <v>3</v>
      </c>
      <c r="M1136" s="163">
        <v>578</v>
      </c>
      <c r="N1136" s="163">
        <v>477</v>
      </c>
      <c r="O1136" s="163">
        <v>30508</v>
      </c>
      <c r="P1136" s="163">
        <v>58036.52</v>
      </c>
      <c r="Q1136" s="163">
        <v>100.40920414999999</v>
      </c>
      <c r="R1136" s="163">
        <v>1.9023377475000001</v>
      </c>
      <c r="S1136" s="161">
        <v>52.782006920000001</v>
      </c>
      <c r="T1136">
        <f t="shared" si="34"/>
        <v>4.4519153329330388E-6</v>
      </c>
    </row>
    <row r="1137" spans="2:20">
      <c r="B1137" s="163" t="s">
        <v>1568</v>
      </c>
      <c r="C1137" s="163" t="s">
        <v>1569</v>
      </c>
      <c r="D1137" s="163" t="s">
        <v>1557</v>
      </c>
      <c r="E1137" s="163" t="s">
        <v>853</v>
      </c>
      <c r="F1137" s="163" t="s">
        <v>1363</v>
      </c>
      <c r="G1137" s="163">
        <v>4</v>
      </c>
      <c r="H1137" s="163">
        <v>7</v>
      </c>
      <c r="I1137" s="163">
        <v>2</v>
      </c>
      <c r="J1137" s="163">
        <v>0</v>
      </c>
      <c r="K1137" s="163">
        <v>1</v>
      </c>
      <c r="L1137" s="163">
        <v>3</v>
      </c>
      <c r="M1137" s="163">
        <v>404</v>
      </c>
      <c r="N1137" s="163">
        <v>243</v>
      </c>
      <c r="O1137" s="163">
        <v>16886</v>
      </c>
      <c r="P1137" s="163">
        <v>48192.29</v>
      </c>
      <c r="Q1137" s="163">
        <v>119.28784653</v>
      </c>
      <c r="R1137" s="163">
        <v>2.8539790359000001</v>
      </c>
      <c r="S1137" s="161">
        <v>41.797029703</v>
      </c>
      <c r="T1137">
        <f t="shared" si="34"/>
        <v>2.4641091619217022E-6</v>
      </c>
    </row>
    <row r="1138" spans="2:20">
      <c r="B1138" s="163" t="s">
        <v>1570</v>
      </c>
      <c r="C1138" s="163" t="s">
        <v>1571</v>
      </c>
      <c r="D1138" s="163" t="s">
        <v>1557</v>
      </c>
      <c r="E1138" s="163" t="s">
        <v>853</v>
      </c>
      <c r="F1138" s="163" t="s">
        <v>1363</v>
      </c>
      <c r="G1138" s="163">
        <v>4</v>
      </c>
      <c r="H1138" s="163">
        <v>7</v>
      </c>
      <c r="I1138" s="163">
        <v>2</v>
      </c>
      <c r="J1138" s="163">
        <v>0</v>
      </c>
      <c r="K1138" s="163">
        <v>1</v>
      </c>
      <c r="L1138" s="163">
        <v>3</v>
      </c>
      <c r="M1138" s="163">
        <v>2</v>
      </c>
      <c r="N1138" s="163">
        <v>2</v>
      </c>
      <c r="O1138" s="163">
        <v>15</v>
      </c>
      <c r="P1138" s="163">
        <v>23.97</v>
      </c>
      <c r="Q1138" s="163">
        <v>11.984999999999999</v>
      </c>
      <c r="R1138" s="163">
        <v>1.5980000000000001</v>
      </c>
      <c r="S1138" s="161">
        <v>7.5</v>
      </c>
      <c r="T1138">
        <f t="shared" si="34"/>
        <v>2.1888924214630781E-9</v>
      </c>
    </row>
    <row r="1139" spans="2:20">
      <c r="B1139" s="163" t="s">
        <v>1572</v>
      </c>
      <c r="C1139" s="163" t="s">
        <v>1573</v>
      </c>
      <c r="D1139" s="163" t="s">
        <v>1557</v>
      </c>
      <c r="E1139" s="163" t="s">
        <v>853</v>
      </c>
      <c r="F1139" s="163" t="s">
        <v>1363</v>
      </c>
      <c r="G1139" s="163">
        <v>4</v>
      </c>
      <c r="H1139" s="163">
        <v>7</v>
      </c>
      <c r="I1139" s="163">
        <v>2</v>
      </c>
      <c r="J1139" s="163">
        <v>0</v>
      </c>
      <c r="K1139" s="163">
        <v>1</v>
      </c>
      <c r="L1139" s="163">
        <v>3</v>
      </c>
      <c r="M1139" s="163">
        <v>10</v>
      </c>
      <c r="N1139" s="163">
        <v>10</v>
      </c>
      <c r="O1139" s="163">
        <v>185</v>
      </c>
      <c r="P1139" s="163">
        <v>2442</v>
      </c>
      <c r="Q1139" s="163">
        <v>244.2</v>
      </c>
      <c r="R1139" s="163">
        <v>13.2</v>
      </c>
      <c r="S1139" s="161">
        <v>18.5</v>
      </c>
      <c r="T1139">
        <f t="shared" si="34"/>
        <v>2.6996339864711297E-8</v>
      </c>
    </row>
    <row r="1140" spans="2:20">
      <c r="B1140" s="163" t="s">
        <v>1574</v>
      </c>
      <c r="C1140" s="163" t="s">
        <v>1575</v>
      </c>
      <c r="D1140" s="163" t="s">
        <v>1576</v>
      </c>
      <c r="E1140" s="163" t="s">
        <v>853</v>
      </c>
      <c r="F1140" s="163" t="s">
        <v>1363</v>
      </c>
      <c r="G1140" s="163">
        <v>4</v>
      </c>
      <c r="H1140" s="163">
        <v>7</v>
      </c>
      <c r="I1140" s="163">
        <v>2</v>
      </c>
      <c r="J1140" s="163">
        <v>0</v>
      </c>
      <c r="K1140" s="163">
        <v>1</v>
      </c>
      <c r="L1140" s="163">
        <v>1</v>
      </c>
      <c r="M1140" s="163">
        <v>63222</v>
      </c>
      <c r="N1140" s="163">
        <v>0</v>
      </c>
      <c r="O1140" s="163">
        <v>516772</v>
      </c>
      <c r="P1140" s="163">
        <v>1859284.53</v>
      </c>
      <c r="Q1140" s="163">
        <v>29.408821771</v>
      </c>
      <c r="R1140" s="163">
        <v>3.5978817156999998</v>
      </c>
      <c r="S1140" s="161">
        <v>8.1739267976000001</v>
      </c>
      <c r="T1140">
        <f t="shared" si="34"/>
        <v>7.5410554294954525E-5</v>
      </c>
    </row>
    <row r="1141" spans="2:20">
      <c r="B1141" s="163" t="s">
        <v>1577</v>
      </c>
      <c r="C1141" s="163" t="s">
        <v>1578</v>
      </c>
      <c r="D1141" s="163" t="s">
        <v>1576</v>
      </c>
      <c r="E1141" s="163" t="s">
        <v>853</v>
      </c>
      <c r="F1141" s="163" t="s">
        <v>1363</v>
      </c>
      <c r="G1141" s="163">
        <v>4</v>
      </c>
      <c r="H1141" s="163">
        <v>7</v>
      </c>
      <c r="I1141" s="163">
        <v>2</v>
      </c>
      <c r="J1141" s="163">
        <v>0</v>
      </c>
      <c r="K1141" s="163">
        <v>1</v>
      </c>
      <c r="L1141" s="163">
        <v>1</v>
      </c>
      <c r="M1141" s="163">
        <v>37503</v>
      </c>
      <c r="N1141" s="163">
        <v>0</v>
      </c>
      <c r="O1141" s="163">
        <v>311908</v>
      </c>
      <c r="P1141" s="163">
        <v>2099614.0699999998</v>
      </c>
      <c r="Q1141" s="163">
        <v>55.985229715000003</v>
      </c>
      <c r="R1141" s="163">
        <v>6.7315172101999998</v>
      </c>
      <c r="S1141" s="161">
        <v>8.3168813161999999</v>
      </c>
      <c r="T1141">
        <f t="shared" si="34"/>
        <v>4.5515537159580387E-5</v>
      </c>
    </row>
    <row r="1142" spans="2:20">
      <c r="B1142" s="163" t="s">
        <v>1579</v>
      </c>
      <c r="C1142" s="163" t="s">
        <v>1580</v>
      </c>
      <c r="D1142" s="163" t="s">
        <v>1576</v>
      </c>
      <c r="E1142" s="163" t="s">
        <v>853</v>
      </c>
      <c r="F1142" s="163" t="s">
        <v>1363</v>
      </c>
      <c r="G1142" s="163">
        <v>4</v>
      </c>
      <c r="H1142" s="163">
        <v>7</v>
      </c>
      <c r="I1142" s="163">
        <v>2</v>
      </c>
      <c r="J1142" s="163">
        <v>0</v>
      </c>
      <c r="K1142" s="163">
        <v>1</v>
      </c>
      <c r="L1142" s="163">
        <v>1</v>
      </c>
      <c r="M1142" s="163">
        <v>16195</v>
      </c>
      <c r="N1142" s="163">
        <v>0</v>
      </c>
      <c r="O1142" s="163">
        <v>135085</v>
      </c>
      <c r="P1142" s="163">
        <v>1269362.6000000001</v>
      </c>
      <c r="Q1142" s="163">
        <v>78.379907379000002</v>
      </c>
      <c r="R1142" s="163">
        <v>9.3967694415</v>
      </c>
      <c r="S1142" s="161">
        <v>8.3411546774000005</v>
      </c>
      <c r="T1142">
        <f t="shared" si="34"/>
        <v>1.9712435516889327E-5</v>
      </c>
    </row>
    <row r="1143" spans="2:20">
      <c r="B1143" s="163" t="s">
        <v>1581</v>
      </c>
      <c r="C1143" s="163" t="s">
        <v>1582</v>
      </c>
      <c r="D1143" s="163" t="s">
        <v>1576</v>
      </c>
      <c r="E1143" s="163" t="s">
        <v>853</v>
      </c>
      <c r="F1143" s="163" t="s">
        <v>1363</v>
      </c>
      <c r="G1143" s="163">
        <v>4</v>
      </c>
      <c r="H1143" s="163">
        <v>7</v>
      </c>
      <c r="I1143" s="163">
        <v>2</v>
      </c>
      <c r="J1143" s="163">
        <v>0</v>
      </c>
      <c r="K1143" s="163">
        <v>1</v>
      </c>
      <c r="L1143" s="163">
        <v>1</v>
      </c>
      <c r="M1143" s="163">
        <v>17464</v>
      </c>
      <c r="N1143" s="163">
        <v>0</v>
      </c>
      <c r="O1143" s="163">
        <v>163650</v>
      </c>
      <c r="P1143" s="163">
        <v>1893195.52</v>
      </c>
      <c r="Q1143" s="163">
        <v>108.40560696</v>
      </c>
      <c r="R1143" s="163">
        <v>11.568564131</v>
      </c>
      <c r="S1143" s="161">
        <v>9.3707054511999992</v>
      </c>
      <c r="T1143">
        <f t="shared" si="34"/>
        <v>2.3880816318162181E-5</v>
      </c>
    </row>
    <row r="1144" spans="2:20">
      <c r="B1144" s="163" t="s">
        <v>1583</v>
      </c>
      <c r="C1144" s="163" t="s">
        <v>1584</v>
      </c>
      <c r="D1144" s="163" t="s">
        <v>1576</v>
      </c>
      <c r="E1144" s="163" t="s">
        <v>853</v>
      </c>
      <c r="F1144" s="163" t="s">
        <v>1363</v>
      </c>
      <c r="G1144" s="163">
        <v>4</v>
      </c>
      <c r="H1144" s="163">
        <v>7</v>
      </c>
      <c r="I1144" s="163">
        <v>2</v>
      </c>
      <c r="J1144" s="163">
        <v>0</v>
      </c>
      <c r="K1144" s="163">
        <v>1</v>
      </c>
      <c r="L1144" s="163">
        <v>3</v>
      </c>
      <c r="M1144" s="163">
        <v>7</v>
      </c>
      <c r="N1144" s="163">
        <v>0</v>
      </c>
      <c r="O1144" s="163">
        <v>155</v>
      </c>
      <c r="P1144" s="163">
        <v>563.22</v>
      </c>
      <c r="Q1144" s="163">
        <v>80.459999999999994</v>
      </c>
      <c r="R1144" s="163">
        <v>3.6336774194000001</v>
      </c>
      <c r="S1144" s="161">
        <v>22.142857143000001</v>
      </c>
      <c r="T1144">
        <f t="shared" si="34"/>
        <v>2.2618555021785141E-8</v>
      </c>
    </row>
    <row r="1145" spans="2:20">
      <c r="B1145" s="163" t="s">
        <v>1585</v>
      </c>
      <c r="C1145" s="163" t="s">
        <v>1586</v>
      </c>
      <c r="D1145" s="163" t="s">
        <v>1576</v>
      </c>
      <c r="E1145" s="163" t="s">
        <v>853</v>
      </c>
      <c r="F1145" s="163" t="s">
        <v>1363</v>
      </c>
      <c r="G1145" s="163">
        <v>4</v>
      </c>
      <c r="H1145" s="163">
        <v>7</v>
      </c>
      <c r="I1145" s="163">
        <v>2</v>
      </c>
      <c r="J1145" s="163">
        <v>0</v>
      </c>
      <c r="K1145" s="163">
        <v>1</v>
      </c>
      <c r="L1145" s="163">
        <v>3</v>
      </c>
      <c r="M1145" s="163">
        <v>5</v>
      </c>
      <c r="N1145" s="163">
        <v>0</v>
      </c>
      <c r="O1145" s="163">
        <v>49</v>
      </c>
      <c r="P1145" s="163">
        <v>329.87</v>
      </c>
      <c r="Q1145" s="163">
        <v>65.974000000000004</v>
      </c>
      <c r="R1145" s="163">
        <v>6.7320408162999996</v>
      </c>
      <c r="S1145" s="161">
        <v>9.8000000000000007</v>
      </c>
      <c r="T1145">
        <f t="shared" si="34"/>
        <v>7.1503819101127219E-9</v>
      </c>
    </row>
    <row r="1146" spans="2:20">
      <c r="B1146" s="163" t="s">
        <v>1587</v>
      </c>
      <c r="C1146" s="163" t="s">
        <v>1588</v>
      </c>
      <c r="D1146" s="163" t="s">
        <v>1576</v>
      </c>
      <c r="E1146" s="163" t="s">
        <v>853</v>
      </c>
      <c r="F1146" s="163" t="s">
        <v>1363</v>
      </c>
      <c r="G1146" s="163">
        <v>4</v>
      </c>
      <c r="H1146" s="163">
        <v>7</v>
      </c>
      <c r="I1146" s="163">
        <v>2</v>
      </c>
      <c r="J1146" s="163">
        <v>0</v>
      </c>
      <c r="K1146" s="163">
        <v>1</v>
      </c>
      <c r="L1146" s="163">
        <v>3</v>
      </c>
      <c r="M1146" s="163">
        <v>1</v>
      </c>
      <c r="N1146" s="163">
        <v>0</v>
      </c>
      <c r="O1146" s="163">
        <v>10</v>
      </c>
      <c r="P1146" s="163">
        <v>93.98</v>
      </c>
      <c r="Q1146" s="163">
        <v>93.98</v>
      </c>
      <c r="R1146" s="163">
        <v>9.3979999999999997</v>
      </c>
      <c r="S1146" s="161">
        <v>10</v>
      </c>
      <c r="T1146">
        <f t="shared" si="34"/>
        <v>1.4592616143087188E-9</v>
      </c>
    </row>
    <row r="1147" spans="2:20">
      <c r="B1147" s="163" t="s">
        <v>1589</v>
      </c>
      <c r="C1147" s="163" t="s">
        <v>1590</v>
      </c>
      <c r="D1147" s="163" t="s">
        <v>1576</v>
      </c>
      <c r="E1147" s="163" t="s">
        <v>853</v>
      </c>
      <c r="F1147" s="163" t="s">
        <v>1363</v>
      </c>
      <c r="G1147" s="163">
        <v>4</v>
      </c>
      <c r="H1147" s="163">
        <v>7</v>
      </c>
      <c r="I1147" s="163">
        <v>2</v>
      </c>
      <c r="J1147" s="163">
        <v>0</v>
      </c>
      <c r="K1147" s="163">
        <v>1</v>
      </c>
      <c r="L1147" s="163">
        <v>3</v>
      </c>
      <c r="M1147" s="163">
        <v>3</v>
      </c>
      <c r="N1147" s="163">
        <v>0</v>
      </c>
      <c r="O1147" s="163">
        <v>30</v>
      </c>
      <c r="P1147" s="163">
        <v>347.16</v>
      </c>
      <c r="Q1147" s="163">
        <v>115.72</v>
      </c>
      <c r="R1147" s="163">
        <v>11.571999999999999</v>
      </c>
      <c r="S1147" s="161">
        <v>10</v>
      </c>
      <c r="T1147">
        <f t="shared" si="34"/>
        <v>4.3777848429261562E-9</v>
      </c>
    </row>
    <row r="1148" spans="2:20">
      <c r="B1148" s="163" t="s">
        <v>1591</v>
      </c>
      <c r="C1148" s="163" t="s">
        <v>1592</v>
      </c>
      <c r="D1148" s="163" t="s">
        <v>1576</v>
      </c>
      <c r="E1148" s="163" t="s">
        <v>853</v>
      </c>
      <c r="F1148" s="163" t="s">
        <v>1363</v>
      </c>
      <c r="G1148" s="163">
        <v>4</v>
      </c>
      <c r="H1148" s="163">
        <v>7</v>
      </c>
      <c r="I1148" s="163">
        <v>2</v>
      </c>
      <c r="J1148" s="163">
        <v>0</v>
      </c>
      <c r="K1148" s="163">
        <v>1</v>
      </c>
      <c r="L1148" s="163">
        <v>3</v>
      </c>
      <c r="M1148" s="163">
        <v>29924</v>
      </c>
      <c r="N1148" s="163">
        <v>0</v>
      </c>
      <c r="O1148" s="163">
        <v>291396</v>
      </c>
      <c r="P1148" s="163">
        <v>1048441.37</v>
      </c>
      <c r="Q1148" s="163">
        <v>35.036805573999999</v>
      </c>
      <c r="R1148" s="163">
        <v>3.5979950651000001</v>
      </c>
      <c r="S1148" s="161">
        <v>9.7378692688000008</v>
      </c>
      <c r="T1148">
        <f t="shared" si="34"/>
        <v>4.252229973631034E-5</v>
      </c>
    </row>
    <row r="1149" spans="2:20">
      <c r="B1149" s="163" t="s">
        <v>1593</v>
      </c>
      <c r="C1149" s="163" t="s">
        <v>1594</v>
      </c>
      <c r="D1149" s="163" t="s">
        <v>1576</v>
      </c>
      <c r="E1149" s="163" t="s">
        <v>853</v>
      </c>
      <c r="F1149" s="163" t="s">
        <v>1363</v>
      </c>
      <c r="G1149" s="163">
        <v>4</v>
      </c>
      <c r="H1149" s="163">
        <v>7</v>
      </c>
      <c r="I1149" s="163">
        <v>2</v>
      </c>
      <c r="J1149" s="163">
        <v>0</v>
      </c>
      <c r="K1149" s="163">
        <v>1</v>
      </c>
      <c r="L1149" s="163">
        <v>3</v>
      </c>
      <c r="M1149" s="163">
        <v>24437</v>
      </c>
      <c r="N1149" s="163">
        <v>0</v>
      </c>
      <c r="O1149" s="163">
        <v>237701</v>
      </c>
      <c r="P1149" s="163">
        <v>1600201.26</v>
      </c>
      <c r="Q1149" s="163">
        <v>65.482721283000004</v>
      </c>
      <c r="R1149" s="163">
        <v>6.7319921245999996</v>
      </c>
      <c r="S1149" s="161">
        <v>9.7270941605000001</v>
      </c>
      <c r="T1149">
        <f t="shared" si="34"/>
        <v>3.4686794498279672E-5</v>
      </c>
    </row>
    <row r="1150" spans="2:20">
      <c r="B1150" s="163" t="s">
        <v>1595</v>
      </c>
      <c r="C1150" s="163" t="s">
        <v>1596</v>
      </c>
      <c r="D1150" s="163" t="s">
        <v>1576</v>
      </c>
      <c r="E1150" s="163" t="s">
        <v>853</v>
      </c>
      <c r="F1150" s="163" t="s">
        <v>1363</v>
      </c>
      <c r="G1150" s="163">
        <v>4</v>
      </c>
      <c r="H1150" s="163">
        <v>7</v>
      </c>
      <c r="I1150" s="163">
        <v>2</v>
      </c>
      <c r="J1150" s="163">
        <v>0</v>
      </c>
      <c r="K1150" s="163">
        <v>1</v>
      </c>
      <c r="L1150" s="163">
        <v>3</v>
      </c>
      <c r="M1150" s="163">
        <v>13821</v>
      </c>
      <c r="N1150" s="163">
        <v>0</v>
      </c>
      <c r="O1150" s="163">
        <v>133369</v>
      </c>
      <c r="P1150" s="163">
        <v>1253398.54</v>
      </c>
      <c r="Q1150" s="163">
        <v>90.687977715000002</v>
      </c>
      <c r="R1150" s="163">
        <v>9.3979750916999993</v>
      </c>
      <c r="S1150" s="161">
        <v>9.6497359091000003</v>
      </c>
      <c r="T1150">
        <f t="shared" si="34"/>
        <v>1.9462026223873951E-5</v>
      </c>
    </row>
    <row r="1151" spans="2:20">
      <c r="B1151" s="163" t="s">
        <v>1597</v>
      </c>
      <c r="C1151" s="163" t="s">
        <v>1598</v>
      </c>
      <c r="D1151" s="163" t="s">
        <v>1576</v>
      </c>
      <c r="E1151" s="163" t="s">
        <v>853</v>
      </c>
      <c r="F1151" s="163" t="s">
        <v>1363</v>
      </c>
      <c r="G1151" s="163">
        <v>4</v>
      </c>
      <c r="H1151" s="163">
        <v>7</v>
      </c>
      <c r="I1151" s="163">
        <v>2</v>
      </c>
      <c r="J1151" s="163">
        <v>0</v>
      </c>
      <c r="K1151" s="163">
        <v>1</v>
      </c>
      <c r="L1151" s="163">
        <v>3</v>
      </c>
      <c r="M1151" s="163">
        <v>19033</v>
      </c>
      <c r="N1151" s="163">
        <v>0</v>
      </c>
      <c r="O1151" s="163">
        <v>210327</v>
      </c>
      <c r="P1151" s="163">
        <v>2433895.98</v>
      </c>
      <c r="Q1151" s="163">
        <v>127.87768507</v>
      </c>
      <c r="R1151" s="163">
        <v>11.571961659999999</v>
      </c>
      <c r="S1151" s="161">
        <v>11.050648873</v>
      </c>
      <c r="T1151">
        <f t="shared" si="34"/>
        <v>3.0692211755270989E-5</v>
      </c>
    </row>
    <row r="1152" spans="2:20">
      <c r="B1152" s="163" t="s">
        <v>1599</v>
      </c>
      <c r="C1152" s="163" t="s">
        <v>1600</v>
      </c>
      <c r="D1152" s="163" t="s">
        <v>1576</v>
      </c>
      <c r="E1152" s="163" t="s">
        <v>853</v>
      </c>
      <c r="F1152" s="163" t="s">
        <v>1363</v>
      </c>
      <c r="G1152" s="163">
        <v>4</v>
      </c>
      <c r="H1152" s="163">
        <v>7</v>
      </c>
      <c r="I1152" s="163">
        <v>2</v>
      </c>
      <c r="J1152" s="163">
        <v>0</v>
      </c>
      <c r="K1152" s="163">
        <v>1</v>
      </c>
      <c r="L1152" s="163">
        <v>3</v>
      </c>
      <c r="M1152" s="163">
        <v>29857.599999999999</v>
      </c>
      <c r="N1152" s="163">
        <v>6463.6</v>
      </c>
      <c r="O1152" s="163">
        <v>267159</v>
      </c>
      <c r="P1152" s="163">
        <v>672705.62899999996</v>
      </c>
      <c r="Q1152" s="163">
        <v>22.530465577000001</v>
      </c>
      <c r="R1152" s="163">
        <v>2.5179972563000002</v>
      </c>
      <c r="S1152" s="161">
        <v>8.9477720914999992</v>
      </c>
      <c r="T1152">
        <f t="shared" si="34"/>
        <v>3.8985487361710295E-5</v>
      </c>
    </row>
    <row r="1153" spans="2:20">
      <c r="B1153" s="163" t="s">
        <v>1601</v>
      </c>
      <c r="C1153" s="163" t="s">
        <v>1602</v>
      </c>
      <c r="D1153" s="163" t="s">
        <v>1576</v>
      </c>
      <c r="E1153" s="163" t="s">
        <v>853</v>
      </c>
      <c r="F1153" s="163" t="s">
        <v>1363</v>
      </c>
      <c r="G1153" s="163">
        <v>4</v>
      </c>
      <c r="H1153" s="163">
        <v>7</v>
      </c>
      <c r="I1153" s="163">
        <v>2</v>
      </c>
      <c r="J1153" s="163">
        <v>0</v>
      </c>
      <c r="K1153" s="163">
        <v>1</v>
      </c>
      <c r="L1153" s="163">
        <v>3</v>
      </c>
      <c r="M1153" s="163">
        <v>7461</v>
      </c>
      <c r="N1153" s="163">
        <v>6172</v>
      </c>
      <c r="O1153" s="163">
        <v>344868</v>
      </c>
      <c r="P1153" s="163">
        <v>2418898.37</v>
      </c>
      <c r="Q1153" s="163">
        <v>324.20565205999998</v>
      </c>
      <c r="R1153" s="163">
        <v>7.0139832342000004</v>
      </c>
      <c r="S1153" s="161">
        <v>46.222758343000002</v>
      </c>
      <c r="T1153">
        <f t="shared" si="34"/>
        <v>5.0325263440341919E-5</v>
      </c>
    </row>
    <row r="1154" spans="2:20">
      <c r="B1154" s="163" t="s">
        <v>1603</v>
      </c>
      <c r="C1154" s="163" t="s">
        <v>1604</v>
      </c>
      <c r="D1154" s="163" t="s">
        <v>1576</v>
      </c>
      <c r="E1154" s="163" t="s">
        <v>853</v>
      </c>
      <c r="F1154" s="163" t="s">
        <v>1363</v>
      </c>
      <c r="G1154" s="163">
        <v>4</v>
      </c>
      <c r="H1154" s="163">
        <v>7</v>
      </c>
      <c r="I1154" s="163">
        <v>2</v>
      </c>
      <c r="J1154" s="163">
        <v>0</v>
      </c>
      <c r="K1154" s="163">
        <v>1</v>
      </c>
      <c r="L1154" s="163">
        <v>3</v>
      </c>
      <c r="M1154" s="163">
        <v>3684</v>
      </c>
      <c r="N1154" s="163">
        <v>2791</v>
      </c>
      <c r="O1154" s="163">
        <v>210273</v>
      </c>
      <c r="P1154" s="163">
        <v>1474858.06</v>
      </c>
      <c r="Q1154" s="163">
        <v>400.34149294000002</v>
      </c>
      <c r="R1154" s="163">
        <v>7.0140153989999998</v>
      </c>
      <c r="S1154" s="161">
        <v>57.077361564</v>
      </c>
      <c r="T1154">
        <f t="shared" si="34"/>
        <v>3.0684331742553722E-5</v>
      </c>
    </row>
    <row r="1155" spans="2:20">
      <c r="B1155" s="163" t="s">
        <v>1605</v>
      </c>
      <c r="C1155" s="163" t="s">
        <v>1606</v>
      </c>
      <c r="D1155" s="163" t="s">
        <v>1576</v>
      </c>
      <c r="E1155" s="163" t="s">
        <v>853</v>
      </c>
      <c r="F1155" s="163" t="s">
        <v>1363</v>
      </c>
      <c r="G1155" s="163">
        <v>4</v>
      </c>
      <c r="H1155" s="163">
        <v>7</v>
      </c>
      <c r="I1155" s="163">
        <v>2</v>
      </c>
      <c r="J1155" s="163">
        <v>0</v>
      </c>
      <c r="K1155" s="163">
        <v>1</v>
      </c>
      <c r="L1155" s="163">
        <v>3</v>
      </c>
      <c r="M1155" s="163">
        <v>1046</v>
      </c>
      <c r="N1155" s="163">
        <v>923</v>
      </c>
      <c r="O1155" s="163">
        <v>59966</v>
      </c>
      <c r="P1155" s="163">
        <v>420609.76</v>
      </c>
      <c r="Q1155" s="163">
        <v>402.11258126000001</v>
      </c>
      <c r="R1155" s="163">
        <v>7.0141373444999999</v>
      </c>
      <c r="S1155" s="161">
        <v>57.328871892999999</v>
      </c>
      <c r="T1155">
        <f t="shared" si="34"/>
        <v>8.7506081963636628E-6</v>
      </c>
    </row>
    <row r="1156" spans="2:20">
      <c r="B1156" s="163" t="s">
        <v>1607</v>
      </c>
      <c r="C1156" s="163" t="s">
        <v>1608</v>
      </c>
      <c r="D1156" s="163" t="s">
        <v>1576</v>
      </c>
      <c r="E1156" s="163" t="s">
        <v>853</v>
      </c>
      <c r="F1156" s="163" t="s">
        <v>1363</v>
      </c>
      <c r="G1156" s="163">
        <v>4</v>
      </c>
      <c r="H1156" s="163">
        <v>7</v>
      </c>
      <c r="I1156" s="163">
        <v>2</v>
      </c>
      <c r="J1156" s="163">
        <v>0</v>
      </c>
      <c r="K1156" s="163">
        <v>1</v>
      </c>
      <c r="L1156" s="163">
        <v>3</v>
      </c>
      <c r="M1156" s="163">
        <v>929</v>
      </c>
      <c r="N1156" s="163">
        <v>679</v>
      </c>
      <c r="O1156" s="163">
        <v>66633</v>
      </c>
      <c r="P1156" s="163">
        <v>467347.3</v>
      </c>
      <c r="Q1156" s="163">
        <v>503.0649085</v>
      </c>
      <c r="R1156" s="163">
        <v>7.0137514445000004</v>
      </c>
      <c r="S1156" s="161">
        <v>71.725511302000001</v>
      </c>
      <c r="T1156">
        <f t="shared" si="34"/>
        <v>9.7234979146232858E-6</v>
      </c>
    </row>
    <row r="1157" spans="2:20">
      <c r="B1157" s="163" t="s">
        <v>1609</v>
      </c>
      <c r="C1157" s="163" t="s">
        <v>1610</v>
      </c>
      <c r="D1157" s="163" t="s">
        <v>1576</v>
      </c>
      <c r="E1157" s="163" t="s">
        <v>853</v>
      </c>
      <c r="F1157" s="163" t="s">
        <v>1363</v>
      </c>
      <c r="G1157" s="163">
        <v>4</v>
      </c>
      <c r="H1157" s="163">
        <v>7</v>
      </c>
      <c r="I1157" s="163">
        <v>2</v>
      </c>
      <c r="J1157" s="163">
        <v>0</v>
      </c>
      <c r="K1157" s="163">
        <v>1</v>
      </c>
      <c r="L1157" s="163">
        <v>3</v>
      </c>
      <c r="M1157" s="163">
        <v>401</v>
      </c>
      <c r="N1157" s="163">
        <v>249</v>
      </c>
      <c r="O1157" s="163">
        <v>19696</v>
      </c>
      <c r="P1157" s="163">
        <v>138132.41</v>
      </c>
      <c r="Q1157" s="163">
        <v>344.46985037000002</v>
      </c>
      <c r="R1157" s="163">
        <v>7.0132214663000001</v>
      </c>
      <c r="S1157" s="161">
        <v>49.117206983000003</v>
      </c>
      <c r="T1157">
        <f t="shared" si="34"/>
        <v>2.8741616755424525E-6</v>
      </c>
    </row>
    <row r="1158" spans="2:20">
      <c r="B1158" s="163" t="s">
        <v>1611</v>
      </c>
      <c r="C1158" s="163" t="s">
        <v>1612</v>
      </c>
      <c r="D1158" s="163" t="s">
        <v>1576</v>
      </c>
      <c r="E1158" s="163" t="s">
        <v>853</v>
      </c>
      <c r="F1158" s="163" t="s">
        <v>1363</v>
      </c>
      <c r="G1158" s="163">
        <v>4</v>
      </c>
      <c r="H1158" s="163">
        <v>7</v>
      </c>
      <c r="I1158" s="163">
        <v>2</v>
      </c>
      <c r="J1158" s="163">
        <v>0</v>
      </c>
      <c r="K1158" s="163">
        <v>1</v>
      </c>
      <c r="L1158" s="163">
        <v>3</v>
      </c>
      <c r="M1158" s="163">
        <v>374</v>
      </c>
      <c r="N1158" s="163">
        <v>276</v>
      </c>
      <c r="O1158" s="163">
        <v>28115</v>
      </c>
      <c r="P1158" s="163">
        <v>197192.2</v>
      </c>
      <c r="Q1158" s="163">
        <v>527.25187166000001</v>
      </c>
      <c r="R1158" s="163">
        <v>7.0137720078000001</v>
      </c>
      <c r="S1158" s="161">
        <v>75.173796791000001</v>
      </c>
      <c r="T1158">
        <f t="shared" si="34"/>
        <v>4.1027140286289628E-6</v>
      </c>
    </row>
    <row r="1159" spans="2:20">
      <c r="B1159" s="163" t="s">
        <v>1613</v>
      </c>
      <c r="C1159" s="163" t="s">
        <v>1614</v>
      </c>
      <c r="D1159" s="163" t="s">
        <v>1576</v>
      </c>
      <c r="E1159" s="163" t="s">
        <v>853</v>
      </c>
      <c r="F1159" s="163" t="s">
        <v>1363</v>
      </c>
      <c r="G1159" s="163">
        <v>4</v>
      </c>
      <c r="H1159" s="163">
        <v>7</v>
      </c>
      <c r="I1159" s="163">
        <v>2</v>
      </c>
      <c r="J1159" s="163">
        <v>0</v>
      </c>
      <c r="K1159" s="163">
        <v>1</v>
      </c>
      <c r="L1159" s="163">
        <v>3</v>
      </c>
      <c r="M1159" s="163">
        <v>174251.4</v>
      </c>
      <c r="N1159" s="163">
        <v>37717.4</v>
      </c>
      <c r="O1159" s="163">
        <v>1438076.5</v>
      </c>
      <c r="P1159" s="163">
        <v>2458785.105</v>
      </c>
      <c r="Q1159" s="163">
        <v>14.110561551</v>
      </c>
      <c r="R1159" s="163">
        <v>1.70977351</v>
      </c>
      <c r="S1159" s="161">
        <v>8.2528834775999993</v>
      </c>
      <c r="T1159">
        <f t="shared" si="34"/>
        <v>2.0985298348894321E-4</v>
      </c>
    </row>
    <row r="1160" spans="2:20">
      <c r="B1160" s="163" t="s">
        <v>1615</v>
      </c>
      <c r="C1160" s="163" t="s">
        <v>1616</v>
      </c>
      <c r="D1160" s="163" t="s">
        <v>1576</v>
      </c>
      <c r="E1160" s="163" t="s">
        <v>853</v>
      </c>
      <c r="F1160" s="163" t="s">
        <v>1363</v>
      </c>
      <c r="G1160" s="163">
        <v>4</v>
      </c>
      <c r="H1160" s="163">
        <v>7</v>
      </c>
      <c r="I1160" s="163">
        <v>2</v>
      </c>
      <c r="J1160" s="163">
        <v>0</v>
      </c>
      <c r="K1160" s="163">
        <v>1</v>
      </c>
      <c r="L1160" s="163">
        <v>3</v>
      </c>
      <c r="M1160" s="163">
        <v>139317</v>
      </c>
      <c r="N1160" s="163">
        <v>0</v>
      </c>
      <c r="O1160" s="163">
        <v>1217336</v>
      </c>
      <c r="P1160" s="163">
        <v>2619707.33</v>
      </c>
      <c r="Q1160" s="163">
        <v>18.803931537</v>
      </c>
      <c r="R1160" s="163">
        <v>2.1520002118999999</v>
      </c>
      <c r="S1160" s="161">
        <v>8.7378855416000007</v>
      </c>
      <c r="T1160">
        <f t="shared" si="34"/>
        <v>1.7764116965161183E-4</v>
      </c>
    </row>
    <row r="1161" spans="2:20">
      <c r="B1161" s="163" t="s">
        <v>1617</v>
      </c>
      <c r="C1161" s="163" t="s">
        <v>1618</v>
      </c>
      <c r="D1161" s="163" t="s">
        <v>1576</v>
      </c>
      <c r="E1161" s="163" t="s">
        <v>853</v>
      </c>
      <c r="F1161" s="163" t="s">
        <v>1363</v>
      </c>
      <c r="G1161" s="163">
        <v>4</v>
      </c>
      <c r="H1161" s="163">
        <v>7</v>
      </c>
      <c r="I1161" s="163">
        <v>2</v>
      </c>
      <c r="J1161" s="163">
        <v>0</v>
      </c>
      <c r="K1161" s="163">
        <v>1</v>
      </c>
      <c r="L1161" s="163">
        <v>3</v>
      </c>
      <c r="M1161" s="163">
        <v>76401</v>
      </c>
      <c r="N1161" s="163">
        <v>0</v>
      </c>
      <c r="O1161" s="163">
        <v>675507</v>
      </c>
      <c r="P1161" s="163">
        <v>2718240.82</v>
      </c>
      <c r="Q1161" s="163">
        <v>35.578602635999999</v>
      </c>
      <c r="R1161" s="163">
        <v>4.0240009651999999</v>
      </c>
      <c r="S1161" s="161">
        <v>8.8415989320000001</v>
      </c>
      <c r="T1161">
        <f t="shared" si="34"/>
        <v>9.8574143529683969E-5</v>
      </c>
    </row>
    <row r="1162" spans="2:20">
      <c r="B1162" s="163" t="s">
        <v>1619</v>
      </c>
      <c r="C1162" s="163" t="s">
        <v>1620</v>
      </c>
      <c r="D1162" s="163" t="s">
        <v>1576</v>
      </c>
      <c r="E1162" s="163" t="s">
        <v>853</v>
      </c>
      <c r="F1162" s="163" t="s">
        <v>1363</v>
      </c>
      <c r="G1162" s="163">
        <v>4</v>
      </c>
      <c r="H1162" s="163">
        <v>7</v>
      </c>
      <c r="I1162" s="163">
        <v>2</v>
      </c>
      <c r="J1162" s="163">
        <v>0</v>
      </c>
      <c r="K1162" s="163">
        <v>1</v>
      </c>
      <c r="L1162" s="163">
        <v>3</v>
      </c>
      <c r="M1162" s="163">
        <v>34616</v>
      </c>
      <c r="N1162" s="163">
        <v>0</v>
      </c>
      <c r="O1162" s="163">
        <v>307677</v>
      </c>
      <c r="P1162" s="163">
        <v>1726683.64</v>
      </c>
      <c r="Q1162" s="163">
        <v>49.881085046999999</v>
      </c>
      <c r="R1162" s="163">
        <v>5.6120010270999998</v>
      </c>
      <c r="S1162" s="161">
        <v>8.8882886526</v>
      </c>
      <c r="T1162">
        <f t="shared" si="34"/>
        <v>4.4898123570566366E-5</v>
      </c>
    </row>
    <row r="1163" spans="2:20">
      <c r="B1163" s="163" t="s">
        <v>1621</v>
      </c>
      <c r="C1163" s="163" t="s">
        <v>1622</v>
      </c>
      <c r="D1163" s="163" t="s">
        <v>1576</v>
      </c>
      <c r="E1163" s="163" t="s">
        <v>853</v>
      </c>
      <c r="F1163" s="163" t="s">
        <v>1363</v>
      </c>
      <c r="G1163" s="163">
        <v>4</v>
      </c>
      <c r="H1163" s="163">
        <v>7</v>
      </c>
      <c r="I1163" s="163">
        <v>2</v>
      </c>
      <c r="J1163" s="163">
        <v>0</v>
      </c>
      <c r="K1163" s="163">
        <v>1</v>
      </c>
      <c r="L1163" s="163">
        <v>3</v>
      </c>
      <c r="M1163" s="163">
        <v>39377</v>
      </c>
      <c r="N1163" s="163">
        <v>0</v>
      </c>
      <c r="O1163" s="163">
        <v>387236</v>
      </c>
      <c r="P1163" s="163">
        <v>2678894.65</v>
      </c>
      <c r="Q1163" s="163">
        <v>68.031964091000006</v>
      </c>
      <c r="R1163" s="163">
        <v>6.9179896755000003</v>
      </c>
      <c r="S1163" s="161">
        <v>9.8340655713</v>
      </c>
      <c r="T1163">
        <f t="shared" si="34"/>
        <v>5.6507863047845097E-5</v>
      </c>
    </row>
    <row r="1164" spans="2:20">
      <c r="B1164" s="163" t="s">
        <v>1623</v>
      </c>
      <c r="C1164" s="163" t="s">
        <v>1624</v>
      </c>
      <c r="D1164" s="163" t="s">
        <v>1576</v>
      </c>
      <c r="E1164" s="163" t="s">
        <v>853</v>
      </c>
      <c r="F1164" s="163" t="s">
        <v>1363</v>
      </c>
      <c r="G1164" s="163">
        <v>4</v>
      </c>
      <c r="H1164" s="163">
        <v>7</v>
      </c>
      <c r="I1164" s="163">
        <v>2</v>
      </c>
      <c r="J1164" s="163">
        <v>0</v>
      </c>
      <c r="K1164" s="163">
        <v>1</v>
      </c>
      <c r="L1164" s="163">
        <v>3</v>
      </c>
      <c r="M1164" s="163">
        <v>43512.800000000003</v>
      </c>
      <c r="N1164" s="163">
        <v>9424.7999999999993</v>
      </c>
      <c r="O1164" s="163">
        <v>353571.5</v>
      </c>
      <c r="P1164" s="163">
        <v>606226.92299999995</v>
      </c>
      <c r="Q1164" s="163">
        <v>13.932151528</v>
      </c>
      <c r="R1164" s="163">
        <v>1.7145808499999999</v>
      </c>
      <c r="S1164" s="161">
        <v>8.1256894522999996</v>
      </c>
      <c r="T1164">
        <f t="shared" si="34"/>
        <v>5.1595331786355514E-5</v>
      </c>
    </row>
    <row r="1165" spans="2:20">
      <c r="B1165" s="163" t="s">
        <v>1625</v>
      </c>
      <c r="C1165" s="163" t="s">
        <v>1626</v>
      </c>
      <c r="D1165" s="163" t="s">
        <v>1576</v>
      </c>
      <c r="E1165" s="163" t="s">
        <v>853</v>
      </c>
      <c r="F1165" s="163" t="s">
        <v>1363</v>
      </c>
      <c r="G1165" s="163">
        <v>4</v>
      </c>
      <c r="H1165" s="163">
        <v>7</v>
      </c>
      <c r="I1165" s="163">
        <v>2</v>
      </c>
      <c r="J1165" s="163">
        <v>0</v>
      </c>
      <c r="K1165" s="163">
        <v>1</v>
      </c>
      <c r="L1165" s="163">
        <v>3</v>
      </c>
      <c r="M1165" s="163">
        <v>34808</v>
      </c>
      <c r="N1165" s="163">
        <v>0</v>
      </c>
      <c r="O1165" s="163">
        <v>303985</v>
      </c>
      <c r="P1165" s="163">
        <v>654783.27</v>
      </c>
      <c r="Q1165" s="163">
        <v>18.811286772999999</v>
      </c>
      <c r="R1165" s="163">
        <v>2.1539986184000002</v>
      </c>
      <c r="S1165" s="161">
        <v>8.7331935187000003</v>
      </c>
      <c r="T1165">
        <f t="shared" si="34"/>
        <v>4.4359364182563589E-5</v>
      </c>
    </row>
    <row r="1166" spans="2:20">
      <c r="B1166" s="163" t="s">
        <v>1627</v>
      </c>
      <c r="C1166" s="163" t="s">
        <v>1628</v>
      </c>
      <c r="D1166" s="163" t="s">
        <v>1576</v>
      </c>
      <c r="E1166" s="163" t="s">
        <v>853</v>
      </c>
      <c r="F1166" s="163" t="s">
        <v>1363</v>
      </c>
      <c r="G1166" s="163">
        <v>4</v>
      </c>
      <c r="H1166" s="163">
        <v>7</v>
      </c>
      <c r="I1166" s="163">
        <v>2</v>
      </c>
      <c r="J1166" s="163">
        <v>0</v>
      </c>
      <c r="K1166" s="163">
        <v>1</v>
      </c>
      <c r="L1166" s="163">
        <v>3</v>
      </c>
      <c r="M1166" s="163">
        <v>23087</v>
      </c>
      <c r="N1166" s="163">
        <v>0</v>
      </c>
      <c r="O1166" s="163">
        <v>204447</v>
      </c>
      <c r="P1166" s="163">
        <v>823103.26</v>
      </c>
      <c r="Q1166" s="163">
        <v>35.652239788999999</v>
      </c>
      <c r="R1166" s="163">
        <v>4.0259982293999999</v>
      </c>
      <c r="S1166" s="161">
        <v>8.8555030969999997</v>
      </c>
      <c r="T1166">
        <f t="shared" si="34"/>
        <v>2.9834165926057463E-5</v>
      </c>
    </row>
    <row r="1167" spans="2:20">
      <c r="B1167" s="163" t="s">
        <v>1629</v>
      </c>
      <c r="C1167" s="163" t="s">
        <v>1630</v>
      </c>
      <c r="D1167" s="163" t="s">
        <v>1576</v>
      </c>
      <c r="E1167" s="163" t="s">
        <v>853</v>
      </c>
      <c r="F1167" s="163" t="s">
        <v>1363</v>
      </c>
      <c r="G1167" s="163">
        <v>4</v>
      </c>
      <c r="H1167" s="163">
        <v>7</v>
      </c>
      <c r="I1167" s="163">
        <v>2</v>
      </c>
      <c r="J1167" s="163">
        <v>0</v>
      </c>
      <c r="K1167" s="163">
        <v>1</v>
      </c>
      <c r="L1167" s="163">
        <v>3</v>
      </c>
      <c r="M1167" s="163">
        <v>11441</v>
      </c>
      <c r="N1167" s="163">
        <v>0</v>
      </c>
      <c r="O1167" s="163">
        <v>102998</v>
      </c>
      <c r="P1167" s="163">
        <v>578229.56000000006</v>
      </c>
      <c r="Q1167" s="163">
        <v>50.540124114999998</v>
      </c>
      <c r="R1167" s="163">
        <v>5.6139882327999997</v>
      </c>
      <c r="S1167" s="161">
        <v>9.0025347435</v>
      </c>
      <c r="T1167">
        <f t="shared" si="34"/>
        <v>1.5030102775056942E-5</v>
      </c>
    </row>
    <row r="1168" spans="2:20">
      <c r="B1168" s="163" t="s">
        <v>1631</v>
      </c>
      <c r="C1168" s="163" t="s">
        <v>1632</v>
      </c>
      <c r="D1168" s="163" t="s">
        <v>1576</v>
      </c>
      <c r="E1168" s="163" t="s">
        <v>853</v>
      </c>
      <c r="F1168" s="163" t="s">
        <v>1363</v>
      </c>
      <c r="G1168" s="163">
        <v>4</v>
      </c>
      <c r="H1168" s="163">
        <v>7</v>
      </c>
      <c r="I1168" s="163">
        <v>2</v>
      </c>
      <c r="J1168" s="163">
        <v>0</v>
      </c>
      <c r="K1168" s="163">
        <v>1</v>
      </c>
      <c r="L1168" s="163">
        <v>3</v>
      </c>
      <c r="M1168" s="163">
        <v>11833</v>
      </c>
      <c r="N1168" s="163">
        <v>0</v>
      </c>
      <c r="O1168" s="163">
        <v>113301</v>
      </c>
      <c r="P1168" s="163">
        <v>784042.46</v>
      </c>
      <c r="Q1168" s="163">
        <v>66.258975746000004</v>
      </c>
      <c r="R1168" s="163">
        <v>6.9199959399999997</v>
      </c>
      <c r="S1168" s="161">
        <v>9.5750021127</v>
      </c>
      <c r="T1168">
        <f t="shared" si="34"/>
        <v>1.6533580016279213E-5</v>
      </c>
    </row>
    <row r="1169" spans="2:20">
      <c r="B1169" s="163" t="s">
        <v>1633</v>
      </c>
      <c r="C1169" s="163" t="s">
        <v>1634</v>
      </c>
      <c r="D1169" s="163" t="s">
        <v>1576</v>
      </c>
      <c r="E1169" s="163" t="s">
        <v>853</v>
      </c>
      <c r="F1169" s="163" t="s">
        <v>1363</v>
      </c>
      <c r="G1169" s="163">
        <v>4</v>
      </c>
      <c r="H1169" s="163">
        <v>7</v>
      </c>
      <c r="I1169" s="163">
        <v>2</v>
      </c>
      <c r="J1169" s="163">
        <v>0</v>
      </c>
      <c r="K1169" s="163">
        <v>1</v>
      </c>
      <c r="L1169" s="163">
        <v>3</v>
      </c>
      <c r="M1169" s="163">
        <v>33725</v>
      </c>
      <c r="N1169" s="163">
        <v>21050</v>
      </c>
      <c r="O1169" s="163">
        <v>271733</v>
      </c>
      <c r="P1169" s="163">
        <v>840197.87</v>
      </c>
      <c r="Q1169" s="163">
        <v>24.91320593</v>
      </c>
      <c r="R1169" s="163">
        <v>3.0919979171</v>
      </c>
      <c r="S1169" s="161">
        <v>8.0573165307999997</v>
      </c>
      <c r="T1169">
        <f t="shared" si="34"/>
        <v>3.9652953624095108E-5</v>
      </c>
    </row>
    <row r="1170" spans="2:20">
      <c r="B1170" s="163" t="s">
        <v>1635</v>
      </c>
      <c r="C1170" s="163" t="s">
        <v>1636</v>
      </c>
      <c r="D1170" s="163" t="s">
        <v>1576</v>
      </c>
      <c r="E1170" s="163" t="s">
        <v>853</v>
      </c>
      <c r="F1170" s="163" t="s">
        <v>1363</v>
      </c>
      <c r="G1170" s="163">
        <v>4</v>
      </c>
      <c r="H1170" s="163">
        <v>7</v>
      </c>
      <c r="I1170" s="163">
        <v>2</v>
      </c>
      <c r="J1170" s="163">
        <v>0</v>
      </c>
      <c r="K1170" s="163">
        <v>1</v>
      </c>
      <c r="L1170" s="163">
        <v>3</v>
      </c>
      <c r="M1170" s="163">
        <v>375</v>
      </c>
      <c r="N1170" s="163">
        <v>0</v>
      </c>
      <c r="O1170" s="163">
        <v>3038</v>
      </c>
      <c r="P1170" s="163">
        <v>13907.98</v>
      </c>
      <c r="Q1170" s="163">
        <v>37.087946666999997</v>
      </c>
      <c r="R1170" s="163">
        <v>4.5780052666</v>
      </c>
      <c r="S1170" s="161">
        <v>8.1013333332999995</v>
      </c>
      <c r="T1170">
        <f t="shared" si="34"/>
        <v>4.4332367842698876E-7</v>
      </c>
    </row>
    <row r="1171" spans="2:20">
      <c r="B1171" s="163" t="s">
        <v>1637</v>
      </c>
      <c r="C1171" s="163" t="s">
        <v>1638</v>
      </c>
      <c r="D1171" s="163" t="s">
        <v>1576</v>
      </c>
      <c r="E1171" s="163" t="s">
        <v>853</v>
      </c>
      <c r="F1171" s="163" t="s">
        <v>1363</v>
      </c>
      <c r="G1171" s="163">
        <v>4</v>
      </c>
      <c r="H1171" s="163">
        <v>7</v>
      </c>
      <c r="I1171" s="163">
        <v>2</v>
      </c>
      <c r="J1171" s="163">
        <v>0</v>
      </c>
      <c r="K1171" s="163">
        <v>1</v>
      </c>
      <c r="L1171" s="163">
        <v>3</v>
      </c>
      <c r="M1171" s="163">
        <v>405</v>
      </c>
      <c r="N1171" s="163">
        <v>0</v>
      </c>
      <c r="O1171" s="163">
        <v>4358</v>
      </c>
      <c r="P1171" s="163">
        <v>37278.33</v>
      </c>
      <c r="Q1171" s="163">
        <v>92.045259259000005</v>
      </c>
      <c r="R1171" s="163">
        <v>8.5539995410999996</v>
      </c>
      <c r="S1171" s="161">
        <v>10.760493826999999</v>
      </c>
      <c r="T1171">
        <f t="shared" si="34"/>
        <v>6.3594621151573956E-7</v>
      </c>
    </row>
    <row r="1172" spans="2:20">
      <c r="B1172" s="163" t="s">
        <v>1639</v>
      </c>
      <c r="C1172" s="163" t="s">
        <v>1640</v>
      </c>
      <c r="D1172" s="163" t="s">
        <v>1576</v>
      </c>
      <c r="E1172" s="163" t="s">
        <v>853</v>
      </c>
      <c r="F1172" s="163" t="s">
        <v>1363</v>
      </c>
      <c r="G1172" s="163">
        <v>4</v>
      </c>
      <c r="H1172" s="163">
        <v>7</v>
      </c>
      <c r="I1172" s="163">
        <v>2</v>
      </c>
      <c r="J1172" s="163">
        <v>0</v>
      </c>
      <c r="K1172" s="163">
        <v>1</v>
      </c>
      <c r="L1172" s="163">
        <v>3</v>
      </c>
      <c r="M1172" s="163">
        <v>210</v>
      </c>
      <c r="N1172" s="163">
        <v>0</v>
      </c>
      <c r="O1172" s="163">
        <v>1991</v>
      </c>
      <c r="P1172" s="163">
        <v>23740.68</v>
      </c>
      <c r="Q1172" s="163">
        <v>113.05085714000001</v>
      </c>
      <c r="R1172" s="163">
        <v>11.923997991</v>
      </c>
      <c r="S1172" s="161">
        <v>9.4809523809999998</v>
      </c>
      <c r="T1172">
        <f t="shared" si="34"/>
        <v>2.9053898740886591E-7</v>
      </c>
    </row>
    <row r="1173" spans="2:20">
      <c r="B1173" s="163" t="s">
        <v>1641</v>
      </c>
      <c r="C1173" s="163" t="s">
        <v>1642</v>
      </c>
      <c r="D1173" s="163" t="s">
        <v>1576</v>
      </c>
      <c r="E1173" s="163" t="s">
        <v>853</v>
      </c>
      <c r="F1173" s="163" t="s">
        <v>1363</v>
      </c>
      <c r="G1173" s="163">
        <v>4</v>
      </c>
      <c r="H1173" s="163">
        <v>7</v>
      </c>
      <c r="I1173" s="163">
        <v>2</v>
      </c>
      <c r="J1173" s="163">
        <v>0</v>
      </c>
      <c r="K1173" s="163">
        <v>1</v>
      </c>
      <c r="L1173" s="163">
        <v>3</v>
      </c>
      <c r="M1173" s="163">
        <v>134</v>
      </c>
      <c r="N1173" s="163">
        <v>0</v>
      </c>
      <c r="O1173" s="163">
        <v>1246</v>
      </c>
      <c r="P1173" s="163">
        <v>18313.71</v>
      </c>
      <c r="Q1173" s="163">
        <v>136.66947761</v>
      </c>
      <c r="R1173" s="163">
        <v>14.698001605</v>
      </c>
      <c r="S1173" s="161">
        <v>9.2985074626999999</v>
      </c>
      <c r="T1173">
        <f t="shared" si="34"/>
        <v>1.8182399714286634E-7</v>
      </c>
    </row>
    <row r="1174" spans="2:20">
      <c r="B1174" s="163" t="s">
        <v>1643</v>
      </c>
      <c r="C1174" s="163" t="s">
        <v>1644</v>
      </c>
      <c r="D1174" s="163" t="s">
        <v>1576</v>
      </c>
      <c r="E1174" s="163" t="s">
        <v>853</v>
      </c>
      <c r="F1174" s="163" t="s">
        <v>1363</v>
      </c>
      <c r="G1174" s="163">
        <v>4</v>
      </c>
      <c r="H1174" s="163">
        <v>7</v>
      </c>
      <c r="I1174" s="163">
        <v>2</v>
      </c>
      <c r="J1174" s="163">
        <v>0</v>
      </c>
      <c r="K1174" s="163">
        <v>1</v>
      </c>
      <c r="L1174" s="163">
        <v>3</v>
      </c>
      <c r="M1174" s="163">
        <v>4090</v>
      </c>
      <c r="N1174" s="163">
        <v>1473</v>
      </c>
      <c r="O1174" s="163">
        <v>164392</v>
      </c>
      <c r="P1174" s="163">
        <v>820962.09</v>
      </c>
      <c r="Q1174" s="163">
        <v>200.72422738</v>
      </c>
      <c r="R1174" s="163">
        <v>4.9939296924000001</v>
      </c>
      <c r="S1174" s="161">
        <v>40.193643031999997</v>
      </c>
      <c r="T1174">
        <f t="shared" si="34"/>
        <v>2.3989093529943888E-5</v>
      </c>
    </row>
    <row r="1175" spans="2:20">
      <c r="B1175" s="163" t="s">
        <v>1645</v>
      </c>
      <c r="C1175" s="163" t="s">
        <v>1646</v>
      </c>
      <c r="D1175" s="163" t="s">
        <v>1576</v>
      </c>
      <c r="E1175" s="163" t="s">
        <v>853</v>
      </c>
      <c r="F1175" s="163" t="s">
        <v>1363</v>
      </c>
      <c r="G1175" s="163">
        <v>4</v>
      </c>
      <c r="H1175" s="163">
        <v>7</v>
      </c>
      <c r="I1175" s="163">
        <v>2</v>
      </c>
      <c r="J1175" s="163">
        <v>0</v>
      </c>
      <c r="K1175" s="163">
        <v>1</v>
      </c>
      <c r="L1175" s="163">
        <v>3</v>
      </c>
      <c r="M1175" s="163">
        <v>2782</v>
      </c>
      <c r="N1175" s="163">
        <v>704</v>
      </c>
      <c r="O1175" s="163">
        <v>126871</v>
      </c>
      <c r="P1175" s="163">
        <v>633461.44999999995</v>
      </c>
      <c r="Q1175" s="163">
        <v>227.70001797</v>
      </c>
      <c r="R1175" s="163">
        <v>4.9929570193000004</v>
      </c>
      <c r="S1175" s="161">
        <v>45.604241553000001</v>
      </c>
      <c r="T1175">
        <f t="shared" si="34"/>
        <v>1.8513798026896146E-5</v>
      </c>
    </row>
    <row r="1176" spans="2:20">
      <c r="B1176" s="163" t="s">
        <v>1647</v>
      </c>
      <c r="C1176" s="163" t="s">
        <v>1648</v>
      </c>
      <c r="D1176" s="163" t="s">
        <v>1576</v>
      </c>
      <c r="E1176" s="163" t="s">
        <v>853</v>
      </c>
      <c r="F1176" s="163" t="s">
        <v>1363</v>
      </c>
      <c r="G1176" s="163">
        <v>4</v>
      </c>
      <c r="H1176" s="163">
        <v>7</v>
      </c>
      <c r="I1176" s="163">
        <v>2</v>
      </c>
      <c r="J1176" s="163">
        <v>0</v>
      </c>
      <c r="K1176" s="163">
        <v>1</v>
      </c>
      <c r="L1176" s="163">
        <v>3</v>
      </c>
      <c r="M1176" s="163">
        <v>485</v>
      </c>
      <c r="N1176" s="163">
        <v>186</v>
      </c>
      <c r="O1176" s="163">
        <v>29314</v>
      </c>
      <c r="P1176" s="163">
        <v>146377.71</v>
      </c>
      <c r="Q1176" s="163">
        <v>301.80971133999998</v>
      </c>
      <c r="R1176" s="163">
        <v>4.9934403356999999</v>
      </c>
      <c r="S1176" s="161">
        <v>60.441237113</v>
      </c>
      <c r="T1176">
        <f t="shared" si="34"/>
        <v>4.2776794961845777E-6</v>
      </c>
    </row>
    <row r="1177" spans="2:20">
      <c r="B1177" s="163" t="s">
        <v>1649</v>
      </c>
      <c r="C1177" s="163" t="s">
        <v>1650</v>
      </c>
      <c r="D1177" s="163" t="s">
        <v>1576</v>
      </c>
      <c r="E1177" s="163" t="s">
        <v>853</v>
      </c>
      <c r="F1177" s="163" t="s">
        <v>1363</v>
      </c>
      <c r="G1177" s="163">
        <v>4</v>
      </c>
      <c r="H1177" s="163">
        <v>7</v>
      </c>
      <c r="I1177" s="163">
        <v>2</v>
      </c>
      <c r="J1177" s="163">
        <v>0</v>
      </c>
      <c r="K1177" s="163">
        <v>1</v>
      </c>
      <c r="L1177" s="163">
        <v>3</v>
      </c>
      <c r="M1177" s="163">
        <v>1032</v>
      </c>
      <c r="N1177" s="163">
        <v>227</v>
      </c>
      <c r="O1177" s="163">
        <v>64611</v>
      </c>
      <c r="P1177" s="163">
        <v>322567.46000000002</v>
      </c>
      <c r="Q1177" s="163">
        <v>312.56536821999998</v>
      </c>
      <c r="R1177" s="163">
        <v>4.9924542260999996</v>
      </c>
      <c r="S1177" s="161">
        <v>62.607558140000002</v>
      </c>
      <c r="T1177">
        <f t="shared" si="34"/>
        <v>9.4284352162100625E-6</v>
      </c>
    </row>
    <row r="1178" spans="2:20">
      <c r="B1178" s="163" t="s">
        <v>1651</v>
      </c>
      <c r="C1178" s="163" t="s">
        <v>1652</v>
      </c>
      <c r="D1178" s="163" t="s">
        <v>1576</v>
      </c>
      <c r="E1178" s="163" t="s">
        <v>853</v>
      </c>
      <c r="F1178" s="163" t="s">
        <v>1363</v>
      </c>
      <c r="G1178" s="163">
        <v>4</v>
      </c>
      <c r="H1178" s="163">
        <v>7</v>
      </c>
      <c r="I1178" s="163">
        <v>2</v>
      </c>
      <c r="J1178" s="163">
        <v>0</v>
      </c>
      <c r="K1178" s="163">
        <v>1</v>
      </c>
      <c r="L1178" s="163">
        <v>3</v>
      </c>
      <c r="M1178" s="163">
        <v>437</v>
      </c>
      <c r="N1178" s="163">
        <v>216</v>
      </c>
      <c r="O1178" s="163">
        <v>24813</v>
      </c>
      <c r="P1178" s="163">
        <v>123816.87</v>
      </c>
      <c r="Q1178" s="163">
        <v>283.33379862999999</v>
      </c>
      <c r="R1178" s="163">
        <v>4.99</v>
      </c>
      <c r="S1178" s="161">
        <v>56.780320365999998</v>
      </c>
      <c r="T1178">
        <f t="shared" si="34"/>
        <v>3.6208658435842238E-6</v>
      </c>
    </row>
    <row r="1179" spans="2:20">
      <c r="B1179" s="163" t="s">
        <v>1653</v>
      </c>
      <c r="C1179" s="163" t="s">
        <v>1654</v>
      </c>
      <c r="D1179" s="163" t="s">
        <v>1576</v>
      </c>
      <c r="E1179" s="163" t="s">
        <v>853</v>
      </c>
      <c r="F1179" s="163" t="s">
        <v>1363</v>
      </c>
      <c r="G1179" s="163">
        <v>4</v>
      </c>
      <c r="H1179" s="163">
        <v>7</v>
      </c>
      <c r="I1179" s="163">
        <v>2</v>
      </c>
      <c r="J1179" s="163">
        <v>0</v>
      </c>
      <c r="K1179" s="163">
        <v>1</v>
      </c>
      <c r="L1179" s="163">
        <v>3</v>
      </c>
      <c r="M1179" s="163">
        <v>485</v>
      </c>
      <c r="N1179" s="163">
        <v>191</v>
      </c>
      <c r="O1179" s="163">
        <v>30559</v>
      </c>
      <c r="P1179" s="163">
        <v>152489.41</v>
      </c>
      <c r="Q1179" s="163">
        <v>314.41115464000001</v>
      </c>
      <c r="R1179" s="163">
        <v>4.99</v>
      </c>
      <c r="S1179" s="161">
        <v>63.008247423</v>
      </c>
      <c r="T1179">
        <f t="shared" si="34"/>
        <v>4.4593575671660133E-6</v>
      </c>
    </row>
    <row r="1180" spans="2:20">
      <c r="B1180" s="163" t="s">
        <v>1655</v>
      </c>
      <c r="C1180" s="163" t="s">
        <v>1656</v>
      </c>
      <c r="D1180" s="163" t="s">
        <v>1576</v>
      </c>
      <c r="E1180" s="163" t="s">
        <v>853</v>
      </c>
      <c r="F1180" s="163" t="s">
        <v>1363</v>
      </c>
      <c r="G1180" s="163">
        <v>4</v>
      </c>
      <c r="H1180" s="163">
        <v>7</v>
      </c>
      <c r="I1180" s="163">
        <v>2</v>
      </c>
      <c r="J1180" s="163">
        <v>0</v>
      </c>
      <c r="K1180" s="163">
        <v>1</v>
      </c>
      <c r="L1180" s="163">
        <v>3</v>
      </c>
      <c r="M1180" s="163">
        <v>2719</v>
      </c>
      <c r="N1180" s="163">
        <v>2175</v>
      </c>
      <c r="O1180" s="163">
        <v>127566</v>
      </c>
      <c r="P1180" s="163">
        <v>636554.34</v>
      </c>
      <c r="Q1180" s="163">
        <v>234.11340199</v>
      </c>
      <c r="R1180" s="163">
        <v>4.99</v>
      </c>
      <c r="S1180" s="161">
        <v>46.916513424000001</v>
      </c>
      <c r="T1180">
        <f t="shared" si="34"/>
        <v>1.8615216709090601E-5</v>
      </c>
    </row>
    <row r="1181" spans="2:20">
      <c r="B1181" s="163" t="s">
        <v>1657</v>
      </c>
      <c r="C1181" s="163" t="s">
        <v>1658</v>
      </c>
      <c r="D1181" s="163" t="s">
        <v>1576</v>
      </c>
      <c r="E1181" s="163" t="s">
        <v>853</v>
      </c>
      <c r="F1181" s="163" t="s">
        <v>1363</v>
      </c>
      <c r="G1181" s="163">
        <v>4</v>
      </c>
      <c r="H1181" s="163">
        <v>7</v>
      </c>
      <c r="I1181" s="163">
        <v>2</v>
      </c>
      <c r="J1181" s="163">
        <v>0</v>
      </c>
      <c r="K1181" s="163">
        <v>1</v>
      </c>
      <c r="L1181" s="163">
        <v>3</v>
      </c>
      <c r="M1181" s="163">
        <v>2272</v>
      </c>
      <c r="N1181" s="163">
        <v>1722</v>
      </c>
      <c r="O1181" s="163">
        <v>134843</v>
      </c>
      <c r="P1181" s="163">
        <v>672866.57</v>
      </c>
      <c r="Q1181" s="163">
        <v>296.15606073999999</v>
      </c>
      <c r="R1181" s="163">
        <v>4.99</v>
      </c>
      <c r="S1181" s="161">
        <v>59.349911972000001</v>
      </c>
      <c r="T1181">
        <f t="shared" si="34"/>
        <v>1.9677121385823056E-5</v>
      </c>
    </row>
    <row r="1182" spans="2:20">
      <c r="B1182" s="163" t="s">
        <v>1659</v>
      </c>
      <c r="C1182" s="163" t="s">
        <v>1660</v>
      </c>
      <c r="D1182" s="163" t="s">
        <v>1576</v>
      </c>
      <c r="E1182" s="163" t="s">
        <v>853</v>
      </c>
      <c r="F1182" s="163" t="s">
        <v>1363</v>
      </c>
      <c r="G1182" s="163">
        <v>4</v>
      </c>
      <c r="H1182" s="163">
        <v>7</v>
      </c>
      <c r="I1182" s="163">
        <v>2</v>
      </c>
      <c r="J1182" s="163">
        <v>0</v>
      </c>
      <c r="K1182" s="163">
        <v>1</v>
      </c>
      <c r="L1182" s="163">
        <v>3</v>
      </c>
      <c r="M1182" s="163">
        <v>1690</v>
      </c>
      <c r="N1182" s="163">
        <v>1412</v>
      </c>
      <c r="O1182" s="163">
        <v>86753</v>
      </c>
      <c r="P1182" s="163">
        <v>432897.47</v>
      </c>
      <c r="Q1182" s="163">
        <v>256.15234910999999</v>
      </c>
      <c r="R1182" s="163">
        <v>4.99</v>
      </c>
      <c r="S1182" s="161">
        <v>51.333136095</v>
      </c>
      <c r="T1182">
        <f t="shared" si="34"/>
        <v>1.2659532282612427E-5</v>
      </c>
    </row>
    <row r="1183" spans="2:20">
      <c r="B1183" s="163" t="s">
        <v>1661</v>
      </c>
      <c r="C1183" s="163" t="s">
        <v>1662</v>
      </c>
      <c r="D1183" s="163" t="s">
        <v>1576</v>
      </c>
      <c r="E1183" s="163" t="s">
        <v>853</v>
      </c>
      <c r="F1183" s="163" t="s">
        <v>1363</v>
      </c>
      <c r="G1183" s="163">
        <v>4</v>
      </c>
      <c r="H1183" s="163">
        <v>7</v>
      </c>
      <c r="I1183" s="163">
        <v>2</v>
      </c>
      <c r="J1183" s="163">
        <v>0</v>
      </c>
      <c r="K1183" s="163">
        <v>1</v>
      </c>
      <c r="L1183" s="163">
        <v>3</v>
      </c>
      <c r="M1183" s="163">
        <v>436</v>
      </c>
      <c r="N1183" s="163">
        <v>261</v>
      </c>
      <c r="O1183" s="163">
        <v>26168</v>
      </c>
      <c r="P1183" s="163">
        <v>130578.32</v>
      </c>
      <c r="Q1183" s="163">
        <v>299.49155962999998</v>
      </c>
      <c r="R1183" s="163">
        <v>4.99</v>
      </c>
      <c r="S1183" s="161">
        <v>60.018348623999998</v>
      </c>
      <c r="T1183">
        <f t="shared" si="34"/>
        <v>3.8185957923230551E-6</v>
      </c>
    </row>
    <row r="1184" spans="2:20">
      <c r="B1184" s="163" t="s">
        <v>1663</v>
      </c>
      <c r="C1184" s="163" t="s">
        <v>1664</v>
      </c>
      <c r="D1184" s="163" t="s">
        <v>1576</v>
      </c>
      <c r="E1184" s="163" t="s">
        <v>853</v>
      </c>
      <c r="F1184" s="163" t="s">
        <v>1363</v>
      </c>
      <c r="G1184" s="163">
        <v>4</v>
      </c>
      <c r="H1184" s="163">
        <v>7</v>
      </c>
      <c r="I1184" s="163">
        <v>2</v>
      </c>
      <c r="J1184" s="163">
        <v>0</v>
      </c>
      <c r="K1184" s="163">
        <v>1</v>
      </c>
      <c r="L1184" s="163">
        <v>3</v>
      </c>
      <c r="M1184" s="163">
        <v>242</v>
      </c>
      <c r="N1184" s="163">
        <v>97</v>
      </c>
      <c r="O1184" s="163">
        <v>20244</v>
      </c>
      <c r="P1184" s="163">
        <v>101017.56</v>
      </c>
      <c r="Q1184" s="163">
        <v>417.42793388000001</v>
      </c>
      <c r="R1184" s="163">
        <v>4.99</v>
      </c>
      <c r="S1184" s="161">
        <v>83.652892562000005</v>
      </c>
      <c r="T1184">
        <f t="shared" si="34"/>
        <v>2.9541292120065703E-6</v>
      </c>
    </row>
    <row r="1185" spans="2:20">
      <c r="B1185" s="163" t="s">
        <v>1665</v>
      </c>
      <c r="C1185" s="163" t="s">
        <v>1666</v>
      </c>
      <c r="D1185" s="163" t="s">
        <v>1576</v>
      </c>
      <c r="E1185" s="163" t="s">
        <v>853</v>
      </c>
      <c r="F1185" s="163" t="s">
        <v>1363</v>
      </c>
      <c r="G1185" s="163">
        <v>4</v>
      </c>
      <c r="H1185" s="163">
        <v>7</v>
      </c>
      <c r="I1185" s="163">
        <v>2</v>
      </c>
      <c r="J1185" s="163">
        <v>0</v>
      </c>
      <c r="K1185" s="163">
        <v>1</v>
      </c>
      <c r="L1185" s="163">
        <v>3</v>
      </c>
      <c r="M1185" s="163">
        <v>3</v>
      </c>
      <c r="N1185" s="163">
        <v>0</v>
      </c>
      <c r="O1185" s="163">
        <v>20</v>
      </c>
      <c r="P1185" s="163">
        <v>107.76</v>
      </c>
      <c r="Q1185" s="163">
        <v>35.92</v>
      </c>
      <c r="R1185" s="163">
        <v>5.3879999999999999</v>
      </c>
      <c r="S1185" s="161">
        <v>6.6666666667000003</v>
      </c>
      <c r="T1185">
        <f t="shared" si="34"/>
        <v>2.9185232286174376E-9</v>
      </c>
    </row>
    <row r="1186" spans="2:20">
      <c r="B1186" s="163" t="s">
        <v>1667</v>
      </c>
      <c r="C1186" s="163" t="s">
        <v>1668</v>
      </c>
      <c r="D1186" s="163" t="s">
        <v>1576</v>
      </c>
      <c r="E1186" s="163" t="s">
        <v>853</v>
      </c>
      <c r="F1186" s="163" t="s">
        <v>1363</v>
      </c>
      <c r="G1186" s="163">
        <v>4</v>
      </c>
      <c r="H1186" s="163">
        <v>7</v>
      </c>
      <c r="I1186" s="163">
        <v>2</v>
      </c>
      <c r="J1186" s="163">
        <v>0</v>
      </c>
      <c r="K1186" s="163">
        <v>1</v>
      </c>
      <c r="L1186" s="163">
        <v>3</v>
      </c>
      <c r="M1186" s="163">
        <v>2</v>
      </c>
      <c r="N1186" s="163">
        <v>0</v>
      </c>
      <c r="O1186" s="163">
        <v>10</v>
      </c>
      <c r="P1186" s="163">
        <v>100.64</v>
      </c>
      <c r="Q1186" s="163">
        <v>50.32</v>
      </c>
      <c r="R1186" s="163">
        <v>10.064</v>
      </c>
      <c r="S1186" s="161">
        <v>5</v>
      </c>
      <c r="T1186">
        <f t="shared" si="34"/>
        <v>1.4592616143087188E-9</v>
      </c>
    </row>
    <row r="1187" spans="2:20">
      <c r="B1187" s="163" t="s">
        <v>1669</v>
      </c>
      <c r="C1187" s="163" t="s">
        <v>1670</v>
      </c>
      <c r="D1187" s="163" t="s">
        <v>1576</v>
      </c>
      <c r="E1187" s="163" t="s">
        <v>853</v>
      </c>
      <c r="F1187" s="163" t="s">
        <v>1363</v>
      </c>
      <c r="G1187" s="163">
        <v>4</v>
      </c>
      <c r="H1187" s="163">
        <v>7</v>
      </c>
      <c r="I1187" s="163">
        <v>2</v>
      </c>
      <c r="J1187" s="163">
        <v>0</v>
      </c>
      <c r="K1187" s="163">
        <v>1</v>
      </c>
      <c r="L1187" s="163">
        <v>3</v>
      </c>
      <c r="M1187" s="163">
        <v>1</v>
      </c>
      <c r="N1187" s="163">
        <v>0</v>
      </c>
      <c r="O1187" s="163">
        <v>10</v>
      </c>
      <c r="P1187" s="163">
        <v>172.92</v>
      </c>
      <c r="Q1187" s="163">
        <v>172.92</v>
      </c>
      <c r="R1187" s="163">
        <v>17.292000000000002</v>
      </c>
      <c r="S1187" s="161">
        <v>10</v>
      </c>
      <c r="T1187">
        <f t="shared" si="34"/>
        <v>1.4592616143087188E-9</v>
      </c>
    </row>
    <row r="1188" spans="2:20">
      <c r="B1188" s="163" t="s">
        <v>1671</v>
      </c>
      <c r="C1188" s="163" t="s">
        <v>1672</v>
      </c>
      <c r="D1188" s="163" t="s">
        <v>1576</v>
      </c>
      <c r="E1188" s="163" t="s">
        <v>853</v>
      </c>
      <c r="F1188" s="163" t="s">
        <v>1363</v>
      </c>
      <c r="G1188" s="163">
        <v>4</v>
      </c>
      <c r="H1188" s="163">
        <v>7</v>
      </c>
      <c r="I1188" s="163">
        <v>2</v>
      </c>
      <c r="J1188" s="163">
        <v>0</v>
      </c>
      <c r="K1188" s="163">
        <v>1</v>
      </c>
      <c r="L1188" s="163">
        <v>3</v>
      </c>
      <c r="M1188" s="163">
        <v>441</v>
      </c>
      <c r="N1188" s="163">
        <v>0</v>
      </c>
      <c r="O1188" s="163">
        <v>4081</v>
      </c>
      <c r="P1188" s="163">
        <v>21131.41</v>
      </c>
      <c r="Q1188" s="163">
        <v>47.917029478000003</v>
      </c>
      <c r="R1188" s="163">
        <v>5.1779980397000003</v>
      </c>
      <c r="S1188" s="161">
        <v>9.2539682540000001</v>
      </c>
      <c r="T1188">
        <f t="shared" si="34"/>
        <v>5.9552466479938814E-7</v>
      </c>
    </row>
    <row r="1189" spans="2:20">
      <c r="B1189" s="163" t="s">
        <v>1673</v>
      </c>
      <c r="C1189" s="163" t="s">
        <v>1674</v>
      </c>
      <c r="D1189" s="163" t="s">
        <v>1576</v>
      </c>
      <c r="E1189" s="163" t="s">
        <v>853</v>
      </c>
      <c r="F1189" s="163" t="s">
        <v>1363</v>
      </c>
      <c r="G1189" s="163">
        <v>4</v>
      </c>
      <c r="H1189" s="163">
        <v>7</v>
      </c>
      <c r="I1189" s="163">
        <v>2</v>
      </c>
      <c r="J1189" s="163">
        <v>0</v>
      </c>
      <c r="K1189" s="163">
        <v>1</v>
      </c>
      <c r="L1189" s="163">
        <v>3</v>
      </c>
      <c r="M1189" s="163">
        <v>284</v>
      </c>
      <c r="N1189" s="163">
        <v>0</v>
      </c>
      <c r="O1189" s="163">
        <v>2568</v>
      </c>
      <c r="P1189" s="163">
        <v>24837.7</v>
      </c>
      <c r="Q1189" s="163">
        <v>87.456690140999996</v>
      </c>
      <c r="R1189" s="163">
        <v>9.6720015575999998</v>
      </c>
      <c r="S1189" s="161">
        <v>9.0422535210999992</v>
      </c>
      <c r="T1189">
        <f t="shared" si="34"/>
        <v>3.7473838255447898E-7</v>
      </c>
    </row>
    <row r="1190" spans="2:20">
      <c r="B1190" s="163" t="s">
        <v>1675</v>
      </c>
      <c r="C1190" s="163" t="s">
        <v>1676</v>
      </c>
      <c r="D1190" s="163" t="s">
        <v>1576</v>
      </c>
      <c r="E1190" s="163" t="s">
        <v>853</v>
      </c>
      <c r="F1190" s="163" t="s">
        <v>1363</v>
      </c>
      <c r="G1190" s="163">
        <v>4</v>
      </c>
      <c r="H1190" s="163">
        <v>7</v>
      </c>
      <c r="I1190" s="163">
        <v>2</v>
      </c>
      <c r="J1190" s="163">
        <v>0</v>
      </c>
      <c r="K1190" s="163">
        <v>1</v>
      </c>
      <c r="L1190" s="163">
        <v>3</v>
      </c>
      <c r="M1190" s="163">
        <v>116</v>
      </c>
      <c r="N1190" s="163">
        <v>0</v>
      </c>
      <c r="O1190" s="163">
        <v>1003</v>
      </c>
      <c r="P1190" s="163">
        <v>13522.45</v>
      </c>
      <c r="Q1190" s="163">
        <v>116.57284482999999</v>
      </c>
      <c r="R1190" s="163">
        <v>13.482003988000001</v>
      </c>
      <c r="S1190" s="161">
        <v>8.6465517241000001</v>
      </c>
      <c r="T1190">
        <f t="shared" si="34"/>
        <v>1.4636393991516448E-7</v>
      </c>
    </row>
    <row r="1191" spans="2:20">
      <c r="B1191" s="163" t="s">
        <v>1677</v>
      </c>
      <c r="C1191" s="163" t="s">
        <v>1678</v>
      </c>
      <c r="D1191" s="163" t="s">
        <v>1576</v>
      </c>
      <c r="E1191" s="163" t="s">
        <v>853</v>
      </c>
      <c r="F1191" s="163" t="s">
        <v>1363</v>
      </c>
      <c r="G1191" s="163">
        <v>4</v>
      </c>
      <c r="H1191" s="163">
        <v>7</v>
      </c>
      <c r="I1191" s="163">
        <v>2</v>
      </c>
      <c r="J1191" s="163">
        <v>0</v>
      </c>
      <c r="K1191" s="163">
        <v>1</v>
      </c>
      <c r="L1191" s="163">
        <v>3</v>
      </c>
      <c r="M1191" s="163">
        <v>256</v>
      </c>
      <c r="N1191" s="163">
        <v>0</v>
      </c>
      <c r="O1191" s="163">
        <v>3102</v>
      </c>
      <c r="P1191" s="163">
        <v>51549.03</v>
      </c>
      <c r="Q1191" s="163">
        <v>201.36339844</v>
      </c>
      <c r="R1191" s="163">
        <v>16.617998065999998</v>
      </c>
      <c r="S1191" s="161">
        <v>12.1171875</v>
      </c>
      <c r="T1191">
        <f t="shared" si="34"/>
        <v>4.5266295275856453E-7</v>
      </c>
    </row>
    <row r="1192" spans="2:20">
      <c r="B1192" s="163" t="s">
        <v>1679</v>
      </c>
      <c r="C1192" s="163" t="s">
        <v>1680</v>
      </c>
      <c r="D1192" s="163" t="s">
        <v>1576</v>
      </c>
      <c r="E1192" s="163" t="s">
        <v>853</v>
      </c>
      <c r="F1192" s="163" t="s">
        <v>1363</v>
      </c>
      <c r="G1192" s="163">
        <v>4</v>
      </c>
      <c r="H1192" s="163">
        <v>7</v>
      </c>
      <c r="I1192" s="163">
        <v>2</v>
      </c>
      <c r="J1192" s="163">
        <v>0</v>
      </c>
      <c r="K1192" s="163">
        <v>1</v>
      </c>
      <c r="L1192" s="163">
        <v>3</v>
      </c>
      <c r="M1192" s="163">
        <v>134</v>
      </c>
      <c r="N1192" s="163">
        <v>29</v>
      </c>
      <c r="O1192" s="163">
        <v>1149.5</v>
      </c>
      <c r="P1192" s="163">
        <v>2892.3879999999999</v>
      </c>
      <c r="Q1192" s="163">
        <v>21.584985074999999</v>
      </c>
      <c r="R1192" s="163">
        <v>2.5162140060999998</v>
      </c>
      <c r="S1192" s="161">
        <v>8.5783582089999992</v>
      </c>
      <c r="T1192">
        <f t="shared" si="34"/>
        <v>1.6774212256478721E-7</v>
      </c>
    </row>
    <row r="1193" spans="2:20">
      <c r="B1193" s="163" t="s">
        <v>1681</v>
      </c>
      <c r="C1193" s="163" t="s">
        <v>1682</v>
      </c>
      <c r="D1193" s="163" t="s">
        <v>1576</v>
      </c>
      <c r="E1193" s="163" t="s">
        <v>853</v>
      </c>
      <c r="F1193" s="163" t="s">
        <v>1363</v>
      </c>
      <c r="G1193" s="163">
        <v>4</v>
      </c>
      <c r="H1193" s="163">
        <v>7</v>
      </c>
      <c r="I1193" s="163">
        <v>2</v>
      </c>
      <c r="J1193" s="163">
        <v>0</v>
      </c>
      <c r="K1193" s="163">
        <v>1</v>
      </c>
      <c r="L1193" s="163">
        <v>3</v>
      </c>
      <c r="M1193" s="163">
        <v>34</v>
      </c>
      <c r="N1193" s="163">
        <v>14</v>
      </c>
      <c r="O1193" s="163">
        <v>55</v>
      </c>
      <c r="P1193" s="163">
        <v>3272.5</v>
      </c>
      <c r="Q1193" s="163">
        <v>96.25</v>
      </c>
      <c r="R1193" s="163">
        <v>59.5</v>
      </c>
      <c r="S1193" s="161">
        <v>1.6176470588</v>
      </c>
      <c r="T1193">
        <f t="shared" si="34"/>
        <v>8.0259388786979524E-9</v>
      </c>
    </row>
    <row r="1194" spans="2:20">
      <c r="B1194" s="163" t="s">
        <v>1683</v>
      </c>
      <c r="C1194" s="163" t="s">
        <v>1684</v>
      </c>
      <c r="D1194" s="163" t="s">
        <v>1576</v>
      </c>
      <c r="E1194" s="163" t="s">
        <v>853</v>
      </c>
      <c r="F1194" s="163" t="s">
        <v>1363</v>
      </c>
      <c r="G1194" s="163">
        <v>4</v>
      </c>
      <c r="H1194" s="163">
        <v>7</v>
      </c>
      <c r="I1194" s="163">
        <v>2</v>
      </c>
      <c r="J1194" s="163">
        <v>0</v>
      </c>
      <c r="K1194" s="163">
        <v>1</v>
      </c>
      <c r="L1194" s="163">
        <v>3</v>
      </c>
      <c r="M1194" s="163">
        <v>30</v>
      </c>
      <c r="N1194" s="163">
        <v>25</v>
      </c>
      <c r="O1194" s="163">
        <v>45</v>
      </c>
      <c r="P1194" s="163">
        <v>5355</v>
      </c>
      <c r="Q1194" s="163">
        <v>178.5</v>
      </c>
      <c r="R1194" s="163">
        <v>119</v>
      </c>
      <c r="S1194" s="161">
        <v>1.5</v>
      </c>
      <c r="T1194">
        <f t="shared" si="34"/>
        <v>6.5666772643892343E-9</v>
      </c>
    </row>
    <row r="1195" spans="2:20">
      <c r="B1195" s="163" t="s">
        <v>1685</v>
      </c>
      <c r="C1195" s="163" t="s">
        <v>1686</v>
      </c>
      <c r="D1195" s="163" t="s">
        <v>1576</v>
      </c>
      <c r="E1195" s="163" t="s">
        <v>853</v>
      </c>
      <c r="F1195" s="163" t="s">
        <v>1363</v>
      </c>
      <c r="G1195" s="163">
        <v>4</v>
      </c>
      <c r="H1195" s="163">
        <v>7</v>
      </c>
      <c r="I1195" s="163">
        <v>2</v>
      </c>
      <c r="J1195" s="163">
        <v>0</v>
      </c>
      <c r="K1195" s="163">
        <v>1</v>
      </c>
      <c r="L1195" s="163">
        <v>3</v>
      </c>
      <c r="M1195" s="163">
        <v>67</v>
      </c>
      <c r="N1195" s="163">
        <v>63</v>
      </c>
      <c r="O1195" s="163">
        <v>156</v>
      </c>
      <c r="P1195" s="163">
        <v>9282</v>
      </c>
      <c r="Q1195" s="163">
        <v>138.53731343000001</v>
      </c>
      <c r="R1195" s="163">
        <v>59.5</v>
      </c>
      <c r="S1195" s="161">
        <v>2.3283582090000001</v>
      </c>
      <c r="T1195">
        <f t="shared" ref="T1195:T1258" si="35">O1195/SUM($O$874:$O$1513)</f>
        <v>2.2764481183216011E-8</v>
      </c>
    </row>
    <row r="1196" spans="2:20">
      <c r="B1196" s="163" t="s">
        <v>1687</v>
      </c>
      <c r="C1196" s="163" t="s">
        <v>1688</v>
      </c>
      <c r="D1196" s="163" t="s">
        <v>1576</v>
      </c>
      <c r="E1196" s="163" t="s">
        <v>853</v>
      </c>
      <c r="F1196" s="163" t="s">
        <v>1363</v>
      </c>
      <c r="G1196" s="163">
        <v>4</v>
      </c>
      <c r="H1196" s="163">
        <v>7</v>
      </c>
      <c r="I1196" s="163">
        <v>2</v>
      </c>
      <c r="J1196" s="163">
        <v>0</v>
      </c>
      <c r="K1196" s="163">
        <v>1</v>
      </c>
      <c r="L1196" s="163">
        <v>3</v>
      </c>
      <c r="M1196" s="163">
        <v>205</v>
      </c>
      <c r="N1196" s="163">
        <v>186</v>
      </c>
      <c r="O1196" s="163">
        <v>872</v>
      </c>
      <c r="P1196" s="163">
        <v>103315.8</v>
      </c>
      <c r="Q1196" s="163">
        <v>503.97951219999999</v>
      </c>
      <c r="R1196" s="163">
        <v>118.48142202</v>
      </c>
      <c r="S1196" s="161">
        <v>4.2536585365999997</v>
      </c>
      <c r="T1196">
        <f t="shared" si="35"/>
        <v>1.2724761276772027E-7</v>
      </c>
    </row>
    <row r="1197" spans="2:20">
      <c r="B1197" s="163" t="s">
        <v>1689</v>
      </c>
      <c r="C1197" s="163" t="s">
        <v>1690</v>
      </c>
      <c r="D1197" s="163" t="s">
        <v>1576</v>
      </c>
      <c r="E1197" s="163" t="s">
        <v>853</v>
      </c>
      <c r="F1197" s="163" t="s">
        <v>1363</v>
      </c>
      <c r="G1197" s="163">
        <v>4</v>
      </c>
      <c r="H1197" s="163">
        <v>7</v>
      </c>
      <c r="I1197" s="163">
        <v>2</v>
      </c>
      <c r="J1197" s="163">
        <v>0</v>
      </c>
      <c r="K1197" s="163">
        <v>1</v>
      </c>
      <c r="L1197" s="163">
        <v>3</v>
      </c>
      <c r="M1197" s="163">
        <v>49</v>
      </c>
      <c r="N1197" s="163">
        <v>0</v>
      </c>
      <c r="O1197" s="163">
        <v>855</v>
      </c>
      <c r="P1197" s="163">
        <v>50872.5</v>
      </c>
      <c r="Q1197" s="163">
        <v>1038.2142856999999</v>
      </c>
      <c r="R1197" s="163">
        <v>59.5</v>
      </c>
      <c r="S1197" s="161">
        <v>17.448979592000001</v>
      </c>
      <c r="T1197">
        <f t="shared" si="35"/>
        <v>1.2476686802339544E-7</v>
      </c>
    </row>
    <row r="1198" spans="2:20">
      <c r="B1198" s="163" t="s">
        <v>1691</v>
      </c>
      <c r="C1198" s="163" t="s">
        <v>1692</v>
      </c>
      <c r="D1198" s="163" t="s">
        <v>1576</v>
      </c>
      <c r="E1198" s="163" t="s">
        <v>853</v>
      </c>
      <c r="F1198" s="163" t="s">
        <v>1363</v>
      </c>
      <c r="G1198" s="163">
        <v>4</v>
      </c>
      <c r="H1198" s="163">
        <v>7</v>
      </c>
      <c r="I1198" s="163">
        <v>2</v>
      </c>
      <c r="J1198" s="163">
        <v>0</v>
      </c>
      <c r="K1198" s="163">
        <v>1</v>
      </c>
      <c r="L1198" s="163">
        <v>3</v>
      </c>
      <c r="M1198" s="163">
        <v>50</v>
      </c>
      <c r="N1198" s="163">
        <v>28</v>
      </c>
      <c r="O1198" s="163">
        <v>433</v>
      </c>
      <c r="P1198" s="163">
        <v>51527</v>
      </c>
      <c r="Q1198" s="163">
        <v>1030.54</v>
      </c>
      <c r="R1198" s="163">
        <v>119</v>
      </c>
      <c r="S1198" s="161">
        <v>8.66</v>
      </c>
      <c r="T1198">
        <f t="shared" si="35"/>
        <v>6.3186027899567518E-8</v>
      </c>
    </row>
    <row r="1199" spans="2:20">
      <c r="B1199" s="163" t="s">
        <v>1693</v>
      </c>
      <c r="C1199" s="163" t="s">
        <v>1694</v>
      </c>
      <c r="D1199" s="163" t="s">
        <v>1576</v>
      </c>
      <c r="E1199" s="163" t="s">
        <v>853</v>
      </c>
      <c r="F1199" s="163" t="s">
        <v>1363</v>
      </c>
      <c r="G1199" s="163">
        <v>4</v>
      </c>
      <c r="H1199" s="163">
        <v>7</v>
      </c>
      <c r="I1199" s="163">
        <v>2</v>
      </c>
      <c r="J1199" s="163">
        <v>0</v>
      </c>
      <c r="K1199" s="163">
        <v>1</v>
      </c>
      <c r="L1199" s="163">
        <v>3</v>
      </c>
      <c r="M1199" s="163">
        <v>3</v>
      </c>
      <c r="N1199" s="163">
        <v>0</v>
      </c>
      <c r="O1199" s="163">
        <v>51</v>
      </c>
      <c r="P1199" s="163">
        <v>303.45</v>
      </c>
      <c r="Q1199" s="163">
        <v>101.15</v>
      </c>
      <c r="R1199" s="163">
        <v>5.95</v>
      </c>
      <c r="S1199" s="161">
        <v>17</v>
      </c>
      <c r="T1199">
        <f t="shared" si="35"/>
        <v>7.4422342329744657E-9</v>
      </c>
    </row>
    <row r="1200" spans="2:20">
      <c r="B1200" s="163" t="s">
        <v>1695</v>
      </c>
      <c r="C1200" s="163" t="s">
        <v>1696</v>
      </c>
      <c r="D1200" s="163" t="s">
        <v>1576</v>
      </c>
      <c r="E1200" s="163" t="s">
        <v>853</v>
      </c>
      <c r="F1200" s="163" t="s">
        <v>1363</v>
      </c>
      <c r="G1200" s="163">
        <v>4</v>
      </c>
      <c r="H1200" s="163">
        <v>7</v>
      </c>
      <c r="I1200" s="163">
        <v>2</v>
      </c>
      <c r="J1200" s="163">
        <v>0</v>
      </c>
      <c r="K1200" s="163">
        <v>1</v>
      </c>
      <c r="L1200" s="163">
        <v>3</v>
      </c>
      <c r="M1200" s="163">
        <v>9</v>
      </c>
      <c r="N1200" s="163">
        <v>4</v>
      </c>
      <c r="O1200" s="163">
        <v>200</v>
      </c>
      <c r="P1200" s="163">
        <v>1190</v>
      </c>
      <c r="Q1200" s="163">
        <v>132.22222221999999</v>
      </c>
      <c r="R1200" s="163">
        <v>5.95</v>
      </c>
      <c r="S1200" s="161">
        <v>22.222222221999999</v>
      </c>
      <c r="T1200">
        <f t="shared" si="35"/>
        <v>2.9185232286174373E-8</v>
      </c>
    </row>
    <row r="1201" spans="2:20">
      <c r="B1201" s="163" t="s">
        <v>1697</v>
      </c>
      <c r="C1201" s="163" t="s">
        <v>1698</v>
      </c>
      <c r="D1201" s="163" t="s">
        <v>1576</v>
      </c>
      <c r="E1201" s="163" t="s">
        <v>853</v>
      </c>
      <c r="F1201" s="163" t="s">
        <v>1363</v>
      </c>
      <c r="G1201" s="163">
        <v>4</v>
      </c>
      <c r="H1201" s="163">
        <v>7</v>
      </c>
      <c r="I1201" s="163">
        <v>2</v>
      </c>
      <c r="J1201" s="163">
        <v>0</v>
      </c>
      <c r="K1201" s="163">
        <v>1</v>
      </c>
      <c r="L1201" s="163">
        <v>3</v>
      </c>
      <c r="M1201" s="163">
        <v>13</v>
      </c>
      <c r="N1201" s="163">
        <v>6</v>
      </c>
      <c r="O1201" s="163">
        <v>224</v>
      </c>
      <c r="P1201" s="163">
        <v>1332.8</v>
      </c>
      <c r="Q1201" s="163">
        <v>102.52307691999999</v>
      </c>
      <c r="R1201" s="163">
        <v>5.95</v>
      </c>
      <c r="S1201" s="161">
        <v>17.230769231</v>
      </c>
      <c r="T1201">
        <f t="shared" si="35"/>
        <v>3.2687460160515299E-8</v>
      </c>
    </row>
    <row r="1202" spans="2:20">
      <c r="B1202" s="163" t="s">
        <v>1699</v>
      </c>
      <c r="C1202" s="163" t="s">
        <v>1700</v>
      </c>
      <c r="D1202" s="163" t="s">
        <v>1576</v>
      </c>
      <c r="E1202" s="163" t="s">
        <v>853</v>
      </c>
      <c r="F1202" s="163" t="s">
        <v>1363</v>
      </c>
      <c r="G1202" s="163">
        <v>4</v>
      </c>
      <c r="H1202" s="163">
        <v>7</v>
      </c>
      <c r="I1202" s="163">
        <v>2</v>
      </c>
      <c r="J1202" s="163">
        <v>0</v>
      </c>
      <c r="K1202" s="163">
        <v>1</v>
      </c>
      <c r="L1202" s="163">
        <v>3</v>
      </c>
      <c r="M1202" s="163">
        <v>400</v>
      </c>
      <c r="N1202" s="163">
        <v>78</v>
      </c>
      <c r="O1202" s="163">
        <v>12113</v>
      </c>
      <c r="P1202" s="163">
        <v>88208.639999999999</v>
      </c>
      <c r="Q1202" s="163">
        <v>220.52160000000001</v>
      </c>
      <c r="R1202" s="163">
        <v>7.2821464542000003</v>
      </c>
      <c r="S1202" s="161">
        <v>30.282499999999999</v>
      </c>
      <c r="T1202">
        <f t="shared" si="35"/>
        <v>1.767603593412151E-6</v>
      </c>
    </row>
    <row r="1203" spans="2:20">
      <c r="B1203" s="163" t="s">
        <v>1701</v>
      </c>
      <c r="C1203" s="163" t="s">
        <v>1702</v>
      </c>
      <c r="D1203" s="163" t="s">
        <v>1576</v>
      </c>
      <c r="E1203" s="163" t="s">
        <v>853</v>
      </c>
      <c r="F1203" s="163" t="s">
        <v>1363</v>
      </c>
      <c r="G1203" s="163">
        <v>4</v>
      </c>
      <c r="H1203" s="163">
        <v>7</v>
      </c>
      <c r="I1203" s="163">
        <v>2</v>
      </c>
      <c r="J1203" s="163">
        <v>0</v>
      </c>
      <c r="K1203" s="163">
        <v>1</v>
      </c>
      <c r="L1203" s="163">
        <v>3</v>
      </c>
      <c r="M1203" s="163">
        <v>316</v>
      </c>
      <c r="N1203" s="163">
        <v>141</v>
      </c>
      <c r="O1203" s="163">
        <v>31050</v>
      </c>
      <c r="P1203" s="163">
        <v>161825.28</v>
      </c>
      <c r="Q1203" s="163">
        <v>512.10531646000004</v>
      </c>
      <c r="R1203" s="163">
        <v>5.2117642512</v>
      </c>
      <c r="S1203" s="161">
        <v>98.259493671000001</v>
      </c>
      <c r="T1203">
        <f t="shared" si="35"/>
        <v>4.5310073124285713E-6</v>
      </c>
    </row>
    <row r="1204" spans="2:20">
      <c r="B1204" s="163" t="s">
        <v>1703</v>
      </c>
      <c r="C1204" s="163" t="s">
        <v>1704</v>
      </c>
      <c r="D1204" s="163" t="s">
        <v>1576</v>
      </c>
      <c r="E1204" s="163" t="s">
        <v>853</v>
      </c>
      <c r="F1204" s="163" t="s">
        <v>1363</v>
      </c>
      <c r="G1204" s="163">
        <v>4</v>
      </c>
      <c r="H1204" s="163">
        <v>7</v>
      </c>
      <c r="I1204" s="163">
        <v>2</v>
      </c>
      <c r="J1204" s="163">
        <v>0</v>
      </c>
      <c r="K1204" s="163">
        <v>1</v>
      </c>
      <c r="L1204" s="163">
        <v>3</v>
      </c>
      <c r="M1204" s="163">
        <v>72646.8</v>
      </c>
      <c r="N1204" s="163">
        <v>15725.8</v>
      </c>
      <c r="O1204" s="163">
        <v>604397.6</v>
      </c>
      <c r="P1204" s="163">
        <v>1123138.105</v>
      </c>
      <c r="Q1204" s="163">
        <v>15.460255717000001</v>
      </c>
      <c r="R1204" s="163">
        <v>1.8582769107999999</v>
      </c>
      <c r="S1204" s="161">
        <v>8.3196727178999996</v>
      </c>
      <c r="T1204">
        <f t="shared" si="35"/>
        <v>8.8197421746031527E-5</v>
      </c>
    </row>
    <row r="1205" spans="2:20">
      <c r="B1205" s="163" t="s">
        <v>1705</v>
      </c>
      <c r="C1205" s="163" t="s">
        <v>1706</v>
      </c>
      <c r="D1205" s="163" t="s">
        <v>1576</v>
      </c>
      <c r="E1205" s="163" t="s">
        <v>853</v>
      </c>
      <c r="F1205" s="163" t="s">
        <v>1363</v>
      </c>
      <c r="G1205" s="163">
        <v>4</v>
      </c>
      <c r="H1205" s="163">
        <v>7</v>
      </c>
      <c r="I1205" s="163">
        <v>2</v>
      </c>
      <c r="J1205" s="163">
        <v>0</v>
      </c>
      <c r="K1205" s="163">
        <v>1</v>
      </c>
      <c r="L1205" s="163">
        <v>3</v>
      </c>
      <c r="M1205" s="163">
        <v>65697</v>
      </c>
      <c r="N1205" s="163">
        <v>0</v>
      </c>
      <c r="O1205" s="163">
        <v>583354</v>
      </c>
      <c r="P1205" s="163">
        <v>1411713.93</v>
      </c>
      <c r="Q1205" s="163">
        <v>21.488255628000001</v>
      </c>
      <c r="R1205" s="163">
        <v>2.4199952858999998</v>
      </c>
      <c r="S1205" s="161">
        <v>8.8794617715000008</v>
      </c>
      <c r="T1205">
        <f t="shared" si="35"/>
        <v>8.5126609975344822E-5</v>
      </c>
    </row>
    <row r="1206" spans="2:20">
      <c r="B1206" s="163" t="s">
        <v>1707</v>
      </c>
      <c r="C1206" s="163" t="s">
        <v>1708</v>
      </c>
      <c r="D1206" s="163" t="s">
        <v>1576</v>
      </c>
      <c r="E1206" s="163" t="s">
        <v>853</v>
      </c>
      <c r="F1206" s="163" t="s">
        <v>1363</v>
      </c>
      <c r="G1206" s="163">
        <v>4</v>
      </c>
      <c r="H1206" s="163">
        <v>7</v>
      </c>
      <c r="I1206" s="163">
        <v>2</v>
      </c>
      <c r="J1206" s="163">
        <v>0</v>
      </c>
      <c r="K1206" s="163">
        <v>1</v>
      </c>
      <c r="L1206" s="163">
        <v>3</v>
      </c>
      <c r="M1206" s="163">
        <v>34246</v>
      </c>
      <c r="N1206" s="163">
        <v>0</v>
      </c>
      <c r="O1206" s="163">
        <v>305969</v>
      </c>
      <c r="P1206" s="163">
        <v>1384199.47</v>
      </c>
      <c r="Q1206" s="163">
        <v>40.419303567999997</v>
      </c>
      <c r="R1206" s="163">
        <v>4.5239859920000001</v>
      </c>
      <c r="S1206" s="161">
        <v>8.9344448987000007</v>
      </c>
      <c r="T1206">
        <f t="shared" si="35"/>
        <v>4.4648881686842435E-5</v>
      </c>
    </row>
    <row r="1207" spans="2:20">
      <c r="B1207" s="163" t="s">
        <v>1709</v>
      </c>
      <c r="C1207" s="163" t="s">
        <v>1710</v>
      </c>
      <c r="D1207" s="163" t="s">
        <v>1576</v>
      </c>
      <c r="E1207" s="163" t="s">
        <v>853</v>
      </c>
      <c r="F1207" s="163" t="s">
        <v>1363</v>
      </c>
      <c r="G1207" s="163">
        <v>4</v>
      </c>
      <c r="H1207" s="163">
        <v>7</v>
      </c>
      <c r="I1207" s="163">
        <v>2</v>
      </c>
      <c r="J1207" s="163">
        <v>0</v>
      </c>
      <c r="K1207" s="163">
        <v>1</v>
      </c>
      <c r="L1207" s="163">
        <v>3</v>
      </c>
      <c r="M1207" s="163">
        <v>15670</v>
      </c>
      <c r="N1207" s="163">
        <v>0</v>
      </c>
      <c r="O1207" s="163">
        <v>137746</v>
      </c>
      <c r="P1207" s="163">
        <v>868894</v>
      </c>
      <c r="Q1207" s="163">
        <v>55.449521378</v>
      </c>
      <c r="R1207" s="163">
        <v>6.3079436063000003</v>
      </c>
      <c r="S1207" s="161">
        <v>8.7904275686000002</v>
      </c>
      <c r="T1207">
        <f t="shared" si="35"/>
        <v>2.0100745032456878E-5</v>
      </c>
    </row>
    <row r="1208" spans="2:20">
      <c r="B1208" s="163" t="s">
        <v>1711</v>
      </c>
      <c r="C1208" s="163" t="s">
        <v>1712</v>
      </c>
      <c r="D1208" s="163" t="s">
        <v>1576</v>
      </c>
      <c r="E1208" s="163" t="s">
        <v>853</v>
      </c>
      <c r="F1208" s="163" t="s">
        <v>1363</v>
      </c>
      <c r="G1208" s="163">
        <v>4</v>
      </c>
      <c r="H1208" s="163">
        <v>7</v>
      </c>
      <c r="I1208" s="163">
        <v>2</v>
      </c>
      <c r="J1208" s="163">
        <v>0</v>
      </c>
      <c r="K1208" s="163">
        <v>1</v>
      </c>
      <c r="L1208" s="163">
        <v>3</v>
      </c>
      <c r="M1208" s="163">
        <v>19973</v>
      </c>
      <c r="N1208" s="163">
        <v>0</v>
      </c>
      <c r="O1208" s="163">
        <v>198260</v>
      </c>
      <c r="P1208" s="163">
        <v>1541667.54</v>
      </c>
      <c r="Q1208" s="163">
        <v>77.187580233000006</v>
      </c>
      <c r="R1208" s="163">
        <v>7.7759888025999997</v>
      </c>
      <c r="S1208" s="161">
        <v>9.9264006409000007</v>
      </c>
      <c r="T1208">
        <f t="shared" si="35"/>
        <v>2.8931320765284656E-5</v>
      </c>
    </row>
    <row r="1209" spans="2:20">
      <c r="B1209" s="163" t="s">
        <v>1713</v>
      </c>
      <c r="C1209" s="163" t="s">
        <v>1714</v>
      </c>
      <c r="D1209" s="163" t="s">
        <v>1576</v>
      </c>
      <c r="E1209" s="163" t="s">
        <v>853</v>
      </c>
      <c r="F1209" s="163" t="s">
        <v>1363</v>
      </c>
      <c r="G1209" s="163">
        <v>4</v>
      </c>
      <c r="H1209" s="163">
        <v>7</v>
      </c>
      <c r="I1209" s="163">
        <v>2</v>
      </c>
      <c r="J1209" s="163">
        <v>0</v>
      </c>
      <c r="K1209" s="163">
        <v>1</v>
      </c>
      <c r="L1209" s="163">
        <v>3</v>
      </c>
      <c r="M1209" s="163">
        <v>10.199999999999999</v>
      </c>
      <c r="N1209" s="163">
        <v>3.2</v>
      </c>
      <c r="O1209" s="163">
        <v>82.1</v>
      </c>
      <c r="P1209" s="163">
        <v>153.29400000000001</v>
      </c>
      <c r="Q1209" s="163">
        <v>15.028823529</v>
      </c>
      <c r="R1209" s="163">
        <v>1.8671619976</v>
      </c>
      <c r="S1209" s="161">
        <v>8.0490196078</v>
      </c>
      <c r="T1209">
        <f t="shared" si="35"/>
        <v>1.1980537853474579E-8</v>
      </c>
    </row>
    <row r="1210" spans="2:20">
      <c r="B1210" s="163" t="s">
        <v>1715</v>
      </c>
      <c r="C1210" s="163" t="s">
        <v>1716</v>
      </c>
      <c r="D1210" s="163" t="s">
        <v>1576</v>
      </c>
      <c r="E1210" s="163" t="s">
        <v>853</v>
      </c>
      <c r="F1210" s="163" t="s">
        <v>1363</v>
      </c>
      <c r="G1210" s="163">
        <v>4</v>
      </c>
      <c r="H1210" s="163">
        <v>7</v>
      </c>
      <c r="I1210" s="163">
        <v>2</v>
      </c>
      <c r="J1210" s="163">
        <v>0</v>
      </c>
      <c r="K1210" s="163">
        <v>1</v>
      </c>
      <c r="L1210" s="163">
        <v>3</v>
      </c>
      <c r="M1210" s="163">
        <v>9</v>
      </c>
      <c r="N1210" s="163">
        <v>0</v>
      </c>
      <c r="O1210" s="163">
        <v>75</v>
      </c>
      <c r="P1210" s="163">
        <v>181.8</v>
      </c>
      <c r="Q1210" s="163">
        <v>20.2</v>
      </c>
      <c r="R1210" s="163">
        <v>2.4239999999999999</v>
      </c>
      <c r="S1210" s="161">
        <v>8.3333333333000006</v>
      </c>
      <c r="T1210">
        <f t="shared" si="35"/>
        <v>1.094446210731539E-8</v>
      </c>
    </row>
    <row r="1211" spans="2:20">
      <c r="B1211" s="163" t="s">
        <v>1717</v>
      </c>
      <c r="C1211" s="163" t="s">
        <v>1718</v>
      </c>
      <c r="D1211" s="163" t="s">
        <v>1576</v>
      </c>
      <c r="E1211" s="163" t="s">
        <v>853</v>
      </c>
      <c r="F1211" s="163" t="s">
        <v>1363</v>
      </c>
      <c r="G1211" s="163">
        <v>4</v>
      </c>
      <c r="H1211" s="163">
        <v>7</v>
      </c>
      <c r="I1211" s="163">
        <v>2</v>
      </c>
      <c r="J1211" s="163">
        <v>0</v>
      </c>
      <c r="K1211" s="163">
        <v>1</v>
      </c>
      <c r="L1211" s="163">
        <v>3</v>
      </c>
      <c r="M1211" s="163">
        <v>7</v>
      </c>
      <c r="N1211" s="163">
        <v>0</v>
      </c>
      <c r="O1211" s="163">
        <v>70</v>
      </c>
      <c r="P1211" s="163">
        <v>431.44</v>
      </c>
      <c r="Q1211" s="163">
        <v>61.634285714000001</v>
      </c>
      <c r="R1211" s="163">
        <v>6.1634285713999999</v>
      </c>
      <c r="S1211" s="161">
        <v>10</v>
      </c>
      <c r="T1211">
        <f t="shared" si="35"/>
        <v>1.0214831300161031E-8</v>
      </c>
    </row>
    <row r="1212" spans="2:20">
      <c r="B1212" s="163" t="s">
        <v>1719</v>
      </c>
      <c r="C1212" s="163" t="s">
        <v>1720</v>
      </c>
      <c r="D1212" s="163" t="s">
        <v>1576</v>
      </c>
      <c r="E1212" s="163" t="s">
        <v>853</v>
      </c>
      <c r="F1212" s="163" t="s">
        <v>1363</v>
      </c>
      <c r="G1212" s="163">
        <v>4</v>
      </c>
      <c r="H1212" s="163">
        <v>7</v>
      </c>
      <c r="I1212" s="163">
        <v>2</v>
      </c>
      <c r="J1212" s="163">
        <v>0</v>
      </c>
      <c r="K1212" s="163">
        <v>1</v>
      </c>
      <c r="L1212" s="163">
        <v>3</v>
      </c>
      <c r="M1212" s="163">
        <v>3</v>
      </c>
      <c r="N1212" s="163">
        <v>0</v>
      </c>
      <c r="O1212" s="163">
        <v>30</v>
      </c>
      <c r="P1212" s="163">
        <v>135.84</v>
      </c>
      <c r="Q1212" s="163">
        <v>45.28</v>
      </c>
      <c r="R1212" s="163">
        <v>4.5279999999999996</v>
      </c>
      <c r="S1212" s="161">
        <v>10</v>
      </c>
      <c r="T1212">
        <f t="shared" si="35"/>
        <v>4.3777848429261562E-9</v>
      </c>
    </row>
    <row r="1213" spans="2:20">
      <c r="B1213" s="163" t="s">
        <v>1721</v>
      </c>
      <c r="C1213" s="163" t="s">
        <v>1722</v>
      </c>
      <c r="D1213" s="163" t="s">
        <v>1576</v>
      </c>
      <c r="E1213" s="163" t="s">
        <v>853</v>
      </c>
      <c r="F1213" s="163" t="s">
        <v>1363</v>
      </c>
      <c r="G1213" s="163">
        <v>4</v>
      </c>
      <c r="H1213" s="163">
        <v>7</v>
      </c>
      <c r="I1213" s="163">
        <v>2</v>
      </c>
      <c r="J1213" s="163">
        <v>0</v>
      </c>
      <c r="K1213" s="163">
        <v>1</v>
      </c>
      <c r="L1213" s="163">
        <v>3</v>
      </c>
      <c r="M1213" s="163">
        <v>33.1</v>
      </c>
      <c r="N1213" s="163">
        <v>7.1</v>
      </c>
      <c r="O1213" s="163">
        <v>250.6</v>
      </c>
      <c r="P1213" s="163">
        <v>418.387</v>
      </c>
      <c r="Q1213" s="163">
        <v>12.640090634</v>
      </c>
      <c r="R1213" s="163">
        <v>1.6695411013999999</v>
      </c>
      <c r="S1213" s="161">
        <v>7.5709969789000002</v>
      </c>
      <c r="T1213">
        <f t="shared" si="35"/>
        <v>3.6569096054576489E-8</v>
      </c>
    </row>
    <row r="1214" spans="2:20">
      <c r="B1214" s="163" t="s">
        <v>1723</v>
      </c>
      <c r="C1214" s="163" t="s">
        <v>1724</v>
      </c>
      <c r="D1214" s="163" t="s">
        <v>1576</v>
      </c>
      <c r="E1214" s="163" t="s">
        <v>853</v>
      </c>
      <c r="F1214" s="163" t="s">
        <v>1363</v>
      </c>
      <c r="G1214" s="163">
        <v>4</v>
      </c>
      <c r="H1214" s="163">
        <v>7</v>
      </c>
      <c r="I1214" s="163">
        <v>2</v>
      </c>
      <c r="J1214" s="163">
        <v>0</v>
      </c>
      <c r="K1214" s="163">
        <v>1</v>
      </c>
      <c r="L1214" s="163">
        <v>3</v>
      </c>
      <c r="M1214" s="163">
        <v>26</v>
      </c>
      <c r="N1214" s="163">
        <v>0</v>
      </c>
      <c r="O1214" s="163">
        <v>215</v>
      </c>
      <c r="P1214" s="163">
        <v>439.46</v>
      </c>
      <c r="Q1214" s="163">
        <v>16.902307692000001</v>
      </c>
      <c r="R1214" s="163">
        <v>2.044</v>
      </c>
      <c r="S1214" s="161">
        <v>8.2692307692</v>
      </c>
      <c r="T1214">
        <f t="shared" si="35"/>
        <v>3.137412470763745E-8</v>
      </c>
    </row>
    <row r="1215" spans="2:20">
      <c r="B1215" s="163" t="s">
        <v>1725</v>
      </c>
      <c r="C1215" s="163" t="s">
        <v>1726</v>
      </c>
      <c r="D1215" s="163" t="s">
        <v>1576</v>
      </c>
      <c r="E1215" s="163" t="s">
        <v>853</v>
      </c>
      <c r="F1215" s="163" t="s">
        <v>1363</v>
      </c>
      <c r="G1215" s="163">
        <v>4</v>
      </c>
      <c r="H1215" s="163">
        <v>7</v>
      </c>
      <c r="I1215" s="163">
        <v>2</v>
      </c>
      <c r="J1215" s="163">
        <v>0</v>
      </c>
      <c r="K1215" s="163">
        <v>1</v>
      </c>
      <c r="L1215" s="163">
        <v>3</v>
      </c>
      <c r="M1215" s="163">
        <v>15</v>
      </c>
      <c r="N1215" s="163">
        <v>0</v>
      </c>
      <c r="O1215" s="163">
        <v>135</v>
      </c>
      <c r="P1215" s="163">
        <v>515.97</v>
      </c>
      <c r="Q1215" s="163">
        <v>34.398000000000003</v>
      </c>
      <c r="R1215" s="163">
        <v>3.8220000000000001</v>
      </c>
      <c r="S1215" s="161">
        <v>9</v>
      </c>
      <c r="T1215">
        <f t="shared" si="35"/>
        <v>1.9700031793167701E-8</v>
      </c>
    </row>
    <row r="1216" spans="2:20">
      <c r="B1216" s="163" t="s">
        <v>1727</v>
      </c>
      <c r="C1216" s="163" t="s">
        <v>1728</v>
      </c>
      <c r="D1216" s="163" t="s">
        <v>1576</v>
      </c>
      <c r="E1216" s="163" t="s">
        <v>853</v>
      </c>
      <c r="F1216" s="163" t="s">
        <v>1363</v>
      </c>
      <c r="G1216" s="163">
        <v>4</v>
      </c>
      <c r="H1216" s="163">
        <v>7</v>
      </c>
      <c r="I1216" s="163">
        <v>2</v>
      </c>
      <c r="J1216" s="163">
        <v>0</v>
      </c>
      <c r="K1216" s="163">
        <v>1</v>
      </c>
      <c r="L1216" s="163">
        <v>3</v>
      </c>
      <c r="M1216" s="163">
        <v>7</v>
      </c>
      <c r="N1216" s="163">
        <v>0</v>
      </c>
      <c r="O1216" s="163">
        <v>65</v>
      </c>
      <c r="P1216" s="163">
        <v>346.58</v>
      </c>
      <c r="Q1216" s="163">
        <v>49.511428571000003</v>
      </c>
      <c r="R1216" s="163">
        <v>5.3319999999999999</v>
      </c>
      <c r="S1216" s="161">
        <v>9.2857142856999992</v>
      </c>
      <c r="T1216">
        <f t="shared" si="35"/>
        <v>9.4852004930066723E-9</v>
      </c>
    </row>
    <row r="1217" spans="2:20">
      <c r="B1217" s="163" t="s">
        <v>1729</v>
      </c>
      <c r="C1217" s="163" t="s">
        <v>1730</v>
      </c>
      <c r="D1217" s="163" t="s">
        <v>1576</v>
      </c>
      <c r="E1217" s="163" t="s">
        <v>853</v>
      </c>
      <c r="F1217" s="163" t="s">
        <v>1363</v>
      </c>
      <c r="G1217" s="163">
        <v>4</v>
      </c>
      <c r="H1217" s="163">
        <v>7</v>
      </c>
      <c r="I1217" s="163">
        <v>2</v>
      </c>
      <c r="J1217" s="163">
        <v>0</v>
      </c>
      <c r="K1217" s="163">
        <v>1</v>
      </c>
      <c r="L1217" s="163">
        <v>3</v>
      </c>
      <c r="M1217" s="163">
        <v>5</v>
      </c>
      <c r="N1217" s="163">
        <v>0</v>
      </c>
      <c r="O1217" s="163">
        <v>45</v>
      </c>
      <c r="P1217" s="163">
        <v>295.56</v>
      </c>
      <c r="Q1217" s="163">
        <v>59.112000000000002</v>
      </c>
      <c r="R1217" s="163">
        <v>6.5679999999999996</v>
      </c>
      <c r="S1217" s="161">
        <v>9</v>
      </c>
      <c r="T1217">
        <f t="shared" si="35"/>
        <v>6.5666772643892343E-9</v>
      </c>
    </row>
    <row r="1218" spans="2:20">
      <c r="B1218" s="163" t="s">
        <v>1731</v>
      </c>
      <c r="C1218" s="163" t="s">
        <v>1732</v>
      </c>
      <c r="D1218" s="163" t="s">
        <v>1576</v>
      </c>
      <c r="E1218" s="163" t="s">
        <v>853</v>
      </c>
      <c r="F1218" s="163" t="s">
        <v>1363</v>
      </c>
      <c r="G1218" s="163">
        <v>4</v>
      </c>
      <c r="H1218" s="163">
        <v>7</v>
      </c>
      <c r="I1218" s="163">
        <v>2</v>
      </c>
      <c r="J1218" s="163">
        <v>0</v>
      </c>
      <c r="K1218" s="163">
        <v>1</v>
      </c>
      <c r="L1218" s="163">
        <v>3</v>
      </c>
      <c r="M1218" s="163">
        <v>2</v>
      </c>
      <c r="N1218" s="163">
        <v>2</v>
      </c>
      <c r="O1218" s="163">
        <v>60</v>
      </c>
      <c r="P1218" s="163">
        <v>254.4</v>
      </c>
      <c r="Q1218" s="163">
        <v>127.2</v>
      </c>
      <c r="R1218" s="163">
        <v>4.24</v>
      </c>
      <c r="S1218" s="161">
        <v>30</v>
      </c>
      <c r="T1218">
        <f t="shared" si="35"/>
        <v>8.7555696858523124E-9</v>
      </c>
    </row>
    <row r="1219" spans="2:20">
      <c r="B1219" s="163" t="s">
        <v>1733</v>
      </c>
      <c r="C1219" s="163" t="s">
        <v>1734</v>
      </c>
      <c r="D1219" s="163" t="s">
        <v>1576</v>
      </c>
      <c r="E1219" s="163" t="s">
        <v>853</v>
      </c>
      <c r="F1219" s="163" t="s">
        <v>1363</v>
      </c>
      <c r="G1219" s="163">
        <v>4</v>
      </c>
      <c r="H1219" s="163">
        <v>7</v>
      </c>
      <c r="I1219" s="163">
        <v>2</v>
      </c>
      <c r="J1219" s="163">
        <v>0</v>
      </c>
      <c r="K1219" s="163">
        <v>1</v>
      </c>
      <c r="L1219" s="163">
        <v>3</v>
      </c>
      <c r="M1219" s="163">
        <v>1.3</v>
      </c>
      <c r="N1219" s="163">
        <v>0.3</v>
      </c>
      <c r="O1219" s="163">
        <v>7.1</v>
      </c>
      <c r="P1219" s="163">
        <v>12.912000000000001</v>
      </c>
      <c r="Q1219" s="163">
        <v>9.9323076923000002</v>
      </c>
      <c r="R1219" s="163">
        <v>1.8185915493</v>
      </c>
      <c r="S1219" s="161">
        <v>5.4615384615</v>
      </c>
      <c r="T1219">
        <f t="shared" si="35"/>
        <v>1.0360757461591902E-9</v>
      </c>
    </row>
    <row r="1220" spans="2:20">
      <c r="B1220" s="163" t="s">
        <v>1735</v>
      </c>
      <c r="C1220" s="163" t="s">
        <v>1736</v>
      </c>
      <c r="D1220" s="163" t="s">
        <v>1576</v>
      </c>
      <c r="E1220" s="163" t="s">
        <v>853</v>
      </c>
      <c r="F1220" s="163" t="s">
        <v>1363</v>
      </c>
      <c r="G1220" s="163">
        <v>4</v>
      </c>
      <c r="H1220" s="163">
        <v>7</v>
      </c>
      <c r="I1220" s="163">
        <v>2</v>
      </c>
      <c r="J1220" s="163">
        <v>0</v>
      </c>
      <c r="K1220" s="163">
        <v>1</v>
      </c>
      <c r="L1220" s="163">
        <v>3</v>
      </c>
      <c r="M1220" s="163">
        <v>1</v>
      </c>
      <c r="N1220" s="163">
        <v>0</v>
      </c>
      <c r="O1220" s="163">
        <v>5</v>
      </c>
      <c r="P1220" s="163">
        <v>10.77</v>
      </c>
      <c r="Q1220" s="163">
        <v>10.77</v>
      </c>
      <c r="R1220" s="163">
        <v>2.1539999999999999</v>
      </c>
      <c r="S1220" s="161">
        <v>5</v>
      </c>
      <c r="T1220">
        <f t="shared" si="35"/>
        <v>7.296308071543594E-10</v>
      </c>
    </row>
    <row r="1221" spans="2:20">
      <c r="B1221" s="163" t="s">
        <v>1737</v>
      </c>
      <c r="C1221" s="163" t="s">
        <v>1738</v>
      </c>
      <c r="D1221" s="163" t="s">
        <v>1576</v>
      </c>
      <c r="E1221" s="163" t="s">
        <v>853</v>
      </c>
      <c r="F1221" s="163" t="s">
        <v>1363</v>
      </c>
      <c r="G1221" s="163">
        <v>4</v>
      </c>
      <c r="H1221" s="163">
        <v>7</v>
      </c>
      <c r="I1221" s="163">
        <v>2</v>
      </c>
      <c r="J1221" s="163">
        <v>0</v>
      </c>
      <c r="K1221" s="163">
        <v>1</v>
      </c>
      <c r="L1221" s="163">
        <v>3</v>
      </c>
      <c r="M1221" s="163">
        <v>1</v>
      </c>
      <c r="N1221" s="163">
        <v>0</v>
      </c>
      <c r="O1221" s="163">
        <v>10</v>
      </c>
      <c r="P1221" s="163">
        <v>40.26</v>
      </c>
      <c r="Q1221" s="163">
        <v>40.26</v>
      </c>
      <c r="R1221" s="163">
        <v>4.0259999999999998</v>
      </c>
      <c r="S1221" s="161">
        <v>10</v>
      </c>
      <c r="T1221">
        <f t="shared" si="35"/>
        <v>1.4592616143087188E-9</v>
      </c>
    </row>
    <row r="1222" spans="2:20">
      <c r="B1222" s="163" t="s">
        <v>1739</v>
      </c>
      <c r="C1222" s="163" t="s">
        <v>1740</v>
      </c>
      <c r="D1222" s="163" t="s">
        <v>1576</v>
      </c>
      <c r="E1222" s="163" t="s">
        <v>853</v>
      </c>
      <c r="F1222" s="163" t="s">
        <v>1363</v>
      </c>
      <c r="G1222" s="163">
        <v>4</v>
      </c>
      <c r="H1222" s="163">
        <v>7</v>
      </c>
      <c r="I1222" s="163">
        <v>2</v>
      </c>
      <c r="J1222" s="163">
        <v>0</v>
      </c>
      <c r="K1222" s="163">
        <v>1</v>
      </c>
      <c r="L1222" s="163">
        <v>3</v>
      </c>
      <c r="M1222" s="163">
        <v>374</v>
      </c>
      <c r="N1222" s="163">
        <v>82</v>
      </c>
      <c r="O1222" s="163">
        <v>3170.3</v>
      </c>
      <c r="P1222" s="163">
        <v>7982.6450000000004</v>
      </c>
      <c r="Q1222" s="163">
        <v>21.343970588000001</v>
      </c>
      <c r="R1222" s="163">
        <v>2.5179462511000001</v>
      </c>
      <c r="S1222" s="161">
        <v>8.4767379679000001</v>
      </c>
      <c r="T1222">
        <f t="shared" si="35"/>
        <v>4.6262970958429313E-7</v>
      </c>
    </row>
    <row r="1223" spans="2:20">
      <c r="B1223" s="163" t="s">
        <v>1741</v>
      </c>
      <c r="C1223" s="163" t="s">
        <v>1742</v>
      </c>
      <c r="D1223" s="163" t="s">
        <v>1576</v>
      </c>
      <c r="E1223" s="163" t="s">
        <v>853</v>
      </c>
      <c r="F1223" s="163" t="s">
        <v>1363</v>
      </c>
      <c r="G1223" s="163">
        <v>4</v>
      </c>
      <c r="H1223" s="163">
        <v>7</v>
      </c>
      <c r="I1223" s="163">
        <v>2</v>
      </c>
      <c r="J1223" s="163">
        <v>0</v>
      </c>
      <c r="K1223" s="163">
        <v>1</v>
      </c>
      <c r="L1223" s="163">
        <v>3</v>
      </c>
      <c r="M1223" s="163">
        <v>569</v>
      </c>
      <c r="N1223" s="163">
        <v>0</v>
      </c>
      <c r="O1223" s="163">
        <v>5015</v>
      </c>
      <c r="P1223" s="163">
        <v>18043.830000000002</v>
      </c>
      <c r="Q1223" s="163">
        <v>31.711476273999999</v>
      </c>
      <c r="R1223" s="163">
        <v>3.5979720837000002</v>
      </c>
      <c r="S1223" s="161">
        <v>8.8137082601000003</v>
      </c>
      <c r="T1223">
        <f t="shared" si="35"/>
        <v>7.3181969957582244E-7</v>
      </c>
    </row>
    <row r="1224" spans="2:20">
      <c r="B1224" s="163" t="s">
        <v>1743</v>
      </c>
      <c r="C1224" s="163" t="s">
        <v>1744</v>
      </c>
      <c r="D1224" s="163" t="s">
        <v>1576</v>
      </c>
      <c r="E1224" s="163" t="s">
        <v>853</v>
      </c>
      <c r="F1224" s="163" t="s">
        <v>1363</v>
      </c>
      <c r="G1224" s="163">
        <v>4</v>
      </c>
      <c r="H1224" s="163">
        <v>7</v>
      </c>
      <c r="I1224" s="163">
        <v>2</v>
      </c>
      <c r="J1224" s="163">
        <v>0</v>
      </c>
      <c r="K1224" s="163">
        <v>1</v>
      </c>
      <c r="L1224" s="163">
        <v>3</v>
      </c>
      <c r="M1224" s="163">
        <v>265</v>
      </c>
      <c r="N1224" s="163">
        <v>0</v>
      </c>
      <c r="O1224" s="163">
        <v>3000</v>
      </c>
      <c r="P1224" s="163">
        <v>20196</v>
      </c>
      <c r="Q1224" s="163">
        <v>76.211320755000003</v>
      </c>
      <c r="R1224" s="163">
        <v>6.7320000000000002</v>
      </c>
      <c r="S1224" s="161">
        <v>11.320754717</v>
      </c>
      <c r="T1224">
        <f t="shared" si="35"/>
        <v>4.3777848429261563E-7</v>
      </c>
    </row>
    <row r="1225" spans="2:20">
      <c r="B1225" s="163" t="s">
        <v>1745</v>
      </c>
      <c r="C1225" s="163" t="s">
        <v>1746</v>
      </c>
      <c r="D1225" s="163" t="s">
        <v>1576</v>
      </c>
      <c r="E1225" s="163" t="s">
        <v>853</v>
      </c>
      <c r="F1225" s="163" t="s">
        <v>1363</v>
      </c>
      <c r="G1225" s="163">
        <v>4</v>
      </c>
      <c r="H1225" s="163">
        <v>7</v>
      </c>
      <c r="I1225" s="163">
        <v>2</v>
      </c>
      <c r="J1225" s="163">
        <v>0</v>
      </c>
      <c r="K1225" s="163">
        <v>1</v>
      </c>
      <c r="L1225" s="163">
        <v>3</v>
      </c>
      <c r="M1225" s="163">
        <v>169</v>
      </c>
      <c r="N1225" s="163">
        <v>0</v>
      </c>
      <c r="O1225" s="163">
        <v>989</v>
      </c>
      <c r="P1225" s="163">
        <v>9294.91</v>
      </c>
      <c r="Q1225" s="163">
        <v>54.999467455999998</v>
      </c>
      <c r="R1225" s="163">
        <v>9.3982912031999994</v>
      </c>
      <c r="S1225" s="161">
        <v>5.8520710059000001</v>
      </c>
      <c r="T1225">
        <f t="shared" si="35"/>
        <v>1.4432097365513228E-7</v>
      </c>
    </row>
    <row r="1226" spans="2:20">
      <c r="B1226" s="163" t="s">
        <v>1747</v>
      </c>
      <c r="C1226" s="163" t="s">
        <v>1748</v>
      </c>
      <c r="D1226" s="163" t="s">
        <v>1576</v>
      </c>
      <c r="E1226" s="163" t="s">
        <v>853</v>
      </c>
      <c r="F1226" s="163" t="s">
        <v>1363</v>
      </c>
      <c r="G1226" s="163">
        <v>4</v>
      </c>
      <c r="H1226" s="163">
        <v>7</v>
      </c>
      <c r="I1226" s="163">
        <v>2</v>
      </c>
      <c r="J1226" s="163">
        <v>0</v>
      </c>
      <c r="K1226" s="163">
        <v>1</v>
      </c>
      <c r="L1226" s="163">
        <v>3</v>
      </c>
      <c r="M1226" s="163">
        <v>306</v>
      </c>
      <c r="N1226" s="163">
        <v>0</v>
      </c>
      <c r="O1226" s="163">
        <v>3578</v>
      </c>
      <c r="P1226" s="163">
        <v>41404.58</v>
      </c>
      <c r="Q1226" s="163">
        <v>135.30908496999999</v>
      </c>
      <c r="R1226" s="163">
        <v>11.571989939</v>
      </c>
      <c r="S1226" s="161">
        <v>11.692810458</v>
      </c>
      <c r="T1226">
        <f t="shared" si="35"/>
        <v>5.2212380559965952E-7</v>
      </c>
    </row>
    <row r="1227" spans="2:20">
      <c r="B1227" s="163" t="s">
        <v>1749</v>
      </c>
      <c r="C1227" s="163" t="s">
        <v>1750</v>
      </c>
      <c r="D1227" s="163" t="s">
        <v>1751</v>
      </c>
      <c r="E1227" s="163" t="s">
        <v>853</v>
      </c>
      <c r="F1227" s="163" t="s">
        <v>1363</v>
      </c>
      <c r="G1227" s="163">
        <v>4</v>
      </c>
      <c r="H1227" s="163">
        <v>7</v>
      </c>
      <c r="I1227" s="163">
        <v>2</v>
      </c>
      <c r="J1227" s="163">
        <v>0</v>
      </c>
      <c r="K1227" s="163">
        <v>1</v>
      </c>
      <c r="L1227" s="163">
        <v>1</v>
      </c>
      <c r="M1227" s="163">
        <v>2</v>
      </c>
      <c r="N1227" s="163">
        <v>0</v>
      </c>
      <c r="O1227" s="163">
        <v>20</v>
      </c>
      <c r="P1227" s="163">
        <v>440.6</v>
      </c>
      <c r="Q1227" s="163">
        <v>220.3</v>
      </c>
      <c r="R1227" s="163">
        <v>22.03</v>
      </c>
      <c r="S1227" s="161">
        <v>10</v>
      </c>
      <c r="T1227">
        <f t="shared" si="35"/>
        <v>2.9185232286174376E-9</v>
      </c>
    </row>
    <row r="1228" spans="2:20">
      <c r="B1228" s="163" t="s">
        <v>1752</v>
      </c>
      <c r="C1228" s="163" t="s">
        <v>1753</v>
      </c>
      <c r="D1228" s="163" t="s">
        <v>1754</v>
      </c>
      <c r="E1228" s="163" t="s">
        <v>853</v>
      </c>
      <c r="F1228" s="163" t="s">
        <v>1363</v>
      </c>
      <c r="G1228" s="163">
        <v>4</v>
      </c>
      <c r="H1228" s="163">
        <v>7</v>
      </c>
      <c r="I1228" s="163">
        <v>2</v>
      </c>
      <c r="J1228" s="163">
        <v>0</v>
      </c>
      <c r="K1228" s="163">
        <v>3</v>
      </c>
      <c r="L1228" s="163">
        <v>1</v>
      </c>
      <c r="M1228" s="163">
        <v>196887</v>
      </c>
      <c r="N1228" s="163">
        <v>0</v>
      </c>
      <c r="O1228" s="163">
        <v>69812410</v>
      </c>
      <c r="P1228" s="163">
        <v>2711497.54</v>
      </c>
      <c r="Q1228" s="163">
        <v>13.771846491</v>
      </c>
      <c r="R1228" s="163">
        <v>3.8839764200000002E-2</v>
      </c>
      <c r="S1228" s="161">
        <v>354.58110490000001</v>
      </c>
      <c r="T1228">
        <f t="shared" si="35"/>
        <v>1.0187457011538214E-2</v>
      </c>
    </row>
    <row r="1229" spans="2:20">
      <c r="B1229" s="163" t="s">
        <v>1755</v>
      </c>
      <c r="C1229" s="163" t="s">
        <v>1756</v>
      </c>
      <c r="D1229" s="163" t="s">
        <v>1754</v>
      </c>
      <c r="E1229" s="163" t="s">
        <v>853</v>
      </c>
      <c r="F1229" s="163" t="s">
        <v>1363</v>
      </c>
      <c r="G1229" s="163">
        <v>4</v>
      </c>
      <c r="H1229" s="163">
        <v>7</v>
      </c>
      <c r="I1229" s="163">
        <v>2</v>
      </c>
      <c r="J1229" s="163">
        <v>0</v>
      </c>
      <c r="K1229" s="163">
        <v>3</v>
      </c>
      <c r="L1229" s="163">
        <v>1</v>
      </c>
      <c r="M1229" s="163">
        <v>8613</v>
      </c>
      <c r="N1229" s="163">
        <v>0</v>
      </c>
      <c r="O1229" s="163">
        <v>1896028</v>
      </c>
      <c r="P1229" s="163">
        <v>736713.93</v>
      </c>
      <c r="Q1229" s="163">
        <v>85.535113201000001</v>
      </c>
      <c r="R1229" s="163">
        <v>0.38855646119999998</v>
      </c>
      <c r="S1229" s="161">
        <v>220.13560896000001</v>
      </c>
      <c r="T1229">
        <f t="shared" si="35"/>
        <v>2.7668008800545315E-4</v>
      </c>
    </row>
    <row r="1230" spans="2:20">
      <c r="B1230" s="163" t="s">
        <v>1757</v>
      </c>
      <c r="C1230" s="163" t="s">
        <v>1758</v>
      </c>
      <c r="D1230" s="163" t="s">
        <v>1754</v>
      </c>
      <c r="E1230" s="163" t="s">
        <v>853</v>
      </c>
      <c r="F1230" s="163" t="s">
        <v>1363</v>
      </c>
      <c r="G1230" s="163">
        <v>4</v>
      </c>
      <c r="H1230" s="163">
        <v>7</v>
      </c>
      <c r="I1230" s="163">
        <v>2</v>
      </c>
      <c r="J1230" s="163">
        <v>0</v>
      </c>
      <c r="K1230" s="163">
        <v>1</v>
      </c>
      <c r="L1230" s="163">
        <v>1</v>
      </c>
      <c r="M1230" s="163">
        <v>3</v>
      </c>
      <c r="N1230" s="163">
        <v>0</v>
      </c>
      <c r="O1230" s="163">
        <v>42</v>
      </c>
      <c r="P1230" s="163">
        <v>18.78</v>
      </c>
      <c r="Q1230" s="163">
        <v>6.26</v>
      </c>
      <c r="R1230" s="163">
        <v>0.44714285710000001</v>
      </c>
      <c r="S1230" s="161">
        <v>14</v>
      </c>
      <c r="T1230">
        <f t="shared" si="35"/>
        <v>6.1288987800966182E-9</v>
      </c>
    </row>
    <row r="1231" spans="2:20">
      <c r="B1231" s="163" t="s">
        <v>1759</v>
      </c>
      <c r="C1231" s="163" t="s">
        <v>1760</v>
      </c>
      <c r="D1231" s="163" t="s">
        <v>1754</v>
      </c>
      <c r="E1231" s="163" t="s">
        <v>853</v>
      </c>
      <c r="F1231" s="163" t="s">
        <v>1363</v>
      </c>
      <c r="G1231" s="163">
        <v>4</v>
      </c>
      <c r="H1231" s="163">
        <v>7</v>
      </c>
      <c r="I1231" s="163">
        <v>2</v>
      </c>
      <c r="J1231" s="163">
        <v>0</v>
      </c>
      <c r="K1231" s="163">
        <v>3</v>
      </c>
      <c r="L1231" s="163">
        <v>1</v>
      </c>
      <c r="M1231" s="163">
        <v>103</v>
      </c>
      <c r="N1231" s="163">
        <v>0</v>
      </c>
      <c r="O1231" s="163">
        <v>30740</v>
      </c>
      <c r="P1231" s="163">
        <v>7409.7</v>
      </c>
      <c r="Q1231" s="163">
        <v>71.938834951000004</v>
      </c>
      <c r="R1231" s="163">
        <v>0.24104424199999999</v>
      </c>
      <c r="S1231" s="161">
        <v>298.44660193999999</v>
      </c>
      <c r="T1231">
        <f t="shared" si="35"/>
        <v>4.4857702023850015E-6</v>
      </c>
    </row>
    <row r="1232" spans="2:20">
      <c r="B1232" s="163" t="s">
        <v>1761</v>
      </c>
      <c r="C1232" s="163" t="s">
        <v>1762</v>
      </c>
      <c r="D1232" s="163" t="s">
        <v>1754</v>
      </c>
      <c r="E1232" s="163" t="s">
        <v>853</v>
      </c>
      <c r="F1232" s="163" t="s">
        <v>1363</v>
      </c>
      <c r="G1232" s="163">
        <v>4</v>
      </c>
      <c r="H1232" s="163">
        <v>7</v>
      </c>
      <c r="I1232" s="163">
        <v>2</v>
      </c>
      <c r="J1232" s="163">
        <v>0</v>
      </c>
      <c r="K1232" s="163">
        <v>1</v>
      </c>
      <c r="L1232" s="163">
        <v>1</v>
      </c>
      <c r="M1232" s="163">
        <v>1</v>
      </c>
      <c r="N1232" s="163">
        <v>0</v>
      </c>
      <c r="O1232" s="163">
        <v>56</v>
      </c>
      <c r="P1232" s="163">
        <v>50.08</v>
      </c>
      <c r="Q1232" s="163">
        <v>50.08</v>
      </c>
      <c r="R1232" s="163">
        <v>0.89428571430000003</v>
      </c>
      <c r="S1232" s="161">
        <v>56</v>
      </c>
      <c r="T1232">
        <f t="shared" si="35"/>
        <v>8.1718650401288248E-9</v>
      </c>
    </row>
    <row r="1233" spans="2:20">
      <c r="B1233" s="163" t="s">
        <v>1763</v>
      </c>
      <c r="C1233" s="163" t="s">
        <v>1764</v>
      </c>
      <c r="D1233" s="163" t="s">
        <v>1754</v>
      </c>
      <c r="E1233" s="163" t="s">
        <v>853</v>
      </c>
      <c r="F1233" s="163" t="s">
        <v>1363</v>
      </c>
      <c r="G1233" s="163">
        <v>4</v>
      </c>
      <c r="H1233" s="163">
        <v>7</v>
      </c>
      <c r="I1233" s="163">
        <v>2</v>
      </c>
      <c r="J1233" s="163">
        <v>0</v>
      </c>
      <c r="K1233" s="163">
        <v>1</v>
      </c>
      <c r="L1233" s="163">
        <v>1</v>
      </c>
      <c r="M1233" s="163">
        <v>32900</v>
      </c>
      <c r="N1233" s="163">
        <v>0</v>
      </c>
      <c r="O1233" s="163">
        <v>390297</v>
      </c>
      <c r="P1233" s="163">
        <v>624474.49</v>
      </c>
      <c r="Q1233" s="163">
        <v>18.980987538000001</v>
      </c>
      <c r="R1233" s="163">
        <v>1.5999981808999999</v>
      </c>
      <c r="S1233" s="161">
        <v>11.863130698999999</v>
      </c>
      <c r="T1233">
        <f t="shared" si="35"/>
        <v>5.6954543027984995E-5</v>
      </c>
    </row>
    <row r="1234" spans="2:20">
      <c r="B1234" s="163" t="s">
        <v>1765</v>
      </c>
      <c r="C1234" s="163" t="s">
        <v>1766</v>
      </c>
      <c r="D1234" s="163" t="s">
        <v>1754</v>
      </c>
      <c r="E1234" s="163" t="s">
        <v>853</v>
      </c>
      <c r="F1234" s="163" t="s">
        <v>1363</v>
      </c>
      <c r="G1234" s="163">
        <v>4</v>
      </c>
      <c r="H1234" s="163">
        <v>7</v>
      </c>
      <c r="I1234" s="163">
        <v>2</v>
      </c>
      <c r="J1234" s="163">
        <v>0</v>
      </c>
      <c r="K1234" s="163">
        <v>1</v>
      </c>
      <c r="L1234" s="163">
        <v>1</v>
      </c>
      <c r="M1234" s="163">
        <v>4261</v>
      </c>
      <c r="N1234" s="163">
        <v>0</v>
      </c>
      <c r="O1234" s="163">
        <v>78249</v>
      </c>
      <c r="P1234" s="163">
        <v>250396.79999999999</v>
      </c>
      <c r="Q1234" s="163">
        <v>58.764796996000001</v>
      </c>
      <c r="R1234" s="163">
        <v>3.2</v>
      </c>
      <c r="S1234" s="161">
        <v>18.363999061000001</v>
      </c>
      <c r="T1234">
        <f t="shared" si="35"/>
        <v>1.1418576205804294E-5</v>
      </c>
    </row>
    <row r="1235" spans="2:20">
      <c r="B1235" s="163" t="s">
        <v>1767</v>
      </c>
      <c r="C1235" s="163" t="s">
        <v>1768</v>
      </c>
      <c r="D1235" s="163" t="s">
        <v>1754</v>
      </c>
      <c r="E1235" s="163" t="s">
        <v>853</v>
      </c>
      <c r="F1235" s="163" t="s">
        <v>1363</v>
      </c>
      <c r="G1235" s="163">
        <v>4</v>
      </c>
      <c r="H1235" s="163">
        <v>7</v>
      </c>
      <c r="I1235" s="163">
        <v>2</v>
      </c>
      <c r="J1235" s="163">
        <v>0</v>
      </c>
      <c r="K1235" s="163">
        <v>1</v>
      </c>
      <c r="L1235" s="163">
        <v>1</v>
      </c>
      <c r="M1235" s="163">
        <v>4024</v>
      </c>
      <c r="N1235" s="163">
        <v>0</v>
      </c>
      <c r="O1235" s="163">
        <v>70343</v>
      </c>
      <c r="P1235" s="163">
        <v>986208.86</v>
      </c>
      <c r="Q1235" s="163">
        <v>245.08172465000001</v>
      </c>
      <c r="R1235" s="163">
        <v>14.02</v>
      </c>
      <c r="S1235" s="161">
        <v>17.480864811</v>
      </c>
      <c r="T1235">
        <f t="shared" si="35"/>
        <v>1.026488397353182E-5</v>
      </c>
    </row>
    <row r="1236" spans="2:20">
      <c r="B1236" s="163" t="s">
        <v>1769</v>
      </c>
      <c r="C1236" s="163" t="s">
        <v>1770</v>
      </c>
      <c r="D1236" s="163" t="s">
        <v>1754</v>
      </c>
      <c r="E1236" s="163" t="s">
        <v>853</v>
      </c>
      <c r="F1236" s="163" t="s">
        <v>1363</v>
      </c>
      <c r="G1236" s="163">
        <v>4</v>
      </c>
      <c r="H1236" s="163">
        <v>7</v>
      </c>
      <c r="I1236" s="163">
        <v>2</v>
      </c>
      <c r="J1236" s="163">
        <v>0</v>
      </c>
      <c r="K1236" s="163">
        <v>3</v>
      </c>
      <c r="L1236" s="163">
        <v>3</v>
      </c>
      <c r="M1236" s="163">
        <v>60437</v>
      </c>
      <c r="N1236" s="163">
        <v>0</v>
      </c>
      <c r="O1236" s="163">
        <v>23103801</v>
      </c>
      <c r="P1236" s="163">
        <v>897350.55</v>
      </c>
      <c r="Q1236" s="163">
        <v>14.847701739</v>
      </c>
      <c r="R1236" s="163">
        <v>3.8839953199999999E-2</v>
      </c>
      <c r="S1236" s="161">
        <v>382.27908400000001</v>
      </c>
      <c r="T1236">
        <f t="shared" si="35"/>
        <v>3.3714489943927391E-3</v>
      </c>
    </row>
    <row r="1237" spans="2:20">
      <c r="B1237" s="163" t="s">
        <v>1771</v>
      </c>
      <c r="C1237" s="163" t="s">
        <v>1772</v>
      </c>
      <c r="D1237" s="163" t="s">
        <v>1754</v>
      </c>
      <c r="E1237" s="163" t="s">
        <v>853</v>
      </c>
      <c r="F1237" s="163" t="s">
        <v>1363</v>
      </c>
      <c r="G1237" s="163">
        <v>4</v>
      </c>
      <c r="H1237" s="163">
        <v>7</v>
      </c>
      <c r="I1237" s="163">
        <v>2</v>
      </c>
      <c r="J1237" s="163">
        <v>0</v>
      </c>
      <c r="K1237" s="163">
        <v>3</v>
      </c>
      <c r="L1237" s="163">
        <v>3</v>
      </c>
      <c r="M1237" s="163">
        <v>3434</v>
      </c>
      <c r="N1237" s="163">
        <v>0</v>
      </c>
      <c r="O1237" s="163">
        <v>967048</v>
      </c>
      <c r="P1237" s="163">
        <v>375779.83</v>
      </c>
      <c r="Q1237" s="163">
        <v>109.42918754</v>
      </c>
      <c r="R1237" s="163">
        <v>0.38858446530000001</v>
      </c>
      <c r="S1237" s="161">
        <v>281.60978451</v>
      </c>
      <c r="T1237">
        <f t="shared" si="35"/>
        <v>1.4111760255940177E-4</v>
      </c>
    </row>
    <row r="1238" spans="2:20">
      <c r="B1238" s="163" t="s">
        <v>1773</v>
      </c>
      <c r="C1238" s="163" t="s">
        <v>1774</v>
      </c>
      <c r="D1238" s="163" t="s">
        <v>1754</v>
      </c>
      <c r="E1238" s="163" t="s">
        <v>853</v>
      </c>
      <c r="F1238" s="163" t="s">
        <v>1363</v>
      </c>
      <c r="G1238" s="163">
        <v>4</v>
      </c>
      <c r="H1238" s="163">
        <v>7</v>
      </c>
      <c r="I1238" s="163">
        <v>2</v>
      </c>
      <c r="J1238" s="163">
        <v>0</v>
      </c>
      <c r="K1238" s="163">
        <v>1</v>
      </c>
      <c r="L1238" s="163">
        <v>3</v>
      </c>
      <c r="M1238" s="163">
        <v>20344.8</v>
      </c>
      <c r="N1238" s="163">
        <v>4920.8</v>
      </c>
      <c r="O1238" s="163">
        <v>1384486.1</v>
      </c>
      <c r="P1238" s="163">
        <v>282602.47100000002</v>
      </c>
      <c r="Q1238" s="163">
        <v>13.890648765</v>
      </c>
      <c r="R1238" s="163">
        <v>0.20412084380000001</v>
      </c>
      <c r="S1238" s="161">
        <v>68.051103968000007</v>
      </c>
      <c r="T1238">
        <f t="shared" si="35"/>
        <v>2.0203274212739824E-4</v>
      </c>
    </row>
    <row r="1239" spans="2:20">
      <c r="B1239" s="163" t="s">
        <v>1775</v>
      </c>
      <c r="C1239" s="163" t="s">
        <v>1776</v>
      </c>
      <c r="D1239" s="163" t="s">
        <v>1754</v>
      </c>
      <c r="E1239" s="163" t="s">
        <v>853</v>
      </c>
      <c r="F1239" s="163" t="s">
        <v>1363</v>
      </c>
      <c r="G1239" s="163">
        <v>4</v>
      </c>
      <c r="H1239" s="163">
        <v>7</v>
      </c>
      <c r="I1239" s="163">
        <v>2</v>
      </c>
      <c r="J1239" s="163">
        <v>0</v>
      </c>
      <c r="K1239" s="163">
        <v>1</v>
      </c>
      <c r="L1239" s="163">
        <v>3</v>
      </c>
      <c r="M1239" s="163">
        <v>15061</v>
      </c>
      <c r="N1239" s="163">
        <v>3516</v>
      </c>
      <c r="O1239" s="163">
        <v>1185170.8999999999</v>
      </c>
      <c r="P1239" s="163">
        <v>483805.38299999997</v>
      </c>
      <c r="Q1239" s="163">
        <v>32.123058428999997</v>
      </c>
      <c r="R1239" s="163">
        <v>0.40821571220000002</v>
      </c>
      <c r="S1239" s="161">
        <v>78.691381714000002</v>
      </c>
      <c r="T1239">
        <f t="shared" si="35"/>
        <v>1.7294744007657168E-4</v>
      </c>
    </row>
    <row r="1240" spans="2:20">
      <c r="B1240" s="163" t="s">
        <v>1777</v>
      </c>
      <c r="C1240" s="163" t="s">
        <v>1778</v>
      </c>
      <c r="D1240" s="163" t="s">
        <v>1754</v>
      </c>
      <c r="E1240" s="163" t="s">
        <v>853</v>
      </c>
      <c r="F1240" s="163" t="s">
        <v>1363</v>
      </c>
      <c r="G1240" s="163">
        <v>4</v>
      </c>
      <c r="H1240" s="163">
        <v>7</v>
      </c>
      <c r="I1240" s="163">
        <v>2</v>
      </c>
      <c r="J1240" s="163">
        <v>0</v>
      </c>
      <c r="K1240" s="163">
        <v>1</v>
      </c>
      <c r="L1240" s="163">
        <v>3</v>
      </c>
      <c r="M1240" s="163">
        <v>8396.1</v>
      </c>
      <c r="N1240" s="163">
        <v>1953.1</v>
      </c>
      <c r="O1240" s="163">
        <v>736666</v>
      </c>
      <c r="P1240" s="163">
        <v>601311.304</v>
      </c>
      <c r="Q1240" s="163">
        <v>71.617930229999999</v>
      </c>
      <c r="R1240" s="163">
        <v>0.81626042740000004</v>
      </c>
      <c r="S1240" s="161">
        <v>87.739069330000007</v>
      </c>
      <c r="T1240">
        <f t="shared" si="35"/>
        <v>1.0749884163663466E-4</v>
      </c>
    </row>
    <row r="1241" spans="2:20">
      <c r="B1241" s="163" t="s">
        <v>1779</v>
      </c>
      <c r="C1241" s="163" t="s">
        <v>1780</v>
      </c>
      <c r="D1241" s="163" t="s">
        <v>1754</v>
      </c>
      <c r="E1241" s="163" t="s">
        <v>853</v>
      </c>
      <c r="F1241" s="163" t="s">
        <v>1363</v>
      </c>
      <c r="G1241" s="163">
        <v>4</v>
      </c>
      <c r="H1241" s="163">
        <v>7</v>
      </c>
      <c r="I1241" s="163">
        <v>2</v>
      </c>
      <c r="J1241" s="163">
        <v>0</v>
      </c>
      <c r="K1241" s="163">
        <v>1</v>
      </c>
      <c r="L1241" s="163">
        <v>3</v>
      </c>
      <c r="M1241" s="163">
        <v>1145</v>
      </c>
      <c r="N1241" s="163">
        <v>0</v>
      </c>
      <c r="O1241" s="163">
        <v>15935</v>
      </c>
      <c r="P1241" s="163">
        <v>25496</v>
      </c>
      <c r="Q1241" s="163">
        <v>22.267248907999999</v>
      </c>
      <c r="R1241" s="163">
        <v>1.6</v>
      </c>
      <c r="S1241" s="161">
        <v>13.917030567999999</v>
      </c>
      <c r="T1241">
        <f t="shared" si="35"/>
        <v>2.3253333824009432E-6</v>
      </c>
    </row>
    <row r="1242" spans="2:20">
      <c r="B1242" s="163" t="s">
        <v>1781</v>
      </c>
      <c r="C1242" s="163" t="s">
        <v>1782</v>
      </c>
      <c r="D1242" s="163" t="s">
        <v>1754</v>
      </c>
      <c r="E1242" s="163" t="s">
        <v>853</v>
      </c>
      <c r="F1242" s="163" t="s">
        <v>1363</v>
      </c>
      <c r="G1242" s="163">
        <v>4</v>
      </c>
      <c r="H1242" s="163">
        <v>7</v>
      </c>
      <c r="I1242" s="163">
        <v>2</v>
      </c>
      <c r="J1242" s="163">
        <v>0</v>
      </c>
      <c r="K1242" s="163">
        <v>1</v>
      </c>
      <c r="L1242" s="163">
        <v>3</v>
      </c>
      <c r="M1242" s="163">
        <v>168</v>
      </c>
      <c r="N1242" s="163">
        <v>0</v>
      </c>
      <c r="O1242" s="163">
        <v>2870</v>
      </c>
      <c r="P1242" s="163">
        <v>9184</v>
      </c>
      <c r="Q1242" s="163">
        <v>54.666666667000001</v>
      </c>
      <c r="R1242" s="163">
        <v>3.2</v>
      </c>
      <c r="S1242" s="161">
        <v>17.083333332999999</v>
      </c>
      <c r="T1242">
        <f t="shared" si="35"/>
        <v>4.1880808330660227E-7</v>
      </c>
    </row>
    <row r="1243" spans="2:20">
      <c r="B1243" s="163" t="s">
        <v>1783</v>
      </c>
      <c r="C1243" s="163" t="s">
        <v>1784</v>
      </c>
      <c r="D1243" s="163" t="s">
        <v>1754</v>
      </c>
      <c r="E1243" s="163" t="s">
        <v>853</v>
      </c>
      <c r="F1243" s="163" t="s">
        <v>1363</v>
      </c>
      <c r="G1243" s="163">
        <v>4</v>
      </c>
      <c r="H1243" s="163">
        <v>7</v>
      </c>
      <c r="I1243" s="163">
        <v>2</v>
      </c>
      <c r="J1243" s="163">
        <v>0</v>
      </c>
      <c r="K1243" s="163">
        <v>1</v>
      </c>
      <c r="L1243" s="163">
        <v>3</v>
      </c>
      <c r="M1243" s="163">
        <v>141</v>
      </c>
      <c r="N1243" s="163">
        <v>0</v>
      </c>
      <c r="O1243" s="163">
        <v>2319</v>
      </c>
      <c r="P1243" s="163">
        <v>32512.38</v>
      </c>
      <c r="Q1243" s="163">
        <v>230.58425532000001</v>
      </c>
      <c r="R1243" s="163">
        <v>14.02</v>
      </c>
      <c r="S1243" s="161">
        <v>16.446808511</v>
      </c>
      <c r="T1243">
        <f t="shared" si="35"/>
        <v>3.3840276835819186E-7</v>
      </c>
    </row>
    <row r="1244" spans="2:20">
      <c r="B1244" s="163" t="s">
        <v>1785</v>
      </c>
      <c r="C1244" s="163" t="s">
        <v>1786</v>
      </c>
      <c r="D1244" s="163" t="s">
        <v>1754</v>
      </c>
      <c r="E1244" s="163" t="s">
        <v>853</v>
      </c>
      <c r="F1244" s="163" t="s">
        <v>1363</v>
      </c>
      <c r="G1244" s="163">
        <v>4</v>
      </c>
      <c r="H1244" s="163">
        <v>7</v>
      </c>
      <c r="I1244" s="163">
        <v>2</v>
      </c>
      <c r="J1244" s="163">
        <v>0</v>
      </c>
      <c r="K1244" s="163">
        <v>1</v>
      </c>
      <c r="L1244" s="163">
        <v>3</v>
      </c>
      <c r="M1244" s="163">
        <v>25968.2</v>
      </c>
      <c r="N1244" s="163">
        <v>5956.2</v>
      </c>
      <c r="O1244" s="163">
        <v>1350850.8</v>
      </c>
      <c r="P1244" s="163">
        <v>604019.04200000002</v>
      </c>
      <c r="Q1244" s="163">
        <v>23.259950323999998</v>
      </c>
      <c r="R1244" s="163">
        <v>0.44713971520000001</v>
      </c>
      <c r="S1244" s="161">
        <v>52.019423756999998</v>
      </c>
      <c r="T1244">
        <f t="shared" si="35"/>
        <v>1.9712447190982241E-4</v>
      </c>
    </row>
    <row r="1245" spans="2:20">
      <c r="B1245" s="163" t="s">
        <v>1787</v>
      </c>
      <c r="C1245" s="163" t="s">
        <v>1788</v>
      </c>
      <c r="D1245" s="163" t="s">
        <v>1754</v>
      </c>
      <c r="E1245" s="163" t="s">
        <v>853</v>
      </c>
      <c r="F1245" s="163" t="s">
        <v>1363</v>
      </c>
      <c r="G1245" s="163">
        <v>4</v>
      </c>
      <c r="H1245" s="163">
        <v>7</v>
      </c>
      <c r="I1245" s="163">
        <v>2</v>
      </c>
      <c r="J1245" s="163">
        <v>0</v>
      </c>
      <c r="K1245" s="163">
        <v>1</v>
      </c>
      <c r="L1245" s="163">
        <v>3</v>
      </c>
      <c r="M1245" s="163">
        <v>19785.599999999999</v>
      </c>
      <c r="N1245" s="163">
        <v>3849.6</v>
      </c>
      <c r="O1245" s="163">
        <v>1019355.3</v>
      </c>
      <c r="P1245" s="163">
        <v>911595.01699999999</v>
      </c>
      <c r="Q1245" s="163">
        <v>46.073660490000002</v>
      </c>
      <c r="R1245" s="163">
        <v>0.89428584619999996</v>
      </c>
      <c r="S1245" s="161">
        <v>51.520060043999997</v>
      </c>
      <c r="T1245">
        <f t="shared" si="35"/>
        <v>1.4875060606321484E-4</v>
      </c>
    </row>
    <row r="1246" spans="2:20">
      <c r="B1246" s="163" t="s">
        <v>1789</v>
      </c>
      <c r="C1246" s="163" t="s">
        <v>1790</v>
      </c>
      <c r="D1246" s="163" t="s">
        <v>1754</v>
      </c>
      <c r="E1246" s="163" t="s">
        <v>853</v>
      </c>
      <c r="F1246" s="163" t="s">
        <v>1363</v>
      </c>
      <c r="G1246" s="163">
        <v>4</v>
      </c>
      <c r="H1246" s="163">
        <v>7</v>
      </c>
      <c r="I1246" s="163">
        <v>2</v>
      </c>
      <c r="J1246" s="163">
        <v>0</v>
      </c>
      <c r="K1246" s="163">
        <v>1</v>
      </c>
      <c r="L1246" s="163">
        <v>3</v>
      </c>
      <c r="M1246" s="163">
        <v>9201.5</v>
      </c>
      <c r="N1246" s="163">
        <v>1495.5</v>
      </c>
      <c r="O1246" s="163">
        <v>424301.5</v>
      </c>
      <c r="P1246" s="163">
        <v>759123.36499999999</v>
      </c>
      <c r="Q1246" s="163">
        <v>82.499958159000002</v>
      </c>
      <c r="R1246" s="163">
        <v>1.7891130835</v>
      </c>
      <c r="S1246" s="161">
        <v>46.112209966000002</v>
      </c>
      <c r="T1246">
        <f t="shared" si="35"/>
        <v>6.1916689184361078E-5</v>
      </c>
    </row>
    <row r="1247" spans="2:20">
      <c r="B1247" s="163" t="s">
        <v>1791</v>
      </c>
      <c r="C1247" s="163" t="s">
        <v>1792</v>
      </c>
      <c r="D1247" s="163" t="s">
        <v>1754</v>
      </c>
      <c r="E1247" s="163" t="s">
        <v>853</v>
      </c>
      <c r="F1247" s="163" t="s">
        <v>1363</v>
      </c>
      <c r="G1247" s="163">
        <v>4</v>
      </c>
      <c r="H1247" s="163">
        <v>7</v>
      </c>
      <c r="I1247" s="163">
        <v>2</v>
      </c>
      <c r="J1247" s="163">
        <v>0</v>
      </c>
      <c r="K1247" s="163">
        <v>1</v>
      </c>
      <c r="L1247" s="163">
        <v>3</v>
      </c>
      <c r="M1247" s="163">
        <v>5391</v>
      </c>
      <c r="N1247" s="163">
        <v>731</v>
      </c>
      <c r="O1247" s="163">
        <v>227568.8</v>
      </c>
      <c r="P1247" s="163">
        <v>814338.57799999998</v>
      </c>
      <c r="Q1247" s="163">
        <v>151.05519903999999</v>
      </c>
      <c r="R1247" s="163">
        <v>3.5784280534000001</v>
      </c>
      <c r="S1247" s="161">
        <v>42.212724911999999</v>
      </c>
      <c r="T1247">
        <f t="shared" si="35"/>
        <v>3.3208241445429796E-5</v>
      </c>
    </row>
    <row r="1248" spans="2:20">
      <c r="B1248" s="163" t="s">
        <v>1793</v>
      </c>
      <c r="C1248" s="163" t="s">
        <v>1794</v>
      </c>
      <c r="D1248" s="163" t="s">
        <v>1754</v>
      </c>
      <c r="E1248" s="163" t="s">
        <v>853</v>
      </c>
      <c r="F1248" s="163" t="s">
        <v>1363</v>
      </c>
      <c r="G1248" s="163">
        <v>4</v>
      </c>
      <c r="H1248" s="163">
        <v>7</v>
      </c>
      <c r="I1248" s="163">
        <v>2</v>
      </c>
      <c r="J1248" s="163">
        <v>0</v>
      </c>
      <c r="K1248" s="163">
        <v>1</v>
      </c>
      <c r="L1248" s="163">
        <v>3</v>
      </c>
      <c r="M1248" s="163">
        <v>9698.5</v>
      </c>
      <c r="N1248" s="163">
        <v>2560.5</v>
      </c>
      <c r="O1248" s="163">
        <v>458483.1</v>
      </c>
      <c r="P1248" s="163">
        <v>205006.84599999999</v>
      </c>
      <c r="Q1248" s="163">
        <v>21.137995153999999</v>
      </c>
      <c r="R1248" s="163">
        <v>0.44714155439999997</v>
      </c>
      <c r="S1248" s="161">
        <v>47.273609321000002</v>
      </c>
      <c r="T1248">
        <f t="shared" si="35"/>
        <v>6.6904678863926562E-5</v>
      </c>
    </row>
    <row r="1249" spans="2:20">
      <c r="B1249" s="163" t="s">
        <v>1795</v>
      </c>
      <c r="C1249" s="163" t="s">
        <v>1796</v>
      </c>
      <c r="D1249" s="163" t="s">
        <v>1754</v>
      </c>
      <c r="E1249" s="163" t="s">
        <v>853</v>
      </c>
      <c r="F1249" s="163" t="s">
        <v>1363</v>
      </c>
      <c r="G1249" s="163">
        <v>4</v>
      </c>
      <c r="H1249" s="163">
        <v>7</v>
      </c>
      <c r="I1249" s="163">
        <v>2</v>
      </c>
      <c r="J1249" s="163">
        <v>0</v>
      </c>
      <c r="K1249" s="163">
        <v>1</v>
      </c>
      <c r="L1249" s="163">
        <v>3</v>
      </c>
      <c r="M1249" s="163">
        <v>1020.1</v>
      </c>
      <c r="N1249" s="163">
        <v>166.1</v>
      </c>
      <c r="O1249" s="163">
        <v>40583.5</v>
      </c>
      <c r="P1249" s="163">
        <v>221043.52900000001</v>
      </c>
      <c r="Q1249" s="163">
        <v>216.68809823000001</v>
      </c>
      <c r="R1249" s="163">
        <v>5.4466354306999998</v>
      </c>
      <c r="S1249" s="161">
        <v>39.783844721000001</v>
      </c>
      <c r="T1249">
        <f t="shared" si="35"/>
        <v>5.9221943724297889E-6</v>
      </c>
    </row>
    <row r="1250" spans="2:20">
      <c r="B1250" s="163" t="s">
        <v>1797</v>
      </c>
      <c r="C1250" s="163" t="s">
        <v>1798</v>
      </c>
      <c r="D1250" s="163" t="s">
        <v>1754</v>
      </c>
      <c r="E1250" s="163" t="s">
        <v>853</v>
      </c>
      <c r="F1250" s="163" t="s">
        <v>1363</v>
      </c>
      <c r="G1250" s="163">
        <v>4</v>
      </c>
      <c r="H1250" s="163">
        <v>7</v>
      </c>
      <c r="I1250" s="163">
        <v>2</v>
      </c>
      <c r="J1250" s="163">
        <v>0</v>
      </c>
      <c r="K1250" s="163">
        <v>1</v>
      </c>
      <c r="L1250" s="163">
        <v>3</v>
      </c>
      <c r="M1250" s="163">
        <v>2618</v>
      </c>
      <c r="N1250" s="163">
        <v>410</v>
      </c>
      <c r="O1250" s="163">
        <v>112123.5</v>
      </c>
      <c r="P1250" s="163">
        <v>305317.266</v>
      </c>
      <c r="Q1250" s="163">
        <v>116.62233231</v>
      </c>
      <c r="R1250" s="163">
        <v>2.7230443752000002</v>
      </c>
      <c r="S1250" s="161">
        <v>42.827922078</v>
      </c>
      <c r="T1250">
        <f t="shared" si="35"/>
        <v>1.6361751961194363E-5</v>
      </c>
    </row>
    <row r="1251" spans="2:20">
      <c r="B1251" s="163" t="s">
        <v>1799</v>
      </c>
      <c r="C1251" s="163" t="s">
        <v>1800</v>
      </c>
      <c r="D1251" s="163" t="s">
        <v>1754</v>
      </c>
      <c r="E1251" s="163" t="s">
        <v>853</v>
      </c>
      <c r="F1251" s="163" t="s">
        <v>1363</v>
      </c>
      <c r="G1251" s="163">
        <v>4</v>
      </c>
      <c r="H1251" s="163">
        <v>7</v>
      </c>
      <c r="I1251" s="163">
        <v>2</v>
      </c>
      <c r="J1251" s="163">
        <v>0</v>
      </c>
      <c r="K1251" s="163">
        <v>1</v>
      </c>
      <c r="L1251" s="163">
        <v>3</v>
      </c>
      <c r="M1251" s="163">
        <v>5681.8</v>
      </c>
      <c r="N1251" s="163">
        <v>1080.8</v>
      </c>
      <c r="O1251" s="163">
        <v>263787.59999999998</v>
      </c>
      <c r="P1251" s="163">
        <v>359085.61099999998</v>
      </c>
      <c r="Q1251" s="163">
        <v>63.199269774000001</v>
      </c>
      <c r="R1251" s="163">
        <v>1.3612679709</v>
      </c>
      <c r="S1251" s="161">
        <v>46.426766166</v>
      </c>
      <c r="T1251">
        <f t="shared" si="35"/>
        <v>3.8493511901062255E-5</v>
      </c>
    </row>
    <row r="1252" spans="2:20">
      <c r="B1252" s="163" t="s">
        <v>1801</v>
      </c>
      <c r="C1252" s="163" t="s">
        <v>1802</v>
      </c>
      <c r="D1252" s="163" t="s">
        <v>1754</v>
      </c>
      <c r="E1252" s="163" t="s">
        <v>853</v>
      </c>
      <c r="F1252" s="163" t="s">
        <v>1363</v>
      </c>
      <c r="G1252" s="163">
        <v>4</v>
      </c>
      <c r="H1252" s="163">
        <v>7</v>
      </c>
      <c r="I1252" s="163">
        <v>2</v>
      </c>
      <c r="J1252" s="163">
        <v>0</v>
      </c>
      <c r="K1252" s="163">
        <v>1</v>
      </c>
      <c r="L1252" s="163">
        <v>3</v>
      </c>
      <c r="M1252" s="163">
        <v>2329</v>
      </c>
      <c r="N1252" s="163">
        <v>491</v>
      </c>
      <c r="O1252" s="163">
        <v>111816.3</v>
      </c>
      <c r="P1252" s="163">
        <v>76114.547999999995</v>
      </c>
      <c r="Q1252" s="163">
        <v>32.681214255</v>
      </c>
      <c r="R1252" s="163">
        <v>0.68071066560000004</v>
      </c>
      <c r="S1252" s="161">
        <v>48.010433663000001</v>
      </c>
      <c r="T1252">
        <f t="shared" si="35"/>
        <v>1.6316923444402798E-5</v>
      </c>
    </row>
    <row r="1253" spans="2:20">
      <c r="B1253" s="163" t="s">
        <v>1803</v>
      </c>
      <c r="C1253" s="163" t="s">
        <v>1804</v>
      </c>
      <c r="D1253" s="163" t="s">
        <v>1754</v>
      </c>
      <c r="E1253" s="163" t="s">
        <v>853</v>
      </c>
      <c r="F1253" s="163" t="s">
        <v>1363</v>
      </c>
      <c r="G1253" s="163">
        <v>4</v>
      </c>
      <c r="H1253" s="163">
        <v>7</v>
      </c>
      <c r="I1253" s="163">
        <v>2</v>
      </c>
      <c r="J1253" s="163">
        <v>0</v>
      </c>
      <c r="K1253" s="163">
        <v>1</v>
      </c>
      <c r="L1253" s="163">
        <v>3</v>
      </c>
      <c r="M1253" s="163">
        <v>24.4</v>
      </c>
      <c r="N1253" s="163">
        <v>7.4</v>
      </c>
      <c r="O1253" s="163">
        <v>1100</v>
      </c>
      <c r="P1253" s="163">
        <v>307.834</v>
      </c>
      <c r="Q1253" s="163">
        <v>12.616147541</v>
      </c>
      <c r="R1253" s="163">
        <v>0.27984909089999999</v>
      </c>
      <c r="S1253" s="161">
        <v>45.081967212999999</v>
      </c>
      <c r="T1253">
        <f t="shared" si="35"/>
        <v>1.6051877757395905E-7</v>
      </c>
    </row>
    <row r="1254" spans="2:20">
      <c r="B1254" s="163" t="s">
        <v>1805</v>
      </c>
      <c r="C1254" s="163" t="s">
        <v>1806</v>
      </c>
      <c r="D1254" s="163" t="s">
        <v>1754</v>
      </c>
      <c r="E1254" s="163" t="s">
        <v>853</v>
      </c>
      <c r="F1254" s="163" t="s">
        <v>1363</v>
      </c>
      <c r="G1254" s="163">
        <v>4</v>
      </c>
      <c r="H1254" s="163">
        <v>7</v>
      </c>
      <c r="I1254" s="163">
        <v>2</v>
      </c>
      <c r="J1254" s="163">
        <v>0</v>
      </c>
      <c r="K1254" s="163">
        <v>1</v>
      </c>
      <c r="L1254" s="163">
        <v>3</v>
      </c>
      <c r="M1254" s="163">
        <v>38.9</v>
      </c>
      <c r="N1254" s="163">
        <v>8.9</v>
      </c>
      <c r="O1254" s="163">
        <v>1857.6</v>
      </c>
      <c r="P1254" s="163">
        <v>511.34699999999998</v>
      </c>
      <c r="Q1254" s="163">
        <v>13.145167095</v>
      </c>
      <c r="R1254" s="163">
        <v>0.27527293279999998</v>
      </c>
      <c r="S1254" s="161">
        <v>47.753213367999997</v>
      </c>
      <c r="T1254">
        <f t="shared" si="35"/>
        <v>2.7107243747398757E-7</v>
      </c>
    </row>
    <row r="1255" spans="2:20">
      <c r="B1255" s="163" t="s">
        <v>1807</v>
      </c>
      <c r="C1255" s="163" t="s">
        <v>1808</v>
      </c>
      <c r="D1255" s="163" t="s">
        <v>1754</v>
      </c>
      <c r="E1255" s="163" t="s">
        <v>853</v>
      </c>
      <c r="F1255" s="163" t="s">
        <v>1363</v>
      </c>
      <c r="G1255" s="163">
        <v>4</v>
      </c>
      <c r="H1255" s="163">
        <v>7</v>
      </c>
      <c r="I1255" s="163">
        <v>2</v>
      </c>
      <c r="J1255" s="163">
        <v>0</v>
      </c>
      <c r="K1255" s="163">
        <v>1</v>
      </c>
      <c r="L1255" s="163">
        <v>3</v>
      </c>
      <c r="M1255" s="163">
        <v>26</v>
      </c>
      <c r="N1255" s="163">
        <v>5</v>
      </c>
      <c r="O1255" s="163">
        <v>1554.6</v>
      </c>
      <c r="P1255" s="163">
        <v>800.93899999999996</v>
      </c>
      <c r="Q1255" s="163">
        <v>30.805346153999999</v>
      </c>
      <c r="R1255" s="163">
        <v>0.51520584069999997</v>
      </c>
      <c r="S1255" s="161">
        <v>59.792307692000001</v>
      </c>
      <c r="T1255">
        <f t="shared" si="35"/>
        <v>2.268568105604334E-7</v>
      </c>
    </row>
    <row r="1256" spans="2:20">
      <c r="B1256" s="163" t="s">
        <v>1809</v>
      </c>
      <c r="C1256" s="163" t="s">
        <v>1810</v>
      </c>
      <c r="D1256" s="163" t="s">
        <v>1754</v>
      </c>
      <c r="E1256" s="163" t="s">
        <v>853</v>
      </c>
      <c r="F1256" s="163" t="s">
        <v>1363</v>
      </c>
      <c r="G1256" s="163">
        <v>4</v>
      </c>
      <c r="H1256" s="163">
        <v>7</v>
      </c>
      <c r="I1256" s="163">
        <v>2</v>
      </c>
      <c r="J1256" s="163">
        <v>0</v>
      </c>
      <c r="K1256" s="163">
        <v>1</v>
      </c>
      <c r="L1256" s="163">
        <v>3</v>
      </c>
      <c r="M1256" s="163">
        <v>2.4</v>
      </c>
      <c r="N1256" s="163">
        <v>0.4</v>
      </c>
      <c r="O1256" s="163">
        <v>73.7</v>
      </c>
      <c r="P1256" s="163">
        <v>91.855999999999995</v>
      </c>
      <c r="Q1256" s="163">
        <v>38.273333332999997</v>
      </c>
      <c r="R1256" s="163">
        <v>1.2463500677999999</v>
      </c>
      <c r="S1256" s="161">
        <v>30.708333332999999</v>
      </c>
      <c r="T1256">
        <f t="shared" si="35"/>
        <v>1.0754758097455257E-8</v>
      </c>
    </row>
    <row r="1257" spans="2:20">
      <c r="B1257" s="163" t="s">
        <v>1811</v>
      </c>
      <c r="C1257" s="163" t="s">
        <v>1812</v>
      </c>
      <c r="D1257" s="163" t="s">
        <v>1754</v>
      </c>
      <c r="E1257" s="163" t="s">
        <v>853</v>
      </c>
      <c r="F1257" s="163" t="s">
        <v>1363</v>
      </c>
      <c r="G1257" s="163">
        <v>4</v>
      </c>
      <c r="H1257" s="163">
        <v>7</v>
      </c>
      <c r="I1257" s="163">
        <v>2</v>
      </c>
      <c r="J1257" s="163">
        <v>0</v>
      </c>
      <c r="K1257" s="163">
        <v>1</v>
      </c>
      <c r="L1257" s="163">
        <v>3</v>
      </c>
      <c r="M1257" s="163">
        <v>1.1000000000000001</v>
      </c>
      <c r="N1257" s="163">
        <v>0.1</v>
      </c>
      <c r="O1257" s="163">
        <v>34.799999999999997</v>
      </c>
      <c r="P1257" s="163">
        <v>84.421000000000006</v>
      </c>
      <c r="Q1257" s="163">
        <v>76.746363635999998</v>
      </c>
      <c r="R1257" s="163">
        <v>2.4258908045999998</v>
      </c>
      <c r="S1257" s="161">
        <v>31.636363635999999</v>
      </c>
      <c r="T1257">
        <f t="shared" si="35"/>
        <v>5.0782304177943406E-9</v>
      </c>
    </row>
    <row r="1258" spans="2:20">
      <c r="B1258" s="163" t="s">
        <v>1813</v>
      </c>
      <c r="C1258" s="163" t="s">
        <v>1814</v>
      </c>
      <c r="D1258" s="163" t="s">
        <v>1754</v>
      </c>
      <c r="E1258" s="163" t="s">
        <v>853</v>
      </c>
      <c r="F1258" s="163" t="s">
        <v>1363</v>
      </c>
      <c r="G1258" s="163">
        <v>4</v>
      </c>
      <c r="H1258" s="163">
        <v>7</v>
      </c>
      <c r="I1258" s="163">
        <v>2</v>
      </c>
      <c r="J1258" s="163">
        <v>0</v>
      </c>
      <c r="K1258" s="163">
        <v>1</v>
      </c>
      <c r="L1258" s="163">
        <v>3</v>
      </c>
      <c r="M1258" s="163">
        <v>127851.4</v>
      </c>
      <c r="N1258" s="163">
        <v>33665.4</v>
      </c>
      <c r="O1258" s="163">
        <v>5577400.9000000004</v>
      </c>
      <c r="P1258" s="163">
        <v>1570959.8929999999</v>
      </c>
      <c r="Q1258" s="163">
        <v>12.287389055</v>
      </c>
      <c r="R1258" s="163">
        <v>0.2816652274</v>
      </c>
      <c r="S1258" s="161">
        <v>43.624089372999997</v>
      </c>
      <c r="T1258">
        <f t="shared" si="35"/>
        <v>8.1388870409809008E-4</v>
      </c>
    </row>
    <row r="1259" spans="2:20">
      <c r="B1259" s="163" t="s">
        <v>1815</v>
      </c>
      <c r="C1259" s="163" t="s">
        <v>1816</v>
      </c>
      <c r="D1259" s="163" t="s">
        <v>1754</v>
      </c>
      <c r="E1259" s="163" t="s">
        <v>853</v>
      </c>
      <c r="F1259" s="163" t="s">
        <v>1363</v>
      </c>
      <c r="G1259" s="163">
        <v>4</v>
      </c>
      <c r="H1259" s="163">
        <v>7</v>
      </c>
      <c r="I1259" s="163">
        <v>2</v>
      </c>
      <c r="J1259" s="163">
        <v>0</v>
      </c>
      <c r="K1259" s="163">
        <v>1</v>
      </c>
      <c r="L1259" s="163">
        <v>3</v>
      </c>
      <c r="M1259" s="163">
        <v>236892.9</v>
      </c>
      <c r="N1259" s="163">
        <v>54180.9</v>
      </c>
      <c r="O1259" s="163">
        <v>11912505.6</v>
      </c>
      <c r="P1259" s="163">
        <v>3248291.0320000001</v>
      </c>
      <c r="Q1259" s="163">
        <v>13.712065798999999</v>
      </c>
      <c r="R1259" s="163">
        <v>0.27267907699999999</v>
      </c>
      <c r="S1259" s="161">
        <v>50.286461097</v>
      </c>
      <c r="T1259">
        <f t="shared" ref="T1259:T1322" si="36">O1259/SUM($O$874:$O$1513)</f>
        <v>1.7383462152317651E-3</v>
      </c>
    </row>
    <row r="1260" spans="2:20">
      <c r="B1260" s="163" t="s">
        <v>1817</v>
      </c>
      <c r="C1260" s="163" t="s">
        <v>1818</v>
      </c>
      <c r="D1260" s="163" t="s">
        <v>1754</v>
      </c>
      <c r="E1260" s="163" t="s">
        <v>853</v>
      </c>
      <c r="F1260" s="163" t="s">
        <v>1363</v>
      </c>
      <c r="G1260" s="163">
        <v>4</v>
      </c>
      <c r="H1260" s="163">
        <v>7</v>
      </c>
      <c r="I1260" s="163">
        <v>2</v>
      </c>
      <c r="J1260" s="163">
        <v>0</v>
      </c>
      <c r="K1260" s="163">
        <v>1</v>
      </c>
      <c r="L1260" s="163">
        <v>3</v>
      </c>
      <c r="M1260" s="163">
        <v>181755.8</v>
      </c>
      <c r="N1260" s="163">
        <v>35295.800000000003</v>
      </c>
      <c r="O1260" s="163">
        <v>8737626.4000000004</v>
      </c>
      <c r="P1260" s="163">
        <v>4644889.7589999996</v>
      </c>
      <c r="Q1260" s="163">
        <v>25.555661822000001</v>
      </c>
      <c r="R1260" s="163">
        <v>0.53159628790000002</v>
      </c>
      <c r="S1260" s="161">
        <v>48.073439196999999</v>
      </c>
      <c r="T1260">
        <f t="shared" si="36"/>
        <v>1.2750482805690478E-3</v>
      </c>
    </row>
    <row r="1261" spans="2:20">
      <c r="B1261" s="163" t="s">
        <v>1819</v>
      </c>
      <c r="C1261" s="163" t="s">
        <v>1820</v>
      </c>
      <c r="D1261" s="163" t="s">
        <v>1754</v>
      </c>
      <c r="E1261" s="163" t="s">
        <v>853</v>
      </c>
      <c r="F1261" s="163" t="s">
        <v>1363</v>
      </c>
      <c r="G1261" s="163">
        <v>4</v>
      </c>
      <c r="H1261" s="163">
        <v>7</v>
      </c>
      <c r="I1261" s="163">
        <v>2</v>
      </c>
      <c r="J1261" s="163">
        <v>0</v>
      </c>
      <c r="K1261" s="163">
        <v>1</v>
      </c>
      <c r="L1261" s="163">
        <v>3</v>
      </c>
      <c r="M1261" s="163">
        <v>104531.2</v>
      </c>
      <c r="N1261" s="163">
        <v>16978.2</v>
      </c>
      <c r="O1261" s="163">
        <v>4684767.7</v>
      </c>
      <c r="P1261" s="163">
        <v>4885077.3530000001</v>
      </c>
      <c r="Q1261" s="163">
        <v>46.733198825000002</v>
      </c>
      <c r="R1261" s="163">
        <v>1.0427576489999999</v>
      </c>
      <c r="S1261" s="161">
        <v>44.816932170000001</v>
      </c>
      <c r="T1261">
        <f t="shared" si="36"/>
        <v>6.836301676563343E-4</v>
      </c>
    </row>
    <row r="1262" spans="2:20">
      <c r="B1262" s="163" t="s">
        <v>1821</v>
      </c>
      <c r="C1262" s="163" t="s">
        <v>1822</v>
      </c>
      <c r="D1262" s="163" t="s">
        <v>1754</v>
      </c>
      <c r="E1262" s="163" t="s">
        <v>853</v>
      </c>
      <c r="F1262" s="163" t="s">
        <v>1363</v>
      </c>
      <c r="G1262" s="163">
        <v>4</v>
      </c>
      <c r="H1262" s="163">
        <v>7</v>
      </c>
      <c r="I1262" s="163">
        <v>2</v>
      </c>
      <c r="J1262" s="163">
        <v>0</v>
      </c>
      <c r="K1262" s="163">
        <v>1</v>
      </c>
      <c r="L1262" s="163">
        <v>3</v>
      </c>
      <c r="M1262" s="163">
        <v>41322.9</v>
      </c>
      <c r="N1262" s="163">
        <v>5595.9</v>
      </c>
      <c r="O1262" s="163">
        <v>1828121.2</v>
      </c>
      <c r="P1262" s="163">
        <v>3704883.8769999999</v>
      </c>
      <c r="Q1262" s="163">
        <v>89.656918488000002</v>
      </c>
      <c r="R1262" s="163">
        <v>2.0266073590000002</v>
      </c>
      <c r="S1262" s="161">
        <v>44.239905718000003</v>
      </c>
      <c r="T1262">
        <f t="shared" si="36"/>
        <v>2.6677070934639921E-4</v>
      </c>
    </row>
    <row r="1263" spans="2:20">
      <c r="B1263" s="163" t="s">
        <v>1823</v>
      </c>
      <c r="C1263" s="163" t="s">
        <v>1824</v>
      </c>
      <c r="D1263" s="163" t="s">
        <v>1754</v>
      </c>
      <c r="E1263" s="163" t="s">
        <v>853</v>
      </c>
      <c r="F1263" s="163" t="s">
        <v>1363</v>
      </c>
      <c r="G1263" s="163">
        <v>4</v>
      </c>
      <c r="H1263" s="163">
        <v>7</v>
      </c>
      <c r="I1263" s="163">
        <v>2</v>
      </c>
      <c r="J1263" s="163">
        <v>0</v>
      </c>
      <c r="K1263" s="163">
        <v>1</v>
      </c>
      <c r="L1263" s="163">
        <v>3</v>
      </c>
      <c r="M1263" s="163">
        <v>10543.9</v>
      </c>
      <c r="N1263" s="163">
        <v>1696.9</v>
      </c>
      <c r="O1263" s="163">
        <v>454652.5</v>
      </c>
      <c r="P1263" s="163">
        <v>1440752.7109999999</v>
      </c>
      <c r="Q1263" s="163">
        <v>136.64324500000001</v>
      </c>
      <c r="R1263" s="163">
        <v>3.1689096860000001</v>
      </c>
      <c r="S1263" s="161">
        <v>43.119955613999998</v>
      </c>
      <c r="T1263">
        <f t="shared" si="36"/>
        <v>6.6345694109949479E-5</v>
      </c>
    </row>
    <row r="1264" spans="2:20">
      <c r="B1264" s="163" t="s">
        <v>1825</v>
      </c>
      <c r="C1264" s="163" t="s">
        <v>1826</v>
      </c>
      <c r="D1264" s="163" t="s">
        <v>1754</v>
      </c>
      <c r="E1264" s="163" t="s">
        <v>853</v>
      </c>
      <c r="F1264" s="163" t="s">
        <v>1363</v>
      </c>
      <c r="G1264" s="163">
        <v>4</v>
      </c>
      <c r="H1264" s="163">
        <v>7</v>
      </c>
      <c r="I1264" s="163">
        <v>2</v>
      </c>
      <c r="J1264" s="163">
        <v>0</v>
      </c>
      <c r="K1264" s="163">
        <v>1</v>
      </c>
      <c r="L1264" s="163">
        <v>3</v>
      </c>
      <c r="M1264" s="163">
        <v>39174.1</v>
      </c>
      <c r="N1264" s="163">
        <v>8243.1</v>
      </c>
      <c r="O1264" s="163">
        <v>1693969.2</v>
      </c>
      <c r="P1264" s="163">
        <v>699148.73400000005</v>
      </c>
      <c r="Q1264" s="163">
        <v>17.8472188</v>
      </c>
      <c r="R1264" s="163">
        <v>0.4127281263</v>
      </c>
      <c r="S1264" s="161">
        <v>43.242070654000003</v>
      </c>
      <c r="T1264">
        <f t="shared" si="36"/>
        <v>2.4719442293812485E-4</v>
      </c>
    </row>
    <row r="1265" spans="2:20">
      <c r="B1265" s="163" t="s">
        <v>1827</v>
      </c>
      <c r="C1265" s="163" t="s">
        <v>1828</v>
      </c>
      <c r="D1265" s="163" t="s">
        <v>1754</v>
      </c>
      <c r="E1265" s="163" t="s">
        <v>853</v>
      </c>
      <c r="F1265" s="163" t="s">
        <v>1363</v>
      </c>
      <c r="G1265" s="163">
        <v>4</v>
      </c>
      <c r="H1265" s="163">
        <v>7</v>
      </c>
      <c r="I1265" s="163">
        <v>2</v>
      </c>
      <c r="J1265" s="163">
        <v>0</v>
      </c>
      <c r="K1265" s="163">
        <v>1</v>
      </c>
      <c r="L1265" s="163">
        <v>3</v>
      </c>
      <c r="M1265" s="163">
        <v>72955.3</v>
      </c>
      <c r="N1265" s="163">
        <v>13851.3</v>
      </c>
      <c r="O1265" s="163">
        <v>3181282.2</v>
      </c>
      <c r="P1265" s="163">
        <v>2584767.2779999999</v>
      </c>
      <c r="Q1265" s="163">
        <v>35.429465411999999</v>
      </c>
      <c r="R1265" s="163">
        <v>0.81249229570000003</v>
      </c>
      <c r="S1265" s="161">
        <v>43.605909371999999</v>
      </c>
      <c r="T1265">
        <f t="shared" si="36"/>
        <v>4.6423229987435925E-4</v>
      </c>
    </row>
    <row r="1266" spans="2:20">
      <c r="B1266" s="163" t="s">
        <v>1829</v>
      </c>
      <c r="C1266" s="163" t="s">
        <v>1830</v>
      </c>
      <c r="D1266" s="163" t="s">
        <v>1754</v>
      </c>
      <c r="E1266" s="163" t="s">
        <v>853</v>
      </c>
      <c r="F1266" s="163" t="s">
        <v>1363</v>
      </c>
      <c r="G1266" s="163">
        <v>4</v>
      </c>
      <c r="H1266" s="163">
        <v>7</v>
      </c>
      <c r="I1266" s="163">
        <v>2</v>
      </c>
      <c r="J1266" s="163">
        <v>0</v>
      </c>
      <c r="K1266" s="163">
        <v>1</v>
      </c>
      <c r="L1266" s="163">
        <v>3</v>
      </c>
      <c r="M1266" s="163">
        <v>34918.9</v>
      </c>
      <c r="N1266" s="163">
        <v>5457.9</v>
      </c>
      <c r="O1266" s="163">
        <v>1415129.6</v>
      </c>
      <c r="P1266" s="163">
        <v>2223242.8990000002</v>
      </c>
      <c r="Q1266" s="163">
        <v>63.668755287000003</v>
      </c>
      <c r="R1266" s="163">
        <v>1.5710525021999999</v>
      </c>
      <c r="S1266" s="161">
        <v>40.526179231999997</v>
      </c>
      <c r="T1266">
        <f t="shared" si="36"/>
        <v>2.0650443045520516E-4</v>
      </c>
    </row>
    <row r="1267" spans="2:20">
      <c r="B1267" s="163" t="s">
        <v>1831</v>
      </c>
      <c r="C1267" s="163" t="s">
        <v>1832</v>
      </c>
      <c r="D1267" s="163" t="s">
        <v>1754</v>
      </c>
      <c r="E1267" s="163" t="s">
        <v>853</v>
      </c>
      <c r="F1267" s="163" t="s">
        <v>1363</v>
      </c>
      <c r="G1267" s="163">
        <v>4</v>
      </c>
      <c r="H1267" s="163">
        <v>7</v>
      </c>
      <c r="I1267" s="163">
        <v>2</v>
      </c>
      <c r="J1267" s="163">
        <v>0</v>
      </c>
      <c r="K1267" s="163">
        <v>1</v>
      </c>
      <c r="L1267" s="163">
        <v>3</v>
      </c>
      <c r="M1267" s="163">
        <v>447.9</v>
      </c>
      <c r="N1267" s="163">
        <v>117.9</v>
      </c>
      <c r="O1267" s="163">
        <v>18820.400000000001</v>
      </c>
      <c r="P1267" s="163">
        <v>8405.6059999999998</v>
      </c>
      <c r="Q1267" s="163">
        <v>18.766702388999999</v>
      </c>
      <c r="R1267" s="163">
        <v>0.44662206970000001</v>
      </c>
      <c r="S1267" s="161">
        <v>42.019200714</v>
      </c>
      <c r="T1267">
        <f t="shared" si="36"/>
        <v>2.7463887285935811E-6</v>
      </c>
    </row>
    <row r="1268" spans="2:20">
      <c r="B1268" s="163" t="s">
        <v>1833</v>
      </c>
      <c r="C1268" s="163" t="s">
        <v>1834</v>
      </c>
      <c r="D1268" s="163" t="s">
        <v>1754</v>
      </c>
      <c r="E1268" s="163" t="s">
        <v>853</v>
      </c>
      <c r="F1268" s="163" t="s">
        <v>1363</v>
      </c>
      <c r="G1268" s="163">
        <v>4</v>
      </c>
      <c r="H1268" s="163">
        <v>7</v>
      </c>
      <c r="I1268" s="163">
        <v>2</v>
      </c>
      <c r="J1268" s="163">
        <v>0</v>
      </c>
      <c r="K1268" s="163">
        <v>1</v>
      </c>
      <c r="L1268" s="163">
        <v>3</v>
      </c>
      <c r="M1268" s="163">
        <v>427.8</v>
      </c>
      <c r="N1268" s="163">
        <v>98.8</v>
      </c>
      <c r="O1268" s="163">
        <v>22686.5</v>
      </c>
      <c r="P1268" s="163">
        <v>10128.431</v>
      </c>
      <c r="Q1268" s="163">
        <v>23.675621786000001</v>
      </c>
      <c r="R1268" s="163">
        <v>0.44645189870000002</v>
      </c>
      <c r="S1268" s="161">
        <v>53.030621785999998</v>
      </c>
      <c r="T1268">
        <f t="shared" si="36"/>
        <v>3.3105538613014746E-6</v>
      </c>
    </row>
    <row r="1269" spans="2:20">
      <c r="B1269" s="163" t="s">
        <v>1835</v>
      </c>
      <c r="C1269" s="163" t="s">
        <v>1836</v>
      </c>
      <c r="D1269" s="163" t="s">
        <v>1754</v>
      </c>
      <c r="E1269" s="163" t="s">
        <v>853</v>
      </c>
      <c r="F1269" s="163" t="s">
        <v>1363</v>
      </c>
      <c r="G1269" s="163">
        <v>4</v>
      </c>
      <c r="H1269" s="163">
        <v>7</v>
      </c>
      <c r="I1269" s="163">
        <v>2</v>
      </c>
      <c r="J1269" s="163">
        <v>0</v>
      </c>
      <c r="K1269" s="163">
        <v>1</v>
      </c>
      <c r="L1269" s="163">
        <v>3</v>
      </c>
      <c r="M1269" s="163">
        <v>421.9</v>
      </c>
      <c r="N1269" s="163">
        <v>82.9</v>
      </c>
      <c r="O1269" s="163">
        <v>22871</v>
      </c>
      <c r="P1269" s="163">
        <v>20419.441999999999</v>
      </c>
      <c r="Q1269" s="163">
        <v>48.398772221000002</v>
      </c>
      <c r="R1269" s="163">
        <v>0.89280932180000006</v>
      </c>
      <c r="S1269" s="161">
        <v>54.209528323999997</v>
      </c>
      <c r="T1269">
        <f t="shared" si="36"/>
        <v>3.3374772380854707E-6</v>
      </c>
    </row>
    <row r="1270" spans="2:20">
      <c r="B1270" s="163" t="s">
        <v>1837</v>
      </c>
      <c r="C1270" s="163" t="s">
        <v>1838</v>
      </c>
      <c r="D1270" s="163" t="s">
        <v>1754</v>
      </c>
      <c r="E1270" s="163" t="s">
        <v>853</v>
      </c>
      <c r="F1270" s="163" t="s">
        <v>1363</v>
      </c>
      <c r="G1270" s="163">
        <v>4</v>
      </c>
      <c r="H1270" s="163">
        <v>7</v>
      </c>
      <c r="I1270" s="163">
        <v>2</v>
      </c>
      <c r="J1270" s="163">
        <v>0</v>
      </c>
      <c r="K1270" s="163">
        <v>1</v>
      </c>
      <c r="L1270" s="163">
        <v>3</v>
      </c>
      <c r="M1270" s="163">
        <v>150.4</v>
      </c>
      <c r="N1270" s="163">
        <v>24.4</v>
      </c>
      <c r="O1270" s="163">
        <v>7923.5</v>
      </c>
      <c r="P1270" s="163">
        <v>14150.528</v>
      </c>
      <c r="Q1270" s="163">
        <v>94.085957446999998</v>
      </c>
      <c r="R1270" s="163">
        <v>1.7858936076</v>
      </c>
      <c r="S1270" s="161">
        <v>52.682845745000002</v>
      </c>
      <c r="T1270">
        <f t="shared" si="36"/>
        <v>1.1562459400975132E-6</v>
      </c>
    </row>
    <row r="1271" spans="2:20">
      <c r="B1271" s="163" t="s">
        <v>1839</v>
      </c>
      <c r="C1271" s="163" t="s">
        <v>1840</v>
      </c>
      <c r="D1271" s="163" t="s">
        <v>1754</v>
      </c>
      <c r="E1271" s="163" t="s">
        <v>853</v>
      </c>
      <c r="F1271" s="163" t="s">
        <v>1363</v>
      </c>
      <c r="G1271" s="163">
        <v>4</v>
      </c>
      <c r="H1271" s="163">
        <v>7</v>
      </c>
      <c r="I1271" s="163">
        <v>2</v>
      </c>
      <c r="J1271" s="163">
        <v>0</v>
      </c>
      <c r="K1271" s="163">
        <v>1</v>
      </c>
      <c r="L1271" s="163">
        <v>3</v>
      </c>
      <c r="M1271" s="163">
        <v>56.7</v>
      </c>
      <c r="N1271" s="163">
        <v>7.7</v>
      </c>
      <c r="O1271" s="163">
        <v>3532.8</v>
      </c>
      <c r="P1271" s="163">
        <v>12617.653</v>
      </c>
      <c r="Q1271" s="163">
        <v>222.53356260999999</v>
      </c>
      <c r="R1271" s="163">
        <v>3.5715729732999999</v>
      </c>
      <c r="S1271" s="161">
        <v>62.306878306999998</v>
      </c>
      <c r="T1271">
        <f t="shared" si="36"/>
        <v>5.1552794310298419E-7</v>
      </c>
    </row>
    <row r="1272" spans="2:20">
      <c r="B1272" s="163" t="s">
        <v>1841</v>
      </c>
      <c r="C1272" s="163" t="s">
        <v>1842</v>
      </c>
      <c r="D1272" s="163" t="s">
        <v>1754</v>
      </c>
      <c r="E1272" s="163" t="s">
        <v>853</v>
      </c>
      <c r="F1272" s="163" t="s">
        <v>1363</v>
      </c>
      <c r="G1272" s="163">
        <v>4</v>
      </c>
      <c r="H1272" s="163">
        <v>7</v>
      </c>
      <c r="I1272" s="163">
        <v>2</v>
      </c>
      <c r="J1272" s="163">
        <v>0</v>
      </c>
      <c r="K1272" s="163">
        <v>1</v>
      </c>
      <c r="L1272" s="163">
        <v>3</v>
      </c>
      <c r="M1272" s="163">
        <v>16311.2</v>
      </c>
      <c r="N1272" s="163">
        <v>3942.2</v>
      </c>
      <c r="O1272" s="163">
        <v>1114263.6000000001</v>
      </c>
      <c r="P1272" s="163">
        <v>156943.046</v>
      </c>
      <c r="Q1272" s="163">
        <v>9.6217964344000002</v>
      </c>
      <c r="R1272" s="163">
        <v>0.14084911859999999</v>
      </c>
      <c r="S1272" s="161">
        <v>68.312791211000004</v>
      </c>
      <c r="T1272">
        <f t="shared" si="36"/>
        <v>1.6260020997014446E-4</v>
      </c>
    </row>
    <row r="1273" spans="2:20">
      <c r="B1273" s="163" t="s">
        <v>1843</v>
      </c>
      <c r="C1273" s="163" t="s">
        <v>1844</v>
      </c>
      <c r="D1273" s="163" t="s">
        <v>1754</v>
      </c>
      <c r="E1273" s="163" t="s">
        <v>853</v>
      </c>
      <c r="F1273" s="163" t="s">
        <v>1363</v>
      </c>
      <c r="G1273" s="163">
        <v>4</v>
      </c>
      <c r="H1273" s="163">
        <v>7</v>
      </c>
      <c r="I1273" s="163">
        <v>2</v>
      </c>
      <c r="J1273" s="163">
        <v>0</v>
      </c>
      <c r="K1273" s="163">
        <v>1</v>
      </c>
      <c r="L1273" s="163">
        <v>3</v>
      </c>
      <c r="M1273" s="163">
        <v>12512.4</v>
      </c>
      <c r="N1273" s="163">
        <v>2919.4</v>
      </c>
      <c r="O1273" s="163">
        <v>943198.4</v>
      </c>
      <c r="P1273" s="163">
        <v>264483.30499999999</v>
      </c>
      <c r="Q1273" s="163">
        <v>21.137695806</v>
      </c>
      <c r="R1273" s="163">
        <v>0.2804111044</v>
      </c>
      <c r="S1273" s="161">
        <v>75.381093954999997</v>
      </c>
      <c r="T1273">
        <f t="shared" si="36"/>
        <v>1.3763732197974007E-4</v>
      </c>
    </row>
    <row r="1274" spans="2:20">
      <c r="B1274" s="163" t="s">
        <v>1845</v>
      </c>
      <c r="C1274" s="163" t="s">
        <v>1846</v>
      </c>
      <c r="D1274" s="163" t="s">
        <v>1754</v>
      </c>
      <c r="E1274" s="163" t="s">
        <v>853</v>
      </c>
      <c r="F1274" s="163" t="s">
        <v>1363</v>
      </c>
      <c r="G1274" s="163">
        <v>4</v>
      </c>
      <c r="H1274" s="163">
        <v>7</v>
      </c>
      <c r="I1274" s="163">
        <v>2</v>
      </c>
      <c r="J1274" s="163">
        <v>0</v>
      </c>
      <c r="K1274" s="163">
        <v>1</v>
      </c>
      <c r="L1274" s="163">
        <v>3</v>
      </c>
      <c r="M1274" s="163">
        <v>6430.5</v>
      </c>
      <c r="N1274" s="163">
        <v>1494.5</v>
      </c>
      <c r="O1274" s="163">
        <v>564802</v>
      </c>
      <c r="P1274" s="163">
        <v>316417.212</v>
      </c>
      <c r="Q1274" s="163">
        <v>49.205693492000002</v>
      </c>
      <c r="R1274" s="163">
        <v>0.56022679099999995</v>
      </c>
      <c r="S1274" s="161">
        <v>87.831739366999997</v>
      </c>
      <c r="T1274">
        <f t="shared" si="36"/>
        <v>8.241938782847929E-5</v>
      </c>
    </row>
    <row r="1275" spans="2:20">
      <c r="B1275" s="163" t="s">
        <v>1847</v>
      </c>
      <c r="C1275" s="163" t="s">
        <v>1848</v>
      </c>
      <c r="D1275" s="163" t="s">
        <v>1754</v>
      </c>
      <c r="E1275" s="163" t="s">
        <v>853</v>
      </c>
      <c r="F1275" s="163" t="s">
        <v>1363</v>
      </c>
      <c r="G1275" s="163">
        <v>4</v>
      </c>
      <c r="H1275" s="163">
        <v>7</v>
      </c>
      <c r="I1275" s="163">
        <v>2</v>
      </c>
      <c r="J1275" s="163">
        <v>0</v>
      </c>
      <c r="K1275" s="163">
        <v>1</v>
      </c>
      <c r="L1275" s="163">
        <v>3</v>
      </c>
      <c r="M1275" s="163">
        <v>146247</v>
      </c>
      <c r="N1275" s="163">
        <v>35304</v>
      </c>
      <c r="O1275" s="163">
        <v>9511012.3000000007</v>
      </c>
      <c r="P1275" s="163">
        <v>1348423.0519999999</v>
      </c>
      <c r="Q1275" s="163">
        <v>9.2201758122000008</v>
      </c>
      <c r="R1275" s="163">
        <v>0.14177492459999999</v>
      </c>
      <c r="S1275" s="161">
        <v>65.033896764000005</v>
      </c>
      <c r="T1275">
        <f t="shared" si="36"/>
        <v>1.387905516260808E-3</v>
      </c>
    </row>
    <row r="1276" spans="2:20">
      <c r="B1276" s="163" t="s">
        <v>1849</v>
      </c>
      <c r="C1276" s="163" t="s">
        <v>1850</v>
      </c>
      <c r="D1276" s="163" t="s">
        <v>1754</v>
      </c>
      <c r="E1276" s="163" t="s">
        <v>853</v>
      </c>
      <c r="F1276" s="163" t="s">
        <v>1363</v>
      </c>
      <c r="G1276" s="163">
        <v>4</v>
      </c>
      <c r="H1276" s="163">
        <v>7</v>
      </c>
      <c r="I1276" s="163">
        <v>2</v>
      </c>
      <c r="J1276" s="163">
        <v>0</v>
      </c>
      <c r="K1276" s="163">
        <v>1</v>
      </c>
      <c r="L1276" s="163">
        <v>3</v>
      </c>
      <c r="M1276" s="163">
        <v>102674.7</v>
      </c>
      <c r="N1276" s="163">
        <v>23956.7</v>
      </c>
      <c r="O1276" s="163">
        <v>7257113.5999999996</v>
      </c>
      <c r="P1276" s="163">
        <v>2052087.1040000001</v>
      </c>
      <c r="Q1276" s="163">
        <v>19.986297539999999</v>
      </c>
      <c r="R1276" s="163">
        <v>0.28276904800000002</v>
      </c>
      <c r="S1276" s="161">
        <v>70.680640897999993</v>
      </c>
      <c r="T1276">
        <f t="shared" si="36"/>
        <v>1.0590027307157757E-3</v>
      </c>
    </row>
    <row r="1277" spans="2:20">
      <c r="B1277" s="163" t="s">
        <v>1851</v>
      </c>
      <c r="C1277" s="163" t="s">
        <v>1852</v>
      </c>
      <c r="D1277" s="163" t="s">
        <v>1754</v>
      </c>
      <c r="E1277" s="163" t="s">
        <v>853</v>
      </c>
      <c r="F1277" s="163" t="s">
        <v>1363</v>
      </c>
      <c r="G1277" s="163">
        <v>4</v>
      </c>
      <c r="H1277" s="163">
        <v>7</v>
      </c>
      <c r="I1277" s="163">
        <v>2</v>
      </c>
      <c r="J1277" s="163">
        <v>0</v>
      </c>
      <c r="K1277" s="163">
        <v>1</v>
      </c>
      <c r="L1277" s="163">
        <v>3</v>
      </c>
      <c r="M1277" s="163">
        <v>46376.4</v>
      </c>
      <c r="N1277" s="163">
        <v>10772.4</v>
      </c>
      <c r="O1277" s="163">
        <v>3797922.1</v>
      </c>
      <c r="P1277" s="163">
        <v>2147085.3930000002</v>
      </c>
      <c r="Q1277" s="163">
        <v>46.296939672000001</v>
      </c>
      <c r="R1277" s="163">
        <v>0.56533160410000005</v>
      </c>
      <c r="S1277" s="161">
        <v>81.893422084999997</v>
      </c>
      <c r="T1277">
        <f t="shared" si="36"/>
        <v>5.5421619346647587E-4</v>
      </c>
    </row>
    <row r="1278" spans="2:20">
      <c r="B1278" s="163" t="s">
        <v>1853</v>
      </c>
      <c r="C1278" s="163" t="s">
        <v>1854</v>
      </c>
      <c r="D1278" s="163" t="s">
        <v>1754</v>
      </c>
      <c r="E1278" s="163" t="s">
        <v>853</v>
      </c>
      <c r="F1278" s="163" t="s">
        <v>1363</v>
      </c>
      <c r="G1278" s="163">
        <v>4</v>
      </c>
      <c r="H1278" s="163">
        <v>7</v>
      </c>
      <c r="I1278" s="163">
        <v>2</v>
      </c>
      <c r="J1278" s="163">
        <v>0</v>
      </c>
      <c r="K1278" s="163">
        <v>1</v>
      </c>
      <c r="L1278" s="163">
        <v>3</v>
      </c>
      <c r="M1278" s="163">
        <v>415</v>
      </c>
      <c r="N1278" s="163">
        <v>0</v>
      </c>
      <c r="O1278" s="163">
        <v>4664</v>
      </c>
      <c r="P1278" s="163">
        <v>6343.04</v>
      </c>
      <c r="Q1278" s="163">
        <v>15.284433735</v>
      </c>
      <c r="R1278" s="163">
        <v>1.36</v>
      </c>
      <c r="S1278" s="161">
        <v>11.238554217000001</v>
      </c>
      <c r="T1278">
        <f t="shared" si="36"/>
        <v>6.8059961691358642E-7</v>
      </c>
    </row>
    <row r="1279" spans="2:20">
      <c r="B1279" s="163" t="s">
        <v>1855</v>
      </c>
      <c r="C1279" s="163" t="s">
        <v>1856</v>
      </c>
      <c r="D1279" s="163" t="s">
        <v>1754</v>
      </c>
      <c r="E1279" s="163" t="s">
        <v>853</v>
      </c>
      <c r="F1279" s="163" t="s">
        <v>1363</v>
      </c>
      <c r="G1279" s="163">
        <v>4</v>
      </c>
      <c r="H1279" s="163">
        <v>7</v>
      </c>
      <c r="I1279" s="163">
        <v>2</v>
      </c>
      <c r="J1279" s="163">
        <v>0</v>
      </c>
      <c r="K1279" s="163">
        <v>1</v>
      </c>
      <c r="L1279" s="163">
        <v>3</v>
      </c>
      <c r="M1279" s="163">
        <v>50</v>
      </c>
      <c r="N1279" s="163">
        <v>0</v>
      </c>
      <c r="O1279" s="163">
        <v>776</v>
      </c>
      <c r="P1279" s="163">
        <v>2110.7199999999998</v>
      </c>
      <c r="Q1279" s="163">
        <v>42.214399999999998</v>
      </c>
      <c r="R1279" s="163">
        <v>2.72</v>
      </c>
      <c r="S1279" s="161">
        <v>15.52</v>
      </c>
      <c r="T1279">
        <f t="shared" si="36"/>
        <v>1.1323870127035657E-7</v>
      </c>
    </row>
    <row r="1280" spans="2:20">
      <c r="B1280" s="163" t="s">
        <v>1857</v>
      </c>
      <c r="C1280" s="163" t="s">
        <v>1858</v>
      </c>
      <c r="D1280" s="163" t="s">
        <v>1754</v>
      </c>
      <c r="E1280" s="163" t="s">
        <v>853</v>
      </c>
      <c r="F1280" s="163" t="s">
        <v>1363</v>
      </c>
      <c r="G1280" s="163">
        <v>4</v>
      </c>
      <c r="H1280" s="163">
        <v>7</v>
      </c>
      <c r="I1280" s="163">
        <v>2</v>
      </c>
      <c r="J1280" s="163">
        <v>0</v>
      </c>
      <c r="K1280" s="163">
        <v>1</v>
      </c>
      <c r="L1280" s="163">
        <v>3</v>
      </c>
      <c r="M1280" s="163">
        <v>63</v>
      </c>
      <c r="N1280" s="163">
        <v>0</v>
      </c>
      <c r="O1280" s="163">
        <v>874</v>
      </c>
      <c r="P1280" s="163">
        <v>10416.32</v>
      </c>
      <c r="Q1280" s="163">
        <v>165.33841269999999</v>
      </c>
      <c r="R1280" s="163">
        <v>11.91798627</v>
      </c>
      <c r="S1280" s="161">
        <v>13.873015873</v>
      </c>
      <c r="T1280">
        <f t="shared" si="36"/>
        <v>1.27539465090582E-7</v>
      </c>
    </row>
    <row r="1281" spans="2:20">
      <c r="B1281" s="163" t="s">
        <v>1859</v>
      </c>
      <c r="C1281" s="163" t="s">
        <v>1860</v>
      </c>
      <c r="D1281" s="163" t="s">
        <v>1754</v>
      </c>
      <c r="E1281" s="163" t="s">
        <v>853</v>
      </c>
      <c r="F1281" s="163" t="s">
        <v>1363</v>
      </c>
      <c r="G1281" s="163">
        <v>4</v>
      </c>
      <c r="H1281" s="163">
        <v>7</v>
      </c>
      <c r="I1281" s="163">
        <v>2</v>
      </c>
      <c r="J1281" s="163">
        <v>0</v>
      </c>
      <c r="K1281" s="163">
        <v>3</v>
      </c>
      <c r="L1281" s="163">
        <v>3</v>
      </c>
      <c r="M1281" s="163">
        <v>19669</v>
      </c>
      <c r="N1281" s="163">
        <v>0</v>
      </c>
      <c r="O1281" s="163">
        <v>7164634</v>
      </c>
      <c r="P1281" s="163">
        <v>236433.21</v>
      </c>
      <c r="Q1281" s="163">
        <v>12.020601453999999</v>
      </c>
      <c r="R1281" s="163">
        <v>3.3000040199999997E-2</v>
      </c>
      <c r="S1281" s="161">
        <v>364.26020641999997</v>
      </c>
      <c r="T1281">
        <f t="shared" si="36"/>
        <v>1.0455075376771133E-3</v>
      </c>
    </row>
    <row r="1282" spans="2:20">
      <c r="B1282" s="163" t="s">
        <v>1861</v>
      </c>
      <c r="C1282" s="163" t="s">
        <v>1862</v>
      </c>
      <c r="D1282" s="163" t="s">
        <v>1754</v>
      </c>
      <c r="E1282" s="163" t="s">
        <v>853</v>
      </c>
      <c r="F1282" s="163" t="s">
        <v>1363</v>
      </c>
      <c r="G1282" s="163">
        <v>4</v>
      </c>
      <c r="H1282" s="163">
        <v>7</v>
      </c>
      <c r="I1282" s="163">
        <v>2</v>
      </c>
      <c r="J1282" s="163">
        <v>0</v>
      </c>
      <c r="K1282" s="163">
        <v>3</v>
      </c>
      <c r="L1282" s="163">
        <v>3</v>
      </c>
      <c r="M1282" s="163">
        <v>787</v>
      </c>
      <c r="N1282" s="163">
        <v>0</v>
      </c>
      <c r="O1282" s="163">
        <v>266451</v>
      </c>
      <c r="P1282" s="163">
        <v>88017.72</v>
      </c>
      <c r="Q1282" s="163">
        <v>111.83954257000001</v>
      </c>
      <c r="R1282" s="163">
        <v>0.3303336073</v>
      </c>
      <c r="S1282" s="161">
        <v>338.56543836999998</v>
      </c>
      <c r="T1282">
        <f t="shared" si="36"/>
        <v>3.8882171639417243E-5</v>
      </c>
    </row>
    <row r="1283" spans="2:20">
      <c r="B1283" s="163" t="s">
        <v>1863</v>
      </c>
      <c r="C1283" s="163" t="s">
        <v>1864</v>
      </c>
      <c r="D1283" s="163" t="s">
        <v>1754</v>
      </c>
      <c r="E1283" s="163" t="s">
        <v>853</v>
      </c>
      <c r="F1283" s="163" t="s">
        <v>1363</v>
      </c>
      <c r="G1283" s="163">
        <v>4</v>
      </c>
      <c r="H1283" s="163">
        <v>7</v>
      </c>
      <c r="I1283" s="163">
        <v>2</v>
      </c>
      <c r="J1283" s="163">
        <v>0</v>
      </c>
      <c r="K1283" s="163">
        <v>1</v>
      </c>
      <c r="L1283" s="163">
        <v>3</v>
      </c>
      <c r="M1283" s="163">
        <v>7784.5</v>
      </c>
      <c r="N1283" s="163">
        <v>2050.5</v>
      </c>
      <c r="O1283" s="163">
        <v>369554</v>
      </c>
      <c r="P1283" s="163">
        <v>102350.35</v>
      </c>
      <c r="Q1283" s="163">
        <v>13.147967114</v>
      </c>
      <c r="R1283" s="163">
        <v>0.27695641230000001</v>
      </c>
      <c r="S1283" s="161">
        <v>47.473055430999999</v>
      </c>
      <c r="T1283">
        <f t="shared" si="36"/>
        <v>5.3927596661424424E-5</v>
      </c>
    </row>
    <row r="1284" spans="2:20">
      <c r="B1284" s="163" t="s">
        <v>1865</v>
      </c>
      <c r="C1284" s="163" t="s">
        <v>1866</v>
      </c>
      <c r="D1284" s="163" t="s">
        <v>1754</v>
      </c>
      <c r="E1284" s="163" t="s">
        <v>853</v>
      </c>
      <c r="F1284" s="163" t="s">
        <v>1363</v>
      </c>
      <c r="G1284" s="163">
        <v>4</v>
      </c>
      <c r="H1284" s="163">
        <v>7</v>
      </c>
      <c r="I1284" s="163">
        <v>2</v>
      </c>
      <c r="J1284" s="163">
        <v>0</v>
      </c>
      <c r="K1284" s="163">
        <v>1</v>
      </c>
      <c r="L1284" s="163">
        <v>3</v>
      </c>
      <c r="M1284" s="163">
        <v>13456</v>
      </c>
      <c r="N1284" s="163">
        <v>3078</v>
      </c>
      <c r="O1284" s="163">
        <v>705264.8</v>
      </c>
      <c r="P1284" s="163">
        <v>190905.99100000001</v>
      </c>
      <c r="Q1284" s="163">
        <v>14.187425015000001</v>
      </c>
      <c r="R1284" s="163">
        <v>0.27068696889999999</v>
      </c>
      <c r="S1284" s="161">
        <v>52.412663496</v>
      </c>
      <c r="T1284">
        <f t="shared" si="36"/>
        <v>1.0291658505631157E-4</v>
      </c>
    </row>
    <row r="1285" spans="2:20">
      <c r="B1285" s="163" t="s">
        <v>1867</v>
      </c>
      <c r="C1285" s="163" t="s">
        <v>1868</v>
      </c>
      <c r="D1285" s="163" t="s">
        <v>1754</v>
      </c>
      <c r="E1285" s="163" t="s">
        <v>853</v>
      </c>
      <c r="F1285" s="163" t="s">
        <v>1363</v>
      </c>
      <c r="G1285" s="163">
        <v>4</v>
      </c>
      <c r="H1285" s="163">
        <v>7</v>
      </c>
      <c r="I1285" s="163">
        <v>2</v>
      </c>
      <c r="J1285" s="163">
        <v>0</v>
      </c>
      <c r="K1285" s="163">
        <v>1</v>
      </c>
      <c r="L1285" s="163">
        <v>3</v>
      </c>
      <c r="M1285" s="163">
        <v>11170.9</v>
      </c>
      <c r="N1285" s="163">
        <v>2170.9</v>
      </c>
      <c r="O1285" s="163">
        <v>609333.5</v>
      </c>
      <c r="P1285" s="163">
        <v>317813.46500000003</v>
      </c>
      <c r="Q1285" s="163">
        <v>28.450121745000001</v>
      </c>
      <c r="R1285" s="163">
        <v>0.52157556579999997</v>
      </c>
      <c r="S1285" s="161">
        <v>54.546500281999997</v>
      </c>
      <c r="T1285">
        <f t="shared" si="36"/>
        <v>8.8917698686238168E-5</v>
      </c>
    </row>
    <row r="1286" spans="2:20">
      <c r="B1286" s="163" t="s">
        <v>1869</v>
      </c>
      <c r="C1286" s="163" t="s">
        <v>1870</v>
      </c>
      <c r="D1286" s="163" t="s">
        <v>1754</v>
      </c>
      <c r="E1286" s="163" t="s">
        <v>853</v>
      </c>
      <c r="F1286" s="163" t="s">
        <v>1363</v>
      </c>
      <c r="G1286" s="163">
        <v>4</v>
      </c>
      <c r="H1286" s="163">
        <v>7</v>
      </c>
      <c r="I1286" s="163">
        <v>2</v>
      </c>
      <c r="J1286" s="163">
        <v>0</v>
      </c>
      <c r="K1286" s="163">
        <v>1</v>
      </c>
      <c r="L1286" s="163">
        <v>3</v>
      </c>
      <c r="M1286" s="163">
        <v>6703.8</v>
      </c>
      <c r="N1286" s="163">
        <v>1088.8</v>
      </c>
      <c r="O1286" s="163">
        <v>340854.3</v>
      </c>
      <c r="P1286" s="163">
        <v>349436.05099999998</v>
      </c>
      <c r="Q1286" s="163">
        <v>52.125071005000002</v>
      </c>
      <c r="R1286" s="163">
        <v>1.0251771827</v>
      </c>
      <c r="S1286" s="161">
        <v>50.844938691000003</v>
      </c>
      <c r="T1286">
        <f t="shared" si="36"/>
        <v>4.9739559606206825E-5</v>
      </c>
    </row>
    <row r="1287" spans="2:20">
      <c r="B1287" s="163" t="s">
        <v>1871</v>
      </c>
      <c r="C1287" s="163" t="s">
        <v>1872</v>
      </c>
      <c r="D1287" s="163" t="s">
        <v>1754</v>
      </c>
      <c r="E1287" s="163" t="s">
        <v>853</v>
      </c>
      <c r="F1287" s="163" t="s">
        <v>1363</v>
      </c>
      <c r="G1287" s="163">
        <v>4</v>
      </c>
      <c r="H1287" s="163">
        <v>7</v>
      </c>
      <c r="I1287" s="163">
        <v>2</v>
      </c>
      <c r="J1287" s="163">
        <v>0</v>
      </c>
      <c r="K1287" s="163">
        <v>1</v>
      </c>
      <c r="L1287" s="163">
        <v>3</v>
      </c>
      <c r="M1287" s="163">
        <v>3262.8</v>
      </c>
      <c r="N1287" s="163">
        <v>441.8</v>
      </c>
      <c r="O1287" s="163">
        <v>165317</v>
      </c>
      <c r="P1287" s="163">
        <v>330052.56300000002</v>
      </c>
      <c r="Q1287" s="163">
        <v>101.15623483</v>
      </c>
      <c r="R1287" s="163">
        <v>1.9964828965000001</v>
      </c>
      <c r="S1287" s="161">
        <v>50.667218339999998</v>
      </c>
      <c r="T1287">
        <f t="shared" si="36"/>
        <v>2.4124075229267445E-5</v>
      </c>
    </row>
    <row r="1288" spans="2:20">
      <c r="B1288" s="163" t="s">
        <v>1873</v>
      </c>
      <c r="C1288" s="163" t="s">
        <v>1874</v>
      </c>
      <c r="D1288" s="163" t="s">
        <v>1754</v>
      </c>
      <c r="E1288" s="163" t="s">
        <v>853</v>
      </c>
      <c r="F1288" s="163" t="s">
        <v>1363</v>
      </c>
      <c r="G1288" s="163">
        <v>4</v>
      </c>
      <c r="H1288" s="163">
        <v>7</v>
      </c>
      <c r="I1288" s="163">
        <v>2</v>
      </c>
      <c r="J1288" s="163">
        <v>0</v>
      </c>
      <c r="K1288" s="163">
        <v>1</v>
      </c>
      <c r="L1288" s="163">
        <v>3</v>
      </c>
      <c r="M1288" s="163">
        <v>2954.7</v>
      </c>
      <c r="N1288" s="163">
        <v>621.70000000000005</v>
      </c>
      <c r="O1288" s="163">
        <v>128505.3</v>
      </c>
      <c r="P1288" s="163">
        <v>52984.663999999997</v>
      </c>
      <c r="Q1288" s="163">
        <v>17.932332893000002</v>
      </c>
      <c r="R1288" s="163">
        <v>0.4123150096</v>
      </c>
      <c r="S1288" s="161">
        <v>43.491826580999998</v>
      </c>
      <c r="T1288">
        <f t="shared" si="36"/>
        <v>1.875228515252262E-5</v>
      </c>
    </row>
    <row r="1289" spans="2:20">
      <c r="B1289" s="163" t="s">
        <v>1875</v>
      </c>
      <c r="C1289" s="163" t="s">
        <v>1876</v>
      </c>
      <c r="D1289" s="163" t="s">
        <v>1754</v>
      </c>
      <c r="E1289" s="163" t="s">
        <v>853</v>
      </c>
      <c r="F1289" s="163" t="s">
        <v>1363</v>
      </c>
      <c r="G1289" s="163">
        <v>4</v>
      </c>
      <c r="H1289" s="163">
        <v>7</v>
      </c>
      <c r="I1289" s="163">
        <v>2</v>
      </c>
      <c r="J1289" s="163">
        <v>0</v>
      </c>
      <c r="K1289" s="163">
        <v>1</v>
      </c>
      <c r="L1289" s="163">
        <v>3</v>
      </c>
      <c r="M1289" s="163">
        <v>5360.8</v>
      </c>
      <c r="N1289" s="163">
        <v>1017.8</v>
      </c>
      <c r="O1289" s="163">
        <v>242253.1</v>
      </c>
      <c r="P1289" s="163">
        <v>195709.15599999999</v>
      </c>
      <c r="Q1289" s="163">
        <v>36.507453365000003</v>
      </c>
      <c r="R1289" s="163">
        <v>0.80787059480000001</v>
      </c>
      <c r="S1289" s="161">
        <v>45.189729145000001</v>
      </c>
      <c r="T1289">
        <f t="shared" si="36"/>
        <v>3.5351064977729144E-5</v>
      </c>
    </row>
    <row r="1290" spans="2:20">
      <c r="B1290" s="163" t="s">
        <v>1877</v>
      </c>
      <c r="C1290" s="163" t="s">
        <v>1878</v>
      </c>
      <c r="D1290" s="163" t="s">
        <v>1754</v>
      </c>
      <c r="E1290" s="163" t="s">
        <v>853</v>
      </c>
      <c r="F1290" s="163" t="s">
        <v>1363</v>
      </c>
      <c r="G1290" s="163">
        <v>4</v>
      </c>
      <c r="H1290" s="163">
        <v>7</v>
      </c>
      <c r="I1290" s="163">
        <v>2</v>
      </c>
      <c r="J1290" s="163">
        <v>0</v>
      </c>
      <c r="K1290" s="163">
        <v>1</v>
      </c>
      <c r="L1290" s="163">
        <v>3</v>
      </c>
      <c r="M1290" s="163">
        <v>2853.9</v>
      </c>
      <c r="N1290" s="163">
        <v>445.9</v>
      </c>
      <c r="O1290" s="163">
        <v>127498.1</v>
      </c>
      <c r="P1290" s="163">
        <v>197824.29399999999</v>
      </c>
      <c r="Q1290" s="163">
        <v>69.317177896999993</v>
      </c>
      <c r="R1290" s="163">
        <v>1.5515862118999999</v>
      </c>
      <c r="S1290" s="161">
        <v>44.675041172</v>
      </c>
      <c r="T1290">
        <f t="shared" si="36"/>
        <v>1.8605308322729444E-5</v>
      </c>
    </row>
    <row r="1291" spans="2:20">
      <c r="B1291" s="163" t="s">
        <v>1879</v>
      </c>
      <c r="C1291" s="163" t="s">
        <v>1880</v>
      </c>
      <c r="D1291" s="163" t="s">
        <v>1754</v>
      </c>
      <c r="E1291" s="163" t="s">
        <v>853</v>
      </c>
      <c r="F1291" s="163" t="s">
        <v>1363</v>
      </c>
      <c r="G1291" s="163">
        <v>4</v>
      </c>
      <c r="H1291" s="163">
        <v>7</v>
      </c>
      <c r="I1291" s="163">
        <v>2</v>
      </c>
      <c r="J1291" s="163">
        <v>0</v>
      </c>
      <c r="K1291" s="163">
        <v>1</v>
      </c>
      <c r="L1291" s="163">
        <v>3</v>
      </c>
      <c r="M1291" s="163">
        <v>115.4</v>
      </c>
      <c r="N1291" s="163">
        <v>30.4</v>
      </c>
      <c r="O1291" s="163">
        <v>5545.8</v>
      </c>
      <c r="P1291" s="163">
        <v>1058.5530000000001</v>
      </c>
      <c r="Q1291" s="163">
        <v>9.1729029463000007</v>
      </c>
      <c r="R1291" s="163">
        <v>0.190874716</v>
      </c>
      <c r="S1291" s="161">
        <v>48.057192374000003</v>
      </c>
      <c r="T1291">
        <f t="shared" si="36"/>
        <v>8.0927730606332924E-7</v>
      </c>
    </row>
    <row r="1292" spans="2:20">
      <c r="B1292" s="163" t="s">
        <v>1881</v>
      </c>
      <c r="C1292" s="163" t="s">
        <v>1882</v>
      </c>
      <c r="D1292" s="163" t="s">
        <v>1754</v>
      </c>
      <c r="E1292" s="163" t="s">
        <v>853</v>
      </c>
      <c r="F1292" s="163" t="s">
        <v>1363</v>
      </c>
      <c r="G1292" s="163">
        <v>4</v>
      </c>
      <c r="H1292" s="163">
        <v>7</v>
      </c>
      <c r="I1292" s="163">
        <v>2</v>
      </c>
      <c r="J1292" s="163">
        <v>0</v>
      </c>
      <c r="K1292" s="163">
        <v>1</v>
      </c>
      <c r="L1292" s="163">
        <v>3</v>
      </c>
      <c r="M1292" s="163">
        <v>15</v>
      </c>
      <c r="N1292" s="163">
        <v>2</v>
      </c>
      <c r="O1292" s="163">
        <v>673.3</v>
      </c>
      <c r="P1292" s="163">
        <v>839.31200000000001</v>
      </c>
      <c r="Q1292" s="163">
        <v>55.954133333000001</v>
      </c>
      <c r="R1292" s="163">
        <v>1.2465646814</v>
      </c>
      <c r="S1292" s="161">
        <v>44.886666667</v>
      </c>
      <c r="T1292">
        <f t="shared" si="36"/>
        <v>9.8252084491406018E-8</v>
      </c>
    </row>
    <row r="1293" spans="2:20">
      <c r="B1293" s="163" t="s">
        <v>1883</v>
      </c>
      <c r="C1293" s="163" t="s">
        <v>1884</v>
      </c>
      <c r="D1293" s="163" t="s">
        <v>1754</v>
      </c>
      <c r="E1293" s="163" t="s">
        <v>853</v>
      </c>
      <c r="F1293" s="163" t="s">
        <v>1363</v>
      </c>
      <c r="G1293" s="163">
        <v>4</v>
      </c>
      <c r="H1293" s="163">
        <v>7</v>
      </c>
      <c r="I1293" s="163">
        <v>2</v>
      </c>
      <c r="J1293" s="163">
        <v>0</v>
      </c>
      <c r="K1293" s="163">
        <v>1</v>
      </c>
      <c r="L1293" s="163">
        <v>3</v>
      </c>
      <c r="M1293" s="163">
        <v>44.4</v>
      </c>
      <c r="N1293" s="163">
        <v>8.4</v>
      </c>
      <c r="O1293" s="163">
        <v>2033.5</v>
      </c>
      <c r="P1293" s="163">
        <v>1075.6120000000001</v>
      </c>
      <c r="Q1293" s="163">
        <v>24.225495495000001</v>
      </c>
      <c r="R1293" s="163">
        <v>0.52894615199999995</v>
      </c>
      <c r="S1293" s="161">
        <v>45.799549550000002</v>
      </c>
      <c r="T1293">
        <f t="shared" si="36"/>
        <v>2.9674084926967793E-7</v>
      </c>
    </row>
    <row r="1294" spans="2:20">
      <c r="B1294" s="163" t="s">
        <v>1885</v>
      </c>
      <c r="C1294" s="163" t="s">
        <v>1886</v>
      </c>
      <c r="D1294" s="163" t="s">
        <v>1754</v>
      </c>
      <c r="E1294" s="163" t="s">
        <v>853</v>
      </c>
      <c r="F1294" s="163" t="s">
        <v>1363</v>
      </c>
      <c r="G1294" s="163">
        <v>4</v>
      </c>
      <c r="H1294" s="163">
        <v>7</v>
      </c>
      <c r="I1294" s="163">
        <v>2</v>
      </c>
      <c r="J1294" s="163">
        <v>0</v>
      </c>
      <c r="K1294" s="163">
        <v>1</v>
      </c>
      <c r="L1294" s="163">
        <v>3</v>
      </c>
      <c r="M1294" s="163">
        <v>21.3</v>
      </c>
      <c r="N1294" s="163">
        <v>3.3</v>
      </c>
      <c r="O1294" s="163">
        <v>1155.0999999999999</v>
      </c>
      <c r="P1294" s="163">
        <v>1058.1310000000001</v>
      </c>
      <c r="Q1294" s="163">
        <v>49.677511737000003</v>
      </c>
      <c r="R1294" s="163">
        <v>0.91605142409999996</v>
      </c>
      <c r="S1294" s="161">
        <v>54.230046948000002</v>
      </c>
      <c r="T1294">
        <f t="shared" si="36"/>
        <v>1.685593090688001E-7</v>
      </c>
    </row>
    <row r="1295" spans="2:20">
      <c r="B1295" s="163" t="s">
        <v>1887</v>
      </c>
      <c r="C1295" s="163" t="s">
        <v>1888</v>
      </c>
      <c r="D1295" s="163" t="s">
        <v>1754</v>
      </c>
      <c r="E1295" s="163" t="s">
        <v>853</v>
      </c>
      <c r="F1295" s="163" t="s">
        <v>1363</v>
      </c>
      <c r="G1295" s="163">
        <v>4</v>
      </c>
      <c r="H1295" s="163">
        <v>7</v>
      </c>
      <c r="I1295" s="163">
        <v>2</v>
      </c>
      <c r="J1295" s="163">
        <v>0</v>
      </c>
      <c r="K1295" s="163">
        <v>1</v>
      </c>
      <c r="L1295" s="163">
        <v>3</v>
      </c>
      <c r="M1295" s="163">
        <v>47.7</v>
      </c>
      <c r="N1295" s="163">
        <v>7.7</v>
      </c>
      <c r="O1295" s="163">
        <v>2167.8000000000002</v>
      </c>
      <c r="P1295" s="163">
        <v>1445.7</v>
      </c>
      <c r="Q1295" s="163">
        <v>30.308176101000001</v>
      </c>
      <c r="R1295" s="163">
        <v>0.66689731529999996</v>
      </c>
      <c r="S1295" s="161">
        <v>45.446540880999997</v>
      </c>
      <c r="T1295">
        <f t="shared" si="36"/>
        <v>3.1633873274984406E-7</v>
      </c>
    </row>
    <row r="1296" spans="2:20">
      <c r="B1296" s="163" t="s">
        <v>1889</v>
      </c>
      <c r="C1296" s="163" t="s">
        <v>1890</v>
      </c>
      <c r="D1296" s="163" t="s">
        <v>1754</v>
      </c>
      <c r="E1296" s="163" t="s">
        <v>853</v>
      </c>
      <c r="F1296" s="163" t="s">
        <v>1363</v>
      </c>
      <c r="G1296" s="163">
        <v>4</v>
      </c>
      <c r="H1296" s="163">
        <v>7</v>
      </c>
      <c r="I1296" s="163">
        <v>2</v>
      </c>
      <c r="J1296" s="163">
        <v>0</v>
      </c>
      <c r="K1296" s="163">
        <v>1</v>
      </c>
      <c r="L1296" s="163">
        <v>3</v>
      </c>
      <c r="M1296" s="163">
        <v>142.6</v>
      </c>
      <c r="N1296" s="163">
        <v>32.6</v>
      </c>
      <c r="O1296" s="163">
        <v>7161.2</v>
      </c>
      <c r="P1296" s="163">
        <v>1328.7909999999999</v>
      </c>
      <c r="Q1296" s="163">
        <v>9.3183099579000004</v>
      </c>
      <c r="R1296" s="163">
        <v>0.18555423670000001</v>
      </c>
      <c r="S1296" s="161">
        <v>50.218793828999999</v>
      </c>
      <c r="T1296">
        <f t="shared" si="36"/>
        <v>1.0450064272387596E-6</v>
      </c>
    </row>
    <row r="1297" spans="2:20">
      <c r="B1297" s="163" t="s">
        <v>1891</v>
      </c>
      <c r="C1297" s="163" t="s">
        <v>1892</v>
      </c>
      <c r="D1297" s="163" t="s">
        <v>1754</v>
      </c>
      <c r="E1297" s="163" t="s">
        <v>853</v>
      </c>
      <c r="F1297" s="163" t="s">
        <v>1363</v>
      </c>
      <c r="G1297" s="163">
        <v>4</v>
      </c>
      <c r="H1297" s="163">
        <v>7</v>
      </c>
      <c r="I1297" s="163">
        <v>2</v>
      </c>
      <c r="J1297" s="163">
        <v>0</v>
      </c>
      <c r="K1297" s="163">
        <v>1</v>
      </c>
      <c r="L1297" s="163">
        <v>3</v>
      </c>
      <c r="M1297" s="163">
        <v>39.200000000000003</v>
      </c>
      <c r="N1297" s="163">
        <v>8.1999999999999993</v>
      </c>
      <c r="O1297" s="163">
        <v>1753.8</v>
      </c>
      <c r="P1297" s="163">
        <v>482.738</v>
      </c>
      <c r="Q1297" s="163">
        <v>12.314744898000001</v>
      </c>
      <c r="R1297" s="163">
        <v>0.27525259439999999</v>
      </c>
      <c r="S1297" s="161">
        <v>44.739795917999999</v>
      </c>
      <c r="T1297">
        <f t="shared" si="36"/>
        <v>2.5592530191746309E-7</v>
      </c>
    </row>
    <row r="1298" spans="2:20">
      <c r="B1298" s="163" t="s">
        <v>1893</v>
      </c>
      <c r="C1298" s="163" t="s">
        <v>1894</v>
      </c>
      <c r="D1298" s="163" t="s">
        <v>1754</v>
      </c>
      <c r="E1298" s="163" t="s">
        <v>853</v>
      </c>
      <c r="F1298" s="163" t="s">
        <v>1363</v>
      </c>
      <c r="G1298" s="163">
        <v>4</v>
      </c>
      <c r="H1298" s="163">
        <v>7</v>
      </c>
      <c r="I1298" s="163">
        <v>2</v>
      </c>
      <c r="J1298" s="163">
        <v>0</v>
      </c>
      <c r="K1298" s="163">
        <v>1</v>
      </c>
      <c r="L1298" s="163">
        <v>3</v>
      </c>
      <c r="M1298" s="163">
        <v>94.3</v>
      </c>
      <c r="N1298" s="163">
        <v>18.3</v>
      </c>
      <c r="O1298" s="163">
        <v>4400.3999999999996</v>
      </c>
      <c r="P1298" s="163">
        <v>1558.181</v>
      </c>
      <c r="Q1298" s="163">
        <v>16.523658536999999</v>
      </c>
      <c r="R1298" s="163">
        <v>0.35409985459999999</v>
      </c>
      <c r="S1298" s="161">
        <v>46.663838812000002</v>
      </c>
      <c r="T1298">
        <f t="shared" si="36"/>
        <v>6.4213348076040855E-7</v>
      </c>
    </row>
    <row r="1299" spans="2:20">
      <c r="B1299" s="163" t="s">
        <v>1895</v>
      </c>
      <c r="C1299" s="163" t="s">
        <v>1896</v>
      </c>
      <c r="D1299" s="163" t="s">
        <v>1754</v>
      </c>
      <c r="E1299" s="163" t="s">
        <v>853</v>
      </c>
      <c r="F1299" s="163" t="s">
        <v>1363</v>
      </c>
      <c r="G1299" s="163">
        <v>4</v>
      </c>
      <c r="H1299" s="163">
        <v>7</v>
      </c>
      <c r="I1299" s="163">
        <v>2</v>
      </c>
      <c r="J1299" s="163">
        <v>0</v>
      </c>
      <c r="K1299" s="163">
        <v>1</v>
      </c>
      <c r="L1299" s="163">
        <v>3</v>
      </c>
      <c r="M1299" s="163">
        <v>4416.8999999999996</v>
      </c>
      <c r="N1299" s="163">
        <v>1162.9000000000001</v>
      </c>
      <c r="O1299" s="163">
        <v>189574.7</v>
      </c>
      <c r="P1299" s="163">
        <v>53577.292999999998</v>
      </c>
      <c r="Q1299" s="163">
        <v>12.130067015</v>
      </c>
      <c r="R1299" s="163">
        <v>0.28261837150000002</v>
      </c>
      <c r="S1299" s="161">
        <v>42.920306097000001</v>
      </c>
      <c r="T1299">
        <f t="shared" si="36"/>
        <v>2.7663908275409107E-5</v>
      </c>
    </row>
    <row r="1300" spans="2:20">
      <c r="B1300" s="163" t="s">
        <v>1897</v>
      </c>
      <c r="C1300" s="163" t="s">
        <v>1898</v>
      </c>
      <c r="D1300" s="163" t="s">
        <v>1754</v>
      </c>
      <c r="E1300" s="163" t="s">
        <v>853</v>
      </c>
      <c r="F1300" s="163" t="s">
        <v>1363</v>
      </c>
      <c r="G1300" s="163">
        <v>4</v>
      </c>
      <c r="H1300" s="163">
        <v>7</v>
      </c>
      <c r="I1300" s="163">
        <v>2</v>
      </c>
      <c r="J1300" s="163">
        <v>0</v>
      </c>
      <c r="K1300" s="163">
        <v>1</v>
      </c>
      <c r="L1300" s="163">
        <v>3</v>
      </c>
      <c r="M1300" s="163">
        <v>7222.6</v>
      </c>
      <c r="N1300" s="163">
        <v>1651.6</v>
      </c>
      <c r="O1300" s="163">
        <v>324676.90000000002</v>
      </c>
      <c r="P1300" s="163">
        <v>90423.785999999993</v>
      </c>
      <c r="Q1300" s="163">
        <v>12.519561654</v>
      </c>
      <c r="R1300" s="163">
        <v>0.27850390959999999</v>
      </c>
      <c r="S1300" s="161">
        <v>44.952911694000001</v>
      </c>
      <c r="T1300">
        <f t="shared" si="36"/>
        <v>4.737885372227505E-5</v>
      </c>
    </row>
    <row r="1301" spans="2:20">
      <c r="B1301" s="163" t="s">
        <v>1899</v>
      </c>
      <c r="C1301" s="163" t="s">
        <v>1900</v>
      </c>
      <c r="D1301" s="163" t="s">
        <v>1754</v>
      </c>
      <c r="E1301" s="163" t="s">
        <v>853</v>
      </c>
      <c r="F1301" s="163" t="s">
        <v>1363</v>
      </c>
      <c r="G1301" s="163">
        <v>4</v>
      </c>
      <c r="H1301" s="163">
        <v>7</v>
      </c>
      <c r="I1301" s="163">
        <v>2</v>
      </c>
      <c r="J1301" s="163">
        <v>0</v>
      </c>
      <c r="K1301" s="163">
        <v>1</v>
      </c>
      <c r="L1301" s="163">
        <v>3</v>
      </c>
      <c r="M1301" s="163">
        <v>1212</v>
      </c>
      <c r="N1301" s="163">
        <v>255</v>
      </c>
      <c r="O1301" s="163">
        <v>48774.2</v>
      </c>
      <c r="P1301" s="163">
        <v>20393.827000000001</v>
      </c>
      <c r="Q1301" s="163">
        <v>16.826589934000001</v>
      </c>
      <c r="R1301" s="163">
        <v>0.41812735010000002</v>
      </c>
      <c r="S1301" s="161">
        <v>40.242739274000002</v>
      </c>
      <c r="T1301">
        <f t="shared" si="36"/>
        <v>7.11743178286163E-6</v>
      </c>
    </row>
    <row r="1302" spans="2:20">
      <c r="B1302" s="163" t="s">
        <v>1901</v>
      </c>
      <c r="C1302" s="163" t="s">
        <v>1902</v>
      </c>
      <c r="D1302" s="163" t="s">
        <v>1754</v>
      </c>
      <c r="E1302" s="163" t="s">
        <v>853</v>
      </c>
      <c r="F1302" s="163" t="s">
        <v>1363</v>
      </c>
      <c r="G1302" s="163">
        <v>4</v>
      </c>
      <c r="H1302" s="163">
        <v>7</v>
      </c>
      <c r="I1302" s="163">
        <v>2</v>
      </c>
      <c r="J1302" s="163">
        <v>0</v>
      </c>
      <c r="K1302" s="163">
        <v>1</v>
      </c>
      <c r="L1302" s="163">
        <v>3</v>
      </c>
      <c r="M1302" s="163">
        <v>5496.1</v>
      </c>
      <c r="N1302" s="163">
        <v>1067.0999999999999</v>
      </c>
      <c r="O1302" s="163">
        <v>242614</v>
      </c>
      <c r="P1302" s="163">
        <v>130798.603</v>
      </c>
      <c r="Q1302" s="163">
        <v>23.798439438999999</v>
      </c>
      <c r="R1302" s="163">
        <v>0.53912223940000004</v>
      </c>
      <c r="S1302" s="161">
        <v>44.142937719000003</v>
      </c>
      <c r="T1302">
        <f t="shared" si="36"/>
        <v>3.5403729729389545E-5</v>
      </c>
    </row>
    <row r="1303" spans="2:20">
      <c r="B1303" s="163" t="s">
        <v>1903</v>
      </c>
      <c r="C1303" s="163" t="s">
        <v>1904</v>
      </c>
      <c r="D1303" s="163" t="s">
        <v>1754</v>
      </c>
      <c r="E1303" s="163" t="s">
        <v>853</v>
      </c>
      <c r="F1303" s="163" t="s">
        <v>1363</v>
      </c>
      <c r="G1303" s="163">
        <v>4</v>
      </c>
      <c r="H1303" s="163">
        <v>7</v>
      </c>
      <c r="I1303" s="163">
        <v>2</v>
      </c>
      <c r="J1303" s="163">
        <v>0</v>
      </c>
      <c r="K1303" s="163">
        <v>1</v>
      </c>
      <c r="L1303" s="163">
        <v>3</v>
      </c>
      <c r="M1303" s="163">
        <v>3092.3</v>
      </c>
      <c r="N1303" s="163">
        <v>502.3</v>
      </c>
      <c r="O1303" s="163">
        <v>143116.1</v>
      </c>
      <c r="P1303" s="163">
        <v>148565.36600000001</v>
      </c>
      <c r="Q1303" s="163">
        <v>48.043645830000003</v>
      </c>
      <c r="R1303" s="163">
        <v>1.0380758419</v>
      </c>
      <c r="S1303" s="161">
        <v>46.281440998999997</v>
      </c>
      <c r="T1303">
        <f t="shared" si="36"/>
        <v>2.0884383111956803E-5</v>
      </c>
    </row>
    <row r="1304" spans="2:20">
      <c r="B1304" s="163" t="s">
        <v>1905</v>
      </c>
      <c r="C1304" s="163" t="s">
        <v>1906</v>
      </c>
      <c r="D1304" s="163" t="s">
        <v>1754</v>
      </c>
      <c r="E1304" s="163" t="s">
        <v>853</v>
      </c>
      <c r="F1304" s="163" t="s">
        <v>1363</v>
      </c>
      <c r="G1304" s="163">
        <v>4</v>
      </c>
      <c r="H1304" s="163">
        <v>7</v>
      </c>
      <c r="I1304" s="163">
        <v>2</v>
      </c>
      <c r="J1304" s="163">
        <v>0</v>
      </c>
      <c r="K1304" s="163">
        <v>1</v>
      </c>
      <c r="L1304" s="163">
        <v>3</v>
      </c>
      <c r="M1304" s="163">
        <v>2241.6</v>
      </c>
      <c r="N1304" s="163">
        <v>426.6</v>
      </c>
      <c r="O1304" s="163">
        <v>106016.3</v>
      </c>
      <c r="P1304" s="163">
        <v>85048.055999999997</v>
      </c>
      <c r="Q1304" s="163">
        <v>37.940781585000003</v>
      </c>
      <c r="R1304" s="163">
        <v>0.8022167912</v>
      </c>
      <c r="S1304" s="161">
        <v>47.294923269000002</v>
      </c>
      <c r="T1304">
        <f t="shared" si="36"/>
        <v>1.5470551708103742E-5</v>
      </c>
    </row>
    <row r="1305" spans="2:20">
      <c r="B1305" s="163" t="s">
        <v>1907</v>
      </c>
      <c r="C1305" s="163" t="s">
        <v>1908</v>
      </c>
      <c r="D1305" s="163" t="s">
        <v>1754</v>
      </c>
      <c r="E1305" s="163" t="s">
        <v>853</v>
      </c>
      <c r="F1305" s="163" t="s">
        <v>1363</v>
      </c>
      <c r="G1305" s="163">
        <v>4</v>
      </c>
      <c r="H1305" s="163">
        <v>7</v>
      </c>
      <c r="I1305" s="163">
        <v>2</v>
      </c>
      <c r="J1305" s="163">
        <v>0</v>
      </c>
      <c r="K1305" s="163">
        <v>1</v>
      </c>
      <c r="L1305" s="163">
        <v>3</v>
      </c>
      <c r="M1305" s="163">
        <v>1418.6</v>
      </c>
      <c r="N1305" s="163">
        <v>222.6</v>
      </c>
      <c r="O1305" s="163">
        <v>58270.3</v>
      </c>
      <c r="P1305" s="163">
        <v>91383.642999999996</v>
      </c>
      <c r="Q1305" s="163">
        <v>64.418189060000003</v>
      </c>
      <c r="R1305" s="163">
        <v>1.5682713664000001</v>
      </c>
      <c r="S1305" s="161">
        <v>41.075919921000001</v>
      </c>
      <c r="T1305">
        <f t="shared" si="36"/>
        <v>8.5031612044253338E-6</v>
      </c>
    </row>
    <row r="1306" spans="2:20">
      <c r="B1306" s="163" t="s">
        <v>1909</v>
      </c>
      <c r="C1306" s="163" t="s">
        <v>1910</v>
      </c>
      <c r="D1306" s="163" t="s">
        <v>1754</v>
      </c>
      <c r="E1306" s="163" t="s">
        <v>853</v>
      </c>
      <c r="F1306" s="163" t="s">
        <v>1363</v>
      </c>
      <c r="G1306" s="163">
        <v>4</v>
      </c>
      <c r="H1306" s="163">
        <v>7</v>
      </c>
      <c r="I1306" s="163">
        <v>2</v>
      </c>
      <c r="J1306" s="163">
        <v>0</v>
      </c>
      <c r="K1306" s="163">
        <v>1</v>
      </c>
      <c r="L1306" s="163">
        <v>3</v>
      </c>
      <c r="M1306" s="163">
        <v>1312.7</v>
      </c>
      <c r="N1306" s="163">
        <v>177.7</v>
      </c>
      <c r="O1306" s="163">
        <v>46297</v>
      </c>
      <c r="P1306" s="163">
        <v>96623.728000000003</v>
      </c>
      <c r="Q1306" s="163">
        <v>73.606862191999994</v>
      </c>
      <c r="R1306" s="163">
        <v>2.0870408018000002</v>
      </c>
      <c r="S1306" s="161">
        <v>35.268530509999998</v>
      </c>
      <c r="T1306">
        <f t="shared" si="36"/>
        <v>6.7559434957650748E-6</v>
      </c>
    </row>
    <row r="1307" spans="2:20">
      <c r="B1307" s="163" t="s">
        <v>1911</v>
      </c>
      <c r="C1307" s="163" t="s">
        <v>1912</v>
      </c>
      <c r="D1307" s="163" t="s">
        <v>1754</v>
      </c>
      <c r="E1307" s="163" t="s">
        <v>853</v>
      </c>
      <c r="F1307" s="163" t="s">
        <v>1363</v>
      </c>
      <c r="G1307" s="163">
        <v>4</v>
      </c>
      <c r="H1307" s="163">
        <v>7</v>
      </c>
      <c r="I1307" s="163">
        <v>2</v>
      </c>
      <c r="J1307" s="163">
        <v>0</v>
      </c>
      <c r="K1307" s="163">
        <v>1</v>
      </c>
      <c r="L1307" s="163">
        <v>3</v>
      </c>
      <c r="M1307" s="163">
        <v>4.5999999999999996</v>
      </c>
      <c r="N1307" s="163">
        <v>0.6</v>
      </c>
      <c r="O1307" s="163">
        <v>475.1</v>
      </c>
      <c r="P1307" s="163">
        <v>1620.1669999999999</v>
      </c>
      <c r="Q1307" s="163">
        <v>352.21021739000003</v>
      </c>
      <c r="R1307" s="163">
        <v>3.4101599663000002</v>
      </c>
      <c r="S1307" s="161">
        <v>103.2826087</v>
      </c>
      <c r="T1307">
        <f t="shared" si="36"/>
        <v>6.9329519295807227E-8</v>
      </c>
    </row>
    <row r="1308" spans="2:20">
      <c r="B1308" s="163" t="s">
        <v>1913</v>
      </c>
      <c r="C1308" s="163" t="s">
        <v>1914</v>
      </c>
      <c r="D1308" s="163" t="s">
        <v>1754</v>
      </c>
      <c r="E1308" s="163" t="s">
        <v>853</v>
      </c>
      <c r="F1308" s="163" t="s">
        <v>1363</v>
      </c>
      <c r="G1308" s="163">
        <v>4</v>
      </c>
      <c r="H1308" s="163">
        <v>7</v>
      </c>
      <c r="I1308" s="163">
        <v>2</v>
      </c>
      <c r="J1308" s="163">
        <v>0</v>
      </c>
      <c r="K1308" s="163">
        <v>1</v>
      </c>
      <c r="L1308" s="163">
        <v>3</v>
      </c>
      <c r="M1308" s="163">
        <v>34.6</v>
      </c>
      <c r="N1308" s="163">
        <v>5.6</v>
      </c>
      <c r="O1308" s="163">
        <v>1837.2</v>
      </c>
      <c r="P1308" s="163">
        <v>2968.502</v>
      </c>
      <c r="Q1308" s="163">
        <v>85.794855491000007</v>
      </c>
      <c r="R1308" s="163">
        <v>1.6157750925000001</v>
      </c>
      <c r="S1308" s="161">
        <v>53.098265896000001</v>
      </c>
      <c r="T1308">
        <f t="shared" si="36"/>
        <v>2.6809554378079778E-7</v>
      </c>
    </row>
    <row r="1309" spans="2:20">
      <c r="B1309" s="163" t="s">
        <v>1915</v>
      </c>
      <c r="C1309" s="163" t="s">
        <v>1916</v>
      </c>
      <c r="D1309" s="163" t="s">
        <v>1754</v>
      </c>
      <c r="E1309" s="163" t="s">
        <v>853</v>
      </c>
      <c r="F1309" s="163" t="s">
        <v>1363</v>
      </c>
      <c r="G1309" s="163">
        <v>4</v>
      </c>
      <c r="H1309" s="163">
        <v>7</v>
      </c>
      <c r="I1309" s="163">
        <v>2</v>
      </c>
      <c r="J1309" s="163">
        <v>0</v>
      </c>
      <c r="K1309" s="163">
        <v>1</v>
      </c>
      <c r="L1309" s="163">
        <v>3</v>
      </c>
      <c r="M1309" s="163">
        <v>91</v>
      </c>
      <c r="N1309" s="163">
        <v>24</v>
      </c>
      <c r="O1309" s="163">
        <v>2483.9</v>
      </c>
      <c r="P1309" s="163">
        <v>1046.8789999999999</v>
      </c>
      <c r="Q1309" s="163">
        <v>11.504164834999999</v>
      </c>
      <c r="R1309" s="163">
        <v>0.42146583999999998</v>
      </c>
      <c r="S1309" s="161">
        <v>27.295604396000002</v>
      </c>
      <c r="T1309">
        <f t="shared" si="36"/>
        <v>3.6246599237814267E-7</v>
      </c>
    </row>
    <row r="1310" spans="2:20">
      <c r="B1310" s="163" t="s">
        <v>1917</v>
      </c>
      <c r="C1310" s="163" t="s">
        <v>1918</v>
      </c>
      <c r="D1310" s="163" t="s">
        <v>1754</v>
      </c>
      <c r="E1310" s="163" t="s">
        <v>853</v>
      </c>
      <c r="F1310" s="163" t="s">
        <v>1363</v>
      </c>
      <c r="G1310" s="163">
        <v>4</v>
      </c>
      <c r="H1310" s="163">
        <v>7</v>
      </c>
      <c r="I1310" s="163">
        <v>2</v>
      </c>
      <c r="J1310" s="163">
        <v>0</v>
      </c>
      <c r="K1310" s="163">
        <v>1</v>
      </c>
      <c r="L1310" s="163">
        <v>3</v>
      </c>
      <c r="M1310" s="163">
        <v>383.7</v>
      </c>
      <c r="N1310" s="163">
        <v>87.7</v>
      </c>
      <c r="O1310" s="163">
        <v>21578.6</v>
      </c>
      <c r="P1310" s="163">
        <v>8591.2909999999993</v>
      </c>
      <c r="Q1310" s="163">
        <v>22.390646338</v>
      </c>
      <c r="R1310" s="163">
        <v>0.39813940660000002</v>
      </c>
      <c r="S1310" s="161">
        <v>56.238206931999997</v>
      </c>
      <c r="T1310">
        <f t="shared" si="36"/>
        <v>3.1488822670522117E-6</v>
      </c>
    </row>
    <row r="1311" spans="2:20">
      <c r="B1311" s="163" t="s">
        <v>1919</v>
      </c>
      <c r="C1311" s="163" t="s">
        <v>1920</v>
      </c>
      <c r="D1311" s="163" t="s">
        <v>1754</v>
      </c>
      <c r="E1311" s="163" t="s">
        <v>853</v>
      </c>
      <c r="F1311" s="163" t="s">
        <v>1363</v>
      </c>
      <c r="G1311" s="163">
        <v>4</v>
      </c>
      <c r="H1311" s="163">
        <v>7</v>
      </c>
      <c r="I1311" s="163">
        <v>2</v>
      </c>
      <c r="J1311" s="163">
        <v>0</v>
      </c>
      <c r="K1311" s="163">
        <v>1</v>
      </c>
      <c r="L1311" s="163">
        <v>3</v>
      </c>
      <c r="M1311" s="163">
        <v>234.6</v>
      </c>
      <c r="N1311" s="163">
        <v>46.6</v>
      </c>
      <c r="O1311" s="163">
        <v>13051.6</v>
      </c>
      <c r="P1311" s="163">
        <v>11101.786</v>
      </c>
      <c r="Q1311" s="163">
        <v>47.322190962999997</v>
      </c>
      <c r="R1311" s="163">
        <v>0.85060728190000001</v>
      </c>
      <c r="S1311" s="161">
        <v>55.633418585000001</v>
      </c>
      <c r="T1311">
        <f t="shared" si="36"/>
        <v>1.9045698885311674E-6</v>
      </c>
    </row>
    <row r="1312" spans="2:20">
      <c r="B1312" s="163" t="s">
        <v>1921</v>
      </c>
      <c r="C1312" s="163" t="s">
        <v>1922</v>
      </c>
      <c r="D1312" s="163" t="s">
        <v>1754</v>
      </c>
      <c r="E1312" s="163" t="s">
        <v>853</v>
      </c>
      <c r="F1312" s="163" t="s">
        <v>1363</v>
      </c>
      <c r="G1312" s="163">
        <v>4</v>
      </c>
      <c r="H1312" s="163">
        <v>7</v>
      </c>
      <c r="I1312" s="163">
        <v>2</v>
      </c>
      <c r="J1312" s="163">
        <v>0</v>
      </c>
      <c r="K1312" s="163">
        <v>1</v>
      </c>
      <c r="L1312" s="163">
        <v>3</v>
      </c>
      <c r="M1312" s="163">
        <v>17.600000000000001</v>
      </c>
      <c r="N1312" s="163">
        <v>4.5999999999999996</v>
      </c>
      <c r="O1312" s="163">
        <v>870</v>
      </c>
      <c r="P1312" s="163">
        <v>385.916</v>
      </c>
      <c r="Q1312" s="163">
        <v>21.927045454999998</v>
      </c>
      <c r="R1312" s="163">
        <v>0.4435816092</v>
      </c>
      <c r="S1312" s="161">
        <v>49.431818182000001</v>
      </c>
      <c r="T1312">
        <f t="shared" si="36"/>
        <v>1.2695576044485852E-7</v>
      </c>
    </row>
    <row r="1313" spans="2:20">
      <c r="B1313" s="163" t="s">
        <v>1923</v>
      </c>
      <c r="C1313" s="163" t="s">
        <v>1924</v>
      </c>
      <c r="D1313" s="163" t="s">
        <v>1754</v>
      </c>
      <c r="E1313" s="163" t="s">
        <v>853</v>
      </c>
      <c r="F1313" s="163" t="s">
        <v>1363</v>
      </c>
      <c r="G1313" s="163">
        <v>4</v>
      </c>
      <c r="H1313" s="163">
        <v>7</v>
      </c>
      <c r="I1313" s="163">
        <v>2</v>
      </c>
      <c r="J1313" s="163">
        <v>0</v>
      </c>
      <c r="K1313" s="163">
        <v>1</v>
      </c>
      <c r="L1313" s="163">
        <v>3</v>
      </c>
      <c r="M1313" s="163">
        <v>50.5</v>
      </c>
      <c r="N1313" s="163">
        <v>11.5</v>
      </c>
      <c r="O1313" s="163">
        <v>2476.5</v>
      </c>
      <c r="P1313" s="163">
        <v>1098.8230000000001</v>
      </c>
      <c r="Q1313" s="163">
        <v>21.758871287000002</v>
      </c>
      <c r="R1313" s="163">
        <v>0.44369997979999998</v>
      </c>
      <c r="S1313" s="161">
        <v>49.039603960000001</v>
      </c>
      <c r="T1313">
        <f t="shared" si="36"/>
        <v>3.6138613878355418E-7</v>
      </c>
    </row>
    <row r="1314" spans="2:20">
      <c r="B1314" s="163" t="s">
        <v>1925</v>
      </c>
      <c r="C1314" s="163" t="s">
        <v>1926</v>
      </c>
      <c r="D1314" s="163" t="s">
        <v>1754</v>
      </c>
      <c r="E1314" s="163" t="s">
        <v>853</v>
      </c>
      <c r="F1314" s="163" t="s">
        <v>1363</v>
      </c>
      <c r="G1314" s="163">
        <v>4</v>
      </c>
      <c r="H1314" s="163">
        <v>7</v>
      </c>
      <c r="I1314" s="163">
        <v>2</v>
      </c>
      <c r="J1314" s="163">
        <v>0</v>
      </c>
      <c r="K1314" s="163">
        <v>1</v>
      </c>
      <c r="L1314" s="163">
        <v>3</v>
      </c>
      <c r="M1314" s="163">
        <v>26</v>
      </c>
      <c r="N1314" s="163">
        <v>5</v>
      </c>
      <c r="O1314" s="163">
        <v>1300.5999999999999</v>
      </c>
      <c r="P1314" s="163">
        <v>1153.6489999999999</v>
      </c>
      <c r="Q1314" s="163">
        <v>44.371115385000003</v>
      </c>
      <c r="R1314" s="163">
        <v>0.88701291709999996</v>
      </c>
      <c r="S1314" s="161">
        <v>50.023076922999998</v>
      </c>
      <c r="T1314">
        <f t="shared" si="36"/>
        <v>1.8979156555699195E-7</v>
      </c>
    </row>
    <row r="1315" spans="2:20">
      <c r="B1315" s="163" t="s">
        <v>1927</v>
      </c>
      <c r="C1315" s="163" t="s">
        <v>1928</v>
      </c>
      <c r="D1315" s="163" t="s">
        <v>1754</v>
      </c>
      <c r="E1315" s="163" t="s">
        <v>853</v>
      </c>
      <c r="F1315" s="163" t="s">
        <v>1363</v>
      </c>
      <c r="G1315" s="163">
        <v>4</v>
      </c>
      <c r="H1315" s="163">
        <v>7</v>
      </c>
      <c r="I1315" s="163">
        <v>2</v>
      </c>
      <c r="J1315" s="163">
        <v>0</v>
      </c>
      <c r="K1315" s="163">
        <v>1</v>
      </c>
      <c r="L1315" s="163">
        <v>3</v>
      </c>
      <c r="M1315" s="163">
        <v>6.2</v>
      </c>
      <c r="N1315" s="163">
        <v>1.2</v>
      </c>
      <c r="O1315" s="163">
        <v>213.2</v>
      </c>
      <c r="P1315" s="163">
        <v>287.97800000000001</v>
      </c>
      <c r="Q1315" s="163">
        <v>46.448064516000002</v>
      </c>
      <c r="R1315" s="163">
        <v>1.3507410881999999</v>
      </c>
      <c r="S1315" s="161">
        <v>34.387096774</v>
      </c>
      <c r="T1315">
        <f t="shared" si="36"/>
        <v>3.1111457617061884E-8</v>
      </c>
    </row>
    <row r="1316" spans="2:20">
      <c r="B1316" s="163" t="s">
        <v>1929</v>
      </c>
      <c r="C1316" s="163" t="s">
        <v>1930</v>
      </c>
      <c r="D1316" s="163" t="s">
        <v>1754</v>
      </c>
      <c r="E1316" s="163" t="s">
        <v>853</v>
      </c>
      <c r="F1316" s="163" t="s">
        <v>1363</v>
      </c>
      <c r="G1316" s="163">
        <v>4</v>
      </c>
      <c r="H1316" s="163">
        <v>7</v>
      </c>
      <c r="I1316" s="163">
        <v>2</v>
      </c>
      <c r="J1316" s="163">
        <v>0</v>
      </c>
      <c r="K1316" s="163">
        <v>1</v>
      </c>
      <c r="L1316" s="163">
        <v>3</v>
      </c>
      <c r="M1316" s="163">
        <v>3.6</v>
      </c>
      <c r="N1316" s="163">
        <v>0.6</v>
      </c>
      <c r="O1316" s="163">
        <v>124.6</v>
      </c>
      <c r="P1316" s="163">
        <v>221.19399999999999</v>
      </c>
      <c r="Q1316" s="163">
        <v>61.442777778</v>
      </c>
      <c r="R1316" s="163">
        <v>1.7752327448</v>
      </c>
      <c r="S1316" s="161">
        <v>34.611111111</v>
      </c>
      <c r="T1316">
        <f t="shared" si="36"/>
        <v>1.8182399714286634E-8</v>
      </c>
    </row>
    <row r="1317" spans="2:20">
      <c r="B1317" s="163" t="s">
        <v>1931</v>
      </c>
      <c r="C1317" s="163" t="s">
        <v>1932</v>
      </c>
      <c r="D1317" s="163" t="s">
        <v>1754</v>
      </c>
      <c r="E1317" s="163" t="s">
        <v>853</v>
      </c>
      <c r="F1317" s="163" t="s">
        <v>1363</v>
      </c>
      <c r="G1317" s="163">
        <v>4</v>
      </c>
      <c r="H1317" s="163">
        <v>7</v>
      </c>
      <c r="I1317" s="163">
        <v>2</v>
      </c>
      <c r="J1317" s="163">
        <v>0</v>
      </c>
      <c r="K1317" s="163">
        <v>1</v>
      </c>
      <c r="L1317" s="163">
        <v>3</v>
      </c>
      <c r="M1317" s="163">
        <v>25</v>
      </c>
      <c r="N1317" s="163">
        <v>0</v>
      </c>
      <c r="O1317" s="163">
        <v>1148</v>
      </c>
      <c r="P1317" s="163">
        <v>513.32000000000005</v>
      </c>
      <c r="Q1317" s="163">
        <v>20.532800000000002</v>
      </c>
      <c r="R1317" s="163">
        <v>0.44714285710000001</v>
      </c>
      <c r="S1317" s="161">
        <v>45.92</v>
      </c>
      <c r="T1317">
        <f t="shared" si="36"/>
        <v>1.6752323332264092E-7</v>
      </c>
    </row>
    <row r="1318" spans="2:20">
      <c r="B1318" s="163" t="s">
        <v>1933</v>
      </c>
      <c r="C1318" s="163" t="s">
        <v>1934</v>
      </c>
      <c r="D1318" s="163" t="s">
        <v>1754</v>
      </c>
      <c r="E1318" s="163" t="s">
        <v>853</v>
      </c>
      <c r="F1318" s="163" t="s">
        <v>1363</v>
      </c>
      <c r="G1318" s="163">
        <v>4</v>
      </c>
      <c r="H1318" s="163">
        <v>7</v>
      </c>
      <c r="I1318" s="163">
        <v>2</v>
      </c>
      <c r="J1318" s="163">
        <v>0</v>
      </c>
      <c r="K1318" s="163">
        <v>1</v>
      </c>
      <c r="L1318" s="163">
        <v>3</v>
      </c>
      <c r="M1318" s="163">
        <v>29</v>
      </c>
      <c r="N1318" s="163">
        <v>0</v>
      </c>
      <c r="O1318" s="163">
        <v>1148</v>
      </c>
      <c r="P1318" s="163">
        <v>513.32000000000005</v>
      </c>
      <c r="Q1318" s="163">
        <v>17.700689655000001</v>
      </c>
      <c r="R1318" s="163">
        <v>0.44714285710000001</v>
      </c>
      <c r="S1318" s="161">
        <v>39.586206896999997</v>
      </c>
      <c r="T1318">
        <f t="shared" si="36"/>
        <v>1.6752323332264092E-7</v>
      </c>
    </row>
    <row r="1319" spans="2:20">
      <c r="B1319" s="163" t="s">
        <v>1935</v>
      </c>
      <c r="C1319" s="163" t="s">
        <v>1936</v>
      </c>
      <c r="D1319" s="163" t="s">
        <v>1754</v>
      </c>
      <c r="E1319" s="163" t="s">
        <v>853</v>
      </c>
      <c r="F1319" s="163" t="s">
        <v>1363</v>
      </c>
      <c r="G1319" s="163">
        <v>4</v>
      </c>
      <c r="H1319" s="163">
        <v>7</v>
      </c>
      <c r="I1319" s="163">
        <v>2</v>
      </c>
      <c r="J1319" s="163">
        <v>0</v>
      </c>
      <c r="K1319" s="163">
        <v>1</v>
      </c>
      <c r="L1319" s="163">
        <v>3</v>
      </c>
      <c r="M1319" s="163">
        <v>23</v>
      </c>
      <c r="N1319" s="163">
        <v>0</v>
      </c>
      <c r="O1319" s="163">
        <v>672</v>
      </c>
      <c r="P1319" s="163">
        <v>600.96</v>
      </c>
      <c r="Q1319" s="163">
        <v>26.128695652000001</v>
      </c>
      <c r="R1319" s="163">
        <v>0.89428571430000003</v>
      </c>
      <c r="S1319" s="161">
        <v>29.217391304</v>
      </c>
      <c r="T1319">
        <f t="shared" si="36"/>
        <v>9.806238048154589E-8</v>
      </c>
    </row>
    <row r="1320" spans="2:20">
      <c r="B1320" s="163" t="s">
        <v>1937</v>
      </c>
      <c r="C1320" s="163" t="s">
        <v>1938</v>
      </c>
      <c r="D1320" s="163" t="s">
        <v>1754</v>
      </c>
      <c r="E1320" s="163" t="s">
        <v>853</v>
      </c>
      <c r="F1320" s="163" t="s">
        <v>1363</v>
      </c>
      <c r="G1320" s="163">
        <v>4</v>
      </c>
      <c r="H1320" s="163">
        <v>7</v>
      </c>
      <c r="I1320" s="163">
        <v>2</v>
      </c>
      <c r="J1320" s="163">
        <v>0</v>
      </c>
      <c r="K1320" s="163">
        <v>1</v>
      </c>
      <c r="L1320" s="163">
        <v>3</v>
      </c>
      <c r="M1320" s="163">
        <v>16</v>
      </c>
      <c r="N1320" s="163">
        <v>0</v>
      </c>
      <c r="O1320" s="163">
        <v>710</v>
      </c>
      <c r="P1320" s="163">
        <v>1270.1500000000001</v>
      </c>
      <c r="Q1320" s="163">
        <v>79.384375000000006</v>
      </c>
      <c r="R1320" s="163">
        <v>1.7889436620000001</v>
      </c>
      <c r="S1320" s="161">
        <v>44.375</v>
      </c>
      <c r="T1320">
        <f t="shared" si="36"/>
        <v>1.0360757461591903E-7</v>
      </c>
    </row>
    <row r="1321" spans="2:20">
      <c r="B1321" s="163" t="s">
        <v>1939</v>
      </c>
      <c r="C1321" s="163" t="s">
        <v>1940</v>
      </c>
      <c r="D1321" s="163" t="s">
        <v>1754</v>
      </c>
      <c r="E1321" s="163" t="s">
        <v>853</v>
      </c>
      <c r="F1321" s="163" t="s">
        <v>1363</v>
      </c>
      <c r="G1321" s="163">
        <v>4</v>
      </c>
      <c r="H1321" s="163">
        <v>7</v>
      </c>
      <c r="I1321" s="163">
        <v>2</v>
      </c>
      <c r="J1321" s="163">
        <v>0</v>
      </c>
      <c r="K1321" s="163">
        <v>1</v>
      </c>
      <c r="L1321" s="163">
        <v>3</v>
      </c>
      <c r="M1321" s="163">
        <v>1.2</v>
      </c>
      <c r="N1321" s="163">
        <v>0.2</v>
      </c>
      <c r="O1321" s="163">
        <v>25.3</v>
      </c>
      <c r="P1321" s="163">
        <v>14.457000000000001</v>
      </c>
      <c r="Q1321" s="163">
        <v>12.047499999999999</v>
      </c>
      <c r="R1321" s="163">
        <v>0.57142292490000002</v>
      </c>
      <c r="S1321" s="161">
        <v>21.083333332999999</v>
      </c>
      <c r="T1321">
        <f t="shared" si="36"/>
        <v>3.6919318842010586E-9</v>
      </c>
    </row>
    <row r="1322" spans="2:20">
      <c r="B1322" s="163" t="s">
        <v>1941</v>
      </c>
      <c r="C1322" s="163" t="s">
        <v>1942</v>
      </c>
      <c r="D1322" s="163" t="s">
        <v>1754</v>
      </c>
      <c r="E1322" s="163" t="s">
        <v>853</v>
      </c>
      <c r="F1322" s="163" t="s">
        <v>1363</v>
      </c>
      <c r="G1322" s="163">
        <v>4</v>
      </c>
      <c r="H1322" s="163">
        <v>7</v>
      </c>
      <c r="I1322" s="163">
        <v>2</v>
      </c>
      <c r="J1322" s="163">
        <v>0</v>
      </c>
      <c r="K1322" s="163">
        <v>1</v>
      </c>
      <c r="L1322" s="163">
        <v>3</v>
      </c>
      <c r="M1322" s="163">
        <v>1.3</v>
      </c>
      <c r="N1322" s="163">
        <v>0.3</v>
      </c>
      <c r="O1322" s="163">
        <v>71.3</v>
      </c>
      <c r="P1322" s="163">
        <v>15.4</v>
      </c>
      <c r="Q1322" s="163">
        <v>11.846153846</v>
      </c>
      <c r="R1322" s="163">
        <v>0.2159887798</v>
      </c>
      <c r="S1322" s="161">
        <v>54.846153846</v>
      </c>
      <c r="T1322">
        <f t="shared" si="36"/>
        <v>1.0404535310021164E-8</v>
      </c>
    </row>
    <row r="1323" spans="2:20">
      <c r="B1323" s="163" t="s">
        <v>1943</v>
      </c>
      <c r="C1323" s="163" t="s">
        <v>1944</v>
      </c>
      <c r="D1323" s="163" t="s">
        <v>1754</v>
      </c>
      <c r="E1323" s="163" t="s">
        <v>853</v>
      </c>
      <c r="F1323" s="163" t="s">
        <v>1363</v>
      </c>
      <c r="G1323" s="163">
        <v>4</v>
      </c>
      <c r="H1323" s="163">
        <v>7</v>
      </c>
      <c r="I1323" s="163">
        <v>2</v>
      </c>
      <c r="J1323" s="163">
        <v>0</v>
      </c>
      <c r="K1323" s="163">
        <v>1</v>
      </c>
      <c r="L1323" s="163">
        <v>3</v>
      </c>
      <c r="M1323" s="163">
        <v>2.6</v>
      </c>
      <c r="N1323" s="163">
        <v>0.6</v>
      </c>
      <c r="O1323" s="163">
        <v>252.6</v>
      </c>
      <c r="P1323" s="163">
        <v>46.886000000000003</v>
      </c>
      <c r="Q1323" s="163">
        <v>18.033076922999999</v>
      </c>
      <c r="R1323" s="163">
        <v>0.18561361840000001</v>
      </c>
      <c r="S1323" s="161">
        <v>97.153846153999993</v>
      </c>
      <c r="T1323">
        <f t="shared" ref="T1323:T1386" si="37">O1323/SUM($O$874:$O$1513)</f>
        <v>3.686094837743823E-8</v>
      </c>
    </row>
    <row r="1324" spans="2:20">
      <c r="B1324" s="163" t="s">
        <v>1945</v>
      </c>
      <c r="C1324" s="163" t="s">
        <v>1946</v>
      </c>
      <c r="D1324" s="163" t="s">
        <v>1754</v>
      </c>
      <c r="E1324" s="163" t="s">
        <v>853</v>
      </c>
      <c r="F1324" s="163" t="s">
        <v>1363</v>
      </c>
      <c r="G1324" s="163">
        <v>4</v>
      </c>
      <c r="H1324" s="163">
        <v>7</v>
      </c>
      <c r="I1324" s="163">
        <v>2</v>
      </c>
      <c r="J1324" s="163">
        <v>0</v>
      </c>
      <c r="K1324" s="163">
        <v>1</v>
      </c>
      <c r="L1324" s="163">
        <v>3</v>
      </c>
      <c r="M1324" s="163">
        <v>2.5</v>
      </c>
      <c r="N1324" s="163">
        <v>0.5</v>
      </c>
      <c r="O1324" s="163">
        <v>134.5</v>
      </c>
      <c r="P1324" s="163">
        <v>56.232999999999997</v>
      </c>
      <c r="Q1324" s="163">
        <v>22.493200000000002</v>
      </c>
      <c r="R1324" s="163">
        <v>0.41808921929999998</v>
      </c>
      <c r="S1324" s="161">
        <v>53.8</v>
      </c>
      <c r="T1324">
        <f t="shared" si="37"/>
        <v>1.9627068712452266E-8</v>
      </c>
    </row>
    <row r="1325" spans="2:20">
      <c r="B1325" s="163" t="s">
        <v>1947</v>
      </c>
      <c r="C1325" s="163" t="s">
        <v>1948</v>
      </c>
      <c r="D1325" s="163" t="s">
        <v>1754</v>
      </c>
      <c r="E1325" s="163" t="s">
        <v>853</v>
      </c>
      <c r="F1325" s="163" t="s">
        <v>1363</v>
      </c>
      <c r="G1325" s="163">
        <v>4</v>
      </c>
      <c r="H1325" s="163">
        <v>7</v>
      </c>
      <c r="I1325" s="163">
        <v>2</v>
      </c>
      <c r="J1325" s="163">
        <v>0</v>
      </c>
      <c r="K1325" s="163">
        <v>1</v>
      </c>
      <c r="L1325" s="163">
        <v>3</v>
      </c>
      <c r="M1325" s="163">
        <v>2.4</v>
      </c>
      <c r="N1325" s="163">
        <v>0.4</v>
      </c>
      <c r="O1325" s="163">
        <v>185.7</v>
      </c>
      <c r="P1325" s="163">
        <v>137.006</v>
      </c>
      <c r="Q1325" s="163">
        <v>57.085833332999997</v>
      </c>
      <c r="R1325" s="163">
        <v>0.73778136780000003</v>
      </c>
      <c r="S1325" s="161">
        <v>77.375</v>
      </c>
      <c r="T1325">
        <f t="shared" si="37"/>
        <v>2.7098488177712904E-8</v>
      </c>
    </row>
    <row r="1326" spans="2:20">
      <c r="B1326" s="163" t="s">
        <v>1949</v>
      </c>
      <c r="C1326" s="163" t="s">
        <v>1950</v>
      </c>
      <c r="D1326" s="163" t="s">
        <v>1754</v>
      </c>
      <c r="E1326" s="163" t="s">
        <v>853</v>
      </c>
      <c r="F1326" s="163" t="s">
        <v>1363</v>
      </c>
      <c r="G1326" s="163">
        <v>4</v>
      </c>
      <c r="H1326" s="163">
        <v>7</v>
      </c>
      <c r="I1326" s="163">
        <v>2</v>
      </c>
      <c r="J1326" s="163">
        <v>0</v>
      </c>
      <c r="K1326" s="163">
        <v>1</v>
      </c>
      <c r="L1326" s="163">
        <v>3</v>
      </c>
      <c r="M1326" s="163">
        <v>1.2</v>
      </c>
      <c r="N1326" s="163">
        <v>0.2</v>
      </c>
      <c r="O1326" s="163">
        <v>119.4</v>
      </c>
      <c r="P1326" s="163">
        <v>132.61600000000001</v>
      </c>
      <c r="Q1326" s="163">
        <v>110.51333332999999</v>
      </c>
      <c r="R1326" s="163">
        <v>1.1106867672</v>
      </c>
      <c r="S1326" s="161">
        <v>99.5</v>
      </c>
      <c r="T1326">
        <f t="shared" si="37"/>
        <v>1.7423583674846102E-8</v>
      </c>
    </row>
    <row r="1327" spans="2:20">
      <c r="B1327" s="163" t="s">
        <v>1951</v>
      </c>
      <c r="C1327" s="163" t="s">
        <v>1952</v>
      </c>
      <c r="D1327" s="163" t="s">
        <v>1953</v>
      </c>
      <c r="E1327" s="163" t="s">
        <v>853</v>
      </c>
      <c r="F1327" s="163" t="s">
        <v>1363</v>
      </c>
      <c r="G1327" s="163">
        <v>4</v>
      </c>
      <c r="H1327" s="163">
        <v>7</v>
      </c>
      <c r="I1327" s="163">
        <v>2</v>
      </c>
      <c r="J1327" s="163">
        <v>0</v>
      </c>
      <c r="K1327" s="163">
        <v>1</v>
      </c>
      <c r="L1327" s="163">
        <v>3</v>
      </c>
      <c r="M1327" s="163">
        <v>19145</v>
      </c>
      <c r="N1327" s="163">
        <v>12274</v>
      </c>
      <c r="O1327" s="163">
        <v>1100797</v>
      </c>
      <c r="P1327" s="163">
        <v>831886.66</v>
      </c>
      <c r="Q1327" s="163">
        <v>43.451901802000002</v>
      </c>
      <c r="R1327" s="163">
        <v>0.75571305150000001</v>
      </c>
      <c r="S1327" s="161">
        <v>57.497884565</v>
      </c>
      <c r="T1327">
        <f t="shared" si="37"/>
        <v>1.6063508072461946E-4</v>
      </c>
    </row>
    <row r="1328" spans="2:20">
      <c r="B1328" s="163" t="s">
        <v>1954</v>
      </c>
      <c r="C1328" s="163" t="s">
        <v>1955</v>
      </c>
      <c r="D1328" s="163" t="s">
        <v>1953</v>
      </c>
      <c r="E1328" s="163" t="s">
        <v>853</v>
      </c>
      <c r="F1328" s="163" t="s">
        <v>1363</v>
      </c>
      <c r="G1328" s="163">
        <v>4</v>
      </c>
      <c r="H1328" s="163">
        <v>7</v>
      </c>
      <c r="I1328" s="163">
        <v>2</v>
      </c>
      <c r="J1328" s="163">
        <v>0</v>
      </c>
      <c r="K1328" s="163">
        <v>1</v>
      </c>
      <c r="L1328" s="163">
        <v>3</v>
      </c>
      <c r="M1328" s="163">
        <v>15848</v>
      </c>
      <c r="N1328" s="163">
        <v>9830</v>
      </c>
      <c r="O1328" s="163">
        <v>899800</v>
      </c>
      <c r="P1328" s="163">
        <v>1359669.8</v>
      </c>
      <c r="Q1328" s="163">
        <v>85.794409388999995</v>
      </c>
      <c r="R1328" s="163">
        <v>1.5110800177999999</v>
      </c>
      <c r="S1328" s="161">
        <v>56.776880362999997</v>
      </c>
      <c r="T1328">
        <f t="shared" si="37"/>
        <v>1.3130436005549852E-4</v>
      </c>
    </row>
    <row r="1329" spans="2:20">
      <c r="B1329" s="163" t="s">
        <v>1956</v>
      </c>
      <c r="C1329" s="163" t="s">
        <v>1957</v>
      </c>
      <c r="D1329" s="163" t="s">
        <v>1953</v>
      </c>
      <c r="E1329" s="163" t="s">
        <v>853</v>
      </c>
      <c r="F1329" s="163" t="s">
        <v>1363</v>
      </c>
      <c r="G1329" s="163">
        <v>4</v>
      </c>
      <c r="H1329" s="163">
        <v>7</v>
      </c>
      <c r="I1329" s="163">
        <v>2</v>
      </c>
      <c r="J1329" s="163">
        <v>0</v>
      </c>
      <c r="K1329" s="163">
        <v>1</v>
      </c>
      <c r="L1329" s="163">
        <v>3</v>
      </c>
      <c r="M1329" s="163">
        <v>11211</v>
      </c>
      <c r="N1329" s="163">
        <v>6499</v>
      </c>
      <c r="O1329" s="163">
        <v>599057</v>
      </c>
      <c r="P1329" s="163">
        <v>452710.23</v>
      </c>
      <c r="Q1329" s="163">
        <v>40.380896440999997</v>
      </c>
      <c r="R1329" s="163">
        <v>0.75570476600000003</v>
      </c>
      <c r="S1329" s="161">
        <v>53.434751583000001</v>
      </c>
      <c r="T1329">
        <f t="shared" si="37"/>
        <v>8.7418088488293809E-5</v>
      </c>
    </row>
    <row r="1330" spans="2:20">
      <c r="B1330" s="163" t="s">
        <v>1958</v>
      </c>
      <c r="C1330" s="163" t="s">
        <v>1959</v>
      </c>
      <c r="D1330" s="163" t="s">
        <v>1953</v>
      </c>
      <c r="E1330" s="163" t="s">
        <v>853</v>
      </c>
      <c r="F1330" s="163" t="s">
        <v>1363</v>
      </c>
      <c r="G1330" s="163">
        <v>4</v>
      </c>
      <c r="H1330" s="163">
        <v>7</v>
      </c>
      <c r="I1330" s="163">
        <v>2</v>
      </c>
      <c r="J1330" s="163">
        <v>0</v>
      </c>
      <c r="K1330" s="163">
        <v>1</v>
      </c>
      <c r="L1330" s="163">
        <v>3</v>
      </c>
      <c r="M1330" s="163">
        <v>7491</v>
      </c>
      <c r="N1330" s="163">
        <v>4485</v>
      </c>
      <c r="O1330" s="163">
        <v>386034</v>
      </c>
      <c r="P1330" s="163">
        <v>1166912.5900000001</v>
      </c>
      <c r="Q1330" s="163">
        <v>155.77527566000001</v>
      </c>
      <c r="R1330" s="163">
        <v>3.0228233523000001</v>
      </c>
      <c r="S1330" s="161">
        <v>51.533039647999999</v>
      </c>
      <c r="T1330">
        <f t="shared" si="37"/>
        <v>5.6332459801805194E-5</v>
      </c>
    </row>
    <row r="1331" spans="2:20">
      <c r="B1331" s="163" t="s">
        <v>1960</v>
      </c>
      <c r="C1331" s="163" t="s">
        <v>1961</v>
      </c>
      <c r="D1331" s="163" t="s">
        <v>1962</v>
      </c>
      <c r="E1331" s="163" t="s">
        <v>853</v>
      </c>
      <c r="F1331" s="163" t="s">
        <v>1363</v>
      </c>
      <c r="G1331" s="163">
        <v>4</v>
      </c>
      <c r="H1331" s="163">
        <v>7</v>
      </c>
      <c r="I1331" s="163">
        <v>2</v>
      </c>
      <c r="J1331" s="163">
        <v>0</v>
      </c>
      <c r="K1331" s="163">
        <v>1</v>
      </c>
      <c r="L1331" s="163">
        <v>3</v>
      </c>
      <c r="M1331" s="163">
        <v>29105</v>
      </c>
      <c r="N1331" s="163">
        <v>28298</v>
      </c>
      <c r="O1331" s="163">
        <v>2312423</v>
      </c>
      <c r="P1331" s="163">
        <v>1029023.56</v>
      </c>
      <c r="Q1331" s="163">
        <v>35.355559526</v>
      </c>
      <c r="R1331" s="163">
        <v>0.44499797829999999</v>
      </c>
      <c r="S1331" s="161">
        <v>79.451056519000005</v>
      </c>
      <c r="T1331">
        <f t="shared" si="37"/>
        <v>3.3744301199446102E-4</v>
      </c>
    </row>
    <row r="1332" spans="2:20">
      <c r="B1332" s="163" t="s">
        <v>1963</v>
      </c>
      <c r="C1332" s="163" t="s">
        <v>1964</v>
      </c>
      <c r="D1332" s="163" t="s">
        <v>1962</v>
      </c>
      <c r="E1332" s="163" t="s">
        <v>853</v>
      </c>
      <c r="F1332" s="163" t="s">
        <v>1363</v>
      </c>
      <c r="G1332" s="163">
        <v>4</v>
      </c>
      <c r="H1332" s="163">
        <v>7</v>
      </c>
      <c r="I1332" s="163">
        <v>2</v>
      </c>
      <c r="J1332" s="163">
        <v>0</v>
      </c>
      <c r="K1332" s="163">
        <v>1</v>
      </c>
      <c r="L1332" s="163">
        <v>3</v>
      </c>
      <c r="M1332" s="163">
        <v>1736</v>
      </c>
      <c r="N1332" s="163">
        <v>1668</v>
      </c>
      <c r="O1332" s="163">
        <v>146653</v>
      </c>
      <c r="P1332" s="163">
        <v>97839.09</v>
      </c>
      <c r="Q1332" s="163">
        <v>56.358922810999999</v>
      </c>
      <c r="R1332" s="163">
        <v>0.66714687049999999</v>
      </c>
      <c r="S1332" s="161">
        <v>84.477534562000002</v>
      </c>
      <c r="T1332">
        <f t="shared" si="37"/>
        <v>2.1400509352321651E-5</v>
      </c>
    </row>
    <row r="1333" spans="2:20">
      <c r="B1333" s="163" t="s">
        <v>1965</v>
      </c>
      <c r="C1333" s="163" t="s">
        <v>1966</v>
      </c>
      <c r="D1333" s="163" t="s">
        <v>1962</v>
      </c>
      <c r="E1333" s="163" t="s">
        <v>853</v>
      </c>
      <c r="F1333" s="163" t="s">
        <v>1363</v>
      </c>
      <c r="G1333" s="163">
        <v>4</v>
      </c>
      <c r="H1333" s="163">
        <v>7</v>
      </c>
      <c r="I1333" s="163">
        <v>2</v>
      </c>
      <c r="J1333" s="163">
        <v>0</v>
      </c>
      <c r="K1333" s="163">
        <v>1</v>
      </c>
      <c r="L1333" s="163">
        <v>3</v>
      </c>
      <c r="M1333" s="163">
        <v>47192</v>
      </c>
      <c r="N1333" s="163">
        <v>45331</v>
      </c>
      <c r="O1333" s="163">
        <v>2978594</v>
      </c>
      <c r="P1333" s="163">
        <v>1325462.6100000001</v>
      </c>
      <c r="Q1333" s="163">
        <v>28.086595398</v>
      </c>
      <c r="R1333" s="163">
        <v>0.44499606530000002</v>
      </c>
      <c r="S1333" s="161">
        <v>63.116502797000003</v>
      </c>
      <c r="T1333">
        <f t="shared" si="37"/>
        <v>4.3465478888102634E-4</v>
      </c>
    </row>
    <row r="1334" spans="2:20">
      <c r="B1334" s="163" t="s">
        <v>1967</v>
      </c>
      <c r="C1334" s="163" t="s">
        <v>1968</v>
      </c>
      <c r="D1334" s="163" t="s">
        <v>1962</v>
      </c>
      <c r="E1334" s="163" t="s">
        <v>853</v>
      </c>
      <c r="F1334" s="163" t="s">
        <v>1363</v>
      </c>
      <c r="G1334" s="163">
        <v>4</v>
      </c>
      <c r="H1334" s="163">
        <v>7</v>
      </c>
      <c r="I1334" s="163">
        <v>2</v>
      </c>
      <c r="J1334" s="163">
        <v>0</v>
      </c>
      <c r="K1334" s="163">
        <v>1</v>
      </c>
      <c r="L1334" s="163">
        <v>3</v>
      </c>
      <c r="M1334" s="163">
        <v>35995</v>
      </c>
      <c r="N1334" s="163">
        <v>34595</v>
      </c>
      <c r="O1334" s="163">
        <v>2028119</v>
      </c>
      <c r="P1334" s="163">
        <v>1804313.72</v>
      </c>
      <c r="Q1334" s="163">
        <v>50.126787608999997</v>
      </c>
      <c r="R1334" s="163">
        <v>0.88964884209999995</v>
      </c>
      <c r="S1334" s="161">
        <v>56.344464508999998</v>
      </c>
      <c r="T1334">
        <f t="shared" si="37"/>
        <v>2.9595562059501844E-4</v>
      </c>
    </row>
    <row r="1335" spans="2:20">
      <c r="B1335" s="163" t="s">
        <v>1969</v>
      </c>
      <c r="C1335" s="163" t="s">
        <v>1970</v>
      </c>
      <c r="D1335" s="163" t="s">
        <v>1962</v>
      </c>
      <c r="E1335" s="163" t="s">
        <v>853</v>
      </c>
      <c r="F1335" s="163" t="s">
        <v>1363</v>
      </c>
      <c r="G1335" s="163">
        <v>4</v>
      </c>
      <c r="H1335" s="163">
        <v>7</v>
      </c>
      <c r="I1335" s="163">
        <v>2</v>
      </c>
      <c r="J1335" s="163">
        <v>0</v>
      </c>
      <c r="K1335" s="163">
        <v>1</v>
      </c>
      <c r="L1335" s="163">
        <v>3</v>
      </c>
      <c r="M1335" s="163">
        <v>13375</v>
      </c>
      <c r="N1335" s="163">
        <v>12742</v>
      </c>
      <c r="O1335" s="163">
        <v>675560</v>
      </c>
      <c r="P1335" s="163">
        <v>901513.76</v>
      </c>
      <c r="Q1335" s="163">
        <v>67.402897944000003</v>
      </c>
      <c r="R1335" s="163">
        <v>1.3344688258999999</v>
      </c>
      <c r="S1335" s="161">
        <v>50.509158878999997</v>
      </c>
      <c r="T1335">
        <f t="shared" si="37"/>
        <v>9.8581877616239796E-5</v>
      </c>
    </row>
    <row r="1336" spans="2:20">
      <c r="B1336" s="163" t="s">
        <v>1971</v>
      </c>
      <c r="C1336" s="163" t="s">
        <v>1972</v>
      </c>
      <c r="D1336" s="163" t="s">
        <v>1962</v>
      </c>
      <c r="E1336" s="163" t="s">
        <v>853</v>
      </c>
      <c r="F1336" s="163" t="s">
        <v>1363</v>
      </c>
      <c r="G1336" s="163">
        <v>4</v>
      </c>
      <c r="H1336" s="163">
        <v>7</v>
      </c>
      <c r="I1336" s="163">
        <v>2</v>
      </c>
      <c r="J1336" s="163">
        <v>0</v>
      </c>
      <c r="K1336" s="163">
        <v>1</v>
      </c>
      <c r="L1336" s="163">
        <v>3</v>
      </c>
      <c r="M1336" s="163">
        <v>13763</v>
      </c>
      <c r="N1336" s="163">
        <v>13096</v>
      </c>
      <c r="O1336" s="163">
        <v>678728</v>
      </c>
      <c r="P1336" s="163">
        <v>1207651.96</v>
      </c>
      <c r="Q1336" s="163">
        <v>87.746273341999995</v>
      </c>
      <c r="R1336" s="163">
        <v>1.7792870782000001</v>
      </c>
      <c r="S1336" s="161">
        <v>49.315410884000002</v>
      </c>
      <c r="T1336">
        <f t="shared" si="37"/>
        <v>9.9044171695652808E-5</v>
      </c>
    </row>
    <row r="1337" spans="2:20">
      <c r="B1337" s="163" t="s">
        <v>1973</v>
      </c>
      <c r="C1337" s="163" t="s">
        <v>1974</v>
      </c>
      <c r="D1337" s="163" t="s">
        <v>1962</v>
      </c>
      <c r="E1337" s="163" t="s">
        <v>853</v>
      </c>
      <c r="F1337" s="163" t="s">
        <v>1363</v>
      </c>
      <c r="G1337" s="163">
        <v>4</v>
      </c>
      <c r="H1337" s="163">
        <v>7</v>
      </c>
      <c r="I1337" s="163">
        <v>2</v>
      </c>
      <c r="J1337" s="163">
        <v>0</v>
      </c>
      <c r="K1337" s="163">
        <v>1</v>
      </c>
      <c r="L1337" s="163">
        <v>3</v>
      </c>
      <c r="M1337" s="163">
        <v>6733</v>
      </c>
      <c r="N1337" s="163">
        <v>6393</v>
      </c>
      <c r="O1337" s="163">
        <v>307260</v>
      </c>
      <c r="P1337" s="163">
        <v>683384.2</v>
      </c>
      <c r="Q1337" s="163">
        <v>101.49772761</v>
      </c>
      <c r="R1337" s="163">
        <v>2.2241235436000002</v>
      </c>
      <c r="S1337" s="161">
        <v>45.634932421999999</v>
      </c>
      <c r="T1337">
        <f t="shared" si="37"/>
        <v>4.4837272361249688E-5</v>
      </c>
    </row>
    <row r="1338" spans="2:20">
      <c r="B1338" s="163" t="s">
        <v>1975</v>
      </c>
      <c r="C1338" s="163" t="s">
        <v>1976</v>
      </c>
      <c r="D1338" s="163" t="s">
        <v>1962</v>
      </c>
      <c r="E1338" s="163" t="s">
        <v>853</v>
      </c>
      <c r="F1338" s="163" t="s">
        <v>1363</v>
      </c>
      <c r="G1338" s="163">
        <v>4</v>
      </c>
      <c r="H1338" s="163">
        <v>7</v>
      </c>
      <c r="I1338" s="163">
        <v>2</v>
      </c>
      <c r="J1338" s="163">
        <v>0</v>
      </c>
      <c r="K1338" s="163">
        <v>3</v>
      </c>
      <c r="L1338" s="163">
        <v>3</v>
      </c>
      <c r="M1338" s="163">
        <v>1248</v>
      </c>
      <c r="N1338" s="163">
        <v>1198</v>
      </c>
      <c r="O1338" s="163">
        <v>254860</v>
      </c>
      <c r="P1338" s="163">
        <v>45365.06</v>
      </c>
      <c r="Q1338" s="163">
        <v>36.350208332999998</v>
      </c>
      <c r="R1338" s="163">
        <v>0.17799992149999999</v>
      </c>
      <c r="S1338" s="161">
        <v>204.21474359000001</v>
      </c>
      <c r="T1338">
        <f t="shared" si="37"/>
        <v>3.7190741502272006E-5</v>
      </c>
    </row>
    <row r="1339" spans="2:20">
      <c r="B1339" s="163" t="s">
        <v>1977</v>
      </c>
      <c r="C1339" s="163" t="s">
        <v>1978</v>
      </c>
      <c r="D1339" s="163" t="s">
        <v>1979</v>
      </c>
      <c r="E1339" s="163" t="s">
        <v>853</v>
      </c>
      <c r="F1339" s="163" t="s">
        <v>1363</v>
      </c>
      <c r="G1339" s="163">
        <v>4</v>
      </c>
      <c r="H1339" s="163">
        <v>7</v>
      </c>
      <c r="I1339" s="163">
        <v>2</v>
      </c>
      <c r="J1339" s="163">
        <v>0</v>
      </c>
      <c r="K1339" s="163">
        <v>1</v>
      </c>
      <c r="L1339" s="163">
        <v>1</v>
      </c>
      <c r="M1339" s="163">
        <v>20871</v>
      </c>
      <c r="N1339" s="163">
        <v>0</v>
      </c>
      <c r="O1339" s="163">
        <v>1198471</v>
      </c>
      <c r="P1339" s="163">
        <v>241116.75</v>
      </c>
      <c r="Q1339" s="163">
        <v>11.552716688</v>
      </c>
      <c r="R1339" s="163">
        <v>0.2011869707</v>
      </c>
      <c r="S1339" s="161">
        <v>57.422787599999999</v>
      </c>
      <c r="T1339">
        <f t="shared" si="37"/>
        <v>1.7488827261621844E-4</v>
      </c>
    </row>
    <row r="1340" spans="2:20">
      <c r="B1340" s="163" t="s">
        <v>1980</v>
      </c>
      <c r="C1340" s="163" t="s">
        <v>1981</v>
      </c>
      <c r="D1340" s="163" t="s">
        <v>1979</v>
      </c>
      <c r="E1340" s="163" t="s">
        <v>853</v>
      </c>
      <c r="F1340" s="163" t="s">
        <v>1363</v>
      </c>
      <c r="G1340" s="163">
        <v>4</v>
      </c>
      <c r="H1340" s="163">
        <v>7</v>
      </c>
      <c r="I1340" s="163">
        <v>2</v>
      </c>
      <c r="J1340" s="163">
        <v>0</v>
      </c>
      <c r="K1340" s="163">
        <v>1</v>
      </c>
      <c r="L1340" s="163">
        <v>3</v>
      </c>
      <c r="M1340" s="163">
        <v>60595.6</v>
      </c>
      <c r="N1340" s="163">
        <v>51526.6</v>
      </c>
      <c r="O1340" s="163">
        <v>4517155.5999999996</v>
      </c>
      <c r="P1340" s="163">
        <v>455309.76799999998</v>
      </c>
      <c r="Q1340" s="163">
        <v>7.5139080724999996</v>
      </c>
      <c r="R1340" s="163">
        <v>0.1007956795</v>
      </c>
      <c r="S1340" s="161">
        <v>74.545934028000005</v>
      </c>
      <c r="T1340">
        <f t="shared" si="37"/>
        <v>6.5917117729396679E-4</v>
      </c>
    </row>
    <row r="1341" spans="2:20">
      <c r="B1341" s="163" t="s">
        <v>1982</v>
      </c>
      <c r="C1341" s="163" t="s">
        <v>1983</v>
      </c>
      <c r="D1341" s="163" t="s">
        <v>1979</v>
      </c>
      <c r="E1341" s="163" t="s">
        <v>853</v>
      </c>
      <c r="F1341" s="163" t="s">
        <v>1363</v>
      </c>
      <c r="G1341" s="163">
        <v>4</v>
      </c>
      <c r="H1341" s="163">
        <v>7</v>
      </c>
      <c r="I1341" s="163">
        <v>2</v>
      </c>
      <c r="J1341" s="163">
        <v>0</v>
      </c>
      <c r="K1341" s="163">
        <v>1</v>
      </c>
      <c r="L1341" s="163">
        <v>3</v>
      </c>
      <c r="M1341" s="163">
        <v>8</v>
      </c>
      <c r="N1341" s="163">
        <v>8</v>
      </c>
      <c r="O1341" s="163">
        <v>1320</v>
      </c>
      <c r="P1341" s="163">
        <v>649.44000000000005</v>
      </c>
      <c r="Q1341" s="163">
        <v>81.180000000000007</v>
      </c>
      <c r="R1341" s="163">
        <v>0.49199999999999999</v>
      </c>
      <c r="S1341" s="161">
        <v>165</v>
      </c>
      <c r="T1341">
        <f t="shared" si="37"/>
        <v>1.9262253308875086E-7</v>
      </c>
    </row>
    <row r="1342" spans="2:20">
      <c r="B1342" s="163" t="s">
        <v>1984</v>
      </c>
      <c r="C1342" s="163" t="s">
        <v>1985</v>
      </c>
      <c r="D1342" s="163" t="s">
        <v>1979</v>
      </c>
      <c r="E1342" s="163" t="s">
        <v>853</v>
      </c>
      <c r="F1342" s="163" t="s">
        <v>1363</v>
      </c>
      <c r="G1342" s="163">
        <v>4</v>
      </c>
      <c r="H1342" s="163">
        <v>7</v>
      </c>
      <c r="I1342" s="163">
        <v>2</v>
      </c>
      <c r="J1342" s="163">
        <v>0</v>
      </c>
      <c r="K1342" s="163">
        <v>1</v>
      </c>
      <c r="L1342" s="163">
        <v>3</v>
      </c>
      <c r="M1342" s="163">
        <v>3835</v>
      </c>
      <c r="N1342" s="163">
        <v>0</v>
      </c>
      <c r="O1342" s="163">
        <v>335126</v>
      </c>
      <c r="P1342" s="163">
        <v>67497.320000000007</v>
      </c>
      <c r="Q1342" s="163">
        <v>17.600344197999998</v>
      </c>
      <c r="R1342" s="163">
        <v>0.2014087836</v>
      </c>
      <c r="S1342" s="161">
        <v>87.386179921999997</v>
      </c>
      <c r="T1342">
        <f t="shared" si="37"/>
        <v>4.8903650775682369E-5</v>
      </c>
    </row>
    <row r="1343" spans="2:20">
      <c r="B1343" s="163" t="s">
        <v>1986</v>
      </c>
      <c r="C1343" s="163" t="s">
        <v>1987</v>
      </c>
      <c r="D1343" s="163" t="s">
        <v>1979</v>
      </c>
      <c r="E1343" s="163" t="s">
        <v>853</v>
      </c>
      <c r="F1343" s="163" t="s">
        <v>1363</v>
      </c>
      <c r="G1343" s="163">
        <v>4</v>
      </c>
      <c r="H1343" s="163">
        <v>7</v>
      </c>
      <c r="I1343" s="163">
        <v>2</v>
      </c>
      <c r="J1343" s="163">
        <v>0</v>
      </c>
      <c r="K1343" s="163">
        <v>1</v>
      </c>
      <c r="L1343" s="163">
        <v>3</v>
      </c>
      <c r="M1343" s="163">
        <v>41704.1</v>
      </c>
      <c r="N1343" s="163">
        <v>23377.1</v>
      </c>
      <c r="O1343" s="163">
        <v>300517.7</v>
      </c>
      <c r="P1343" s="163">
        <v>1187042.949</v>
      </c>
      <c r="Q1343" s="163">
        <v>28.463459203999999</v>
      </c>
      <c r="R1343" s="163">
        <v>3.9499934579999998</v>
      </c>
      <c r="S1343" s="161">
        <v>7.2059509736000003</v>
      </c>
      <c r="T1343">
        <f t="shared" si="37"/>
        <v>4.3853394403034322E-5</v>
      </c>
    </row>
    <row r="1344" spans="2:20">
      <c r="B1344" s="163" t="s">
        <v>1988</v>
      </c>
      <c r="C1344" s="163" t="s">
        <v>1989</v>
      </c>
      <c r="D1344" s="163" t="s">
        <v>1979</v>
      </c>
      <c r="E1344" s="163" t="s">
        <v>853</v>
      </c>
      <c r="F1344" s="163" t="s">
        <v>1363</v>
      </c>
      <c r="G1344" s="163">
        <v>4</v>
      </c>
      <c r="H1344" s="163">
        <v>7</v>
      </c>
      <c r="I1344" s="163">
        <v>2</v>
      </c>
      <c r="J1344" s="163">
        <v>0</v>
      </c>
      <c r="K1344" s="163">
        <v>1</v>
      </c>
      <c r="L1344" s="163">
        <v>3</v>
      </c>
      <c r="M1344" s="163">
        <v>28626</v>
      </c>
      <c r="N1344" s="163">
        <v>14548</v>
      </c>
      <c r="O1344" s="163">
        <v>212629.2</v>
      </c>
      <c r="P1344" s="163">
        <v>1260361.2150000001</v>
      </c>
      <c r="Q1344" s="163">
        <v>44.028547998000001</v>
      </c>
      <c r="R1344" s="163">
        <v>5.9275076753000002</v>
      </c>
      <c r="S1344" s="161">
        <v>7.4278348354999997</v>
      </c>
      <c r="T1344">
        <f t="shared" si="37"/>
        <v>3.1028162964117144E-5</v>
      </c>
    </row>
    <row r="1345" spans="2:20">
      <c r="B1345" s="163" t="s">
        <v>1990</v>
      </c>
      <c r="C1345" s="163" t="s">
        <v>1991</v>
      </c>
      <c r="D1345" s="163" t="s">
        <v>1979</v>
      </c>
      <c r="E1345" s="163" t="s">
        <v>853</v>
      </c>
      <c r="F1345" s="163" t="s">
        <v>1363</v>
      </c>
      <c r="G1345" s="163">
        <v>4</v>
      </c>
      <c r="H1345" s="163">
        <v>7</v>
      </c>
      <c r="I1345" s="163">
        <v>2</v>
      </c>
      <c r="J1345" s="163">
        <v>0</v>
      </c>
      <c r="K1345" s="163">
        <v>1</v>
      </c>
      <c r="L1345" s="163">
        <v>3</v>
      </c>
      <c r="M1345" s="163">
        <v>23700.400000000001</v>
      </c>
      <c r="N1345" s="163">
        <v>11403.4</v>
      </c>
      <c r="O1345" s="163">
        <v>186278</v>
      </c>
      <c r="P1345" s="163">
        <v>1471595.264</v>
      </c>
      <c r="Q1345" s="163">
        <v>62.091579213999999</v>
      </c>
      <c r="R1345" s="163">
        <v>7.8999949753000003</v>
      </c>
      <c r="S1345" s="161">
        <v>7.8596985705</v>
      </c>
      <c r="T1345">
        <f t="shared" si="37"/>
        <v>2.7182833499019951E-5</v>
      </c>
    </row>
    <row r="1346" spans="2:20">
      <c r="B1346" s="163" t="s">
        <v>1992</v>
      </c>
      <c r="C1346" s="163" t="s">
        <v>1993</v>
      </c>
      <c r="D1346" s="163" t="s">
        <v>1979</v>
      </c>
      <c r="E1346" s="163" t="s">
        <v>853</v>
      </c>
      <c r="F1346" s="163" t="s">
        <v>1363</v>
      </c>
      <c r="G1346" s="163">
        <v>4</v>
      </c>
      <c r="H1346" s="163">
        <v>7</v>
      </c>
      <c r="I1346" s="163">
        <v>2</v>
      </c>
      <c r="J1346" s="163">
        <v>0</v>
      </c>
      <c r="K1346" s="163">
        <v>1</v>
      </c>
      <c r="L1346" s="163">
        <v>3</v>
      </c>
      <c r="M1346" s="163">
        <v>75408.7</v>
      </c>
      <c r="N1346" s="163">
        <v>19835.7</v>
      </c>
      <c r="O1346" s="163">
        <v>304631.2</v>
      </c>
      <c r="P1346" s="163">
        <v>1340375.308</v>
      </c>
      <c r="Q1346" s="163">
        <v>17.774809908999998</v>
      </c>
      <c r="R1346" s="163">
        <v>4.3999935266000003</v>
      </c>
      <c r="S1346" s="161">
        <v>4.0397354682</v>
      </c>
      <c r="T1346">
        <f t="shared" si="37"/>
        <v>4.445366166808022E-5</v>
      </c>
    </row>
    <row r="1347" spans="2:20">
      <c r="B1347" s="163" t="s">
        <v>1994</v>
      </c>
      <c r="C1347" s="163" t="s">
        <v>1995</v>
      </c>
      <c r="D1347" s="163" t="s">
        <v>1979</v>
      </c>
      <c r="E1347" s="163" t="s">
        <v>853</v>
      </c>
      <c r="F1347" s="163" t="s">
        <v>1363</v>
      </c>
      <c r="G1347" s="163">
        <v>4</v>
      </c>
      <c r="H1347" s="163">
        <v>7</v>
      </c>
      <c r="I1347" s="163">
        <v>2</v>
      </c>
      <c r="J1347" s="163">
        <v>0</v>
      </c>
      <c r="K1347" s="163">
        <v>1</v>
      </c>
      <c r="L1347" s="163">
        <v>3</v>
      </c>
      <c r="M1347" s="163">
        <v>67062.899999999994</v>
      </c>
      <c r="N1347" s="163">
        <v>15623.9</v>
      </c>
      <c r="O1347" s="163">
        <v>276212.90000000002</v>
      </c>
      <c r="P1347" s="163">
        <v>2178635.4309999999</v>
      </c>
      <c r="Q1347" s="163">
        <v>32.486448260000003</v>
      </c>
      <c r="R1347" s="163">
        <v>7.8875223822000002</v>
      </c>
      <c r="S1347" s="161">
        <v>4.1187139237999997</v>
      </c>
      <c r="T1347">
        <f t="shared" si="37"/>
        <v>4.0306688234689274E-5</v>
      </c>
    </row>
    <row r="1348" spans="2:20">
      <c r="B1348" s="163" t="s">
        <v>1996</v>
      </c>
      <c r="C1348" s="163" t="s">
        <v>1997</v>
      </c>
      <c r="D1348" s="163" t="s">
        <v>1979</v>
      </c>
      <c r="E1348" s="163" t="s">
        <v>853</v>
      </c>
      <c r="F1348" s="163" t="s">
        <v>1363</v>
      </c>
      <c r="G1348" s="163">
        <v>4</v>
      </c>
      <c r="H1348" s="163">
        <v>7</v>
      </c>
      <c r="I1348" s="163">
        <v>2</v>
      </c>
      <c r="J1348" s="163">
        <v>0</v>
      </c>
      <c r="K1348" s="163">
        <v>1</v>
      </c>
      <c r="L1348" s="163">
        <v>3</v>
      </c>
      <c r="M1348" s="163">
        <v>45213.5</v>
      </c>
      <c r="N1348" s="163">
        <v>8577.5</v>
      </c>
      <c r="O1348" s="163">
        <v>193156.1</v>
      </c>
      <c r="P1348" s="163">
        <v>2774694.7140000002</v>
      </c>
      <c r="Q1348" s="163">
        <v>61.368722040999998</v>
      </c>
      <c r="R1348" s="163">
        <v>14.365037986999999</v>
      </c>
      <c r="S1348" s="161">
        <v>4.2720890883999996</v>
      </c>
      <c r="T1348">
        <f t="shared" si="37"/>
        <v>2.8186528229957629E-5</v>
      </c>
    </row>
    <row r="1349" spans="2:20">
      <c r="B1349" s="163" t="s">
        <v>1998</v>
      </c>
      <c r="C1349" s="163" t="s">
        <v>1999</v>
      </c>
      <c r="D1349" s="163" t="s">
        <v>1979</v>
      </c>
      <c r="E1349" s="163" t="s">
        <v>853</v>
      </c>
      <c r="F1349" s="163" t="s">
        <v>1363</v>
      </c>
      <c r="G1349" s="163">
        <v>4</v>
      </c>
      <c r="H1349" s="163">
        <v>7</v>
      </c>
      <c r="I1349" s="163">
        <v>2</v>
      </c>
      <c r="J1349" s="163">
        <v>0</v>
      </c>
      <c r="K1349" s="163">
        <v>1</v>
      </c>
      <c r="L1349" s="163">
        <v>3</v>
      </c>
      <c r="M1349" s="163">
        <v>17863</v>
      </c>
      <c r="N1349" s="163">
        <v>4356</v>
      </c>
      <c r="O1349" s="163">
        <v>71798.100000000006</v>
      </c>
      <c r="P1349" s="163">
        <v>882219.96499999997</v>
      </c>
      <c r="Q1349" s="163">
        <v>49.388118736999999</v>
      </c>
      <c r="R1349" s="163">
        <v>12.287511299</v>
      </c>
      <c r="S1349" s="161">
        <v>4.0193752449</v>
      </c>
      <c r="T1349">
        <f t="shared" si="37"/>
        <v>1.0477221131029882E-5</v>
      </c>
    </row>
    <row r="1350" spans="2:20">
      <c r="B1350" s="163" t="s">
        <v>2000</v>
      </c>
      <c r="C1350" s="163" t="s">
        <v>2001</v>
      </c>
      <c r="D1350" s="163" t="s">
        <v>1979</v>
      </c>
      <c r="E1350" s="163" t="s">
        <v>853</v>
      </c>
      <c r="F1350" s="163" t="s">
        <v>1363</v>
      </c>
      <c r="G1350" s="163">
        <v>4</v>
      </c>
      <c r="H1350" s="163">
        <v>7</v>
      </c>
      <c r="I1350" s="163">
        <v>2</v>
      </c>
      <c r="J1350" s="163">
        <v>0</v>
      </c>
      <c r="K1350" s="163">
        <v>1</v>
      </c>
      <c r="L1350" s="163">
        <v>3</v>
      </c>
      <c r="M1350" s="163">
        <v>1269.4000000000001</v>
      </c>
      <c r="N1350" s="163">
        <v>1080.4000000000001</v>
      </c>
      <c r="O1350" s="163">
        <v>91720.4</v>
      </c>
      <c r="P1350" s="163">
        <v>9029.6319999999996</v>
      </c>
      <c r="Q1350" s="163">
        <v>7.1133070741999997</v>
      </c>
      <c r="R1350" s="163">
        <v>9.8447368300000004E-2</v>
      </c>
      <c r="S1350" s="161">
        <v>72.254923586000004</v>
      </c>
      <c r="T1350">
        <f t="shared" si="37"/>
        <v>1.338440589690414E-5</v>
      </c>
    </row>
    <row r="1351" spans="2:20">
      <c r="B1351" s="163" t="s">
        <v>2002</v>
      </c>
      <c r="C1351" s="163" t="s">
        <v>2003</v>
      </c>
      <c r="D1351" s="163" t="s">
        <v>1979</v>
      </c>
      <c r="E1351" s="163" t="s">
        <v>853</v>
      </c>
      <c r="F1351" s="163" t="s">
        <v>1363</v>
      </c>
      <c r="G1351" s="163">
        <v>4</v>
      </c>
      <c r="H1351" s="163">
        <v>7</v>
      </c>
      <c r="I1351" s="163">
        <v>2</v>
      </c>
      <c r="J1351" s="163">
        <v>0</v>
      </c>
      <c r="K1351" s="163">
        <v>1</v>
      </c>
      <c r="L1351" s="163">
        <v>3</v>
      </c>
      <c r="M1351" s="163">
        <v>19</v>
      </c>
      <c r="N1351" s="163">
        <v>0</v>
      </c>
      <c r="O1351" s="163">
        <v>2041</v>
      </c>
      <c r="P1351" s="163">
        <v>348.6</v>
      </c>
      <c r="Q1351" s="163">
        <v>18.347368420999999</v>
      </c>
      <c r="R1351" s="163">
        <v>0.17079862809999999</v>
      </c>
      <c r="S1351" s="161">
        <v>107.42105263000001</v>
      </c>
      <c r="T1351">
        <f t="shared" si="37"/>
        <v>2.9783529548040951E-7</v>
      </c>
    </row>
    <row r="1352" spans="2:20">
      <c r="B1352" s="163" t="s">
        <v>2004</v>
      </c>
      <c r="C1352" s="163" t="s">
        <v>2005</v>
      </c>
      <c r="D1352" s="163" t="s">
        <v>1979</v>
      </c>
      <c r="E1352" s="163" t="s">
        <v>853</v>
      </c>
      <c r="F1352" s="163" t="s">
        <v>1363</v>
      </c>
      <c r="G1352" s="163">
        <v>4</v>
      </c>
      <c r="H1352" s="163">
        <v>7</v>
      </c>
      <c r="I1352" s="163">
        <v>2</v>
      </c>
      <c r="J1352" s="163">
        <v>0</v>
      </c>
      <c r="K1352" s="163">
        <v>1</v>
      </c>
      <c r="L1352" s="163">
        <v>3</v>
      </c>
      <c r="M1352" s="163">
        <v>6907.4</v>
      </c>
      <c r="N1352" s="163">
        <v>3876.4</v>
      </c>
      <c r="O1352" s="163">
        <v>54565.9</v>
      </c>
      <c r="P1352" s="163">
        <v>172147.80600000001</v>
      </c>
      <c r="Q1352" s="163">
        <v>24.922229203000001</v>
      </c>
      <c r="R1352" s="163">
        <v>3.1548605631000002</v>
      </c>
      <c r="S1352" s="161">
        <v>7.8996293829999997</v>
      </c>
      <c r="T1352">
        <f t="shared" si="37"/>
        <v>7.962592332020812E-6</v>
      </c>
    </row>
    <row r="1353" spans="2:20">
      <c r="B1353" s="163" t="s">
        <v>2006</v>
      </c>
      <c r="C1353" s="163" t="s">
        <v>2007</v>
      </c>
      <c r="D1353" s="163" t="s">
        <v>1979</v>
      </c>
      <c r="E1353" s="163" t="s">
        <v>853</v>
      </c>
      <c r="F1353" s="163" t="s">
        <v>1363</v>
      </c>
      <c r="G1353" s="163">
        <v>4</v>
      </c>
      <c r="H1353" s="163">
        <v>7</v>
      </c>
      <c r="I1353" s="163">
        <v>2</v>
      </c>
      <c r="J1353" s="163">
        <v>0</v>
      </c>
      <c r="K1353" s="163">
        <v>1</v>
      </c>
      <c r="L1353" s="163">
        <v>3</v>
      </c>
      <c r="M1353" s="163">
        <v>5095.8</v>
      </c>
      <c r="N1353" s="163">
        <v>2588.8000000000002</v>
      </c>
      <c r="O1353" s="163">
        <v>40618.9</v>
      </c>
      <c r="P1353" s="163">
        <v>189665.557</v>
      </c>
      <c r="Q1353" s="163">
        <v>37.219976647000003</v>
      </c>
      <c r="R1353" s="163">
        <v>4.669391761</v>
      </c>
      <c r="S1353" s="161">
        <v>7.9710545939999999</v>
      </c>
      <c r="T1353">
        <f t="shared" si="37"/>
        <v>5.9273601585444413E-6</v>
      </c>
    </row>
    <row r="1354" spans="2:20">
      <c r="B1354" s="163" t="s">
        <v>2008</v>
      </c>
      <c r="C1354" s="163" t="s">
        <v>2009</v>
      </c>
      <c r="D1354" s="163" t="s">
        <v>1979</v>
      </c>
      <c r="E1354" s="163" t="s">
        <v>853</v>
      </c>
      <c r="F1354" s="163" t="s">
        <v>1363</v>
      </c>
      <c r="G1354" s="163">
        <v>4</v>
      </c>
      <c r="H1354" s="163">
        <v>7</v>
      </c>
      <c r="I1354" s="163">
        <v>2</v>
      </c>
      <c r="J1354" s="163">
        <v>0</v>
      </c>
      <c r="K1354" s="163">
        <v>1</v>
      </c>
      <c r="L1354" s="163">
        <v>3</v>
      </c>
      <c r="M1354" s="163">
        <v>3371.5</v>
      </c>
      <c r="N1354" s="163">
        <v>1623.5</v>
      </c>
      <c r="O1354" s="163">
        <v>29183.1</v>
      </c>
      <c r="P1354" s="163">
        <v>178589.356</v>
      </c>
      <c r="Q1354" s="163">
        <v>52.970296900000001</v>
      </c>
      <c r="R1354" s="163">
        <v>6.1196156679999998</v>
      </c>
      <c r="S1354" s="161">
        <v>8.6558208512999997</v>
      </c>
      <c r="T1354">
        <f t="shared" si="37"/>
        <v>4.258577761653277E-6</v>
      </c>
    </row>
    <row r="1355" spans="2:20">
      <c r="B1355" s="163" t="s">
        <v>2010</v>
      </c>
      <c r="C1355" s="163" t="s">
        <v>2011</v>
      </c>
      <c r="D1355" s="163" t="s">
        <v>1979</v>
      </c>
      <c r="E1355" s="163" t="s">
        <v>853</v>
      </c>
      <c r="F1355" s="163" t="s">
        <v>1363</v>
      </c>
      <c r="G1355" s="163">
        <v>4</v>
      </c>
      <c r="H1355" s="163">
        <v>7</v>
      </c>
      <c r="I1355" s="163">
        <v>2</v>
      </c>
      <c r="J1355" s="163">
        <v>0</v>
      </c>
      <c r="K1355" s="163">
        <v>1</v>
      </c>
      <c r="L1355" s="163">
        <v>3</v>
      </c>
      <c r="M1355" s="163">
        <v>610205.19999999995</v>
      </c>
      <c r="N1355" s="163">
        <v>160357.20000000001</v>
      </c>
      <c r="O1355" s="163">
        <v>2444685.7999999998</v>
      </c>
      <c r="P1355" s="163">
        <v>6394031.0800000001</v>
      </c>
      <c r="Q1355" s="163">
        <v>10.478493267999999</v>
      </c>
      <c r="R1355" s="163">
        <v>2.6154817440999998</v>
      </c>
      <c r="S1355" s="161">
        <v>4.0063339348999998</v>
      </c>
      <c r="T1355">
        <f t="shared" si="37"/>
        <v>3.5674361469856009E-4</v>
      </c>
    </row>
    <row r="1356" spans="2:20">
      <c r="B1356" s="163" t="s">
        <v>2012</v>
      </c>
      <c r="C1356" s="163" t="s">
        <v>2013</v>
      </c>
      <c r="D1356" s="163" t="s">
        <v>1979</v>
      </c>
      <c r="E1356" s="163" t="s">
        <v>853</v>
      </c>
      <c r="F1356" s="163" t="s">
        <v>1363</v>
      </c>
      <c r="G1356" s="163">
        <v>4</v>
      </c>
      <c r="H1356" s="163">
        <v>7</v>
      </c>
      <c r="I1356" s="163">
        <v>2</v>
      </c>
      <c r="J1356" s="163">
        <v>0</v>
      </c>
      <c r="K1356" s="163">
        <v>1</v>
      </c>
      <c r="L1356" s="163">
        <v>3</v>
      </c>
      <c r="M1356" s="163">
        <v>568149.69999999995</v>
      </c>
      <c r="N1356" s="163">
        <v>132285.70000000001</v>
      </c>
      <c r="O1356" s="163">
        <v>2291454.2999999998</v>
      </c>
      <c r="P1356" s="163">
        <v>10452650.757999999</v>
      </c>
      <c r="Q1356" s="163">
        <v>18.39770532</v>
      </c>
      <c r="R1356" s="163">
        <v>4.5615794118000004</v>
      </c>
      <c r="S1356" s="161">
        <v>4.0331875559999997</v>
      </c>
      <c r="T1356">
        <f t="shared" si="37"/>
        <v>3.3438313009326548E-4</v>
      </c>
    </row>
    <row r="1357" spans="2:20">
      <c r="B1357" s="163" t="s">
        <v>2014</v>
      </c>
      <c r="C1357" s="163" t="s">
        <v>2015</v>
      </c>
      <c r="D1357" s="163" t="s">
        <v>1979</v>
      </c>
      <c r="E1357" s="163" t="s">
        <v>853</v>
      </c>
      <c r="F1357" s="163" t="s">
        <v>1363</v>
      </c>
      <c r="G1357" s="163">
        <v>4</v>
      </c>
      <c r="H1357" s="163">
        <v>7</v>
      </c>
      <c r="I1357" s="163">
        <v>2</v>
      </c>
      <c r="J1357" s="163">
        <v>0</v>
      </c>
      <c r="K1357" s="163">
        <v>1</v>
      </c>
      <c r="L1357" s="163">
        <v>3</v>
      </c>
      <c r="M1357" s="163">
        <v>314455.09999999998</v>
      </c>
      <c r="N1357" s="163">
        <v>59593.1</v>
      </c>
      <c r="O1357" s="163">
        <v>1310204.1000000001</v>
      </c>
      <c r="P1357" s="163">
        <v>10432727.92</v>
      </c>
      <c r="Q1357" s="163">
        <v>33.177162398999997</v>
      </c>
      <c r="R1357" s="163">
        <v>7.9626738460000004</v>
      </c>
      <c r="S1357" s="161">
        <v>4.1665856269999999</v>
      </c>
      <c r="T1357">
        <f t="shared" si="37"/>
        <v>1.911930550039902E-4</v>
      </c>
    </row>
    <row r="1358" spans="2:20">
      <c r="B1358" s="163" t="s">
        <v>2016</v>
      </c>
      <c r="C1358" s="163" t="s">
        <v>2017</v>
      </c>
      <c r="D1358" s="163" t="s">
        <v>1979</v>
      </c>
      <c r="E1358" s="163" t="s">
        <v>853</v>
      </c>
      <c r="F1358" s="163" t="s">
        <v>1363</v>
      </c>
      <c r="G1358" s="163">
        <v>4</v>
      </c>
      <c r="H1358" s="163">
        <v>7</v>
      </c>
      <c r="I1358" s="163">
        <v>2</v>
      </c>
      <c r="J1358" s="163">
        <v>0</v>
      </c>
      <c r="K1358" s="163">
        <v>1</v>
      </c>
      <c r="L1358" s="163">
        <v>3</v>
      </c>
      <c r="M1358" s="163">
        <v>110488.4</v>
      </c>
      <c r="N1358" s="163">
        <v>26924.400000000001</v>
      </c>
      <c r="O1358" s="163">
        <v>438863.8</v>
      </c>
      <c r="P1358" s="163">
        <v>3151015.594</v>
      </c>
      <c r="Q1358" s="163">
        <v>28.518972073</v>
      </c>
      <c r="R1358" s="163">
        <v>7.1799396395999997</v>
      </c>
      <c r="S1358" s="161">
        <v>3.9720350733999998</v>
      </c>
      <c r="T1358">
        <f t="shared" si="37"/>
        <v>6.4041709724965869E-5</v>
      </c>
    </row>
    <row r="1359" spans="2:20">
      <c r="B1359" s="163" t="s">
        <v>2018</v>
      </c>
      <c r="C1359" s="163" t="s">
        <v>2019</v>
      </c>
      <c r="D1359" s="163" t="s">
        <v>1979</v>
      </c>
      <c r="E1359" s="163" t="s">
        <v>853</v>
      </c>
      <c r="F1359" s="163" t="s">
        <v>1363</v>
      </c>
      <c r="G1359" s="163">
        <v>4</v>
      </c>
      <c r="H1359" s="163">
        <v>7</v>
      </c>
      <c r="I1359" s="163">
        <v>2</v>
      </c>
      <c r="J1359" s="163">
        <v>0</v>
      </c>
      <c r="K1359" s="163">
        <v>1</v>
      </c>
      <c r="L1359" s="163">
        <v>3</v>
      </c>
      <c r="M1359" s="163">
        <v>14743.1</v>
      </c>
      <c r="N1359" s="163">
        <v>8266.1</v>
      </c>
      <c r="O1359" s="163">
        <v>104719.3</v>
      </c>
      <c r="P1359" s="163">
        <v>367364.571</v>
      </c>
      <c r="Q1359" s="163">
        <v>24.917729039000001</v>
      </c>
      <c r="R1359" s="163">
        <v>3.5080884899</v>
      </c>
      <c r="S1359" s="161">
        <v>7.1029362887999996</v>
      </c>
      <c r="T1359">
        <f t="shared" si="37"/>
        <v>1.5281285476727901E-5</v>
      </c>
    </row>
    <row r="1360" spans="2:20">
      <c r="B1360" s="163" t="s">
        <v>2020</v>
      </c>
      <c r="C1360" s="163" t="s">
        <v>2021</v>
      </c>
      <c r="D1360" s="163" t="s">
        <v>1979</v>
      </c>
      <c r="E1360" s="163" t="s">
        <v>853</v>
      </c>
      <c r="F1360" s="163" t="s">
        <v>1363</v>
      </c>
      <c r="G1360" s="163">
        <v>4</v>
      </c>
      <c r="H1360" s="163">
        <v>7</v>
      </c>
      <c r="I1360" s="163">
        <v>2</v>
      </c>
      <c r="J1360" s="163">
        <v>0</v>
      </c>
      <c r="K1360" s="163">
        <v>1</v>
      </c>
      <c r="L1360" s="163">
        <v>3</v>
      </c>
      <c r="M1360" s="163">
        <v>7250.5</v>
      </c>
      <c r="N1360" s="163">
        <v>3684.5</v>
      </c>
      <c r="O1360" s="163">
        <v>53224.6</v>
      </c>
      <c r="P1360" s="163">
        <v>276778.24699999997</v>
      </c>
      <c r="Q1360" s="163">
        <v>38.173677263999998</v>
      </c>
      <c r="R1360" s="163">
        <v>5.2001940268000002</v>
      </c>
      <c r="S1360" s="161">
        <v>7.3408178745999999</v>
      </c>
      <c r="T1360">
        <f t="shared" si="37"/>
        <v>7.7668615716935834E-6</v>
      </c>
    </row>
    <row r="1361" spans="2:20">
      <c r="B1361" s="163" t="s">
        <v>2022</v>
      </c>
      <c r="C1361" s="163" t="s">
        <v>2023</v>
      </c>
      <c r="D1361" s="163" t="s">
        <v>1979</v>
      </c>
      <c r="E1361" s="163" t="s">
        <v>853</v>
      </c>
      <c r="F1361" s="163" t="s">
        <v>1363</v>
      </c>
      <c r="G1361" s="163">
        <v>4</v>
      </c>
      <c r="H1361" s="163">
        <v>7</v>
      </c>
      <c r="I1361" s="163">
        <v>2</v>
      </c>
      <c r="J1361" s="163">
        <v>0</v>
      </c>
      <c r="K1361" s="163">
        <v>1</v>
      </c>
      <c r="L1361" s="163">
        <v>3</v>
      </c>
      <c r="M1361" s="163">
        <v>5916.4</v>
      </c>
      <c r="N1361" s="163">
        <v>2845.4</v>
      </c>
      <c r="O1361" s="163">
        <v>47080.7</v>
      </c>
      <c r="P1361" s="163">
        <v>323112.88500000001</v>
      </c>
      <c r="Q1361" s="163">
        <v>54.613089885999997</v>
      </c>
      <c r="R1361" s="163">
        <v>6.8629583885000001</v>
      </c>
      <c r="S1361" s="161">
        <v>7.9576600635999997</v>
      </c>
      <c r="T1361">
        <f t="shared" si="37"/>
        <v>6.8703058284784487E-6</v>
      </c>
    </row>
    <row r="1362" spans="2:20">
      <c r="B1362" s="163" t="s">
        <v>2024</v>
      </c>
      <c r="C1362" s="163" t="s">
        <v>2025</v>
      </c>
      <c r="D1362" s="163" t="s">
        <v>1979</v>
      </c>
      <c r="E1362" s="163" t="s">
        <v>853</v>
      </c>
      <c r="F1362" s="163" t="s">
        <v>1363</v>
      </c>
      <c r="G1362" s="163">
        <v>4</v>
      </c>
      <c r="H1362" s="163">
        <v>7</v>
      </c>
      <c r="I1362" s="163">
        <v>2</v>
      </c>
      <c r="J1362" s="163">
        <v>0</v>
      </c>
      <c r="K1362" s="163">
        <v>1</v>
      </c>
      <c r="L1362" s="163">
        <v>3</v>
      </c>
      <c r="M1362" s="163">
        <v>22.7</v>
      </c>
      <c r="N1362" s="163">
        <v>12.7</v>
      </c>
      <c r="O1362" s="163">
        <v>145.30000000000001</v>
      </c>
      <c r="P1362" s="163">
        <v>573.86099999999999</v>
      </c>
      <c r="Q1362" s="163">
        <v>25.280220264</v>
      </c>
      <c r="R1362" s="163">
        <v>3.9494907089</v>
      </c>
      <c r="S1362" s="161">
        <v>6.4008810573000003</v>
      </c>
      <c r="T1362">
        <f t="shared" si="37"/>
        <v>2.1203071255905684E-8</v>
      </c>
    </row>
    <row r="1363" spans="2:20">
      <c r="B1363" s="163" t="s">
        <v>2026</v>
      </c>
      <c r="C1363" s="163" t="s">
        <v>2027</v>
      </c>
      <c r="D1363" s="163" t="s">
        <v>1979</v>
      </c>
      <c r="E1363" s="163" t="s">
        <v>853</v>
      </c>
      <c r="F1363" s="163" t="s">
        <v>1363</v>
      </c>
      <c r="G1363" s="163">
        <v>4</v>
      </c>
      <c r="H1363" s="163">
        <v>7</v>
      </c>
      <c r="I1363" s="163">
        <v>2</v>
      </c>
      <c r="J1363" s="163">
        <v>0</v>
      </c>
      <c r="K1363" s="163">
        <v>1</v>
      </c>
      <c r="L1363" s="163">
        <v>3</v>
      </c>
      <c r="M1363" s="163">
        <v>30.4</v>
      </c>
      <c r="N1363" s="163">
        <v>21.4</v>
      </c>
      <c r="O1363" s="163">
        <v>174</v>
      </c>
      <c r="P1363" s="163">
        <v>1031.4459999999999</v>
      </c>
      <c r="Q1363" s="163">
        <v>33.929144737000001</v>
      </c>
      <c r="R1363" s="163">
        <v>5.9278505746999999</v>
      </c>
      <c r="S1363" s="161">
        <v>5.7236842105000001</v>
      </c>
      <c r="T1363">
        <f t="shared" si="37"/>
        <v>2.5391152088971706E-8</v>
      </c>
    </row>
    <row r="1364" spans="2:20">
      <c r="B1364" s="163" t="s">
        <v>2028</v>
      </c>
      <c r="C1364" s="163" t="s">
        <v>2029</v>
      </c>
      <c r="D1364" s="163" t="s">
        <v>1979</v>
      </c>
      <c r="E1364" s="163" t="s">
        <v>853</v>
      </c>
      <c r="F1364" s="163" t="s">
        <v>1363</v>
      </c>
      <c r="G1364" s="163">
        <v>4</v>
      </c>
      <c r="H1364" s="163">
        <v>7</v>
      </c>
      <c r="I1364" s="163">
        <v>2</v>
      </c>
      <c r="J1364" s="163">
        <v>0</v>
      </c>
      <c r="K1364" s="163">
        <v>1</v>
      </c>
      <c r="L1364" s="163">
        <v>3</v>
      </c>
      <c r="M1364" s="163">
        <v>9.6</v>
      </c>
      <c r="N1364" s="163">
        <v>4.5999999999999996</v>
      </c>
      <c r="O1364" s="163">
        <v>76.400000000000006</v>
      </c>
      <c r="P1364" s="163">
        <v>603.58399999999995</v>
      </c>
      <c r="Q1364" s="163">
        <v>62.873333332999998</v>
      </c>
      <c r="R1364" s="163">
        <v>7.9003141361000004</v>
      </c>
      <c r="S1364" s="161">
        <v>7.9583333332999997</v>
      </c>
      <c r="T1364">
        <f t="shared" si="37"/>
        <v>1.1148758733318612E-8</v>
      </c>
    </row>
    <row r="1365" spans="2:20">
      <c r="B1365" s="163" t="s">
        <v>2030</v>
      </c>
      <c r="C1365" s="163" t="s">
        <v>2031</v>
      </c>
      <c r="D1365" s="163" t="s">
        <v>1979</v>
      </c>
      <c r="E1365" s="163" t="s">
        <v>853</v>
      </c>
      <c r="F1365" s="163" t="s">
        <v>1363</v>
      </c>
      <c r="G1365" s="163">
        <v>4</v>
      </c>
      <c r="H1365" s="163">
        <v>7</v>
      </c>
      <c r="I1365" s="163">
        <v>2</v>
      </c>
      <c r="J1365" s="163">
        <v>0</v>
      </c>
      <c r="K1365" s="163">
        <v>1</v>
      </c>
      <c r="L1365" s="163">
        <v>3</v>
      </c>
      <c r="M1365" s="163">
        <v>38631.5</v>
      </c>
      <c r="N1365" s="163">
        <v>10153.5</v>
      </c>
      <c r="O1365" s="163">
        <v>155569.5</v>
      </c>
      <c r="P1365" s="163">
        <v>406382.14899999998</v>
      </c>
      <c r="Q1365" s="163">
        <v>10.519450423</v>
      </c>
      <c r="R1365" s="163">
        <v>2.6122225051000001</v>
      </c>
      <c r="S1365" s="161">
        <v>4.0270116356000001</v>
      </c>
      <c r="T1365">
        <f t="shared" si="37"/>
        <v>2.2701659970720023E-5</v>
      </c>
    </row>
    <row r="1366" spans="2:20">
      <c r="B1366" s="163" t="s">
        <v>2032</v>
      </c>
      <c r="C1366" s="163" t="s">
        <v>2033</v>
      </c>
      <c r="D1366" s="163" t="s">
        <v>1979</v>
      </c>
      <c r="E1366" s="163" t="s">
        <v>853</v>
      </c>
      <c r="F1366" s="163" t="s">
        <v>1363</v>
      </c>
      <c r="G1366" s="163">
        <v>4</v>
      </c>
      <c r="H1366" s="163">
        <v>7</v>
      </c>
      <c r="I1366" s="163">
        <v>2</v>
      </c>
      <c r="J1366" s="163">
        <v>0</v>
      </c>
      <c r="K1366" s="163">
        <v>1</v>
      </c>
      <c r="L1366" s="163">
        <v>3</v>
      </c>
      <c r="M1366" s="163">
        <v>37627.699999999997</v>
      </c>
      <c r="N1366" s="163">
        <v>8764.7000000000007</v>
      </c>
      <c r="O1366" s="163">
        <v>150742.79999999999</v>
      </c>
      <c r="P1366" s="163">
        <v>688654.60600000003</v>
      </c>
      <c r="Q1366" s="163">
        <v>18.3017991</v>
      </c>
      <c r="R1366" s="163">
        <v>4.5684079505000001</v>
      </c>
      <c r="S1366" s="161">
        <v>4.0061656704999997</v>
      </c>
      <c r="T1366">
        <f t="shared" si="37"/>
        <v>2.1997318167341631E-5</v>
      </c>
    </row>
    <row r="1367" spans="2:20">
      <c r="B1367" s="163" t="s">
        <v>2034</v>
      </c>
      <c r="C1367" s="163" t="s">
        <v>2035</v>
      </c>
      <c r="D1367" s="163" t="s">
        <v>1979</v>
      </c>
      <c r="E1367" s="163" t="s">
        <v>853</v>
      </c>
      <c r="F1367" s="163" t="s">
        <v>1363</v>
      </c>
      <c r="G1367" s="163">
        <v>4</v>
      </c>
      <c r="H1367" s="163">
        <v>7</v>
      </c>
      <c r="I1367" s="163">
        <v>2</v>
      </c>
      <c r="J1367" s="163">
        <v>0</v>
      </c>
      <c r="K1367" s="163">
        <v>1</v>
      </c>
      <c r="L1367" s="163">
        <v>3</v>
      </c>
      <c r="M1367" s="163">
        <v>11488.6</v>
      </c>
      <c r="N1367" s="163">
        <v>2802.6</v>
      </c>
      <c r="O1367" s="163">
        <v>45389.1</v>
      </c>
      <c r="P1367" s="163">
        <v>326293.90100000001</v>
      </c>
      <c r="Q1367" s="163">
        <v>28.401537263000002</v>
      </c>
      <c r="R1367" s="163">
        <v>7.1888162797000001</v>
      </c>
      <c r="S1367" s="161">
        <v>3.9507947007999999</v>
      </c>
      <c r="T1367">
        <f t="shared" si="37"/>
        <v>6.6234571338019865E-6</v>
      </c>
    </row>
    <row r="1368" spans="2:20">
      <c r="B1368" s="163" t="s">
        <v>2036</v>
      </c>
      <c r="C1368" s="163" t="s">
        <v>2037</v>
      </c>
      <c r="D1368" s="163" t="s">
        <v>1979</v>
      </c>
      <c r="E1368" s="163" t="s">
        <v>853</v>
      </c>
      <c r="F1368" s="163" t="s">
        <v>1363</v>
      </c>
      <c r="G1368" s="163">
        <v>4</v>
      </c>
      <c r="H1368" s="163">
        <v>7</v>
      </c>
      <c r="I1368" s="163">
        <v>2</v>
      </c>
      <c r="J1368" s="163">
        <v>0</v>
      </c>
      <c r="K1368" s="163">
        <v>1</v>
      </c>
      <c r="L1368" s="163">
        <v>3</v>
      </c>
      <c r="M1368" s="163">
        <v>21170</v>
      </c>
      <c r="N1368" s="163">
        <v>4017</v>
      </c>
      <c r="O1368" s="163">
        <v>88214.7</v>
      </c>
      <c r="P1368" s="163">
        <v>702412.55599999998</v>
      </c>
      <c r="Q1368" s="163">
        <v>33.179620028000002</v>
      </c>
      <c r="R1368" s="163">
        <v>7.9625340901000001</v>
      </c>
      <c r="S1368" s="161">
        <v>4.1669674067000004</v>
      </c>
      <c r="T1368">
        <f t="shared" si="37"/>
        <v>1.2872832552775933E-5</v>
      </c>
    </row>
    <row r="1369" spans="2:20">
      <c r="B1369" s="163" t="s">
        <v>2038</v>
      </c>
      <c r="C1369" s="163" t="s">
        <v>2039</v>
      </c>
      <c r="D1369" s="163" t="s">
        <v>1979</v>
      </c>
      <c r="E1369" s="163" t="s">
        <v>853</v>
      </c>
      <c r="F1369" s="163" t="s">
        <v>1363</v>
      </c>
      <c r="G1369" s="163">
        <v>4</v>
      </c>
      <c r="H1369" s="163">
        <v>7</v>
      </c>
      <c r="I1369" s="163">
        <v>2</v>
      </c>
      <c r="J1369" s="163">
        <v>0</v>
      </c>
      <c r="K1369" s="163">
        <v>1</v>
      </c>
      <c r="L1369" s="163">
        <v>3</v>
      </c>
      <c r="M1369" s="163">
        <v>2407.6999999999998</v>
      </c>
      <c r="N1369" s="163">
        <v>635.70000000000005</v>
      </c>
      <c r="O1369" s="163">
        <v>9509</v>
      </c>
      <c r="P1369" s="163">
        <v>23423.032999999999</v>
      </c>
      <c r="Q1369" s="163">
        <v>9.7283851809000002</v>
      </c>
      <c r="R1369" s="163">
        <v>2.4632488169000002</v>
      </c>
      <c r="S1369" s="161">
        <v>3.9494123021999998</v>
      </c>
      <c r="T1369">
        <f t="shared" si="37"/>
        <v>1.3876118690461606E-6</v>
      </c>
    </row>
    <row r="1370" spans="2:20">
      <c r="B1370" s="163" t="s">
        <v>2040</v>
      </c>
      <c r="C1370" s="163" t="s">
        <v>2041</v>
      </c>
      <c r="D1370" s="163" t="s">
        <v>1979</v>
      </c>
      <c r="E1370" s="163" t="s">
        <v>853</v>
      </c>
      <c r="F1370" s="163" t="s">
        <v>1363</v>
      </c>
      <c r="G1370" s="163">
        <v>4</v>
      </c>
      <c r="H1370" s="163">
        <v>7</v>
      </c>
      <c r="I1370" s="163">
        <v>2</v>
      </c>
      <c r="J1370" s="163">
        <v>0</v>
      </c>
      <c r="K1370" s="163">
        <v>1</v>
      </c>
      <c r="L1370" s="163">
        <v>3</v>
      </c>
      <c r="M1370" s="163">
        <v>2948.5</v>
      </c>
      <c r="N1370" s="163">
        <v>693.5</v>
      </c>
      <c r="O1370" s="163">
        <v>11691.3</v>
      </c>
      <c r="P1370" s="163">
        <v>50011.771000000001</v>
      </c>
      <c r="Q1370" s="163">
        <v>16.961767339000001</v>
      </c>
      <c r="R1370" s="163">
        <v>4.2776911891999996</v>
      </c>
      <c r="S1370" s="161">
        <v>3.9651687298999998</v>
      </c>
      <c r="T1370">
        <f t="shared" si="37"/>
        <v>1.7060665311367521E-6</v>
      </c>
    </row>
    <row r="1371" spans="2:20">
      <c r="B1371" s="163" t="s">
        <v>2042</v>
      </c>
      <c r="C1371" s="163" t="s">
        <v>2043</v>
      </c>
      <c r="D1371" s="163" t="s">
        <v>1979</v>
      </c>
      <c r="E1371" s="163" t="s">
        <v>853</v>
      </c>
      <c r="F1371" s="163" t="s">
        <v>1363</v>
      </c>
      <c r="G1371" s="163">
        <v>4</v>
      </c>
      <c r="H1371" s="163">
        <v>7</v>
      </c>
      <c r="I1371" s="163">
        <v>2</v>
      </c>
      <c r="J1371" s="163">
        <v>0</v>
      </c>
      <c r="K1371" s="163">
        <v>1</v>
      </c>
      <c r="L1371" s="163">
        <v>3</v>
      </c>
      <c r="M1371" s="163">
        <v>1932.2</v>
      </c>
      <c r="N1371" s="163">
        <v>367.2</v>
      </c>
      <c r="O1371" s="163">
        <v>7856.1</v>
      </c>
      <c r="P1371" s="163">
        <v>58289.847000000002</v>
      </c>
      <c r="Q1371" s="163">
        <v>30.16760532</v>
      </c>
      <c r="R1371" s="163">
        <v>7.4196925955999999</v>
      </c>
      <c r="S1371" s="161">
        <v>4.0658834489000002</v>
      </c>
      <c r="T1371">
        <f t="shared" si="37"/>
        <v>1.1464105168170725E-6</v>
      </c>
    </row>
    <row r="1372" spans="2:20">
      <c r="B1372" s="163" t="s">
        <v>2044</v>
      </c>
      <c r="C1372" s="163" t="s">
        <v>2045</v>
      </c>
      <c r="D1372" s="163" t="s">
        <v>1979</v>
      </c>
      <c r="E1372" s="163" t="s">
        <v>853</v>
      </c>
      <c r="F1372" s="163" t="s">
        <v>1363</v>
      </c>
      <c r="G1372" s="163">
        <v>4</v>
      </c>
      <c r="H1372" s="163">
        <v>7</v>
      </c>
      <c r="I1372" s="163">
        <v>2</v>
      </c>
      <c r="J1372" s="163">
        <v>0</v>
      </c>
      <c r="K1372" s="163">
        <v>1</v>
      </c>
      <c r="L1372" s="163">
        <v>3</v>
      </c>
      <c r="M1372" s="163">
        <v>26385.5</v>
      </c>
      <c r="N1372" s="163">
        <v>6933.5</v>
      </c>
      <c r="O1372" s="163">
        <v>106354.1</v>
      </c>
      <c r="P1372" s="163">
        <v>277757.73300000001</v>
      </c>
      <c r="Q1372" s="163">
        <v>10.526908075</v>
      </c>
      <c r="R1372" s="163">
        <v>2.6116316437</v>
      </c>
      <c r="S1372" s="161">
        <v>4.0307782683999998</v>
      </c>
      <c r="T1372">
        <f t="shared" si="37"/>
        <v>1.5519845565435092E-5</v>
      </c>
    </row>
    <row r="1373" spans="2:20">
      <c r="B1373" s="163" t="s">
        <v>2046</v>
      </c>
      <c r="C1373" s="163" t="s">
        <v>2047</v>
      </c>
      <c r="D1373" s="163" t="s">
        <v>1979</v>
      </c>
      <c r="E1373" s="163" t="s">
        <v>853</v>
      </c>
      <c r="F1373" s="163" t="s">
        <v>1363</v>
      </c>
      <c r="G1373" s="163">
        <v>4</v>
      </c>
      <c r="H1373" s="163">
        <v>7</v>
      </c>
      <c r="I1373" s="163">
        <v>2</v>
      </c>
      <c r="J1373" s="163">
        <v>0</v>
      </c>
      <c r="K1373" s="163">
        <v>1</v>
      </c>
      <c r="L1373" s="163">
        <v>3</v>
      </c>
      <c r="M1373" s="163">
        <v>27136</v>
      </c>
      <c r="N1373" s="163">
        <v>6318</v>
      </c>
      <c r="O1373" s="163">
        <v>109344.3</v>
      </c>
      <c r="P1373" s="163">
        <v>498884.413</v>
      </c>
      <c r="Q1373" s="163">
        <v>18.384596588000001</v>
      </c>
      <c r="R1373" s="163">
        <v>4.5625095500999997</v>
      </c>
      <c r="S1373" s="161">
        <v>4.0294921874999998</v>
      </c>
      <c r="T1373">
        <f t="shared" si="37"/>
        <v>1.5956193973345684E-5</v>
      </c>
    </row>
    <row r="1374" spans="2:20">
      <c r="B1374" s="163" t="s">
        <v>2048</v>
      </c>
      <c r="C1374" s="163" t="s">
        <v>2049</v>
      </c>
      <c r="D1374" s="163" t="s">
        <v>1979</v>
      </c>
      <c r="E1374" s="163" t="s">
        <v>853</v>
      </c>
      <c r="F1374" s="163" t="s">
        <v>1363</v>
      </c>
      <c r="G1374" s="163">
        <v>4</v>
      </c>
      <c r="H1374" s="163">
        <v>7</v>
      </c>
      <c r="I1374" s="163">
        <v>2</v>
      </c>
      <c r="J1374" s="163">
        <v>0</v>
      </c>
      <c r="K1374" s="163">
        <v>1</v>
      </c>
      <c r="L1374" s="163">
        <v>3</v>
      </c>
      <c r="M1374" s="163">
        <v>14692.4</v>
      </c>
      <c r="N1374" s="163">
        <v>2784.4</v>
      </c>
      <c r="O1374" s="163">
        <v>60712.2</v>
      </c>
      <c r="P1374" s="163">
        <v>484187.41</v>
      </c>
      <c r="Q1374" s="163">
        <v>32.954956985000003</v>
      </c>
      <c r="R1374" s="163">
        <v>7.9751254278000001</v>
      </c>
      <c r="S1374" s="161">
        <v>4.1322180174999996</v>
      </c>
      <c r="T1374">
        <f t="shared" si="37"/>
        <v>8.859498298023379E-6</v>
      </c>
    </row>
    <row r="1375" spans="2:20">
      <c r="B1375" s="163" t="s">
        <v>2050</v>
      </c>
      <c r="C1375" s="163" t="s">
        <v>2051</v>
      </c>
      <c r="D1375" s="163" t="s">
        <v>1979</v>
      </c>
      <c r="E1375" s="163" t="s">
        <v>853</v>
      </c>
      <c r="F1375" s="163" t="s">
        <v>1363</v>
      </c>
      <c r="G1375" s="163">
        <v>4</v>
      </c>
      <c r="H1375" s="163">
        <v>7</v>
      </c>
      <c r="I1375" s="163">
        <v>2</v>
      </c>
      <c r="J1375" s="163">
        <v>0</v>
      </c>
      <c r="K1375" s="163">
        <v>1</v>
      </c>
      <c r="L1375" s="163">
        <v>3</v>
      </c>
      <c r="M1375" s="163">
        <v>364</v>
      </c>
      <c r="N1375" s="163">
        <v>204</v>
      </c>
      <c r="O1375" s="163">
        <v>2602.5</v>
      </c>
      <c r="P1375" s="163">
        <v>10279.871999999999</v>
      </c>
      <c r="Q1375" s="163">
        <v>28.241406593000001</v>
      </c>
      <c r="R1375" s="163">
        <v>3.9499988472999998</v>
      </c>
      <c r="S1375" s="161">
        <v>7.1497252746999997</v>
      </c>
      <c r="T1375">
        <f t="shared" si="37"/>
        <v>3.7977283512384403E-7</v>
      </c>
    </row>
    <row r="1376" spans="2:20">
      <c r="B1376" s="163" t="s">
        <v>2052</v>
      </c>
      <c r="C1376" s="163" t="s">
        <v>2053</v>
      </c>
      <c r="D1376" s="163" t="s">
        <v>1979</v>
      </c>
      <c r="E1376" s="163" t="s">
        <v>853</v>
      </c>
      <c r="F1376" s="163" t="s">
        <v>1363</v>
      </c>
      <c r="G1376" s="163">
        <v>4</v>
      </c>
      <c r="H1376" s="163">
        <v>7</v>
      </c>
      <c r="I1376" s="163">
        <v>2</v>
      </c>
      <c r="J1376" s="163">
        <v>0</v>
      </c>
      <c r="K1376" s="163">
        <v>1</v>
      </c>
      <c r="L1376" s="163">
        <v>3</v>
      </c>
      <c r="M1376" s="163">
        <v>164.6</v>
      </c>
      <c r="N1376" s="163">
        <v>83.6</v>
      </c>
      <c r="O1376" s="163">
        <v>1130.7</v>
      </c>
      <c r="P1376" s="163">
        <v>6701.9669999999996</v>
      </c>
      <c r="Q1376" s="163">
        <v>40.716688943000001</v>
      </c>
      <c r="R1376" s="163">
        <v>5.9272724860999997</v>
      </c>
      <c r="S1376" s="161">
        <v>6.8693803159</v>
      </c>
      <c r="T1376">
        <f t="shared" si="37"/>
        <v>1.6499871072988682E-7</v>
      </c>
    </row>
    <row r="1377" spans="2:20">
      <c r="B1377" s="163" t="s">
        <v>2054</v>
      </c>
      <c r="C1377" s="163" t="s">
        <v>2055</v>
      </c>
      <c r="D1377" s="163" t="s">
        <v>1979</v>
      </c>
      <c r="E1377" s="163" t="s">
        <v>853</v>
      </c>
      <c r="F1377" s="163" t="s">
        <v>1363</v>
      </c>
      <c r="G1377" s="163">
        <v>4</v>
      </c>
      <c r="H1377" s="163">
        <v>7</v>
      </c>
      <c r="I1377" s="163">
        <v>2</v>
      </c>
      <c r="J1377" s="163">
        <v>0</v>
      </c>
      <c r="K1377" s="163">
        <v>1</v>
      </c>
      <c r="L1377" s="163">
        <v>3</v>
      </c>
      <c r="M1377" s="163">
        <v>215.8</v>
      </c>
      <c r="N1377" s="163">
        <v>104.8</v>
      </c>
      <c r="O1377" s="163">
        <v>1725.4</v>
      </c>
      <c r="P1377" s="163">
        <v>13630.874</v>
      </c>
      <c r="Q1377" s="163">
        <v>63.164383688999997</v>
      </c>
      <c r="R1377" s="163">
        <v>7.9001240291999997</v>
      </c>
      <c r="S1377" s="161">
        <v>7.9953660797000001</v>
      </c>
      <c r="T1377">
        <f t="shared" si="37"/>
        <v>2.5178099893282634E-7</v>
      </c>
    </row>
    <row r="1378" spans="2:20">
      <c r="B1378" s="163" t="s">
        <v>2056</v>
      </c>
      <c r="C1378" s="163" t="s">
        <v>2057</v>
      </c>
      <c r="D1378" s="163" t="s">
        <v>1979</v>
      </c>
      <c r="E1378" s="163" t="s">
        <v>853</v>
      </c>
      <c r="F1378" s="163" t="s">
        <v>1363</v>
      </c>
      <c r="G1378" s="163">
        <v>4</v>
      </c>
      <c r="H1378" s="163">
        <v>7</v>
      </c>
      <c r="I1378" s="163">
        <v>2</v>
      </c>
      <c r="J1378" s="163">
        <v>0</v>
      </c>
      <c r="K1378" s="163">
        <v>1</v>
      </c>
      <c r="L1378" s="163">
        <v>3</v>
      </c>
      <c r="M1378" s="163">
        <v>3217.1</v>
      </c>
      <c r="N1378" s="163">
        <v>1803.1</v>
      </c>
      <c r="O1378" s="163">
        <v>22452.400000000001</v>
      </c>
      <c r="P1378" s="163">
        <v>77041.462</v>
      </c>
      <c r="Q1378" s="163">
        <v>23.947487489</v>
      </c>
      <c r="R1378" s="163">
        <v>3.4313241346000001</v>
      </c>
      <c r="S1378" s="161">
        <v>6.9790805383999999</v>
      </c>
      <c r="T1378">
        <f t="shared" si="37"/>
        <v>3.2763925469105078E-6</v>
      </c>
    </row>
    <row r="1379" spans="2:20">
      <c r="B1379" s="163" t="s">
        <v>2058</v>
      </c>
      <c r="C1379" s="163" t="s">
        <v>2059</v>
      </c>
      <c r="D1379" s="163" t="s">
        <v>1979</v>
      </c>
      <c r="E1379" s="163" t="s">
        <v>853</v>
      </c>
      <c r="F1379" s="163" t="s">
        <v>1363</v>
      </c>
      <c r="G1379" s="163">
        <v>4</v>
      </c>
      <c r="H1379" s="163">
        <v>7</v>
      </c>
      <c r="I1379" s="163">
        <v>2</v>
      </c>
      <c r="J1379" s="163">
        <v>0</v>
      </c>
      <c r="K1379" s="163">
        <v>1</v>
      </c>
      <c r="L1379" s="163">
        <v>3</v>
      </c>
      <c r="M1379" s="163">
        <v>2424.9</v>
      </c>
      <c r="N1379" s="163">
        <v>1231.9000000000001</v>
      </c>
      <c r="O1379" s="163">
        <v>17342.599999999999</v>
      </c>
      <c r="P1379" s="163">
        <v>88089.524000000005</v>
      </c>
      <c r="Q1379" s="163">
        <v>36.327074930999999</v>
      </c>
      <c r="R1379" s="163">
        <v>5.0793724123999997</v>
      </c>
      <c r="S1379" s="161">
        <v>7.1518825519</v>
      </c>
      <c r="T1379">
        <f t="shared" si="37"/>
        <v>2.5307390472310385E-6</v>
      </c>
    </row>
    <row r="1380" spans="2:20">
      <c r="B1380" s="163" t="s">
        <v>2060</v>
      </c>
      <c r="C1380" s="163" t="s">
        <v>2061</v>
      </c>
      <c r="D1380" s="163" t="s">
        <v>1979</v>
      </c>
      <c r="E1380" s="163" t="s">
        <v>853</v>
      </c>
      <c r="F1380" s="163" t="s">
        <v>1363</v>
      </c>
      <c r="G1380" s="163">
        <v>4</v>
      </c>
      <c r="H1380" s="163">
        <v>7</v>
      </c>
      <c r="I1380" s="163">
        <v>2</v>
      </c>
      <c r="J1380" s="163">
        <v>0</v>
      </c>
      <c r="K1380" s="163">
        <v>1</v>
      </c>
      <c r="L1380" s="163">
        <v>3</v>
      </c>
      <c r="M1380" s="163">
        <v>1525.8</v>
      </c>
      <c r="N1380" s="163">
        <v>733.8</v>
      </c>
      <c r="O1380" s="163">
        <v>11579.3</v>
      </c>
      <c r="P1380" s="163">
        <v>77699.138999999996</v>
      </c>
      <c r="Q1380" s="163">
        <v>50.923541092999997</v>
      </c>
      <c r="R1380" s="163">
        <v>6.7101758309999999</v>
      </c>
      <c r="S1380" s="161">
        <v>7.5890024905000004</v>
      </c>
      <c r="T1380">
        <f t="shared" si="37"/>
        <v>1.6897228010564945E-6</v>
      </c>
    </row>
    <row r="1381" spans="2:20">
      <c r="B1381" s="163" t="s">
        <v>2062</v>
      </c>
      <c r="C1381" s="163" t="s">
        <v>2063</v>
      </c>
      <c r="D1381" s="163" t="s">
        <v>1979</v>
      </c>
      <c r="E1381" s="163" t="s">
        <v>853</v>
      </c>
      <c r="F1381" s="163" t="s">
        <v>1363</v>
      </c>
      <c r="G1381" s="163">
        <v>4</v>
      </c>
      <c r="H1381" s="163">
        <v>7</v>
      </c>
      <c r="I1381" s="163">
        <v>2</v>
      </c>
      <c r="J1381" s="163">
        <v>0</v>
      </c>
      <c r="K1381" s="163">
        <v>1</v>
      </c>
      <c r="L1381" s="163">
        <v>3</v>
      </c>
      <c r="M1381" s="163">
        <v>370.3</v>
      </c>
      <c r="N1381" s="163">
        <v>98.3</v>
      </c>
      <c r="O1381" s="163">
        <v>1513.6</v>
      </c>
      <c r="P1381" s="163">
        <v>3692.4140000000002</v>
      </c>
      <c r="Q1381" s="163">
        <v>9.9714123682999993</v>
      </c>
      <c r="R1381" s="163">
        <v>2.4394912790999999</v>
      </c>
      <c r="S1381" s="161">
        <v>4.0874966243999999</v>
      </c>
      <c r="T1381">
        <f t="shared" si="37"/>
        <v>2.2087383794176764E-7</v>
      </c>
    </row>
    <row r="1382" spans="2:20">
      <c r="B1382" s="163" t="s">
        <v>2064</v>
      </c>
      <c r="C1382" s="163" t="s">
        <v>2065</v>
      </c>
      <c r="D1382" s="163" t="s">
        <v>1979</v>
      </c>
      <c r="E1382" s="163" t="s">
        <v>853</v>
      </c>
      <c r="F1382" s="163" t="s">
        <v>1363</v>
      </c>
      <c r="G1382" s="163">
        <v>4</v>
      </c>
      <c r="H1382" s="163">
        <v>7</v>
      </c>
      <c r="I1382" s="163">
        <v>2</v>
      </c>
      <c r="J1382" s="163">
        <v>0</v>
      </c>
      <c r="K1382" s="163">
        <v>1</v>
      </c>
      <c r="L1382" s="163">
        <v>3</v>
      </c>
      <c r="M1382" s="163">
        <v>199.4</v>
      </c>
      <c r="N1382" s="163">
        <v>46.4</v>
      </c>
      <c r="O1382" s="163">
        <v>814.6</v>
      </c>
      <c r="P1382" s="163">
        <v>3457.828</v>
      </c>
      <c r="Q1382" s="163">
        <v>17.34116349</v>
      </c>
      <c r="R1382" s="163">
        <v>4.2448170880999996</v>
      </c>
      <c r="S1382" s="161">
        <v>4.0852557672999996</v>
      </c>
      <c r="T1382">
        <f t="shared" si="37"/>
        <v>1.1887145110158822E-7</v>
      </c>
    </row>
    <row r="1383" spans="2:20">
      <c r="B1383" s="163" t="s">
        <v>2066</v>
      </c>
      <c r="C1383" s="163" t="s">
        <v>2067</v>
      </c>
      <c r="D1383" s="163" t="s">
        <v>1979</v>
      </c>
      <c r="E1383" s="163" t="s">
        <v>853</v>
      </c>
      <c r="F1383" s="163" t="s">
        <v>1363</v>
      </c>
      <c r="G1383" s="163">
        <v>4</v>
      </c>
      <c r="H1383" s="163">
        <v>7</v>
      </c>
      <c r="I1383" s="163">
        <v>2</v>
      </c>
      <c r="J1383" s="163">
        <v>0</v>
      </c>
      <c r="K1383" s="163">
        <v>1</v>
      </c>
      <c r="L1383" s="163">
        <v>3</v>
      </c>
      <c r="M1383" s="163">
        <v>98.7</v>
      </c>
      <c r="N1383" s="163">
        <v>18.7</v>
      </c>
      <c r="O1383" s="163">
        <v>432</v>
      </c>
      <c r="P1383" s="163">
        <v>3153.7280000000001</v>
      </c>
      <c r="Q1383" s="163">
        <v>31.952664639999998</v>
      </c>
      <c r="R1383" s="163">
        <v>7.3002962963</v>
      </c>
      <c r="S1383" s="161">
        <v>4.3768996959999997</v>
      </c>
      <c r="T1383">
        <f t="shared" si="37"/>
        <v>6.3040101738136654E-8</v>
      </c>
    </row>
    <row r="1384" spans="2:20">
      <c r="B1384" s="163" t="s">
        <v>2068</v>
      </c>
      <c r="C1384" s="163" t="s">
        <v>2069</v>
      </c>
      <c r="D1384" s="163" t="s">
        <v>1979</v>
      </c>
      <c r="E1384" s="163" t="s">
        <v>853</v>
      </c>
      <c r="F1384" s="163" t="s">
        <v>1363</v>
      </c>
      <c r="G1384" s="163">
        <v>4</v>
      </c>
      <c r="H1384" s="163">
        <v>7</v>
      </c>
      <c r="I1384" s="163">
        <v>2</v>
      </c>
      <c r="J1384" s="163">
        <v>0</v>
      </c>
      <c r="K1384" s="163">
        <v>1</v>
      </c>
      <c r="L1384" s="163">
        <v>3</v>
      </c>
      <c r="M1384" s="163">
        <v>454.4</v>
      </c>
      <c r="N1384" s="163">
        <v>124.4</v>
      </c>
      <c r="O1384" s="163">
        <v>1820.1</v>
      </c>
      <c r="P1384" s="163">
        <v>4465.3940000000002</v>
      </c>
      <c r="Q1384" s="163">
        <v>9.8270114437</v>
      </c>
      <c r="R1384" s="163">
        <v>2.4533783857999998</v>
      </c>
      <c r="S1384" s="161">
        <v>4.0055017605999996</v>
      </c>
      <c r="T1384">
        <f t="shared" si="37"/>
        <v>2.6560020642032988E-7</v>
      </c>
    </row>
    <row r="1385" spans="2:20">
      <c r="B1385" s="163" t="s">
        <v>2070</v>
      </c>
      <c r="C1385" s="163" t="s">
        <v>2071</v>
      </c>
      <c r="D1385" s="163" t="s">
        <v>1979</v>
      </c>
      <c r="E1385" s="163" t="s">
        <v>853</v>
      </c>
      <c r="F1385" s="163" t="s">
        <v>1363</v>
      </c>
      <c r="G1385" s="163">
        <v>4</v>
      </c>
      <c r="H1385" s="163">
        <v>7</v>
      </c>
      <c r="I1385" s="163">
        <v>2</v>
      </c>
      <c r="J1385" s="163">
        <v>0</v>
      </c>
      <c r="K1385" s="163">
        <v>1</v>
      </c>
      <c r="L1385" s="163">
        <v>3</v>
      </c>
      <c r="M1385" s="163">
        <v>467.9</v>
      </c>
      <c r="N1385" s="163">
        <v>110.9</v>
      </c>
      <c r="O1385" s="163">
        <v>1890.1</v>
      </c>
      <c r="P1385" s="163">
        <v>8046.5309999999999</v>
      </c>
      <c r="Q1385" s="163">
        <v>17.197116905000001</v>
      </c>
      <c r="R1385" s="163">
        <v>4.2571985609</v>
      </c>
      <c r="S1385" s="161">
        <v>4.0395383629000001</v>
      </c>
      <c r="T1385">
        <f t="shared" si="37"/>
        <v>2.7581503772049092E-7</v>
      </c>
    </row>
    <row r="1386" spans="2:20">
      <c r="B1386" s="163" t="s">
        <v>2072</v>
      </c>
      <c r="C1386" s="163" t="s">
        <v>2073</v>
      </c>
      <c r="D1386" s="163" t="s">
        <v>1979</v>
      </c>
      <c r="E1386" s="163" t="s">
        <v>853</v>
      </c>
      <c r="F1386" s="163" t="s">
        <v>1363</v>
      </c>
      <c r="G1386" s="163">
        <v>4</v>
      </c>
      <c r="H1386" s="163">
        <v>7</v>
      </c>
      <c r="I1386" s="163">
        <v>2</v>
      </c>
      <c r="J1386" s="163">
        <v>0</v>
      </c>
      <c r="K1386" s="163">
        <v>1</v>
      </c>
      <c r="L1386" s="163">
        <v>3</v>
      </c>
      <c r="M1386" s="163">
        <v>303.5</v>
      </c>
      <c r="N1386" s="163">
        <v>58.5</v>
      </c>
      <c r="O1386" s="163">
        <v>1228.8</v>
      </c>
      <c r="P1386" s="163">
        <v>9125.7440000000006</v>
      </c>
      <c r="Q1386" s="163">
        <v>30.068349259000001</v>
      </c>
      <c r="R1386" s="163">
        <v>7.4265494792000002</v>
      </c>
      <c r="S1386" s="161">
        <v>4.0487644152</v>
      </c>
      <c r="T1386">
        <f t="shared" si="37"/>
        <v>1.7931406716625535E-7</v>
      </c>
    </row>
    <row r="1387" spans="2:20">
      <c r="B1387" s="163" t="s">
        <v>2074</v>
      </c>
      <c r="C1387" s="163" t="s">
        <v>2075</v>
      </c>
      <c r="D1387" s="163" t="s">
        <v>1979</v>
      </c>
      <c r="E1387" s="163" t="s">
        <v>853</v>
      </c>
      <c r="F1387" s="163" t="s">
        <v>1363</v>
      </c>
      <c r="G1387" s="163">
        <v>4</v>
      </c>
      <c r="H1387" s="163">
        <v>7</v>
      </c>
      <c r="I1387" s="163">
        <v>2</v>
      </c>
      <c r="J1387" s="163">
        <v>0</v>
      </c>
      <c r="K1387" s="163">
        <v>1</v>
      </c>
      <c r="L1387" s="163">
        <v>3</v>
      </c>
      <c r="M1387" s="163">
        <v>430</v>
      </c>
      <c r="N1387" s="163">
        <v>241</v>
      </c>
      <c r="O1387" s="163">
        <v>3004.4</v>
      </c>
      <c r="P1387" s="163">
        <v>9786.5779999999995</v>
      </c>
      <c r="Q1387" s="163">
        <v>22.759483720999999</v>
      </c>
      <c r="R1387" s="163">
        <v>3.2574151245</v>
      </c>
      <c r="S1387" s="161">
        <v>6.9869767441999997</v>
      </c>
      <c r="T1387">
        <f t="shared" ref="T1387:T1450" si="38">O1387/SUM($O$874:$O$1513)</f>
        <v>4.3842055940291144E-7</v>
      </c>
    </row>
    <row r="1388" spans="2:20">
      <c r="B1388" s="163" t="s">
        <v>2076</v>
      </c>
      <c r="C1388" s="163" t="s">
        <v>2077</v>
      </c>
      <c r="D1388" s="163" t="s">
        <v>1979</v>
      </c>
      <c r="E1388" s="163" t="s">
        <v>853</v>
      </c>
      <c r="F1388" s="163" t="s">
        <v>1363</v>
      </c>
      <c r="G1388" s="163">
        <v>4</v>
      </c>
      <c r="H1388" s="163">
        <v>7</v>
      </c>
      <c r="I1388" s="163">
        <v>2</v>
      </c>
      <c r="J1388" s="163">
        <v>0</v>
      </c>
      <c r="K1388" s="163">
        <v>1</v>
      </c>
      <c r="L1388" s="163">
        <v>3</v>
      </c>
      <c r="M1388" s="163">
        <v>343.5</v>
      </c>
      <c r="N1388" s="163">
        <v>174.5</v>
      </c>
      <c r="O1388" s="163">
        <v>2592.5</v>
      </c>
      <c r="P1388" s="163">
        <v>12267.213</v>
      </c>
      <c r="Q1388" s="163">
        <v>35.712410480000003</v>
      </c>
      <c r="R1388" s="163">
        <v>4.7318082932000003</v>
      </c>
      <c r="S1388" s="161">
        <v>7.5473071325000003</v>
      </c>
      <c r="T1388">
        <f t="shared" si="38"/>
        <v>3.7831357350953531E-7</v>
      </c>
    </row>
    <row r="1389" spans="2:20">
      <c r="B1389" s="163" t="s">
        <v>2078</v>
      </c>
      <c r="C1389" s="163" t="s">
        <v>2079</v>
      </c>
      <c r="D1389" s="163" t="s">
        <v>1979</v>
      </c>
      <c r="E1389" s="163" t="s">
        <v>853</v>
      </c>
      <c r="F1389" s="163" t="s">
        <v>1363</v>
      </c>
      <c r="G1389" s="163">
        <v>4</v>
      </c>
      <c r="H1389" s="163">
        <v>7</v>
      </c>
      <c r="I1389" s="163">
        <v>2</v>
      </c>
      <c r="J1389" s="163">
        <v>0</v>
      </c>
      <c r="K1389" s="163">
        <v>1</v>
      </c>
      <c r="L1389" s="163">
        <v>3</v>
      </c>
      <c r="M1389" s="163">
        <v>302.39999999999998</v>
      </c>
      <c r="N1389" s="163">
        <v>146.4</v>
      </c>
      <c r="O1389" s="163">
        <v>2491.1</v>
      </c>
      <c r="P1389" s="163">
        <v>15419.646000000001</v>
      </c>
      <c r="Q1389" s="163">
        <v>50.990892856999999</v>
      </c>
      <c r="R1389" s="163">
        <v>6.1898944241000002</v>
      </c>
      <c r="S1389" s="161">
        <v>8.2377645502999997</v>
      </c>
      <c r="T1389">
        <f t="shared" si="38"/>
        <v>3.6351666074044488E-7</v>
      </c>
    </row>
    <row r="1390" spans="2:20">
      <c r="B1390" s="163" t="s">
        <v>2080</v>
      </c>
      <c r="C1390" s="163" t="s">
        <v>2081</v>
      </c>
      <c r="D1390" s="163" t="s">
        <v>1979</v>
      </c>
      <c r="E1390" s="163" t="s">
        <v>853</v>
      </c>
      <c r="F1390" s="163" t="s">
        <v>1363</v>
      </c>
      <c r="G1390" s="163">
        <v>4</v>
      </c>
      <c r="H1390" s="163">
        <v>7</v>
      </c>
      <c r="I1390" s="163">
        <v>2</v>
      </c>
      <c r="J1390" s="163">
        <v>0</v>
      </c>
      <c r="K1390" s="163">
        <v>1</v>
      </c>
      <c r="L1390" s="163">
        <v>3</v>
      </c>
      <c r="M1390" s="163">
        <v>11.4</v>
      </c>
      <c r="N1390" s="163">
        <v>6.4</v>
      </c>
      <c r="O1390" s="163">
        <v>79.599999999999994</v>
      </c>
      <c r="P1390" s="163">
        <v>259.27999999999997</v>
      </c>
      <c r="Q1390" s="163">
        <v>22.743859649000001</v>
      </c>
      <c r="R1390" s="163">
        <v>3.2572864321999999</v>
      </c>
      <c r="S1390" s="161">
        <v>6.9824561404000001</v>
      </c>
      <c r="T1390">
        <f t="shared" si="38"/>
        <v>1.1615722449897399E-8</v>
      </c>
    </row>
    <row r="1391" spans="2:20">
      <c r="B1391" s="163" t="s">
        <v>2082</v>
      </c>
      <c r="C1391" s="163" t="s">
        <v>2083</v>
      </c>
      <c r="D1391" s="163" t="s">
        <v>1979</v>
      </c>
      <c r="E1391" s="163" t="s">
        <v>853</v>
      </c>
      <c r="F1391" s="163" t="s">
        <v>1363</v>
      </c>
      <c r="G1391" s="163">
        <v>4</v>
      </c>
      <c r="H1391" s="163">
        <v>7</v>
      </c>
      <c r="I1391" s="163">
        <v>2</v>
      </c>
      <c r="J1391" s="163">
        <v>0</v>
      </c>
      <c r="K1391" s="163">
        <v>1</v>
      </c>
      <c r="L1391" s="163">
        <v>3</v>
      </c>
      <c r="M1391" s="163">
        <v>2</v>
      </c>
      <c r="N1391" s="163">
        <v>1</v>
      </c>
      <c r="O1391" s="163">
        <v>15.6</v>
      </c>
      <c r="P1391" s="163">
        <v>73.513000000000005</v>
      </c>
      <c r="Q1391" s="163">
        <v>36.756500000000003</v>
      </c>
      <c r="R1391" s="163">
        <v>4.7123717949000001</v>
      </c>
      <c r="S1391" s="161">
        <v>7.8</v>
      </c>
      <c r="T1391">
        <f t="shared" si="38"/>
        <v>2.2764481183216011E-9</v>
      </c>
    </row>
    <row r="1392" spans="2:20">
      <c r="B1392" s="163" t="s">
        <v>2084</v>
      </c>
      <c r="C1392" s="163" t="s">
        <v>2085</v>
      </c>
      <c r="D1392" s="163" t="s">
        <v>1979</v>
      </c>
      <c r="E1392" s="163" t="s">
        <v>853</v>
      </c>
      <c r="F1392" s="163" t="s">
        <v>1363</v>
      </c>
      <c r="G1392" s="163">
        <v>4</v>
      </c>
      <c r="H1392" s="163">
        <v>7</v>
      </c>
      <c r="I1392" s="163">
        <v>2</v>
      </c>
      <c r="J1392" s="163">
        <v>0</v>
      </c>
      <c r="K1392" s="163">
        <v>1</v>
      </c>
      <c r="L1392" s="163">
        <v>3</v>
      </c>
      <c r="M1392" s="163">
        <v>2.7</v>
      </c>
      <c r="N1392" s="163">
        <v>0.7</v>
      </c>
      <c r="O1392" s="163">
        <v>10.9</v>
      </c>
      <c r="P1392" s="163">
        <v>23.638000000000002</v>
      </c>
      <c r="Q1392" s="163">
        <v>8.7548148147999996</v>
      </c>
      <c r="R1392" s="163">
        <v>2.1686238532000002</v>
      </c>
      <c r="S1392" s="161">
        <v>4.0370370370000002</v>
      </c>
      <c r="T1392">
        <f t="shared" si="38"/>
        <v>1.5905951595965034E-9</v>
      </c>
    </row>
    <row r="1393" spans="2:20">
      <c r="B1393" s="163" t="s">
        <v>2086</v>
      </c>
      <c r="C1393" s="163" t="s">
        <v>2087</v>
      </c>
      <c r="D1393" s="163" t="s">
        <v>1979</v>
      </c>
      <c r="E1393" s="163" t="s">
        <v>853</v>
      </c>
      <c r="F1393" s="163" t="s">
        <v>1363</v>
      </c>
      <c r="G1393" s="163">
        <v>4</v>
      </c>
      <c r="H1393" s="163">
        <v>7</v>
      </c>
      <c r="I1393" s="163">
        <v>2</v>
      </c>
      <c r="J1393" s="163">
        <v>0</v>
      </c>
      <c r="K1393" s="163">
        <v>1</v>
      </c>
      <c r="L1393" s="163">
        <v>3</v>
      </c>
      <c r="M1393" s="163">
        <v>3.9</v>
      </c>
      <c r="N1393" s="163">
        <v>0.9</v>
      </c>
      <c r="O1393" s="163">
        <v>15.7</v>
      </c>
      <c r="P1393" s="163">
        <v>58.832000000000001</v>
      </c>
      <c r="Q1393" s="163">
        <v>15.085128205</v>
      </c>
      <c r="R1393" s="163">
        <v>3.7472611465000001</v>
      </c>
      <c r="S1393" s="161">
        <v>4.0256410255999997</v>
      </c>
      <c r="T1393">
        <f t="shared" si="38"/>
        <v>2.2910407344646885E-9</v>
      </c>
    </row>
    <row r="1394" spans="2:20">
      <c r="B1394" s="163" t="s">
        <v>2088</v>
      </c>
      <c r="C1394" s="163" t="s">
        <v>2089</v>
      </c>
      <c r="D1394" s="163" t="s">
        <v>1979</v>
      </c>
      <c r="E1394" s="163" t="s">
        <v>853</v>
      </c>
      <c r="F1394" s="163" t="s">
        <v>1363</v>
      </c>
      <c r="G1394" s="163">
        <v>4</v>
      </c>
      <c r="H1394" s="163">
        <v>7</v>
      </c>
      <c r="I1394" s="163">
        <v>2</v>
      </c>
      <c r="J1394" s="163">
        <v>0</v>
      </c>
      <c r="K1394" s="163">
        <v>1</v>
      </c>
      <c r="L1394" s="163">
        <v>3</v>
      </c>
      <c r="M1394" s="163">
        <v>3.7</v>
      </c>
      <c r="N1394" s="163">
        <v>0.7</v>
      </c>
      <c r="O1394" s="163">
        <v>14.9</v>
      </c>
      <c r="P1394" s="163">
        <v>96.299000000000007</v>
      </c>
      <c r="Q1394" s="163">
        <v>26.026756757000001</v>
      </c>
      <c r="R1394" s="163">
        <v>6.4630201341999998</v>
      </c>
      <c r="S1394" s="161">
        <v>4.0270270269999999</v>
      </c>
      <c r="T1394">
        <f t="shared" si="38"/>
        <v>2.1742998053199908E-9</v>
      </c>
    </row>
    <row r="1395" spans="2:20">
      <c r="B1395" s="163" t="s">
        <v>2090</v>
      </c>
      <c r="C1395" s="163" t="s">
        <v>2091</v>
      </c>
      <c r="D1395" s="163" t="s">
        <v>2092</v>
      </c>
      <c r="E1395" s="163" t="s">
        <v>853</v>
      </c>
      <c r="F1395" s="163" t="s">
        <v>1363</v>
      </c>
      <c r="G1395" s="163">
        <v>4</v>
      </c>
      <c r="H1395" s="163">
        <v>7</v>
      </c>
      <c r="I1395" s="163">
        <v>2</v>
      </c>
      <c r="J1395" s="163">
        <v>0</v>
      </c>
      <c r="K1395" s="163">
        <v>1</v>
      </c>
      <c r="L1395" s="163">
        <v>1</v>
      </c>
      <c r="M1395" s="163">
        <v>24</v>
      </c>
      <c r="N1395" s="163">
        <v>0</v>
      </c>
      <c r="O1395" s="163">
        <v>1445</v>
      </c>
      <c r="P1395" s="163">
        <v>3499.85</v>
      </c>
      <c r="Q1395" s="163">
        <v>145.82708332999999</v>
      </c>
      <c r="R1395" s="163">
        <v>2.4220415224999998</v>
      </c>
      <c r="S1395" s="161">
        <v>60.208333332999999</v>
      </c>
      <c r="T1395">
        <f t="shared" si="38"/>
        <v>2.1086330326760986E-7</v>
      </c>
    </row>
    <row r="1396" spans="2:20">
      <c r="B1396" s="163" t="s">
        <v>2093</v>
      </c>
      <c r="C1396" s="163" t="s">
        <v>2094</v>
      </c>
      <c r="D1396" s="163" t="s">
        <v>2092</v>
      </c>
      <c r="E1396" s="163" t="s">
        <v>853</v>
      </c>
      <c r="F1396" s="163" t="s">
        <v>1363</v>
      </c>
      <c r="G1396" s="163">
        <v>4</v>
      </c>
      <c r="H1396" s="163">
        <v>7</v>
      </c>
      <c r="I1396" s="163">
        <v>2</v>
      </c>
      <c r="J1396" s="163">
        <v>0</v>
      </c>
      <c r="K1396" s="163">
        <v>3</v>
      </c>
      <c r="L1396" s="163">
        <v>1</v>
      </c>
      <c r="M1396" s="163">
        <v>12754</v>
      </c>
      <c r="N1396" s="163">
        <v>0</v>
      </c>
      <c r="O1396" s="163">
        <v>6547643</v>
      </c>
      <c r="P1396" s="163">
        <v>85824.88</v>
      </c>
      <c r="Q1396" s="163">
        <v>6.7292519993999997</v>
      </c>
      <c r="R1396" s="163">
        <v>1.3107751900000001E-2</v>
      </c>
      <c r="S1396" s="161">
        <v>513.37956718999999</v>
      </c>
      <c r="T1396">
        <f t="shared" si="38"/>
        <v>9.5547240940971822E-4</v>
      </c>
    </row>
    <row r="1397" spans="2:20">
      <c r="B1397" s="163" t="s">
        <v>2095</v>
      </c>
      <c r="C1397" s="163" t="s">
        <v>2096</v>
      </c>
      <c r="D1397" s="163" t="s">
        <v>2092</v>
      </c>
      <c r="E1397" s="163" t="s">
        <v>853</v>
      </c>
      <c r="F1397" s="163" t="s">
        <v>1363</v>
      </c>
      <c r="G1397" s="163">
        <v>4</v>
      </c>
      <c r="H1397" s="163">
        <v>7</v>
      </c>
      <c r="I1397" s="163">
        <v>2</v>
      </c>
      <c r="J1397" s="163">
        <v>0</v>
      </c>
      <c r="K1397" s="163">
        <v>1</v>
      </c>
      <c r="L1397" s="163">
        <v>1</v>
      </c>
      <c r="M1397" s="163">
        <v>1785344</v>
      </c>
      <c r="N1397" s="163">
        <v>0</v>
      </c>
      <c r="O1397" s="163">
        <v>131515286</v>
      </c>
      <c r="P1397" s="163">
        <v>3375580.34</v>
      </c>
      <c r="Q1397" s="163">
        <v>1.8907170495000001</v>
      </c>
      <c r="R1397" s="163">
        <v>2.5666828900000001E-2</v>
      </c>
      <c r="S1397" s="161">
        <v>73.663835093000003</v>
      </c>
      <c r="T1397">
        <f t="shared" si="38"/>
        <v>1.9191520855463284E-2</v>
      </c>
    </row>
    <row r="1398" spans="2:20">
      <c r="B1398" s="163" t="s">
        <v>2097</v>
      </c>
      <c r="C1398" s="163" t="s">
        <v>2098</v>
      </c>
      <c r="D1398" s="163" t="s">
        <v>2092</v>
      </c>
      <c r="E1398" s="163" t="s">
        <v>853</v>
      </c>
      <c r="F1398" s="163" t="s">
        <v>1363</v>
      </c>
      <c r="G1398" s="163">
        <v>4</v>
      </c>
      <c r="H1398" s="163">
        <v>7</v>
      </c>
      <c r="I1398" s="163">
        <v>2</v>
      </c>
      <c r="J1398" s="163">
        <v>0</v>
      </c>
      <c r="K1398" s="163">
        <v>1</v>
      </c>
      <c r="L1398" s="163">
        <v>1</v>
      </c>
      <c r="M1398" s="163">
        <v>3040579</v>
      </c>
      <c r="N1398" s="163">
        <v>0</v>
      </c>
      <c r="O1398" s="163">
        <v>273459038</v>
      </c>
      <c r="P1398" s="163">
        <v>8355984.96</v>
      </c>
      <c r="Q1398" s="163">
        <v>2.7481558479000001</v>
      </c>
      <c r="R1398" s="163">
        <v>3.0556623799999998E-2</v>
      </c>
      <c r="S1398" s="161">
        <v>89.936501567999997</v>
      </c>
      <c r="T1398">
        <f t="shared" si="38"/>
        <v>3.9904827723918922E-2</v>
      </c>
    </row>
    <row r="1399" spans="2:20">
      <c r="B1399" s="163" t="s">
        <v>2099</v>
      </c>
      <c r="C1399" s="163" t="s">
        <v>2100</v>
      </c>
      <c r="D1399" s="163" t="s">
        <v>2092</v>
      </c>
      <c r="E1399" s="163" t="s">
        <v>853</v>
      </c>
      <c r="F1399" s="163" t="s">
        <v>1363</v>
      </c>
      <c r="G1399" s="163">
        <v>4</v>
      </c>
      <c r="H1399" s="163">
        <v>7</v>
      </c>
      <c r="I1399" s="163">
        <v>2</v>
      </c>
      <c r="J1399" s="163">
        <v>0</v>
      </c>
      <c r="K1399" s="163">
        <v>1</v>
      </c>
      <c r="L1399" s="163">
        <v>1</v>
      </c>
      <c r="M1399" s="163">
        <v>46842</v>
      </c>
      <c r="N1399" s="163">
        <v>0</v>
      </c>
      <c r="O1399" s="163">
        <v>3543088</v>
      </c>
      <c r="P1399" s="163">
        <v>181490.17</v>
      </c>
      <c r="Q1399" s="163">
        <v>3.8745179539999999</v>
      </c>
      <c r="R1399" s="163">
        <v>5.1223726300000001E-2</v>
      </c>
      <c r="S1399" s="161">
        <v>75.639127278999993</v>
      </c>
      <c r="T1399">
        <f t="shared" si="38"/>
        <v>5.1702923145178494E-4</v>
      </c>
    </row>
    <row r="1400" spans="2:20">
      <c r="B1400" s="163" t="s">
        <v>2101</v>
      </c>
      <c r="C1400" s="163" t="s">
        <v>2102</v>
      </c>
      <c r="D1400" s="163" t="s">
        <v>2092</v>
      </c>
      <c r="E1400" s="163" t="s">
        <v>853</v>
      </c>
      <c r="F1400" s="163" t="s">
        <v>1363</v>
      </c>
      <c r="G1400" s="163">
        <v>4</v>
      </c>
      <c r="H1400" s="163">
        <v>7</v>
      </c>
      <c r="I1400" s="163">
        <v>2</v>
      </c>
      <c r="J1400" s="163">
        <v>0</v>
      </c>
      <c r="K1400" s="163">
        <v>1</v>
      </c>
      <c r="L1400" s="163">
        <v>1</v>
      </c>
      <c r="M1400" s="163">
        <v>1</v>
      </c>
      <c r="N1400" s="163">
        <v>0</v>
      </c>
      <c r="O1400" s="163">
        <v>56</v>
      </c>
      <c r="P1400" s="163">
        <v>346.16</v>
      </c>
      <c r="Q1400" s="163">
        <v>346.16</v>
      </c>
      <c r="R1400" s="163">
        <v>6.1814285713999997</v>
      </c>
      <c r="S1400" s="161">
        <v>56</v>
      </c>
      <c r="T1400">
        <f t="shared" si="38"/>
        <v>8.1718650401288248E-9</v>
      </c>
    </row>
    <row r="1401" spans="2:20">
      <c r="B1401" s="163" t="s">
        <v>2103</v>
      </c>
      <c r="C1401" s="163" t="s">
        <v>2104</v>
      </c>
      <c r="D1401" s="163" t="s">
        <v>2092</v>
      </c>
      <c r="E1401" s="163" t="s">
        <v>853</v>
      </c>
      <c r="F1401" s="163" t="s">
        <v>1363</v>
      </c>
      <c r="G1401" s="163">
        <v>4</v>
      </c>
      <c r="H1401" s="163">
        <v>7</v>
      </c>
      <c r="I1401" s="163">
        <v>2</v>
      </c>
      <c r="J1401" s="163">
        <v>0</v>
      </c>
      <c r="K1401" s="163">
        <v>3</v>
      </c>
      <c r="L1401" s="163">
        <v>1</v>
      </c>
      <c r="M1401" s="163">
        <v>3</v>
      </c>
      <c r="N1401" s="163">
        <v>0</v>
      </c>
      <c r="O1401" s="163">
        <v>700</v>
      </c>
      <c r="P1401" s="163">
        <v>163.6</v>
      </c>
      <c r="Q1401" s="163">
        <v>54.533333333000002</v>
      </c>
      <c r="R1401" s="163">
        <v>0.2337142857</v>
      </c>
      <c r="S1401" s="161">
        <v>233.33333332999999</v>
      </c>
      <c r="T1401">
        <f t="shared" si="38"/>
        <v>1.0214831300161031E-7</v>
      </c>
    </row>
    <row r="1402" spans="2:20">
      <c r="B1402" s="163" t="s">
        <v>2105</v>
      </c>
      <c r="C1402" s="163" t="s">
        <v>2106</v>
      </c>
      <c r="D1402" s="163" t="s">
        <v>2107</v>
      </c>
      <c r="E1402" s="163" t="s">
        <v>853</v>
      </c>
      <c r="F1402" s="163" t="s">
        <v>1363</v>
      </c>
      <c r="G1402" s="163">
        <v>4</v>
      </c>
      <c r="H1402" s="163">
        <v>7</v>
      </c>
      <c r="I1402" s="163">
        <v>2</v>
      </c>
      <c r="J1402" s="163">
        <v>0</v>
      </c>
      <c r="K1402" s="163">
        <v>3</v>
      </c>
      <c r="L1402" s="163">
        <v>1</v>
      </c>
      <c r="M1402" s="163">
        <v>1162</v>
      </c>
      <c r="N1402" s="163">
        <v>0</v>
      </c>
      <c r="O1402" s="163">
        <v>431259</v>
      </c>
      <c r="P1402" s="163">
        <v>25848.89</v>
      </c>
      <c r="Q1402" s="163">
        <v>22.245172116999999</v>
      </c>
      <c r="R1402" s="163">
        <v>5.9938204199999998E-2</v>
      </c>
      <c r="S1402" s="161">
        <v>371.13511188000001</v>
      </c>
      <c r="T1402">
        <f t="shared" si="38"/>
        <v>6.2931970452516372E-5</v>
      </c>
    </row>
    <row r="1403" spans="2:20">
      <c r="B1403" s="163" t="s">
        <v>2108</v>
      </c>
      <c r="C1403" s="163" t="s">
        <v>2109</v>
      </c>
      <c r="D1403" s="163" t="s">
        <v>2107</v>
      </c>
      <c r="E1403" s="163" t="s">
        <v>853</v>
      </c>
      <c r="F1403" s="163" t="s">
        <v>1363</v>
      </c>
      <c r="G1403" s="163">
        <v>4</v>
      </c>
      <c r="H1403" s="163">
        <v>7</v>
      </c>
      <c r="I1403" s="163">
        <v>2</v>
      </c>
      <c r="J1403" s="163">
        <v>0</v>
      </c>
      <c r="K1403" s="163">
        <v>1</v>
      </c>
      <c r="L1403" s="163">
        <v>1</v>
      </c>
      <c r="M1403" s="163">
        <v>17</v>
      </c>
      <c r="N1403" s="163">
        <v>0</v>
      </c>
      <c r="O1403" s="163">
        <v>165</v>
      </c>
      <c r="P1403" s="163">
        <v>1736.96</v>
      </c>
      <c r="Q1403" s="163">
        <v>102.17411765</v>
      </c>
      <c r="R1403" s="163">
        <v>10.527030303</v>
      </c>
      <c r="S1403" s="161">
        <v>9.7058823528999998</v>
      </c>
      <c r="T1403">
        <f t="shared" si="38"/>
        <v>2.4077816636093857E-8</v>
      </c>
    </row>
    <row r="1404" spans="2:20">
      <c r="B1404" s="163" t="s">
        <v>2110</v>
      </c>
      <c r="C1404" s="163" t="s">
        <v>2111</v>
      </c>
      <c r="D1404" s="163" t="s">
        <v>2107</v>
      </c>
      <c r="E1404" s="163" t="s">
        <v>853</v>
      </c>
      <c r="F1404" s="163" t="s">
        <v>1363</v>
      </c>
      <c r="G1404" s="163">
        <v>4</v>
      </c>
      <c r="H1404" s="163">
        <v>7</v>
      </c>
      <c r="I1404" s="163">
        <v>2</v>
      </c>
      <c r="J1404" s="163">
        <v>0</v>
      </c>
      <c r="K1404" s="163">
        <v>1</v>
      </c>
      <c r="L1404" s="163">
        <v>1</v>
      </c>
      <c r="M1404" s="163">
        <v>1345786</v>
      </c>
      <c r="N1404" s="163">
        <v>0</v>
      </c>
      <c r="O1404" s="163">
        <v>128603974</v>
      </c>
      <c r="P1404" s="163">
        <v>3851789.91</v>
      </c>
      <c r="Q1404" s="163">
        <v>2.8621117399</v>
      </c>
      <c r="R1404" s="163">
        <v>2.9950784500000001E-2</v>
      </c>
      <c r="S1404" s="161">
        <v>95.560493273000006</v>
      </c>
      <c r="T1404">
        <f t="shared" si="38"/>
        <v>1.8766684270575647E-2</v>
      </c>
    </row>
    <row r="1405" spans="2:20">
      <c r="B1405" s="163" t="s">
        <v>2112</v>
      </c>
      <c r="C1405" s="163" t="s">
        <v>2113</v>
      </c>
      <c r="D1405" s="163" t="s">
        <v>2107</v>
      </c>
      <c r="E1405" s="163" t="s">
        <v>853</v>
      </c>
      <c r="F1405" s="163" t="s">
        <v>1363</v>
      </c>
      <c r="G1405" s="163">
        <v>4</v>
      </c>
      <c r="H1405" s="163">
        <v>7</v>
      </c>
      <c r="I1405" s="163">
        <v>2</v>
      </c>
      <c r="J1405" s="163">
        <v>0</v>
      </c>
      <c r="K1405" s="163">
        <v>3</v>
      </c>
      <c r="L1405" s="163">
        <v>1</v>
      </c>
      <c r="M1405" s="163">
        <v>5</v>
      </c>
      <c r="N1405" s="163">
        <v>0</v>
      </c>
      <c r="O1405" s="163">
        <v>3740</v>
      </c>
      <c r="P1405" s="163">
        <v>3044.51</v>
      </c>
      <c r="Q1405" s="163">
        <v>608.90200000000004</v>
      </c>
      <c r="R1405" s="163">
        <v>0.81404010699999996</v>
      </c>
      <c r="S1405" s="161">
        <v>748</v>
      </c>
      <c r="T1405">
        <f t="shared" si="38"/>
        <v>5.4576384375146079E-7</v>
      </c>
    </row>
    <row r="1406" spans="2:20">
      <c r="B1406" s="163" t="s">
        <v>2114</v>
      </c>
      <c r="C1406" s="163" t="s">
        <v>2115</v>
      </c>
      <c r="D1406" s="163" t="s">
        <v>2107</v>
      </c>
      <c r="E1406" s="163" t="s">
        <v>853</v>
      </c>
      <c r="F1406" s="163" t="s">
        <v>1363</v>
      </c>
      <c r="G1406" s="163">
        <v>4</v>
      </c>
      <c r="H1406" s="163">
        <v>7</v>
      </c>
      <c r="I1406" s="163">
        <v>2</v>
      </c>
      <c r="J1406" s="163">
        <v>0</v>
      </c>
      <c r="K1406" s="163">
        <v>3</v>
      </c>
      <c r="L1406" s="163">
        <v>1</v>
      </c>
      <c r="M1406" s="163">
        <v>5</v>
      </c>
      <c r="N1406" s="163">
        <v>0</v>
      </c>
      <c r="O1406" s="163">
        <v>900</v>
      </c>
      <c r="P1406" s="163">
        <v>2013</v>
      </c>
      <c r="Q1406" s="163">
        <v>402.6</v>
      </c>
      <c r="R1406" s="163">
        <v>2.2366666667000001</v>
      </c>
      <c r="S1406" s="161">
        <v>180</v>
      </c>
      <c r="T1406">
        <f t="shared" si="38"/>
        <v>1.3133354528778468E-7</v>
      </c>
    </row>
    <row r="1407" spans="2:20">
      <c r="B1407" s="163" t="s">
        <v>2116</v>
      </c>
      <c r="C1407" s="163" t="s">
        <v>2117</v>
      </c>
      <c r="D1407" s="163" t="s">
        <v>2107</v>
      </c>
      <c r="E1407" s="163" t="s">
        <v>853</v>
      </c>
      <c r="F1407" s="163" t="s">
        <v>1363</v>
      </c>
      <c r="G1407" s="163">
        <v>4</v>
      </c>
      <c r="H1407" s="163">
        <v>7</v>
      </c>
      <c r="I1407" s="163">
        <v>2</v>
      </c>
      <c r="J1407" s="163">
        <v>0</v>
      </c>
      <c r="K1407" s="163">
        <v>3</v>
      </c>
      <c r="L1407" s="163">
        <v>1</v>
      </c>
      <c r="M1407" s="163">
        <v>13</v>
      </c>
      <c r="N1407" s="163">
        <v>0</v>
      </c>
      <c r="O1407" s="163">
        <v>3550</v>
      </c>
      <c r="P1407" s="163">
        <v>9023.91</v>
      </c>
      <c r="Q1407" s="163">
        <v>694.14692307999997</v>
      </c>
      <c r="R1407" s="163">
        <v>2.5419464788999999</v>
      </c>
      <c r="S1407" s="161">
        <v>273.07692307999997</v>
      </c>
      <c r="T1407">
        <f t="shared" si="38"/>
        <v>5.1803787307959517E-7</v>
      </c>
    </row>
    <row r="1408" spans="2:20">
      <c r="B1408" s="163" t="s">
        <v>2118</v>
      </c>
      <c r="C1408" s="163" t="s">
        <v>2119</v>
      </c>
      <c r="D1408" s="163" t="s">
        <v>2107</v>
      </c>
      <c r="E1408" s="163" t="s">
        <v>853</v>
      </c>
      <c r="F1408" s="163" t="s">
        <v>1363</v>
      </c>
      <c r="G1408" s="163">
        <v>4</v>
      </c>
      <c r="H1408" s="163">
        <v>7</v>
      </c>
      <c r="I1408" s="163">
        <v>2</v>
      </c>
      <c r="J1408" s="163">
        <v>0</v>
      </c>
      <c r="K1408" s="163">
        <v>1</v>
      </c>
      <c r="L1408" s="163">
        <v>3</v>
      </c>
      <c r="M1408" s="163">
        <v>158523</v>
      </c>
      <c r="N1408" s="163">
        <v>147524</v>
      </c>
      <c r="O1408" s="163">
        <v>9219094</v>
      </c>
      <c r="P1408" s="163">
        <v>856066.61</v>
      </c>
      <c r="Q1408" s="163">
        <v>5.4002675322</v>
      </c>
      <c r="R1408" s="163">
        <v>9.2857997799999994E-2</v>
      </c>
      <c r="S1408" s="161">
        <v>58.156191845999999</v>
      </c>
      <c r="T1408">
        <f t="shared" si="38"/>
        <v>1.3453069992903823E-3</v>
      </c>
    </row>
    <row r="1409" spans="2:20">
      <c r="B1409" s="163" t="s">
        <v>2120</v>
      </c>
      <c r="C1409" s="163" t="s">
        <v>2121</v>
      </c>
      <c r="D1409" s="163" t="s">
        <v>2107</v>
      </c>
      <c r="E1409" s="163" t="s">
        <v>853</v>
      </c>
      <c r="F1409" s="163" t="s">
        <v>1363</v>
      </c>
      <c r="G1409" s="163">
        <v>4</v>
      </c>
      <c r="H1409" s="163">
        <v>7</v>
      </c>
      <c r="I1409" s="163">
        <v>2</v>
      </c>
      <c r="J1409" s="163">
        <v>0</v>
      </c>
      <c r="K1409" s="163">
        <v>1</v>
      </c>
      <c r="L1409" s="163">
        <v>3</v>
      </c>
      <c r="M1409" s="163">
        <v>46321</v>
      </c>
      <c r="N1409" s="163">
        <v>43646</v>
      </c>
      <c r="O1409" s="163">
        <v>2138065</v>
      </c>
      <c r="P1409" s="163">
        <v>330670.14</v>
      </c>
      <c r="Q1409" s="163">
        <v>7.1386658319</v>
      </c>
      <c r="R1409" s="163">
        <v>0.1546586002</v>
      </c>
      <c r="S1409" s="161">
        <v>46.157574318000002</v>
      </c>
      <c r="T1409">
        <f t="shared" si="38"/>
        <v>3.1199961833969708E-4</v>
      </c>
    </row>
    <row r="1410" spans="2:20">
      <c r="B1410" s="163" t="s">
        <v>2122</v>
      </c>
      <c r="C1410" s="163" t="s">
        <v>2123</v>
      </c>
      <c r="D1410" s="163" t="s">
        <v>2107</v>
      </c>
      <c r="E1410" s="163" t="s">
        <v>853</v>
      </c>
      <c r="F1410" s="163" t="s">
        <v>1363</v>
      </c>
      <c r="G1410" s="163">
        <v>4</v>
      </c>
      <c r="H1410" s="163">
        <v>7</v>
      </c>
      <c r="I1410" s="163">
        <v>2</v>
      </c>
      <c r="J1410" s="163">
        <v>0</v>
      </c>
      <c r="K1410" s="163">
        <v>1</v>
      </c>
      <c r="L1410" s="163">
        <v>3</v>
      </c>
      <c r="M1410" s="163">
        <v>66067</v>
      </c>
      <c r="N1410" s="163">
        <v>61007</v>
      </c>
      <c r="O1410" s="163">
        <v>3071679</v>
      </c>
      <c r="P1410" s="163">
        <v>600685.1</v>
      </c>
      <c r="Q1410" s="163">
        <v>9.0920595759000005</v>
      </c>
      <c r="R1410" s="163">
        <v>0.19555594840000001</v>
      </c>
      <c r="S1410" s="161">
        <v>46.493393071</v>
      </c>
      <c r="T1410">
        <f t="shared" si="38"/>
        <v>4.4823832561781906E-4</v>
      </c>
    </row>
    <row r="1411" spans="2:20">
      <c r="B1411" s="163" t="s">
        <v>2124</v>
      </c>
      <c r="C1411" s="163" t="s">
        <v>2125</v>
      </c>
      <c r="D1411" s="163" t="s">
        <v>2107</v>
      </c>
      <c r="E1411" s="163" t="s">
        <v>853</v>
      </c>
      <c r="F1411" s="163" t="s">
        <v>1363</v>
      </c>
      <c r="G1411" s="163">
        <v>4</v>
      </c>
      <c r="H1411" s="163">
        <v>7</v>
      </c>
      <c r="I1411" s="163">
        <v>2</v>
      </c>
      <c r="J1411" s="163">
        <v>0</v>
      </c>
      <c r="K1411" s="163">
        <v>1</v>
      </c>
      <c r="L1411" s="163">
        <v>3</v>
      </c>
      <c r="M1411" s="163">
        <v>17037</v>
      </c>
      <c r="N1411" s="163">
        <v>15440</v>
      </c>
      <c r="O1411" s="163">
        <v>1789398</v>
      </c>
      <c r="P1411" s="163">
        <v>195582.09</v>
      </c>
      <c r="Q1411" s="163">
        <v>11.479843281999999</v>
      </c>
      <c r="R1411" s="163">
        <v>0.1093004966</v>
      </c>
      <c r="S1411" s="161">
        <v>105.03011094</v>
      </c>
      <c r="T1411">
        <f t="shared" si="38"/>
        <v>2.6111998141207924E-4</v>
      </c>
    </row>
    <row r="1412" spans="2:20">
      <c r="B1412" s="163" t="s">
        <v>2126</v>
      </c>
      <c r="C1412" s="163" t="s">
        <v>2127</v>
      </c>
      <c r="D1412" s="163" t="s">
        <v>2128</v>
      </c>
      <c r="E1412" s="163" t="s">
        <v>853</v>
      </c>
      <c r="F1412" s="163" t="s">
        <v>1363</v>
      </c>
      <c r="G1412" s="163">
        <v>4</v>
      </c>
      <c r="H1412" s="163">
        <v>7</v>
      </c>
      <c r="I1412" s="163">
        <v>2</v>
      </c>
      <c r="J1412" s="163">
        <v>0</v>
      </c>
      <c r="K1412" s="163">
        <v>1</v>
      </c>
      <c r="L1412" s="163">
        <v>1</v>
      </c>
      <c r="M1412" s="163">
        <v>2728</v>
      </c>
      <c r="N1412" s="163">
        <v>0</v>
      </c>
      <c r="O1412" s="163">
        <v>200771</v>
      </c>
      <c r="P1412" s="163">
        <v>1552080.68</v>
      </c>
      <c r="Q1412" s="163">
        <v>568.94453079000004</v>
      </c>
      <c r="R1412" s="163">
        <v>7.7306019295999997</v>
      </c>
      <c r="S1412" s="161">
        <v>73.596407624999998</v>
      </c>
      <c r="T1412">
        <f t="shared" si="38"/>
        <v>2.9297741356637576E-5</v>
      </c>
    </row>
    <row r="1413" spans="2:20">
      <c r="B1413" s="163" t="s">
        <v>2129</v>
      </c>
      <c r="C1413" s="163" t="s">
        <v>2130</v>
      </c>
      <c r="D1413" s="163" t="s">
        <v>2131</v>
      </c>
      <c r="E1413" s="163" t="s">
        <v>853</v>
      </c>
      <c r="F1413" s="163" t="s">
        <v>1363</v>
      </c>
      <c r="G1413" s="163">
        <v>4</v>
      </c>
      <c r="H1413" s="163">
        <v>7</v>
      </c>
      <c r="I1413" s="163">
        <v>2</v>
      </c>
      <c r="J1413" s="163">
        <v>0</v>
      </c>
      <c r="K1413" s="163">
        <v>1</v>
      </c>
      <c r="L1413" s="163">
        <v>1</v>
      </c>
      <c r="M1413" s="163">
        <v>37260</v>
      </c>
      <c r="N1413" s="163">
        <v>0</v>
      </c>
      <c r="O1413" s="163">
        <v>265995</v>
      </c>
      <c r="P1413" s="163">
        <v>649475.79</v>
      </c>
      <c r="Q1413" s="163">
        <v>17.430912238000001</v>
      </c>
      <c r="R1413" s="163">
        <v>2.4416842046</v>
      </c>
      <c r="S1413" s="161">
        <v>7.1388888889000004</v>
      </c>
      <c r="T1413">
        <f t="shared" si="38"/>
        <v>3.8815629309804761E-5</v>
      </c>
    </row>
    <row r="1414" spans="2:20">
      <c r="B1414" s="163" t="s">
        <v>2132</v>
      </c>
      <c r="C1414" s="163" t="s">
        <v>2133</v>
      </c>
      <c r="D1414" s="163" t="s">
        <v>2131</v>
      </c>
      <c r="E1414" s="163" t="s">
        <v>853</v>
      </c>
      <c r="F1414" s="163" t="s">
        <v>1363</v>
      </c>
      <c r="G1414" s="163">
        <v>4</v>
      </c>
      <c r="H1414" s="163">
        <v>7</v>
      </c>
      <c r="I1414" s="163">
        <v>2</v>
      </c>
      <c r="J1414" s="163">
        <v>0</v>
      </c>
      <c r="K1414" s="163">
        <v>1</v>
      </c>
      <c r="L1414" s="163">
        <v>1</v>
      </c>
      <c r="M1414" s="163">
        <v>35550</v>
      </c>
      <c r="N1414" s="163">
        <v>0</v>
      </c>
      <c r="O1414" s="163">
        <v>297616</v>
      </c>
      <c r="P1414" s="163">
        <v>871205.07</v>
      </c>
      <c r="Q1414" s="163">
        <v>24.506471730000001</v>
      </c>
      <c r="R1414" s="163">
        <v>2.9272790104999999</v>
      </c>
      <c r="S1414" s="161">
        <v>8.3717580871999999</v>
      </c>
      <c r="T1414">
        <f t="shared" si="38"/>
        <v>4.3429960460410362E-5</v>
      </c>
    </row>
    <row r="1415" spans="2:20">
      <c r="B1415" s="163" t="s">
        <v>2134</v>
      </c>
      <c r="C1415" s="163" t="s">
        <v>2135</v>
      </c>
      <c r="D1415" s="163" t="s">
        <v>2131</v>
      </c>
      <c r="E1415" s="163" t="s">
        <v>853</v>
      </c>
      <c r="F1415" s="163" t="s">
        <v>1363</v>
      </c>
      <c r="G1415" s="163">
        <v>4</v>
      </c>
      <c r="H1415" s="163">
        <v>7</v>
      </c>
      <c r="I1415" s="163">
        <v>2</v>
      </c>
      <c r="J1415" s="163">
        <v>0</v>
      </c>
      <c r="K1415" s="163">
        <v>1</v>
      </c>
      <c r="L1415" s="163">
        <v>1</v>
      </c>
      <c r="M1415" s="163">
        <v>6533</v>
      </c>
      <c r="N1415" s="163">
        <v>0</v>
      </c>
      <c r="O1415" s="163">
        <v>135437</v>
      </c>
      <c r="P1415" s="163">
        <v>342022.44</v>
      </c>
      <c r="Q1415" s="163">
        <v>52.353044543000003</v>
      </c>
      <c r="R1415" s="163">
        <v>2.5253249850000001</v>
      </c>
      <c r="S1415" s="161">
        <v>20.731210776000001</v>
      </c>
      <c r="T1415">
        <f t="shared" si="38"/>
        <v>1.9763801525712992E-5</v>
      </c>
    </row>
    <row r="1416" spans="2:20">
      <c r="B1416" s="163" t="s">
        <v>2136</v>
      </c>
      <c r="C1416" s="163" t="s">
        <v>2137</v>
      </c>
      <c r="D1416" s="163" t="s">
        <v>2131</v>
      </c>
      <c r="E1416" s="163" t="s">
        <v>853</v>
      </c>
      <c r="F1416" s="163" t="s">
        <v>1363</v>
      </c>
      <c r="G1416" s="163">
        <v>4</v>
      </c>
      <c r="H1416" s="163">
        <v>7</v>
      </c>
      <c r="I1416" s="163">
        <v>2</v>
      </c>
      <c r="J1416" s="163">
        <v>0</v>
      </c>
      <c r="K1416" s="163">
        <v>1</v>
      </c>
      <c r="L1416" s="163">
        <v>1</v>
      </c>
      <c r="M1416" s="163">
        <v>3143</v>
      </c>
      <c r="N1416" s="163">
        <v>0</v>
      </c>
      <c r="O1416" s="163">
        <v>107743</v>
      </c>
      <c r="P1416" s="163">
        <v>975427.13</v>
      </c>
      <c r="Q1416" s="163">
        <v>310.34907095</v>
      </c>
      <c r="R1416" s="163">
        <v>9.0532761293000004</v>
      </c>
      <c r="S1416" s="161">
        <v>34.280305441000003</v>
      </c>
      <c r="T1416">
        <f t="shared" si="38"/>
        <v>1.5722522411046428E-5</v>
      </c>
    </row>
    <row r="1417" spans="2:20">
      <c r="B1417" s="163" t="s">
        <v>2138</v>
      </c>
      <c r="C1417" s="163" t="s">
        <v>2139</v>
      </c>
      <c r="D1417" s="163" t="s">
        <v>2131</v>
      </c>
      <c r="E1417" s="163" t="s">
        <v>853</v>
      </c>
      <c r="F1417" s="163" t="s">
        <v>1363</v>
      </c>
      <c r="G1417" s="163">
        <v>4</v>
      </c>
      <c r="H1417" s="163">
        <v>7</v>
      </c>
      <c r="I1417" s="163">
        <v>2</v>
      </c>
      <c r="J1417" s="163">
        <v>0</v>
      </c>
      <c r="K1417" s="163">
        <v>1</v>
      </c>
      <c r="L1417" s="163">
        <v>1</v>
      </c>
      <c r="M1417" s="163">
        <v>175</v>
      </c>
      <c r="N1417" s="163">
        <v>0</v>
      </c>
      <c r="O1417" s="163">
        <v>2867</v>
      </c>
      <c r="P1417" s="163">
        <v>110316.55</v>
      </c>
      <c r="Q1417" s="163">
        <v>630.38028570999995</v>
      </c>
      <c r="R1417" s="163">
        <v>38.478043251000003</v>
      </c>
      <c r="S1417" s="161">
        <v>16.382857142999999</v>
      </c>
      <c r="T1417">
        <f t="shared" si="38"/>
        <v>4.1837030482230964E-7</v>
      </c>
    </row>
    <row r="1418" spans="2:20">
      <c r="B1418" s="163" t="s">
        <v>2140</v>
      </c>
      <c r="C1418" s="163" t="s">
        <v>2141</v>
      </c>
      <c r="D1418" s="163" t="s">
        <v>2131</v>
      </c>
      <c r="E1418" s="163" t="s">
        <v>853</v>
      </c>
      <c r="F1418" s="163" t="s">
        <v>1363</v>
      </c>
      <c r="G1418" s="163">
        <v>4</v>
      </c>
      <c r="H1418" s="163">
        <v>7</v>
      </c>
      <c r="I1418" s="163">
        <v>2</v>
      </c>
      <c r="J1418" s="163">
        <v>0</v>
      </c>
      <c r="K1418" s="163">
        <v>6</v>
      </c>
      <c r="L1418" s="163">
        <v>1</v>
      </c>
      <c r="M1418" s="163">
        <v>183</v>
      </c>
      <c r="N1418" s="163">
        <v>0</v>
      </c>
      <c r="O1418" s="163">
        <v>8582.2999999999993</v>
      </c>
      <c r="P1418" s="163">
        <v>50058.31</v>
      </c>
      <c r="Q1418" s="163">
        <v>273.54267759999999</v>
      </c>
      <c r="R1418" s="163">
        <v>5.8327383101999999</v>
      </c>
      <c r="S1418" s="161">
        <v>46.897814208</v>
      </c>
      <c r="T1418">
        <f t="shared" si="38"/>
        <v>1.2523820952481716E-6</v>
      </c>
    </row>
    <row r="1419" spans="2:20">
      <c r="B1419" s="163" t="s">
        <v>2142</v>
      </c>
      <c r="C1419" s="163" t="s">
        <v>2143</v>
      </c>
      <c r="D1419" s="163" t="s">
        <v>2131</v>
      </c>
      <c r="E1419" s="163" t="s">
        <v>853</v>
      </c>
      <c r="F1419" s="163" t="s">
        <v>1363</v>
      </c>
      <c r="G1419" s="163">
        <v>4</v>
      </c>
      <c r="H1419" s="163">
        <v>7</v>
      </c>
      <c r="I1419" s="163">
        <v>2</v>
      </c>
      <c r="J1419" s="163">
        <v>0</v>
      </c>
      <c r="K1419" s="163">
        <v>1</v>
      </c>
      <c r="L1419" s="163">
        <v>1</v>
      </c>
      <c r="M1419" s="163">
        <v>784</v>
      </c>
      <c r="N1419" s="163">
        <v>0</v>
      </c>
      <c r="O1419" s="163">
        <v>93523</v>
      </c>
      <c r="P1419" s="163">
        <v>31565.49</v>
      </c>
      <c r="Q1419" s="163">
        <v>40.262104592</v>
      </c>
      <c r="R1419" s="163">
        <v>0.3375157983</v>
      </c>
      <c r="S1419" s="161">
        <v>119.28954082</v>
      </c>
      <c r="T1419">
        <f t="shared" si="38"/>
        <v>1.3647452395499431E-5</v>
      </c>
    </row>
    <row r="1420" spans="2:20">
      <c r="B1420" s="163" t="s">
        <v>2144</v>
      </c>
      <c r="C1420" s="163" t="s">
        <v>2145</v>
      </c>
      <c r="D1420" s="163" t="s">
        <v>2131</v>
      </c>
      <c r="E1420" s="163" t="s">
        <v>853</v>
      </c>
      <c r="F1420" s="163" t="s">
        <v>1363</v>
      </c>
      <c r="G1420" s="163">
        <v>4</v>
      </c>
      <c r="H1420" s="163">
        <v>7</v>
      </c>
      <c r="I1420" s="163">
        <v>2</v>
      </c>
      <c r="J1420" s="163">
        <v>0</v>
      </c>
      <c r="K1420" s="163">
        <v>1</v>
      </c>
      <c r="L1420" s="163">
        <v>1</v>
      </c>
      <c r="M1420" s="163">
        <v>24</v>
      </c>
      <c r="N1420" s="163">
        <v>0</v>
      </c>
      <c r="O1420" s="163">
        <v>2016</v>
      </c>
      <c r="P1420" s="163">
        <v>6514.21</v>
      </c>
      <c r="Q1420" s="163">
        <v>271.42541667</v>
      </c>
      <c r="R1420" s="163">
        <v>3.2312549602999998</v>
      </c>
      <c r="S1420" s="161">
        <v>84</v>
      </c>
      <c r="T1420">
        <f t="shared" si="38"/>
        <v>2.9418714144463768E-7</v>
      </c>
    </row>
    <row r="1421" spans="2:20">
      <c r="B1421" s="163" t="s">
        <v>2146</v>
      </c>
      <c r="C1421" s="163" t="s">
        <v>2147</v>
      </c>
      <c r="D1421" s="163" t="s">
        <v>2131</v>
      </c>
      <c r="E1421" s="163" t="s">
        <v>853</v>
      </c>
      <c r="F1421" s="163" t="s">
        <v>1363</v>
      </c>
      <c r="G1421" s="163">
        <v>4</v>
      </c>
      <c r="H1421" s="163">
        <v>7</v>
      </c>
      <c r="I1421" s="163">
        <v>2</v>
      </c>
      <c r="J1421" s="163">
        <v>0</v>
      </c>
      <c r="K1421" s="163">
        <v>3</v>
      </c>
      <c r="L1421" s="163">
        <v>1</v>
      </c>
      <c r="M1421" s="163">
        <v>12</v>
      </c>
      <c r="N1421" s="163">
        <v>0</v>
      </c>
      <c r="O1421" s="163">
        <v>3600</v>
      </c>
      <c r="P1421" s="163">
        <v>3356.18</v>
      </c>
      <c r="Q1421" s="163">
        <v>279.68166667000003</v>
      </c>
      <c r="R1421" s="163">
        <v>0.93227222219999994</v>
      </c>
      <c r="S1421" s="161">
        <v>300</v>
      </c>
      <c r="T1421">
        <f t="shared" si="38"/>
        <v>5.2533418115113871E-7</v>
      </c>
    </row>
    <row r="1422" spans="2:20">
      <c r="B1422" s="163" t="s">
        <v>2148</v>
      </c>
      <c r="C1422" s="163" t="s">
        <v>2149</v>
      </c>
      <c r="D1422" s="163" t="s">
        <v>2131</v>
      </c>
      <c r="E1422" s="163" t="s">
        <v>853</v>
      </c>
      <c r="F1422" s="163" t="s">
        <v>1363</v>
      </c>
      <c r="G1422" s="163">
        <v>4</v>
      </c>
      <c r="H1422" s="163">
        <v>7</v>
      </c>
      <c r="I1422" s="163">
        <v>2</v>
      </c>
      <c r="J1422" s="163">
        <v>0</v>
      </c>
      <c r="K1422" s="163">
        <v>3</v>
      </c>
      <c r="L1422" s="163">
        <v>1</v>
      </c>
      <c r="M1422" s="163">
        <v>35</v>
      </c>
      <c r="N1422" s="163">
        <v>0</v>
      </c>
      <c r="O1422" s="163">
        <v>11459</v>
      </c>
      <c r="P1422" s="163">
        <v>12814.28</v>
      </c>
      <c r="Q1422" s="163">
        <v>366.12228571000003</v>
      </c>
      <c r="R1422" s="163">
        <v>1.1182721005</v>
      </c>
      <c r="S1422" s="161">
        <v>327.39999999999998</v>
      </c>
      <c r="T1422">
        <f t="shared" si="38"/>
        <v>1.6721678838363607E-6</v>
      </c>
    </row>
    <row r="1423" spans="2:20">
      <c r="B1423" s="163" t="s">
        <v>2150</v>
      </c>
      <c r="C1423" s="163" t="s">
        <v>2151</v>
      </c>
      <c r="D1423" s="163" t="s">
        <v>2131</v>
      </c>
      <c r="E1423" s="163" t="s">
        <v>853</v>
      </c>
      <c r="F1423" s="163" t="s">
        <v>1363</v>
      </c>
      <c r="G1423" s="163">
        <v>4</v>
      </c>
      <c r="H1423" s="163">
        <v>7</v>
      </c>
      <c r="I1423" s="163">
        <v>2</v>
      </c>
      <c r="J1423" s="163">
        <v>0</v>
      </c>
      <c r="K1423" s="163">
        <v>1</v>
      </c>
      <c r="L1423" s="163">
        <v>1</v>
      </c>
      <c r="M1423" s="163">
        <v>275</v>
      </c>
      <c r="N1423" s="163">
        <v>0</v>
      </c>
      <c r="O1423" s="163">
        <v>1797</v>
      </c>
      <c r="P1423" s="163">
        <v>4505.91</v>
      </c>
      <c r="Q1423" s="163">
        <v>16.385127272999998</v>
      </c>
      <c r="R1423" s="163">
        <v>2.5074624374000001</v>
      </c>
      <c r="S1423" s="161">
        <v>6.5345454544999999</v>
      </c>
      <c r="T1423">
        <f t="shared" si="38"/>
        <v>2.6222931209127673E-7</v>
      </c>
    </row>
    <row r="1424" spans="2:20">
      <c r="B1424" s="163" t="s">
        <v>2152</v>
      </c>
      <c r="C1424" s="163" t="s">
        <v>2153</v>
      </c>
      <c r="D1424" s="163" t="s">
        <v>2131</v>
      </c>
      <c r="E1424" s="163" t="s">
        <v>853</v>
      </c>
      <c r="F1424" s="163" t="s">
        <v>1363</v>
      </c>
      <c r="G1424" s="163">
        <v>4</v>
      </c>
      <c r="H1424" s="163">
        <v>7</v>
      </c>
      <c r="I1424" s="163">
        <v>2</v>
      </c>
      <c r="J1424" s="163">
        <v>0</v>
      </c>
      <c r="K1424" s="163">
        <v>1</v>
      </c>
      <c r="L1424" s="163">
        <v>1</v>
      </c>
      <c r="M1424" s="163">
        <v>263</v>
      </c>
      <c r="N1424" s="163">
        <v>0</v>
      </c>
      <c r="O1424" s="163">
        <v>2056</v>
      </c>
      <c r="P1424" s="163">
        <v>6902.5</v>
      </c>
      <c r="Q1424" s="163">
        <v>26.245247148000001</v>
      </c>
      <c r="R1424" s="163">
        <v>3.3572470817000002</v>
      </c>
      <c r="S1424" s="161">
        <v>7.8174904943000003</v>
      </c>
      <c r="T1424">
        <f t="shared" si="38"/>
        <v>3.0002418790187256E-7</v>
      </c>
    </row>
    <row r="1425" spans="2:20">
      <c r="B1425" s="163" t="s">
        <v>2154</v>
      </c>
      <c r="C1425" s="163" t="s">
        <v>2155</v>
      </c>
      <c r="D1425" s="163" t="s">
        <v>2131</v>
      </c>
      <c r="E1425" s="163" t="s">
        <v>853</v>
      </c>
      <c r="F1425" s="163" t="s">
        <v>1363</v>
      </c>
      <c r="G1425" s="163">
        <v>4</v>
      </c>
      <c r="H1425" s="163">
        <v>7</v>
      </c>
      <c r="I1425" s="163">
        <v>2</v>
      </c>
      <c r="J1425" s="163">
        <v>0</v>
      </c>
      <c r="K1425" s="163">
        <v>1</v>
      </c>
      <c r="L1425" s="163">
        <v>1</v>
      </c>
      <c r="M1425" s="163">
        <v>15</v>
      </c>
      <c r="N1425" s="163">
        <v>0</v>
      </c>
      <c r="O1425" s="163">
        <v>253</v>
      </c>
      <c r="P1425" s="163">
        <v>2163.39</v>
      </c>
      <c r="Q1425" s="163">
        <v>144.226</v>
      </c>
      <c r="R1425" s="163">
        <v>8.5509486165999995</v>
      </c>
      <c r="S1425" s="161">
        <v>16.866666667000001</v>
      </c>
      <c r="T1425">
        <f t="shared" si="38"/>
        <v>3.6919318842010581E-8</v>
      </c>
    </row>
    <row r="1426" spans="2:20">
      <c r="B1426" s="163" t="s">
        <v>2156</v>
      </c>
      <c r="C1426" s="163" t="s">
        <v>2157</v>
      </c>
      <c r="D1426" s="163" t="s">
        <v>2131</v>
      </c>
      <c r="E1426" s="163" t="s">
        <v>853</v>
      </c>
      <c r="F1426" s="163" t="s">
        <v>1363</v>
      </c>
      <c r="G1426" s="163">
        <v>4</v>
      </c>
      <c r="H1426" s="163">
        <v>7</v>
      </c>
      <c r="I1426" s="163">
        <v>2</v>
      </c>
      <c r="J1426" s="163">
        <v>0</v>
      </c>
      <c r="K1426" s="163">
        <v>1</v>
      </c>
      <c r="L1426" s="163">
        <v>1</v>
      </c>
      <c r="M1426" s="163">
        <v>14</v>
      </c>
      <c r="N1426" s="163">
        <v>0</v>
      </c>
      <c r="O1426" s="163">
        <v>85</v>
      </c>
      <c r="P1426" s="163">
        <v>3995</v>
      </c>
      <c r="Q1426" s="163">
        <v>285.35714286000001</v>
      </c>
      <c r="R1426" s="163">
        <v>47</v>
      </c>
      <c r="S1426" s="161">
        <v>6.0714285714000003</v>
      </c>
      <c r="T1426">
        <f t="shared" si="38"/>
        <v>1.2403723721624109E-8</v>
      </c>
    </row>
    <row r="1427" spans="2:20">
      <c r="B1427" s="163" t="s">
        <v>2158</v>
      </c>
      <c r="C1427" s="163" t="s">
        <v>2159</v>
      </c>
      <c r="D1427" s="163" t="s">
        <v>2131</v>
      </c>
      <c r="E1427" s="163" t="s">
        <v>853</v>
      </c>
      <c r="F1427" s="163" t="s">
        <v>1363</v>
      </c>
      <c r="G1427" s="163">
        <v>4</v>
      </c>
      <c r="H1427" s="163">
        <v>7</v>
      </c>
      <c r="I1427" s="163">
        <v>2</v>
      </c>
      <c r="J1427" s="163">
        <v>0</v>
      </c>
      <c r="K1427" s="163">
        <v>1</v>
      </c>
      <c r="L1427" s="163">
        <v>1</v>
      </c>
      <c r="M1427" s="163">
        <v>38</v>
      </c>
      <c r="N1427" s="163">
        <v>0</v>
      </c>
      <c r="O1427" s="163">
        <v>392</v>
      </c>
      <c r="P1427" s="163">
        <v>1436.55</v>
      </c>
      <c r="Q1427" s="163">
        <v>37.803947368000003</v>
      </c>
      <c r="R1427" s="163">
        <v>3.6646683673</v>
      </c>
      <c r="S1427" s="161">
        <v>10.315789474000001</v>
      </c>
      <c r="T1427">
        <f t="shared" si="38"/>
        <v>5.7203055280901775E-8</v>
      </c>
    </row>
    <row r="1428" spans="2:20">
      <c r="B1428" s="163" t="s">
        <v>2160</v>
      </c>
      <c r="C1428" s="163" t="s">
        <v>2161</v>
      </c>
      <c r="D1428" s="163" t="s">
        <v>2162</v>
      </c>
      <c r="E1428" s="163" t="s">
        <v>853</v>
      </c>
      <c r="F1428" s="163" t="s">
        <v>1363</v>
      </c>
      <c r="G1428" s="163">
        <v>4</v>
      </c>
      <c r="H1428" s="163">
        <v>7</v>
      </c>
      <c r="I1428" s="163">
        <v>2</v>
      </c>
      <c r="J1428" s="163">
        <v>0</v>
      </c>
      <c r="K1428" s="163">
        <v>1</v>
      </c>
      <c r="L1428" s="163">
        <v>3</v>
      </c>
      <c r="M1428" s="163">
        <v>68675</v>
      </c>
      <c r="N1428" s="163">
        <v>66439</v>
      </c>
      <c r="O1428" s="163">
        <v>5627357</v>
      </c>
      <c r="P1428" s="163">
        <v>1110946.1499999999</v>
      </c>
      <c r="Q1428" s="163">
        <v>16.176864215999998</v>
      </c>
      <c r="R1428" s="163">
        <v>0.19741881489999999</v>
      </c>
      <c r="S1428" s="161">
        <v>81.941856571000002</v>
      </c>
      <c r="T1428">
        <f t="shared" si="38"/>
        <v>8.2117860601114685E-4</v>
      </c>
    </row>
    <row r="1429" spans="2:20">
      <c r="B1429" s="163" t="s">
        <v>2163</v>
      </c>
      <c r="C1429" s="163" t="s">
        <v>2164</v>
      </c>
      <c r="D1429" s="163" t="s">
        <v>2162</v>
      </c>
      <c r="E1429" s="163" t="s">
        <v>853</v>
      </c>
      <c r="F1429" s="163" t="s">
        <v>1363</v>
      </c>
      <c r="G1429" s="163">
        <v>4</v>
      </c>
      <c r="H1429" s="163">
        <v>7</v>
      </c>
      <c r="I1429" s="163">
        <v>2</v>
      </c>
      <c r="J1429" s="163">
        <v>0</v>
      </c>
      <c r="K1429" s="163">
        <v>1</v>
      </c>
      <c r="L1429" s="163">
        <v>3</v>
      </c>
      <c r="M1429" s="163">
        <v>27</v>
      </c>
      <c r="N1429" s="163">
        <v>20</v>
      </c>
      <c r="O1429" s="163">
        <v>66</v>
      </c>
      <c r="P1429" s="163">
        <v>126.75</v>
      </c>
      <c r="Q1429" s="163">
        <v>4.6944444444000002</v>
      </c>
      <c r="R1429" s="163">
        <v>1.9204545454999999</v>
      </c>
      <c r="S1429" s="161">
        <v>2.4444444444000002</v>
      </c>
      <c r="T1429">
        <f t="shared" si="38"/>
        <v>9.6311266544375429E-9</v>
      </c>
    </row>
    <row r="1430" spans="2:20">
      <c r="B1430" s="163" t="s">
        <v>2165</v>
      </c>
      <c r="C1430" s="163" t="s">
        <v>2166</v>
      </c>
      <c r="D1430" s="163" t="s">
        <v>2167</v>
      </c>
      <c r="E1430" s="163" t="s">
        <v>853</v>
      </c>
      <c r="F1430" s="163" t="s">
        <v>1363</v>
      </c>
      <c r="G1430" s="163">
        <v>4</v>
      </c>
      <c r="H1430" s="163">
        <v>7</v>
      </c>
      <c r="I1430" s="163">
        <v>2</v>
      </c>
      <c r="J1430" s="163">
        <v>0</v>
      </c>
      <c r="K1430" s="163">
        <v>1</v>
      </c>
      <c r="L1430" s="163">
        <v>1</v>
      </c>
      <c r="M1430" s="163">
        <v>228</v>
      </c>
      <c r="N1430" s="163">
        <v>0</v>
      </c>
      <c r="O1430" s="163">
        <v>5948</v>
      </c>
      <c r="P1430" s="163">
        <v>7440.84</v>
      </c>
      <c r="Q1430" s="163">
        <v>32.635263158000001</v>
      </c>
      <c r="R1430" s="163">
        <v>1.2509818425999999</v>
      </c>
      <c r="S1430" s="161">
        <v>26.087719298</v>
      </c>
      <c r="T1430">
        <f t="shared" si="38"/>
        <v>8.6796880819082586E-7</v>
      </c>
    </row>
    <row r="1431" spans="2:20">
      <c r="B1431" s="163" t="s">
        <v>2168</v>
      </c>
      <c r="C1431" s="163" t="s">
        <v>2169</v>
      </c>
      <c r="D1431" s="163" t="s">
        <v>2167</v>
      </c>
      <c r="E1431" s="163" t="s">
        <v>853</v>
      </c>
      <c r="F1431" s="163" t="s">
        <v>1363</v>
      </c>
      <c r="G1431" s="163">
        <v>4</v>
      </c>
      <c r="H1431" s="163">
        <v>7</v>
      </c>
      <c r="I1431" s="163">
        <v>2</v>
      </c>
      <c r="J1431" s="163">
        <v>0</v>
      </c>
      <c r="K1431" s="163">
        <v>1</v>
      </c>
      <c r="L1431" s="163">
        <v>1</v>
      </c>
      <c r="M1431" s="163">
        <v>1</v>
      </c>
      <c r="N1431" s="163">
        <v>0</v>
      </c>
      <c r="O1431" s="163">
        <v>28</v>
      </c>
      <c r="P1431" s="163">
        <v>42.17</v>
      </c>
      <c r="Q1431" s="163">
        <v>42.17</v>
      </c>
      <c r="R1431" s="163">
        <v>1.5060714286000001</v>
      </c>
      <c r="S1431" s="161">
        <v>28</v>
      </c>
      <c r="T1431">
        <f t="shared" si="38"/>
        <v>4.0859325200644124E-9</v>
      </c>
    </row>
    <row r="1432" spans="2:20">
      <c r="B1432" s="163" t="s">
        <v>2170</v>
      </c>
      <c r="C1432" s="163" t="s">
        <v>2171</v>
      </c>
      <c r="D1432" s="163" t="s">
        <v>2167</v>
      </c>
      <c r="E1432" s="163" t="s">
        <v>853</v>
      </c>
      <c r="F1432" s="163" t="s">
        <v>1363</v>
      </c>
      <c r="G1432" s="163">
        <v>4</v>
      </c>
      <c r="H1432" s="163">
        <v>7</v>
      </c>
      <c r="I1432" s="163">
        <v>2</v>
      </c>
      <c r="J1432" s="163">
        <v>0</v>
      </c>
      <c r="K1432" s="163">
        <v>1</v>
      </c>
      <c r="L1432" s="163">
        <v>1</v>
      </c>
      <c r="M1432" s="163">
        <v>2168</v>
      </c>
      <c r="N1432" s="163">
        <v>0</v>
      </c>
      <c r="O1432" s="163">
        <v>49865</v>
      </c>
      <c r="P1432" s="163">
        <v>92346.27</v>
      </c>
      <c r="Q1432" s="163">
        <v>42.595142989000003</v>
      </c>
      <c r="R1432" s="163">
        <v>1.8519255991000001</v>
      </c>
      <c r="S1432" s="161">
        <v>23.000461255000001</v>
      </c>
      <c r="T1432">
        <f t="shared" si="38"/>
        <v>7.2766080397504254E-6</v>
      </c>
    </row>
    <row r="1433" spans="2:20">
      <c r="B1433" s="163" t="s">
        <v>2172</v>
      </c>
      <c r="C1433" s="163" t="s">
        <v>2173</v>
      </c>
      <c r="D1433" s="163" t="s">
        <v>2167</v>
      </c>
      <c r="E1433" s="163" t="s">
        <v>853</v>
      </c>
      <c r="F1433" s="163" t="s">
        <v>1363</v>
      </c>
      <c r="G1433" s="163">
        <v>4</v>
      </c>
      <c r="H1433" s="163">
        <v>7</v>
      </c>
      <c r="I1433" s="163">
        <v>2</v>
      </c>
      <c r="J1433" s="163">
        <v>0</v>
      </c>
      <c r="K1433" s="163">
        <v>6</v>
      </c>
      <c r="L1433" s="163">
        <v>1</v>
      </c>
      <c r="M1433" s="163">
        <v>13</v>
      </c>
      <c r="N1433" s="163">
        <v>0</v>
      </c>
      <c r="O1433" s="163">
        <v>771.7</v>
      </c>
      <c r="P1433" s="163">
        <v>234.97</v>
      </c>
      <c r="Q1433" s="163">
        <v>18.074615385000001</v>
      </c>
      <c r="R1433" s="163">
        <v>0.30448360759999998</v>
      </c>
      <c r="S1433" s="161">
        <v>59.361538461999999</v>
      </c>
      <c r="T1433">
        <f t="shared" si="38"/>
        <v>1.1261121877620383E-7</v>
      </c>
    </row>
    <row r="1434" spans="2:20">
      <c r="B1434" s="163" t="s">
        <v>2174</v>
      </c>
      <c r="C1434" s="163" t="s">
        <v>2175</v>
      </c>
      <c r="D1434" s="163" t="s">
        <v>2167</v>
      </c>
      <c r="E1434" s="163" t="s">
        <v>853</v>
      </c>
      <c r="F1434" s="163" t="s">
        <v>1363</v>
      </c>
      <c r="G1434" s="163">
        <v>4</v>
      </c>
      <c r="H1434" s="163">
        <v>7</v>
      </c>
      <c r="I1434" s="163">
        <v>2</v>
      </c>
      <c r="J1434" s="163">
        <v>0</v>
      </c>
      <c r="K1434" s="163">
        <v>1</v>
      </c>
      <c r="L1434" s="163">
        <v>1</v>
      </c>
      <c r="M1434" s="163">
        <v>288</v>
      </c>
      <c r="N1434" s="163">
        <v>0</v>
      </c>
      <c r="O1434" s="163">
        <v>5651</v>
      </c>
      <c r="P1434" s="163">
        <v>8664.44</v>
      </c>
      <c r="Q1434" s="163">
        <v>30.084861110999999</v>
      </c>
      <c r="R1434" s="163">
        <v>1.5332578305</v>
      </c>
      <c r="S1434" s="161">
        <v>19.621527778000001</v>
      </c>
      <c r="T1434">
        <f t="shared" si="38"/>
        <v>8.2462873824585689E-7</v>
      </c>
    </row>
    <row r="1435" spans="2:20">
      <c r="B1435" s="163" t="s">
        <v>2176</v>
      </c>
      <c r="C1435" s="163" t="s">
        <v>2177</v>
      </c>
      <c r="D1435" s="163" t="s">
        <v>2167</v>
      </c>
      <c r="E1435" s="163" t="s">
        <v>853</v>
      </c>
      <c r="F1435" s="163" t="s">
        <v>1363</v>
      </c>
      <c r="G1435" s="163">
        <v>4</v>
      </c>
      <c r="H1435" s="163">
        <v>7</v>
      </c>
      <c r="I1435" s="163">
        <v>2</v>
      </c>
      <c r="J1435" s="163">
        <v>0</v>
      </c>
      <c r="K1435" s="163">
        <v>1</v>
      </c>
      <c r="L1435" s="163">
        <v>1</v>
      </c>
      <c r="M1435" s="163">
        <v>1</v>
      </c>
      <c r="N1435" s="163">
        <v>0</v>
      </c>
      <c r="O1435" s="163">
        <v>10</v>
      </c>
      <c r="P1435" s="163">
        <v>12.87</v>
      </c>
      <c r="Q1435" s="163">
        <v>12.87</v>
      </c>
      <c r="R1435" s="163">
        <v>1.2869999999999999</v>
      </c>
      <c r="S1435" s="161">
        <v>10</v>
      </c>
      <c r="T1435">
        <f t="shared" si="38"/>
        <v>1.4592616143087188E-9</v>
      </c>
    </row>
    <row r="1436" spans="2:20">
      <c r="B1436" s="163" t="s">
        <v>2178</v>
      </c>
      <c r="C1436" s="163" t="s">
        <v>2179</v>
      </c>
      <c r="D1436" s="163" t="s">
        <v>2167</v>
      </c>
      <c r="E1436" s="163" t="s">
        <v>853</v>
      </c>
      <c r="F1436" s="163" t="s">
        <v>1363</v>
      </c>
      <c r="G1436" s="163">
        <v>4</v>
      </c>
      <c r="H1436" s="163">
        <v>7</v>
      </c>
      <c r="I1436" s="163">
        <v>2</v>
      </c>
      <c r="J1436" s="163">
        <v>0</v>
      </c>
      <c r="K1436" s="163">
        <v>1</v>
      </c>
      <c r="L1436" s="163">
        <v>1</v>
      </c>
      <c r="M1436" s="163">
        <v>1399</v>
      </c>
      <c r="N1436" s="163">
        <v>0</v>
      </c>
      <c r="O1436" s="163">
        <v>57124</v>
      </c>
      <c r="P1436" s="163">
        <v>41327.94</v>
      </c>
      <c r="Q1436" s="163">
        <v>29.541057897999998</v>
      </c>
      <c r="R1436" s="163">
        <v>0.72347769760000002</v>
      </c>
      <c r="S1436" s="161">
        <v>40.832022873</v>
      </c>
      <c r="T1436">
        <f t="shared" si="38"/>
        <v>8.3358860455771244E-6</v>
      </c>
    </row>
    <row r="1437" spans="2:20">
      <c r="B1437" s="163" t="s">
        <v>2180</v>
      </c>
      <c r="C1437" s="163" t="s">
        <v>2181</v>
      </c>
      <c r="D1437" s="163" t="s">
        <v>2167</v>
      </c>
      <c r="E1437" s="163" t="s">
        <v>853</v>
      </c>
      <c r="F1437" s="163" t="s">
        <v>1363</v>
      </c>
      <c r="G1437" s="163">
        <v>4</v>
      </c>
      <c r="H1437" s="163">
        <v>7</v>
      </c>
      <c r="I1437" s="163">
        <v>2</v>
      </c>
      <c r="J1437" s="163">
        <v>0</v>
      </c>
      <c r="K1437" s="163">
        <v>1</v>
      </c>
      <c r="L1437" s="163">
        <v>1</v>
      </c>
      <c r="M1437" s="163">
        <v>8</v>
      </c>
      <c r="N1437" s="163">
        <v>0</v>
      </c>
      <c r="O1437" s="163">
        <v>1302</v>
      </c>
      <c r="P1437" s="163">
        <v>5262.8</v>
      </c>
      <c r="Q1437" s="163">
        <v>657.85</v>
      </c>
      <c r="R1437" s="163">
        <v>4.0420890936999996</v>
      </c>
      <c r="S1437" s="161">
        <v>162.75</v>
      </c>
      <c r="T1437">
        <f t="shared" si="38"/>
        <v>1.8999586218299517E-7</v>
      </c>
    </row>
    <row r="1438" spans="2:20">
      <c r="B1438" s="163" t="s">
        <v>2182</v>
      </c>
      <c r="C1438" s="163" t="s">
        <v>2183</v>
      </c>
      <c r="D1438" s="163" t="s">
        <v>2167</v>
      </c>
      <c r="E1438" s="163" t="s">
        <v>853</v>
      </c>
      <c r="F1438" s="163" t="s">
        <v>1363</v>
      </c>
      <c r="G1438" s="163">
        <v>4</v>
      </c>
      <c r="H1438" s="163">
        <v>7</v>
      </c>
      <c r="I1438" s="163">
        <v>2</v>
      </c>
      <c r="J1438" s="163">
        <v>0</v>
      </c>
      <c r="K1438" s="163">
        <v>1</v>
      </c>
      <c r="L1438" s="163">
        <v>1</v>
      </c>
      <c r="M1438" s="163">
        <v>14</v>
      </c>
      <c r="N1438" s="163">
        <v>0</v>
      </c>
      <c r="O1438" s="163">
        <v>3740</v>
      </c>
      <c r="P1438" s="163">
        <v>7389.46</v>
      </c>
      <c r="Q1438" s="163">
        <v>527.81857143000002</v>
      </c>
      <c r="R1438" s="163">
        <v>1.9757914438999999</v>
      </c>
      <c r="S1438" s="161">
        <v>267.14285713999999</v>
      </c>
      <c r="T1438">
        <f t="shared" si="38"/>
        <v>5.4576384375146079E-7</v>
      </c>
    </row>
    <row r="1439" spans="2:20">
      <c r="B1439" s="163" t="s">
        <v>2184</v>
      </c>
      <c r="C1439" s="163" t="s">
        <v>2185</v>
      </c>
      <c r="D1439" s="163" t="s">
        <v>2167</v>
      </c>
      <c r="E1439" s="163" t="s">
        <v>853</v>
      </c>
      <c r="F1439" s="163" t="s">
        <v>1363</v>
      </c>
      <c r="G1439" s="163">
        <v>4</v>
      </c>
      <c r="H1439" s="163">
        <v>7</v>
      </c>
      <c r="I1439" s="163">
        <v>2</v>
      </c>
      <c r="J1439" s="163">
        <v>0</v>
      </c>
      <c r="K1439" s="163">
        <v>1</v>
      </c>
      <c r="L1439" s="163">
        <v>3</v>
      </c>
      <c r="M1439" s="163">
        <v>42752</v>
      </c>
      <c r="N1439" s="163">
        <v>31070</v>
      </c>
      <c r="O1439" s="163">
        <v>5422358</v>
      </c>
      <c r="P1439" s="163">
        <v>293157.63</v>
      </c>
      <c r="Q1439" s="163">
        <v>6.8571676179000001</v>
      </c>
      <c r="R1439" s="163">
        <v>5.4064602500000003E-2</v>
      </c>
      <c r="S1439" s="161">
        <v>126.83284992999999</v>
      </c>
      <c r="T1439">
        <f t="shared" si="38"/>
        <v>7.9126388884397949E-4</v>
      </c>
    </row>
    <row r="1440" spans="2:20">
      <c r="B1440" s="163" t="s">
        <v>2186</v>
      </c>
      <c r="C1440" s="163" t="s">
        <v>2187</v>
      </c>
      <c r="D1440" s="163" t="s">
        <v>2167</v>
      </c>
      <c r="E1440" s="163" t="s">
        <v>853</v>
      </c>
      <c r="F1440" s="163" t="s">
        <v>1363</v>
      </c>
      <c r="G1440" s="163">
        <v>4</v>
      </c>
      <c r="H1440" s="163">
        <v>7</v>
      </c>
      <c r="I1440" s="163">
        <v>2</v>
      </c>
      <c r="J1440" s="163">
        <v>0</v>
      </c>
      <c r="K1440" s="163">
        <v>1</v>
      </c>
      <c r="L1440" s="163">
        <v>3</v>
      </c>
      <c r="M1440" s="163">
        <v>226</v>
      </c>
      <c r="N1440" s="163">
        <v>0</v>
      </c>
      <c r="O1440" s="163">
        <v>8030</v>
      </c>
      <c r="P1440" s="163">
        <v>5623.07</v>
      </c>
      <c r="Q1440" s="163">
        <v>24.880840708000001</v>
      </c>
      <c r="R1440" s="163">
        <v>0.70025778329999999</v>
      </c>
      <c r="S1440" s="161">
        <v>35.530973451000001</v>
      </c>
      <c r="T1440">
        <f t="shared" si="38"/>
        <v>1.1717870762899011E-6</v>
      </c>
    </row>
    <row r="1441" spans="2:20">
      <c r="B1441" s="163" t="s">
        <v>2188</v>
      </c>
      <c r="C1441" s="163" t="s">
        <v>2189</v>
      </c>
      <c r="D1441" s="163" t="s">
        <v>2167</v>
      </c>
      <c r="E1441" s="163" t="s">
        <v>853</v>
      </c>
      <c r="F1441" s="163" t="s">
        <v>1363</v>
      </c>
      <c r="G1441" s="163">
        <v>4</v>
      </c>
      <c r="H1441" s="163">
        <v>7</v>
      </c>
      <c r="I1441" s="163">
        <v>2</v>
      </c>
      <c r="J1441" s="163">
        <v>0</v>
      </c>
      <c r="K1441" s="163">
        <v>1</v>
      </c>
      <c r="L1441" s="163">
        <v>3</v>
      </c>
      <c r="M1441" s="163">
        <v>9</v>
      </c>
      <c r="N1441" s="163">
        <v>0</v>
      </c>
      <c r="O1441" s="163">
        <v>475</v>
      </c>
      <c r="P1441" s="163">
        <v>540.28</v>
      </c>
      <c r="Q1441" s="163">
        <v>60.031111111000001</v>
      </c>
      <c r="R1441" s="163">
        <v>1.1374315789</v>
      </c>
      <c r="S1441" s="161">
        <v>52.777777778000001</v>
      </c>
      <c r="T1441">
        <f t="shared" si="38"/>
        <v>6.9314926679664139E-8</v>
      </c>
    </row>
    <row r="1442" spans="2:20">
      <c r="B1442" s="163" t="s">
        <v>2190</v>
      </c>
      <c r="C1442" s="163" t="s">
        <v>2191</v>
      </c>
      <c r="D1442" s="163" t="s">
        <v>2167</v>
      </c>
      <c r="E1442" s="163" t="s">
        <v>853</v>
      </c>
      <c r="F1442" s="163" t="s">
        <v>1363</v>
      </c>
      <c r="G1442" s="163">
        <v>4</v>
      </c>
      <c r="H1442" s="163">
        <v>7</v>
      </c>
      <c r="I1442" s="163">
        <v>2</v>
      </c>
      <c r="J1442" s="163">
        <v>0</v>
      </c>
      <c r="K1442" s="163">
        <v>1</v>
      </c>
      <c r="L1442" s="163">
        <v>3</v>
      </c>
      <c r="M1442" s="163">
        <v>6</v>
      </c>
      <c r="N1442" s="163">
        <v>0</v>
      </c>
      <c r="O1442" s="163">
        <v>128</v>
      </c>
      <c r="P1442" s="163">
        <v>181.08</v>
      </c>
      <c r="Q1442" s="163">
        <v>30.18</v>
      </c>
      <c r="R1442" s="163">
        <v>1.4146875000000001</v>
      </c>
      <c r="S1442" s="161">
        <v>21.333333332999999</v>
      </c>
      <c r="T1442">
        <f t="shared" si="38"/>
        <v>1.86785486631516E-8</v>
      </c>
    </row>
    <row r="1443" spans="2:20">
      <c r="B1443" s="163" t="s">
        <v>2192</v>
      </c>
      <c r="C1443" s="163" t="s">
        <v>2193</v>
      </c>
      <c r="D1443" s="163" t="s">
        <v>2167</v>
      </c>
      <c r="E1443" s="163" t="s">
        <v>853</v>
      </c>
      <c r="F1443" s="163" t="s">
        <v>1363</v>
      </c>
      <c r="G1443" s="163">
        <v>4</v>
      </c>
      <c r="H1443" s="163">
        <v>7</v>
      </c>
      <c r="I1443" s="163">
        <v>2</v>
      </c>
      <c r="J1443" s="163">
        <v>0</v>
      </c>
      <c r="K1443" s="163">
        <v>1</v>
      </c>
      <c r="L1443" s="163">
        <v>3</v>
      </c>
      <c r="M1443" s="163">
        <v>47</v>
      </c>
      <c r="N1443" s="163">
        <v>46</v>
      </c>
      <c r="O1443" s="163">
        <v>1057</v>
      </c>
      <c r="P1443" s="163">
        <v>1676.66</v>
      </c>
      <c r="Q1443" s="163">
        <v>35.673617020999998</v>
      </c>
      <c r="R1443" s="163">
        <v>1.5862440870000001</v>
      </c>
      <c r="S1443" s="161">
        <v>22.489361702</v>
      </c>
      <c r="T1443">
        <f t="shared" si="38"/>
        <v>1.5424395263243156E-7</v>
      </c>
    </row>
    <row r="1444" spans="2:20">
      <c r="B1444" s="163" t="s">
        <v>2194</v>
      </c>
      <c r="C1444" s="163" t="s">
        <v>2195</v>
      </c>
      <c r="D1444" s="163" t="s">
        <v>2167</v>
      </c>
      <c r="E1444" s="163" t="s">
        <v>853</v>
      </c>
      <c r="F1444" s="163" t="s">
        <v>1363</v>
      </c>
      <c r="G1444" s="163">
        <v>4</v>
      </c>
      <c r="H1444" s="163">
        <v>7</v>
      </c>
      <c r="I1444" s="163">
        <v>2</v>
      </c>
      <c r="J1444" s="163">
        <v>0</v>
      </c>
      <c r="K1444" s="163">
        <v>1</v>
      </c>
      <c r="L1444" s="163">
        <v>3</v>
      </c>
      <c r="M1444" s="163">
        <v>1664</v>
      </c>
      <c r="N1444" s="163">
        <v>0</v>
      </c>
      <c r="O1444" s="163">
        <v>38778</v>
      </c>
      <c r="P1444" s="163">
        <v>61619.69</v>
      </c>
      <c r="Q1444" s="163">
        <v>37.031063701999997</v>
      </c>
      <c r="R1444" s="163">
        <v>1.5890373408</v>
      </c>
      <c r="S1444" s="161">
        <v>23.304086538</v>
      </c>
      <c r="T1444">
        <f t="shared" si="38"/>
        <v>5.6587246879663494E-6</v>
      </c>
    </row>
    <row r="1445" spans="2:20">
      <c r="B1445" s="163" t="s">
        <v>2196</v>
      </c>
      <c r="C1445" s="163" t="s">
        <v>2197</v>
      </c>
      <c r="D1445" s="163" t="s">
        <v>2167</v>
      </c>
      <c r="E1445" s="163" t="s">
        <v>853</v>
      </c>
      <c r="F1445" s="163" t="s">
        <v>1363</v>
      </c>
      <c r="G1445" s="163">
        <v>4</v>
      </c>
      <c r="H1445" s="163">
        <v>7</v>
      </c>
      <c r="I1445" s="163">
        <v>2</v>
      </c>
      <c r="J1445" s="163">
        <v>0</v>
      </c>
      <c r="K1445" s="163">
        <v>1</v>
      </c>
      <c r="L1445" s="163">
        <v>3</v>
      </c>
      <c r="M1445" s="163">
        <v>21</v>
      </c>
      <c r="N1445" s="163">
        <v>0</v>
      </c>
      <c r="O1445" s="163">
        <v>554</v>
      </c>
      <c r="P1445" s="163">
        <v>1063.03</v>
      </c>
      <c r="Q1445" s="163">
        <v>50.620476189999998</v>
      </c>
      <c r="R1445" s="163">
        <v>1.9188267148</v>
      </c>
      <c r="S1445" s="161">
        <v>26.380952381</v>
      </c>
      <c r="T1445">
        <f t="shared" si="38"/>
        <v>8.084309343270302E-8</v>
      </c>
    </row>
    <row r="1446" spans="2:20">
      <c r="B1446" s="163" t="s">
        <v>2198</v>
      </c>
      <c r="C1446" s="163" t="s">
        <v>2199</v>
      </c>
      <c r="D1446" s="163" t="s">
        <v>2200</v>
      </c>
      <c r="E1446" s="163" t="s">
        <v>853</v>
      </c>
      <c r="F1446" s="163" t="s">
        <v>1363</v>
      </c>
      <c r="G1446" s="163">
        <v>4</v>
      </c>
      <c r="H1446" s="163">
        <v>7</v>
      </c>
      <c r="I1446" s="163">
        <v>2</v>
      </c>
      <c r="J1446" s="163">
        <v>0</v>
      </c>
      <c r="K1446" s="163">
        <v>3</v>
      </c>
      <c r="L1446" s="163">
        <v>1</v>
      </c>
      <c r="M1446" s="163">
        <v>2</v>
      </c>
      <c r="N1446" s="163">
        <v>0</v>
      </c>
      <c r="O1446" s="163">
        <v>500</v>
      </c>
      <c r="P1446" s="163">
        <v>15.48</v>
      </c>
      <c r="Q1446" s="163">
        <v>7.74</v>
      </c>
      <c r="R1446" s="163">
        <v>3.0960000000000001E-2</v>
      </c>
      <c r="S1446" s="161">
        <v>250</v>
      </c>
      <c r="T1446">
        <f t="shared" si="38"/>
        <v>7.2963080715435939E-8</v>
      </c>
    </row>
    <row r="1447" spans="2:20">
      <c r="B1447" s="163" t="s">
        <v>2201</v>
      </c>
      <c r="C1447" s="163" t="s">
        <v>2202</v>
      </c>
      <c r="D1447" s="163" t="s">
        <v>2200</v>
      </c>
      <c r="E1447" s="163" t="s">
        <v>853</v>
      </c>
      <c r="F1447" s="163" t="s">
        <v>1363</v>
      </c>
      <c r="G1447" s="163">
        <v>4</v>
      </c>
      <c r="H1447" s="163">
        <v>7</v>
      </c>
      <c r="I1447" s="163">
        <v>2</v>
      </c>
      <c r="J1447" s="163">
        <v>0</v>
      </c>
      <c r="K1447" s="163">
        <v>1</v>
      </c>
      <c r="L1447" s="163">
        <v>1</v>
      </c>
      <c r="M1447" s="163">
        <v>1</v>
      </c>
      <c r="N1447" s="163">
        <v>0</v>
      </c>
      <c r="O1447" s="163">
        <v>10</v>
      </c>
      <c r="P1447" s="163">
        <v>27.9</v>
      </c>
      <c r="Q1447" s="163">
        <v>27.9</v>
      </c>
      <c r="R1447" s="163">
        <v>2.79</v>
      </c>
      <c r="S1447" s="161">
        <v>10</v>
      </c>
      <c r="T1447">
        <f t="shared" si="38"/>
        <v>1.4592616143087188E-9</v>
      </c>
    </row>
    <row r="1448" spans="2:20">
      <c r="B1448" s="163" t="s">
        <v>2203</v>
      </c>
      <c r="C1448" s="163" t="s">
        <v>2204</v>
      </c>
      <c r="D1448" s="163" t="s">
        <v>2200</v>
      </c>
      <c r="E1448" s="163" t="s">
        <v>853</v>
      </c>
      <c r="F1448" s="163" t="s">
        <v>1363</v>
      </c>
      <c r="G1448" s="163">
        <v>4</v>
      </c>
      <c r="H1448" s="163">
        <v>7</v>
      </c>
      <c r="I1448" s="163">
        <v>2</v>
      </c>
      <c r="J1448" s="163">
        <v>0</v>
      </c>
      <c r="K1448" s="163">
        <v>1</v>
      </c>
      <c r="L1448" s="163">
        <v>1</v>
      </c>
      <c r="M1448" s="163">
        <v>14</v>
      </c>
      <c r="N1448" s="163">
        <v>0</v>
      </c>
      <c r="O1448" s="163">
        <v>106</v>
      </c>
      <c r="P1448" s="163">
        <v>246.33</v>
      </c>
      <c r="Q1448" s="163">
        <v>17.594999999999999</v>
      </c>
      <c r="R1448" s="163">
        <v>2.3238679245</v>
      </c>
      <c r="S1448" s="161">
        <v>7.5714285714000003</v>
      </c>
      <c r="T1448">
        <f t="shared" si="38"/>
        <v>1.5468173111672419E-8</v>
      </c>
    </row>
    <row r="1449" spans="2:20">
      <c r="B1449" s="163" t="s">
        <v>2205</v>
      </c>
      <c r="C1449" s="163" t="s">
        <v>2206</v>
      </c>
      <c r="D1449" s="163" t="s">
        <v>2207</v>
      </c>
      <c r="E1449" s="163" t="s">
        <v>853</v>
      </c>
      <c r="F1449" s="163" t="s">
        <v>1363</v>
      </c>
      <c r="G1449" s="163">
        <v>4</v>
      </c>
      <c r="H1449" s="163">
        <v>7</v>
      </c>
      <c r="I1449" s="163">
        <v>2</v>
      </c>
      <c r="J1449" s="163">
        <v>0</v>
      </c>
      <c r="K1449" s="163">
        <v>1</v>
      </c>
      <c r="L1449" s="163">
        <v>1</v>
      </c>
      <c r="M1449" s="163">
        <v>3</v>
      </c>
      <c r="N1449" s="163">
        <v>0</v>
      </c>
      <c r="O1449" s="163">
        <v>40</v>
      </c>
      <c r="P1449" s="163">
        <v>96.96</v>
      </c>
      <c r="Q1449" s="163">
        <v>32.32</v>
      </c>
      <c r="R1449" s="163">
        <v>2.4239999999999999</v>
      </c>
      <c r="S1449" s="161">
        <v>13.333333333000001</v>
      </c>
      <c r="T1449">
        <f t="shared" si="38"/>
        <v>5.8370464572348752E-9</v>
      </c>
    </row>
    <row r="1450" spans="2:20">
      <c r="B1450" s="163" t="s">
        <v>2208</v>
      </c>
      <c r="C1450" s="163" t="s">
        <v>2209</v>
      </c>
      <c r="D1450" s="163" t="s">
        <v>2207</v>
      </c>
      <c r="E1450" s="163" t="s">
        <v>853</v>
      </c>
      <c r="F1450" s="163" t="s">
        <v>1363</v>
      </c>
      <c r="G1450" s="163">
        <v>4</v>
      </c>
      <c r="H1450" s="163">
        <v>7</v>
      </c>
      <c r="I1450" s="163">
        <v>2</v>
      </c>
      <c r="J1450" s="163">
        <v>0</v>
      </c>
      <c r="K1450" s="163">
        <v>1</v>
      </c>
      <c r="L1450" s="163">
        <v>1</v>
      </c>
      <c r="M1450" s="163">
        <v>42</v>
      </c>
      <c r="N1450" s="163">
        <v>0</v>
      </c>
      <c r="O1450" s="163">
        <v>417</v>
      </c>
      <c r="P1450" s="163">
        <v>1192.79</v>
      </c>
      <c r="Q1450" s="163">
        <v>28.399761904999998</v>
      </c>
      <c r="R1450" s="163">
        <v>2.8604076739000002</v>
      </c>
      <c r="S1450" s="161">
        <v>9.9285714285999997</v>
      </c>
      <c r="T1450">
        <f t="shared" si="38"/>
        <v>6.0851209316673575E-8</v>
      </c>
    </row>
    <row r="1451" spans="2:20">
      <c r="B1451" s="163" t="s">
        <v>2210</v>
      </c>
      <c r="C1451" s="163" t="s">
        <v>2211</v>
      </c>
      <c r="D1451" s="163" t="s">
        <v>2207</v>
      </c>
      <c r="E1451" s="163" t="s">
        <v>853</v>
      </c>
      <c r="F1451" s="163" t="s">
        <v>1363</v>
      </c>
      <c r="G1451" s="163">
        <v>4</v>
      </c>
      <c r="H1451" s="163">
        <v>7</v>
      </c>
      <c r="I1451" s="163">
        <v>2</v>
      </c>
      <c r="J1451" s="163">
        <v>0</v>
      </c>
      <c r="K1451" s="163">
        <v>1</v>
      </c>
      <c r="L1451" s="163">
        <v>1</v>
      </c>
      <c r="M1451" s="163">
        <v>15</v>
      </c>
      <c r="N1451" s="163">
        <v>0</v>
      </c>
      <c r="O1451" s="163">
        <v>128</v>
      </c>
      <c r="P1451" s="163">
        <v>290.66000000000003</v>
      </c>
      <c r="Q1451" s="163">
        <v>19.377333332999999</v>
      </c>
      <c r="R1451" s="163">
        <v>2.2707812500000002</v>
      </c>
      <c r="S1451" s="161">
        <v>8.5333333332999999</v>
      </c>
      <c r="T1451">
        <f t="shared" ref="T1451:T1513" si="39">O1451/SUM($O$874:$O$1513)</f>
        <v>1.86785486631516E-8</v>
      </c>
    </row>
    <row r="1452" spans="2:20">
      <c r="B1452" s="163" t="s">
        <v>2212</v>
      </c>
      <c r="C1452" s="163" t="s">
        <v>2213</v>
      </c>
      <c r="D1452" s="163" t="s">
        <v>2207</v>
      </c>
      <c r="E1452" s="163" t="s">
        <v>853</v>
      </c>
      <c r="F1452" s="163" t="s">
        <v>1363</v>
      </c>
      <c r="G1452" s="163">
        <v>4</v>
      </c>
      <c r="H1452" s="163">
        <v>7</v>
      </c>
      <c r="I1452" s="163">
        <v>2</v>
      </c>
      <c r="J1452" s="163">
        <v>0</v>
      </c>
      <c r="K1452" s="163">
        <v>1</v>
      </c>
      <c r="L1452" s="163">
        <v>1</v>
      </c>
      <c r="M1452" s="163">
        <v>1</v>
      </c>
      <c r="N1452" s="163">
        <v>0</v>
      </c>
      <c r="O1452" s="163">
        <v>10</v>
      </c>
      <c r="P1452" s="163">
        <v>9.36</v>
      </c>
      <c r="Q1452" s="163">
        <v>9.36</v>
      </c>
      <c r="R1452" s="163">
        <v>0.93600000000000005</v>
      </c>
      <c r="S1452" s="161">
        <v>10</v>
      </c>
      <c r="T1452">
        <f t="shared" si="39"/>
        <v>1.4592616143087188E-9</v>
      </c>
    </row>
    <row r="1453" spans="2:20">
      <c r="B1453" s="163" t="s">
        <v>2214</v>
      </c>
      <c r="C1453" s="163" t="s">
        <v>2215</v>
      </c>
      <c r="D1453" s="163" t="s">
        <v>2207</v>
      </c>
      <c r="E1453" s="163" t="s">
        <v>853</v>
      </c>
      <c r="F1453" s="163" t="s">
        <v>1363</v>
      </c>
      <c r="G1453" s="163">
        <v>4</v>
      </c>
      <c r="H1453" s="163">
        <v>7</v>
      </c>
      <c r="I1453" s="163">
        <v>2</v>
      </c>
      <c r="J1453" s="163">
        <v>0</v>
      </c>
      <c r="K1453" s="163">
        <v>1</v>
      </c>
      <c r="L1453" s="163">
        <v>1</v>
      </c>
      <c r="M1453" s="163">
        <v>123184</v>
      </c>
      <c r="N1453" s="163">
        <v>0</v>
      </c>
      <c r="O1453" s="163">
        <v>1276224</v>
      </c>
      <c r="P1453" s="163">
        <v>1200794.99</v>
      </c>
      <c r="Q1453" s="163">
        <v>9.7479785523999993</v>
      </c>
      <c r="R1453" s="163">
        <v>0.94089673129999996</v>
      </c>
      <c r="S1453" s="161">
        <v>10.360306532999999</v>
      </c>
      <c r="T1453">
        <f t="shared" si="39"/>
        <v>1.8623446944595302E-4</v>
      </c>
    </row>
    <row r="1454" spans="2:20">
      <c r="B1454" s="163" t="s">
        <v>2216</v>
      </c>
      <c r="C1454" s="163" t="s">
        <v>2217</v>
      </c>
      <c r="D1454" s="163" t="s">
        <v>2207</v>
      </c>
      <c r="E1454" s="163" t="s">
        <v>853</v>
      </c>
      <c r="F1454" s="163" t="s">
        <v>1363</v>
      </c>
      <c r="G1454" s="163">
        <v>4</v>
      </c>
      <c r="H1454" s="163">
        <v>7</v>
      </c>
      <c r="I1454" s="163">
        <v>2</v>
      </c>
      <c r="J1454" s="163">
        <v>0</v>
      </c>
      <c r="K1454" s="163">
        <v>1</v>
      </c>
      <c r="L1454" s="163">
        <v>1</v>
      </c>
      <c r="M1454" s="163">
        <v>1046</v>
      </c>
      <c r="N1454" s="163">
        <v>0</v>
      </c>
      <c r="O1454" s="163">
        <v>22437</v>
      </c>
      <c r="P1454" s="163">
        <v>24063.35</v>
      </c>
      <c r="Q1454" s="163">
        <v>23.005114722999998</v>
      </c>
      <c r="R1454" s="163">
        <v>1.0724851807</v>
      </c>
      <c r="S1454" s="161">
        <v>21.450286807000001</v>
      </c>
      <c r="T1454">
        <f t="shared" si="39"/>
        <v>3.2741452840244721E-6</v>
      </c>
    </row>
    <row r="1455" spans="2:20">
      <c r="B1455" s="163" t="s">
        <v>2218</v>
      </c>
      <c r="C1455" s="163" t="s">
        <v>2219</v>
      </c>
      <c r="D1455" s="163" t="s">
        <v>2207</v>
      </c>
      <c r="E1455" s="163" t="s">
        <v>853</v>
      </c>
      <c r="F1455" s="163" t="s">
        <v>1363</v>
      </c>
      <c r="G1455" s="163">
        <v>4</v>
      </c>
      <c r="H1455" s="163">
        <v>7</v>
      </c>
      <c r="I1455" s="163">
        <v>2</v>
      </c>
      <c r="J1455" s="163">
        <v>0</v>
      </c>
      <c r="K1455" s="163">
        <v>1</v>
      </c>
      <c r="L1455" s="163">
        <v>1</v>
      </c>
      <c r="M1455" s="163">
        <v>4048</v>
      </c>
      <c r="N1455" s="163">
        <v>0</v>
      </c>
      <c r="O1455" s="163">
        <v>77981</v>
      </c>
      <c r="P1455" s="163">
        <v>89602.13</v>
      </c>
      <c r="Q1455" s="163">
        <v>22.134913537999999</v>
      </c>
      <c r="R1455" s="163">
        <v>1.1490251471999999</v>
      </c>
      <c r="S1455" s="161">
        <v>19.264081028</v>
      </c>
      <c r="T1455">
        <f t="shared" si="39"/>
        <v>1.1379467994540819E-5</v>
      </c>
    </row>
    <row r="1456" spans="2:20">
      <c r="B1456" s="163" t="s">
        <v>2220</v>
      </c>
      <c r="C1456" s="163" t="s">
        <v>2221</v>
      </c>
      <c r="D1456" s="163" t="s">
        <v>2207</v>
      </c>
      <c r="E1456" s="163" t="s">
        <v>853</v>
      </c>
      <c r="F1456" s="163" t="s">
        <v>1363</v>
      </c>
      <c r="G1456" s="163">
        <v>4</v>
      </c>
      <c r="H1456" s="163">
        <v>7</v>
      </c>
      <c r="I1456" s="163">
        <v>2</v>
      </c>
      <c r="J1456" s="163">
        <v>0</v>
      </c>
      <c r="K1456" s="163">
        <v>1</v>
      </c>
      <c r="L1456" s="163">
        <v>1</v>
      </c>
      <c r="M1456" s="163">
        <v>2960</v>
      </c>
      <c r="N1456" s="163">
        <v>0</v>
      </c>
      <c r="O1456" s="163">
        <v>63110</v>
      </c>
      <c r="P1456" s="163">
        <v>376765.43</v>
      </c>
      <c r="Q1456" s="163">
        <v>127.28561824000001</v>
      </c>
      <c r="R1456" s="163">
        <v>5.9699798764000001</v>
      </c>
      <c r="S1456" s="161">
        <v>21.320945945999998</v>
      </c>
      <c r="T1456">
        <f t="shared" si="39"/>
        <v>9.209400047902324E-6</v>
      </c>
    </row>
    <row r="1457" spans="2:20">
      <c r="B1457" s="163" t="s">
        <v>2222</v>
      </c>
      <c r="C1457" s="163" t="s">
        <v>2223</v>
      </c>
      <c r="D1457" s="163" t="s">
        <v>2207</v>
      </c>
      <c r="E1457" s="163" t="s">
        <v>853</v>
      </c>
      <c r="F1457" s="163" t="s">
        <v>1363</v>
      </c>
      <c r="G1457" s="163">
        <v>4</v>
      </c>
      <c r="H1457" s="163">
        <v>7</v>
      </c>
      <c r="I1457" s="163">
        <v>2</v>
      </c>
      <c r="J1457" s="163">
        <v>0</v>
      </c>
      <c r="K1457" s="163">
        <v>1</v>
      </c>
      <c r="L1457" s="163">
        <v>1</v>
      </c>
      <c r="M1457" s="163">
        <v>613</v>
      </c>
      <c r="N1457" s="163">
        <v>0</v>
      </c>
      <c r="O1457" s="163">
        <v>30930</v>
      </c>
      <c r="P1457" s="163">
        <v>41931.160000000003</v>
      </c>
      <c r="Q1457" s="163">
        <v>68.403197390000003</v>
      </c>
      <c r="R1457" s="163">
        <v>1.3556792758</v>
      </c>
      <c r="S1457" s="161">
        <v>50.456769983999997</v>
      </c>
      <c r="T1457">
        <f t="shared" si="39"/>
        <v>4.5134961730568669E-6</v>
      </c>
    </row>
    <row r="1458" spans="2:20">
      <c r="B1458" s="163" t="s">
        <v>2224</v>
      </c>
      <c r="C1458" s="163" t="s">
        <v>2225</v>
      </c>
      <c r="D1458" s="163" t="s">
        <v>2207</v>
      </c>
      <c r="E1458" s="163" t="s">
        <v>853</v>
      </c>
      <c r="F1458" s="163" t="s">
        <v>1363</v>
      </c>
      <c r="G1458" s="163">
        <v>4</v>
      </c>
      <c r="H1458" s="163">
        <v>7</v>
      </c>
      <c r="I1458" s="163">
        <v>2</v>
      </c>
      <c r="J1458" s="163">
        <v>0</v>
      </c>
      <c r="K1458" s="163">
        <v>1</v>
      </c>
      <c r="L1458" s="163">
        <v>1</v>
      </c>
      <c r="M1458" s="163">
        <v>1129</v>
      </c>
      <c r="N1458" s="163">
        <v>0</v>
      </c>
      <c r="O1458" s="163">
        <v>27349</v>
      </c>
      <c r="P1458" s="163">
        <v>55080.72</v>
      </c>
      <c r="Q1458" s="163">
        <v>48.787174491000002</v>
      </c>
      <c r="R1458" s="163">
        <v>2.0139939302999998</v>
      </c>
      <c r="S1458" s="161">
        <v>24.224092117000001</v>
      </c>
      <c r="T1458">
        <f t="shared" si="39"/>
        <v>3.9909345889729146E-6</v>
      </c>
    </row>
    <row r="1459" spans="2:20">
      <c r="B1459" s="163" t="s">
        <v>2226</v>
      </c>
      <c r="C1459" s="163" t="s">
        <v>2227</v>
      </c>
      <c r="D1459" s="163" t="s">
        <v>2207</v>
      </c>
      <c r="E1459" s="163" t="s">
        <v>853</v>
      </c>
      <c r="F1459" s="163" t="s">
        <v>1363</v>
      </c>
      <c r="G1459" s="163">
        <v>4</v>
      </c>
      <c r="H1459" s="163">
        <v>7</v>
      </c>
      <c r="I1459" s="163">
        <v>2</v>
      </c>
      <c r="J1459" s="163">
        <v>0</v>
      </c>
      <c r="K1459" s="163">
        <v>1</v>
      </c>
      <c r="L1459" s="163">
        <v>1</v>
      </c>
      <c r="M1459" s="163">
        <v>5</v>
      </c>
      <c r="N1459" s="163">
        <v>0</v>
      </c>
      <c r="O1459" s="163">
        <v>120</v>
      </c>
      <c r="P1459" s="163">
        <v>876.08</v>
      </c>
      <c r="Q1459" s="163">
        <v>175.21600000000001</v>
      </c>
      <c r="R1459" s="163">
        <v>7.3006666666999998</v>
      </c>
      <c r="S1459" s="161">
        <v>24</v>
      </c>
      <c r="T1459">
        <f t="shared" si="39"/>
        <v>1.7511139371704625E-8</v>
      </c>
    </row>
    <row r="1460" spans="2:20">
      <c r="B1460" s="163" t="s">
        <v>2228</v>
      </c>
      <c r="C1460" s="163" t="s">
        <v>2229</v>
      </c>
      <c r="D1460" s="163" t="s">
        <v>2207</v>
      </c>
      <c r="E1460" s="163" t="s">
        <v>853</v>
      </c>
      <c r="F1460" s="163" t="s">
        <v>1363</v>
      </c>
      <c r="G1460" s="163">
        <v>4</v>
      </c>
      <c r="H1460" s="163">
        <v>7</v>
      </c>
      <c r="I1460" s="163">
        <v>2</v>
      </c>
      <c r="J1460" s="163">
        <v>0</v>
      </c>
      <c r="K1460" s="163">
        <v>1</v>
      </c>
      <c r="L1460" s="163">
        <v>1</v>
      </c>
      <c r="M1460" s="163">
        <v>18</v>
      </c>
      <c r="N1460" s="163">
        <v>0</v>
      </c>
      <c r="O1460" s="163">
        <v>912</v>
      </c>
      <c r="P1460" s="163">
        <v>25499.33</v>
      </c>
      <c r="Q1460" s="163">
        <v>1416.6294444</v>
      </c>
      <c r="R1460" s="163">
        <v>27.959791667000001</v>
      </c>
      <c r="S1460" s="161">
        <v>50.666666667000001</v>
      </c>
      <c r="T1460">
        <f t="shared" si="39"/>
        <v>1.3308465922495515E-7</v>
      </c>
    </row>
    <row r="1461" spans="2:20">
      <c r="B1461" s="163" t="s">
        <v>2230</v>
      </c>
      <c r="C1461" s="163" t="s">
        <v>2231</v>
      </c>
      <c r="D1461" s="163" t="s">
        <v>2207</v>
      </c>
      <c r="E1461" s="163" t="s">
        <v>853</v>
      </c>
      <c r="F1461" s="163" t="s">
        <v>1363</v>
      </c>
      <c r="G1461" s="163">
        <v>4</v>
      </c>
      <c r="H1461" s="163">
        <v>7</v>
      </c>
      <c r="I1461" s="163">
        <v>2</v>
      </c>
      <c r="J1461" s="163">
        <v>0</v>
      </c>
      <c r="K1461" s="163">
        <v>3</v>
      </c>
      <c r="L1461" s="163">
        <v>1</v>
      </c>
      <c r="M1461" s="163">
        <v>1418577</v>
      </c>
      <c r="N1461" s="163">
        <v>0</v>
      </c>
      <c r="O1461" s="163">
        <v>402288799</v>
      </c>
      <c r="P1461" s="163">
        <v>7335726.5599999996</v>
      </c>
      <c r="Q1461" s="163">
        <v>5.1711867314999997</v>
      </c>
      <c r="R1461" s="163">
        <v>1.8234975899999999E-2</v>
      </c>
      <c r="S1461" s="161">
        <v>283.58615641</v>
      </c>
      <c r="T1461">
        <f t="shared" si="39"/>
        <v>5.8704460224705567E-2</v>
      </c>
    </row>
    <row r="1462" spans="2:20">
      <c r="B1462" s="163" t="s">
        <v>2232</v>
      </c>
      <c r="C1462" s="163" t="s">
        <v>2233</v>
      </c>
      <c r="D1462" s="163" t="s">
        <v>2207</v>
      </c>
      <c r="E1462" s="163" t="s">
        <v>853</v>
      </c>
      <c r="F1462" s="163" t="s">
        <v>1363</v>
      </c>
      <c r="G1462" s="163">
        <v>4</v>
      </c>
      <c r="H1462" s="163">
        <v>7</v>
      </c>
      <c r="I1462" s="163">
        <v>2</v>
      </c>
      <c r="J1462" s="163">
        <v>0</v>
      </c>
      <c r="K1462" s="163">
        <v>1</v>
      </c>
      <c r="L1462" s="163">
        <v>1</v>
      </c>
      <c r="M1462" s="163">
        <v>95</v>
      </c>
      <c r="N1462" s="163">
        <v>0</v>
      </c>
      <c r="O1462" s="163">
        <v>5443</v>
      </c>
      <c r="P1462" s="163">
        <v>8922.76</v>
      </c>
      <c r="Q1462" s="163">
        <v>93.923789474000003</v>
      </c>
      <c r="R1462" s="163">
        <v>1.6393092045</v>
      </c>
      <c r="S1462" s="161">
        <v>57.294736841999999</v>
      </c>
      <c r="T1462">
        <f t="shared" si="39"/>
        <v>7.9427609666823558E-7</v>
      </c>
    </row>
    <row r="1463" spans="2:20">
      <c r="B1463" s="163" t="s">
        <v>2234</v>
      </c>
      <c r="C1463" s="163" t="s">
        <v>2235</v>
      </c>
      <c r="D1463" s="163" t="s">
        <v>2207</v>
      </c>
      <c r="E1463" s="163" t="s">
        <v>853</v>
      </c>
      <c r="F1463" s="163" t="s">
        <v>1363</v>
      </c>
      <c r="G1463" s="163">
        <v>4</v>
      </c>
      <c r="H1463" s="163">
        <v>7</v>
      </c>
      <c r="I1463" s="163">
        <v>2</v>
      </c>
      <c r="J1463" s="163">
        <v>0</v>
      </c>
      <c r="K1463" s="163">
        <v>3</v>
      </c>
      <c r="L1463" s="163">
        <v>1</v>
      </c>
      <c r="M1463" s="163">
        <v>2</v>
      </c>
      <c r="N1463" s="163">
        <v>0</v>
      </c>
      <c r="O1463" s="163">
        <v>150</v>
      </c>
      <c r="P1463" s="163">
        <v>794.61</v>
      </c>
      <c r="Q1463" s="163">
        <v>397.30500000000001</v>
      </c>
      <c r="R1463" s="163">
        <v>5.2973999999999997</v>
      </c>
      <c r="S1463" s="161">
        <v>75</v>
      </c>
      <c r="T1463">
        <f t="shared" si="39"/>
        <v>2.1888924214630781E-8</v>
      </c>
    </row>
    <row r="1464" spans="2:20">
      <c r="B1464" s="163" t="s">
        <v>2236</v>
      </c>
      <c r="C1464" s="163" t="s">
        <v>2237</v>
      </c>
      <c r="D1464" s="163" t="s">
        <v>2207</v>
      </c>
      <c r="E1464" s="163" t="s">
        <v>853</v>
      </c>
      <c r="F1464" s="163" t="s">
        <v>1363</v>
      </c>
      <c r="G1464" s="163">
        <v>4</v>
      </c>
      <c r="H1464" s="163">
        <v>7</v>
      </c>
      <c r="I1464" s="163">
        <v>2</v>
      </c>
      <c r="J1464" s="163">
        <v>0</v>
      </c>
      <c r="K1464" s="163">
        <v>1</v>
      </c>
      <c r="L1464" s="163">
        <v>1</v>
      </c>
      <c r="M1464" s="163">
        <v>4</v>
      </c>
      <c r="N1464" s="163">
        <v>0</v>
      </c>
      <c r="O1464" s="163">
        <v>36</v>
      </c>
      <c r="P1464" s="163">
        <v>233.28</v>
      </c>
      <c r="Q1464" s="163">
        <v>58.32</v>
      </c>
      <c r="R1464" s="163">
        <v>6.48</v>
      </c>
      <c r="S1464" s="161">
        <v>9</v>
      </c>
      <c r="T1464">
        <f t="shared" si="39"/>
        <v>5.2533418115113876E-9</v>
      </c>
    </row>
    <row r="1465" spans="2:20">
      <c r="B1465" s="163" t="s">
        <v>2238</v>
      </c>
      <c r="C1465" s="163" t="s">
        <v>2239</v>
      </c>
      <c r="D1465" s="163" t="s">
        <v>2207</v>
      </c>
      <c r="E1465" s="163" t="s">
        <v>853</v>
      </c>
      <c r="F1465" s="163" t="s">
        <v>1363</v>
      </c>
      <c r="G1465" s="163">
        <v>4</v>
      </c>
      <c r="H1465" s="163">
        <v>7</v>
      </c>
      <c r="I1465" s="163">
        <v>2</v>
      </c>
      <c r="J1465" s="163">
        <v>0</v>
      </c>
      <c r="K1465" s="163">
        <v>1</v>
      </c>
      <c r="L1465" s="163">
        <v>1</v>
      </c>
      <c r="M1465" s="163">
        <v>31</v>
      </c>
      <c r="N1465" s="163">
        <v>0</v>
      </c>
      <c r="O1465" s="163">
        <v>264</v>
      </c>
      <c r="P1465" s="163">
        <v>1525.92</v>
      </c>
      <c r="Q1465" s="163">
        <v>49.223225806000002</v>
      </c>
      <c r="R1465" s="163">
        <v>5.78</v>
      </c>
      <c r="S1465" s="161">
        <v>8.5161290323000003</v>
      </c>
      <c r="T1465">
        <f t="shared" si="39"/>
        <v>3.8524506617750172E-8</v>
      </c>
    </row>
    <row r="1466" spans="2:20">
      <c r="B1466" s="163" t="s">
        <v>2240</v>
      </c>
      <c r="C1466" s="163" t="s">
        <v>2241</v>
      </c>
      <c r="D1466" s="163" t="s">
        <v>2207</v>
      </c>
      <c r="E1466" s="163" t="s">
        <v>853</v>
      </c>
      <c r="F1466" s="163" t="s">
        <v>1363</v>
      </c>
      <c r="G1466" s="163">
        <v>4</v>
      </c>
      <c r="H1466" s="163">
        <v>7</v>
      </c>
      <c r="I1466" s="163">
        <v>2</v>
      </c>
      <c r="J1466" s="163">
        <v>0</v>
      </c>
      <c r="K1466" s="163">
        <v>1</v>
      </c>
      <c r="L1466" s="163">
        <v>1</v>
      </c>
      <c r="M1466" s="163">
        <v>1</v>
      </c>
      <c r="N1466" s="163">
        <v>0</v>
      </c>
      <c r="O1466" s="163">
        <v>1</v>
      </c>
      <c r="P1466" s="163">
        <v>0.94</v>
      </c>
      <c r="Q1466" s="163">
        <v>0.94</v>
      </c>
      <c r="R1466" s="163">
        <v>0.94</v>
      </c>
      <c r="S1466" s="161">
        <v>1</v>
      </c>
      <c r="T1466">
        <f t="shared" si="39"/>
        <v>1.4592616143087187E-10</v>
      </c>
    </row>
    <row r="1467" spans="2:20">
      <c r="B1467" s="163" t="s">
        <v>2242</v>
      </c>
      <c r="C1467" s="163" t="s">
        <v>2243</v>
      </c>
      <c r="D1467" s="163" t="s">
        <v>2207</v>
      </c>
      <c r="E1467" s="163" t="s">
        <v>853</v>
      </c>
      <c r="F1467" s="163" t="s">
        <v>1363</v>
      </c>
      <c r="G1467" s="163">
        <v>4</v>
      </c>
      <c r="H1467" s="163">
        <v>7</v>
      </c>
      <c r="I1467" s="163">
        <v>2</v>
      </c>
      <c r="J1467" s="163">
        <v>0</v>
      </c>
      <c r="K1467" s="163">
        <v>3</v>
      </c>
      <c r="L1467" s="163">
        <v>1</v>
      </c>
      <c r="M1467" s="163">
        <v>39</v>
      </c>
      <c r="N1467" s="163">
        <v>0</v>
      </c>
      <c r="O1467" s="163">
        <v>7820</v>
      </c>
      <c r="P1467" s="163">
        <v>21225.31</v>
      </c>
      <c r="Q1467" s="163">
        <v>544.23871795000002</v>
      </c>
      <c r="R1467" s="163">
        <v>2.7142340153000002</v>
      </c>
      <c r="S1467" s="161">
        <v>200.51282051000001</v>
      </c>
      <c r="T1467">
        <f t="shared" si="39"/>
        <v>1.141142582389418E-6</v>
      </c>
    </row>
    <row r="1468" spans="2:20">
      <c r="B1468" s="163" t="s">
        <v>2244</v>
      </c>
      <c r="C1468" s="163" t="s">
        <v>2245</v>
      </c>
      <c r="D1468" s="163" t="s">
        <v>2207</v>
      </c>
      <c r="E1468" s="163" t="s">
        <v>853</v>
      </c>
      <c r="F1468" s="163" t="s">
        <v>1363</v>
      </c>
      <c r="G1468" s="163">
        <v>4</v>
      </c>
      <c r="H1468" s="163">
        <v>7</v>
      </c>
      <c r="I1468" s="163">
        <v>2</v>
      </c>
      <c r="J1468" s="163">
        <v>0</v>
      </c>
      <c r="K1468" s="163">
        <v>3</v>
      </c>
      <c r="L1468" s="163">
        <v>1</v>
      </c>
      <c r="M1468" s="163">
        <v>1</v>
      </c>
      <c r="N1468" s="163">
        <v>0</v>
      </c>
      <c r="O1468" s="163">
        <v>100</v>
      </c>
      <c r="P1468" s="163">
        <v>285</v>
      </c>
      <c r="Q1468" s="163">
        <v>285</v>
      </c>
      <c r="R1468" s="163">
        <v>2.85</v>
      </c>
      <c r="S1468" s="161">
        <v>100</v>
      </c>
      <c r="T1468">
        <f t="shared" si="39"/>
        <v>1.4592616143087187E-8</v>
      </c>
    </row>
    <row r="1469" spans="2:20">
      <c r="B1469" s="163" t="s">
        <v>2246</v>
      </c>
      <c r="C1469" s="163" t="s">
        <v>2247</v>
      </c>
      <c r="D1469" s="163" t="s">
        <v>2207</v>
      </c>
      <c r="E1469" s="163" t="s">
        <v>853</v>
      </c>
      <c r="F1469" s="163" t="s">
        <v>1363</v>
      </c>
      <c r="G1469" s="163">
        <v>4</v>
      </c>
      <c r="H1469" s="163">
        <v>7</v>
      </c>
      <c r="I1469" s="163">
        <v>2</v>
      </c>
      <c r="J1469" s="163">
        <v>0</v>
      </c>
      <c r="K1469" s="163">
        <v>1</v>
      </c>
      <c r="L1469" s="163">
        <v>1</v>
      </c>
      <c r="M1469" s="163">
        <v>3</v>
      </c>
      <c r="N1469" s="163">
        <v>0</v>
      </c>
      <c r="O1469" s="163">
        <v>33</v>
      </c>
      <c r="P1469" s="163">
        <v>125.04</v>
      </c>
      <c r="Q1469" s="163">
        <v>41.68</v>
      </c>
      <c r="R1469" s="163">
        <v>3.7890909091</v>
      </c>
      <c r="S1469" s="161">
        <v>11</v>
      </c>
      <c r="T1469">
        <f t="shared" si="39"/>
        <v>4.8155633272187715E-9</v>
      </c>
    </row>
    <row r="1470" spans="2:20">
      <c r="B1470" s="163" t="s">
        <v>2248</v>
      </c>
      <c r="C1470" s="163" t="s">
        <v>2249</v>
      </c>
      <c r="D1470" s="163" t="s">
        <v>2207</v>
      </c>
      <c r="E1470" s="163" t="s">
        <v>853</v>
      </c>
      <c r="F1470" s="163" t="s">
        <v>1363</v>
      </c>
      <c r="G1470" s="163">
        <v>4</v>
      </c>
      <c r="H1470" s="163">
        <v>7</v>
      </c>
      <c r="I1470" s="163">
        <v>2</v>
      </c>
      <c r="J1470" s="163">
        <v>0</v>
      </c>
      <c r="K1470" s="163">
        <v>6</v>
      </c>
      <c r="L1470" s="163">
        <v>1</v>
      </c>
      <c r="M1470" s="163">
        <v>20</v>
      </c>
      <c r="N1470" s="163">
        <v>0</v>
      </c>
      <c r="O1470" s="163">
        <v>2156</v>
      </c>
      <c r="P1470" s="163">
        <v>13976.79</v>
      </c>
      <c r="Q1470" s="163">
        <v>698.83950000000004</v>
      </c>
      <c r="R1470" s="163">
        <v>6.4827411874000003</v>
      </c>
      <c r="S1470" s="161">
        <v>107.8</v>
      </c>
      <c r="T1470">
        <f t="shared" si="39"/>
        <v>3.1461680404495976E-7</v>
      </c>
    </row>
    <row r="1471" spans="2:20">
      <c r="B1471" s="163" t="s">
        <v>2250</v>
      </c>
      <c r="C1471" s="163" t="s">
        <v>2251</v>
      </c>
      <c r="D1471" s="163" t="s">
        <v>2207</v>
      </c>
      <c r="E1471" s="163" t="s">
        <v>853</v>
      </c>
      <c r="F1471" s="163" t="s">
        <v>1363</v>
      </c>
      <c r="G1471" s="163">
        <v>4</v>
      </c>
      <c r="H1471" s="163">
        <v>7</v>
      </c>
      <c r="I1471" s="163">
        <v>2</v>
      </c>
      <c r="J1471" s="163">
        <v>0</v>
      </c>
      <c r="K1471" s="163">
        <v>6</v>
      </c>
      <c r="L1471" s="163">
        <v>1</v>
      </c>
      <c r="M1471" s="163">
        <v>40</v>
      </c>
      <c r="N1471" s="163">
        <v>0</v>
      </c>
      <c r="O1471" s="163">
        <v>4160</v>
      </c>
      <c r="P1471" s="163">
        <v>37463.25</v>
      </c>
      <c r="Q1471" s="163">
        <v>936.58124999999995</v>
      </c>
      <c r="R1471" s="163">
        <v>9.0055889422999993</v>
      </c>
      <c r="S1471" s="161">
        <v>104</v>
      </c>
      <c r="T1471">
        <f t="shared" si="39"/>
        <v>6.0705283155242703E-7</v>
      </c>
    </row>
    <row r="1472" spans="2:20">
      <c r="B1472" s="163" t="s">
        <v>2252</v>
      </c>
      <c r="C1472" s="163" t="s">
        <v>2253</v>
      </c>
      <c r="D1472" s="163" t="s">
        <v>2207</v>
      </c>
      <c r="E1472" s="163" t="s">
        <v>853</v>
      </c>
      <c r="F1472" s="163" t="s">
        <v>1363</v>
      </c>
      <c r="G1472" s="163">
        <v>4</v>
      </c>
      <c r="H1472" s="163">
        <v>7</v>
      </c>
      <c r="I1472" s="163">
        <v>2</v>
      </c>
      <c r="J1472" s="163">
        <v>0</v>
      </c>
      <c r="K1472" s="163">
        <v>1</v>
      </c>
      <c r="L1472" s="163">
        <v>1</v>
      </c>
      <c r="M1472" s="163">
        <v>111</v>
      </c>
      <c r="N1472" s="163">
        <v>0</v>
      </c>
      <c r="O1472" s="163">
        <v>1001</v>
      </c>
      <c r="P1472" s="163">
        <v>3933.96</v>
      </c>
      <c r="Q1472" s="163">
        <v>35.441081081</v>
      </c>
      <c r="R1472" s="163">
        <v>3.9300299700000001</v>
      </c>
      <c r="S1472" s="161">
        <v>9.0180180179999994</v>
      </c>
      <c r="T1472">
        <f t="shared" si="39"/>
        <v>1.4607208759230275E-7</v>
      </c>
    </row>
    <row r="1473" spans="2:20">
      <c r="B1473" s="163" t="s">
        <v>2254</v>
      </c>
      <c r="C1473" s="163" t="s">
        <v>2255</v>
      </c>
      <c r="D1473" s="163" t="s">
        <v>2207</v>
      </c>
      <c r="E1473" s="163" t="s">
        <v>853</v>
      </c>
      <c r="F1473" s="163" t="s">
        <v>1363</v>
      </c>
      <c r="G1473" s="163">
        <v>4</v>
      </c>
      <c r="H1473" s="163">
        <v>7</v>
      </c>
      <c r="I1473" s="163">
        <v>2</v>
      </c>
      <c r="J1473" s="163">
        <v>0</v>
      </c>
      <c r="K1473" s="163">
        <v>1</v>
      </c>
      <c r="L1473" s="163">
        <v>1</v>
      </c>
      <c r="M1473" s="163">
        <v>12</v>
      </c>
      <c r="N1473" s="163">
        <v>0</v>
      </c>
      <c r="O1473" s="163">
        <v>96</v>
      </c>
      <c r="P1473" s="163">
        <v>144</v>
      </c>
      <c r="Q1473" s="163">
        <v>12</v>
      </c>
      <c r="R1473" s="163">
        <v>1.5</v>
      </c>
      <c r="S1473" s="161">
        <v>8</v>
      </c>
      <c r="T1473">
        <f t="shared" si="39"/>
        <v>1.4008911497363699E-8</v>
      </c>
    </row>
    <row r="1474" spans="2:20">
      <c r="B1474" s="163" t="s">
        <v>2256</v>
      </c>
      <c r="C1474" s="163" t="s">
        <v>2257</v>
      </c>
      <c r="D1474" s="163" t="s">
        <v>2207</v>
      </c>
      <c r="E1474" s="163" t="s">
        <v>853</v>
      </c>
      <c r="F1474" s="163" t="s">
        <v>1363</v>
      </c>
      <c r="G1474" s="163">
        <v>4</v>
      </c>
      <c r="H1474" s="163">
        <v>7</v>
      </c>
      <c r="I1474" s="163">
        <v>2</v>
      </c>
      <c r="J1474" s="163">
        <v>0</v>
      </c>
      <c r="K1474" s="163">
        <v>1</v>
      </c>
      <c r="L1474" s="163">
        <v>1</v>
      </c>
      <c r="M1474" s="163">
        <v>18</v>
      </c>
      <c r="N1474" s="163">
        <v>0</v>
      </c>
      <c r="O1474" s="163">
        <v>412</v>
      </c>
      <c r="P1474" s="163">
        <v>7558.53</v>
      </c>
      <c r="Q1474" s="163">
        <v>419.91833333</v>
      </c>
      <c r="R1474" s="163">
        <v>18.345946602000001</v>
      </c>
      <c r="S1474" s="161">
        <v>22.888888889</v>
      </c>
      <c r="T1474">
        <f t="shared" si="39"/>
        <v>6.0121578509519215E-8</v>
      </c>
    </row>
    <row r="1475" spans="2:20">
      <c r="B1475" s="163" t="s">
        <v>2258</v>
      </c>
      <c r="C1475" s="163" t="s">
        <v>2259</v>
      </c>
      <c r="D1475" s="163" t="s">
        <v>2207</v>
      </c>
      <c r="E1475" s="163" t="s">
        <v>853</v>
      </c>
      <c r="F1475" s="163" t="s">
        <v>1363</v>
      </c>
      <c r="G1475" s="163">
        <v>4</v>
      </c>
      <c r="H1475" s="163">
        <v>7</v>
      </c>
      <c r="I1475" s="163">
        <v>2</v>
      </c>
      <c r="J1475" s="163">
        <v>0</v>
      </c>
      <c r="K1475" s="163">
        <v>1</v>
      </c>
      <c r="L1475" s="163">
        <v>3</v>
      </c>
      <c r="M1475" s="163">
        <v>276595</v>
      </c>
      <c r="N1475" s="163">
        <v>117679</v>
      </c>
      <c r="O1475" s="163">
        <v>18948730.600000001</v>
      </c>
      <c r="P1475" s="163">
        <v>1642174.6270000001</v>
      </c>
      <c r="Q1475" s="163">
        <v>5.9371088668000001</v>
      </c>
      <c r="R1475" s="163">
        <v>8.6664096999999995E-2</v>
      </c>
      <c r="S1475" s="161">
        <v>68.507133534999994</v>
      </c>
      <c r="T1475">
        <f t="shared" si="39"/>
        <v>2.765115520445702E-3</v>
      </c>
    </row>
    <row r="1476" spans="2:20">
      <c r="B1476" s="163" t="s">
        <v>2260</v>
      </c>
      <c r="C1476" s="163" t="s">
        <v>2261</v>
      </c>
      <c r="D1476" s="163" t="s">
        <v>2207</v>
      </c>
      <c r="E1476" s="163" t="s">
        <v>853</v>
      </c>
      <c r="F1476" s="163" t="s">
        <v>1363</v>
      </c>
      <c r="G1476" s="163">
        <v>4</v>
      </c>
      <c r="H1476" s="163">
        <v>7</v>
      </c>
      <c r="I1476" s="163">
        <v>2</v>
      </c>
      <c r="J1476" s="163">
        <v>0</v>
      </c>
      <c r="K1476" s="163">
        <v>1</v>
      </c>
      <c r="L1476" s="163">
        <v>3</v>
      </c>
      <c r="M1476" s="163">
        <v>133812.70000000001</v>
      </c>
      <c r="N1476" s="163">
        <v>59218.7</v>
      </c>
      <c r="O1476" s="163">
        <v>7139702.2999999998</v>
      </c>
      <c r="P1476" s="163">
        <v>1483943.25</v>
      </c>
      <c r="Q1476" s="163">
        <v>11.089704116</v>
      </c>
      <c r="R1476" s="163">
        <v>0.2078438551</v>
      </c>
      <c r="S1476" s="161">
        <v>53.355939309</v>
      </c>
      <c r="T1476">
        <f t="shared" si="39"/>
        <v>1.0418693503981673E-3</v>
      </c>
    </row>
    <row r="1477" spans="2:20">
      <c r="B1477" s="163" t="s">
        <v>2262</v>
      </c>
      <c r="C1477" s="163" t="s">
        <v>2263</v>
      </c>
      <c r="D1477" s="163" t="s">
        <v>2207</v>
      </c>
      <c r="E1477" s="163" t="s">
        <v>853</v>
      </c>
      <c r="F1477" s="163" t="s">
        <v>1363</v>
      </c>
      <c r="G1477" s="163">
        <v>4</v>
      </c>
      <c r="H1477" s="163">
        <v>7</v>
      </c>
      <c r="I1477" s="163">
        <v>2</v>
      </c>
      <c r="J1477" s="163">
        <v>0</v>
      </c>
      <c r="K1477" s="163">
        <v>1</v>
      </c>
      <c r="L1477" s="163">
        <v>3</v>
      </c>
      <c r="M1477" s="163">
        <v>68179.3</v>
      </c>
      <c r="N1477" s="163">
        <v>22611.3</v>
      </c>
      <c r="O1477" s="163">
        <v>3531272.8</v>
      </c>
      <c r="P1477" s="163">
        <v>1431297.0930000001</v>
      </c>
      <c r="Q1477" s="163">
        <v>20.993132710000001</v>
      </c>
      <c r="R1477" s="163">
        <v>0.40532045360000002</v>
      </c>
      <c r="S1477" s="161">
        <v>51.793913989000004</v>
      </c>
      <c r="T1477">
        <f t="shared" si="39"/>
        <v>5.1530508466924685E-4</v>
      </c>
    </row>
    <row r="1478" spans="2:20">
      <c r="B1478" s="163" t="s">
        <v>2264</v>
      </c>
      <c r="C1478" s="163" t="s">
        <v>2265</v>
      </c>
      <c r="D1478" s="163" t="s">
        <v>2207</v>
      </c>
      <c r="E1478" s="163" t="s">
        <v>853</v>
      </c>
      <c r="F1478" s="163" t="s">
        <v>1363</v>
      </c>
      <c r="G1478" s="163">
        <v>4</v>
      </c>
      <c r="H1478" s="163">
        <v>7</v>
      </c>
      <c r="I1478" s="163">
        <v>2</v>
      </c>
      <c r="J1478" s="163">
        <v>0</v>
      </c>
      <c r="K1478" s="163">
        <v>1</v>
      </c>
      <c r="L1478" s="163">
        <v>3</v>
      </c>
      <c r="M1478" s="163">
        <v>20708.099999999999</v>
      </c>
      <c r="N1478" s="163">
        <v>5271.1</v>
      </c>
      <c r="O1478" s="163">
        <v>1036705.3</v>
      </c>
      <c r="P1478" s="163">
        <v>665198.45600000001</v>
      </c>
      <c r="Q1478" s="163">
        <v>32.122621389999999</v>
      </c>
      <c r="R1478" s="163">
        <v>0.64164662419999996</v>
      </c>
      <c r="S1478" s="161">
        <v>50.062791853999997</v>
      </c>
      <c r="T1478">
        <f t="shared" si="39"/>
        <v>1.5128242496404044E-4</v>
      </c>
    </row>
    <row r="1479" spans="2:20">
      <c r="B1479" s="163" t="s">
        <v>2266</v>
      </c>
      <c r="C1479" s="163" t="s">
        <v>2267</v>
      </c>
      <c r="D1479" s="163" t="s">
        <v>2207</v>
      </c>
      <c r="E1479" s="163" t="s">
        <v>853</v>
      </c>
      <c r="F1479" s="163" t="s">
        <v>1363</v>
      </c>
      <c r="G1479" s="163">
        <v>4</v>
      </c>
      <c r="H1479" s="163">
        <v>7</v>
      </c>
      <c r="I1479" s="163">
        <v>2</v>
      </c>
      <c r="J1479" s="163">
        <v>0</v>
      </c>
      <c r="K1479" s="163">
        <v>1</v>
      </c>
      <c r="L1479" s="163">
        <v>3</v>
      </c>
      <c r="M1479" s="163">
        <v>2046</v>
      </c>
      <c r="N1479" s="163">
        <v>0</v>
      </c>
      <c r="O1479" s="163">
        <v>124437</v>
      </c>
      <c r="P1479" s="163">
        <v>168694.31</v>
      </c>
      <c r="Q1479" s="163">
        <v>82.450786901000001</v>
      </c>
      <c r="R1479" s="163">
        <v>1.3556603743</v>
      </c>
      <c r="S1479" s="161">
        <v>60.819648094000001</v>
      </c>
      <c r="T1479">
        <f t="shared" si="39"/>
        <v>1.8158613749973402E-5</v>
      </c>
    </row>
    <row r="1480" spans="2:20">
      <c r="B1480" s="163" t="s">
        <v>2268</v>
      </c>
      <c r="C1480" s="163" t="s">
        <v>2269</v>
      </c>
      <c r="D1480" s="163" t="s">
        <v>2207</v>
      </c>
      <c r="E1480" s="163" t="s">
        <v>853</v>
      </c>
      <c r="F1480" s="163" t="s">
        <v>1363</v>
      </c>
      <c r="G1480" s="163">
        <v>4</v>
      </c>
      <c r="H1480" s="163">
        <v>7</v>
      </c>
      <c r="I1480" s="163">
        <v>2</v>
      </c>
      <c r="J1480" s="163">
        <v>0</v>
      </c>
      <c r="K1480" s="163">
        <v>1</v>
      </c>
      <c r="L1480" s="163">
        <v>3</v>
      </c>
      <c r="M1480" s="163">
        <v>5385</v>
      </c>
      <c r="N1480" s="163">
        <v>2464</v>
      </c>
      <c r="O1480" s="163">
        <v>308652</v>
      </c>
      <c r="P1480" s="163">
        <v>252887.05</v>
      </c>
      <c r="Q1480" s="163">
        <v>46.961383472999998</v>
      </c>
      <c r="R1480" s="163">
        <v>0.81932743019999998</v>
      </c>
      <c r="S1480" s="161">
        <v>57.316991643000001</v>
      </c>
      <c r="T1480">
        <f t="shared" si="39"/>
        <v>4.5040401577961465E-5</v>
      </c>
    </row>
    <row r="1481" spans="2:20">
      <c r="B1481" s="163" t="s">
        <v>2270</v>
      </c>
      <c r="C1481" s="163" t="s">
        <v>2271</v>
      </c>
      <c r="D1481" s="163" t="s">
        <v>2207</v>
      </c>
      <c r="E1481" s="163" t="s">
        <v>853</v>
      </c>
      <c r="F1481" s="163" t="s">
        <v>1363</v>
      </c>
      <c r="G1481" s="163">
        <v>4</v>
      </c>
      <c r="H1481" s="163">
        <v>7</v>
      </c>
      <c r="I1481" s="163">
        <v>2</v>
      </c>
      <c r="J1481" s="163">
        <v>0</v>
      </c>
      <c r="K1481" s="163">
        <v>1</v>
      </c>
      <c r="L1481" s="163">
        <v>3</v>
      </c>
      <c r="M1481" s="163">
        <v>2120</v>
      </c>
      <c r="N1481" s="163">
        <v>1029</v>
      </c>
      <c r="O1481" s="163">
        <v>107165</v>
      </c>
      <c r="P1481" s="163">
        <v>91232.37</v>
      </c>
      <c r="Q1481" s="163">
        <v>43.034136791999998</v>
      </c>
      <c r="R1481" s="163">
        <v>0.85132617929999999</v>
      </c>
      <c r="S1481" s="161">
        <v>50.549528301999999</v>
      </c>
      <c r="T1481">
        <f t="shared" si="39"/>
        <v>1.5638177089739383E-5</v>
      </c>
    </row>
    <row r="1482" spans="2:20">
      <c r="B1482" s="163" t="s">
        <v>2272</v>
      </c>
      <c r="C1482" s="163" t="s">
        <v>2273</v>
      </c>
      <c r="D1482" s="163" t="s">
        <v>2207</v>
      </c>
      <c r="E1482" s="163" t="s">
        <v>853</v>
      </c>
      <c r="F1482" s="163" t="s">
        <v>1363</v>
      </c>
      <c r="G1482" s="163">
        <v>4</v>
      </c>
      <c r="H1482" s="163">
        <v>7</v>
      </c>
      <c r="I1482" s="163">
        <v>2</v>
      </c>
      <c r="J1482" s="163">
        <v>0</v>
      </c>
      <c r="K1482" s="163">
        <v>1</v>
      </c>
      <c r="L1482" s="163">
        <v>3</v>
      </c>
      <c r="M1482" s="163">
        <v>1127</v>
      </c>
      <c r="N1482" s="163">
        <v>460</v>
      </c>
      <c r="O1482" s="163">
        <v>50600</v>
      </c>
      <c r="P1482" s="163">
        <v>86169.35</v>
      </c>
      <c r="Q1482" s="163">
        <v>76.459050576999999</v>
      </c>
      <c r="R1482" s="163">
        <v>1.702951581</v>
      </c>
      <c r="S1482" s="161">
        <v>44.897959184000001</v>
      </c>
      <c r="T1482">
        <f t="shared" si="39"/>
        <v>7.3838637684021166E-6</v>
      </c>
    </row>
    <row r="1483" spans="2:20">
      <c r="B1483" s="163" t="s">
        <v>2274</v>
      </c>
      <c r="C1483" s="163" t="s">
        <v>2275</v>
      </c>
      <c r="D1483" s="163" t="s">
        <v>2207</v>
      </c>
      <c r="E1483" s="163" t="s">
        <v>853</v>
      </c>
      <c r="F1483" s="163" t="s">
        <v>1363</v>
      </c>
      <c r="G1483" s="163">
        <v>4</v>
      </c>
      <c r="H1483" s="163">
        <v>7</v>
      </c>
      <c r="I1483" s="163">
        <v>2</v>
      </c>
      <c r="J1483" s="163">
        <v>0</v>
      </c>
      <c r="K1483" s="163">
        <v>1</v>
      </c>
      <c r="L1483" s="163">
        <v>3</v>
      </c>
      <c r="M1483" s="163">
        <v>585</v>
      </c>
      <c r="N1483" s="163">
        <v>232</v>
      </c>
      <c r="O1483" s="163">
        <v>31272</v>
      </c>
      <c r="P1483" s="163">
        <v>88760.77</v>
      </c>
      <c r="Q1483" s="163">
        <v>151.72781197</v>
      </c>
      <c r="R1483" s="163">
        <v>2.8383464440999999</v>
      </c>
      <c r="S1483" s="161">
        <v>53.456410255999998</v>
      </c>
      <c r="T1483">
        <f t="shared" si="39"/>
        <v>4.5634029202662248E-6</v>
      </c>
    </row>
    <row r="1484" spans="2:20">
      <c r="B1484" s="163" t="s">
        <v>2276</v>
      </c>
      <c r="C1484" s="163" t="s">
        <v>2277</v>
      </c>
      <c r="D1484" s="163" t="s">
        <v>2207</v>
      </c>
      <c r="E1484" s="163" t="s">
        <v>853</v>
      </c>
      <c r="F1484" s="163" t="s">
        <v>1363</v>
      </c>
      <c r="G1484" s="163">
        <v>4</v>
      </c>
      <c r="H1484" s="163">
        <v>7</v>
      </c>
      <c r="I1484" s="163">
        <v>2</v>
      </c>
      <c r="J1484" s="163">
        <v>0</v>
      </c>
      <c r="K1484" s="163">
        <v>1</v>
      </c>
      <c r="L1484" s="163">
        <v>3</v>
      </c>
      <c r="M1484" s="163">
        <v>116</v>
      </c>
      <c r="N1484" s="163">
        <v>13</v>
      </c>
      <c r="O1484" s="163">
        <v>6574</v>
      </c>
      <c r="P1484" s="163">
        <v>37318.300000000003</v>
      </c>
      <c r="Q1484" s="163">
        <v>321.70948276000001</v>
      </c>
      <c r="R1484" s="163">
        <v>5.6766504410999996</v>
      </c>
      <c r="S1484" s="161">
        <v>56.672413792999997</v>
      </c>
      <c r="T1484">
        <f t="shared" si="39"/>
        <v>9.5931858524655164E-7</v>
      </c>
    </row>
    <row r="1485" spans="2:20">
      <c r="B1485" s="163" t="s">
        <v>2278</v>
      </c>
      <c r="C1485" s="163" t="s">
        <v>2279</v>
      </c>
      <c r="D1485" s="163" t="s">
        <v>2207</v>
      </c>
      <c r="E1485" s="163" t="s">
        <v>853</v>
      </c>
      <c r="F1485" s="163" t="s">
        <v>1363</v>
      </c>
      <c r="G1485" s="163">
        <v>4</v>
      </c>
      <c r="H1485" s="163">
        <v>7</v>
      </c>
      <c r="I1485" s="163">
        <v>2</v>
      </c>
      <c r="J1485" s="163">
        <v>0</v>
      </c>
      <c r="K1485" s="163">
        <v>1</v>
      </c>
      <c r="L1485" s="163">
        <v>3</v>
      </c>
      <c r="M1485" s="163">
        <v>128160</v>
      </c>
      <c r="N1485" s="163">
        <v>65472</v>
      </c>
      <c r="O1485" s="163">
        <v>6344617</v>
      </c>
      <c r="P1485" s="163">
        <v>347998.63</v>
      </c>
      <c r="Q1485" s="163">
        <v>2.7153451154999999</v>
      </c>
      <c r="R1485" s="163">
        <v>5.4849430599999999E-2</v>
      </c>
      <c r="S1485" s="161">
        <v>49.505438513999998</v>
      </c>
      <c r="T1485">
        <f t="shared" si="39"/>
        <v>9.2584560455905398E-4</v>
      </c>
    </row>
    <row r="1486" spans="2:20">
      <c r="B1486" s="163" t="s">
        <v>2280</v>
      </c>
      <c r="C1486" s="163" t="s">
        <v>2281</v>
      </c>
      <c r="D1486" s="163" t="s">
        <v>2207</v>
      </c>
      <c r="E1486" s="163" t="s">
        <v>853</v>
      </c>
      <c r="F1486" s="163" t="s">
        <v>1363</v>
      </c>
      <c r="G1486" s="163">
        <v>4</v>
      </c>
      <c r="H1486" s="163">
        <v>7</v>
      </c>
      <c r="I1486" s="163">
        <v>2</v>
      </c>
      <c r="J1486" s="163">
        <v>0</v>
      </c>
      <c r="K1486" s="163">
        <v>1</v>
      </c>
      <c r="L1486" s="163">
        <v>3</v>
      </c>
      <c r="M1486" s="163">
        <v>91003</v>
      </c>
      <c r="N1486" s="163">
        <v>37209</v>
      </c>
      <c r="O1486" s="163">
        <v>4983302</v>
      </c>
      <c r="P1486" s="163">
        <v>755731.32</v>
      </c>
      <c r="Q1486" s="163">
        <v>8.3044660066000002</v>
      </c>
      <c r="R1486" s="163">
        <v>0.15165272339999999</v>
      </c>
      <c r="S1486" s="161">
        <v>54.759755173000002</v>
      </c>
      <c r="T1486">
        <f t="shared" si="39"/>
        <v>7.2719413211078663E-4</v>
      </c>
    </row>
    <row r="1487" spans="2:20">
      <c r="B1487" s="163" t="s">
        <v>2282</v>
      </c>
      <c r="C1487" s="163" t="s">
        <v>2283</v>
      </c>
      <c r="D1487" s="163" t="s">
        <v>2207</v>
      </c>
      <c r="E1487" s="163" t="s">
        <v>853</v>
      </c>
      <c r="F1487" s="163" t="s">
        <v>1363</v>
      </c>
      <c r="G1487" s="163">
        <v>4</v>
      </c>
      <c r="H1487" s="163">
        <v>7</v>
      </c>
      <c r="I1487" s="163">
        <v>2</v>
      </c>
      <c r="J1487" s="163">
        <v>0</v>
      </c>
      <c r="K1487" s="163">
        <v>3</v>
      </c>
      <c r="L1487" s="163">
        <v>3</v>
      </c>
      <c r="M1487" s="163">
        <v>11358</v>
      </c>
      <c r="N1487" s="163">
        <v>5984</v>
      </c>
      <c r="O1487" s="163">
        <v>2231022</v>
      </c>
      <c r="P1487" s="163">
        <v>363079.77</v>
      </c>
      <c r="Q1487" s="163">
        <v>31.966875330000001</v>
      </c>
      <c r="R1487" s="163">
        <v>0.1627414566</v>
      </c>
      <c r="S1487" s="161">
        <v>196.42736396999999</v>
      </c>
      <c r="T1487">
        <f t="shared" si="39"/>
        <v>3.2556447652782661E-4</v>
      </c>
    </row>
    <row r="1488" spans="2:20">
      <c r="B1488" s="163" t="s">
        <v>2284</v>
      </c>
      <c r="C1488" s="163" t="s">
        <v>2285</v>
      </c>
      <c r="D1488" s="163" t="s">
        <v>2207</v>
      </c>
      <c r="E1488" s="163" t="s">
        <v>853</v>
      </c>
      <c r="F1488" s="163" t="s">
        <v>1363</v>
      </c>
      <c r="G1488" s="163">
        <v>4</v>
      </c>
      <c r="H1488" s="163">
        <v>7</v>
      </c>
      <c r="I1488" s="163">
        <v>2</v>
      </c>
      <c r="J1488" s="163">
        <v>0</v>
      </c>
      <c r="K1488" s="163">
        <v>3</v>
      </c>
      <c r="L1488" s="163">
        <v>3</v>
      </c>
      <c r="M1488" s="163">
        <v>780582</v>
      </c>
      <c r="N1488" s="163">
        <v>0</v>
      </c>
      <c r="O1488" s="163">
        <v>229834520</v>
      </c>
      <c r="P1488" s="163">
        <v>4146228.9</v>
      </c>
      <c r="Q1488" s="163">
        <v>5.3117147206000004</v>
      </c>
      <c r="R1488" s="163">
        <v>1.8040061600000001E-2</v>
      </c>
      <c r="S1488" s="161">
        <v>294.43994352999999</v>
      </c>
      <c r="T1488">
        <f t="shared" si="39"/>
        <v>3.3538869267906952E-2</v>
      </c>
    </row>
    <row r="1489" spans="2:20">
      <c r="B1489" s="163" t="s">
        <v>2286</v>
      </c>
      <c r="C1489" s="163" t="s">
        <v>2287</v>
      </c>
      <c r="D1489" s="163" t="s">
        <v>2207</v>
      </c>
      <c r="E1489" s="163" t="s">
        <v>853</v>
      </c>
      <c r="F1489" s="163" t="s">
        <v>1363</v>
      </c>
      <c r="G1489" s="163">
        <v>4</v>
      </c>
      <c r="H1489" s="163">
        <v>7</v>
      </c>
      <c r="I1489" s="163">
        <v>2</v>
      </c>
      <c r="J1489" s="163">
        <v>0</v>
      </c>
      <c r="K1489" s="163">
        <v>1</v>
      </c>
      <c r="L1489" s="163">
        <v>3</v>
      </c>
      <c r="M1489" s="163">
        <v>3</v>
      </c>
      <c r="N1489" s="163">
        <v>3</v>
      </c>
      <c r="O1489" s="163">
        <v>48</v>
      </c>
      <c r="P1489" s="163">
        <v>688</v>
      </c>
      <c r="Q1489" s="163">
        <v>229.33333332999999</v>
      </c>
      <c r="R1489" s="163">
        <v>14.333333333000001</v>
      </c>
      <c r="S1489" s="161">
        <v>16</v>
      </c>
      <c r="T1489">
        <f t="shared" si="39"/>
        <v>7.0044557486818496E-9</v>
      </c>
    </row>
    <row r="1490" spans="2:20">
      <c r="B1490" s="163" t="s">
        <v>2288</v>
      </c>
      <c r="C1490" s="163" t="s">
        <v>2289</v>
      </c>
      <c r="D1490" s="163" t="s">
        <v>2207</v>
      </c>
      <c r="E1490" s="163" t="s">
        <v>853</v>
      </c>
      <c r="F1490" s="163" t="s">
        <v>1363</v>
      </c>
      <c r="G1490" s="163">
        <v>4</v>
      </c>
      <c r="H1490" s="163">
        <v>7</v>
      </c>
      <c r="I1490" s="163">
        <v>2</v>
      </c>
      <c r="J1490" s="163">
        <v>0</v>
      </c>
      <c r="K1490" s="163">
        <v>1</v>
      </c>
      <c r="L1490" s="163">
        <v>3</v>
      </c>
      <c r="M1490" s="163">
        <v>111620</v>
      </c>
      <c r="N1490" s="163">
        <v>57277</v>
      </c>
      <c r="O1490" s="163">
        <v>7368997</v>
      </c>
      <c r="P1490" s="163">
        <v>698842.54</v>
      </c>
      <c r="Q1490" s="163">
        <v>6.2609079017999996</v>
      </c>
      <c r="R1490" s="163">
        <v>9.4835503400000007E-2</v>
      </c>
      <c r="S1490" s="161">
        <v>66.018607775999996</v>
      </c>
      <c r="T1490">
        <f t="shared" si="39"/>
        <v>1.0753294458056106E-3</v>
      </c>
    </row>
    <row r="1491" spans="2:20">
      <c r="B1491" s="163" t="s">
        <v>2290</v>
      </c>
      <c r="C1491" s="163" t="s">
        <v>2291</v>
      </c>
      <c r="D1491" s="163" t="s">
        <v>2207</v>
      </c>
      <c r="E1491" s="163" t="s">
        <v>853</v>
      </c>
      <c r="F1491" s="163" t="s">
        <v>1363</v>
      </c>
      <c r="G1491" s="163">
        <v>4</v>
      </c>
      <c r="H1491" s="163">
        <v>7</v>
      </c>
      <c r="I1491" s="163">
        <v>2</v>
      </c>
      <c r="J1491" s="163">
        <v>0</v>
      </c>
      <c r="K1491" s="163">
        <v>1</v>
      </c>
      <c r="L1491" s="163">
        <v>3</v>
      </c>
      <c r="M1491" s="163">
        <v>33933</v>
      </c>
      <c r="N1491" s="163">
        <v>15854</v>
      </c>
      <c r="O1491" s="163">
        <v>2612066</v>
      </c>
      <c r="P1491" s="163">
        <v>494927.08</v>
      </c>
      <c r="Q1491" s="163">
        <v>14.585420682000001</v>
      </c>
      <c r="R1491" s="163">
        <v>0.18947724899999999</v>
      </c>
      <c r="S1491" s="161">
        <v>76.977160875999999</v>
      </c>
      <c r="T1491">
        <f t="shared" si="39"/>
        <v>3.8116876478409178E-4</v>
      </c>
    </row>
    <row r="1492" spans="2:20">
      <c r="B1492" s="163" t="s">
        <v>2292</v>
      </c>
      <c r="C1492" s="163" t="s">
        <v>2293</v>
      </c>
      <c r="D1492" s="163" t="s">
        <v>2207</v>
      </c>
      <c r="E1492" s="163" t="s">
        <v>853</v>
      </c>
      <c r="F1492" s="163" t="s">
        <v>1363</v>
      </c>
      <c r="G1492" s="163">
        <v>4</v>
      </c>
      <c r="H1492" s="163">
        <v>7</v>
      </c>
      <c r="I1492" s="163">
        <v>2</v>
      </c>
      <c r="J1492" s="163">
        <v>0</v>
      </c>
      <c r="K1492" s="163">
        <v>1</v>
      </c>
      <c r="L1492" s="163">
        <v>3</v>
      </c>
      <c r="M1492" s="163">
        <v>7205</v>
      </c>
      <c r="N1492" s="163">
        <v>2697</v>
      </c>
      <c r="O1492" s="163">
        <v>631745</v>
      </c>
      <c r="P1492" s="163">
        <v>316100.49</v>
      </c>
      <c r="Q1492" s="163">
        <v>43.872378904000001</v>
      </c>
      <c r="R1492" s="163">
        <v>0.5003608893</v>
      </c>
      <c r="S1492" s="161">
        <v>87.681471200999994</v>
      </c>
      <c r="T1492">
        <f t="shared" si="39"/>
        <v>9.2188122853146146E-5</v>
      </c>
    </row>
    <row r="1493" spans="2:20">
      <c r="B1493" s="163" t="s">
        <v>2294</v>
      </c>
      <c r="C1493" s="163" t="s">
        <v>2295</v>
      </c>
      <c r="D1493" s="163" t="s">
        <v>2207</v>
      </c>
      <c r="E1493" s="163" t="s">
        <v>853</v>
      </c>
      <c r="F1493" s="163" t="s">
        <v>1363</v>
      </c>
      <c r="G1493" s="163">
        <v>4</v>
      </c>
      <c r="H1493" s="163">
        <v>7</v>
      </c>
      <c r="I1493" s="163">
        <v>2</v>
      </c>
      <c r="J1493" s="163">
        <v>0</v>
      </c>
      <c r="K1493" s="163">
        <v>1</v>
      </c>
      <c r="L1493" s="163">
        <v>3</v>
      </c>
      <c r="M1493" s="163">
        <v>3074</v>
      </c>
      <c r="N1493" s="163">
        <v>0</v>
      </c>
      <c r="O1493" s="163">
        <v>89161</v>
      </c>
      <c r="P1493" s="163">
        <v>34745.61</v>
      </c>
      <c r="Q1493" s="163">
        <v>11.303061158</v>
      </c>
      <c r="R1493" s="163">
        <v>0.3896951582</v>
      </c>
      <c r="S1493" s="161">
        <v>29.004879635999998</v>
      </c>
      <c r="T1493">
        <f t="shared" si="39"/>
        <v>1.3010922479337967E-5</v>
      </c>
    </row>
    <row r="1494" spans="2:20">
      <c r="B1494" s="163" t="s">
        <v>2296</v>
      </c>
      <c r="C1494" s="163" t="s">
        <v>2297</v>
      </c>
      <c r="D1494" s="163" t="s">
        <v>2207</v>
      </c>
      <c r="E1494" s="163" t="s">
        <v>853</v>
      </c>
      <c r="F1494" s="163" t="s">
        <v>1363</v>
      </c>
      <c r="G1494" s="163">
        <v>4</v>
      </c>
      <c r="H1494" s="163">
        <v>7</v>
      </c>
      <c r="I1494" s="163">
        <v>2</v>
      </c>
      <c r="J1494" s="163">
        <v>0</v>
      </c>
      <c r="K1494" s="163">
        <v>1</v>
      </c>
      <c r="L1494" s="163">
        <v>3</v>
      </c>
      <c r="M1494" s="163">
        <v>2568</v>
      </c>
      <c r="N1494" s="163">
        <v>0</v>
      </c>
      <c r="O1494" s="163">
        <v>57800</v>
      </c>
      <c r="P1494" s="163">
        <v>30864.63</v>
      </c>
      <c r="Q1494" s="163">
        <v>12.018936915999999</v>
      </c>
      <c r="R1494" s="163">
        <v>0.53399013839999998</v>
      </c>
      <c r="S1494" s="161">
        <v>22.507788162000001</v>
      </c>
      <c r="T1494">
        <f t="shared" si="39"/>
        <v>8.4345321307043949E-6</v>
      </c>
    </row>
    <row r="1495" spans="2:20">
      <c r="B1495" s="163" t="s">
        <v>2298</v>
      </c>
      <c r="C1495" s="163" t="s">
        <v>2299</v>
      </c>
      <c r="D1495" s="163" t="s">
        <v>2207</v>
      </c>
      <c r="E1495" s="163" t="s">
        <v>853</v>
      </c>
      <c r="F1495" s="163" t="s">
        <v>1363</v>
      </c>
      <c r="G1495" s="163">
        <v>4</v>
      </c>
      <c r="H1495" s="163">
        <v>7</v>
      </c>
      <c r="I1495" s="163">
        <v>2</v>
      </c>
      <c r="J1495" s="163">
        <v>0</v>
      </c>
      <c r="K1495" s="163">
        <v>1</v>
      </c>
      <c r="L1495" s="163">
        <v>3</v>
      </c>
      <c r="M1495" s="163">
        <v>2679</v>
      </c>
      <c r="N1495" s="163">
        <v>836</v>
      </c>
      <c r="O1495" s="163">
        <v>81238</v>
      </c>
      <c r="P1495" s="163">
        <v>63945.36</v>
      </c>
      <c r="Q1495" s="163">
        <v>23.869115342000001</v>
      </c>
      <c r="R1495" s="163">
        <v>0.78713606930000002</v>
      </c>
      <c r="S1495" s="161">
        <v>30.324001493000001</v>
      </c>
      <c r="T1495">
        <f t="shared" si="39"/>
        <v>1.1854749502321169E-5</v>
      </c>
    </row>
    <row r="1496" spans="2:20">
      <c r="B1496" s="163" t="s">
        <v>2300</v>
      </c>
      <c r="C1496" s="163" t="s">
        <v>2301</v>
      </c>
      <c r="D1496" s="163" t="s">
        <v>2207</v>
      </c>
      <c r="E1496" s="163" t="s">
        <v>853</v>
      </c>
      <c r="F1496" s="163" t="s">
        <v>1363</v>
      </c>
      <c r="G1496" s="163">
        <v>4</v>
      </c>
      <c r="H1496" s="163">
        <v>7</v>
      </c>
      <c r="I1496" s="163">
        <v>2</v>
      </c>
      <c r="J1496" s="163">
        <v>0</v>
      </c>
      <c r="K1496" s="163">
        <v>1</v>
      </c>
      <c r="L1496" s="163">
        <v>3</v>
      </c>
      <c r="M1496" s="163">
        <v>2912</v>
      </c>
      <c r="N1496" s="163">
        <v>864</v>
      </c>
      <c r="O1496" s="163">
        <v>94719</v>
      </c>
      <c r="P1496" s="163">
        <v>98613.45</v>
      </c>
      <c r="Q1496" s="163">
        <v>33.864508929000003</v>
      </c>
      <c r="R1496" s="163">
        <v>1.0411158268</v>
      </c>
      <c r="S1496" s="161">
        <v>32.527129121000002</v>
      </c>
      <c r="T1496">
        <f t="shared" si="39"/>
        <v>1.3821980084570752E-5</v>
      </c>
    </row>
    <row r="1497" spans="2:20">
      <c r="B1497" s="163" t="s">
        <v>2302</v>
      </c>
      <c r="C1497" s="163" t="s">
        <v>2303</v>
      </c>
      <c r="D1497" s="163" t="s">
        <v>2207</v>
      </c>
      <c r="E1497" s="163" t="s">
        <v>853</v>
      </c>
      <c r="F1497" s="163" t="s">
        <v>1363</v>
      </c>
      <c r="G1497" s="163">
        <v>4</v>
      </c>
      <c r="H1497" s="163">
        <v>7</v>
      </c>
      <c r="I1497" s="163">
        <v>2</v>
      </c>
      <c r="J1497" s="163">
        <v>0</v>
      </c>
      <c r="K1497" s="163">
        <v>1</v>
      </c>
      <c r="L1497" s="163">
        <v>3</v>
      </c>
      <c r="M1497" s="163">
        <v>2220</v>
      </c>
      <c r="N1497" s="163">
        <v>522</v>
      </c>
      <c r="O1497" s="163">
        <v>70361</v>
      </c>
      <c r="P1497" s="163">
        <v>91546.99</v>
      </c>
      <c r="Q1497" s="163">
        <v>41.237382883000002</v>
      </c>
      <c r="R1497" s="163">
        <v>1.3011041628</v>
      </c>
      <c r="S1497" s="161">
        <v>31.694144143999999</v>
      </c>
      <c r="T1497">
        <f t="shared" si="39"/>
        <v>1.0267510644437576E-5</v>
      </c>
    </row>
    <row r="1498" spans="2:20">
      <c r="B1498" s="163" t="s">
        <v>2304</v>
      </c>
      <c r="C1498" s="163" t="s">
        <v>2305</v>
      </c>
      <c r="D1498" s="163" t="s">
        <v>2207</v>
      </c>
      <c r="E1498" s="163" t="s">
        <v>853</v>
      </c>
      <c r="F1498" s="163" t="s">
        <v>1363</v>
      </c>
      <c r="G1498" s="163">
        <v>4</v>
      </c>
      <c r="H1498" s="163">
        <v>7</v>
      </c>
      <c r="I1498" s="163">
        <v>2</v>
      </c>
      <c r="J1498" s="163">
        <v>0</v>
      </c>
      <c r="K1498" s="163">
        <v>1</v>
      </c>
      <c r="L1498" s="163">
        <v>3</v>
      </c>
      <c r="M1498" s="163">
        <v>1907</v>
      </c>
      <c r="N1498" s="163">
        <v>0</v>
      </c>
      <c r="O1498" s="163">
        <v>57564</v>
      </c>
      <c r="P1498" s="163">
        <v>94879.67</v>
      </c>
      <c r="Q1498" s="163">
        <v>49.753366544000002</v>
      </c>
      <c r="R1498" s="163">
        <v>1.6482466471999999</v>
      </c>
      <c r="S1498" s="161">
        <v>30.185631882999999</v>
      </c>
      <c r="T1498">
        <f t="shared" si="39"/>
        <v>8.4000935566067087E-6</v>
      </c>
    </row>
    <row r="1499" spans="2:20">
      <c r="B1499" s="163" t="s">
        <v>2306</v>
      </c>
      <c r="C1499" s="163" t="s">
        <v>2307</v>
      </c>
      <c r="D1499" s="163" t="s">
        <v>2207</v>
      </c>
      <c r="E1499" s="163" t="s">
        <v>853</v>
      </c>
      <c r="F1499" s="163" t="s">
        <v>1363</v>
      </c>
      <c r="G1499" s="163">
        <v>4</v>
      </c>
      <c r="H1499" s="163">
        <v>7</v>
      </c>
      <c r="I1499" s="163">
        <v>2</v>
      </c>
      <c r="J1499" s="163">
        <v>0</v>
      </c>
      <c r="K1499" s="163">
        <v>1</v>
      </c>
      <c r="L1499" s="163">
        <v>3</v>
      </c>
      <c r="M1499" s="163">
        <v>894621</v>
      </c>
      <c r="N1499" s="163">
        <v>139790</v>
      </c>
      <c r="O1499" s="163">
        <v>60815632</v>
      </c>
      <c r="P1499" s="163">
        <v>3517792.35</v>
      </c>
      <c r="Q1499" s="163">
        <v>3.9321593725000001</v>
      </c>
      <c r="R1499" s="163">
        <v>5.7843554899999997E-2</v>
      </c>
      <c r="S1499" s="161">
        <v>67.979213544000004</v>
      </c>
      <c r="T1499">
        <f t="shared" si="39"/>
        <v>8.874591732752497E-3</v>
      </c>
    </row>
    <row r="1500" spans="2:20">
      <c r="B1500" s="163" t="s">
        <v>2308</v>
      </c>
      <c r="C1500" s="163" t="s">
        <v>2309</v>
      </c>
      <c r="D1500" s="163" t="s">
        <v>2207</v>
      </c>
      <c r="E1500" s="163" t="s">
        <v>853</v>
      </c>
      <c r="F1500" s="163" t="s">
        <v>1363</v>
      </c>
      <c r="G1500" s="163">
        <v>4</v>
      </c>
      <c r="H1500" s="163">
        <v>7</v>
      </c>
      <c r="I1500" s="163">
        <v>2</v>
      </c>
      <c r="J1500" s="163">
        <v>0</v>
      </c>
      <c r="K1500" s="163">
        <v>1</v>
      </c>
      <c r="L1500" s="163">
        <v>3</v>
      </c>
      <c r="M1500" s="163">
        <v>543133</v>
      </c>
      <c r="N1500" s="163">
        <v>70754</v>
      </c>
      <c r="O1500" s="163">
        <v>27560558</v>
      </c>
      <c r="P1500" s="163">
        <v>3813125.5</v>
      </c>
      <c r="Q1500" s="163">
        <v>7.0206109737000002</v>
      </c>
      <c r="R1500" s="163">
        <v>0.13835443750000001</v>
      </c>
      <c r="S1500" s="161">
        <v>50.743663153999996</v>
      </c>
      <c r="T1500">
        <f t="shared" si="39"/>
        <v>4.0218064358329073E-3</v>
      </c>
    </row>
    <row r="1501" spans="2:20">
      <c r="B1501" s="163" t="s">
        <v>2310</v>
      </c>
      <c r="C1501" s="163" t="s">
        <v>2311</v>
      </c>
      <c r="D1501" s="163" t="s">
        <v>2207</v>
      </c>
      <c r="E1501" s="163" t="s">
        <v>853</v>
      </c>
      <c r="F1501" s="163" t="s">
        <v>1363</v>
      </c>
      <c r="G1501" s="163">
        <v>4</v>
      </c>
      <c r="H1501" s="163">
        <v>7</v>
      </c>
      <c r="I1501" s="163">
        <v>2</v>
      </c>
      <c r="J1501" s="163">
        <v>0</v>
      </c>
      <c r="K1501" s="163">
        <v>1</v>
      </c>
      <c r="L1501" s="163">
        <v>3</v>
      </c>
      <c r="M1501" s="163">
        <v>178657</v>
      </c>
      <c r="N1501" s="163">
        <v>19912</v>
      </c>
      <c r="O1501" s="163">
        <v>8770499</v>
      </c>
      <c r="P1501" s="163">
        <v>2368031.62</v>
      </c>
      <c r="Q1501" s="163">
        <v>13.254625454999999</v>
      </c>
      <c r="R1501" s="163">
        <v>0.26999964539999999</v>
      </c>
      <c r="S1501" s="161">
        <v>49.091269863000001</v>
      </c>
      <c r="T1501">
        <f t="shared" si="39"/>
        <v>1.2798452529033002E-3</v>
      </c>
    </row>
    <row r="1502" spans="2:20">
      <c r="B1502" s="163" t="s">
        <v>2312</v>
      </c>
      <c r="C1502" s="163" t="s">
        <v>2313</v>
      </c>
      <c r="D1502" s="163" t="s">
        <v>2207</v>
      </c>
      <c r="E1502" s="163" t="s">
        <v>853</v>
      </c>
      <c r="F1502" s="163" t="s">
        <v>1363</v>
      </c>
      <c r="G1502" s="163">
        <v>4</v>
      </c>
      <c r="H1502" s="163">
        <v>7</v>
      </c>
      <c r="I1502" s="163">
        <v>2</v>
      </c>
      <c r="J1502" s="163">
        <v>0</v>
      </c>
      <c r="K1502" s="163">
        <v>1</v>
      </c>
      <c r="L1502" s="163">
        <v>3</v>
      </c>
      <c r="M1502" s="163">
        <v>56358</v>
      </c>
      <c r="N1502" s="163">
        <v>6094</v>
      </c>
      <c r="O1502" s="163">
        <v>2546303</v>
      </c>
      <c r="P1502" s="163">
        <v>925214.76</v>
      </c>
      <c r="Q1502" s="163">
        <v>16.416742254999999</v>
      </c>
      <c r="R1502" s="163">
        <v>0.36335611280000002</v>
      </c>
      <c r="S1502" s="161">
        <v>45.180861634999999</v>
      </c>
      <c r="T1502">
        <f t="shared" si="39"/>
        <v>3.7157222262991334E-4</v>
      </c>
    </row>
    <row r="1503" spans="2:20">
      <c r="B1503" s="163" t="s">
        <v>2314</v>
      </c>
      <c r="C1503" s="163" t="s">
        <v>2315</v>
      </c>
      <c r="D1503" s="163" t="s">
        <v>2207</v>
      </c>
      <c r="E1503" s="163" t="s">
        <v>853</v>
      </c>
      <c r="F1503" s="163" t="s">
        <v>1363</v>
      </c>
      <c r="G1503" s="163">
        <v>4</v>
      </c>
      <c r="H1503" s="163">
        <v>7</v>
      </c>
      <c r="I1503" s="163">
        <v>2</v>
      </c>
      <c r="J1503" s="163">
        <v>0</v>
      </c>
      <c r="K1503" s="163">
        <v>1</v>
      </c>
      <c r="L1503" s="163">
        <v>3</v>
      </c>
      <c r="M1503" s="163">
        <v>7660</v>
      </c>
      <c r="N1503" s="163">
        <v>856</v>
      </c>
      <c r="O1503" s="163">
        <v>400703</v>
      </c>
      <c r="P1503" s="163">
        <v>291170.32</v>
      </c>
      <c r="Q1503" s="163">
        <v>38.011791123000002</v>
      </c>
      <c r="R1503" s="163">
        <v>0.72664871490000005</v>
      </c>
      <c r="S1503" s="161">
        <v>52.311096606</v>
      </c>
      <c r="T1503">
        <f t="shared" si="39"/>
        <v>5.8473050663834653E-5</v>
      </c>
    </row>
    <row r="1504" spans="2:20">
      <c r="B1504" s="163" t="s">
        <v>2316</v>
      </c>
      <c r="C1504" s="163" t="s">
        <v>2317</v>
      </c>
      <c r="D1504" s="163" t="s">
        <v>2207</v>
      </c>
      <c r="E1504" s="163" t="s">
        <v>853</v>
      </c>
      <c r="F1504" s="163" t="s">
        <v>1363</v>
      </c>
      <c r="G1504" s="163">
        <v>4</v>
      </c>
      <c r="H1504" s="163">
        <v>7</v>
      </c>
      <c r="I1504" s="163">
        <v>2</v>
      </c>
      <c r="J1504" s="163">
        <v>0</v>
      </c>
      <c r="K1504" s="163">
        <v>1</v>
      </c>
      <c r="L1504" s="163">
        <v>3</v>
      </c>
      <c r="M1504" s="163">
        <v>37162</v>
      </c>
      <c r="N1504" s="163">
        <v>15812</v>
      </c>
      <c r="O1504" s="163">
        <v>2520134.4</v>
      </c>
      <c r="P1504" s="163">
        <v>186021.49299999999</v>
      </c>
      <c r="Q1504" s="163">
        <v>5.0056911091999998</v>
      </c>
      <c r="R1504" s="163">
        <v>7.3814115999999999E-2</v>
      </c>
      <c r="S1504" s="161">
        <v>67.814821592000001</v>
      </c>
      <c r="T1504">
        <f t="shared" si="39"/>
        <v>3.6775353928189341E-4</v>
      </c>
    </row>
    <row r="1505" spans="1:22">
      <c r="B1505" s="163" t="s">
        <v>2318</v>
      </c>
      <c r="C1505" s="163" t="s">
        <v>2319</v>
      </c>
      <c r="D1505" s="163" t="s">
        <v>2207</v>
      </c>
      <c r="E1505" s="163" t="s">
        <v>853</v>
      </c>
      <c r="F1505" s="163" t="s">
        <v>1363</v>
      </c>
      <c r="G1505" s="163">
        <v>4</v>
      </c>
      <c r="H1505" s="163">
        <v>7</v>
      </c>
      <c r="I1505" s="163">
        <v>2</v>
      </c>
      <c r="J1505" s="163">
        <v>0</v>
      </c>
      <c r="K1505" s="163">
        <v>1</v>
      </c>
      <c r="L1505" s="163">
        <v>3</v>
      </c>
      <c r="M1505" s="163">
        <v>43908.3</v>
      </c>
      <c r="N1505" s="163">
        <v>19430.3</v>
      </c>
      <c r="O1505" s="163">
        <v>2304345.7000000002</v>
      </c>
      <c r="P1505" s="163">
        <v>411125.63</v>
      </c>
      <c r="Q1505" s="163">
        <v>9.3632782411999997</v>
      </c>
      <c r="R1505" s="163">
        <v>0.1784131739</v>
      </c>
      <c r="S1505" s="161">
        <v>52.480868082000001</v>
      </c>
      <c r="T1505">
        <f t="shared" si="39"/>
        <v>3.3626432261073545E-4</v>
      </c>
    </row>
    <row r="1506" spans="1:22">
      <c r="B1506" s="163" t="s">
        <v>2320</v>
      </c>
      <c r="C1506" s="163" t="s">
        <v>2321</v>
      </c>
      <c r="D1506" s="163" t="s">
        <v>2207</v>
      </c>
      <c r="E1506" s="163" t="s">
        <v>853</v>
      </c>
      <c r="F1506" s="163" t="s">
        <v>1363</v>
      </c>
      <c r="G1506" s="163">
        <v>4</v>
      </c>
      <c r="H1506" s="163">
        <v>7</v>
      </c>
      <c r="I1506" s="163">
        <v>2</v>
      </c>
      <c r="J1506" s="163">
        <v>0</v>
      </c>
      <c r="K1506" s="163">
        <v>1</v>
      </c>
      <c r="L1506" s="163">
        <v>3</v>
      </c>
      <c r="M1506" s="163">
        <v>8704.7000000000007</v>
      </c>
      <c r="N1506" s="163">
        <v>2888.7</v>
      </c>
      <c r="O1506" s="163">
        <v>413432.2</v>
      </c>
      <c r="P1506" s="163">
        <v>139771.95699999999</v>
      </c>
      <c r="Q1506" s="163">
        <v>16.057067675999999</v>
      </c>
      <c r="R1506" s="163">
        <v>0.33807709460000002</v>
      </c>
      <c r="S1506" s="161">
        <v>47.495284157</v>
      </c>
      <c r="T1506">
        <f t="shared" si="39"/>
        <v>6.0330573957920505E-5</v>
      </c>
    </row>
    <row r="1507" spans="1:22">
      <c r="B1507" s="163" t="s">
        <v>2322</v>
      </c>
      <c r="C1507" s="163" t="s">
        <v>2323</v>
      </c>
      <c r="D1507" s="163" t="s">
        <v>2207</v>
      </c>
      <c r="E1507" s="163" t="s">
        <v>853</v>
      </c>
      <c r="F1507" s="163" t="s">
        <v>1363</v>
      </c>
      <c r="G1507" s="163">
        <v>4</v>
      </c>
      <c r="H1507" s="163">
        <v>7</v>
      </c>
      <c r="I1507" s="163">
        <v>2</v>
      </c>
      <c r="J1507" s="163">
        <v>0</v>
      </c>
      <c r="K1507" s="163">
        <v>1</v>
      </c>
      <c r="L1507" s="163">
        <v>3</v>
      </c>
      <c r="M1507" s="163">
        <v>2581.9</v>
      </c>
      <c r="N1507" s="163">
        <v>658.9</v>
      </c>
      <c r="O1507" s="163">
        <v>142623.70000000001</v>
      </c>
      <c r="P1507" s="163">
        <v>73557.894</v>
      </c>
      <c r="Q1507" s="163">
        <v>28.489830744999999</v>
      </c>
      <c r="R1507" s="163">
        <v>0.51574804190000001</v>
      </c>
      <c r="S1507" s="161">
        <v>55.239823385999998</v>
      </c>
      <c r="T1507">
        <f t="shared" si="39"/>
        <v>2.0812529070068243E-5</v>
      </c>
    </row>
    <row r="1508" spans="1:22">
      <c r="B1508" s="163" t="s">
        <v>2324</v>
      </c>
      <c r="C1508" s="163" t="s">
        <v>2325</v>
      </c>
      <c r="D1508" s="163" t="s">
        <v>2326</v>
      </c>
      <c r="E1508" s="163" t="s">
        <v>853</v>
      </c>
      <c r="F1508" s="163" t="s">
        <v>1363</v>
      </c>
      <c r="G1508" s="163">
        <v>4</v>
      </c>
      <c r="H1508" s="163">
        <v>7</v>
      </c>
      <c r="I1508" s="163">
        <v>2</v>
      </c>
      <c r="J1508" s="163">
        <v>0</v>
      </c>
      <c r="K1508" s="163">
        <v>1</v>
      </c>
      <c r="L1508" s="163">
        <v>1</v>
      </c>
      <c r="M1508" s="163">
        <v>872</v>
      </c>
      <c r="N1508" s="163">
        <v>0</v>
      </c>
      <c r="O1508" s="163">
        <v>95572</v>
      </c>
      <c r="P1508" s="163">
        <v>97278.97</v>
      </c>
      <c r="Q1508" s="163">
        <v>111.55845183</v>
      </c>
      <c r="R1508" s="163">
        <v>1.0178605659</v>
      </c>
      <c r="S1508" s="161">
        <v>109.60091743</v>
      </c>
      <c r="T1508">
        <f t="shared" si="39"/>
        <v>1.3946455100271286E-5</v>
      </c>
    </row>
    <row r="1509" spans="1:22">
      <c r="B1509" s="163" t="s">
        <v>2327</v>
      </c>
      <c r="C1509" s="163" t="s">
        <v>2328</v>
      </c>
      <c r="D1509" s="163" t="s">
        <v>2326</v>
      </c>
      <c r="E1509" s="163" t="s">
        <v>853</v>
      </c>
      <c r="F1509" s="163" t="s">
        <v>1363</v>
      </c>
      <c r="G1509" s="163">
        <v>4</v>
      </c>
      <c r="H1509" s="163">
        <v>7</v>
      </c>
      <c r="I1509" s="163">
        <v>2</v>
      </c>
      <c r="J1509" s="163">
        <v>0</v>
      </c>
      <c r="K1509" s="163">
        <v>1</v>
      </c>
      <c r="L1509" s="163">
        <v>1</v>
      </c>
      <c r="M1509" s="163">
        <v>963</v>
      </c>
      <c r="N1509" s="163">
        <v>0</v>
      </c>
      <c r="O1509" s="163">
        <v>107762</v>
      </c>
      <c r="P1509" s="163">
        <v>93915.87</v>
      </c>
      <c r="Q1509" s="163">
        <v>97.524267913000003</v>
      </c>
      <c r="R1509" s="163">
        <v>0.87151194300000001</v>
      </c>
      <c r="S1509" s="161">
        <v>111.90238837</v>
      </c>
      <c r="T1509">
        <f t="shared" si="39"/>
        <v>1.5725295008113613E-5</v>
      </c>
    </row>
    <row r="1510" spans="1:22">
      <c r="B1510" s="163" t="s">
        <v>2329</v>
      </c>
      <c r="C1510" s="163" t="s">
        <v>2330</v>
      </c>
      <c r="D1510" s="163" t="s">
        <v>2331</v>
      </c>
      <c r="E1510" s="163" t="s">
        <v>853</v>
      </c>
      <c r="F1510" s="163" t="s">
        <v>1363</v>
      </c>
      <c r="G1510" s="163">
        <v>4</v>
      </c>
      <c r="H1510" s="163">
        <v>7</v>
      </c>
      <c r="I1510" s="163">
        <v>2</v>
      </c>
      <c r="J1510" s="163">
        <v>0</v>
      </c>
      <c r="K1510" s="163">
        <v>1</v>
      </c>
      <c r="L1510" s="163">
        <v>1</v>
      </c>
      <c r="M1510" s="163">
        <v>2363</v>
      </c>
      <c r="N1510" s="163">
        <v>0</v>
      </c>
      <c r="O1510" s="163">
        <v>38482</v>
      </c>
      <c r="P1510" s="163">
        <v>19671.560000000001</v>
      </c>
      <c r="Q1510" s="163">
        <v>8.3248243758000005</v>
      </c>
      <c r="R1510" s="163">
        <v>0.51118860769999996</v>
      </c>
      <c r="S1510" s="161">
        <v>16.285230639000002</v>
      </c>
      <c r="T1510">
        <f t="shared" si="39"/>
        <v>5.6155305441828114E-6</v>
      </c>
    </row>
    <row r="1511" spans="1:22">
      <c r="B1511" s="163" t="s">
        <v>2332</v>
      </c>
      <c r="C1511" s="163" t="s">
        <v>2333</v>
      </c>
      <c r="D1511" s="163" t="s">
        <v>2331</v>
      </c>
      <c r="E1511" s="163" t="s">
        <v>853</v>
      </c>
      <c r="F1511" s="163" t="s">
        <v>1363</v>
      </c>
      <c r="G1511" s="163">
        <v>4</v>
      </c>
      <c r="H1511" s="163">
        <v>7</v>
      </c>
      <c r="I1511" s="163">
        <v>2</v>
      </c>
      <c r="J1511" s="163">
        <v>0</v>
      </c>
      <c r="K1511" s="163">
        <v>1</v>
      </c>
      <c r="L1511" s="163">
        <v>1</v>
      </c>
      <c r="M1511" s="163">
        <v>18733</v>
      </c>
      <c r="N1511" s="163">
        <v>0</v>
      </c>
      <c r="O1511" s="163">
        <v>1440939</v>
      </c>
      <c r="P1511" s="163">
        <v>1438629.46</v>
      </c>
      <c r="Q1511" s="163">
        <v>76.796533389999993</v>
      </c>
      <c r="R1511" s="163">
        <v>0.99839719790000003</v>
      </c>
      <c r="S1511" s="161">
        <v>76.919820637000001</v>
      </c>
      <c r="T1511">
        <f t="shared" si="39"/>
        <v>2.1027069712603908E-4</v>
      </c>
    </row>
    <row r="1512" spans="1:22">
      <c r="B1512" s="163" t="s">
        <v>2334</v>
      </c>
      <c r="C1512" s="163" t="s">
        <v>2335</v>
      </c>
      <c r="D1512" s="163" t="s">
        <v>2331</v>
      </c>
      <c r="E1512" s="163" t="s">
        <v>853</v>
      </c>
      <c r="F1512" s="163" t="s">
        <v>1363</v>
      </c>
      <c r="G1512" s="163">
        <v>4</v>
      </c>
      <c r="H1512" s="163">
        <v>7</v>
      </c>
      <c r="I1512" s="163">
        <v>2</v>
      </c>
      <c r="J1512" s="163">
        <v>0</v>
      </c>
      <c r="K1512" s="163">
        <v>1</v>
      </c>
      <c r="L1512" s="163">
        <v>1</v>
      </c>
      <c r="M1512" s="163">
        <v>1941</v>
      </c>
      <c r="N1512" s="163">
        <v>0</v>
      </c>
      <c r="O1512" s="163">
        <v>20648</v>
      </c>
      <c r="P1512" s="163">
        <v>9624.91</v>
      </c>
      <c r="Q1512" s="163">
        <v>4.9587377640000003</v>
      </c>
      <c r="R1512" s="163">
        <v>0.46614248349999998</v>
      </c>
      <c r="S1512" s="161">
        <v>10.637815559</v>
      </c>
      <c r="T1512">
        <f t="shared" si="39"/>
        <v>3.0130833812246422E-6</v>
      </c>
    </row>
    <row r="1513" spans="1:22">
      <c r="B1513" s="163" t="s">
        <v>2336</v>
      </c>
      <c r="C1513" s="163" t="s">
        <v>2337</v>
      </c>
      <c r="D1513" s="163" t="s">
        <v>2331</v>
      </c>
      <c r="E1513" s="163" t="s">
        <v>853</v>
      </c>
      <c r="F1513" s="163" t="s">
        <v>1363</v>
      </c>
      <c r="G1513" s="163">
        <v>4</v>
      </c>
      <c r="H1513" s="163">
        <v>7</v>
      </c>
      <c r="I1513" s="163">
        <v>2</v>
      </c>
      <c r="J1513" s="163">
        <v>0</v>
      </c>
      <c r="K1513" s="163">
        <v>1</v>
      </c>
      <c r="L1513" s="163">
        <v>1</v>
      </c>
      <c r="M1513" s="163">
        <v>1</v>
      </c>
      <c r="N1513" s="163">
        <v>0</v>
      </c>
      <c r="O1513" s="163">
        <v>3</v>
      </c>
      <c r="P1513" s="163">
        <v>15.87</v>
      </c>
      <c r="Q1513" s="163">
        <v>15.87</v>
      </c>
      <c r="R1513" s="163">
        <v>5.29</v>
      </c>
      <c r="S1513" s="161">
        <v>3</v>
      </c>
      <c r="T1513">
        <f t="shared" si="39"/>
        <v>4.377784842926156E-10</v>
      </c>
    </row>
    <row r="1517" spans="1:22">
      <c r="A1517" s="9" t="s">
        <v>10</v>
      </c>
      <c r="B1517" s="9" t="s">
        <v>2541</v>
      </c>
      <c r="C1517" s="9" t="s">
        <v>2538</v>
      </c>
    </row>
    <row r="1519" spans="1:22">
      <c r="B1519" s="141" t="s">
        <v>220</v>
      </c>
      <c r="C1519" s="141" t="s">
        <v>221</v>
      </c>
      <c r="D1519" s="141" t="s">
        <v>222</v>
      </c>
      <c r="E1519" s="141" t="s">
        <v>223</v>
      </c>
      <c r="F1519" s="141" t="s">
        <v>224</v>
      </c>
      <c r="G1519" s="141" t="s">
        <v>225</v>
      </c>
      <c r="H1519" s="141" t="s">
        <v>226</v>
      </c>
      <c r="I1519" s="141" t="s">
        <v>227</v>
      </c>
      <c r="J1519" s="141" t="s">
        <v>228</v>
      </c>
      <c r="K1519" s="141" t="s">
        <v>229</v>
      </c>
      <c r="L1519" s="141" t="s">
        <v>230</v>
      </c>
      <c r="M1519" s="141" t="s">
        <v>231</v>
      </c>
      <c r="N1519" s="141" t="s">
        <v>232</v>
      </c>
      <c r="O1519" s="141" t="s">
        <v>233</v>
      </c>
      <c r="P1519" s="141" t="s">
        <v>234</v>
      </c>
      <c r="Q1519" s="141" t="s">
        <v>235</v>
      </c>
      <c r="R1519" s="141" t="s">
        <v>236</v>
      </c>
      <c r="S1519" s="141" t="s">
        <v>237</v>
      </c>
      <c r="T1519" s="141"/>
      <c r="U1519" s="141"/>
      <c r="V1519" s="2">
        <f>SUMPRODUCT(T1520:T1527,R1520:R1527)</f>
        <v>7.039410874060688</v>
      </c>
    </row>
    <row r="1520" spans="1:22">
      <c r="B1520" s="163">
        <v>20020201040</v>
      </c>
      <c r="C1520" s="163" t="s">
        <v>2450</v>
      </c>
      <c r="D1520" s="163" t="s">
        <v>2339</v>
      </c>
      <c r="E1520" s="163" t="s">
        <v>100</v>
      </c>
      <c r="F1520" s="163"/>
      <c r="G1520" s="163">
        <v>20</v>
      </c>
      <c r="H1520" s="163">
        <v>2</v>
      </c>
      <c r="I1520" s="163">
        <v>2</v>
      </c>
      <c r="J1520" s="163">
        <v>0</v>
      </c>
      <c r="K1520" s="163">
        <v>1</v>
      </c>
      <c r="L1520" s="163">
        <v>4</v>
      </c>
      <c r="M1520" s="163">
        <v>141</v>
      </c>
      <c r="N1520" s="163">
        <v>0</v>
      </c>
      <c r="O1520" s="163">
        <v>1743</v>
      </c>
      <c r="P1520" s="163">
        <v>9882.81</v>
      </c>
      <c r="Q1520" s="163">
        <v>70.090851064000006</v>
      </c>
      <c r="R1520" s="163">
        <v>5.67</v>
      </c>
      <c r="S1520" s="163">
        <v>12.361702127999999</v>
      </c>
      <c r="T1520" s="161">
        <f t="shared" ref="T1520:T1527" si="40">O1520/SUM($O$1520:$O$1527)</f>
        <v>5.997935306262904E-2</v>
      </c>
      <c r="U1520" s="161"/>
    </row>
    <row r="1521" spans="1:22">
      <c r="B1521" s="163">
        <v>20020201042</v>
      </c>
      <c r="C1521" s="163" t="s">
        <v>2451</v>
      </c>
      <c r="D1521" s="163" t="s">
        <v>2339</v>
      </c>
      <c r="E1521" s="163" t="s">
        <v>100</v>
      </c>
      <c r="F1521" s="163"/>
      <c r="G1521" s="163">
        <v>20</v>
      </c>
      <c r="H1521" s="163">
        <v>2</v>
      </c>
      <c r="I1521" s="163">
        <v>2</v>
      </c>
      <c r="J1521" s="163">
        <v>0</v>
      </c>
      <c r="K1521" s="163">
        <v>1</v>
      </c>
      <c r="L1521" s="163">
        <v>4</v>
      </c>
      <c r="M1521" s="163">
        <v>31</v>
      </c>
      <c r="N1521" s="163">
        <v>0</v>
      </c>
      <c r="O1521" s="163">
        <v>313</v>
      </c>
      <c r="P1521" s="163">
        <v>1295.82</v>
      </c>
      <c r="Q1521" s="163">
        <v>41.800645160999998</v>
      </c>
      <c r="R1521" s="163">
        <v>4.1399999999999997</v>
      </c>
      <c r="S1521" s="163">
        <v>10.096774194</v>
      </c>
      <c r="T1521" s="161">
        <f t="shared" si="40"/>
        <v>1.0770818995182381E-2</v>
      </c>
      <c r="U1521" s="161"/>
    </row>
    <row r="1522" spans="1:22">
      <c r="B1522" s="163">
        <v>20020201043</v>
      </c>
      <c r="C1522" s="163" t="s">
        <v>2452</v>
      </c>
      <c r="D1522" s="163" t="s">
        <v>2339</v>
      </c>
      <c r="E1522" s="163" t="s">
        <v>100</v>
      </c>
      <c r="F1522" s="163"/>
      <c r="G1522" s="163">
        <v>20</v>
      </c>
      <c r="H1522" s="163">
        <v>2</v>
      </c>
      <c r="I1522" s="163">
        <v>2</v>
      </c>
      <c r="J1522" s="163">
        <v>0</v>
      </c>
      <c r="K1522" s="163">
        <v>1</v>
      </c>
      <c r="L1522" s="163">
        <v>4</v>
      </c>
      <c r="M1522" s="163">
        <v>20</v>
      </c>
      <c r="N1522" s="163">
        <v>0</v>
      </c>
      <c r="O1522" s="163">
        <v>102</v>
      </c>
      <c r="P1522" s="163">
        <v>653.82000000000005</v>
      </c>
      <c r="Q1522" s="163">
        <v>32.691000000000003</v>
      </c>
      <c r="R1522" s="163">
        <v>6.41</v>
      </c>
      <c r="S1522" s="163">
        <v>5.0999999999999996</v>
      </c>
      <c r="T1522" s="161">
        <f t="shared" si="40"/>
        <v>3.5099793530626289E-3</v>
      </c>
      <c r="U1522" s="161"/>
    </row>
    <row r="1523" spans="1:22">
      <c r="B1523" s="163">
        <v>20020201045</v>
      </c>
      <c r="C1523" s="163" t="s">
        <v>2453</v>
      </c>
      <c r="D1523" s="163" t="s">
        <v>2339</v>
      </c>
      <c r="E1523" s="163" t="s">
        <v>100</v>
      </c>
      <c r="F1523" s="163"/>
      <c r="G1523" s="163">
        <v>20</v>
      </c>
      <c r="H1523" s="163">
        <v>2</v>
      </c>
      <c r="I1523" s="163">
        <v>2</v>
      </c>
      <c r="J1523" s="163">
        <v>0</v>
      </c>
      <c r="K1523" s="163">
        <v>1</v>
      </c>
      <c r="L1523" s="163">
        <v>4</v>
      </c>
      <c r="M1523" s="163">
        <v>1142</v>
      </c>
      <c r="N1523" s="163">
        <v>0</v>
      </c>
      <c r="O1523" s="163">
        <v>9929</v>
      </c>
      <c r="P1523" s="163">
        <v>69105.279999999999</v>
      </c>
      <c r="Q1523" s="163">
        <v>60.512504378000003</v>
      </c>
      <c r="R1523" s="163">
        <v>6.9599435995999999</v>
      </c>
      <c r="S1523" s="163">
        <v>8.6943957968000003</v>
      </c>
      <c r="T1523" s="161">
        <f t="shared" si="40"/>
        <v>0.34167240192704751</v>
      </c>
      <c r="U1523" s="161"/>
    </row>
    <row r="1524" spans="1:22">
      <c r="B1524" s="163">
        <v>20020201046</v>
      </c>
      <c r="C1524" s="163" t="s">
        <v>2454</v>
      </c>
      <c r="D1524" s="163" t="s">
        <v>2339</v>
      </c>
      <c r="E1524" s="163" t="s">
        <v>100</v>
      </c>
      <c r="F1524" s="163"/>
      <c r="G1524" s="163">
        <v>20</v>
      </c>
      <c r="H1524" s="163">
        <v>2</v>
      </c>
      <c r="I1524" s="163">
        <v>2</v>
      </c>
      <c r="J1524" s="163">
        <v>0</v>
      </c>
      <c r="K1524" s="163">
        <v>1</v>
      </c>
      <c r="L1524" s="163">
        <v>4</v>
      </c>
      <c r="M1524" s="163">
        <v>47</v>
      </c>
      <c r="N1524" s="163">
        <v>0</v>
      </c>
      <c r="O1524" s="163">
        <v>358</v>
      </c>
      <c r="P1524" s="163">
        <v>2602.66</v>
      </c>
      <c r="Q1524" s="163">
        <v>55.375744681</v>
      </c>
      <c r="R1524" s="163">
        <v>7.27</v>
      </c>
      <c r="S1524" s="163">
        <v>7.6170212766000001</v>
      </c>
      <c r="T1524" s="161">
        <f t="shared" si="40"/>
        <v>1.2319339298004129E-2</v>
      </c>
      <c r="U1524" s="161"/>
    </row>
    <row r="1525" spans="1:22">
      <c r="B1525" s="163">
        <v>20020201047</v>
      </c>
      <c r="C1525" s="163" t="s">
        <v>2455</v>
      </c>
      <c r="D1525" s="163" t="s">
        <v>2339</v>
      </c>
      <c r="E1525" s="163" t="s">
        <v>100</v>
      </c>
      <c r="F1525" s="163"/>
      <c r="G1525" s="163">
        <v>20</v>
      </c>
      <c r="H1525" s="163">
        <v>2</v>
      </c>
      <c r="I1525" s="163">
        <v>2</v>
      </c>
      <c r="J1525" s="163">
        <v>0</v>
      </c>
      <c r="K1525" s="163">
        <v>1</v>
      </c>
      <c r="L1525" s="163">
        <v>4</v>
      </c>
      <c r="M1525" s="163">
        <v>1102</v>
      </c>
      <c r="N1525" s="163">
        <v>0</v>
      </c>
      <c r="O1525" s="163">
        <v>10272</v>
      </c>
      <c r="P1525" s="163">
        <v>71491.45</v>
      </c>
      <c r="Q1525" s="163">
        <v>64.874274047</v>
      </c>
      <c r="R1525" s="163">
        <v>6.9598374220999997</v>
      </c>
      <c r="S1525" s="163">
        <v>9.3212341197999997</v>
      </c>
      <c r="T1525" s="161">
        <f t="shared" si="40"/>
        <v>0.35347556779077771</v>
      </c>
      <c r="U1525" s="161"/>
    </row>
    <row r="1526" spans="1:22">
      <c r="B1526" s="163">
        <v>20020201048</v>
      </c>
      <c r="C1526" s="163" t="s">
        <v>2456</v>
      </c>
      <c r="D1526" s="163" t="s">
        <v>2339</v>
      </c>
      <c r="E1526" s="163" t="s">
        <v>100</v>
      </c>
      <c r="F1526" s="163"/>
      <c r="G1526" s="163">
        <v>20</v>
      </c>
      <c r="H1526" s="163">
        <v>2</v>
      </c>
      <c r="I1526" s="163">
        <v>2</v>
      </c>
      <c r="J1526" s="163">
        <v>0</v>
      </c>
      <c r="K1526" s="163">
        <v>1</v>
      </c>
      <c r="L1526" s="163">
        <v>4</v>
      </c>
      <c r="M1526" s="163">
        <v>452</v>
      </c>
      <c r="N1526" s="163">
        <v>0</v>
      </c>
      <c r="O1526" s="163">
        <v>4110</v>
      </c>
      <c r="P1526" s="163">
        <v>39373.29</v>
      </c>
      <c r="Q1526" s="163">
        <v>87.109048673000004</v>
      </c>
      <c r="R1526" s="163">
        <v>9.5798759124000004</v>
      </c>
      <c r="S1526" s="163">
        <v>9.0929203540000003</v>
      </c>
      <c r="T1526" s="161">
        <f t="shared" si="40"/>
        <v>0.14143152099105299</v>
      </c>
      <c r="U1526" s="161"/>
    </row>
    <row r="1527" spans="1:22">
      <c r="B1527" s="163">
        <v>20020201049</v>
      </c>
      <c r="C1527" s="163" t="s">
        <v>2457</v>
      </c>
      <c r="D1527" s="163" t="s">
        <v>2339</v>
      </c>
      <c r="E1527" s="163" t="s">
        <v>100</v>
      </c>
      <c r="F1527" s="163"/>
      <c r="G1527" s="163">
        <v>20</v>
      </c>
      <c r="H1527" s="163">
        <v>2</v>
      </c>
      <c r="I1527" s="163">
        <v>2</v>
      </c>
      <c r="J1527" s="163">
        <v>0</v>
      </c>
      <c r="K1527" s="163">
        <v>1</v>
      </c>
      <c r="L1527" s="163">
        <v>4</v>
      </c>
      <c r="M1527" s="163">
        <v>310</v>
      </c>
      <c r="N1527" s="163">
        <v>0</v>
      </c>
      <c r="O1527" s="163">
        <v>2233</v>
      </c>
      <c r="P1527" s="163">
        <v>10160.15</v>
      </c>
      <c r="Q1527" s="163">
        <v>32.774677419</v>
      </c>
      <c r="R1527" s="163">
        <v>4.55</v>
      </c>
      <c r="S1527" s="163">
        <v>7.2032258064999999</v>
      </c>
      <c r="T1527" s="161">
        <f t="shared" si="40"/>
        <v>7.6841018582243639E-2</v>
      </c>
      <c r="U1527" s="161"/>
    </row>
    <row r="1529" spans="1:22">
      <c r="A1529" t="s">
        <v>10</v>
      </c>
      <c r="B1529" s="9" t="s">
        <v>2539</v>
      </c>
      <c r="C1529" s="9" t="s">
        <v>2540</v>
      </c>
    </row>
    <row r="1531" spans="1:22">
      <c r="B1531" s="141" t="s">
        <v>220</v>
      </c>
      <c r="C1531" s="141" t="s">
        <v>221</v>
      </c>
      <c r="D1531" s="141" t="s">
        <v>222</v>
      </c>
      <c r="E1531" s="141" t="s">
        <v>223</v>
      </c>
      <c r="F1531" s="141" t="s">
        <v>224</v>
      </c>
      <c r="G1531" s="141" t="s">
        <v>225</v>
      </c>
      <c r="H1531" s="141" t="s">
        <v>226</v>
      </c>
      <c r="I1531" s="141" t="s">
        <v>227</v>
      </c>
      <c r="J1531" s="141" t="s">
        <v>228</v>
      </c>
      <c r="K1531" s="141" t="s">
        <v>229</v>
      </c>
      <c r="L1531" s="141" t="s">
        <v>230</v>
      </c>
      <c r="M1531" s="141" t="s">
        <v>231</v>
      </c>
      <c r="N1531" s="141" t="s">
        <v>232</v>
      </c>
      <c r="O1531" s="141" t="s">
        <v>233</v>
      </c>
      <c r="P1531" s="141" t="s">
        <v>234</v>
      </c>
      <c r="Q1531" s="141" t="s">
        <v>235</v>
      </c>
      <c r="R1531" s="141" t="s">
        <v>236</v>
      </c>
      <c r="S1531" s="141" t="s">
        <v>237</v>
      </c>
      <c r="T1531" s="141"/>
      <c r="V1531" s="2">
        <f>SUMPRODUCT(T1532:T1646,R1532:R1646)</f>
        <v>1.5930969506538537</v>
      </c>
    </row>
    <row r="1532" spans="1:22">
      <c r="B1532" s="163">
        <v>20020200251</v>
      </c>
      <c r="C1532" s="163" t="s">
        <v>2338</v>
      </c>
      <c r="D1532" s="163" t="s">
        <v>2339</v>
      </c>
      <c r="E1532" s="163" t="s">
        <v>100</v>
      </c>
      <c r="F1532" s="163"/>
      <c r="G1532" s="163">
        <v>20</v>
      </c>
      <c r="H1532" s="163">
        <v>2</v>
      </c>
      <c r="I1532" s="163">
        <v>2</v>
      </c>
      <c r="J1532" s="163">
        <v>0</v>
      </c>
      <c r="K1532" s="163">
        <v>1</v>
      </c>
      <c r="L1532" s="163">
        <v>4</v>
      </c>
      <c r="M1532" s="163">
        <v>141</v>
      </c>
      <c r="N1532" s="163">
        <v>0</v>
      </c>
      <c r="O1532" s="163">
        <v>1129</v>
      </c>
      <c r="P1532" s="163">
        <v>779.01</v>
      </c>
      <c r="Q1532" s="163">
        <v>5.524893617</v>
      </c>
      <c r="R1532" s="163">
        <v>0.69</v>
      </c>
      <c r="S1532" s="163">
        <v>8.0070921986000005</v>
      </c>
      <c r="T1532" s="161">
        <f>O1532/SUM($O$1532:$O$1646)</f>
        <v>6.5865507184824216E-4</v>
      </c>
    </row>
    <row r="1533" spans="1:22">
      <c r="B1533" s="163">
        <v>20020200252</v>
      </c>
      <c r="C1533" s="163" t="s">
        <v>2340</v>
      </c>
      <c r="D1533" s="163" t="s">
        <v>2339</v>
      </c>
      <c r="E1533" s="163" t="s">
        <v>100</v>
      </c>
      <c r="F1533" s="163"/>
      <c r="G1533" s="163">
        <v>20</v>
      </c>
      <c r="H1533" s="163">
        <v>2</v>
      </c>
      <c r="I1533" s="163">
        <v>2</v>
      </c>
      <c r="J1533" s="163">
        <v>0</v>
      </c>
      <c r="K1533" s="163">
        <v>1</v>
      </c>
      <c r="L1533" s="163">
        <v>4</v>
      </c>
      <c r="M1533" s="163">
        <v>155</v>
      </c>
      <c r="N1533" s="163">
        <v>0</v>
      </c>
      <c r="O1533" s="163">
        <v>1671</v>
      </c>
      <c r="P1533" s="163">
        <v>1420.35</v>
      </c>
      <c r="Q1533" s="163">
        <v>9.1635483871000005</v>
      </c>
      <c r="R1533" s="163">
        <v>0.85</v>
      </c>
      <c r="S1533" s="163">
        <v>10.780645161000001</v>
      </c>
      <c r="T1533" s="161">
        <f t="shared" ref="T1533:T1596" si="41">O1533/SUM($O$1532:$O$1646)</f>
        <v>9.7485617808539644E-4</v>
      </c>
    </row>
    <row r="1534" spans="1:22">
      <c r="B1534" s="163">
        <v>20020200253</v>
      </c>
      <c r="C1534" s="163" t="s">
        <v>2341</v>
      </c>
      <c r="D1534" s="163" t="s">
        <v>2339</v>
      </c>
      <c r="E1534" s="163" t="s">
        <v>100</v>
      </c>
      <c r="F1534" s="163"/>
      <c r="G1534" s="163">
        <v>20</v>
      </c>
      <c r="H1534" s="163">
        <v>2</v>
      </c>
      <c r="I1534" s="163">
        <v>2</v>
      </c>
      <c r="J1534" s="163">
        <v>0</v>
      </c>
      <c r="K1534" s="163">
        <v>1</v>
      </c>
      <c r="L1534" s="163">
        <v>4</v>
      </c>
      <c r="M1534" s="163">
        <v>366</v>
      </c>
      <c r="N1534" s="163">
        <v>0</v>
      </c>
      <c r="O1534" s="163">
        <v>4779</v>
      </c>
      <c r="P1534" s="163">
        <v>5017.95</v>
      </c>
      <c r="Q1534" s="163">
        <v>13.710245902</v>
      </c>
      <c r="R1534" s="163">
        <v>1.05</v>
      </c>
      <c r="S1534" s="163">
        <v>13.057377048999999</v>
      </c>
      <c r="T1534" s="161">
        <f t="shared" si="41"/>
        <v>2.7880536655117355E-3</v>
      </c>
    </row>
    <row r="1535" spans="1:22">
      <c r="B1535" s="163">
        <v>20020200254</v>
      </c>
      <c r="C1535" s="163" t="s">
        <v>2342</v>
      </c>
      <c r="D1535" s="163" t="s">
        <v>2339</v>
      </c>
      <c r="E1535" s="163" t="s">
        <v>100</v>
      </c>
      <c r="F1535" s="163"/>
      <c r="G1535" s="163">
        <v>20</v>
      </c>
      <c r="H1535" s="163">
        <v>2</v>
      </c>
      <c r="I1535" s="163">
        <v>2</v>
      </c>
      <c r="J1535" s="163">
        <v>0</v>
      </c>
      <c r="K1535" s="163">
        <v>1</v>
      </c>
      <c r="L1535" s="163">
        <v>4</v>
      </c>
      <c r="M1535" s="163">
        <v>78</v>
      </c>
      <c r="N1535" s="163">
        <v>0</v>
      </c>
      <c r="O1535" s="163">
        <v>615</v>
      </c>
      <c r="P1535" s="163">
        <v>879.45</v>
      </c>
      <c r="Q1535" s="163">
        <v>11.275</v>
      </c>
      <c r="R1535" s="163">
        <v>1.43</v>
      </c>
      <c r="S1535" s="163">
        <v>7.8846153846</v>
      </c>
      <c r="T1535" s="161">
        <f t="shared" si="41"/>
        <v>3.587890781104242E-4</v>
      </c>
    </row>
    <row r="1536" spans="1:22">
      <c r="B1536" s="163">
        <v>20020200301</v>
      </c>
      <c r="C1536" s="163" t="s">
        <v>2343</v>
      </c>
      <c r="D1536" s="163" t="s">
        <v>2339</v>
      </c>
      <c r="E1536" s="163" t="s">
        <v>100</v>
      </c>
      <c r="F1536" s="163"/>
      <c r="G1536" s="163">
        <v>20</v>
      </c>
      <c r="H1536" s="163">
        <v>2</v>
      </c>
      <c r="I1536" s="163">
        <v>2</v>
      </c>
      <c r="J1536" s="163">
        <v>0</v>
      </c>
      <c r="K1536" s="163">
        <v>1</v>
      </c>
      <c r="L1536" s="163">
        <v>4</v>
      </c>
      <c r="M1536" s="163">
        <v>509</v>
      </c>
      <c r="N1536" s="163">
        <v>0</v>
      </c>
      <c r="O1536" s="163">
        <v>3774</v>
      </c>
      <c r="P1536" s="163">
        <v>11894.12</v>
      </c>
      <c r="Q1536" s="163">
        <v>23.367622789999999</v>
      </c>
      <c r="R1536" s="163">
        <v>3.1515951245</v>
      </c>
      <c r="S1536" s="163">
        <v>7.4145383104000002</v>
      </c>
      <c r="T1536" s="161">
        <f t="shared" si="41"/>
        <v>2.2017398061605544E-3</v>
      </c>
    </row>
    <row r="1537" spans="2:20">
      <c r="B1537" s="163">
        <v>20020200302</v>
      </c>
      <c r="C1537" s="163" t="s">
        <v>2344</v>
      </c>
      <c r="D1537" s="163" t="s">
        <v>2339</v>
      </c>
      <c r="E1537" s="163" t="s">
        <v>100</v>
      </c>
      <c r="F1537" s="163"/>
      <c r="G1537" s="163">
        <v>20</v>
      </c>
      <c r="H1537" s="163">
        <v>2</v>
      </c>
      <c r="I1537" s="163">
        <v>2</v>
      </c>
      <c r="J1537" s="163">
        <v>0</v>
      </c>
      <c r="K1537" s="163">
        <v>1</v>
      </c>
      <c r="L1537" s="163">
        <v>4</v>
      </c>
      <c r="M1537" s="163">
        <v>1244</v>
      </c>
      <c r="N1537" s="163">
        <v>0</v>
      </c>
      <c r="O1537" s="163">
        <v>11033</v>
      </c>
      <c r="P1537" s="163">
        <v>44653.73</v>
      </c>
      <c r="Q1537" s="163">
        <v>35.895281349999998</v>
      </c>
      <c r="R1537" s="163">
        <v>4.0472881355999997</v>
      </c>
      <c r="S1537" s="163">
        <v>8.8689710610999999</v>
      </c>
      <c r="T1537" s="161">
        <f t="shared" si="41"/>
        <v>6.4366177216135124E-3</v>
      </c>
    </row>
    <row r="1538" spans="2:20">
      <c r="B1538" s="163">
        <v>20020200321</v>
      </c>
      <c r="C1538" s="163" t="s">
        <v>2345</v>
      </c>
      <c r="D1538" s="163" t="s">
        <v>2339</v>
      </c>
      <c r="E1538" s="163" t="s">
        <v>100</v>
      </c>
      <c r="F1538" s="163"/>
      <c r="G1538" s="163">
        <v>20</v>
      </c>
      <c r="H1538" s="163">
        <v>2</v>
      </c>
      <c r="I1538" s="163">
        <v>2</v>
      </c>
      <c r="J1538" s="163">
        <v>0</v>
      </c>
      <c r="K1538" s="163">
        <v>1</v>
      </c>
      <c r="L1538" s="163">
        <v>4</v>
      </c>
      <c r="M1538" s="163">
        <v>1406</v>
      </c>
      <c r="N1538" s="163">
        <v>0</v>
      </c>
      <c r="O1538" s="163">
        <v>8831</v>
      </c>
      <c r="P1538" s="163">
        <v>8880.74</v>
      </c>
      <c r="Q1538" s="163">
        <v>6.3163157894999999</v>
      </c>
      <c r="R1538" s="163">
        <v>1.0056324312</v>
      </c>
      <c r="S1538" s="163">
        <v>6.2809388335999996</v>
      </c>
      <c r="T1538" s="161">
        <f t="shared" si="41"/>
        <v>5.1519778029157012E-3</v>
      </c>
    </row>
    <row r="1539" spans="2:20">
      <c r="B1539" s="163">
        <v>20020200322</v>
      </c>
      <c r="C1539" s="163" t="s">
        <v>2346</v>
      </c>
      <c r="D1539" s="163" t="s">
        <v>2339</v>
      </c>
      <c r="E1539" s="163" t="s">
        <v>100</v>
      </c>
      <c r="F1539" s="163"/>
      <c r="G1539" s="163">
        <v>20</v>
      </c>
      <c r="H1539" s="163">
        <v>2</v>
      </c>
      <c r="I1539" s="163">
        <v>2</v>
      </c>
      <c r="J1539" s="163">
        <v>0</v>
      </c>
      <c r="K1539" s="163">
        <v>1</v>
      </c>
      <c r="L1539" s="163">
        <v>4</v>
      </c>
      <c r="M1539" s="163">
        <v>1911</v>
      </c>
      <c r="N1539" s="163">
        <v>0</v>
      </c>
      <c r="O1539" s="163">
        <v>17589</v>
      </c>
      <c r="P1539" s="163">
        <v>24900.91</v>
      </c>
      <c r="Q1539" s="163">
        <v>13.030303505999999</v>
      </c>
      <c r="R1539" s="163">
        <v>1.4157092500999999</v>
      </c>
      <c r="S1539" s="163">
        <v>9.2040816326999995</v>
      </c>
      <c r="T1539" s="161">
        <f t="shared" si="41"/>
        <v>1.0261367633958131E-2</v>
      </c>
    </row>
    <row r="1540" spans="2:20">
      <c r="B1540" s="163">
        <v>20020200323</v>
      </c>
      <c r="C1540" s="163" t="s">
        <v>2347</v>
      </c>
      <c r="D1540" s="163" t="s">
        <v>2339</v>
      </c>
      <c r="E1540" s="163" t="s">
        <v>100</v>
      </c>
      <c r="F1540" s="163"/>
      <c r="G1540" s="163">
        <v>20</v>
      </c>
      <c r="H1540" s="163">
        <v>2</v>
      </c>
      <c r="I1540" s="163">
        <v>2</v>
      </c>
      <c r="J1540" s="163">
        <v>0</v>
      </c>
      <c r="K1540" s="163">
        <v>1</v>
      </c>
      <c r="L1540" s="163">
        <v>4</v>
      </c>
      <c r="M1540" s="163">
        <v>12115</v>
      </c>
      <c r="N1540" s="163">
        <v>0</v>
      </c>
      <c r="O1540" s="163">
        <v>130256</v>
      </c>
      <c r="P1540" s="163">
        <v>240417.36</v>
      </c>
      <c r="Q1540" s="163">
        <v>19.844602558999998</v>
      </c>
      <c r="R1540" s="163">
        <v>1.8457296401000001</v>
      </c>
      <c r="S1540" s="163">
        <v>10.75163021</v>
      </c>
      <c r="T1540" s="161">
        <f t="shared" si="41"/>
        <v>7.5990943346912865E-2</v>
      </c>
    </row>
    <row r="1541" spans="2:20">
      <c r="B1541" s="163">
        <v>20020200324</v>
      </c>
      <c r="C1541" s="163" t="s">
        <v>2348</v>
      </c>
      <c r="D1541" s="163" t="s">
        <v>2339</v>
      </c>
      <c r="E1541" s="163" t="s">
        <v>100</v>
      </c>
      <c r="F1541" s="163"/>
      <c r="G1541" s="163">
        <v>20</v>
      </c>
      <c r="H1541" s="163">
        <v>2</v>
      </c>
      <c r="I1541" s="163">
        <v>2</v>
      </c>
      <c r="J1541" s="163">
        <v>0</v>
      </c>
      <c r="K1541" s="163">
        <v>1</v>
      </c>
      <c r="L1541" s="163">
        <v>4</v>
      </c>
      <c r="M1541" s="163">
        <v>2293</v>
      </c>
      <c r="N1541" s="163">
        <v>0</v>
      </c>
      <c r="O1541" s="163">
        <v>23171</v>
      </c>
      <c r="P1541" s="163">
        <v>61907.3</v>
      </c>
      <c r="Q1541" s="163">
        <v>26.998386393000001</v>
      </c>
      <c r="R1541" s="163">
        <v>2.6717578007</v>
      </c>
      <c r="S1541" s="163">
        <v>10.105102486</v>
      </c>
      <c r="T1541" s="161">
        <f t="shared" si="41"/>
        <v>1.3517888990075836E-2</v>
      </c>
    </row>
    <row r="1542" spans="2:20">
      <c r="B1542" s="163">
        <v>20020200331</v>
      </c>
      <c r="C1542" s="163" t="s">
        <v>2349</v>
      </c>
      <c r="D1542" s="163" t="s">
        <v>2339</v>
      </c>
      <c r="E1542" s="163" t="s">
        <v>100</v>
      </c>
      <c r="F1542" s="163"/>
      <c r="G1542" s="163">
        <v>20</v>
      </c>
      <c r="H1542" s="163">
        <v>2</v>
      </c>
      <c r="I1542" s="163">
        <v>2</v>
      </c>
      <c r="J1542" s="163">
        <v>0</v>
      </c>
      <c r="K1542" s="163">
        <v>1</v>
      </c>
      <c r="L1542" s="163">
        <v>4</v>
      </c>
      <c r="M1542" s="163">
        <v>25</v>
      </c>
      <c r="N1542" s="163">
        <v>0</v>
      </c>
      <c r="O1542" s="163">
        <v>164</v>
      </c>
      <c r="P1542" s="163">
        <v>116.44</v>
      </c>
      <c r="Q1542" s="163">
        <v>4.6576000000000004</v>
      </c>
      <c r="R1542" s="163">
        <v>0.71</v>
      </c>
      <c r="S1542" s="163">
        <v>6.56</v>
      </c>
      <c r="T1542" s="161">
        <f t="shared" si="41"/>
        <v>9.5677087496113123E-5</v>
      </c>
    </row>
    <row r="1543" spans="2:20">
      <c r="B1543" s="163">
        <v>20020200332</v>
      </c>
      <c r="C1543" s="163" t="s">
        <v>2350</v>
      </c>
      <c r="D1543" s="163" t="s">
        <v>2339</v>
      </c>
      <c r="E1543" s="163" t="s">
        <v>100</v>
      </c>
      <c r="F1543" s="163"/>
      <c r="G1543" s="163">
        <v>20</v>
      </c>
      <c r="H1543" s="163">
        <v>2</v>
      </c>
      <c r="I1543" s="163">
        <v>2</v>
      </c>
      <c r="J1543" s="163">
        <v>0</v>
      </c>
      <c r="K1543" s="163">
        <v>1</v>
      </c>
      <c r="L1543" s="163">
        <v>4</v>
      </c>
      <c r="M1543" s="163">
        <v>41</v>
      </c>
      <c r="N1543" s="163">
        <v>0</v>
      </c>
      <c r="O1543" s="163">
        <v>502</v>
      </c>
      <c r="P1543" s="163">
        <v>502</v>
      </c>
      <c r="Q1543" s="163">
        <v>12.243902438999999</v>
      </c>
      <c r="R1543" s="163">
        <v>1</v>
      </c>
      <c r="S1543" s="163">
        <v>12.243902438999999</v>
      </c>
      <c r="T1543" s="161">
        <f t="shared" si="41"/>
        <v>2.9286523123810235E-4</v>
      </c>
    </row>
    <row r="1544" spans="2:20">
      <c r="B1544" s="163">
        <v>20020200333</v>
      </c>
      <c r="C1544" s="163" t="s">
        <v>2351</v>
      </c>
      <c r="D1544" s="163" t="s">
        <v>2339</v>
      </c>
      <c r="E1544" s="163" t="s">
        <v>100</v>
      </c>
      <c r="F1544" s="163"/>
      <c r="G1544" s="163">
        <v>20</v>
      </c>
      <c r="H1544" s="163">
        <v>2</v>
      </c>
      <c r="I1544" s="163">
        <v>2</v>
      </c>
      <c r="J1544" s="163">
        <v>0</v>
      </c>
      <c r="K1544" s="163">
        <v>1</v>
      </c>
      <c r="L1544" s="163">
        <v>4</v>
      </c>
      <c r="M1544" s="163">
        <v>175</v>
      </c>
      <c r="N1544" s="163">
        <v>0</v>
      </c>
      <c r="O1544" s="163">
        <v>2116</v>
      </c>
      <c r="P1544" s="163">
        <v>2666.16</v>
      </c>
      <c r="Q1544" s="163">
        <v>15.235200000000001</v>
      </c>
      <c r="R1544" s="163">
        <v>1.26</v>
      </c>
      <c r="S1544" s="163">
        <v>12.091428571</v>
      </c>
      <c r="T1544" s="161">
        <f t="shared" si="41"/>
        <v>1.2344677874498498E-3</v>
      </c>
    </row>
    <row r="1545" spans="2:20">
      <c r="B1545" s="163">
        <v>20020200334</v>
      </c>
      <c r="C1545" s="163" t="s">
        <v>2352</v>
      </c>
      <c r="D1545" s="163" t="s">
        <v>2339</v>
      </c>
      <c r="E1545" s="163" t="s">
        <v>100</v>
      </c>
      <c r="F1545" s="163"/>
      <c r="G1545" s="163">
        <v>20</v>
      </c>
      <c r="H1545" s="163">
        <v>2</v>
      </c>
      <c r="I1545" s="163">
        <v>2</v>
      </c>
      <c r="J1545" s="163">
        <v>0</v>
      </c>
      <c r="K1545" s="163">
        <v>1</v>
      </c>
      <c r="L1545" s="163">
        <v>4</v>
      </c>
      <c r="M1545" s="163">
        <v>22</v>
      </c>
      <c r="N1545" s="163">
        <v>0</v>
      </c>
      <c r="O1545" s="163">
        <v>243</v>
      </c>
      <c r="P1545" s="163">
        <v>447.12</v>
      </c>
      <c r="Q1545" s="163">
        <v>20.323636363999999</v>
      </c>
      <c r="R1545" s="163">
        <v>1.84</v>
      </c>
      <c r="S1545" s="163">
        <v>11.045454545</v>
      </c>
      <c r="T1545" s="161">
        <f t="shared" si="41"/>
        <v>1.4176544061924077E-4</v>
      </c>
    </row>
    <row r="1546" spans="2:20">
      <c r="B1546" s="163">
        <v>20020200337</v>
      </c>
      <c r="C1546" s="163" t="s">
        <v>2353</v>
      </c>
      <c r="D1546" s="163" t="s">
        <v>2339</v>
      </c>
      <c r="E1546" s="163" t="s">
        <v>100</v>
      </c>
      <c r="F1546" s="163"/>
      <c r="G1546" s="163">
        <v>20</v>
      </c>
      <c r="H1546" s="163">
        <v>2</v>
      </c>
      <c r="I1546" s="163">
        <v>2</v>
      </c>
      <c r="J1546" s="163">
        <v>0</v>
      </c>
      <c r="K1546" s="163">
        <v>1</v>
      </c>
      <c r="L1546" s="163">
        <v>4</v>
      </c>
      <c r="M1546" s="163">
        <v>1</v>
      </c>
      <c r="N1546" s="163">
        <v>0</v>
      </c>
      <c r="O1546" s="163">
        <v>1</v>
      </c>
      <c r="P1546" s="163">
        <v>0.73</v>
      </c>
      <c r="Q1546" s="163">
        <v>0.73</v>
      </c>
      <c r="R1546" s="163">
        <v>0.73</v>
      </c>
      <c r="S1546" s="163">
        <v>1</v>
      </c>
      <c r="T1546" s="161">
        <f t="shared" si="41"/>
        <v>5.8339687497629948E-7</v>
      </c>
    </row>
    <row r="1547" spans="2:20">
      <c r="B1547" s="163">
        <v>20020200338</v>
      </c>
      <c r="C1547" s="163" t="s">
        <v>2354</v>
      </c>
      <c r="D1547" s="163" t="s">
        <v>2339</v>
      </c>
      <c r="E1547" s="163" t="s">
        <v>100</v>
      </c>
      <c r="F1547" s="163"/>
      <c r="G1547" s="163">
        <v>20</v>
      </c>
      <c r="H1547" s="163">
        <v>2</v>
      </c>
      <c r="I1547" s="163">
        <v>2</v>
      </c>
      <c r="J1547" s="163">
        <v>0</v>
      </c>
      <c r="K1547" s="163">
        <v>1</v>
      </c>
      <c r="L1547" s="163">
        <v>4</v>
      </c>
      <c r="M1547" s="163">
        <v>1</v>
      </c>
      <c r="N1547" s="163">
        <v>0</v>
      </c>
      <c r="O1547" s="163">
        <v>8</v>
      </c>
      <c r="P1547" s="163">
        <v>7.24</v>
      </c>
      <c r="Q1547" s="163">
        <v>7.24</v>
      </c>
      <c r="R1547" s="163">
        <v>0.90500000000000003</v>
      </c>
      <c r="S1547" s="163">
        <v>8</v>
      </c>
      <c r="T1547" s="161">
        <f t="shared" si="41"/>
        <v>4.6671749998103958E-6</v>
      </c>
    </row>
    <row r="1548" spans="2:20">
      <c r="B1548" s="163">
        <v>20020200341</v>
      </c>
      <c r="C1548" s="163" t="s">
        <v>2355</v>
      </c>
      <c r="D1548" s="163" t="s">
        <v>2339</v>
      </c>
      <c r="E1548" s="163" t="s">
        <v>100</v>
      </c>
      <c r="F1548" s="163"/>
      <c r="G1548" s="163">
        <v>20</v>
      </c>
      <c r="H1548" s="163">
        <v>2</v>
      </c>
      <c r="I1548" s="163">
        <v>2</v>
      </c>
      <c r="J1548" s="163">
        <v>0</v>
      </c>
      <c r="K1548" s="163">
        <v>1</v>
      </c>
      <c r="L1548" s="163">
        <v>4</v>
      </c>
      <c r="M1548" s="163">
        <v>300</v>
      </c>
      <c r="N1548" s="163">
        <v>0</v>
      </c>
      <c r="O1548" s="163">
        <v>1463</v>
      </c>
      <c r="P1548" s="163">
        <v>5430.16</v>
      </c>
      <c r="Q1548" s="163">
        <v>18.100533333000001</v>
      </c>
      <c r="R1548" s="163">
        <v>3.7116609706000001</v>
      </c>
      <c r="S1548" s="163">
        <v>4.8766666667000003</v>
      </c>
      <c r="T1548" s="161">
        <f t="shared" si="41"/>
        <v>8.5350962809032619E-4</v>
      </c>
    </row>
    <row r="1549" spans="2:20">
      <c r="B1549" s="163">
        <v>20020200342</v>
      </c>
      <c r="C1549" s="163" t="s">
        <v>2356</v>
      </c>
      <c r="D1549" s="163" t="s">
        <v>2339</v>
      </c>
      <c r="E1549" s="163" t="s">
        <v>100</v>
      </c>
      <c r="F1549" s="163"/>
      <c r="G1549" s="163">
        <v>20</v>
      </c>
      <c r="H1549" s="163">
        <v>2</v>
      </c>
      <c r="I1549" s="163">
        <v>2</v>
      </c>
      <c r="J1549" s="163">
        <v>0</v>
      </c>
      <c r="K1549" s="163">
        <v>1</v>
      </c>
      <c r="L1549" s="163">
        <v>4</v>
      </c>
      <c r="M1549" s="163">
        <v>264</v>
      </c>
      <c r="N1549" s="163">
        <v>0</v>
      </c>
      <c r="O1549" s="163">
        <v>955</v>
      </c>
      <c r="P1549" s="163">
        <v>5131.41</v>
      </c>
      <c r="Q1549" s="163">
        <v>19.437159091000002</v>
      </c>
      <c r="R1549" s="163">
        <v>5.3732041884999999</v>
      </c>
      <c r="S1549" s="163">
        <v>3.6174242423999998</v>
      </c>
      <c r="T1549" s="161">
        <f t="shared" si="41"/>
        <v>5.5714401560236606E-4</v>
      </c>
    </row>
    <row r="1550" spans="2:20">
      <c r="B1550" s="163">
        <v>20020200343</v>
      </c>
      <c r="C1550" s="163" t="s">
        <v>2357</v>
      </c>
      <c r="D1550" s="163" t="s">
        <v>2339</v>
      </c>
      <c r="E1550" s="163" t="s">
        <v>100</v>
      </c>
      <c r="F1550" s="163"/>
      <c r="G1550" s="163">
        <v>20</v>
      </c>
      <c r="H1550" s="163">
        <v>2</v>
      </c>
      <c r="I1550" s="163">
        <v>2</v>
      </c>
      <c r="J1550" s="163">
        <v>0</v>
      </c>
      <c r="K1550" s="163">
        <v>1</v>
      </c>
      <c r="L1550" s="163">
        <v>4</v>
      </c>
      <c r="M1550" s="163">
        <v>199</v>
      </c>
      <c r="N1550" s="163">
        <v>0</v>
      </c>
      <c r="O1550" s="163">
        <v>1036</v>
      </c>
      <c r="P1550" s="163">
        <v>7398.12</v>
      </c>
      <c r="Q1550" s="163">
        <v>37.176482411999999</v>
      </c>
      <c r="R1550" s="163">
        <v>7.1410424709999996</v>
      </c>
      <c r="S1550" s="163">
        <v>5.2060301508000002</v>
      </c>
      <c r="T1550" s="161">
        <f t="shared" si="41"/>
        <v>6.0439916247544633E-4</v>
      </c>
    </row>
    <row r="1551" spans="2:20">
      <c r="B1551" s="163">
        <v>20020200370</v>
      </c>
      <c r="C1551" s="163" t="s">
        <v>2358</v>
      </c>
      <c r="D1551" s="163" t="s">
        <v>2339</v>
      </c>
      <c r="E1551" s="163" t="s">
        <v>100</v>
      </c>
      <c r="F1551" s="163"/>
      <c r="G1551" s="163">
        <v>20</v>
      </c>
      <c r="H1551" s="163">
        <v>2</v>
      </c>
      <c r="I1551" s="163">
        <v>2</v>
      </c>
      <c r="J1551" s="163">
        <v>0</v>
      </c>
      <c r="K1551" s="163">
        <v>1</v>
      </c>
      <c r="L1551" s="163">
        <v>4</v>
      </c>
      <c r="M1551" s="163">
        <v>12</v>
      </c>
      <c r="N1551" s="163">
        <v>0</v>
      </c>
      <c r="O1551" s="163">
        <v>124</v>
      </c>
      <c r="P1551" s="163">
        <v>45.88</v>
      </c>
      <c r="Q1551" s="163">
        <v>3.8233333332999999</v>
      </c>
      <c r="R1551" s="163">
        <v>0.37</v>
      </c>
      <c r="S1551" s="163">
        <v>10.333333333000001</v>
      </c>
      <c r="T1551" s="161">
        <f t="shared" si="41"/>
        <v>7.2341212497061143E-5</v>
      </c>
    </row>
    <row r="1552" spans="2:20">
      <c r="B1552" s="163">
        <v>20020200371</v>
      </c>
      <c r="C1552" s="163" t="s">
        <v>2359</v>
      </c>
      <c r="D1552" s="163" t="s">
        <v>2339</v>
      </c>
      <c r="E1552" s="163" t="s">
        <v>100</v>
      </c>
      <c r="F1552" s="163"/>
      <c r="G1552" s="163">
        <v>20</v>
      </c>
      <c r="H1552" s="163">
        <v>2</v>
      </c>
      <c r="I1552" s="163">
        <v>2</v>
      </c>
      <c r="J1552" s="163">
        <v>0</v>
      </c>
      <c r="K1552" s="163">
        <v>1</v>
      </c>
      <c r="L1552" s="163">
        <v>4</v>
      </c>
      <c r="M1552" s="163">
        <v>38</v>
      </c>
      <c r="N1552" s="163">
        <v>0</v>
      </c>
      <c r="O1552" s="163">
        <v>433</v>
      </c>
      <c r="P1552" s="163">
        <v>224.05</v>
      </c>
      <c r="Q1552" s="163">
        <v>5.8960526315999999</v>
      </c>
      <c r="R1552" s="163">
        <v>0.51743648959999999</v>
      </c>
      <c r="S1552" s="163">
        <v>11.394736842</v>
      </c>
      <c r="T1552" s="161">
        <f t="shared" si="41"/>
        <v>2.5261084686473769E-4</v>
      </c>
    </row>
    <row r="1553" spans="2:20">
      <c r="B1553" s="163">
        <v>20020200372</v>
      </c>
      <c r="C1553" s="163" t="s">
        <v>2360</v>
      </c>
      <c r="D1553" s="163" t="s">
        <v>2339</v>
      </c>
      <c r="E1553" s="163" t="s">
        <v>100</v>
      </c>
      <c r="F1553" s="163"/>
      <c r="G1553" s="163">
        <v>20</v>
      </c>
      <c r="H1553" s="163">
        <v>2</v>
      </c>
      <c r="I1553" s="163">
        <v>2</v>
      </c>
      <c r="J1553" s="163">
        <v>0</v>
      </c>
      <c r="K1553" s="163">
        <v>1</v>
      </c>
      <c r="L1553" s="163">
        <v>4</v>
      </c>
      <c r="M1553" s="163">
        <v>1058</v>
      </c>
      <c r="N1553" s="163">
        <v>0</v>
      </c>
      <c r="O1553" s="163">
        <v>15002</v>
      </c>
      <c r="P1553" s="163">
        <v>9407.44</v>
      </c>
      <c r="Q1553" s="163">
        <v>8.8917202268000004</v>
      </c>
      <c r="R1553" s="163">
        <v>0.62707905610000003</v>
      </c>
      <c r="S1553" s="163">
        <v>14.179584121</v>
      </c>
      <c r="T1553" s="161">
        <f t="shared" si="41"/>
        <v>8.7521199183944447E-3</v>
      </c>
    </row>
    <row r="1554" spans="2:20">
      <c r="B1554" s="163">
        <v>20020200373</v>
      </c>
      <c r="C1554" s="163" t="s">
        <v>2361</v>
      </c>
      <c r="D1554" s="163" t="s">
        <v>2339</v>
      </c>
      <c r="E1554" s="163" t="s">
        <v>100</v>
      </c>
      <c r="F1554" s="163"/>
      <c r="G1554" s="163">
        <v>20</v>
      </c>
      <c r="H1554" s="163">
        <v>2</v>
      </c>
      <c r="I1554" s="163">
        <v>2</v>
      </c>
      <c r="J1554" s="163">
        <v>0</v>
      </c>
      <c r="K1554" s="163">
        <v>1</v>
      </c>
      <c r="L1554" s="163">
        <v>4</v>
      </c>
      <c r="M1554" s="163">
        <v>353</v>
      </c>
      <c r="N1554" s="163">
        <v>0</v>
      </c>
      <c r="O1554" s="163">
        <v>4858</v>
      </c>
      <c r="P1554" s="163">
        <v>4455.2299999999996</v>
      </c>
      <c r="Q1554" s="163">
        <v>12.621048159000001</v>
      </c>
      <c r="R1554" s="163">
        <v>0.91709139559999997</v>
      </c>
      <c r="S1554" s="163">
        <v>13.762039659999999</v>
      </c>
      <c r="T1554" s="161">
        <f t="shared" si="41"/>
        <v>2.8341420186348632E-3</v>
      </c>
    </row>
    <row r="1555" spans="2:20">
      <c r="B1555" s="163">
        <v>20020200465</v>
      </c>
      <c r="C1555" s="163" t="s">
        <v>2362</v>
      </c>
      <c r="D1555" s="163" t="s">
        <v>2339</v>
      </c>
      <c r="E1555" s="163" t="s">
        <v>100</v>
      </c>
      <c r="F1555" s="163"/>
      <c r="G1555" s="163">
        <v>20</v>
      </c>
      <c r="H1555" s="163">
        <v>2</v>
      </c>
      <c r="I1555" s="163">
        <v>2</v>
      </c>
      <c r="J1555" s="163">
        <v>0</v>
      </c>
      <c r="K1555" s="163">
        <v>1</v>
      </c>
      <c r="L1555" s="163">
        <v>4</v>
      </c>
      <c r="M1555" s="163">
        <v>5</v>
      </c>
      <c r="N1555" s="163">
        <v>0</v>
      </c>
      <c r="O1555" s="163">
        <v>72</v>
      </c>
      <c r="P1555" s="163">
        <v>8.64</v>
      </c>
      <c r="Q1555" s="163">
        <v>1.728</v>
      </c>
      <c r="R1555" s="163">
        <v>0.12</v>
      </c>
      <c r="S1555" s="163">
        <v>14.4</v>
      </c>
      <c r="T1555" s="161">
        <f t="shared" si="41"/>
        <v>4.2004574998293567E-5</v>
      </c>
    </row>
    <row r="1556" spans="2:20">
      <c r="B1556" s="163">
        <v>20020200467</v>
      </c>
      <c r="C1556" s="163" t="s">
        <v>2363</v>
      </c>
      <c r="D1556" s="163" t="s">
        <v>2339</v>
      </c>
      <c r="E1556" s="163" t="s">
        <v>100</v>
      </c>
      <c r="F1556" s="163"/>
      <c r="G1556" s="163">
        <v>20</v>
      </c>
      <c r="H1556" s="163">
        <v>2</v>
      </c>
      <c r="I1556" s="163">
        <v>2</v>
      </c>
      <c r="J1556" s="163">
        <v>0</v>
      </c>
      <c r="K1556" s="163">
        <v>1</v>
      </c>
      <c r="L1556" s="163">
        <v>4</v>
      </c>
      <c r="M1556" s="163">
        <v>33</v>
      </c>
      <c r="N1556" s="163">
        <v>0</v>
      </c>
      <c r="O1556" s="163">
        <v>348</v>
      </c>
      <c r="P1556" s="163">
        <v>59.16</v>
      </c>
      <c r="Q1556" s="163">
        <v>1.7927272727000001</v>
      </c>
      <c r="R1556" s="163">
        <v>0.17</v>
      </c>
      <c r="S1556" s="163">
        <v>10.545454545</v>
      </c>
      <c r="T1556" s="161">
        <f t="shared" si="41"/>
        <v>2.0302211249175224E-4</v>
      </c>
    </row>
    <row r="1557" spans="2:20">
      <c r="B1557" s="163">
        <v>20020200468</v>
      </c>
      <c r="C1557" s="163" t="s">
        <v>2364</v>
      </c>
      <c r="D1557" s="163" t="s">
        <v>2339</v>
      </c>
      <c r="E1557" s="163" t="s">
        <v>100</v>
      </c>
      <c r="F1557" s="163"/>
      <c r="G1557" s="163">
        <v>20</v>
      </c>
      <c r="H1557" s="163">
        <v>2</v>
      </c>
      <c r="I1557" s="163">
        <v>2</v>
      </c>
      <c r="J1557" s="163">
        <v>0</v>
      </c>
      <c r="K1557" s="163">
        <v>1</v>
      </c>
      <c r="L1557" s="163">
        <v>4</v>
      </c>
      <c r="M1557" s="163">
        <v>13</v>
      </c>
      <c r="N1557" s="163">
        <v>0</v>
      </c>
      <c r="O1557" s="163">
        <v>209</v>
      </c>
      <c r="P1557" s="163">
        <v>68.97</v>
      </c>
      <c r="Q1557" s="163">
        <v>5.3053846154000004</v>
      </c>
      <c r="R1557" s="163">
        <v>0.33</v>
      </c>
      <c r="S1557" s="163">
        <v>16.076923077</v>
      </c>
      <c r="T1557" s="161">
        <f t="shared" si="41"/>
        <v>1.2192994687004659E-4</v>
      </c>
    </row>
    <row r="1558" spans="2:20">
      <c r="B1558" s="163">
        <v>20020200471</v>
      </c>
      <c r="C1558" s="163" t="s">
        <v>2365</v>
      </c>
      <c r="D1558" s="163" t="s">
        <v>2339</v>
      </c>
      <c r="E1558" s="163" t="s">
        <v>100</v>
      </c>
      <c r="F1558" s="163"/>
      <c r="G1558" s="163">
        <v>20</v>
      </c>
      <c r="H1558" s="163">
        <v>2</v>
      </c>
      <c r="I1558" s="163">
        <v>2</v>
      </c>
      <c r="J1558" s="163">
        <v>0</v>
      </c>
      <c r="K1558" s="163">
        <v>1</v>
      </c>
      <c r="L1558" s="163">
        <v>4</v>
      </c>
      <c r="M1558" s="163">
        <v>415</v>
      </c>
      <c r="N1558" s="163">
        <v>0</v>
      </c>
      <c r="O1558" s="163">
        <v>5148</v>
      </c>
      <c r="P1558" s="163">
        <v>1853.28</v>
      </c>
      <c r="Q1558" s="163">
        <v>4.4657349397999999</v>
      </c>
      <c r="R1558" s="163">
        <v>0.36</v>
      </c>
      <c r="S1558" s="163">
        <v>12.404819277</v>
      </c>
      <c r="T1558" s="161">
        <f t="shared" si="41"/>
        <v>3.0033271123779898E-3</v>
      </c>
    </row>
    <row r="1559" spans="2:20">
      <c r="B1559" s="163">
        <v>20020200472</v>
      </c>
      <c r="C1559" s="163" t="s">
        <v>2366</v>
      </c>
      <c r="D1559" s="163" t="s">
        <v>2339</v>
      </c>
      <c r="E1559" s="163" t="s">
        <v>100</v>
      </c>
      <c r="F1559" s="163"/>
      <c r="G1559" s="163">
        <v>20</v>
      </c>
      <c r="H1559" s="163">
        <v>2</v>
      </c>
      <c r="I1559" s="163">
        <v>2</v>
      </c>
      <c r="J1559" s="163">
        <v>0</v>
      </c>
      <c r="K1559" s="163">
        <v>1</v>
      </c>
      <c r="L1559" s="163">
        <v>4</v>
      </c>
      <c r="M1559" s="163">
        <v>321</v>
      </c>
      <c r="N1559" s="163">
        <v>0</v>
      </c>
      <c r="O1559" s="163">
        <v>4445</v>
      </c>
      <c r="P1559" s="163">
        <v>1911.33</v>
      </c>
      <c r="Q1559" s="163">
        <v>5.9542990653999999</v>
      </c>
      <c r="R1559" s="163">
        <v>0.42999550060000002</v>
      </c>
      <c r="S1559" s="163">
        <v>13.847352024999999</v>
      </c>
      <c r="T1559" s="161">
        <f t="shared" si="41"/>
        <v>2.5931991092696511E-3</v>
      </c>
    </row>
    <row r="1560" spans="2:20">
      <c r="B1560" s="163">
        <v>20020200473</v>
      </c>
      <c r="C1560" s="163" t="s">
        <v>2367</v>
      </c>
      <c r="D1560" s="163" t="s">
        <v>2339</v>
      </c>
      <c r="E1560" s="163" t="s">
        <v>100</v>
      </c>
      <c r="F1560" s="163"/>
      <c r="G1560" s="163">
        <v>20</v>
      </c>
      <c r="H1560" s="163">
        <v>2</v>
      </c>
      <c r="I1560" s="163">
        <v>2</v>
      </c>
      <c r="J1560" s="163">
        <v>0</v>
      </c>
      <c r="K1560" s="163">
        <v>1</v>
      </c>
      <c r="L1560" s="163">
        <v>4</v>
      </c>
      <c r="M1560" s="163">
        <v>914</v>
      </c>
      <c r="N1560" s="163">
        <v>0</v>
      </c>
      <c r="O1560" s="163">
        <v>13148</v>
      </c>
      <c r="P1560" s="163">
        <v>6836.75</v>
      </c>
      <c r="Q1560" s="163">
        <v>7.4800328228000001</v>
      </c>
      <c r="R1560" s="163">
        <v>0.51998402799999999</v>
      </c>
      <c r="S1560" s="163">
        <v>14.385120349999999</v>
      </c>
      <c r="T1560" s="161">
        <f t="shared" si="41"/>
        <v>7.6705021121883862E-3</v>
      </c>
    </row>
    <row r="1561" spans="2:20">
      <c r="B1561" s="163">
        <v>20020200474</v>
      </c>
      <c r="C1561" s="163" t="s">
        <v>2368</v>
      </c>
      <c r="D1561" s="163" t="s">
        <v>2339</v>
      </c>
      <c r="E1561" s="163" t="s">
        <v>100</v>
      </c>
      <c r="F1561" s="163"/>
      <c r="G1561" s="163">
        <v>20</v>
      </c>
      <c r="H1561" s="163">
        <v>2</v>
      </c>
      <c r="I1561" s="163">
        <v>2</v>
      </c>
      <c r="J1561" s="163">
        <v>0</v>
      </c>
      <c r="K1561" s="163">
        <v>1</v>
      </c>
      <c r="L1561" s="163">
        <v>4</v>
      </c>
      <c r="M1561" s="163">
        <v>183</v>
      </c>
      <c r="N1561" s="163">
        <v>0</v>
      </c>
      <c r="O1561" s="163">
        <v>3697</v>
      </c>
      <c r="P1561" s="163">
        <v>3253.36</v>
      </c>
      <c r="Q1561" s="163">
        <v>17.777923497</v>
      </c>
      <c r="R1561" s="163">
        <v>0.88</v>
      </c>
      <c r="S1561" s="163">
        <v>20.202185792000002</v>
      </c>
      <c r="T1561" s="161">
        <f t="shared" si="41"/>
        <v>2.1568182467873792E-3</v>
      </c>
    </row>
    <row r="1562" spans="2:20">
      <c r="B1562" s="163">
        <v>20020200478</v>
      </c>
      <c r="C1562" s="163" t="s">
        <v>2369</v>
      </c>
      <c r="D1562" s="163" t="s">
        <v>2339</v>
      </c>
      <c r="E1562" s="163" t="s">
        <v>100</v>
      </c>
      <c r="F1562" s="163"/>
      <c r="G1562" s="163">
        <v>20</v>
      </c>
      <c r="H1562" s="163">
        <v>2</v>
      </c>
      <c r="I1562" s="163">
        <v>2</v>
      </c>
      <c r="J1562" s="163">
        <v>0</v>
      </c>
      <c r="K1562" s="163">
        <v>1</v>
      </c>
      <c r="L1562" s="163">
        <v>4</v>
      </c>
      <c r="M1562" s="163">
        <v>407</v>
      </c>
      <c r="N1562" s="163">
        <v>0</v>
      </c>
      <c r="O1562" s="163">
        <v>4760</v>
      </c>
      <c r="P1562" s="163">
        <v>2250.0700000000002</v>
      </c>
      <c r="Q1562" s="163">
        <v>5.5284275184</v>
      </c>
      <c r="R1562" s="163">
        <v>0.47270378149999998</v>
      </c>
      <c r="S1562" s="163">
        <v>11.695331695</v>
      </c>
      <c r="T1562" s="161">
        <f t="shared" si="41"/>
        <v>2.7769691248871855E-3</v>
      </c>
    </row>
    <row r="1563" spans="2:20">
      <c r="B1563" s="163">
        <v>20020200479</v>
      </c>
      <c r="C1563" s="163" t="s">
        <v>2370</v>
      </c>
      <c r="D1563" s="163" t="s">
        <v>2339</v>
      </c>
      <c r="E1563" s="163" t="s">
        <v>100</v>
      </c>
      <c r="F1563" s="163"/>
      <c r="G1563" s="163">
        <v>20</v>
      </c>
      <c r="H1563" s="163">
        <v>2</v>
      </c>
      <c r="I1563" s="163">
        <v>2</v>
      </c>
      <c r="J1563" s="163">
        <v>0</v>
      </c>
      <c r="K1563" s="163">
        <v>1</v>
      </c>
      <c r="L1563" s="163">
        <v>4</v>
      </c>
      <c r="M1563" s="163">
        <v>479</v>
      </c>
      <c r="N1563" s="163">
        <v>0</v>
      </c>
      <c r="O1563" s="163">
        <v>7102</v>
      </c>
      <c r="P1563" s="163">
        <v>4913.51</v>
      </c>
      <c r="Q1563" s="163">
        <v>10.257849687</v>
      </c>
      <c r="R1563" s="163">
        <v>0.69184877499999997</v>
      </c>
      <c r="S1563" s="163">
        <v>14.826722338</v>
      </c>
      <c r="T1563" s="161">
        <f t="shared" si="41"/>
        <v>4.1432846060816793E-3</v>
      </c>
    </row>
    <row r="1564" spans="2:20">
      <c r="B1564" s="163">
        <v>20020200480</v>
      </c>
      <c r="C1564" s="163" t="s">
        <v>2371</v>
      </c>
      <c r="D1564" s="163" t="s">
        <v>2339</v>
      </c>
      <c r="E1564" s="163" t="s">
        <v>100</v>
      </c>
      <c r="F1564" s="163"/>
      <c r="G1564" s="163">
        <v>20</v>
      </c>
      <c r="H1564" s="163">
        <v>2</v>
      </c>
      <c r="I1564" s="163">
        <v>2</v>
      </c>
      <c r="J1564" s="163">
        <v>0</v>
      </c>
      <c r="K1564" s="163">
        <v>1</v>
      </c>
      <c r="L1564" s="163">
        <v>4</v>
      </c>
      <c r="M1564" s="163">
        <v>954</v>
      </c>
      <c r="N1564" s="163">
        <v>0</v>
      </c>
      <c r="O1564" s="163">
        <v>12617</v>
      </c>
      <c r="P1564" s="163">
        <v>10372.84</v>
      </c>
      <c r="Q1564" s="163">
        <v>10.872997904</v>
      </c>
      <c r="R1564" s="163">
        <v>0.82213204409999996</v>
      </c>
      <c r="S1564" s="163">
        <v>13.225366876000001</v>
      </c>
      <c r="T1564" s="161">
        <f t="shared" si="41"/>
        <v>7.360718371575971E-3</v>
      </c>
    </row>
    <row r="1565" spans="2:20">
      <c r="B1565" s="163">
        <v>20020200482</v>
      </c>
      <c r="C1565" s="163" t="s">
        <v>2372</v>
      </c>
      <c r="D1565" s="163" t="s">
        <v>2339</v>
      </c>
      <c r="E1565" s="163" t="s">
        <v>100</v>
      </c>
      <c r="F1565" s="163"/>
      <c r="G1565" s="163">
        <v>20</v>
      </c>
      <c r="H1565" s="163">
        <v>2</v>
      </c>
      <c r="I1565" s="163">
        <v>2</v>
      </c>
      <c r="J1565" s="163">
        <v>0</v>
      </c>
      <c r="K1565" s="163">
        <v>1</v>
      </c>
      <c r="L1565" s="163">
        <v>4</v>
      </c>
      <c r="M1565" s="163">
        <v>1107</v>
      </c>
      <c r="N1565" s="163">
        <v>0</v>
      </c>
      <c r="O1565" s="163">
        <v>11412</v>
      </c>
      <c r="P1565" s="163">
        <v>6847.2</v>
      </c>
      <c r="Q1565" s="163">
        <v>6.1853658536999996</v>
      </c>
      <c r="R1565" s="163">
        <v>0.6</v>
      </c>
      <c r="S1565" s="163">
        <v>10.308943089</v>
      </c>
      <c r="T1565" s="161">
        <f t="shared" si="41"/>
        <v>6.6577251372295296E-3</v>
      </c>
    </row>
    <row r="1566" spans="2:20">
      <c r="B1566" s="163">
        <v>20020200483</v>
      </c>
      <c r="C1566" s="163" t="s">
        <v>2373</v>
      </c>
      <c r="D1566" s="163" t="s">
        <v>2339</v>
      </c>
      <c r="E1566" s="163" t="s">
        <v>100</v>
      </c>
      <c r="F1566" s="163"/>
      <c r="G1566" s="163">
        <v>20</v>
      </c>
      <c r="H1566" s="163">
        <v>2</v>
      </c>
      <c r="I1566" s="163">
        <v>2</v>
      </c>
      <c r="J1566" s="163">
        <v>0</v>
      </c>
      <c r="K1566" s="163">
        <v>1</v>
      </c>
      <c r="L1566" s="163">
        <v>4</v>
      </c>
      <c r="M1566" s="163">
        <v>2620</v>
      </c>
      <c r="N1566" s="163">
        <v>0</v>
      </c>
      <c r="O1566" s="163">
        <v>35973</v>
      </c>
      <c r="P1566" s="163">
        <v>25900.560000000001</v>
      </c>
      <c r="Q1566" s="163">
        <v>9.8857099237000003</v>
      </c>
      <c r="R1566" s="163">
        <v>0.72</v>
      </c>
      <c r="S1566" s="163">
        <v>13.730152671999999</v>
      </c>
      <c r="T1566" s="161">
        <f t="shared" si="41"/>
        <v>2.0986535783522421E-2</v>
      </c>
    </row>
    <row r="1567" spans="2:20">
      <c r="B1567" s="163">
        <v>20020200484</v>
      </c>
      <c r="C1567" s="163" t="s">
        <v>2374</v>
      </c>
      <c r="D1567" s="163" t="s">
        <v>2339</v>
      </c>
      <c r="E1567" s="163" t="s">
        <v>100</v>
      </c>
      <c r="F1567" s="163"/>
      <c r="G1567" s="163">
        <v>20</v>
      </c>
      <c r="H1567" s="163">
        <v>2</v>
      </c>
      <c r="I1567" s="163">
        <v>2</v>
      </c>
      <c r="J1567" s="163">
        <v>0</v>
      </c>
      <c r="K1567" s="163">
        <v>1</v>
      </c>
      <c r="L1567" s="163">
        <v>4</v>
      </c>
      <c r="M1567" s="163">
        <v>333</v>
      </c>
      <c r="N1567" s="163">
        <v>0</v>
      </c>
      <c r="O1567" s="163">
        <v>4207</v>
      </c>
      <c r="P1567" s="163">
        <v>4417.3500000000004</v>
      </c>
      <c r="Q1567" s="163">
        <v>13.265315315</v>
      </c>
      <c r="R1567" s="163">
        <v>1.05</v>
      </c>
      <c r="S1567" s="163">
        <v>12.633633634000001</v>
      </c>
      <c r="T1567" s="161">
        <f t="shared" si="41"/>
        <v>2.4543506530252919E-3</v>
      </c>
    </row>
    <row r="1568" spans="2:20">
      <c r="B1568" s="163">
        <v>20020200485</v>
      </c>
      <c r="C1568" s="163" t="s">
        <v>2375</v>
      </c>
      <c r="D1568" s="163" t="s">
        <v>2339</v>
      </c>
      <c r="E1568" s="163" t="s">
        <v>100</v>
      </c>
      <c r="F1568" s="163"/>
      <c r="G1568" s="163">
        <v>20</v>
      </c>
      <c r="H1568" s="163">
        <v>2</v>
      </c>
      <c r="I1568" s="163">
        <v>2</v>
      </c>
      <c r="J1568" s="163">
        <v>0</v>
      </c>
      <c r="K1568" s="163">
        <v>1</v>
      </c>
      <c r="L1568" s="163">
        <v>4</v>
      </c>
      <c r="M1568" s="163">
        <v>1268</v>
      </c>
      <c r="N1568" s="163">
        <v>0</v>
      </c>
      <c r="O1568" s="163">
        <v>26993</v>
      </c>
      <c r="P1568" s="163">
        <v>8312.6</v>
      </c>
      <c r="Q1568" s="163">
        <v>6.5556782334000001</v>
      </c>
      <c r="R1568" s="163">
        <v>0.307953914</v>
      </c>
      <c r="S1568" s="163">
        <v>21.287854889999998</v>
      </c>
      <c r="T1568" s="161">
        <f t="shared" si="41"/>
        <v>1.5747631846235254E-2</v>
      </c>
    </row>
    <row r="1569" spans="2:20">
      <c r="B1569" s="163">
        <v>20020200491</v>
      </c>
      <c r="C1569" s="163" t="s">
        <v>2376</v>
      </c>
      <c r="D1569" s="163" t="s">
        <v>2339</v>
      </c>
      <c r="E1569" s="163" t="s">
        <v>100</v>
      </c>
      <c r="F1569" s="163"/>
      <c r="G1569" s="163">
        <v>20</v>
      </c>
      <c r="H1569" s="163">
        <v>2</v>
      </c>
      <c r="I1569" s="163">
        <v>2</v>
      </c>
      <c r="J1569" s="163">
        <v>0</v>
      </c>
      <c r="K1569" s="163">
        <v>1</v>
      </c>
      <c r="L1569" s="163">
        <v>4</v>
      </c>
      <c r="M1569" s="163">
        <v>82</v>
      </c>
      <c r="N1569" s="163">
        <v>0</v>
      </c>
      <c r="O1569" s="163">
        <v>1639</v>
      </c>
      <c r="P1569" s="163">
        <v>475.31</v>
      </c>
      <c r="Q1569" s="163">
        <v>5.7964634145999998</v>
      </c>
      <c r="R1569" s="163">
        <v>0.28999999999999998</v>
      </c>
      <c r="S1569" s="163">
        <v>19.987804877999999</v>
      </c>
      <c r="T1569" s="161">
        <f t="shared" si="41"/>
        <v>9.5618747808615492E-4</v>
      </c>
    </row>
    <row r="1570" spans="2:20">
      <c r="B1570" s="163">
        <v>20020200492</v>
      </c>
      <c r="C1570" s="163" t="s">
        <v>2377</v>
      </c>
      <c r="D1570" s="163" t="s">
        <v>2339</v>
      </c>
      <c r="E1570" s="163" t="s">
        <v>100</v>
      </c>
      <c r="F1570" s="163"/>
      <c r="G1570" s="163">
        <v>20</v>
      </c>
      <c r="H1570" s="163">
        <v>2</v>
      </c>
      <c r="I1570" s="163">
        <v>2</v>
      </c>
      <c r="J1570" s="163">
        <v>0</v>
      </c>
      <c r="K1570" s="163">
        <v>1</v>
      </c>
      <c r="L1570" s="163">
        <v>4</v>
      </c>
      <c r="M1570" s="163">
        <v>54</v>
      </c>
      <c r="N1570" s="163">
        <v>0</v>
      </c>
      <c r="O1570" s="163">
        <v>724</v>
      </c>
      <c r="P1570" s="163">
        <v>260.64</v>
      </c>
      <c r="Q1570" s="163">
        <v>4.8266666667000004</v>
      </c>
      <c r="R1570" s="163">
        <v>0.36</v>
      </c>
      <c r="S1570" s="163">
        <v>13.407407407000001</v>
      </c>
      <c r="T1570" s="161">
        <f t="shared" si="41"/>
        <v>4.2237933748284084E-4</v>
      </c>
    </row>
    <row r="1571" spans="2:20">
      <c r="B1571" s="163">
        <v>20020200493</v>
      </c>
      <c r="C1571" s="163" t="s">
        <v>2378</v>
      </c>
      <c r="D1571" s="163" t="s">
        <v>2339</v>
      </c>
      <c r="E1571" s="163" t="s">
        <v>100</v>
      </c>
      <c r="F1571" s="163"/>
      <c r="G1571" s="163">
        <v>20</v>
      </c>
      <c r="H1571" s="163">
        <v>2</v>
      </c>
      <c r="I1571" s="163">
        <v>2</v>
      </c>
      <c r="J1571" s="163">
        <v>0</v>
      </c>
      <c r="K1571" s="163">
        <v>1</v>
      </c>
      <c r="L1571" s="163">
        <v>4</v>
      </c>
      <c r="M1571" s="163">
        <v>145</v>
      </c>
      <c r="N1571" s="163">
        <v>0</v>
      </c>
      <c r="O1571" s="163">
        <v>2362</v>
      </c>
      <c r="P1571" s="163">
        <v>944.8</v>
      </c>
      <c r="Q1571" s="163">
        <v>6.5158620689999998</v>
      </c>
      <c r="R1571" s="163">
        <v>0.4</v>
      </c>
      <c r="S1571" s="163">
        <v>16.289655172</v>
      </c>
      <c r="T1571" s="161">
        <f t="shared" si="41"/>
        <v>1.3779834186940195E-3</v>
      </c>
    </row>
    <row r="1572" spans="2:20">
      <c r="B1572" s="163">
        <v>20020200494</v>
      </c>
      <c r="C1572" s="163" t="s">
        <v>2379</v>
      </c>
      <c r="D1572" s="163" t="s">
        <v>2339</v>
      </c>
      <c r="E1572" s="163" t="s">
        <v>100</v>
      </c>
      <c r="F1572" s="163"/>
      <c r="G1572" s="163">
        <v>20</v>
      </c>
      <c r="H1572" s="163">
        <v>2</v>
      </c>
      <c r="I1572" s="163">
        <v>2</v>
      </c>
      <c r="J1572" s="163">
        <v>0</v>
      </c>
      <c r="K1572" s="163">
        <v>1</v>
      </c>
      <c r="L1572" s="163">
        <v>4</v>
      </c>
      <c r="M1572" s="163">
        <v>11</v>
      </c>
      <c r="N1572" s="163">
        <v>0</v>
      </c>
      <c r="O1572" s="163">
        <v>102</v>
      </c>
      <c r="P1572" s="163">
        <v>69.36</v>
      </c>
      <c r="Q1572" s="163">
        <v>6.3054545455</v>
      </c>
      <c r="R1572" s="163">
        <v>0.68</v>
      </c>
      <c r="S1572" s="163">
        <v>9.2727272726999992</v>
      </c>
      <c r="T1572" s="161">
        <f t="shared" si="41"/>
        <v>5.9506481247582552E-5</v>
      </c>
    </row>
    <row r="1573" spans="2:20">
      <c r="B1573" s="163">
        <v>20020200495</v>
      </c>
      <c r="C1573" s="163" t="s">
        <v>2380</v>
      </c>
      <c r="D1573" s="163" t="s">
        <v>2339</v>
      </c>
      <c r="E1573" s="163" t="s">
        <v>100</v>
      </c>
      <c r="F1573" s="163"/>
      <c r="G1573" s="163">
        <v>20</v>
      </c>
      <c r="H1573" s="163">
        <v>2</v>
      </c>
      <c r="I1573" s="163">
        <v>2</v>
      </c>
      <c r="J1573" s="163">
        <v>0</v>
      </c>
      <c r="K1573" s="163">
        <v>1</v>
      </c>
      <c r="L1573" s="163">
        <v>4</v>
      </c>
      <c r="M1573" s="163">
        <v>3</v>
      </c>
      <c r="N1573" s="163">
        <v>0</v>
      </c>
      <c r="O1573" s="163">
        <v>11</v>
      </c>
      <c r="P1573" s="163">
        <v>3.08</v>
      </c>
      <c r="Q1573" s="163">
        <v>1.0266666667</v>
      </c>
      <c r="R1573" s="163">
        <v>0.28000000000000003</v>
      </c>
      <c r="S1573" s="163">
        <v>3.6666666666999999</v>
      </c>
      <c r="T1573" s="161">
        <f t="shared" si="41"/>
        <v>6.4173656247392942E-6</v>
      </c>
    </row>
    <row r="1574" spans="2:20">
      <c r="B1574" s="163">
        <v>20020200496</v>
      </c>
      <c r="C1574" s="163" t="s">
        <v>2381</v>
      </c>
      <c r="D1574" s="163" t="s">
        <v>2339</v>
      </c>
      <c r="E1574" s="163" t="s">
        <v>100</v>
      </c>
      <c r="F1574" s="163"/>
      <c r="G1574" s="163">
        <v>20</v>
      </c>
      <c r="H1574" s="163">
        <v>2</v>
      </c>
      <c r="I1574" s="163">
        <v>2</v>
      </c>
      <c r="J1574" s="163">
        <v>0</v>
      </c>
      <c r="K1574" s="163">
        <v>1</v>
      </c>
      <c r="L1574" s="163">
        <v>4</v>
      </c>
      <c r="M1574" s="163">
        <v>16</v>
      </c>
      <c r="N1574" s="163">
        <v>0</v>
      </c>
      <c r="O1574" s="163">
        <v>186</v>
      </c>
      <c r="P1574" s="163">
        <v>65.099999999999994</v>
      </c>
      <c r="Q1574" s="163">
        <v>4.0687499999999996</v>
      </c>
      <c r="R1574" s="163">
        <v>0.35</v>
      </c>
      <c r="S1574" s="163">
        <v>11.625</v>
      </c>
      <c r="T1574" s="161">
        <f t="shared" si="41"/>
        <v>1.085118187455917E-4</v>
      </c>
    </row>
    <row r="1575" spans="2:20">
      <c r="B1575" s="163">
        <v>20020200497</v>
      </c>
      <c r="C1575" s="163" t="s">
        <v>2382</v>
      </c>
      <c r="D1575" s="163" t="s">
        <v>2339</v>
      </c>
      <c r="E1575" s="163" t="s">
        <v>100</v>
      </c>
      <c r="F1575" s="163"/>
      <c r="G1575" s="163">
        <v>20</v>
      </c>
      <c r="H1575" s="163">
        <v>2</v>
      </c>
      <c r="I1575" s="163">
        <v>2</v>
      </c>
      <c r="J1575" s="163">
        <v>0</v>
      </c>
      <c r="K1575" s="163">
        <v>1</v>
      </c>
      <c r="L1575" s="163">
        <v>4</v>
      </c>
      <c r="M1575" s="163">
        <v>27</v>
      </c>
      <c r="N1575" s="163">
        <v>0</v>
      </c>
      <c r="O1575" s="163">
        <v>457</v>
      </c>
      <c r="P1575" s="163">
        <v>182.8</v>
      </c>
      <c r="Q1575" s="163">
        <v>6.7703703704000002</v>
      </c>
      <c r="R1575" s="163">
        <v>0.4</v>
      </c>
      <c r="S1575" s="163">
        <v>16.925925926000001</v>
      </c>
      <c r="T1575" s="161">
        <f t="shared" si="41"/>
        <v>2.6661237186416885E-4</v>
      </c>
    </row>
    <row r="1576" spans="2:20">
      <c r="B1576" s="163">
        <v>20020200498</v>
      </c>
      <c r="C1576" s="163" t="s">
        <v>2383</v>
      </c>
      <c r="D1576" s="163" t="s">
        <v>2339</v>
      </c>
      <c r="E1576" s="163" t="s">
        <v>100</v>
      </c>
      <c r="F1576" s="163"/>
      <c r="G1576" s="163">
        <v>20</v>
      </c>
      <c r="H1576" s="163">
        <v>2</v>
      </c>
      <c r="I1576" s="163">
        <v>2</v>
      </c>
      <c r="J1576" s="163">
        <v>0</v>
      </c>
      <c r="K1576" s="163">
        <v>1</v>
      </c>
      <c r="L1576" s="163">
        <v>4</v>
      </c>
      <c r="M1576" s="163">
        <v>6</v>
      </c>
      <c r="N1576" s="163">
        <v>0</v>
      </c>
      <c r="O1576" s="163">
        <v>117</v>
      </c>
      <c r="P1576" s="163">
        <v>77.22</v>
      </c>
      <c r="Q1576" s="163">
        <v>12.87</v>
      </c>
      <c r="R1576" s="163">
        <v>0.66</v>
      </c>
      <c r="S1576" s="163">
        <v>19.5</v>
      </c>
      <c r="T1576" s="161">
        <f t="shared" si="41"/>
        <v>6.8257434372227037E-5</v>
      </c>
    </row>
    <row r="1577" spans="2:20">
      <c r="B1577" s="163">
        <v>20020200501</v>
      </c>
      <c r="C1577" s="163" t="s">
        <v>2384</v>
      </c>
      <c r="D1577" s="163" t="s">
        <v>2339</v>
      </c>
      <c r="E1577" s="163" t="s">
        <v>100</v>
      </c>
      <c r="F1577" s="163"/>
      <c r="G1577" s="163">
        <v>20</v>
      </c>
      <c r="H1577" s="163">
        <v>2</v>
      </c>
      <c r="I1577" s="163">
        <v>2</v>
      </c>
      <c r="J1577" s="163">
        <v>0</v>
      </c>
      <c r="K1577" s="163">
        <v>1</v>
      </c>
      <c r="L1577" s="163">
        <v>4</v>
      </c>
      <c r="M1577" s="163">
        <v>4</v>
      </c>
      <c r="N1577" s="163">
        <v>0</v>
      </c>
      <c r="O1577" s="163">
        <v>24</v>
      </c>
      <c r="P1577" s="163">
        <v>8.16</v>
      </c>
      <c r="Q1577" s="163">
        <v>2.04</v>
      </c>
      <c r="R1577" s="163">
        <v>0.34</v>
      </c>
      <c r="S1577" s="163">
        <v>6</v>
      </c>
      <c r="T1577" s="161">
        <f t="shared" si="41"/>
        <v>1.4001524999431188E-5</v>
      </c>
    </row>
    <row r="1578" spans="2:20">
      <c r="B1578" s="163">
        <v>20020200502</v>
      </c>
      <c r="C1578" s="163" t="s">
        <v>2385</v>
      </c>
      <c r="D1578" s="163" t="s">
        <v>2339</v>
      </c>
      <c r="E1578" s="163" t="s">
        <v>100</v>
      </c>
      <c r="F1578" s="163"/>
      <c r="G1578" s="163">
        <v>20</v>
      </c>
      <c r="H1578" s="163">
        <v>2</v>
      </c>
      <c r="I1578" s="163">
        <v>2</v>
      </c>
      <c r="J1578" s="163">
        <v>0</v>
      </c>
      <c r="K1578" s="163">
        <v>1</v>
      </c>
      <c r="L1578" s="163">
        <v>4</v>
      </c>
      <c r="M1578" s="163">
        <v>3</v>
      </c>
      <c r="N1578" s="163">
        <v>0</v>
      </c>
      <c r="O1578" s="163">
        <v>28</v>
      </c>
      <c r="P1578" s="163">
        <v>15.96</v>
      </c>
      <c r="Q1578" s="163">
        <v>5.32</v>
      </c>
      <c r="R1578" s="163">
        <v>0.56999999999999995</v>
      </c>
      <c r="S1578" s="163">
        <v>9.3333333333000006</v>
      </c>
      <c r="T1578" s="161">
        <f t="shared" si="41"/>
        <v>1.6335112499336387E-5</v>
      </c>
    </row>
    <row r="1579" spans="2:20">
      <c r="B1579" s="163">
        <v>20020200503</v>
      </c>
      <c r="C1579" s="163" t="s">
        <v>2386</v>
      </c>
      <c r="D1579" s="163" t="s">
        <v>2339</v>
      </c>
      <c r="E1579" s="163" t="s">
        <v>100</v>
      </c>
      <c r="F1579" s="163"/>
      <c r="G1579" s="163">
        <v>20</v>
      </c>
      <c r="H1579" s="163">
        <v>2</v>
      </c>
      <c r="I1579" s="163">
        <v>2</v>
      </c>
      <c r="J1579" s="163">
        <v>0</v>
      </c>
      <c r="K1579" s="163">
        <v>1</v>
      </c>
      <c r="L1579" s="163">
        <v>4</v>
      </c>
      <c r="M1579" s="163">
        <v>10</v>
      </c>
      <c r="N1579" s="163">
        <v>0</v>
      </c>
      <c r="O1579" s="163">
        <v>260</v>
      </c>
      <c r="P1579" s="163">
        <v>208.85</v>
      </c>
      <c r="Q1579" s="163">
        <v>20.885000000000002</v>
      </c>
      <c r="R1579" s="163">
        <v>0.80326923080000001</v>
      </c>
      <c r="S1579" s="163">
        <v>26</v>
      </c>
      <c r="T1579" s="161">
        <f t="shared" si="41"/>
        <v>1.5168318749383787E-4</v>
      </c>
    </row>
    <row r="1580" spans="2:20">
      <c r="B1580" s="163">
        <v>20020200504</v>
      </c>
      <c r="C1580" s="163" t="s">
        <v>2387</v>
      </c>
      <c r="D1580" s="163" t="s">
        <v>2339</v>
      </c>
      <c r="E1580" s="163" t="s">
        <v>100</v>
      </c>
      <c r="F1580" s="163"/>
      <c r="G1580" s="163">
        <v>20</v>
      </c>
      <c r="H1580" s="163">
        <v>2</v>
      </c>
      <c r="I1580" s="163">
        <v>2</v>
      </c>
      <c r="J1580" s="163">
        <v>0</v>
      </c>
      <c r="K1580" s="163">
        <v>1</v>
      </c>
      <c r="L1580" s="163">
        <v>4</v>
      </c>
      <c r="M1580" s="163">
        <v>8</v>
      </c>
      <c r="N1580" s="163">
        <v>0</v>
      </c>
      <c r="O1580" s="163">
        <v>50</v>
      </c>
      <c r="P1580" s="163">
        <v>52.5</v>
      </c>
      <c r="Q1580" s="163">
        <v>6.5625</v>
      </c>
      <c r="R1580" s="163">
        <v>1.05</v>
      </c>
      <c r="S1580" s="163">
        <v>6.25</v>
      </c>
      <c r="T1580" s="161">
        <f t="shared" si="41"/>
        <v>2.9169843748814975E-5</v>
      </c>
    </row>
    <row r="1581" spans="2:20">
      <c r="B1581" s="163">
        <v>20020200531</v>
      </c>
      <c r="C1581" s="163" t="s">
        <v>2388</v>
      </c>
      <c r="D1581" s="163" t="s">
        <v>2339</v>
      </c>
      <c r="E1581" s="163" t="s">
        <v>100</v>
      </c>
      <c r="F1581" s="163"/>
      <c r="G1581" s="163">
        <v>20</v>
      </c>
      <c r="H1581" s="163">
        <v>2</v>
      </c>
      <c r="I1581" s="163">
        <v>2</v>
      </c>
      <c r="J1581" s="163">
        <v>0</v>
      </c>
      <c r="K1581" s="163">
        <v>1</v>
      </c>
      <c r="L1581" s="163">
        <v>4</v>
      </c>
      <c r="M1581" s="163">
        <v>1</v>
      </c>
      <c r="N1581" s="163">
        <v>0</v>
      </c>
      <c r="O1581" s="163">
        <v>2</v>
      </c>
      <c r="P1581" s="163">
        <v>3.5</v>
      </c>
      <c r="Q1581" s="163">
        <v>3.5</v>
      </c>
      <c r="R1581" s="163">
        <v>1.75</v>
      </c>
      <c r="S1581" s="163">
        <v>2</v>
      </c>
      <c r="T1581" s="161">
        <f t="shared" si="41"/>
        <v>1.166793749952599E-6</v>
      </c>
    </row>
    <row r="1582" spans="2:20">
      <c r="B1582" s="163">
        <v>20020200532</v>
      </c>
      <c r="C1582" s="163" t="s">
        <v>2389</v>
      </c>
      <c r="D1582" s="163" t="s">
        <v>2339</v>
      </c>
      <c r="E1582" s="163" t="s">
        <v>100</v>
      </c>
      <c r="F1582" s="163"/>
      <c r="G1582" s="163">
        <v>20</v>
      </c>
      <c r="H1582" s="163">
        <v>2</v>
      </c>
      <c r="I1582" s="163">
        <v>2</v>
      </c>
      <c r="J1582" s="163">
        <v>0</v>
      </c>
      <c r="K1582" s="163">
        <v>1</v>
      </c>
      <c r="L1582" s="163">
        <v>4</v>
      </c>
      <c r="M1582" s="163">
        <v>2</v>
      </c>
      <c r="N1582" s="163">
        <v>0</v>
      </c>
      <c r="O1582" s="163">
        <v>26</v>
      </c>
      <c r="P1582" s="163">
        <v>60.06</v>
      </c>
      <c r="Q1582" s="163">
        <v>30.03</v>
      </c>
      <c r="R1582" s="163">
        <v>2.31</v>
      </c>
      <c r="S1582" s="163">
        <v>13</v>
      </c>
      <c r="T1582" s="161">
        <f t="shared" si="41"/>
        <v>1.5168318749383787E-5</v>
      </c>
    </row>
    <row r="1583" spans="2:20">
      <c r="B1583" s="163">
        <v>20020200601</v>
      </c>
      <c r="C1583" s="163" t="s">
        <v>2390</v>
      </c>
      <c r="D1583" s="163" t="s">
        <v>2339</v>
      </c>
      <c r="E1583" s="163" t="s">
        <v>100</v>
      </c>
      <c r="F1583" s="163"/>
      <c r="G1583" s="163">
        <v>20</v>
      </c>
      <c r="H1583" s="163">
        <v>2</v>
      </c>
      <c r="I1583" s="163">
        <v>2</v>
      </c>
      <c r="J1583" s="163">
        <v>0</v>
      </c>
      <c r="K1583" s="163">
        <v>1</v>
      </c>
      <c r="L1583" s="163">
        <v>4</v>
      </c>
      <c r="M1583" s="163">
        <v>26</v>
      </c>
      <c r="N1583" s="163">
        <v>0</v>
      </c>
      <c r="O1583" s="163">
        <v>37</v>
      </c>
      <c r="P1583" s="163">
        <v>64.53</v>
      </c>
      <c r="Q1583" s="163">
        <v>2.4819230768999998</v>
      </c>
      <c r="R1583" s="163">
        <v>1.7440540541</v>
      </c>
      <c r="S1583" s="163">
        <v>1.4230769231</v>
      </c>
      <c r="T1583" s="161">
        <f t="shared" si="41"/>
        <v>2.1585684374123081E-5</v>
      </c>
    </row>
    <row r="1584" spans="2:20">
      <c r="B1584" s="163">
        <v>20020200604</v>
      </c>
      <c r="C1584" s="163" t="s">
        <v>2391</v>
      </c>
      <c r="D1584" s="163" t="s">
        <v>2339</v>
      </c>
      <c r="E1584" s="163" t="s">
        <v>100</v>
      </c>
      <c r="F1584" s="163"/>
      <c r="G1584" s="163">
        <v>20</v>
      </c>
      <c r="H1584" s="163">
        <v>2</v>
      </c>
      <c r="I1584" s="163">
        <v>2</v>
      </c>
      <c r="J1584" s="163">
        <v>0</v>
      </c>
      <c r="K1584" s="163">
        <v>1</v>
      </c>
      <c r="L1584" s="163">
        <v>4</v>
      </c>
      <c r="M1584" s="163">
        <v>9</v>
      </c>
      <c r="N1584" s="163">
        <v>0</v>
      </c>
      <c r="O1584" s="163">
        <v>18</v>
      </c>
      <c r="P1584" s="163">
        <v>33.21</v>
      </c>
      <c r="Q1584" s="163">
        <v>3.69</v>
      </c>
      <c r="R1584" s="163">
        <v>1.845</v>
      </c>
      <c r="S1584" s="163">
        <v>2</v>
      </c>
      <c r="T1584" s="161">
        <f t="shared" si="41"/>
        <v>1.0501143749573392E-5</v>
      </c>
    </row>
    <row r="1585" spans="2:20">
      <c r="B1585" s="163">
        <v>20020200612</v>
      </c>
      <c r="C1585" s="163" t="s">
        <v>2392</v>
      </c>
      <c r="D1585" s="163" t="s">
        <v>2339</v>
      </c>
      <c r="E1585" s="163" t="s">
        <v>100</v>
      </c>
      <c r="F1585" s="163"/>
      <c r="G1585" s="163">
        <v>20</v>
      </c>
      <c r="H1585" s="163">
        <v>2</v>
      </c>
      <c r="I1585" s="163">
        <v>2</v>
      </c>
      <c r="J1585" s="163">
        <v>0</v>
      </c>
      <c r="K1585" s="163">
        <v>1</v>
      </c>
      <c r="L1585" s="163">
        <v>4</v>
      </c>
      <c r="M1585" s="163">
        <v>13</v>
      </c>
      <c r="N1585" s="163">
        <v>0</v>
      </c>
      <c r="O1585" s="163">
        <v>19</v>
      </c>
      <c r="P1585" s="163">
        <v>37.74</v>
      </c>
      <c r="Q1585" s="163">
        <v>2.9030769231</v>
      </c>
      <c r="R1585" s="163">
        <v>1.9863157895000001</v>
      </c>
      <c r="S1585" s="163">
        <v>1.4615384615</v>
      </c>
      <c r="T1585" s="161">
        <f t="shared" si="41"/>
        <v>1.1084540624549691E-5</v>
      </c>
    </row>
    <row r="1586" spans="2:20">
      <c r="B1586" s="163">
        <v>20020200613</v>
      </c>
      <c r="C1586" s="163" t="s">
        <v>2393</v>
      </c>
      <c r="D1586" s="163" t="s">
        <v>2339</v>
      </c>
      <c r="E1586" s="163" t="s">
        <v>100</v>
      </c>
      <c r="F1586" s="163"/>
      <c r="G1586" s="163">
        <v>20</v>
      </c>
      <c r="H1586" s="163">
        <v>2</v>
      </c>
      <c r="I1586" s="163">
        <v>2</v>
      </c>
      <c r="J1586" s="163">
        <v>0</v>
      </c>
      <c r="K1586" s="163">
        <v>1</v>
      </c>
      <c r="L1586" s="163">
        <v>4</v>
      </c>
      <c r="M1586" s="163">
        <v>9</v>
      </c>
      <c r="N1586" s="163">
        <v>0</v>
      </c>
      <c r="O1586" s="163">
        <v>16</v>
      </c>
      <c r="P1586" s="163">
        <v>32.92</v>
      </c>
      <c r="Q1586" s="163">
        <v>3.6577777777999998</v>
      </c>
      <c r="R1586" s="163">
        <v>2.0575000000000001</v>
      </c>
      <c r="S1586" s="163">
        <v>1.7777777777999999</v>
      </c>
      <c r="T1586" s="161">
        <f t="shared" si="41"/>
        <v>9.3343499996207917E-6</v>
      </c>
    </row>
    <row r="1587" spans="2:20">
      <c r="B1587" s="163">
        <v>20020200614</v>
      </c>
      <c r="C1587" s="163" t="s">
        <v>2394</v>
      </c>
      <c r="D1587" s="163" t="s">
        <v>2339</v>
      </c>
      <c r="E1587" s="163" t="s">
        <v>100</v>
      </c>
      <c r="F1587" s="163"/>
      <c r="G1587" s="163">
        <v>20</v>
      </c>
      <c r="H1587" s="163">
        <v>2</v>
      </c>
      <c r="I1587" s="163">
        <v>2</v>
      </c>
      <c r="J1587" s="163">
        <v>0</v>
      </c>
      <c r="K1587" s="163">
        <v>1</v>
      </c>
      <c r="L1587" s="163">
        <v>4</v>
      </c>
      <c r="M1587" s="163">
        <v>9</v>
      </c>
      <c r="N1587" s="163">
        <v>0</v>
      </c>
      <c r="O1587" s="163">
        <v>12</v>
      </c>
      <c r="P1587" s="163">
        <v>25.63</v>
      </c>
      <c r="Q1587" s="163">
        <v>2.8477777778000002</v>
      </c>
      <c r="R1587" s="163">
        <v>2.1358333332999999</v>
      </c>
      <c r="S1587" s="163">
        <v>1.3333333332999999</v>
      </c>
      <c r="T1587" s="161">
        <f t="shared" si="41"/>
        <v>7.0007624997155942E-6</v>
      </c>
    </row>
    <row r="1588" spans="2:20">
      <c r="B1588" s="163">
        <v>20020200621</v>
      </c>
      <c r="C1588" s="163" t="s">
        <v>2395</v>
      </c>
      <c r="D1588" s="163" t="s">
        <v>2339</v>
      </c>
      <c r="E1588" s="163" t="s">
        <v>100</v>
      </c>
      <c r="F1588" s="163"/>
      <c r="G1588" s="163">
        <v>20</v>
      </c>
      <c r="H1588" s="163">
        <v>2</v>
      </c>
      <c r="I1588" s="163">
        <v>2</v>
      </c>
      <c r="J1588" s="163">
        <v>0</v>
      </c>
      <c r="K1588" s="163">
        <v>1</v>
      </c>
      <c r="L1588" s="163">
        <v>4</v>
      </c>
      <c r="M1588" s="163">
        <v>29</v>
      </c>
      <c r="N1588" s="163">
        <v>0</v>
      </c>
      <c r="O1588" s="163">
        <v>90</v>
      </c>
      <c r="P1588" s="163">
        <v>186.87</v>
      </c>
      <c r="Q1588" s="163">
        <v>6.4437931034</v>
      </c>
      <c r="R1588" s="163">
        <v>2.0763333333</v>
      </c>
      <c r="S1588" s="163">
        <v>3.1034482758999999</v>
      </c>
      <c r="T1588" s="161">
        <f t="shared" si="41"/>
        <v>5.2505718747866955E-5</v>
      </c>
    </row>
    <row r="1589" spans="2:20">
      <c r="B1589" s="163">
        <v>20020200624</v>
      </c>
      <c r="C1589" s="163" t="s">
        <v>2396</v>
      </c>
      <c r="D1589" s="163" t="s">
        <v>2339</v>
      </c>
      <c r="E1589" s="163" t="s">
        <v>100</v>
      </c>
      <c r="F1589" s="163"/>
      <c r="G1589" s="163">
        <v>20</v>
      </c>
      <c r="H1589" s="163">
        <v>2</v>
      </c>
      <c r="I1589" s="163">
        <v>2</v>
      </c>
      <c r="J1589" s="163">
        <v>0</v>
      </c>
      <c r="K1589" s="163">
        <v>1</v>
      </c>
      <c r="L1589" s="163">
        <v>4</v>
      </c>
      <c r="M1589" s="163">
        <v>25</v>
      </c>
      <c r="N1589" s="163">
        <v>0</v>
      </c>
      <c r="O1589" s="163">
        <v>41</v>
      </c>
      <c r="P1589" s="163">
        <v>88.02</v>
      </c>
      <c r="Q1589" s="163">
        <v>3.5207999999999999</v>
      </c>
      <c r="R1589" s="163">
        <v>2.1468292682999999</v>
      </c>
      <c r="S1589" s="163">
        <v>1.64</v>
      </c>
      <c r="T1589" s="161">
        <f t="shared" si="41"/>
        <v>2.3919271874028281E-5</v>
      </c>
    </row>
    <row r="1590" spans="2:20">
      <c r="B1590" s="163">
        <v>20020200650</v>
      </c>
      <c r="C1590" s="163" t="s">
        <v>2397</v>
      </c>
      <c r="D1590" s="163" t="s">
        <v>2339</v>
      </c>
      <c r="E1590" s="163" t="s">
        <v>100</v>
      </c>
      <c r="F1590" s="163"/>
      <c r="G1590" s="163">
        <v>20</v>
      </c>
      <c r="H1590" s="163">
        <v>2</v>
      </c>
      <c r="I1590" s="163">
        <v>2</v>
      </c>
      <c r="J1590" s="163">
        <v>0</v>
      </c>
      <c r="K1590" s="163">
        <v>1</v>
      </c>
      <c r="L1590" s="163">
        <v>4</v>
      </c>
      <c r="M1590" s="163">
        <v>429</v>
      </c>
      <c r="N1590" s="163">
        <v>0</v>
      </c>
      <c r="O1590" s="163">
        <v>955</v>
      </c>
      <c r="P1590" s="163">
        <v>1203.3</v>
      </c>
      <c r="Q1590" s="163">
        <v>2.8048951048999999</v>
      </c>
      <c r="R1590" s="163">
        <v>1.26</v>
      </c>
      <c r="S1590" s="163">
        <v>2.2261072260999999</v>
      </c>
      <c r="T1590" s="161">
        <f t="shared" si="41"/>
        <v>5.5714401560236606E-4</v>
      </c>
    </row>
    <row r="1591" spans="2:20">
      <c r="B1591" s="163">
        <v>20020200701</v>
      </c>
      <c r="C1591" s="163" t="s">
        <v>2398</v>
      </c>
      <c r="D1591" s="163" t="s">
        <v>2339</v>
      </c>
      <c r="E1591" s="163" t="s">
        <v>100</v>
      </c>
      <c r="F1591" s="163"/>
      <c r="G1591" s="163">
        <v>20</v>
      </c>
      <c r="H1591" s="163">
        <v>2</v>
      </c>
      <c r="I1591" s="163">
        <v>2</v>
      </c>
      <c r="J1591" s="163">
        <v>0</v>
      </c>
      <c r="K1591" s="163">
        <v>1</v>
      </c>
      <c r="L1591" s="163">
        <v>4</v>
      </c>
      <c r="M1591" s="163">
        <v>34671</v>
      </c>
      <c r="N1591" s="163">
        <v>0</v>
      </c>
      <c r="O1591" s="163">
        <v>350079</v>
      </c>
      <c r="P1591" s="163">
        <v>1305808.3799999999</v>
      </c>
      <c r="Q1591" s="163">
        <v>37.662841567999997</v>
      </c>
      <c r="R1591" s="163">
        <v>3.7300391625999998</v>
      </c>
      <c r="S1591" s="163">
        <v>10.097170545999999</v>
      </c>
      <c r="T1591" s="161">
        <f t="shared" si="41"/>
        <v>0.20423499459482794</v>
      </c>
    </row>
    <row r="1592" spans="2:20">
      <c r="B1592" s="163">
        <v>20020200721</v>
      </c>
      <c r="C1592" s="163" t="s">
        <v>2399</v>
      </c>
      <c r="D1592" s="163" t="s">
        <v>2339</v>
      </c>
      <c r="E1592" s="163" t="s">
        <v>100</v>
      </c>
      <c r="F1592" s="163"/>
      <c r="G1592" s="163">
        <v>20</v>
      </c>
      <c r="H1592" s="163">
        <v>2</v>
      </c>
      <c r="I1592" s="163">
        <v>2</v>
      </c>
      <c r="J1592" s="163">
        <v>0</v>
      </c>
      <c r="K1592" s="163">
        <v>1</v>
      </c>
      <c r="L1592" s="163">
        <v>4</v>
      </c>
      <c r="M1592" s="163">
        <v>11654</v>
      </c>
      <c r="N1592" s="163">
        <v>0</v>
      </c>
      <c r="O1592" s="163">
        <v>110935</v>
      </c>
      <c r="P1592" s="163">
        <v>417646.13</v>
      </c>
      <c r="Q1592" s="163">
        <v>35.837148618999997</v>
      </c>
      <c r="R1592" s="163">
        <v>3.7647823499999999</v>
      </c>
      <c r="S1592" s="163">
        <v>9.5190492535000004</v>
      </c>
      <c r="T1592" s="161">
        <f t="shared" si="41"/>
        <v>6.4719132325495782E-2</v>
      </c>
    </row>
    <row r="1593" spans="2:20">
      <c r="B1593" s="163">
        <v>20020200760</v>
      </c>
      <c r="C1593" s="163" t="s">
        <v>2400</v>
      </c>
      <c r="D1593" s="163" t="s">
        <v>2339</v>
      </c>
      <c r="E1593" s="163" t="s">
        <v>100</v>
      </c>
      <c r="F1593" s="163"/>
      <c r="G1593" s="163">
        <v>20</v>
      </c>
      <c r="H1593" s="163">
        <v>2</v>
      </c>
      <c r="I1593" s="163">
        <v>2</v>
      </c>
      <c r="J1593" s="163">
        <v>0</v>
      </c>
      <c r="K1593" s="163">
        <v>1</v>
      </c>
      <c r="L1593" s="163">
        <v>4</v>
      </c>
      <c r="M1593" s="163">
        <v>7</v>
      </c>
      <c r="N1593" s="163">
        <v>0</v>
      </c>
      <c r="O1593" s="163">
        <v>30</v>
      </c>
      <c r="P1593" s="163">
        <v>3.6</v>
      </c>
      <c r="Q1593" s="163">
        <v>0.51428571430000003</v>
      </c>
      <c r="R1593" s="163">
        <v>0.12</v>
      </c>
      <c r="S1593" s="163">
        <v>4.2857142857000001</v>
      </c>
      <c r="T1593" s="161">
        <f t="shared" si="41"/>
        <v>1.7501906249288985E-5</v>
      </c>
    </row>
    <row r="1594" spans="2:20">
      <c r="B1594" s="163">
        <v>20020200761</v>
      </c>
      <c r="C1594" s="163" t="s">
        <v>2401</v>
      </c>
      <c r="D1594" s="163" t="s">
        <v>2339</v>
      </c>
      <c r="E1594" s="163" t="s">
        <v>100</v>
      </c>
      <c r="F1594" s="163"/>
      <c r="G1594" s="163">
        <v>20</v>
      </c>
      <c r="H1594" s="163">
        <v>2</v>
      </c>
      <c r="I1594" s="163">
        <v>2</v>
      </c>
      <c r="J1594" s="163">
        <v>0</v>
      </c>
      <c r="K1594" s="163">
        <v>1</v>
      </c>
      <c r="L1594" s="163">
        <v>4</v>
      </c>
      <c r="M1594" s="163">
        <v>10</v>
      </c>
      <c r="N1594" s="163">
        <v>0</v>
      </c>
      <c r="O1594" s="163">
        <v>130</v>
      </c>
      <c r="P1594" s="163">
        <v>18.2</v>
      </c>
      <c r="Q1594" s="163">
        <v>1.82</v>
      </c>
      <c r="R1594" s="163">
        <v>0.14000000000000001</v>
      </c>
      <c r="S1594" s="163">
        <v>13</v>
      </c>
      <c r="T1594" s="161">
        <f t="shared" si="41"/>
        <v>7.5841593746918935E-5</v>
      </c>
    </row>
    <row r="1595" spans="2:20">
      <c r="B1595" s="163">
        <v>20020200762</v>
      </c>
      <c r="C1595" s="163" t="s">
        <v>2402</v>
      </c>
      <c r="D1595" s="163" t="s">
        <v>2339</v>
      </c>
      <c r="E1595" s="163" t="s">
        <v>100</v>
      </c>
      <c r="F1595" s="163"/>
      <c r="G1595" s="163">
        <v>20</v>
      </c>
      <c r="H1595" s="163">
        <v>2</v>
      </c>
      <c r="I1595" s="163">
        <v>2</v>
      </c>
      <c r="J1595" s="163">
        <v>0</v>
      </c>
      <c r="K1595" s="163">
        <v>1</v>
      </c>
      <c r="L1595" s="163">
        <v>4</v>
      </c>
      <c r="M1595" s="163">
        <v>27</v>
      </c>
      <c r="N1595" s="163">
        <v>0</v>
      </c>
      <c r="O1595" s="163">
        <v>410</v>
      </c>
      <c r="P1595" s="163">
        <v>69.7</v>
      </c>
      <c r="Q1595" s="163">
        <v>2.5814814815</v>
      </c>
      <c r="R1595" s="163">
        <v>0.17</v>
      </c>
      <c r="S1595" s="163">
        <v>15.185185185</v>
      </c>
      <c r="T1595" s="161">
        <f t="shared" si="41"/>
        <v>2.3919271874028281E-4</v>
      </c>
    </row>
    <row r="1596" spans="2:20">
      <c r="B1596" s="163">
        <v>20020200763</v>
      </c>
      <c r="C1596" s="163" t="s">
        <v>2403</v>
      </c>
      <c r="D1596" s="163" t="s">
        <v>2339</v>
      </c>
      <c r="E1596" s="163" t="s">
        <v>100</v>
      </c>
      <c r="F1596" s="163"/>
      <c r="G1596" s="163">
        <v>20</v>
      </c>
      <c r="H1596" s="163">
        <v>2</v>
      </c>
      <c r="I1596" s="163">
        <v>2</v>
      </c>
      <c r="J1596" s="163">
        <v>0</v>
      </c>
      <c r="K1596" s="163">
        <v>1</v>
      </c>
      <c r="L1596" s="163">
        <v>4</v>
      </c>
      <c r="M1596" s="163">
        <v>11</v>
      </c>
      <c r="N1596" s="163">
        <v>0</v>
      </c>
      <c r="O1596" s="163">
        <v>131</v>
      </c>
      <c r="P1596" s="163">
        <v>32.75</v>
      </c>
      <c r="Q1596" s="163">
        <v>2.9772727272999999</v>
      </c>
      <c r="R1596" s="163">
        <v>0.25</v>
      </c>
      <c r="S1596" s="163">
        <v>11.909090909</v>
      </c>
      <c r="T1596" s="161">
        <f t="shared" si="41"/>
        <v>7.6424990621895236E-5</v>
      </c>
    </row>
    <row r="1597" spans="2:20">
      <c r="B1597" s="163">
        <v>20020200765</v>
      </c>
      <c r="C1597" s="163" t="s">
        <v>2404</v>
      </c>
      <c r="D1597" s="163" t="s">
        <v>2339</v>
      </c>
      <c r="E1597" s="163" t="s">
        <v>100</v>
      </c>
      <c r="F1597" s="163"/>
      <c r="G1597" s="163">
        <v>20</v>
      </c>
      <c r="H1597" s="163">
        <v>2</v>
      </c>
      <c r="I1597" s="163">
        <v>2</v>
      </c>
      <c r="J1597" s="163">
        <v>0</v>
      </c>
      <c r="K1597" s="163">
        <v>1</v>
      </c>
      <c r="L1597" s="163">
        <v>4</v>
      </c>
      <c r="M1597" s="163">
        <v>64</v>
      </c>
      <c r="N1597" s="163">
        <v>0</v>
      </c>
      <c r="O1597" s="163">
        <v>453</v>
      </c>
      <c r="P1597" s="163">
        <v>338.1</v>
      </c>
      <c r="Q1597" s="163">
        <v>5.2828125000000004</v>
      </c>
      <c r="R1597" s="163">
        <v>0.74635761590000005</v>
      </c>
      <c r="S1597" s="163">
        <v>7.078125</v>
      </c>
      <c r="T1597" s="161">
        <f t="shared" ref="T1597:T1646" si="42">O1597/SUM($O$1532:$O$1646)</f>
        <v>2.6427878436426365E-4</v>
      </c>
    </row>
    <row r="1598" spans="2:20">
      <c r="B1598" s="163">
        <v>20020200766</v>
      </c>
      <c r="C1598" s="163" t="s">
        <v>2405</v>
      </c>
      <c r="D1598" s="163" t="s">
        <v>2339</v>
      </c>
      <c r="E1598" s="163" t="s">
        <v>100</v>
      </c>
      <c r="F1598" s="163"/>
      <c r="G1598" s="163">
        <v>20</v>
      </c>
      <c r="H1598" s="163">
        <v>2</v>
      </c>
      <c r="I1598" s="163">
        <v>2</v>
      </c>
      <c r="J1598" s="163">
        <v>0</v>
      </c>
      <c r="K1598" s="163">
        <v>1</v>
      </c>
      <c r="L1598" s="163">
        <v>4</v>
      </c>
      <c r="M1598" s="163">
        <v>104</v>
      </c>
      <c r="N1598" s="163">
        <v>0</v>
      </c>
      <c r="O1598" s="163">
        <v>1620</v>
      </c>
      <c r="P1598" s="163">
        <v>777.6</v>
      </c>
      <c r="Q1598" s="163">
        <v>7.4769230769000004</v>
      </c>
      <c r="R1598" s="163">
        <v>0.48</v>
      </c>
      <c r="S1598" s="163">
        <v>15.576923077</v>
      </c>
      <c r="T1598" s="161">
        <f t="shared" si="42"/>
        <v>9.4510293746160516E-4</v>
      </c>
    </row>
    <row r="1599" spans="2:20">
      <c r="B1599" s="163">
        <v>20020200767</v>
      </c>
      <c r="C1599" s="163" t="s">
        <v>2406</v>
      </c>
      <c r="D1599" s="163" t="s">
        <v>2339</v>
      </c>
      <c r="E1599" s="163" t="s">
        <v>100</v>
      </c>
      <c r="F1599" s="163"/>
      <c r="G1599" s="163">
        <v>20</v>
      </c>
      <c r="H1599" s="163">
        <v>2</v>
      </c>
      <c r="I1599" s="163">
        <v>2</v>
      </c>
      <c r="J1599" s="163">
        <v>0</v>
      </c>
      <c r="K1599" s="163">
        <v>1</v>
      </c>
      <c r="L1599" s="163">
        <v>4</v>
      </c>
      <c r="M1599" s="163">
        <v>65</v>
      </c>
      <c r="N1599" s="163">
        <v>0</v>
      </c>
      <c r="O1599" s="163">
        <v>821</v>
      </c>
      <c r="P1599" s="163">
        <v>467.97</v>
      </c>
      <c r="Q1599" s="163">
        <v>7.1995384615000004</v>
      </c>
      <c r="R1599" s="163">
        <v>0.56999999999999995</v>
      </c>
      <c r="S1599" s="163">
        <v>12.630769231</v>
      </c>
      <c r="T1599" s="161">
        <f t="shared" si="42"/>
        <v>4.7896883435554188E-4</v>
      </c>
    </row>
    <row r="1600" spans="2:20">
      <c r="B1600" s="163">
        <v>20020200768</v>
      </c>
      <c r="C1600" s="163" t="s">
        <v>2407</v>
      </c>
      <c r="D1600" s="163" t="s">
        <v>2339</v>
      </c>
      <c r="E1600" s="163" t="s">
        <v>100</v>
      </c>
      <c r="F1600" s="163"/>
      <c r="G1600" s="163">
        <v>20</v>
      </c>
      <c r="H1600" s="163">
        <v>2</v>
      </c>
      <c r="I1600" s="163">
        <v>2</v>
      </c>
      <c r="J1600" s="163">
        <v>0</v>
      </c>
      <c r="K1600" s="163">
        <v>1</v>
      </c>
      <c r="L1600" s="163">
        <v>4</v>
      </c>
      <c r="M1600" s="163">
        <v>137</v>
      </c>
      <c r="N1600" s="163">
        <v>0</v>
      </c>
      <c r="O1600" s="163">
        <v>1916</v>
      </c>
      <c r="P1600" s="163">
        <v>1302.8800000000001</v>
      </c>
      <c r="Q1600" s="163">
        <v>9.5100729926999996</v>
      </c>
      <c r="R1600" s="163">
        <v>0.68</v>
      </c>
      <c r="S1600" s="163">
        <v>13.98540146</v>
      </c>
      <c r="T1600" s="161">
        <f t="shared" si="42"/>
        <v>1.1177884124545898E-3</v>
      </c>
    </row>
    <row r="1601" spans="2:20">
      <c r="B1601" s="163">
        <v>20020200769</v>
      </c>
      <c r="C1601" s="163" t="s">
        <v>2408</v>
      </c>
      <c r="D1601" s="163" t="s">
        <v>2339</v>
      </c>
      <c r="E1601" s="163" t="s">
        <v>100</v>
      </c>
      <c r="F1601" s="163"/>
      <c r="G1601" s="163">
        <v>20</v>
      </c>
      <c r="H1601" s="163">
        <v>2</v>
      </c>
      <c r="I1601" s="163">
        <v>2</v>
      </c>
      <c r="J1601" s="163">
        <v>0</v>
      </c>
      <c r="K1601" s="163">
        <v>1</v>
      </c>
      <c r="L1601" s="163">
        <v>4</v>
      </c>
      <c r="M1601" s="163">
        <v>696</v>
      </c>
      <c r="N1601" s="163">
        <v>0</v>
      </c>
      <c r="O1601" s="163">
        <v>10780</v>
      </c>
      <c r="P1601" s="163">
        <v>8376.86</v>
      </c>
      <c r="Q1601" s="163">
        <v>12.035718391</v>
      </c>
      <c r="R1601" s="163">
        <v>0.7770742115</v>
      </c>
      <c r="S1601" s="163">
        <v>15.488505747</v>
      </c>
      <c r="T1601" s="161">
        <f t="shared" si="42"/>
        <v>6.2890183122445084E-3</v>
      </c>
    </row>
    <row r="1602" spans="2:20">
      <c r="B1602" s="163">
        <v>20020200770</v>
      </c>
      <c r="C1602" s="163" t="s">
        <v>2409</v>
      </c>
      <c r="D1602" s="163" t="s">
        <v>2339</v>
      </c>
      <c r="E1602" s="163" t="s">
        <v>100</v>
      </c>
      <c r="F1602" s="163"/>
      <c r="G1602" s="163">
        <v>20</v>
      </c>
      <c r="H1602" s="163">
        <v>2</v>
      </c>
      <c r="I1602" s="163">
        <v>2</v>
      </c>
      <c r="J1602" s="163">
        <v>0</v>
      </c>
      <c r="K1602" s="163">
        <v>1</v>
      </c>
      <c r="L1602" s="163">
        <v>4</v>
      </c>
      <c r="M1602" s="163">
        <v>73</v>
      </c>
      <c r="N1602" s="163">
        <v>0</v>
      </c>
      <c r="O1602" s="163">
        <v>670</v>
      </c>
      <c r="P1602" s="163">
        <v>614.84</v>
      </c>
      <c r="Q1602" s="163">
        <v>8.4224657533999991</v>
      </c>
      <c r="R1602" s="163">
        <v>0.91767164180000005</v>
      </c>
      <c r="S1602" s="163">
        <v>9.1780821917999997</v>
      </c>
      <c r="T1602" s="161">
        <f t="shared" si="42"/>
        <v>3.9087590623412068E-4</v>
      </c>
    </row>
    <row r="1603" spans="2:20">
      <c r="B1603" s="163">
        <v>20020200801</v>
      </c>
      <c r="C1603" s="163" t="s">
        <v>2410</v>
      </c>
      <c r="D1603" s="163" t="s">
        <v>2339</v>
      </c>
      <c r="E1603" s="163" t="s">
        <v>100</v>
      </c>
      <c r="F1603" s="163"/>
      <c r="G1603" s="163">
        <v>20</v>
      </c>
      <c r="H1603" s="163">
        <v>2</v>
      </c>
      <c r="I1603" s="163">
        <v>2</v>
      </c>
      <c r="J1603" s="163">
        <v>0</v>
      </c>
      <c r="K1603" s="163">
        <v>1</v>
      </c>
      <c r="L1603" s="163">
        <v>4</v>
      </c>
      <c r="M1603" s="163">
        <v>1548</v>
      </c>
      <c r="N1603" s="163">
        <v>0</v>
      </c>
      <c r="O1603" s="163">
        <v>20126</v>
      </c>
      <c r="P1603" s="163">
        <v>4226.46</v>
      </c>
      <c r="Q1603" s="163">
        <v>2.7302713178000002</v>
      </c>
      <c r="R1603" s="163">
        <v>0.21</v>
      </c>
      <c r="S1603" s="163">
        <v>13.00129199</v>
      </c>
      <c r="T1603" s="161">
        <f t="shared" si="42"/>
        <v>1.1741445505773003E-2</v>
      </c>
    </row>
    <row r="1604" spans="2:20">
      <c r="B1604" s="163">
        <v>20020200802</v>
      </c>
      <c r="C1604" s="163" t="s">
        <v>2411</v>
      </c>
      <c r="D1604" s="163" t="s">
        <v>2339</v>
      </c>
      <c r="E1604" s="163" t="s">
        <v>100</v>
      </c>
      <c r="F1604" s="163"/>
      <c r="G1604" s="163">
        <v>20</v>
      </c>
      <c r="H1604" s="163">
        <v>2</v>
      </c>
      <c r="I1604" s="163">
        <v>2</v>
      </c>
      <c r="J1604" s="163">
        <v>0</v>
      </c>
      <c r="K1604" s="163">
        <v>1</v>
      </c>
      <c r="L1604" s="163">
        <v>4</v>
      </c>
      <c r="M1604" s="163">
        <v>1784</v>
      </c>
      <c r="N1604" s="163">
        <v>0</v>
      </c>
      <c r="O1604" s="163">
        <v>25852</v>
      </c>
      <c r="P1604" s="163">
        <v>6721.52</v>
      </c>
      <c r="Q1604" s="163">
        <v>3.7676681614</v>
      </c>
      <c r="R1604" s="163">
        <v>0.26</v>
      </c>
      <c r="S1604" s="163">
        <v>14.49103139</v>
      </c>
      <c r="T1604" s="161">
        <f t="shared" si="42"/>
        <v>1.5081976011887295E-2</v>
      </c>
    </row>
    <row r="1605" spans="2:20">
      <c r="B1605" s="163">
        <v>20020200803</v>
      </c>
      <c r="C1605" s="163" t="s">
        <v>2412</v>
      </c>
      <c r="D1605" s="163" t="s">
        <v>2339</v>
      </c>
      <c r="E1605" s="163" t="s">
        <v>100</v>
      </c>
      <c r="F1605" s="163"/>
      <c r="G1605" s="163">
        <v>20</v>
      </c>
      <c r="H1605" s="163">
        <v>2</v>
      </c>
      <c r="I1605" s="163">
        <v>2</v>
      </c>
      <c r="J1605" s="163">
        <v>0</v>
      </c>
      <c r="K1605" s="163">
        <v>1</v>
      </c>
      <c r="L1605" s="163">
        <v>4</v>
      </c>
      <c r="M1605" s="163">
        <v>19112</v>
      </c>
      <c r="N1605" s="163">
        <v>0</v>
      </c>
      <c r="O1605" s="163">
        <v>288425</v>
      </c>
      <c r="P1605" s="163">
        <v>83643.09</v>
      </c>
      <c r="Q1605" s="163">
        <v>4.3764697571999998</v>
      </c>
      <c r="R1605" s="163">
        <v>0.28999944529999999</v>
      </c>
      <c r="S1605" s="163">
        <v>15.091303892999999</v>
      </c>
      <c r="T1605" s="161">
        <f t="shared" si="42"/>
        <v>0.16826624366503917</v>
      </c>
    </row>
    <row r="1606" spans="2:20">
      <c r="B1606" s="163">
        <v>20020200804</v>
      </c>
      <c r="C1606" s="163" t="s">
        <v>2413</v>
      </c>
      <c r="D1606" s="163" t="s">
        <v>2339</v>
      </c>
      <c r="E1606" s="163" t="s">
        <v>100</v>
      </c>
      <c r="F1606" s="163"/>
      <c r="G1606" s="163">
        <v>20</v>
      </c>
      <c r="H1606" s="163">
        <v>2</v>
      </c>
      <c r="I1606" s="163">
        <v>2</v>
      </c>
      <c r="J1606" s="163">
        <v>0</v>
      </c>
      <c r="K1606" s="163">
        <v>1</v>
      </c>
      <c r="L1606" s="163">
        <v>4</v>
      </c>
      <c r="M1606" s="163">
        <v>2280</v>
      </c>
      <c r="N1606" s="163">
        <v>0</v>
      </c>
      <c r="O1606" s="163">
        <v>42023</v>
      </c>
      <c r="P1606" s="163">
        <v>21011.5</v>
      </c>
      <c r="Q1606" s="163">
        <v>9.2155701753999999</v>
      </c>
      <c r="R1606" s="163">
        <v>0.5</v>
      </c>
      <c r="S1606" s="163">
        <v>18.431140351</v>
      </c>
      <c r="T1606" s="161">
        <f t="shared" si="42"/>
        <v>2.4516086877129036E-2</v>
      </c>
    </row>
    <row r="1607" spans="2:20">
      <c r="B1607" s="163">
        <v>20020200810</v>
      </c>
      <c r="C1607" s="163" t="s">
        <v>2414</v>
      </c>
      <c r="D1607" s="163" t="s">
        <v>2339</v>
      </c>
      <c r="E1607" s="163" t="s">
        <v>100</v>
      </c>
      <c r="F1607" s="163"/>
      <c r="G1607" s="163">
        <v>20</v>
      </c>
      <c r="H1607" s="163">
        <v>2</v>
      </c>
      <c r="I1607" s="163">
        <v>2</v>
      </c>
      <c r="J1607" s="163">
        <v>0</v>
      </c>
      <c r="K1607" s="163">
        <v>1</v>
      </c>
      <c r="L1607" s="163">
        <v>4</v>
      </c>
      <c r="M1607" s="163">
        <v>103</v>
      </c>
      <c r="N1607" s="163">
        <v>0</v>
      </c>
      <c r="O1607" s="163">
        <v>1133</v>
      </c>
      <c r="P1607" s="163">
        <v>113.3</v>
      </c>
      <c r="Q1607" s="163">
        <v>1.1000000000000001</v>
      </c>
      <c r="R1607" s="163">
        <v>0.1</v>
      </c>
      <c r="S1607" s="163">
        <v>11</v>
      </c>
      <c r="T1607" s="161">
        <f t="shared" si="42"/>
        <v>6.6098865934814731E-4</v>
      </c>
    </row>
    <row r="1608" spans="2:20">
      <c r="B1608" s="163">
        <v>20020200811</v>
      </c>
      <c r="C1608" s="163" t="s">
        <v>2415</v>
      </c>
      <c r="D1608" s="163" t="s">
        <v>2339</v>
      </c>
      <c r="E1608" s="163" t="s">
        <v>100</v>
      </c>
      <c r="F1608" s="163"/>
      <c r="G1608" s="163">
        <v>20</v>
      </c>
      <c r="H1608" s="163">
        <v>2</v>
      </c>
      <c r="I1608" s="163">
        <v>2</v>
      </c>
      <c r="J1608" s="163">
        <v>0</v>
      </c>
      <c r="K1608" s="163">
        <v>1</v>
      </c>
      <c r="L1608" s="163">
        <v>4</v>
      </c>
      <c r="M1608" s="163">
        <v>265</v>
      </c>
      <c r="N1608" s="163">
        <v>0</v>
      </c>
      <c r="O1608" s="163">
        <v>2076</v>
      </c>
      <c r="P1608" s="163">
        <v>311.39999999999998</v>
      </c>
      <c r="Q1608" s="163">
        <v>1.1750943396</v>
      </c>
      <c r="R1608" s="163">
        <v>0.15</v>
      </c>
      <c r="S1608" s="163">
        <v>7.8339622642000002</v>
      </c>
      <c r="T1608" s="161">
        <f t="shared" si="42"/>
        <v>1.2111319124507977E-3</v>
      </c>
    </row>
    <row r="1609" spans="2:20">
      <c r="B1609" s="163">
        <v>20020200812</v>
      </c>
      <c r="C1609" s="163" t="s">
        <v>2416</v>
      </c>
      <c r="D1609" s="163" t="s">
        <v>2339</v>
      </c>
      <c r="E1609" s="163" t="s">
        <v>100</v>
      </c>
      <c r="F1609" s="163"/>
      <c r="G1609" s="163">
        <v>20</v>
      </c>
      <c r="H1609" s="163">
        <v>2</v>
      </c>
      <c r="I1609" s="163">
        <v>2</v>
      </c>
      <c r="J1609" s="163">
        <v>0</v>
      </c>
      <c r="K1609" s="163">
        <v>1</v>
      </c>
      <c r="L1609" s="163">
        <v>4</v>
      </c>
      <c r="M1609" s="163">
        <v>1844</v>
      </c>
      <c r="N1609" s="163">
        <v>0</v>
      </c>
      <c r="O1609" s="163">
        <v>27802</v>
      </c>
      <c r="P1609" s="163">
        <v>4726.34</v>
      </c>
      <c r="Q1609" s="163">
        <v>2.5630911062999999</v>
      </c>
      <c r="R1609" s="163">
        <v>0.17</v>
      </c>
      <c r="S1609" s="163">
        <v>15.077006508</v>
      </c>
      <c r="T1609" s="161">
        <f t="shared" si="42"/>
        <v>1.621959991809108E-2</v>
      </c>
    </row>
    <row r="1610" spans="2:20">
      <c r="B1610" s="163">
        <v>20020200813</v>
      </c>
      <c r="C1610" s="163" t="s">
        <v>2417</v>
      </c>
      <c r="D1610" s="163" t="s">
        <v>2339</v>
      </c>
      <c r="E1610" s="163" t="s">
        <v>100</v>
      </c>
      <c r="F1610" s="163"/>
      <c r="G1610" s="163">
        <v>20</v>
      </c>
      <c r="H1610" s="163">
        <v>2</v>
      </c>
      <c r="I1610" s="163">
        <v>2</v>
      </c>
      <c r="J1610" s="163">
        <v>0</v>
      </c>
      <c r="K1610" s="163">
        <v>1</v>
      </c>
      <c r="L1610" s="163">
        <v>4</v>
      </c>
      <c r="M1610" s="163">
        <v>924</v>
      </c>
      <c r="N1610" s="163">
        <v>0</v>
      </c>
      <c r="O1610" s="163">
        <v>14367</v>
      </c>
      <c r="P1610" s="163">
        <v>4412.22</v>
      </c>
      <c r="Q1610" s="163">
        <v>4.7751298700999998</v>
      </c>
      <c r="R1610" s="163">
        <v>0.30710795569999999</v>
      </c>
      <c r="S1610" s="163">
        <v>15.548701298999999</v>
      </c>
      <c r="T1610" s="161">
        <f t="shared" si="42"/>
        <v>8.3816629027844945E-3</v>
      </c>
    </row>
    <row r="1611" spans="2:20">
      <c r="B1611" s="163">
        <v>20020200814</v>
      </c>
      <c r="C1611" s="163" t="s">
        <v>2418</v>
      </c>
      <c r="D1611" s="163" t="s">
        <v>2339</v>
      </c>
      <c r="E1611" s="163" t="s">
        <v>100</v>
      </c>
      <c r="F1611" s="163"/>
      <c r="G1611" s="163">
        <v>20</v>
      </c>
      <c r="H1611" s="163">
        <v>2</v>
      </c>
      <c r="I1611" s="163">
        <v>2</v>
      </c>
      <c r="J1611" s="163">
        <v>0</v>
      </c>
      <c r="K1611" s="163">
        <v>1</v>
      </c>
      <c r="L1611" s="163">
        <v>4</v>
      </c>
      <c r="M1611" s="163">
        <v>13</v>
      </c>
      <c r="N1611" s="163">
        <v>0</v>
      </c>
      <c r="O1611" s="163">
        <v>129</v>
      </c>
      <c r="P1611" s="163">
        <v>12.9</v>
      </c>
      <c r="Q1611" s="163">
        <v>0.99230769230000004</v>
      </c>
      <c r="R1611" s="163">
        <v>0.1</v>
      </c>
      <c r="S1611" s="163">
        <v>9.9230769231</v>
      </c>
      <c r="T1611" s="161">
        <f t="shared" si="42"/>
        <v>7.5258196871942634E-5</v>
      </c>
    </row>
    <row r="1612" spans="2:20">
      <c r="B1612" s="163">
        <v>20020200815</v>
      </c>
      <c r="C1612" s="163" t="s">
        <v>2419</v>
      </c>
      <c r="D1612" s="163" t="s">
        <v>2339</v>
      </c>
      <c r="E1612" s="163" t="s">
        <v>100</v>
      </c>
      <c r="F1612" s="163"/>
      <c r="G1612" s="163">
        <v>20</v>
      </c>
      <c r="H1612" s="163">
        <v>2</v>
      </c>
      <c r="I1612" s="163">
        <v>2</v>
      </c>
      <c r="J1612" s="163">
        <v>0</v>
      </c>
      <c r="K1612" s="163">
        <v>1</v>
      </c>
      <c r="L1612" s="163">
        <v>4</v>
      </c>
      <c r="M1612" s="163">
        <v>72</v>
      </c>
      <c r="N1612" s="163">
        <v>0</v>
      </c>
      <c r="O1612" s="163">
        <v>818</v>
      </c>
      <c r="P1612" s="163">
        <v>89.98</v>
      </c>
      <c r="Q1612" s="163">
        <v>1.2497222222</v>
      </c>
      <c r="R1612" s="163">
        <v>0.11</v>
      </c>
      <c r="S1612" s="163">
        <v>11.361111111</v>
      </c>
      <c r="T1612" s="161">
        <f t="shared" si="42"/>
        <v>4.7721864373061299E-4</v>
      </c>
    </row>
    <row r="1613" spans="2:20">
      <c r="B1613" s="163">
        <v>20020200816</v>
      </c>
      <c r="C1613" s="163" t="s">
        <v>2420</v>
      </c>
      <c r="D1613" s="163" t="s">
        <v>2339</v>
      </c>
      <c r="E1613" s="163" t="s">
        <v>100</v>
      </c>
      <c r="F1613" s="163"/>
      <c r="G1613" s="163">
        <v>20</v>
      </c>
      <c r="H1613" s="163">
        <v>2</v>
      </c>
      <c r="I1613" s="163">
        <v>2</v>
      </c>
      <c r="J1613" s="163">
        <v>0</v>
      </c>
      <c r="K1613" s="163">
        <v>1</v>
      </c>
      <c r="L1613" s="163">
        <v>4</v>
      </c>
      <c r="M1613" s="163">
        <v>84</v>
      </c>
      <c r="N1613" s="163">
        <v>0</v>
      </c>
      <c r="O1613" s="163">
        <v>1089</v>
      </c>
      <c r="P1613" s="163">
        <v>174.24</v>
      </c>
      <c r="Q1613" s="163">
        <v>2.0742857143000002</v>
      </c>
      <c r="R1613" s="163">
        <v>0.16</v>
      </c>
      <c r="S1613" s="163">
        <v>12.964285714000001</v>
      </c>
      <c r="T1613" s="161">
        <f t="shared" si="42"/>
        <v>6.3531919684919013E-4</v>
      </c>
    </row>
    <row r="1614" spans="2:20">
      <c r="B1614" s="163">
        <v>20020200817</v>
      </c>
      <c r="C1614" s="163" t="s">
        <v>2421</v>
      </c>
      <c r="D1614" s="163" t="s">
        <v>2339</v>
      </c>
      <c r="E1614" s="163" t="s">
        <v>100</v>
      </c>
      <c r="F1614" s="163"/>
      <c r="G1614" s="163">
        <v>20</v>
      </c>
      <c r="H1614" s="163">
        <v>2</v>
      </c>
      <c r="I1614" s="163">
        <v>2</v>
      </c>
      <c r="J1614" s="163">
        <v>0</v>
      </c>
      <c r="K1614" s="163">
        <v>1</v>
      </c>
      <c r="L1614" s="163">
        <v>4</v>
      </c>
      <c r="M1614" s="163">
        <v>481</v>
      </c>
      <c r="N1614" s="163">
        <v>0</v>
      </c>
      <c r="O1614" s="163">
        <v>5406</v>
      </c>
      <c r="P1614" s="163">
        <v>1027.1400000000001</v>
      </c>
      <c r="Q1614" s="163">
        <v>2.1354261954</v>
      </c>
      <c r="R1614" s="163">
        <v>0.19</v>
      </c>
      <c r="S1614" s="163">
        <v>11.239085239</v>
      </c>
      <c r="T1614" s="161">
        <f t="shared" si="42"/>
        <v>3.1538435061218752E-3</v>
      </c>
    </row>
    <row r="1615" spans="2:20">
      <c r="B1615" s="163">
        <v>20020200818</v>
      </c>
      <c r="C1615" s="163" t="s">
        <v>2422</v>
      </c>
      <c r="D1615" s="163" t="s">
        <v>2339</v>
      </c>
      <c r="E1615" s="163" t="s">
        <v>100</v>
      </c>
      <c r="F1615" s="163"/>
      <c r="G1615" s="163">
        <v>20</v>
      </c>
      <c r="H1615" s="163">
        <v>2</v>
      </c>
      <c r="I1615" s="163">
        <v>2</v>
      </c>
      <c r="J1615" s="163">
        <v>0</v>
      </c>
      <c r="K1615" s="163">
        <v>1</v>
      </c>
      <c r="L1615" s="163">
        <v>4</v>
      </c>
      <c r="M1615" s="163">
        <v>55</v>
      </c>
      <c r="N1615" s="163">
        <v>0</v>
      </c>
      <c r="O1615" s="163">
        <v>675</v>
      </c>
      <c r="P1615" s="163">
        <v>222.75</v>
      </c>
      <c r="Q1615" s="163">
        <v>4.05</v>
      </c>
      <c r="R1615" s="163">
        <v>0.33</v>
      </c>
      <c r="S1615" s="163">
        <v>12.272727272999999</v>
      </c>
      <c r="T1615" s="161">
        <f t="shared" si="42"/>
        <v>3.9379289060900214E-4</v>
      </c>
    </row>
    <row r="1616" spans="2:20">
      <c r="B1616" s="163">
        <v>20020200820</v>
      </c>
      <c r="C1616" s="163" t="s">
        <v>2423</v>
      </c>
      <c r="D1616" s="163" t="s">
        <v>2339</v>
      </c>
      <c r="E1616" s="163" t="s">
        <v>100</v>
      </c>
      <c r="F1616" s="163"/>
      <c r="G1616" s="163">
        <v>20</v>
      </c>
      <c r="H1616" s="163">
        <v>2</v>
      </c>
      <c r="I1616" s="163">
        <v>2</v>
      </c>
      <c r="J1616" s="163">
        <v>0</v>
      </c>
      <c r="K1616" s="163">
        <v>1</v>
      </c>
      <c r="L1616" s="163">
        <v>4</v>
      </c>
      <c r="M1616" s="163">
        <v>3321</v>
      </c>
      <c r="N1616" s="163">
        <v>0</v>
      </c>
      <c r="O1616" s="163">
        <v>38302</v>
      </c>
      <c r="P1616" s="163">
        <v>21449.119999999999</v>
      </c>
      <c r="Q1616" s="163">
        <v>6.4586329419000004</v>
      </c>
      <c r="R1616" s="163">
        <v>0.56000000000000005</v>
      </c>
      <c r="S1616" s="163">
        <v>11.533273111</v>
      </c>
      <c r="T1616" s="161">
        <f t="shared" si="42"/>
        <v>2.2345267105342223E-2</v>
      </c>
    </row>
    <row r="1617" spans="2:20">
      <c r="B1617" s="163">
        <v>20020200821</v>
      </c>
      <c r="C1617" s="163" t="s">
        <v>2424</v>
      </c>
      <c r="D1617" s="163" t="s">
        <v>2339</v>
      </c>
      <c r="E1617" s="163" t="s">
        <v>100</v>
      </c>
      <c r="F1617" s="163"/>
      <c r="G1617" s="163">
        <v>20</v>
      </c>
      <c r="H1617" s="163">
        <v>2</v>
      </c>
      <c r="I1617" s="163">
        <v>2</v>
      </c>
      <c r="J1617" s="163">
        <v>0</v>
      </c>
      <c r="K1617" s="163">
        <v>1</v>
      </c>
      <c r="L1617" s="163">
        <v>4</v>
      </c>
      <c r="M1617" s="163">
        <v>3928</v>
      </c>
      <c r="N1617" s="163">
        <v>0</v>
      </c>
      <c r="O1617" s="163">
        <v>48438</v>
      </c>
      <c r="P1617" s="163">
        <v>37781.64</v>
      </c>
      <c r="Q1617" s="163">
        <v>9.6185437882000002</v>
      </c>
      <c r="R1617" s="163">
        <v>0.78</v>
      </c>
      <c r="S1617" s="163">
        <v>12.331466395</v>
      </c>
      <c r="T1617" s="161">
        <f t="shared" si="42"/>
        <v>2.8258577830101994E-2</v>
      </c>
    </row>
    <row r="1618" spans="2:20">
      <c r="B1618" s="163">
        <v>20020200823</v>
      </c>
      <c r="C1618" s="163" t="s">
        <v>2425</v>
      </c>
      <c r="D1618" s="163" t="s">
        <v>2339</v>
      </c>
      <c r="E1618" s="163" t="s">
        <v>100</v>
      </c>
      <c r="F1618" s="163"/>
      <c r="G1618" s="163">
        <v>20</v>
      </c>
      <c r="H1618" s="163">
        <v>2</v>
      </c>
      <c r="I1618" s="163">
        <v>2</v>
      </c>
      <c r="J1618" s="163">
        <v>0</v>
      </c>
      <c r="K1618" s="163">
        <v>1</v>
      </c>
      <c r="L1618" s="163">
        <v>4</v>
      </c>
      <c r="M1618" s="163">
        <v>7540</v>
      </c>
      <c r="N1618" s="163">
        <v>0</v>
      </c>
      <c r="O1618" s="163">
        <v>126723</v>
      </c>
      <c r="P1618" s="163">
        <v>186282.61</v>
      </c>
      <c r="Q1618" s="163">
        <v>24.705916446</v>
      </c>
      <c r="R1618" s="163">
        <v>1.4699984218</v>
      </c>
      <c r="S1618" s="163">
        <v>16.806763925999999</v>
      </c>
      <c r="T1618" s="161">
        <f t="shared" si="42"/>
        <v>7.3929802187621602E-2</v>
      </c>
    </row>
    <row r="1619" spans="2:20">
      <c r="B1619" s="163">
        <v>20020200851</v>
      </c>
      <c r="C1619" s="163" t="s">
        <v>2426</v>
      </c>
      <c r="D1619" s="163" t="s">
        <v>2339</v>
      </c>
      <c r="E1619" s="163" t="s">
        <v>100</v>
      </c>
      <c r="F1619" s="163"/>
      <c r="G1619" s="163">
        <v>20</v>
      </c>
      <c r="H1619" s="163">
        <v>2</v>
      </c>
      <c r="I1619" s="163">
        <v>2</v>
      </c>
      <c r="J1619" s="163">
        <v>0</v>
      </c>
      <c r="K1619" s="163">
        <v>1</v>
      </c>
      <c r="L1619" s="163">
        <v>4</v>
      </c>
      <c r="M1619" s="163">
        <v>9770</v>
      </c>
      <c r="N1619" s="163">
        <v>0</v>
      </c>
      <c r="O1619" s="163">
        <v>152588</v>
      </c>
      <c r="P1619" s="163">
        <v>59509.32</v>
      </c>
      <c r="Q1619" s="163">
        <v>6.0910255885</v>
      </c>
      <c r="R1619" s="163">
        <v>0.39</v>
      </c>
      <c r="S1619" s="163">
        <v>15.618014329999999</v>
      </c>
      <c r="T1619" s="161">
        <f t="shared" si="42"/>
        <v>8.9019362358883594E-2</v>
      </c>
    </row>
    <row r="1620" spans="2:20">
      <c r="B1620" s="163">
        <v>20020200860</v>
      </c>
      <c r="C1620" s="163" t="s">
        <v>2427</v>
      </c>
      <c r="D1620" s="163" t="s">
        <v>2339</v>
      </c>
      <c r="E1620" s="163" t="s">
        <v>100</v>
      </c>
      <c r="F1620" s="163"/>
      <c r="G1620" s="163">
        <v>20</v>
      </c>
      <c r="H1620" s="163">
        <v>2</v>
      </c>
      <c r="I1620" s="163">
        <v>2</v>
      </c>
      <c r="J1620" s="163">
        <v>0</v>
      </c>
      <c r="K1620" s="163">
        <v>1</v>
      </c>
      <c r="L1620" s="163">
        <v>4</v>
      </c>
      <c r="M1620" s="163">
        <v>32</v>
      </c>
      <c r="N1620" s="163">
        <v>0</v>
      </c>
      <c r="O1620" s="163">
        <v>455</v>
      </c>
      <c r="P1620" s="163">
        <v>200.2</v>
      </c>
      <c r="Q1620" s="163">
        <v>6.2562499999999996</v>
      </c>
      <c r="R1620" s="163">
        <v>0.44</v>
      </c>
      <c r="S1620" s="163">
        <v>14.21875</v>
      </c>
      <c r="T1620" s="161">
        <f t="shared" si="42"/>
        <v>2.6544557811421628E-4</v>
      </c>
    </row>
    <row r="1621" spans="2:20">
      <c r="B1621" s="163">
        <v>20020200861</v>
      </c>
      <c r="C1621" s="163" t="s">
        <v>2428</v>
      </c>
      <c r="D1621" s="163" t="s">
        <v>2339</v>
      </c>
      <c r="E1621" s="163" t="s">
        <v>100</v>
      </c>
      <c r="F1621" s="163"/>
      <c r="G1621" s="163">
        <v>20</v>
      </c>
      <c r="H1621" s="163">
        <v>2</v>
      </c>
      <c r="I1621" s="163">
        <v>2</v>
      </c>
      <c r="J1621" s="163">
        <v>0</v>
      </c>
      <c r="K1621" s="163">
        <v>1</v>
      </c>
      <c r="L1621" s="163">
        <v>4</v>
      </c>
      <c r="M1621" s="163">
        <v>180</v>
      </c>
      <c r="N1621" s="163">
        <v>0</v>
      </c>
      <c r="O1621" s="163">
        <v>2267</v>
      </c>
      <c r="P1621" s="163">
        <v>1428.21</v>
      </c>
      <c r="Q1621" s="163">
        <v>7.9344999999999999</v>
      </c>
      <c r="R1621" s="163">
        <v>0.63</v>
      </c>
      <c r="S1621" s="163">
        <v>12.594444444000001</v>
      </c>
      <c r="T1621" s="161">
        <f t="shared" si="42"/>
        <v>1.322560715571271E-3</v>
      </c>
    </row>
    <row r="1622" spans="2:20">
      <c r="B1622" s="163">
        <v>20020200862</v>
      </c>
      <c r="C1622" s="163" t="s">
        <v>2429</v>
      </c>
      <c r="D1622" s="163" t="s">
        <v>2339</v>
      </c>
      <c r="E1622" s="163" t="s">
        <v>100</v>
      </c>
      <c r="F1622" s="163"/>
      <c r="G1622" s="163">
        <v>20</v>
      </c>
      <c r="H1622" s="163">
        <v>2</v>
      </c>
      <c r="I1622" s="163">
        <v>2</v>
      </c>
      <c r="J1622" s="163">
        <v>0</v>
      </c>
      <c r="K1622" s="163">
        <v>1</v>
      </c>
      <c r="L1622" s="163">
        <v>4</v>
      </c>
      <c r="M1622" s="163">
        <v>927</v>
      </c>
      <c r="N1622" s="163">
        <v>0</v>
      </c>
      <c r="O1622" s="163">
        <v>13844</v>
      </c>
      <c r="P1622" s="163">
        <v>11213.64</v>
      </c>
      <c r="Q1622" s="163">
        <v>12.096699029</v>
      </c>
      <c r="R1622" s="163">
        <v>0.81</v>
      </c>
      <c r="S1622" s="163">
        <v>14.934196332000001</v>
      </c>
      <c r="T1622" s="161">
        <f t="shared" si="42"/>
        <v>8.0765463371718898E-3</v>
      </c>
    </row>
    <row r="1623" spans="2:20">
      <c r="B1623" s="163">
        <v>20020200863</v>
      </c>
      <c r="C1623" s="163" t="s">
        <v>2430</v>
      </c>
      <c r="D1623" s="163" t="s">
        <v>2339</v>
      </c>
      <c r="E1623" s="163" t="s">
        <v>100</v>
      </c>
      <c r="F1623" s="163"/>
      <c r="G1623" s="163">
        <v>20</v>
      </c>
      <c r="H1623" s="163">
        <v>2</v>
      </c>
      <c r="I1623" s="163">
        <v>2</v>
      </c>
      <c r="J1623" s="163">
        <v>0</v>
      </c>
      <c r="K1623" s="163">
        <v>1</v>
      </c>
      <c r="L1623" s="163">
        <v>4</v>
      </c>
      <c r="M1623" s="163">
        <v>76</v>
      </c>
      <c r="N1623" s="163">
        <v>0</v>
      </c>
      <c r="O1623" s="163">
        <v>1222</v>
      </c>
      <c r="P1623" s="163">
        <v>1441.96</v>
      </c>
      <c r="Q1623" s="163">
        <v>18.973157895</v>
      </c>
      <c r="R1623" s="163">
        <v>1.18</v>
      </c>
      <c r="S1623" s="163">
        <v>16.078947368000001</v>
      </c>
      <c r="T1623" s="161">
        <f t="shared" si="42"/>
        <v>7.1291098122103799E-4</v>
      </c>
    </row>
    <row r="1624" spans="2:20">
      <c r="B1624" s="163">
        <v>20020200870</v>
      </c>
      <c r="C1624" s="163" t="s">
        <v>2431</v>
      </c>
      <c r="D1624" s="163" t="s">
        <v>2339</v>
      </c>
      <c r="E1624" s="163" t="s">
        <v>100</v>
      </c>
      <c r="F1624" s="163"/>
      <c r="G1624" s="163">
        <v>20</v>
      </c>
      <c r="H1624" s="163">
        <v>2</v>
      </c>
      <c r="I1624" s="163">
        <v>2</v>
      </c>
      <c r="J1624" s="163">
        <v>0</v>
      </c>
      <c r="K1624" s="163">
        <v>1</v>
      </c>
      <c r="L1624" s="163">
        <v>4</v>
      </c>
      <c r="M1624" s="163">
        <v>101</v>
      </c>
      <c r="N1624" s="163">
        <v>0</v>
      </c>
      <c r="O1624" s="163">
        <v>1153</v>
      </c>
      <c r="P1624" s="163">
        <v>599.55999999999995</v>
      </c>
      <c r="Q1624" s="163">
        <v>5.9362376238000003</v>
      </c>
      <c r="R1624" s="163">
        <v>0.52</v>
      </c>
      <c r="S1624" s="163">
        <v>11.415841584000001</v>
      </c>
      <c r="T1624" s="161">
        <f t="shared" si="42"/>
        <v>6.7265659684767327E-4</v>
      </c>
    </row>
    <row r="1625" spans="2:20">
      <c r="B1625" s="163">
        <v>20020200871</v>
      </c>
      <c r="C1625" s="163" t="s">
        <v>2432</v>
      </c>
      <c r="D1625" s="163" t="s">
        <v>2339</v>
      </c>
      <c r="E1625" s="163" t="s">
        <v>100</v>
      </c>
      <c r="F1625" s="163"/>
      <c r="G1625" s="163">
        <v>20</v>
      </c>
      <c r="H1625" s="163">
        <v>2</v>
      </c>
      <c r="I1625" s="163">
        <v>2</v>
      </c>
      <c r="J1625" s="163">
        <v>0</v>
      </c>
      <c r="K1625" s="163">
        <v>1</v>
      </c>
      <c r="L1625" s="163">
        <v>4</v>
      </c>
      <c r="M1625" s="163">
        <v>170</v>
      </c>
      <c r="N1625" s="163">
        <v>0</v>
      </c>
      <c r="O1625" s="163">
        <v>1964</v>
      </c>
      <c r="P1625" s="163">
        <v>1414.08</v>
      </c>
      <c r="Q1625" s="163">
        <v>8.3181176470999993</v>
      </c>
      <c r="R1625" s="163">
        <v>0.72</v>
      </c>
      <c r="S1625" s="163">
        <v>11.552941175999999</v>
      </c>
      <c r="T1625" s="161">
        <f t="shared" si="42"/>
        <v>1.1457914624534522E-3</v>
      </c>
    </row>
    <row r="1626" spans="2:20">
      <c r="B1626" s="163">
        <v>20020200872</v>
      </c>
      <c r="C1626" s="163" t="s">
        <v>2433</v>
      </c>
      <c r="D1626" s="163" t="s">
        <v>2339</v>
      </c>
      <c r="E1626" s="163" t="s">
        <v>100</v>
      </c>
      <c r="F1626" s="163"/>
      <c r="G1626" s="163">
        <v>20</v>
      </c>
      <c r="H1626" s="163">
        <v>2</v>
      </c>
      <c r="I1626" s="163">
        <v>2</v>
      </c>
      <c r="J1626" s="163">
        <v>0</v>
      </c>
      <c r="K1626" s="163">
        <v>1</v>
      </c>
      <c r="L1626" s="163">
        <v>4</v>
      </c>
      <c r="M1626" s="163">
        <v>810</v>
      </c>
      <c r="N1626" s="163">
        <v>0</v>
      </c>
      <c r="O1626" s="163">
        <v>10884</v>
      </c>
      <c r="P1626" s="163">
        <v>10448.64</v>
      </c>
      <c r="Q1626" s="163">
        <v>12.899555555999999</v>
      </c>
      <c r="R1626" s="163">
        <v>0.96</v>
      </c>
      <c r="S1626" s="163">
        <v>13.437037037</v>
      </c>
      <c r="T1626" s="161">
        <f t="shared" si="42"/>
        <v>6.3496915872420434E-3</v>
      </c>
    </row>
    <row r="1627" spans="2:20">
      <c r="B1627" s="163">
        <v>20020200873</v>
      </c>
      <c r="C1627" s="163" t="s">
        <v>2434</v>
      </c>
      <c r="D1627" s="163" t="s">
        <v>2339</v>
      </c>
      <c r="E1627" s="163" t="s">
        <v>100</v>
      </c>
      <c r="F1627" s="163"/>
      <c r="G1627" s="163">
        <v>20</v>
      </c>
      <c r="H1627" s="163">
        <v>2</v>
      </c>
      <c r="I1627" s="163">
        <v>2</v>
      </c>
      <c r="J1627" s="163">
        <v>0</v>
      </c>
      <c r="K1627" s="163">
        <v>1</v>
      </c>
      <c r="L1627" s="163">
        <v>4</v>
      </c>
      <c r="M1627" s="163">
        <v>166</v>
      </c>
      <c r="N1627" s="163">
        <v>0</v>
      </c>
      <c r="O1627" s="163">
        <v>2102</v>
      </c>
      <c r="P1627" s="163">
        <v>2858.72</v>
      </c>
      <c r="Q1627" s="163">
        <v>17.221204819</v>
      </c>
      <c r="R1627" s="163">
        <v>1.36</v>
      </c>
      <c r="S1627" s="163">
        <v>12.662650601999999</v>
      </c>
      <c r="T1627" s="161">
        <f t="shared" si="42"/>
        <v>1.2263002312001817E-3</v>
      </c>
    </row>
    <row r="1628" spans="2:20">
      <c r="B1628" s="163">
        <v>20020200898</v>
      </c>
      <c r="C1628" s="163" t="s">
        <v>2435</v>
      </c>
      <c r="D1628" s="163" t="s">
        <v>2339</v>
      </c>
      <c r="E1628" s="163" t="s">
        <v>100</v>
      </c>
      <c r="F1628" s="163"/>
      <c r="G1628" s="163">
        <v>20</v>
      </c>
      <c r="H1628" s="163">
        <v>2</v>
      </c>
      <c r="I1628" s="163">
        <v>2</v>
      </c>
      <c r="J1628" s="163">
        <v>0</v>
      </c>
      <c r="K1628" s="163">
        <v>1</v>
      </c>
      <c r="L1628" s="163">
        <v>4</v>
      </c>
      <c r="M1628" s="163">
        <v>7</v>
      </c>
      <c r="N1628" s="163">
        <v>0</v>
      </c>
      <c r="O1628" s="163">
        <v>99</v>
      </c>
      <c r="P1628" s="163">
        <v>179.07</v>
      </c>
      <c r="Q1628" s="163">
        <v>25.581428571</v>
      </c>
      <c r="R1628" s="163">
        <v>1.8087878788</v>
      </c>
      <c r="S1628" s="163">
        <v>14.142857143000001</v>
      </c>
      <c r="T1628" s="161">
        <f t="shared" si="42"/>
        <v>5.7756290622653649E-5</v>
      </c>
    </row>
    <row r="1629" spans="2:20">
      <c r="B1629" s="163">
        <v>20020200901</v>
      </c>
      <c r="C1629" s="163" t="s">
        <v>2436</v>
      </c>
      <c r="D1629" s="163" t="s">
        <v>2339</v>
      </c>
      <c r="E1629" s="163" t="s">
        <v>100</v>
      </c>
      <c r="F1629" s="163"/>
      <c r="G1629" s="163">
        <v>20</v>
      </c>
      <c r="H1629" s="163">
        <v>2</v>
      </c>
      <c r="I1629" s="163">
        <v>2</v>
      </c>
      <c r="J1629" s="163">
        <v>0</v>
      </c>
      <c r="K1629" s="163">
        <v>1</v>
      </c>
      <c r="L1629" s="163">
        <v>4</v>
      </c>
      <c r="M1629" s="163">
        <v>60</v>
      </c>
      <c r="N1629" s="163">
        <v>0</v>
      </c>
      <c r="O1629" s="163">
        <v>415</v>
      </c>
      <c r="P1629" s="163">
        <v>1170.3</v>
      </c>
      <c r="Q1629" s="163">
        <v>19.504999999999999</v>
      </c>
      <c r="R1629" s="163">
        <v>2.82</v>
      </c>
      <c r="S1629" s="163">
        <v>6.9166666667000003</v>
      </c>
      <c r="T1629" s="161">
        <f t="shared" si="42"/>
        <v>2.421097031151643E-4</v>
      </c>
    </row>
    <row r="1630" spans="2:20">
      <c r="B1630" s="163">
        <v>20020200903</v>
      </c>
      <c r="C1630" s="163" t="s">
        <v>2437</v>
      </c>
      <c r="D1630" s="163" t="s">
        <v>2339</v>
      </c>
      <c r="E1630" s="163" t="s">
        <v>100</v>
      </c>
      <c r="F1630" s="163"/>
      <c r="G1630" s="163">
        <v>20</v>
      </c>
      <c r="H1630" s="163">
        <v>2</v>
      </c>
      <c r="I1630" s="163">
        <v>2</v>
      </c>
      <c r="J1630" s="163">
        <v>0</v>
      </c>
      <c r="K1630" s="163">
        <v>1</v>
      </c>
      <c r="L1630" s="163">
        <v>4</v>
      </c>
      <c r="M1630" s="163">
        <v>33</v>
      </c>
      <c r="N1630" s="163">
        <v>0</v>
      </c>
      <c r="O1630" s="163">
        <v>214</v>
      </c>
      <c r="P1630" s="163">
        <v>1206.96</v>
      </c>
      <c r="Q1630" s="163">
        <v>36.574545454999999</v>
      </c>
      <c r="R1630" s="163">
        <v>5.64</v>
      </c>
      <c r="S1630" s="163">
        <v>6.4848484847999996</v>
      </c>
      <c r="T1630" s="161">
        <f t="shared" si="42"/>
        <v>1.2484693124492808E-4</v>
      </c>
    </row>
    <row r="1631" spans="2:20">
      <c r="B1631" s="163">
        <v>20020200921</v>
      </c>
      <c r="C1631" s="163" t="s">
        <v>2438</v>
      </c>
      <c r="D1631" s="163" t="s">
        <v>2339</v>
      </c>
      <c r="E1631" s="163" t="s">
        <v>100</v>
      </c>
      <c r="F1631" s="163"/>
      <c r="G1631" s="163">
        <v>20</v>
      </c>
      <c r="H1631" s="163">
        <v>2</v>
      </c>
      <c r="I1631" s="163">
        <v>2</v>
      </c>
      <c r="J1631" s="163">
        <v>0</v>
      </c>
      <c r="K1631" s="163">
        <v>1</v>
      </c>
      <c r="L1631" s="163">
        <v>4</v>
      </c>
      <c r="M1631" s="163">
        <v>35</v>
      </c>
      <c r="N1631" s="163">
        <v>0</v>
      </c>
      <c r="O1631" s="163">
        <v>203</v>
      </c>
      <c r="P1631" s="163">
        <v>89.32</v>
      </c>
      <c r="Q1631" s="163">
        <v>2.552</v>
      </c>
      <c r="R1631" s="163">
        <v>0.44</v>
      </c>
      <c r="S1631" s="163">
        <v>5.8</v>
      </c>
      <c r="T1631" s="161">
        <f t="shared" si="42"/>
        <v>1.184295656201888E-4</v>
      </c>
    </row>
    <row r="1632" spans="2:20">
      <c r="B1632" s="163">
        <v>20020200922</v>
      </c>
      <c r="C1632" s="163" t="s">
        <v>2439</v>
      </c>
      <c r="D1632" s="163" t="s">
        <v>2339</v>
      </c>
      <c r="E1632" s="163" t="s">
        <v>100</v>
      </c>
      <c r="F1632" s="163"/>
      <c r="G1632" s="163">
        <v>20</v>
      </c>
      <c r="H1632" s="163">
        <v>2</v>
      </c>
      <c r="I1632" s="163">
        <v>2</v>
      </c>
      <c r="J1632" s="163">
        <v>0</v>
      </c>
      <c r="K1632" s="163">
        <v>1</v>
      </c>
      <c r="L1632" s="163">
        <v>4</v>
      </c>
      <c r="M1632" s="163">
        <v>49</v>
      </c>
      <c r="N1632" s="163">
        <v>0</v>
      </c>
      <c r="O1632" s="163">
        <v>518</v>
      </c>
      <c r="P1632" s="163">
        <v>315.98</v>
      </c>
      <c r="Q1632" s="163">
        <v>6.4485714286000002</v>
      </c>
      <c r="R1632" s="163">
        <v>0.61</v>
      </c>
      <c r="S1632" s="163">
        <v>10.571428571</v>
      </c>
      <c r="T1632" s="161">
        <f t="shared" si="42"/>
        <v>3.0219958123772317E-4</v>
      </c>
    </row>
    <row r="1633" spans="2:20">
      <c r="B1633" s="163">
        <v>20020200923</v>
      </c>
      <c r="C1633" s="163" t="s">
        <v>2440</v>
      </c>
      <c r="D1633" s="163" t="s">
        <v>2339</v>
      </c>
      <c r="E1633" s="163" t="s">
        <v>100</v>
      </c>
      <c r="F1633" s="163"/>
      <c r="G1633" s="163">
        <v>20</v>
      </c>
      <c r="H1633" s="163">
        <v>2</v>
      </c>
      <c r="I1633" s="163">
        <v>2</v>
      </c>
      <c r="J1633" s="163">
        <v>0</v>
      </c>
      <c r="K1633" s="163">
        <v>1</v>
      </c>
      <c r="L1633" s="163">
        <v>4</v>
      </c>
      <c r="M1633" s="163">
        <v>448</v>
      </c>
      <c r="N1633" s="163">
        <v>0</v>
      </c>
      <c r="O1633" s="163">
        <v>8218</v>
      </c>
      <c r="P1633" s="163">
        <v>6641.99</v>
      </c>
      <c r="Q1633" s="163">
        <v>14.825870536</v>
      </c>
      <c r="R1633" s="163">
        <v>0.80822462890000002</v>
      </c>
      <c r="S1633" s="163">
        <v>18.34375</v>
      </c>
      <c r="T1633" s="161">
        <f t="shared" si="42"/>
        <v>4.7943555185552293E-3</v>
      </c>
    </row>
    <row r="1634" spans="2:20">
      <c r="B1634" s="163">
        <v>20020200924</v>
      </c>
      <c r="C1634" s="163" t="s">
        <v>2441</v>
      </c>
      <c r="D1634" s="163" t="s">
        <v>2339</v>
      </c>
      <c r="E1634" s="163" t="s">
        <v>100</v>
      </c>
      <c r="F1634" s="163"/>
      <c r="G1634" s="163">
        <v>20</v>
      </c>
      <c r="H1634" s="163">
        <v>2</v>
      </c>
      <c r="I1634" s="163">
        <v>2</v>
      </c>
      <c r="J1634" s="163">
        <v>0</v>
      </c>
      <c r="K1634" s="163">
        <v>1</v>
      </c>
      <c r="L1634" s="163">
        <v>4</v>
      </c>
      <c r="M1634" s="163">
        <v>34</v>
      </c>
      <c r="N1634" s="163">
        <v>0</v>
      </c>
      <c r="O1634" s="163">
        <v>448</v>
      </c>
      <c r="P1634" s="163">
        <v>523.66</v>
      </c>
      <c r="Q1634" s="163">
        <v>15.401764706</v>
      </c>
      <c r="R1634" s="163">
        <v>1.1688839285999999</v>
      </c>
      <c r="S1634" s="163">
        <v>13.176470588000001</v>
      </c>
      <c r="T1634" s="161">
        <f t="shared" si="42"/>
        <v>2.6136179998938219E-4</v>
      </c>
    </row>
    <row r="1635" spans="2:20">
      <c r="B1635" s="163">
        <v>20020200956</v>
      </c>
      <c r="C1635" s="163" t="s">
        <v>2442</v>
      </c>
      <c r="D1635" s="163" t="s">
        <v>2339</v>
      </c>
      <c r="E1635" s="163" t="s">
        <v>100</v>
      </c>
      <c r="F1635" s="163"/>
      <c r="G1635" s="163">
        <v>20</v>
      </c>
      <c r="H1635" s="163">
        <v>2</v>
      </c>
      <c r="I1635" s="163">
        <v>2</v>
      </c>
      <c r="J1635" s="163">
        <v>0</v>
      </c>
      <c r="K1635" s="163">
        <v>1</v>
      </c>
      <c r="L1635" s="163">
        <v>4</v>
      </c>
      <c r="M1635" s="163">
        <v>1</v>
      </c>
      <c r="N1635" s="163">
        <v>0</v>
      </c>
      <c r="O1635" s="163">
        <v>20</v>
      </c>
      <c r="P1635" s="163">
        <v>10.199999999999999</v>
      </c>
      <c r="Q1635" s="163">
        <v>10.199999999999999</v>
      </c>
      <c r="R1635" s="163">
        <v>0.51</v>
      </c>
      <c r="S1635" s="163">
        <v>20</v>
      </c>
      <c r="T1635" s="161">
        <f t="shared" si="42"/>
        <v>1.166793749952599E-5</v>
      </c>
    </row>
    <row r="1636" spans="2:20">
      <c r="B1636" s="163">
        <v>20020200957</v>
      </c>
      <c r="C1636" s="163" t="s">
        <v>2443</v>
      </c>
      <c r="D1636" s="163" t="s">
        <v>2339</v>
      </c>
      <c r="E1636" s="163" t="s">
        <v>100</v>
      </c>
      <c r="F1636" s="163"/>
      <c r="G1636" s="163">
        <v>20</v>
      </c>
      <c r="H1636" s="163">
        <v>2</v>
      </c>
      <c r="I1636" s="163">
        <v>2</v>
      </c>
      <c r="J1636" s="163">
        <v>0</v>
      </c>
      <c r="K1636" s="163">
        <v>1</v>
      </c>
      <c r="L1636" s="163">
        <v>4</v>
      </c>
      <c r="M1636" s="163">
        <v>7</v>
      </c>
      <c r="N1636" s="163">
        <v>0</v>
      </c>
      <c r="O1636" s="163">
        <v>126</v>
      </c>
      <c r="P1636" s="163">
        <v>83.16</v>
      </c>
      <c r="Q1636" s="163">
        <v>11.88</v>
      </c>
      <c r="R1636" s="163">
        <v>0.66</v>
      </c>
      <c r="S1636" s="163">
        <v>18</v>
      </c>
      <c r="T1636" s="161">
        <f t="shared" si="42"/>
        <v>7.3508006247013731E-5</v>
      </c>
    </row>
    <row r="1637" spans="2:20">
      <c r="B1637" s="163">
        <v>20020200958</v>
      </c>
      <c r="C1637" s="163" t="s">
        <v>2444</v>
      </c>
      <c r="D1637" s="163" t="s">
        <v>2339</v>
      </c>
      <c r="E1637" s="163" t="s">
        <v>100</v>
      </c>
      <c r="F1637" s="163"/>
      <c r="G1637" s="163">
        <v>20</v>
      </c>
      <c r="H1637" s="163">
        <v>2</v>
      </c>
      <c r="I1637" s="163">
        <v>2</v>
      </c>
      <c r="J1637" s="163">
        <v>0</v>
      </c>
      <c r="K1637" s="163">
        <v>1</v>
      </c>
      <c r="L1637" s="163">
        <v>4</v>
      </c>
      <c r="M1637" s="163">
        <v>1</v>
      </c>
      <c r="N1637" s="163">
        <v>0</v>
      </c>
      <c r="O1637" s="163">
        <v>10</v>
      </c>
      <c r="P1637" s="163">
        <v>9.6</v>
      </c>
      <c r="Q1637" s="163">
        <v>9.6</v>
      </c>
      <c r="R1637" s="163">
        <v>0.96</v>
      </c>
      <c r="S1637" s="163">
        <v>10</v>
      </c>
      <c r="T1637" s="161">
        <f t="shared" si="42"/>
        <v>5.833968749762995E-6</v>
      </c>
    </row>
    <row r="1638" spans="2:20">
      <c r="B1638" s="163">
        <v>20020200962</v>
      </c>
      <c r="C1638" s="163" t="s">
        <v>2445</v>
      </c>
      <c r="D1638" s="163" t="s">
        <v>2339</v>
      </c>
      <c r="E1638" s="163" t="s">
        <v>100</v>
      </c>
      <c r="F1638" s="163"/>
      <c r="G1638" s="163">
        <v>20</v>
      </c>
      <c r="H1638" s="163">
        <v>2</v>
      </c>
      <c r="I1638" s="163">
        <v>2</v>
      </c>
      <c r="J1638" s="163">
        <v>0</v>
      </c>
      <c r="K1638" s="163">
        <v>1</v>
      </c>
      <c r="L1638" s="163">
        <v>4</v>
      </c>
      <c r="M1638" s="163">
        <v>2</v>
      </c>
      <c r="N1638" s="163">
        <v>0</v>
      </c>
      <c r="O1638" s="163">
        <v>32</v>
      </c>
      <c r="P1638" s="163">
        <v>71.680000000000007</v>
      </c>
      <c r="Q1638" s="163">
        <v>35.840000000000003</v>
      </c>
      <c r="R1638" s="163">
        <v>2.2400000000000002</v>
      </c>
      <c r="S1638" s="163">
        <v>16</v>
      </c>
      <c r="T1638" s="161">
        <f t="shared" si="42"/>
        <v>1.8668699999241583E-5</v>
      </c>
    </row>
    <row r="1639" spans="2:20">
      <c r="B1639" s="163">
        <v>20020200965</v>
      </c>
      <c r="C1639" s="163" t="s">
        <v>2446</v>
      </c>
      <c r="D1639" s="163" t="s">
        <v>2339</v>
      </c>
      <c r="E1639" s="163" t="s">
        <v>100</v>
      </c>
      <c r="F1639" s="163"/>
      <c r="G1639" s="163">
        <v>20</v>
      </c>
      <c r="H1639" s="163">
        <v>2</v>
      </c>
      <c r="I1639" s="163">
        <v>2</v>
      </c>
      <c r="J1639" s="163">
        <v>0</v>
      </c>
      <c r="K1639" s="163">
        <v>1</v>
      </c>
      <c r="L1639" s="163">
        <v>4</v>
      </c>
      <c r="M1639" s="163">
        <v>159</v>
      </c>
      <c r="N1639" s="163">
        <v>0</v>
      </c>
      <c r="O1639" s="163">
        <v>2532</v>
      </c>
      <c r="P1639" s="163">
        <v>354.48</v>
      </c>
      <c r="Q1639" s="163">
        <v>2.2294339622999999</v>
      </c>
      <c r="R1639" s="163">
        <v>0.14000000000000001</v>
      </c>
      <c r="S1639" s="163">
        <v>15.924528302000001</v>
      </c>
      <c r="T1639" s="161">
        <f t="shared" si="42"/>
        <v>1.4771608874399903E-3</v>
      </c>
    </row>
    <row r="1640" spans="2:20">
      <c r="B1640" s="163">
        <v>20020200966</v>
      </c>
      <c r="C1640" s="163" t="s">
        <v>2447</v>
      </c>
      <c r="D1640" s="163" t="s">
        <v>2339</v>
      </c>
      <c r="E1640" s="163" t="s">
        <v>100</v>
      </c>
      <c r="F1640" s="163"/>
      <c r="G1640" s="163">
        <v>20</v>
      </c>
      <c r="H1640" s="163">
        <v>2</v>
      </c>
      <c r="I1640" s="163">
        <v>2</v>
      </c>
      <c r="J1640" s="163">
        <v>0</v>
      </c>
      <c r="K1640" s="163">
        <v>1</v>
      </c>
      <c r="L1640" s="163">
        <v>4</v>
      </c>
      <c r="M1640" s="163">
        <v>97</v>
      </c>
      <c r="N1640" s="163">
        <v>0</v>
      </c>
      <c r="O1640" s="163">
        <v>1668</v>
      </c>
      <c r="P1640" s="163">
        <v>283.56</v>
      </c>
      <c r="Q1640" s="163">
        <v>2.9232989691000002</v>
      </c>
      <c r="R1640" s="163">
        <v>0.17</v>
      </c>
      <c r="S1640" s="163">
        <v>17.195876289000001</v>
      </c>
      <c r="T1640" s="161">
        <f t="shared" si="42"/>
        <v>9.731059874604676E-4</v>
      </c>
    </row>
    <row r="1641" spans="2:20">
      <c r="B1641" s="163">
        <v>20020200967</v>
      </c>
      <c r="C1641" s="163" t="s">
        <v>2448</v>
      </c>
      <c r="D1641" s="163" t="s">
        <v>2339</v>
      </c>
      <c r="E1641" s="163" t="s">
        <v>100</v>
      </c>
      <c r="F1641" s="163"/>
      <c r="G1641" s="163">
        <v>20</v>
      </c>
      <c r="H1641" s="163">
        <v>2</v>
      </c>
      <c r="I1641" s="163">
        <v>2</v>
      </c>
      <c r="J1641" s="163">
        <v>0</v>
      </c>
      <c r="K1641" s="163">
        <v>1</v>
      </c>
      <c r="L1641" s="163">
        <v>4</v>
      </c>
      <c r="M1641" s="163">
        <v>1139</v>
      </c>
      <c r="N1641" s="163">
        <v>0</v>
      </c>
      <c r="O1641" s="163">
        <v>19692</v>
      </c>
      <c r="P1641" s="163">
        <v>3741.48</v>
      </c>
      <c r="Q1641" s="163">
        <v>3.2848814750000002</v>
      </c>
      <c r="R1641" s="163">
        <v>0.19</v>
      </c>
      <c r="S1641" s="163">
        <v>17.288849868</v>
      </c>
      <c r="T1641" s="161">
        <f t="shared" si="42"/>
        <v>1.1488251262033291E-2</v>
      </c>
    </row>
    <row r="1642" spans="2:20">
      <c r="B1642" s="163">
        <v>20020200968</v>
      </c>
      <c r="C1642" s="163" t="s">
        <v>2449</v>
      </c>
      <c r="D1642" s="163" t="s">
        <v>2339</v>
      </c>
      <c r="E1642" s="163" t="s">
        <v>100</v>
      </c>
      <c r="F1642" s="163"/>
      <c r="G1642" s="163">
        <v>20</v>
      </c>
      <c r="H1642" s="163">
        <v>2</v>
      </c>
      <c r="I1642" s="163">
        <v>2</v>
      </c>
      <c r="J1642" s="163">
        <v>0</v>
      </c>
      <c r="K1642" s="163">
        <v>1</v>
      </c>
      <c r="L1642" s="163">
        <v>4</v>
      </c>
      <c r="M1642" s="163">
        <v>157</v>
      </c>
      <c r="N1642" s="163">
        <v>0</v>
      </c>
      <c r="O1642" s="163">
        <v>4253</v>
      </c>
      <c r="P1642" s="163">
        <v>1020.72</v>
      </c>
      <c r="Q1642" s="163">
        <v>6.5014012739</v>
      </c>
      <c r="R1642" s="163">
        <v>0.24</v>
      </c>
      <c r="S1642" s="163">
        <v>27.089171974999999</v>
      </c>
      <c r="T1642" s="161">
        <f t="shared" si="42"/>
        <v>2.4811869092742017E-3</v>
      </c>
    </row>
    <row r="1643" spans="2:20">
      <c r="B1643" s="163">
        <v>20020201095</v>
      </c>
      <c r="C1643" s="163" t="s">
        <v>2458</v>
      </c>
      <c r="D1643" s="163" t="s">
        <v>2339</v>
      </c>
      <c r="E1643" s="163" t="s">
        <v>100</v>
      </c>
      <c r="F1643" s="163"/>
      <c r="G1643" s="163">
        <v>20</v>
      </c>
      <c r="H1643" s="163">
        <v>2</v>
      </c>
      <c r="I1643" s="163">
        <v>2</v>
      </c>
      <c r="J1643" s="163">
        <v>0</v>
      </c>
      <c r="K1643" s="163">
        <v>1</v>
      </c>
      <c r="L1643" s="163">
        <v>4</v>
      </c>
      <c r="M1643" s="163">
        <v>15</v>
      </c>
      <c r="N1643" s="163">
        <v>0</v>
      </c>
      <c r="O1643" s="163">
        <v>147</v>
      </c>
      <c r="P1643" s="163">
        <v>66.150000000000006</v>
      </c>
      <c r="Q1643" s="163">
        <v>4.41</v>
      </c>
      <c r="R1643" s="163">
        <v>0.45</v>
      </c>
      <c r="S1643" s="163">
        <v>9.8000000000000007</v>
      </c>
      <c r="T1643" s="161">
        <f t="shared" si="42"/>
        <v>8.5759340621516022E-5</v>
      </c>
    </row>
    <row r="1644" spans="2:20">
      <c r="B1644" s="163">
        <v>20020201096</v>
      </c>
      <c r="C1644" s="163" t="s">
        <v>2459</v>
      </c>
      <c r="D1644" s="163" t="s">
        <v>2339</v>
      </c>
      <c r="E1644" s="163" t="s">
        <v>100</v>
      </c>
      <c r="F1644" s="163"/>
      <c r="G1644" s="163">
        <v>20</v>
      </c>
      <c r="H1644" s="163">
        <v>2</v>
      </c>
      <c r="I1644" s="163">
        <v>2</v>
      </c>
      <c r="J1644" s="163">
        <v>0</v>
      </c>
      <c r="K1644" s="163">
        <v>1</v>
      </c>
      <c r="L1644" s="163">
        <v>4</v>
      </c>
      <c r="M1644" s="163">
        <v>4</v>
      </c>
      <c r="N1644" s="163">
        <v>0</v>
      </c>
      <c r="O1644" s="163">
        <v>32</v>
      </c>
      <c r="P1644" s="163">
        <v>20.16</v>
      </c>
      <c r="Q1644" s="163">
        <v>5.04</v>
      </c>
      <c r="R1644" s="163">
        <v>0.63</v>
      </c>
      <c r="S1644" s="163">
        <v>8</v>
      </c>
      <c r="T1644" s="161">
        <f t="shared" si="42"/>
        <v>1.8668699999241583E-5</v>
      </c>
    </row>
    <row r="1645" spans="2:20">
      <c r="B1645" s="163">
        <v>20020201097</v>
      </c>
      <c r="C1645" s="163" t="s">
        <v>2460</v>
      </c>
      <c r="D1645" s="163" t="s">
        <v>2339</v>
      </c>
      <c r="E1645" s="163" t="s">
        <v>100</v>
      </c>
      <c r="F1645" s="163"/>
      <c r="G1645" s="163">
        <v>20</v>
      </c>
      <c r="H1645" s="163">
        <v>2</v>
      </c>
      <c r="I1645" s="163">
        <v>2</v>
      </c>
      <c r="J1645" s="163">
        <v>0</v>
      </c>
      <c r="K1645" s="163">
        <v>1</v>
      </c>
      <c r="L1645" s="163">
        <v>4</v>
      </c>
      <c r="M1645" s="163">
        <v>34</v>
      </c>
      <c r="N1645" s="163">
        <v>0</v>
      </c>
      <c r="O1645" s="163">
        <v>527</v>
      </c>
      <c r="P1645" s="163">
        <v>416.33</v>
      </c>
      <c r="Q1645" s="163">
        <v>12.244999999999999</v>
      </c>
      <c r="R1645" s="163">
        <v>0.79</v>
      </c>
      <c r="S1645" s="163">
        <v>15.5</v>
      </c>
      <c r="T1645" s="161">
        <f t="shared" si="42"/>
        <v>3.0745015311250983E-4</v>
      </c>
    </row>
    <row r="1646" spans="2:20">
      <c r="B1646" s="163">
        <v>20020201098</v>
      </c>
      <c r="C1646" s="163" t="s">
        <v>2461</v>
      </c>
      <c r="D1646" s="163" t="s">
        <v>2339</v>
      </c>
      <c r="E1646" s="163" t="s">
        <v>100</v>
      </c>
      <c r="F1646" s="163"/>
      <c r="G1646" s="163">
        <v>20</v>
      </c>
      <c r="H1646" s="163">
        <v>2</v>
      </c>
      <c r="I1646" s="163">
        <v>2</v>
      </c>
      <c r="J1646" s="163">
        <v>0</v>
      </c>
      <c r="K1646" s="163">
        <v>1</v>
      </c>
      <c r="L1646" s="163">
        <v>4</v>
      </c>
      <c r="M1646" s="163">
        <v>7</v>
      </c>
      <c r="N1646" s="163">
        <v>0</v>
      </c>
      <c r="O1646" s="163">
        <v>47</v>
      </c>
      <c r="P1646" s="163">
        <v>55.46</v>
      </c>
      <c r="Q1646" s="163">
        <v>7.9228571428999999</v>
      </c>
      <c r="R1646" s="163">
        <v>1.18</v>
      </c>
      <c r="S1646" s="163">
        <v>6.7142857142999999</v>
      </c>
      <c r="T1646" s="161">
        <f t="shared" si="42"/>
        <v>2.7419653123886076E-5</v>
      </c>
    </row>
    <row r="1649" spans="1:22">
      <c r="A1649" t="s">
        <v>10</v>
      </c>
      <c r="B1649" s="9" t="s">
        <v>2862</v>
      </c>
      <c r="C1649" s="9"/>
    </row>
    <row r="1651" spans="1:22">
      <c r="B1651" s="141" t="s">
        <v>220</v>
      </c>
      <c r="C1651" s="141" t="s">
        <v>221</v>
      </c>
      <c r="D1651" s="141" t="s">
        <v>222</v>
      </c>
      <c r="E1651" s="141" t="s">
        <v>223</v>
      </c>
      <c r="F1651" s="141" t="s">
        <v>224</v>
      </c>
      <c r="G1651" s="141" t="s">
        <v>225</v>
      </c>
      <c r="H1651" s="141" t="s">
        <v>226</v>
      </c>
      <c r="I1651" s="141" t="s">
        <v>227</v>
      </c>
      <c r="J1651" s="141" t="s">
        <v>228</v>
      </c>
      <c r="K1651" s="141" t="s">
        <v>229</v>
      </c>
      <c r="L1651" s="141" t="s">
        <v>230</v>
      </c>
      <c r="M1651" s="141" t="s">
        <v>231</v>
      </c>
      <c r="N1651" s="141" t="s">
        <v>232</v>
      </c>
      <c r="O1651" s="141" t="s">
        <v>233</v>
      </c>
      <c r="P1651" s="141" t="s">
        <v>234</v>
      </c>
      <c r="Q1651" s="141" t="s">
        <v>235</v>
      </c>
      <c r="R1651" s="141" t="s">
        <v>236</v>
      </c>
      <c r="S1651" s="141" t="s">
        <v>237</v>
      </c>
      <c r="V1651" s="2">
        <f>SUMPRODUCT(T1652:T1675,R1652:R1675)</f>
        <v>0.38928260032847312</v>
      </c>
    </row>
    <row r="1652" spans="1:22">
      <c r="B1652" s="163">
        <v>21160000018</v>
      </c>
      <c r="C1652" s="163" t="s">
        <v>2837</v>
      </c>
      <c r="D1652" s="163" t="s">
        <v>2838</v>
      </c>
      <c r="E1652" s="163" t="s">
        <v>241</v>
      </c>
      <c r="F1652" s="163"/>
      <c r="G1652" s="163">
        <v>21</v>
      </c>
      <c r="H1652" s="163">
        <v>16</v>
      </c>
      <c r="I1652" s="163">
        <v>0</v>
      </c>
      <c r="J1652" s="163">
        <v>0</v>
      </c>
      <c r="K1652" s="163">
        <v>1</v>
      </c>
      <c r="L1652" s="163">
        <v>4</v>
      </c>
      <c r="M1652" s="163">
        <v>158</v>
      </c>
      <c r="N1652" s="163">
        <v>0</v>
      </c>
      <c r="O1652" s="163">
        <v>3586</v>
      </c>
      <c r="P1652" s="163">
        <v>3550.14</v>
      </c>
      <c r="Q1652" s="163">
        <v>22.469240505999998</v>
      </c>
      <c r="R1652" s="163">
        <v>0.99</v>
      </c>
      <c r="S1652" s="163">
        <v>22.696202532000001</v>
      </c>
      <c r="T1652">
        <f>O1652/SUM($O$1652:$O$1675)</f>
        <v>4.1486647280779336E-4</v>
      </c>
    </row>
    <row r="1653" spans="1:22">
      <c r="B1653" s="163">
        <v>21160000019</v>
      </c>
      <c r="C1653" s="163" t="s">
        <v>2839</v>
      </c>
      <c r="D1653" s="163" t="s">
        <v>2838</v>
      </c>
      <c r="E1653" s="163" t="s">
        <v>241</v>
      </c>
      <c r="F1653" s="163"/>
      <c r="G1653" s="163">
        <v>21</v>
      </c>
      <c r="H1653" s="163">
        <v>16</v>
      </c>
      <c r="I1653" s="163">
        <v>0</v>
      </c>
      <c r="J1653" s="163">
        <v>0</v>
      </c>
      <c r="K1653" s="163">
        <v>1</v>
      </c>
      <c r="L1653" s="163">
        <v>4</v>
      </c>
      <c r="M1653" s="163">
        <v>128</v>
      </c>
      <c r="N1653" s="163">
        <v>0</v>
      </c>
      <c r="O1653" s="163">
        <v>844</v>
      </c>
      <c r="P1653" s="163">
        <v>835.56</v>
      </c>
      <c r="Q1653" s="163">
        <v>6.5278124999999996</v>
      </c>
      <c r="R1653" s="163">
        <v>0.99</v>
      </c>
      <c r="S1653" s="163">
        <v>6.59375</v>
      </c>
      <c r="T1653">
        <f t="shared" ref="T1653:T1675" si="43">O1653/SUM($O$1652:$O$1675)</f>
        <v>9.7642861977071275E-5</v>
      </c>
    </row>
    <row r="1654" spans="1:22">
      <c r="B1654" s="163">
        <v>21160000020</v>
      </c>
      <c r="C1654" s="163" t="s">
        <v>2840</v>
      </c>
      <c r="D1654" s="163" t="s">
        <v>2838</v>
      </c>
      <c r="E1654" s="163" t="s">
        <v>241</v>
      </c>
      <c r="F1654" s="163"/>
      <c r="G1654" s="163">
        <v>21</v>
      </c>
      <c r="H1654" s="163">
        <v>16</v>
      </c>
      <c r="I1654" s="163">
        <v>0</v>
      </c>
      <c r="J1654" s="163">
        <v>0</v>
      </c>
      <c r="K1654" s="163">
        <v>1</v>
      </c>
      <c r="L1654" s="163">
        <v>4</v>
      </c>
      <c r="M1654" s="163">
        <v>3617</v>
      </c>
      <c r="N1654" s="163">
        <v>0</v>
      </c>
      <c r="O1654" s="163">
        <v>5123</v>
      </c>
      <c r="P1654" s="163">
        <v>10604.61</v>
      </c>
      <c r="Q1654" s="163">
        <v>2.9318800111000001</v>
      </c>
      <c r="R1654" s="163">
        <v>2.0699999999999998</v>
      </c>
      <c r="S1654" s="163">
        <v>1.4163671551000001</v>
      </c>
      <c r="T1654">
        <f t="shared" si="43"/>
        <v>5.9268291695324193E-4</v>
      </c>
    </row>
    <row r="1655" spans="1:22">
      <c r="B1655" s="163">
        <v>21160000021</v>
      </c>
      <c r="C1655" s="163" t="s">
        <v>2841</v>
      </c>
      <c r="D1655" s="163" t="s">
        <v>2838</v>
      </c>
      <c r="E1655" s="163" t="s">
        <v>241</v>
      </c>
      <c r="F1655" s="163"/>
      <c r="G1655" s="163">
        <v>21</v>
      </c>
      <c r="H1655" s="163">
        <v>16</v>
      </c>
      <c r="I1655" s="163">
        <v>0</v>
      </c>
      <c r="J1655" s="163">
        <v>0</v>
      </c>
      <c r="K1655" s="163">
        <v>1</v>
      </c>
      <c r="L1655" s="163">
        <v>4</v>
      </c>
      <c r="M1655" s="163">
        <v>13185</v>
      </c>
      <c r="N1655" s="163">
        <v>0</v>
      </c>
      <c r="O1655" s="163">
        <v>17097</v>
      </c>
      <c r="P1655" s="163">
        <v>53854.47</v>
      </c>
      <c r="Q1655" s="163">
        <v>4.0845255972999999</v>
      </c>
      <c r="R1655" s="163">
        <v>3.1499368310000002</v>
      </c>
      <c r="S1655" s="163">
        <v>1.2967007963999999</v>
      </c>
      <c r="T1655">
        <f t="shared" si="43"/>
        <v>1.9779620986042508E-3</v>
      </c>
    </row>
    <row r="1656" spans="1:22">
      <c r="B1656" s="163">
        <v>21160000050</v>
      </c>
      <c r="C1656" s="163" t="s">
        <v>2842</v>
      </c>
      <c r="D1656" s="163" t="s">
        <v>2838</v>
      </c>
      <c r="E1656" s="163" t="s">
        <v>241</v>
      </c>
      <c r="F1656" s="163"/>
      <c r="G1656" s="163">
        <v>21</v>
      </c>
      <c r="H1656" s="163">
        <v>16</v>
      </c>
      <c r="I1656" s="163">
        <v>0</v>
      </c>
      <c r="J1656" s="163">
        <v>0</v>
      </c>
      <c r="K1656" s="163">
        <v>1</v>
      </c>
      <c r="L1656" s="163">
        <v>4</v>
      </c>
      <c r="M1656" s="163">
        <v>3603</v>
      </c>
      <c r="N1656" s="163">
        <v>0</v>
      </c>
      <c r="O1656" s="163">
        <v>39922</v>
      </c>
      <c r="P1656" s="163">
        <v>43514.97</v>
      </c>
      <c r="Q1656" s="163">
        <v>12.077427144</v>
      </c>
      <c r="R1656" s="163">
        <v>1.0899997495</v>
      </c>
      <c r="S1656" s="163">
        <v>11.080210935</v>
      </c>
      <c r="T1656">
        <f t="shared" si="43"/>
        <v>4.6185999239912795E-3</v>
      </c>
    </row>
    <row r="1657" spans="1:22">
      <c r="B1657" s="163">
        <v>21160000055</v>
      </c>
      <c r="C1657" s="163" t="s">
        <v>2843</v>
      </c>
      <c r="D1657" s="163" t="s">
        <v>2838</v>
      </c>
      <c r="E1657" s="163" t="s">
        <v>241</v>
      </c>
      <c r="F1657" s="163"/>
      <c r="G1657" s="163">
        <v>21</v>
      </c>
      <c r="H1657" s="163">
        <v>16</v>
      </c>
      <c r="I1657" s="163">
        <v>0</v>
      </c>
      <c r="J1657" s="163">
        <v>0</v>
      </c>
      <c r="K1657" s="163">
        <v>1</v>
      </c>
      <c r="L1657" s="163">
        <v>4</v>
      </c>
      <c r="M1657" s="163">
        <v>10933</v>
      </c>
      <c r="N1657" s="163">
        <v>0</v>
      </c>
      <c r="O1657" s="163">
        <v>167708</v>
      </c>
      <c r="P1657" s="163">
        <v>162676.76</v>
      </c>
      <c r="Q1657" s="163">
        <v>14.879425592</v>
      </c>
      <c r="R1657" s="163">
        <v>0.97</v>
      </c>
      <c r="S1657" s="163">
        <v>15.339614013</v>
      </c>
      <c r="T1657">
        <f t="shared" si="43"/>
        <v>1.9402238265936813E-2</v>
      </c>
    </row>
    <row r="1658" spans="1:22">
      <c r="B1658" s="163">
        <v>21160000060</v>
      </c>
      <c r="C1658" s="163" t="s">
        <v>2844</v>
      </c>
      <c r="D1658" s="163" t="s">
        <v>2838</v>
      </c>
      <c r="E1658" s="163" t="s">
        <v>241</v>
      </c>
      <c r="F1658" s="163"/>
      <c r="G1658" s="163">
        <v>21</v>
      </c>
      <c r="H1658" s="163">
        <v>16</v>
      </c>
      <c r="I1658" s="163">
        <v>0</v>
      </c>
      <c r="J1658" s="163">
        <v>0</v>
      </c>
      <c r="K1658" s="163">
        <v>1</v>
      </c>
      <c r="L1658" s="163">
        <v>4</v>
      </c>
      <c r="M1658" s="163">
        <v>194096</v>
      </c>
      <c r="N1658" s="163">
        <v>0</v>
      </c>
      <c r="O1658" s="163">
        <v>4690138</v>
      </c>
      <c r="P1658" s="163">
        <v>1095591.8700000001</v>
      </c>
      <c r="Q1658" s="163">
        <v>5.6445875752000001</v>
      </c>
      <c r="R1658" s="163">
        <v>0.23359480469999999</v>
      </c>
      <c r="S1658" s="163">
        <v>24.164011623</v>
      </c>
      <c r="T1658">
        <f t="shared" si="43"/>
        <v>0.54260485472442788</v>
      </c>
    </row>
    <row r="1659" spans="1:22">
      <c r="B1659" s="163">
        <v>21160000061</v>
      </c>
      <c r="C1659" s="163" t="s">
        <v>2845</v>
      </c>
      <c r="D1659" s="163" t="s">
        <v>2838</v>
      </c>
      <c r="E1659" s="163" t="s">
        <v>241</v>
      </c>
      <c r="F1659" s="163"/>
      <c r="G1659" s="163">
        <v>21</v>
      </c>
      <c r="H1659" s="163">
        <v>16</v>
      </c>
      <c r="I1659" s="163">
        <v>0</v>
      </c>
      <c r="J1659" s="163">
        <v>0</v>
      </c>
      <c r="K1659" s="163">
        <v>1</v>
      </c>
      <c r="L1659" s="163">
        <v>4</v>
      </c>
      <c r="M1659" s="163">
        <v>28765</v>
      </c>
      <c r="N1659" s="163">
        <v>0</v>
      </c>
      <c r="O1659" s="163">
        <v>731353</v>
      </c>
      <c r="P1659" s="163">
        <v>140415.59</v>
      </c>
      <c r="Q1659" s="163">
        <v>4.8814736658999998</v>
      </c>
      <c r="R1659" s="163">
        <v>0.1919942764</v>
      </c>
      <c r="S1659" s="163">
        <v>25.425099948</v>
      </c>
      <c r="T1659">
        <f t="shared" si="43"/>
        <v>8.4610663549190779E-2</v>
      </c>
    </row>
    <row r="1660" spans="1:22">
      <c r="B1660" s="163">
        <v>21160000063</v>
      </c>
      <c r="C1660" s="163" t="s">
        <v>2846</v>
      </c>
      <c r="D1660" s="163" t="s">
        <v>2838</v>
      </c>
      <c r="E1660" s="163" t="s">
        <v>241</v>
      </c>
      <c r="F1660" s="163"/>
      <c r="G1660" s="163">
        <v>21</v>
      </c>
      <c r="H1660" s="163">
        <v>16</v>
      </c>
      <c r="I1660" s="163">
        <v>0</v>
      </c>
      <c r="J1660" s="163">
        <v>0</v>
      </c>
      <c r="K1660" s="163">
        <v>1</v>
      </c>
      <c r="L1660" s="163">
        <v>4</v>
      </c>
      <c r="M1660" s="163">
        <v>16</v>
      </c>
      <c r="N1660" s="163">
        <v>0</v>
      </c>
      <c r="O1660" s="163">
        <v>690</v>
      </c>
      <c r="P1660" s="163">
        <v>186.58</v>
      </c>
      <c r="Q1660" s="163">
        <v>11.661250000000001</v>
      </c>
      <c r="R1660" s="163">
        <v>0.27040579710000001</v>
      </c>
      <c r="S1660" s="163">
        <v>43.125</v>
      </c>
      <c r="T1660">
        <f t="shared" si="43"/>
        <v>7.9826510384098555E-5</v>
      </c>
    </row>
    <row r="1661" spans="1:22">
      <c r="B1661" s="163">
        <v>21160000065</v>
      </c>
      <c r="C1661" s="163" t="s">
        <v>2847</v>
      </c>
      <c r="D1661" s="163" t="s">
        <v>2838</v>
      </c>
      <c r="E1661" s="163" t="s">
        <v>241</v>
      </c>
      <c r="F1661" s="163"/>
      <c r="G1661" s="163">
        <v>21</v>
      </c>
      <c r="H1661" s="163">
        <v>16</v>
      </c>
      <c r="I1661" s="163">
        <v>0</v>
      </c>
      <c r="J1661" s="163">
        <v>0</v>
      </c>
      <c r="K1661" s="163">
        <v>1</v>
      </c>
      <c r="L1661" s="163">
        <v>4</v>
      </c>
      <c r="M1661" s="163">
        <v>7253</v>
      </c>
      <c r="N1661" s="163">
        <v>0</v>
      </c>
      <c r="O1661" s="163">
        <v>166214</v>
      </c>
      <c r="P1661" s="163">
        <v>33179.449999999997</v>
      </c>
      <c r="Q1661" s="163">
        <v>4.5745829312000001</v>
      </c>
      <c r="R1661" s="163">
        <v>0.19961886479999999</v>
      </c>
      <c r="S1661" s="163">
        <v>22.916586240000001</v>
      </c>
      <c r="T1661">
        <f t="shared" si="43"/>
        <v>1.9229396517366024E-2</v>
      </c>
    </row>
    <row r="1662" spans="1:22">
      <c r="B1662" s="163">
        <v>21160000070</v>
      </c>
      <c r="C1662" s="163" t="s">
        <v>2848</v>
      </c>
      <c r="D1662" s="163" t="s">
        <v>2838</v>
      </c>
      <c r="E1662" s="163" t="s">
        <v>241</v>
      </c>
      <c r="F1662" s="163"/>
      <c r="G1662" s="163">
        <v>21</v>
      </c>
      <c r="H1662" s="163">
        <v>16</v>
      </c>
      <c r="I1662" s="163">
        <v>0</v>
      </c>
      <c r="J1662" s="163">
        <v>0</v>
      </c>
      <c r="K1662" s="163">
        <v>1</v>
      </c>
      <c r="L1662" s="163">
        <v>4</v>
      </c>
      <c r="M1662" s="163">
        <v>178</v>
      </c>
      <c r="N1662" s="163">
        <v>0</v>
      </c>
      <c r="O1662" s="163">
        <v>3235</v>
      </c>
      <c r="P1662" s="163">
        <v>5531.85</v>
      </c>
      <c r="Q1662" s="163">
        <v>31.077808989000001</v>
      </c>
      <c r="R1662" s="163">
        <v>1.71</v>
      </c>
      <c r="S1662" s="163">
        <v>18.174157303000001</v>
      </c>
      <c r="T1662">
        <f t="shared" si="43"/>
        <v>3.7425907404718673E-4</v>
      </c>
    </row>
    <row r="1663" spans="1:22">
      <c r="B1663" s="163">
        <v>21160000080</v>
      </c>
      <c r="C1663" s="163" t="s">
        <v>2849</v>
      </c>
      <c r="D1663" s="163" t="s">
        <v>2838</v>
      </c>
      <c r="E1663" s="163" t="s">
        <v>241</v>
      </c>
      <c r="F1663" s="163"/>
      <c r="G1663" s="163">
        <v>21</v>
      </c>
      <c r="H1663" s="163">
        <v>16</v>
      </c>
      <c r="I1663" s="163">
        <v>0</v>
      </c>
      <c r="J1663" s="163">
        <v>0</v>
      </c>
      <c r="K1663" s="163">
        <v>1</v>
      </c>
      <c r="L1663" s="163">
        <v>4</v>
      </c>
      <c r="M1663" s="163">
        <v>29887</v>
      </c>
      <c r="N1663" s="163">
        <v>0</v>
      </c>
      <c r="O1663" s="163">
        <v>39584</v>
      </c>
      <c r="P1663" s="163">
        <v>141580.59</v>
      </c>
      <c r="Q1663" s="163">
        <v>4.7371964398999999</v>
      </c>
      <c r="R1663" s="163">
        <v>3.5767125605999999</v>
      </c>
      <c r="S1663" s="163">
        <v>1.3244554489</v>
      </c>
      <c r="T1663">
        <f t="shared" si="43"/>
        <v>4.5794965029625472E-3</v>
      </c>
    </row>
    <row r="1664" spans="1:22">
      <c r="B1664" s="163">
        <v>21160000090</v>
      </c>
      <c r="C1664" s="163" t="s">
        <v>2850</v>
      </c>
      <c r="D1664" s="163" t="s">
        <v>2838</v>
      </c>
      <c r="E1664" s="163" t="s">
        <v>241</v>
      </c>
      <c r="F1664" s="163"/>
      <c r="G1664" s="163">
        <v>21</v>
      </c>
      <c r="H1664" s="163">
        <v>16</v>
      </c>
      <c r="I1664" s="163">
        <v>0</v>
      </c>
      <c r="J1664" s="163">
        <v>0</v>
      </c>
      <c r="K1664" s="163">
        <v>1</v>
      </c>
      <c r="L1664" s="163">
        <v>4</v>
      </c>
      <c r="M1664" s="163">
        <v>28945</v>
      </c>
      <c r="N1664" s="163">
        <v>0</v>
      </c>
      <c r="O1664" s="163">
        <v>1023638</v>
      </c>
      <c r="P1664" s="163">
        <v>264511.84999999998</v>
      </c>
      <c r="Q1664" s="163">
        <v>9.1384297805999992</v>
      </c>
      <c r="R1664" s="163">
        <v>0.25840370330000001</v>
      </c>
      <c r="S1664" s="163">
        <v>35.364933495000002</v>
      </c>
      <c r="T1664">
        <f t="shared" si="43"/>
        <v>0.11842528903848969</v>
      </c>
    </row>
    <row r="1665" spans="2:22">
      <c r="B1665" s="163">
        <v>21160000091</v>
      </c>
      <c r="C1665" s="163" t="s">
        <v>2851</v>
      </c>
      <c r="D1665" s="163" t="s">
        <v>2838</v>
      </c>
      <c r="E1665" s="163" t="s">
        <v>241</v>
      </c>
      <c r="F1665" s="163"/>
      <c r="G1665" s="163">
        <v>21</v>
      </c>
      <c r="H1665" s="163">
        <v>16</v>
      </c>
      <c r="I1665" s="163">
        <v>0</v>
      </c>
      <c r="J1665" s="163">
        <v>0</v>
      </c>
      <c r="K1665" s="163">
        <v>1</v>
      </c>
      <c r="L1665" s="163">
        <v>4</v>
      </c>
      <c r="M1665" s="163">
        <v>1589</v>
      </c>
      <c r="N1665" s="163">
        <v>0</v>
      </c>
      <c r="O1665" s="163">
        <v>42322</v>
      </c>
      <c r="P1665" s="163">
        <v>33728.379999999997</v>
      </c>
      <c r="Q1665" s="163">
        <v>21.226167401000001</v>
      </c>
      <c r="R1665" s="163">
        <v>0.79694674160000001</v>
      </c>
      <c r="S1665" s="163">
        <v>26.634361233</v>
      </c>
      <c r="T1665">
        <f t="shared" si="43"/>
        <v>4.8962573514142304E-3</v>
      </c>
    </row>
    <row r="1666" spans="2:22">
      <c r="B1666" s="163">
        <v>21160000095</v>
      </c>
      <c r="C1666" s="163" t="s">
        <v>2852</v>
      </c>
      <c r="D1666" s="163" t="s">
        <v>2838</v>
      </c>
      <c r="E1666" s="163" t="s">
        <v>241</v>
      </c>
      <c r="F1666" s="163"/>
      <c r="G1666" s="163">
        <v>21</v>
      </c>
      <c r="H1666" s="163">
        <v>16</v>
      </c>
      <c r="I1666" s="163">
        <v>0</v>
      </c>
      <c r="J1666" s="163">
        <v>0</v>
      </c>
      <c r="K1666" s="163">
        <v>1</v>
      </c>
      <c r="L1666" s="163">
        <v>4</v>
      </c>
      <c r="M1666" s="163">
        <v>16557</v>
      </c>
      <c r="N1666" s="163">
        <v>0</v>
      </c>
      <c r="O1666" s="163">
        <v>396058</v>
      </c>
      <c r="P1666" s="163">
        <v>76039.02</v>
      </c>
      <c r="Q1666" s="163">
        <v>4.5925602463999997</v>
      </c>
      <c r="R1666" s="163">
        <v>0.1919896076</v>
      </c>
      <c r="S1666" s="163">
        <v>23.920879385999999</v>
      </c>
      <c r="T1666">
        <f t="shared" si="43"/>
        <v>4.5820185579283051E-2</v>
      </c>
    </row>
    <row r="1667" spans="2:22">
      <c r="B1667" s="163">
        <v>21160000100</v>
      </c>
      <c r="C1667" s="163" t="s">
        <v>2853</v>
      </c>
      <c r="D1667" s="163" t="s">
        <v>2838</v>
      </c>
      <c r="E1667" s="163" t="s">
        <v>241</v>
      </c>
      <c r="F1667" s="163"/>
      <c r="G1667" s="163">
        <v>21</v>
      </c>
      <c r="H1667" s="163">
        <v>16</v>
      </c>
      <c r="I1667" s="163">
        <v>0</v>
      </c>
      <c r="J1667" s="163">
        <v>0</v>
      </c>
      <c r="K1667" s="163">
        <v>1</v>
      </c>
      <c r="L1667" s="163">
        <v>4</v>
      </c>
      <c r="M1667" s="163">
        <v>23648</v>
      </c>
      <c r="N1667" s="163">
        <v>0</v>
      </c>
      <c r="O1667" s="163">
        <v>691054</v>
      </c>
      <c r="P1667" s="163">
        <v>220032.64000000001</v>
      </c>
      <c r="Q1667" s="163">
        <v>9.3044925574999997</v>
      </c>
      <c r="R1667" s="163">
        <v>0.31840151420000001</v>
      </c>
      <c r="S1667" s="163">
        <v>29.222513532000001</v>
      </c>
      <c r="T1667">
        <f t="shared" si="43"/>
        <v>7.9948448270975137E-2</v>
      </c>
    </row>
    <row r="1668" spans="2:22">
      <c r="B1668" s="163">
        <v>21160000105</v>
      </c>
      <c r="C1668" s="163" t="s">
        <v>2854</v>
      </c>
      <c r="D1668" s="163" t="s">
        <v>2838</v>
      </c>
      <c r="E1668" s="163" t="s">
        <v>241</v>
      </c>
      <c r="F1668" s="163"/>
      <c r="G1668" s="163">
        <v>21</v>
      </c>
      <c r="H1668" s="163">
        <v>16</v>
      </c>
      <c r="I1668" s="163">
        <v>0</v>
      </c>
      <c r="J1668" s="163">
        <v>0</v>
      </c>
      <c r="K1668" s="163">
        <v>1</v>
      </c>
      <c r="L1668" s="163">
        <v>4</v>
      </c>
      <c r="M1668" s="163">
        <v>9775</v>
      </c>
      <c r="N1668" s="163">
        <v>0</v>
      </c>
      <c r="O1668" s="163">
        <v>166924</v>
      </c>
      <c r="P1668" s="163">
        <v>100495.67999999999</v>
      </c>
      <c r="Q1668" s="163">
        <v>10.280887979999999</v>
      </c>
      <c r="R1668" s="163">
        <v>0.60204452330000002</v>
      </c>
      <c r="S1668" s="163">
        <v>17.076624040999999</v>
      </c>
      <c r="T1668">
        <f t="shared" si="43"/>
        <v>1.9311536839645316E-2</v>
      </c>
    </row>
    <row r="1669" spans="2:22">
      <c r="B1669" s="163">
        <v>21160000106</v>
      </c>
      <c r="C1669" s="163" t="s">
        <v>2855</v>
      </c>
      <c r="D1669" s="163" t="s">
        <v>2838</v>
      </c>
      <c r="E1669" s="163" t="s">
        <v>241</v>
      </c>
      <c r="F1669" s="163"/>
      <c r="G1669" s="163">
        <v>21</v>
      </c>
      <c r="H1669" s="163">
        <v>16</v>
      </c>
      <c r="I1669" s="163">
        <v>0</v>
      </c>
      <c r="J1669" s="163">
        <v>0</v>
      </c>
      <c r="K1669" s="163">
        <v>1</v>
      </c>
      <c r="L1669" s="163">
        <v>4</v>
      </c>
      <c r="M1669" s="163">
        <v>90371</v>
      </c>
      <c r="N1669" s="163">
        <v>0</v>
      </c>
      <c r="O1669" s="163">
        <v>131188</v>
      </c>
      <c r="P1669" s="163">
        <v>637573.28</v>
      </c>
      <c r="Q1669" s="163">
        <v>7.0550650097999998</v>
      </c>
      <c r="R1669" s="163">
        <v>4.8599969509000003</v>
      </c>
      <c r="S1669" s="163">
        <v>1.4516603777999999</v>
      </c>
      <c r="T1669">
        <f t="shared" si="43"/>
        <v>1.5177217745317568E-2</v>
      </c>
    </row>
    <row r="1670" spans="2:22">
      <c r="B1670" s="163">
        <v>21160000107</v>
      </c>
      <c r="C1670" s="163" t="s">
        <v>2856</v>
      </c>
      <c r="D1670" s="163" t="s">
        <v>2838</v>
      </c>
      <c r="E1670" s="163" t="s">
        <v>241</v>
      </c>
      <c r="F1670" s="163"/>
      <c r="G1670" s="163">
        <v>21</v>
      </c>
      <c r="H1670" s="163">
        <v>16</v>
      </c>
      <c r="I1670" s="163">
        <v>0</v>
      </c>
      <c r="J1670" s="163">
        <v>0</v>
      </c>
      <c r="K1670" s="163">
        <v>1</v>
      </c>
      <c r="L1670" s="163">
        <v>4</v>
      </c>
      <c r="M1670" s="163">
        <v>2000</v>
      </c>
      <c r="N1670" s="163">
        <v>0</v>
      </c>
      <c r="O1670" s="163">
        <v>64766</v>
      </c>
      <c r="P1670" s="163">
        <v>14248.52</v>
      </c>
      <c r="Q1670" s="163">
        <v>7.1242599999999996</v>
      </c>
      <c r="R1670" s="163">
        <v>0.22</v>
      </c>
      <c r="S1670" s="163">
        <v>32.383000000000003</v>
      </c>
      <c r="T1670">
        <f t="shared" si="43"/>
        <v>7.4928170601978655E-3</v>
      </c>
    </row>
    <row r="1671" spans="2:22">
      <c r="B1671" s="163">
        <v>21160000120</v>
      </c>
      <c r="C1671" s="163" t="s">
        <v>2857</v>
      </c>
      <c r="D1671" s="163" t="s">
        <v>2838</v>
      </c>
      <c r="E1671" s="163" t="s">
        <v>241</v>
      </c>
      <c r="F1671" s="163"/>
      <c r="G1671" s="163">
        <v>21</v>
      </c>
      <c r="H1671" s="163">
        <v>16</v>
      </c>
      <c r="I1671" s="163">
        <v>0</v>
      </c>
      <c r="J1671" s="163">
        <v>0</v>
      </c>
      <c r="K1671" s="163">
        <v>1</v>
      </c>
      <c r="L1671" s="163">
        <v>4</v>
      </c>
      <c r="M1671" s="163">
        <v>39798</v>
      </c>
      <c r="N1671" s="163">
        <v>0</v>
      </c>
      <c r="O1671" s="163">
        <v>59001</v>
      </c>
      <c r="P1671" s="163">
        <v>271404.5</v>
      </c>
      <c r="Q1671" s="163">
        <v>6.8195512337000004</v>
      </c>
      <c r="R1671" s="163">
        <v>4.5999983050999997</v>
      </c>
      <c r="S1671" s="163">
        <v>1.4825116840000001</v>
      </c>
      <c r="T1671">
        <f t="shared" si="43"/>
        <v>6.825860781408984E-3</v>
      </c>
    </row>
    <row r="1672" spans="2:22">
      <c r="B1672" s="163">
        <v>21160000125</v>
      </c>
      <c r="C1672" s="163" t="s">
        <v>2858</v>
      </c>
      <c r="D1672" s="163" t="s">
        <v>2838</v>
      </c>
      <c r="E1672" s="163" t="s">
        <v>241</v>
      </c>
      <c r="F1672" s="163"/>
      <c r="G1672" s="163">
        <v>21</v>
      </c>
      <c r="H1672" s="163">
        <v>16</v>
      </c>
      <c r="I1672" s="163">
        <v>0</v>
      </c>
      <c r="J1672" s="163">
        <v>0</v>
      </c>
      <c r="K1672" s="163">
        <v>1</v>
      </c>
      <c r="L1672" s="163">
        <v>4</v>
      </c>
      <c r="M1672" s="163">
        <v>5681</v>
      </c>
      <c r="N1672" s="163">
        <v>0</v>
      </c>
      <c r="O1672" s="163">
        <v>153859</v>
      </c>
      <c r="P1672" s="163">
        <v>45292.13</v>
      </c>
      <c r="Q1672" s="163">
        <v>7.9725629291000004</v>
      </c>
      <c r="R1672" s="163">
        <v>0.2943742647</v>
      </c>
      <c r="S1672" s="163">
        <v>27.083083964</v>
      </c>
      <c r="T1672">
        <f t="shared" si="43"/>
        <v>1.7800039219111625E-2</v>
      </c>
    </row>
    <row r="1673" spans="2:22">
      <c r="B1673" s="163">
        <v>21160000130</v>
      </c>
      <c r="C1673" s="163" t="s">
        <v>2859</v>
      </c>
      <c r="D1673" s="163" t="s">
        <v>2838</v>
      </c>
      <c r="E1673" s="163" t="s">
        <v>241</v>
      </c>
      <c r="F1673" s="163"/>
      <c r="G1673" s="163">
        <v>21</v>
      </c>
      <c r="H1673" s="163">
        <v>16</v>
      </c>
      <c r="I1673" s="163">
        <v>0</v>
      </c>
      <c r="J1673" s="163">
        <v>0</v>
      </c>
      <c r="K1673" s="163">
        <v>1</v>
      </c>
      <c r="L1673" s="163">
        <v>4</v>
      </c>
      <c r="M1673" s="163">
        <v>639</v>
      </c>
      <c r="N1673" s="163">
        <v>0</v>
      </c>
      <c r="O1673" s="163">
        <v>8877</v>
      </c>
      <c r="P1673" s="163">
        <v>1918.98</v>
      </c>
      <c r="Q1673" s="163">
        <v>3.0030985915000001</v>
      </c>
      <c r="R1673" s="163">
        <v>0.21617438319999999</v>
      </c>
      <c r="S1673" s="163">
        <v>13.892018779000001</v>
      </c>
      <c r="T1673">
        <f t="shared" si="43"/>
        <v>1.0269854096806418E-3</v>
      </c>
    </row>
    <row r="1674" spans="2:22">
      <c r="B1674" s="163">
        <v>21160000131</v>
      </c>
      <c r="C1674" s="163" t="s">
        <v>2860</v>
      </c>
      <c r="D1674" s="163" t="s">
        <v>2838</v>
      </c>
      <c r="E1674" s="163" t="s">
        <v>241</v>
      </c>
      <c r="F1674" s="163"/>
      <c r="G1674" s="163">
        <v>21</v>
      </c>
      <c r="H1674" s="163">
        <v>16</v>
      </c>
      <c r="I1674" s="163">
        <v>0</v>
      </c>
      <c r="J1674" s="163">
        <v>0</v>
      </c>
      <c r="K1674" s="163">
        <v>1</v>
      </c>
      <c r="L1674" s="163">
        <v>4</v>
      </c>
      <c r="M1674" s="163">
        <v>87</v>
      </c>
      <c r="N1674" s="163">
        <v>0</v>
      </c>
      <c r="O1674" s="163">
        <v>3065</v>
      </c>
      <c r="P1674" s="163">
        <v>606.88</v>
      </c>
      <c r="Q1674" s="163">
        <v>6.9756321839000002</v>
      </c>
      <c r="R1674" s="163">
        <v>0.19800326260000001</v>
      </c>
      <c r="S1674" s="163">
        <v>35.229885056999997</v>
      </c>
      <c r="T1674">
        <f t="shared" si="43"/>
        <v>3.5459167293806098E-4</v>
      </c>
    </row>
    <row r="1675" spans="2:22">
      <c r="B1675" s="163">
        <v>21160000135</v>
      </c>
      <c r="C1675" s="163" t="s">
        <v>2861</v>
      </c>
      <c r="D1675" s="163" t="s">
        <v>2838</v>
      </c>
      <c r="E1675" s="163" t="s">
        <v>241</v>
      </c>
      <c r="F1675" s="163"/>
      <c r="G1675" s="163">
        <v>21</v>
      </c>
      <c r="H1675" s="163">
        <v>16</v>
      </c>
      <c r="I1675" s="163">
        <v>0</v>
      </c>
      <c r="J1675" s="163">
        <v>0</v>
      </c>
      <c r="K1675" s="163">
        <v>1</v>
      </c>
      <c r="L1675" s="163">
        <v>4</v>
      </c>
      <c r="M1675" s="163">
        <v>1391</v>
      </c>
      <c r="N1675" s="163">
        <v>0</v>
      </c>
      <c r="O1675" s="163">
        <v>37499</v>
      </c>
      <c r="P1675" s="163">
        <v>7485.23</v>
      </c>
      <c r="Q1675" s="163">
        <v>5.3811861969999999</v>
      </c>
      <c r="R1675" s="163">
        <v>0.19961145629999999</v>
      </c>
      <c r="S1675" s="163">
        <v>26.958303379</v>
      </c>
      <c r="T1675">
        <f t="shared" si="43"/>
        <v>4.338281612888858E-3</v>
      </c>
    </row>
    <row r="1679" spans="2:22">
      <c r="V1679" s="2"/>
    </row>
  </sheetData>
  <autoFilter ref="A1519:W1527" xr:uid="{00000000-0009-0000-0000-000023000000}"/>
  <pageMargins left="0.7" right="0.7" top="0.75" bottom="0.75" header="0.3" footer="0.3"/>
  <pageSetup paperSize="9" orientation="portrait"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7">
    <tabColor rgb="FFBC8FDD"/>
  </sheetPr>
  <dimension ref="A1:V159"/>
  <sheetViews>
    <sheetView workbookViewId="0"/>
  </sheetViews>
  <sheetFormatPr defaultRowHeight="14.5"/>
  <cols>
    <col min="1" max="1" width="4.453125" customWidth="1"/>
    <col min="2" max="2" width="20.36328125" customWidth="1"/>
    <col min="3" max="3" width="12.90625" customWidth="1"/>
    <col min="4" max="4" width="16.36328125" customWidth="1"/>
    <col min="5" max="7" width="13.90625" customWidth="1"/>
    <col min="8" max="8" width="12" bestFit="1" customWidth="1"/>
    <col min="9" max="9" width="17.453125" customWidth="1"/>
    <col min="10" max="10" width="9.36328125" bestFit="1" customWidth="1"/>
    <col min="17" max="17" width="16.453125" customWidth="1"/>
  </cols>
  <sheetData>
    <row r="1" spans="1:8" s="588" customFormat="1" ht="18.5">
      <c r="A1" s="587" t="s">
        <v>3270</v>
      </c>
    </row>
    <row r="2" spans="1:8" s="588" customFormat="1">
      <c r="A2" s="588" t="s">
        <v>3555</v>
      </c>
    </row>
    <row r="3" spans="1:8" s="781" customFormat="1"/>
    <row r="4" spans="1:8">
      <c r="H4" s="145"/>
    </row>
    <row r="5" spans="1:8">
      <c r="H5" s="145"/>
    </row>
    <row r="6" spans="1:8" s="588" customFormat="1" ht="19.25" customHeight="1">
      <c r="A6" s="587" t="s">
        <v>117</v>
      </c>
      <c r="H6" s="589"/>
    </row>
    <row r="7" spans="1:8" ht="18.649999999999999" customHeight="1">
      <c r="A7" s="29" t="s">
        <v>3272</v>
      </c>
      <c r="B7" s="29"/>
      <c r="C7" s="31"/>
      <c r="D7" s="31"/>
      <c r="H7" s="17"/>
    </row>
    <row r="8" spans="1:8">
      <c r="H8" s="236"/>
    </row>
    <row r="10" spans="1:8">
      <c r="A10" s="9" t="s">
        <v>10</v>
      </c>
      <c r="B10" s="9" t="s">
        <v>3271</v>
      </c>
    </row>
    <row r="12" spans="1:8">
      <c r="B12" s="16" t="s">
        <v>35</v>
      </c>
      <c r="C12" s="18"/>
      <c r="D12" s="17"/>
    </row>
    <row r="13" spans="1:8">
      <c r="A13" s="9"/>
      <c r="B13" s="152" t="s">
        <v>8</v>
      </c>
      <c r="C13" s="18"/>
      <c r="D13" s="20"/>
    </row>
    <row r="14" spans="1:8">
      <c r="A14" s="9"/>
      <c r="B14" s="152"/>
      <c r="C14" s="18"/>
      <c r="D14" s="20"/>
    </row>
    <row r="15" spans="1:8">
      <c r="A15" s="9"/>
      <c r="C15" s="18"/>
      <c r="D15" s="20"/>
    </row>
    <row r="16" spans="1:8">
      <c r="A16" s="9"/>
      <c r="B16" s="29"/>
      <c r="C16" s="18"/>
      <c r="D16" s="20"/>
    </row>
    <row r="17" spans="2:10">
      <c r="B17" s="32" t="s">
        <v>33</v>
      </c>
      <c r="C17" s="7" t="s">
        <v>2507</v>
      </c>
      <c r="D17" s="7" t="s">
        <v>32</v>
      </c>
      <c r="E17" s="7" t="s">
        <v>34</v>
      </c>
      <c r="G17" s="7" t="s">
        <v>206</v>
      </c>
    </row>
    <row r="18" spans="2:10">
      <c r="B18" s="26" t="s">
        <v>27</v>
      </c>
      <c r="C18" s="27">
        <v>9000</v>
      </c>
      <c r="D18" s="230">
        <v>2.0000000000000001E-4</v>
      </c>
      <c r="E18" s="28">
        <f>C18/SUM($C$18:$C$21)</f>
        <v>1.2311901504787962E-2</v>
      </c>
      <c r="F18" s="20"/>
      <c r="G18" s="155">
        <f>$C$20*(E18/SUM($E$18,$E$19,$E$21))</f>
        <v>12154.340836012861</v>
      </c>
      <c r="I18" s="20"/>
      <c r="J18" s="23"/>
    </row>
    <row r="19" spans="2:10">
      <c r="B19" s="26" t="s">
        <v>28</v>
      </c>
      <c r="C19" s="27">
        <v>24000</v>
      </c>
      <c r="D19" s="230">
        <v>5.0000000000000001E-4</v>
      </c>
      <c r="E19" s="28">
        <f t="shared" ref="E19:E21" si="0">C19/SUM($C$18:$C$21)</f>
        <v>3.2831737346101231E-2</v>
      </c>
      <c r="F19" s="20"/>
      <c r="G19" s="155">
        <f>$C$20*(E19/SUM($E$18,$E$19,$E$21))</f>
        <v>32411.57556270096</v>
      </c>
      <c r="I19" s="20"/>
      <c r="J19" s="60"/>
    </row>
    <row r="20" spans="2:10">
      <c r="B20" s="26" t="s">
        <v>29</v>
      </c>
      <c r="C20" s="27">
        <v>420000</v>
      </c>
      <c r="D20" s="230">
        <v>8.5000000000000006E-3</v>
      </c>
      <c r="E20" s="28">
        <f t="shared" si="0"/>
        <v>0.57455540355677159</v>
      </c>
      <c r="F20" s="20"/>
      <c r="G20" s="27"/>
      <c r="I20" s="20"/>
    </row>
    <row r="21" spans="2:10">
      <c r="B21" s="26" t="s">
        <v>30</v>
      </c>
      <c r="C21" s="27">
        <v>278000</v>
      </c>
      <c r="D21" s="230">
        <v>5.5999999999999999E-3</v>
      </c>
      <c r="E21" s="28">
        <f t="shared" si="0"/>
        <v>0.38030095759233928</v>
      </c>
      <c r="F21" s="20"/>
      <c r="G21" s="155">
        <f>$C$20*(E21/SUM($E$18,$E$19,$E$21))</f>
        <v>375434.08360128623</v>
      </c>
      <c r="H21" s="19"/>
      <c r="I21" s="20"/>
    </row>
    <row r="22" spans="2:10">
      <c r="B22" s="5" t="s">
        <v>22</v>
      </c>
      <c r="C22" s="22">
        <v>2222000</v>
      </c>
      <c r="D22" s="231">
        <v>4.4699999999999997E-2</v>
      </c>
      <c r="E22" s="25">
        <f>C22/$C$22</f>
        <v>1</v>
      </c>
      <c r="G22" s="22"/>
    </row>
    <row r="23" spans="2:10">
      <c r="B23" s="152" t="s">
        <v>31</v>
      </c>
      <c r="G23" s="151" t="b">
        <f>SUM(G18:G21)=C20</f>
        <v>1</v>
      </c>
    </row>
    <row r="24" spans="2:10">
      <c r="B24" s="152"/>
    </row>
    <row r="25" spans="2:10">
      <c r="B25" s="590" t="s">
        <v>3273</v>
      </c>
    </row>
    <row r="28" spans="2:10">
      <c r="B28" s="9" t="s">
        <v>3274</v>
      </c>
    </row>
    <row r="29" spans="2:10">
      <c r="B29" s="590" t="s">
        <v>2506</v>
      </c>
    </row>
    <row r="31" spans="2:10" ht="29">
      <c r="B31" s="6" t="s">
        <v>205</v>
      </c>
      <c r="C31" s="21">
        <v>50181048</v>
      </c>
      <c r="D31" s="590" t="s">
        <v>89</v>
      </c>
      <c r="E31" s="60"/>
      <c r="F31" s="60"/>
    </row>
    <row r="32" spans="2:10">
      <c r="B32" s="52"/>
      <c r="C32" s="205"/>
    </row>
    <row r="33" spans="1:12">
      <c r="B33" s="7" t="s">
        <v>2505</v>
      </c>
      <c r="C33" s="7" t="s">
        <v>207</v>
      </c>
      <c r="D33" s="7" t="s">
        <v>3687</v>
      </c>
    </row>
    <row r="34" spans="1:12">
      <c r="B34" s="6" t="s">
        <v>27</v>
      </c>
      <c r="C34" s="155">
        <f>G18+C18</f>
        <v>21154.34083601286</v>
      </c>
      <c r="D34" s="42">
        <f t="shared" ref="D34:D36" si="1">C34/($C$31)</f>
        <v>4.2156036350641499E-4</v>
      </c>
      <c r="E34" s="20"/>
      <c r="G34" s="20"/>
    </row>
    <row r="35" spans="1:12">
      <c r="B35" s="6" t="s">
        <v>28</v>
      </c>
      <c r="C35" s="155">
        <f>G19+C19</f>
        <v>56411.575562700964</v>
      </c>
      <c r="D35" s="42">
        <f t="shared" si="1"/>
        <v>1.1241609693504401E-3</v>
      </c>
      <c r="E35" s="20"/>
      <c r="G35" s="20"/>
    </row>
    <row r="36" spans="1:12">
      <c r="B36" s="6" t="s">
        <v>30</v>
      </c>
      <c r="C36" s="155">
        <f>G21+C21</f>
        <v>653434.08360128617</v>
      </c>
      <c r="D36" s="42">
        <f t="shared" si="1"/>
        <v>1.3021531228309265E-2</v>
      </c>
      <c r="E36" s="20"/>
      <c r="G36" s="20"/>
    </row>
    <row r="37" spans="1:12">
      <c r="B37" s="52"/>
      <c r="C37" s="517"/>
      <c r="D37" s="207"/>
    </row>
    <row r="38" spans="1:12">
      <c r="B38" s="52"/>
      <c r="C38" s="206"/>
      <c r="D38" s="207"/>
    </row>
    <row r="39" spans="1:12">
      <c r="B39" s="52"/>
      <c r="C39" s="206"/>
      <c r="D39" s="207"/>
    </row>
    <row r="40" spans="1:12">
      <c r="A40" s="9" t="s">
        <v>10</v>
      </c>
      <c r="B40" s="9" t="s">
        <v>3505</v>
      </c>
    </row>
    <row r="41" spans="1:12">
      <c r="B41" s="152" t="s">
        <v>2504</v>
      </c>
    </row>
    <row r="42" spans="1:12">
      <c r="B42" s="152" t="s">
        <v>2554</v>
      </c>
    </row>
    <row r="44" spans="1:12">
      <c r="B44" s="7" t="s">
        <v>2505</v>
      </c>
      <c r="C44" s="7" t="s">
        <v>2511</v>
      </c>
      <c r="D44" s="7" t="s">
        <v>2553</v>
      </c>
      <c r="K44" s="212"/>
    </row>
    <row r="45" spans="1:12">
      <c r="B45" s="6" t="s">
        <v>2508</v>
      </c>
      <c r="C45" s="10">
        <v>0.13</v>
      </c>
      <c r="D45" s="33">
        <f>C45*($D$47/$C$47)</f>
        <v>5.8275862068965512E-4</v>
      </c>
      <c r="E45" s="106" t="s">
        <v>26</v>
      </c>
    </row>
    <row r="46" spans="1:12">
      <c r="B46" s="6" t="s">
        <v>2509</v>
      </c>
      <c r="C46" s="10">
        <v>0.05</v>
      </c>
      <c r="D46" s="33">
        <f>C46*($D$47/$C$47)</f>
        <v>2.2413793103448276E-4</v>
      </c>
      <c r="E46" s="106" t="s">
        <v>27</v>
      </c>
      <c r="F46" s="381"/>
      <c r="G46" s="17"/>
      <c r="K46" s="20"/>
      <c r="L46" s="384"/>
    </row>
    <row r="47" spans="1:12">
      <c r="B47" s="6" t="s">
        <v>119</v>
      </c>
      <c r="C47" s="10">
        <v>0.28999999999999998</v>
      </c>
      <c r="D47" s="322">
        <v>1.2999999999999999E-3</v>
      </c>
      <c r="E47" s="106" t="s">
        <v>30</v>
      </c>
      <c r="F47" s="381"/>
      <c r="G47" s="17"/>
    </row>
    <row r="48" spans="1:12" ht="43.5">
      <c r="B48" s="6" t="s">
        <v>2510</v>
      </c>
      <c r="C48" s="10">
        <v>0.11</v>
      </c>
      <c r="D48" s="33">
        <f>C48*($D$47/$C$47)</f>
        <v>4.9310344827586201E-4</v>
      </c>
      <c r="E48" s="106" t="s">
        <v>28</v>
      </c>
      <c r="F48" s="381"/>
      <c r="G48" s="17"/>
    </row>
    <row r="49" spans="1:12">
      <c r="B49" s="52"/>
      <c r="C49" s="205"/>
      <c r="D49" s="152" t="s">
        <v>3275</v>
      </c>
    </row>
    <row r="50" spans="1:12">
      <c r="B50" s="52"/>
      <c r="C50" s="205"/>
      <c r="D50" s="151"/>
    </row>
    <row r="51" spans="1:12">
      <c r="A51" s="9" t="s">
        <v>10</v>
      </c>
      <c r="B51" s="9" t="s">
        <v>3276</v>
      </c>
      <c r="L51" s="20"/>
    </row>
    <row r="52" spans="1:12">
      <c r="B52" s="152" t="s">
        <v>2804</v>
      </c>
    </row>
    <row r="53" spans="1:12">
      <c r="B53" s="29"/>
    </row>
    <row r="55" spans="1:12">
      <c r="B55" s="7" t="s">
        <v>2505</v>
      </c>
      <c r="C55" s="7" t="s">
        <v>388</v>
      </c>
    </row>
    <row r="56" spans="1:12" ht="29">
      <c r="B56" s="6" t="s">
        <v>2805</v>
      </c>
      <c r="C56" s="88">
        <v>0.12</v>
      </c>
      <c r="E56" s="106"/>
    </row>
    <row r="57" spans="1:12" ht="29">
      <c r="B57" s="6" t="s">
        <v>2806</v>
      </c>
      <c r="C57" s="317">
        <v>0.373</v>
      </c>
      <c r="E57" s="106"/>
    </row>
    <row r="58" spans="1:12">
      <c r="B58" s="52"/>
      <c r="C58" s="52"/>
      <c r="E58" s="106"/>
    </row>
    <row r="59" spans="1:12" s="95" customFormat="1">
      <c r="B59" s="7" t="s">
        <v>2807</v>
      </c>
      <c r="C59" s="7" t="s">
        <v>388</v>
      </c>
      <c r="D59" s="7" t="s">
        <v>2808</v>
      </c>
      <c r="E59" s="318"/>
      <c r="I59"/>
    </row>
    <row r="60" spans="1:12">
      <c r="B60" s="6" t="s">
        <v>25</v>
      </c>
      <c r="C60" s="317">
        <v>0.376</v>
      </c>
      <c r="D60" s="319">
        <f>C60*$C$56*$C$57</f>
        <v>1.6829759999999999E-2</v>
      </c>
      <c r="E60" s="106"/>
    </row>
    <row r="61" spans="1:12">
      <c r="B61" s="87" t="s">
        <v>185</v>
      </c>
      <c r="C61" s="123">
        <v>0.124</v>
      </c>
      <c r="D61" s="319">
        <f t="shared" ref="D61:D62" si="2">C61*$C$56*$C$57</f>
        <v>5.5502399999999997E-3</v>
      </c>
      <c r="E61" s="106"/>
    </row>
    <row r="62" spans="1:12">
      <c r="B62" s="87" t="s">
        <v>184</v>
      </c>
      <c r="C62" s="123">
        <v>0.124</v>
      </c>
      <c r="D62" s="319">
        <f t="shared" si="2"/>
        <v>5.5502399999999997E-3</v>
      </c>
    </row>
    <row r="63" spans="1:12">
      <c r="B63" s="118"/>
      <c r="C63" s="118"/>
      <c r="D63" s="591"/>
    </row>
    <row r="64" spans="1:12">
      <c r="B64" s="52"/>
      <c r="C64" s="205"/>
      <c r="D64" s="205"/>
    </row>
    <row r="65" spans="1:11">
      <c r="A65" s="9" t="s">
        <v>10</v>
      </c>
      <c r="B65" s="9" t="s">
        <v>3277</v>
      </c>
      <c r="K65" s="212"/>
    </row>
    <row r="66" spans="1:11">
      <c r="B66" s="152" t="s">
        <v>2809</v>
      </c>
    </row>
    <row r="67" spans="1:11">
      <c r="B67" s="29"/>
    </row>
    <row r="69" spans="1:11">
      <c r="B69" s="7" t="s">
        <v>2505</v>
      </c>
      <c r="C69" s="7" t="s">
        <v>388</v>
      </c>
    </row>
    <row r="70" spans="1:11">
      <c r="B70" s="6" t="s">
        <v>2620</v>
      </c>
      <c r="C70" s="320">
        <v>2451.9899999999998</v>
      </c>
      <c r="E70" s="106"/>
    </row>
    <row r="71" spans="1:11">
      <c r="B71" s="6" t="s">
        <v>2810</v>
      </c>
      <c r="C71" s="317">
        <v>3.1</v>
      </c>
      <c r="E71" s="106"/>
    </row>
    <row r="72" spans="1:11">
      <c r="B72" s="52"/>
      <c r="C72" s="52"/>
      <c r="E72" s="106"/>
    </row>
    <row r="73" spans="1:11" s="95" customFormat="1">
      <c r="B73" s="7" t="s">
        <v>2807</v>
      </c>
      <c r="C73" s="7" t="s">
        <v>388</v>
      </c>
      <c r="D73" s="7" t="s">
        <v>2808</v>
      </c>
      <c r="E73" s="318"/>
    </row>
    <row r="74" spans="1:11">
      <c r="B74" s="6" t="s">
        <v>25</v>
      </c>
      <c r="C74" s="317">
        <v>0.6</v>
      </c>
      <c r="D74" s="321">
        <f>C74*($C$71/$C$70)</f>
        <v>7.5856753086268717E-4</v>
      </c>
      <c r="E74" s="106"/>
    </row>
    <row r="75" spans="1:11">
      <c r="B75" s="87" t="s">
        <v>185</v>
      </c>
      <c r="C75" s="123">
        <v>0.15</v>
      </c>
      <c r="D75" s="321">
        <f t="shared" ref="D75:D76" si="3">C75*($C$71/$C$70)</f>
        <v>1.8964188271567179E-4</v>
      </c>
      <c r="E75" s="106"/>
    </row>
    <row r="76" spans="1:11">
      <c r="B76" s="87" t="s">
        <v>184</v>
      </c>
      <c r="C76" s="123">
        <v>0.25</v>
      </c>
      <c r="D76" s="321">
        <f t="shared" si="3"/>
        <v>3.1606980452611965E-4</v>
      </c>
    </row>
    <row r="77" spans="1:11">
      <c r="B77" s="52"/>
      <c r="C77" s="205"/>
      <c r="D77" s="205"/>
    </row>
    <row r="78" spans="1:11">
      <c r="B78" s="52"/>
      <c r="C78" s="205"/>
    </row>
    <row r="79" spans="1:11">
      <c r="A79" s="9" t="s">
        <v>10</v>
      </c>
      <c r="B79" s="114" t="s">
        <v>2515</v>
      </c>
      <c r="C79" s="205"/>
    </row>
    <row r="80" spans="1:11">
      <c r="A80" s="9"/>
      <c r="B80" s="113"/>
      <c r="C80" s="205"/>
    </row>
    <row r="81" spans="1:22">
      <c r="A81" s="9"/>
    </row>
    <row r="82" spans="1:22" s="95" customFormat="1">
      <c r="B82" s="52"/>
      <c r="C82" s="205"/>
      <c r="Q82"/>
      <c r="R82"/>
      <c r="S82"/>
      <c r="T82"/>
      <c r="U82"/>
      <c r="V82"/>
    </row>
    <row r="83" spans="1:22" ht="14.4" customHeight="1">
      <c r="C83" s="8" t="s">
        <v>2516</v>
      </c>
      <c r="E83" s="209">
        <v>1</v>
      </c>
      <c r="F83" s="209"/>
      <c r="G83" s="209">
        <v>2</v>
      </c>
      <c r="I83" s="209">
        <v>3</v>
      </c>
      <c r="K83" s="95"/>
      <c r="L83" s="95"/>
      <c r="M83" s="95"/>
    </row>
    <row r="84" spans="1:22">
      <c r="B84" s="7" t="s">
        <v>2505</v>
      </c>
      <c r="C84" s="7" t="str">
        <f>CHOOSE('Control Assumptions'!$D$28, E84,G84,I84)</f>
        <v>Manual</v>
      </c>
      <c r="E84" s="7" t="s">
        <v>2512</v>
      </c>
      <c r="G84" s="7" t="s">
        <v>2513</v>
      </c>
      <c r="I84" s="7" t="s">
        <v>3014</v>
      </c>
      <c r="K84" s="95"/>
      <c r="L84" s="95"/>
      <c r="M84" s="95"/>
    </row>
    <row r="85" spans="1:22" ht="17" customHeight="1">
      <c r="B85" s="6" t="s">
        <v>27</v>
      </c>
      <c r="C85" s="208">
        <f>CHOOSE('Control Assumptions'!$D$28, E85,G85,I85)</f>
        <v>2.3000000000000001E-4</v>
      </c>
      <c r="E85" s="42">
        <f>INDEX($D$34:$D$36, MATCH(B85,$B$34:$B$36,0))</f>
        <v>4.2156036350641499E-4</v>
      </c>
      <c r="F85" s="17"/>
      <c r="G85" s="42">
        <f>INDEX($D$45:$D$48, MATCH(B85,$E$45:$E$48,0))</f>
        <v>2.2413793103448276E-4</v>
      </c>
      <c r="H85" s="17"/>
      <c r="I85" s="42">
        <f>'Control Assumptions'!E32</f>
        <v>2.3000000000000001E-4</v>
      </c>
      <c r="J85" s="17"/>
      <c r="K85" s="95"/>
      <c r="L85" s="95"/>
      <c r="M85" s="95"/>
    </row>
    <row r="86" spans="1:22" ht="17" customHeight="1">
      <c r="B86" s="6" t="s">
        <v>28</v>
      </c>
      <c r="C86" s="208">
        <f>CHOOSE('Control Assumptions'!$D$28, E86,G86,I86)</f>
        <v>5.5000000000000003E-4</v>
      </c>
      <c r="E86" s="42">
        <f>INDEX($D$34:$D$36, MATCH(B86,$B$34:$B$36,0))</f>
        <v>1.1241609693504401E-3</v>
      </c>
      <c r="F86" s="17"/>
      <c r="G86" s="42">
        <f>INDEX($D$45:$D$48, MATCH(B86,$E$45:$E$48,0))</f>
        <v>4.9310344827586201E-4</v>
      </c>
      <c r="H86" s="17"/>
      <c r="I86" s="42">
        <f>'Control Assumptions'!E33</f>
        <v>5.5000000000000003E-4</v>
      </c>
      <c r="J86" s="17"/>
      <c r="K86" s="95"/>
      <c r="L86" s="95"/>
      <c r="M86" s="95"/>
    </row>
    <row r="87" spans="1:22" ht="17" customHeight="1">
      <c r="B87" s="6" t="s">
        <v>30</v>
      </c>
      <c r="C87" s="208">
        <f>CHOOSE('Control Assumptions'!$D$28, E87,G87,I87)</f>
        <v>1.89E-3</v>
      </c>
      <c r="E87" s="42">
        <f>INDEX($D$34:$D$36, MATCH(B87,$B$34:$B$36,0))</f>
        <v>1.3021531228309265E-2</v>
      </c>
      <c r="F87" s="17"/>
      <c r="G87" s="42">
        <f>INDEX($D$45:$D$48, MATCH(B87,$E$45:$E$48,0))</f>
        <v>1.2999999999999999E-3</v>
      </c>
      <c r="H87" s="17"/>
      <c r="I87" s="42">
        <f>'Control Assumptions'!E34</f>
        <v>1.89E-3</v>
      </c>
      <c r="J87" s="17"/>
      <c r="K87" s="95"/>
      <c r="L87" s="95"/>
      <c r="M87" s="95"/>
    </row>
    <row r="88" spans="1:22">
      <c r="K88" s="95"/>
      <c r="L88" s="95"/>
      <c r="M88" s="95"/>
    </row>
    <row r="89" spans="1:22">
      <c r="B89" s="6" t="s">
        <v>2888</v>
      </c>
      <c r="C89" s="134">
        <f>CHOOSE('Control Assumptions'!$D$28, E89,G89,I89)</f>
        <v>2020</v>
      </c>
      <c r="E89" s="133">
        <v>2012</v>
      </c>
      <c r="F89" s="17"/>
      <c r="G89" s="133">
        <v>2012</v>
      </c>
      <c r="H89" s="17"/>
      <c r="I89" s="134">
        <f>'Control Assumptions'!E36</f>
        <v>2020</v>
      </c>
      <c r="J89" s="17"/>
      <c r="K89" s="95"/>
      <c r="L89" s="95"/>
      <c r="M89" s="95"/>
    </row>
    <row r="90" spans="1:22">
      <c r="K90" s="95"/>
      <c r="L90" s="95"/>
      <c r="M90" s="95"/>
    </row>
    <row r="91" spans="1:22">
      <c r="K91" s="95"/>
      <c r="L91" s="95"/>
      <c r="M91" s="95"/>
    </row>
    <row r="93" spans="1:22" s="588" customFormat="1" ht="18.5">
      <c r="A93" s="587" t="s">
        <v>36</v>
      </c>
    </row>
    <row r="94" spans="1:22" ht="18.5">
      <c r="A94" s="31"/>
    </row>
    <row r="96" spans="1:22">
      <c r="A96" s="9" t="s">
        <v>10</v>
      </c>
      <c r="B96" s="9" t="s">
        <v>3278</v>
      </c>
    </row>
    <row r="97" spans="1:3">
      <c r="A97" s="9"/>
      <c r="B97" s="152" t="s">
        <v>96</v>
      </c>
    </row>
    <row r="98" spans="1:3">
      <c r="A98" s="9"/>
      <c r="B98" s="55"/>
    </row>
    <row r="99" spans="1:3">
      <c r="A99" s="9"/>
      <c r="B99" s="8"/>
      <c r="C99" s="7" t="s">
        <v>152</v>
      </c>
    </row>
    <row r="100" spans="1:3">
      <c r="A100" s="9"/>
      <c r="B100" s="6" t="s">
        <v>26</v>
      </c>
      <c r="C100" s="56">
        <v>0.41</v>
      </c>
    </row>
    <row r="101" spans="1:3">
      <c r="A101" s="9"/>
      <c r="B101" s="6" t="s">
        <v>27</v>
      </c>
      <c r="C101" s="56">
        <v>0</v>
      </c>
    </row>
    <row r="102" spans="1:3">
      <c r="A102" s="9"/>
      <c r="B102" s="6" t="s">
        <v>28</v>
      </c>
      <c r="C102" s="56">
        <v>0.42</v>
      </c>
    </row>
    <row r="103" spans="1:3">
      <c r="A103" s="9"/>
      <c r="B103" s="6" t="s">
        <v>29</v>
      </c>
      <c r="C103" s="56">
        <v>0.47</v>
      </c>
    </row>
    <row r="104" spans="1:3">
      <c r="A104" s="9"/>
      <c r="B104" s="6" t="s">
        <v>30</v>
      </c>
      <c r="C104" s="56">
        <v>0.47</v>
      </c>
    </row>
    <row r="105" spans="1:3">
      <c r="A105" s="9"/>
      <c r="B105" s="9"/>
    </row>
    <row r="106" spans="1:3">
      <c r="A106" s="9"/>
      <c r="B106" s="9"/>
    </row>
    <row r="107" spans="1:3">
      <c r="A107" s="9"/>
      <c r="B107" s="9"/>
    </row>
    <row r="108" spans="1:3">
      <c r="B108" s="152"/>
    </row>
    <row r="110" spans="1:3" s="588" customFormat="1" ht="18.5">
      <c r="A110" s="587" t="s">
        <v>93</v>
      </c>
    </row>
    <row r="111" spans="1:3" ht="18.5">
      <c r="A111" s="31"/>
    </row>
    <row r="113" spans="1:7">
      <c r="A113" s="9" t="s">
        <v>10</v>
      </c>
      <c r="B113" s="9" t="s">
        <v>2523</v>
      </c>
    </row>
    <row r="114" spans="1:7">
      <c r="A114" s="9"/>
      <c r="B114" s="9"/>
    </row>
    <row r="115" spans="1:7">
      <c r="A115" s="9"/>
      <c r="B115" s="29" t="s">
        <v>2529</v>
      </c>
    </row>
    <row r="116" spans="1:7">
      <c r="A116" s="9"/>
      <c r="B116" s="120" t="s">
        <v>2526</v>
      </c>
      <c r="C116" s="106">
        <f>INDEX($E$117:$G$117, MATCH(B116, $E$118:$G$118,0))</f>
        <v>3</v>
      </c>
      <c r="D116" s="106"/>
      <c r="E116" s="106"/>
      <c r="F116" s="106"/>
      <c r="G116" s="106"/>
    </row>
    <row r="117" spans="1:7" ht="15" customHeight="1">
      <c r="A117" s="9"/>
      <c r="B117" s="55"/>
      <c r="C117" s="106"/>
      <c r="D117" s="106"/>
      <c r="E117" s="106">
        <v>1</v>
      </c>
      <c r="F117" s="106">
        <v>2</v>
      </c>
      <c r="G117" s="106">
        <v>3</v>
      </c>
    </row>
    <row r="118" spans="1:7" ht="21.65" customHeight="1">
      <c r="A118" s="9"/>
      <c r="B118" s="216" t="s">
        <v>2505</v>
      </c>
      <c r="C118" s="216" t="s">
        <v>2525</v>
      </c>
      <c r="D118" s="217"/>
      <c r="E118" s="218" t="s">
        <v>2527</v>
      </c>
      <c r="F118" s="218" t="s">
        <v>2528</v>
      </c>
      <c r="G118" s="218" t="s">
        <v>2526</v>
      </c>
    </row>
    <row r="119" spans="1:7">
      <c r="A119" s="9"/>
      <c r="B119" s="6" t="s">
        <v>25</v>
      </c>
      <c r="C119" s="215">
        <f>CHOOSE($C$116,E119,F119,G119)</f>
        <v>0.47499999999999998</v>
      </c>
      <c r="E119" s="56">
        <v>0.26</v>
      </c>
      <c r="F119" s="56">
        <v>0.69</v>
      </c>
      <c r="G119" s="215">
        <f>AVERAGE(E119:F119)</f>
        <v>0.47499999999999998</v>
      </c>
    </row>
    <row r="120" spans="1:7">
      <c r="A120" s="9"/>
      <c r="B120" s="6" t="s">
        <v>184</v>
      </c>
      <c r="C120" s="215">
        <f t="shared" ref="C120:C122" si="4">CHOOSE($C$116,E120,F120,G120)</f>
        <v>0.47499999999999998</v>
      </c>
      <c r="E120" s="215">
        <f>E$119</f>
        <v>0.26</v>
      </c>
      <c r="F120" s="215">
        <f t="shared" ref="F120:G120" si="5">F$119</f>
        <v>0.69</v>
      </c>
      <c r="G120" s="215">
        <f t="shared" si="5"/>
        <v>0.47499999999999998</v>
      </c>
    </row>
    <row r="121" spans="1:7">
      <c r="A121" s="9"/>
      <c r="B121" s="6" t="s">
        <v>185</v>
      </c>
      <c r="C121" s="215">
        <f t="shared" si="4"/>
        <v>0.47499999999999998</v>
      </c>
      <c r="E121" s="215">
        <f t="shared" ref="E121:G122" si="6">E$119</f>
        <v>0.26</v>
      </c>
      <c r="F121" s="215">
        <f t="shared" si="6"/>
        <v>0.69</v>
      </c>
      <c r="G121" s="215">
        <f t="shared" si="6"/>
        <v>0.47499999999999998</v>
      </c>
    </row>
    <row r="122" spans="1:7" s="54" customFormat="1">
      <c r="A122" s="9"/>
      <c r="B122" s="6" t="s">
        <v>2530</v>
      </c>
      <c r="C122" s="215">
        <f t="shared" si="4"/>
        <v>0.47499999999999998</v>
      </c>
      <c r="D122"/>
      <c r="E122" s="215">
        <f t="shared" si="6"/>
        <v>0.26</v>
      </c>
      <c r="F122" s="215">
        <f t="shared" si="6"/>
        <v>0.69</v>
      </c>
      <c r="G122" s="215">
        <f t="shared" si="6"/>
        <v>0.47499999999999998</v>
      </c>
    </row>
    <row r="123" spans="1:7" s="54" customFormat="1" ht="116">
      <c r="A123" s="9"/>
      <c r="B123" s="9"/>
      <c r="C123"/>
      <c r="E123" s="235" t="s">
        <v>2524</v>
      </c>
      <c r="F123" s="235" t="s">
        <v>2524</v>
      </c>
      <c r="G123"/>
    </row>
    <row r="124" spans="1:7" s="54" customFormat="1">
      <c r="A124" s="9"/>
      <c r="B124" s="9"/>
      <c r="C124"/>
    </row>
    <row r="125" spans="1:7" s="54" customFormat="1">
      <c r="A125" s="9"/>
      <c r="B125" s="9"/>
      <c r="C125"/>
    </row>
    <row r="126" spans="1:7" s="54" customFormat="1">
      <c r="A126" s="9"/>
      <c r="B126" s="9"/>
      <c r="C126"/>
    </row>
    <row r="130" spans="1:3" s="588" customFormat="1" ht="18.5">
      <c r="A130" s="587" t="s">
        <v>3030</v>
      </c>
    </row>
    <row r="131" spans="1:3" ht="18.5">
      <c r="A131" s="31"/>
    </row>
    <row r="133" spans="1:3">
      <c r="A133" s="9" t="s">
        <v>10</v>
      </c>
      <c r="B133" s="9" t="s">
        <v>2532</v>
      </c>
    </row>
    <row r="134" spans="1:3">
      <c r="B134" s="152" t="s">
        <v>96</v>
      </c>
    </row>
    <row r="135" spans="1:3">
      <c r="B135" s="152"/>
    </row>
    <row r="137" spans="1:3">
      <c r="B137" s="7" t="s">
        <v>2505</v>
      </c>
      <c r="C137" s="7" t="s">
        <v>2532</v>
      </c>
    </row>
    <row r="138" spans="1:3">
      <c r="B138" s="6" t="s">
        <v>27</v>
      </c>
      <c r="C138" s="50">
        <v>0.4</v>
      </c>
    </row>
    <row r="139" spans="1:3">
      <c r="B139" s="6" t="s">
        <v>28</v>
      </c>
      <c r="C139" s="50">
        <v>0.5</v>
      </c>
    </row>
    <row r="140" spans="1:3">
      <c r="B140" s="6" t="s">
        <v>30</v>
      </c>
      <c r="C140" s="50">
        <v>0.52</v>
      </c>
    </row>
    <row r="143" spans="1:3">
      <c r="A143" t="s">
        <v>10</v>
      </c>
      <c r="B143" s="9" t="s">
        <v>202</v>
      </c>
    </row>
    <row r="144" spans="1:3">
      <c r="B144" s="152" t="s">
        <v>200</v>
      </c>
    </row>
    <row r="145" spans="2:3">
      <c r="B145" s="152"/>
    </row>
    <row r="146" spans="2:3">
      <c r="B146" s="29"/>
    </row>
    <row r="147" spans="2:3" ht="43.5">
      <c r="C147" s="32" t="s">
        <v>198</v>
      </c>
    </row>
    <row r="148" spans="2:3">
      <c r="B148" s="36" t="s">
        <v>186</v>
      </c>
      <c r="C148" s="123">
        <v>3.0000000000000001E-3</v>
      </c>
    </row>
    <row r="149" spans="2:3">
      <c r="B149" s="36" t="s">
        <v>187</v>
      </c>
      <c r="C149" s="123">
        <v>1.7999999999999999E-2</v>
      </c>
    </row>
    <row r="150" spans="2:3">
      <c r="B150" s="36" t="s">
        <v>188</v>
      </c>
      <c r="C150" s="123">
        <v>2.7E-2</v>
      </c>
    </row>
    <row r="151" spans="2:3">
      <c r="B151" s="36" t="s">
        <v>189</v>
      </c>
      <c r="C151" s="123">
        <v>4.4999999999999998E-2</v>
      </c>
    </row>
    <row r="152" spans="2:3">
      <c r="B152" s="36" t="s">
        <v>190</v>
      </c>
      <c r="C152" s="123">
        <v>5.5E-2</v>
      </c>
    </row>
    <row r="153" spans="2:3">
      <c r="B153" s="36" t="s">
        <v>191</v>
      </c>
      <c r="C153" s="123">
        <v>0.09</v>
      </c>
    </row>
    <row r="154" spans="2:3">
      <c r="B154" s="36" t="s">
        <v>192</v>
      </c>
      <c r="C154" s="123">
        <v>0.124</v>
      </c>
    </row>
    <row r="155" spans="2:3">
      <c r="B155" s="36" t="s">
        <v>193</v>
      </c>
      <c r="C155" s="123">
        <v>0.23200000000000001</v>
      </c>
    </row>
    <row r="156" spans="2:3">
      <c r="B156" s="36" t="s">
        <v>194</v>
      </c>
      <c r="C156" s="123">
        <v>0.28299999999999997</v>
      </c>
    </row>
    <row r="157" spans="2:3">
      <c r="B157" s="36" t="s">
        <v>195</v>
      </c>
      <c r="C157" s="123">
        <v>0.1</v>
      </c>
    </row>
    <row r="158" spans="2:3">
      <c r="B158" s="36" t="s">
        <v>196</v>
      </c>
      <c r="C158" s="123">
        <v>4.0000000000000001E-3</v>
      </c>
    </row>
    <row r="159" spans="2:3">
      <c r="B159" s="36" t="s">
        <v>197</v>
      </c>
      <c r="C159" s="123">
        <v>1.9E-2</v>
      </c>
    </row>
  </sheetData>
  <phoneticPr fontId="1" type="noConversion"/>
  <dataValidations disablePrompts="1" count="1">
    <dataValidation type="list" allowBlank="1" showInputMessage="1" showErrorMessage="1" sqref="B116" xr:uid="{00000000-0002-0000-2400-000000000000}">
      <formula1>$E$118:$G$118</formula1>
    </dataValidation>
  </dataValidations>
  <pageMargins left="0.7" right="0.7" top="0.75" bottom="0.75" header="0.3" footer="0.3"/>
  <pageSetup paperSize="9" orientation="portrait"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8">
    <tabColor rgb="FFBC8FDD"/>
    <pageSetUpPr autoPageBreaks="0"/>
  </sheetPr>
  <dimension ref="A1:BT254"/>
  <sheetViews>
    <sheetView topLeftCell="V241" workbookViewId="0">
      <selection activeCell="V252" sqref="V252"/>
    </sheetView>
  </sheetViews>
  <sheetFormatPr defaultRowHeight="14.5"/>
  <cols>
    <col min="1" max="1" width="4.36328125" customWidth="1"/>
    <col min="2" max="2" width="13.36328125" customWidth="1"/>
    <col min="3" max="3" width="13.6328125" customWidth="1"/>
    <col min="4" max="21" width="12" customWidth="1"/>
    <col min="22" max="24" width="12.36328125" customWidth="1"/>
    <col min="25" max="50" width="11.54296875" customWidth="1"/>
    <col min="51" max="72" width="11.36328125" bestFit="1" customWidth="1"/>
  </cols>
  <sheetData>
    <row r="1" spans="1:21" s="588" customFormat="1" ht="18.5">
      <c r="A1" s="587" t="s">
        <v>3279</v>
      </c>
    </row>
    <row r="2" spans="1:21" s="588" customFormat="1">
      <c r="A2" s="588" t="s">
        <v>3280</v>
      </c>
    </row>
    <row r="3" spans="1:21" s="781" customFormat="1"/>
    <row r="4" spans="1:21" s="3" customFormat="1"/>
    <row r="5" spans="1:21" s="3" customFormat="1"/>
    <row r="7" spans="1:21" s="588" customFormat="1" ht="21">
      <c r="A7" s="592" t="s">
        <v>84</v>
      </c>
    </row>
    <row r="9" spans="1:21">
      <c r="A9" s="9" t="s">
        <v>10</v>
      </c>
      <c r="B9" s="9" t="s">
        <v>3676</v>
      </c>
    </row>
    <row r="10" spans="1:21">
      <c r="B10" s="152" t="s">
        <v>3691</v>
      </c>
    </row>
    <row r="11" spans="1:21">
      <c r="B11" s="152" t="s">
        <v>90</v>
      </c>
    </row>
    <row r="13" spans="1:21">
      <c r="B13" t="s">
        <v>40</v>
      </c>
      <c r="C13" s="32">
        <v>2001</v>
      </c>
      <c r="D13" s="32">
        <v>2002</v>
      </c>
      <c r="E13" s="32">
        <v>2003</v>
      </c>
      <c r="F13" s="32">
        <v>2004</v>
      </c>
      <c r="G13" s="32">
        <v>2005</v>
      </c>
      <c r="H13" s="32">
        <v>2006</v>
      </c>
      <c r="I13" s="32">
        <v>2007</v>
      </c>
      <c r="J13" s="32">
        <v>2008</v>
      </c>
      <c r="K13" s="32">
        <v>2009</v>
      </c>
      <c r="L13" s="32">
        <v>2010</v>
      </c>
      <c r="M13" s="32">
        <v>2011</v>
      </c>
      <c r="N13" s="32">
        <v>2012</v>
      </c>
      <c r="O13" s="32">
        <v>2013</v>
      </c>
      <c r="P13" s="32">
        <v>2014</v>
      </c>
      <c r="Q13" s="32">
        <v>2015</v>
      </c>
      <c r="R13" s="32">
        <v>2016</v>
      </c>
      <c r="S13" s="32">
        <v>2017</v>
      </c>
      <c r="T13" s="32">
        <v>2018</v>
      </c>
      <c r="U13" s="32">
        <v>2019</v>
      </c>
    </row>
    <row r="14" spans="1:21">
      <c r="B14" s="6">
        <v>0</v>
      </c>
      <c r="C14" s="21">
        <v>557502</v>
      </c>
      <c r="D14" s="21">
        <v>559072</v>
      </c>
      <c r="E14" s="21">
        <v>575898</v>
      </c>
      <c r="F14" s="21">
        <v>597087</v>
      </c>
      <c r="G14" s="21">
        <v>606776</v>
      </c>
      <c r="H14" s="21">
        <v>622805</v>
      </c>
      <c r="I14" s="21">
        <v>642603</v>
      </c>
      <c r="J14" s="21">
        <v>667840</v>
      </c>
      <c r="K14" s="21">
        <v>662806</v>
      </c>
      <c r="L14" s="21">
        <v>672051</v>
      </c>
      <c r="M14" s="21">
        <v>679102</v>
      </c>
      <c r="N14" s="21">
        <v>696441</v>
      </c>
      <c r="O14" s="21">
        <v>676531</v>
      </c>
      <c r="P14" s="21">
        <v>664183</v>
      </c>
      <c r="Q14" s="21">
        <v>662977</v>
      </c>
      <c r="R14" s="21">
        <v>669103</v>
      </c>
      <c r="S14" s="21">
        <v>653467</v>
      </c>
      <c r="T14" s="21">
        <v>637834</v>
      </c>
      <c r="U14" s="21">
        <v>618858</v>
      </c>
    </row>
    <row r="15" spans="1:21">
      <c r="B15" s="6">
        <v>1</v>
      </c>
      <c r="C15" s="21">
        <v>572104</v>
      </c>
      <c r="D15" s="21">
        <v>559188</v>
      </c>
      <c r="E15" s="21">
        <v>559670</v>
      </c>
      <c r="F15" s="21">
        <v>575093</v>
      </c>
      <c r="G15" s="21">
        <v>596809</v>
      </c>
      <c r="H15" s="21">
        <v>606029</v>
      </c>
      <c r="I15" s="21">
        <v>625519</v>
      </c>
      <c r="J15" s="21">
        <v>642968</v>
      </c>
      <c r="K15" s="21">
        <v>667271</v>
      </c>
      <c r="L15" s="21">
        <v>661491</v>
      </c>
      <c r="M15" s="21">
        <v>669858</v>
      </c>
      <c r="N15" s="21">
        <v>684026</v>
      </c>
      <c r="O15" s="21">
        <v>701281</v>
      </c>
      <c r="P15" s="21">
        <v>682703</v>
      </c>
      <c r="Q15" s="21">
        <v>670993</v>
      </c>
      <c r="R15" s="21">
        <v>669817</v>
      </c>
      <c r="S15" s="21">
        <v>674807</v>
      </c>
      <c r="T15" s="21">
        <v>659890</v>
      </c>
      <c r="U15" s="21">
        <v>644056</v>
      </c>
    </row>
    <row r="16" spans="1:21">
      <c r="B16" s="6">
        <v>2</v>
      </c>
      <c r="C16" s="21">
        <v>586546</v>
      </c>
      <c r="D16" s="21">
        <v>574416</v>
      </c>
      <c r="E16" s="21">
        <v>561672</v>
      </c>
      <c r="F16" s="21">
        <v>560054</v>
      </c>
      <c r="G16" s="21">
        <v>575954</v>
      </c>
      <c r="H16" s="21">
        <v>596170</v>
      </c>
      <c r="I16" s="21">
        <v>606917</v>
      </c>
      <c r="J16" s="21">
        <v>628030</v>
      </c>
      <c r="K16" s="21">
        <v>643986</v>
      </c>
      <c r="L16" s="21">
        <v>667806</v>
      </c>
      <c r="M16" s="21">
        <v>661891</v>
      </c>
      <c r="N16" s="21">
        <v>674386</v>
      </c>
      <c r="O16" s="21">
        <v>688777</v>
      </c>
      <c r="P16" s="21">
        <v>707024</v>
      </c>
      <c r="Q16" s="21">
        <v>688932</v>
      </c>
      <c r="R16" s="21">
        <v>677469</v>
      </c>
      <c r="S16" s="21">
        <v>675045</v>
      </c>
      <c r="T16" s="21">
        <v>681032</v>
      </c>
      <c r="U16" s="21">
        <v>665596</v>
      </c>
    </row>
    <row r="17" spans="2:21">
      <c r="B17" s="6">
        <v>3</v>
      </c>
      <c r="C17" s="21">
        <v>596281</v>
      </c>
      <c r="D17" s="21">
        <v>589440</v>
      </c>
      <c r="E17" s="21">
        <v>577061</v>
      </c>
      <c r="F17" s="21">
        <v>563931</v>
      </c>
      <c r="G17" s="21">
        <v>561503</v>
      </c>
      <c r="H17" s="21">
        <v>576028</v>
      </c>
      <c r="I17" s="21">
        <v>596871</v>
      </c>
      <c r="J17" s="21">
        <v>607109</v>
      </c>
      <c r="K17" s="21">
        <v>630621</v>
      </c>
      <c r="L17" s="21">
        <v>645584</v>
      </c>
      <c r="M17" s="21">
        <v>669484</v>
      </c>
      <c r="N17" s="21">
        <v>665744</v>
      </c>
      <c r="O17" s="21">
        <v>678113</v>
      </c>
      <c r="P17" s="21">
        <v>694107</v>
      </c>
      <c r="Q17" s="21">
        <v>712587</v>
      </c>
      <c r="R17" s="21">
        <v>694761</v>
      </c>
      <c r="S17" s="21">
        <v>682356</v>
      </c>
      <c r="T17" s="21">
        <v>680758</v>
      </c>
      <c r="U17" s="21">
        <v>686135</v>
      </c>
    </row>
    <row r="18" spans="2:21">
      <c r="B18" s="6">
        <v>4</v>
      </c>
      <c r="C18" s="21">
        <v>611406</v>
      </c>
      <c r="D18" s="21">
        <v>599405</v>
      </c>
      <c r="E18" s="21">
        <v>592909</v>
      </c>
      <c r="F18" s="21">
        <v>579825</v>
      </c>
      <c r="G18" s="21">
        <v>566945</v>
      </c>
      <c r="H18" s="21">
        <v>562083</v>
      </c>
      <c r="I18" s="21">
        <v>577110</v>
      </c>
      <c r="J18" s="21">
        <v>596758</v>
      </c>
      <c r="K18" s="21">
        <v>607221</v>
      </c>
      <c r="L18" s="21">
        <v>633562</v>
      </c>
      <c r="M18" s="21">
        <v>648411</v>
      </c>
      <c r="N18" s="21">
        <v>672759</v>
      </c>
      <c r="O18" s="21">
        <v>669428</v>
      </c>
      <c r="P18" s="21">
        <v>682940</v>
      </c>
      <c r="Q18" s="21">
        <v>699191</v>
      </c>
      <c r="R18" s="21">
        <v>717896</v>
      </c>
      <c r="S18" s="21">
        <v>699250</v>
      </c>
      <c r="T18" s="21">
        <v>687213</v>
      </c>
      <c r="U18" s="21">
        <v>684992</v>
      </c>
    </row>
    <row r="19" spans="2:21">
      <c r="B19" s="6">
        <v>5</v>
      </c>
      <c r="C19" s="21">
        <v>607008</v>
      </c>
      <c r="D19" s="21">
        <v>614820</v>
      </c>
      <c r="E19" s="21">
        <v>603012</v>
      </c>
      <c r="F19" s="21">
        <v>596528</v>
      </c>
      <c r="G19" s="21">
        <v>581227</v>
      </c>
      <c r="H19" s="21">
        <v>568461</v>
      </c>
      <c r="I19" s="21">
        <v>563399</v>
      </c>
      <c r="J19" s="21">
        <v>577429</v>
      </c>
      <c r="K19" s="21">
        <v>597452</v>
      </c>
      <c r="L19" s="21">
        <v>608246</v>
      </c>
      <c r="M19" s="21">
        <v>635925</v>
      </c>
      <c r="N19" s="21">
        <v>651473</v>
      </c>
      <c r="O19" s="21">
        <v>676035</v>
      </c>
      <c r="P19" s="21">
        <v>673956</v>
      </c>
      <c r="Q19" s="21">
        <v>687611</v>
      </c>
      <c r="R19" s="21">
        <v>703755</v>
      </c>
      <c r="S19" s="21">
        <v>721708</v>
      </c>
      <c r="T19" s="21">
        <v>703391</v>
      </c>
      <c r="U19" s="21">
        <v>691122</v>
      </c>
    </row>
    <row r="20" spans="2:21">
      <c r="B20" s="6">
        <v>6</v>
      </c>
      <c r="C20" s="21">
        <v>608881</v>
      </c>
      <c r="D20" s="21">
        <v>610238</v>
      </c>
      <c r="E20" s="21">
        <v>618423</v>
      </c>
      <c r="F20" s="21">
        <v>606000</v>
      </c>
      <c r="G20" s="21">
        <v>598226</v>
      </c>
      <c r="H20" s="21">
        <v>582924</v>
      </c>
      <c r="I20" s="21">
        <v>571289</v>
      </c>
      <c r="J20" s="21">
        <v>564338</v>
      </c>
      <c r="K20" s="21">
        <v>578513</v>
      </c>
      <c r="L20" s="21">
        <v>598113</v>
      </c>
      <c r="M20" s="21">
        <v>608280</v>
      </c>
      <c r="N20" s="21">
        <v>638419</v>
      </c>
      <c r="O20" s="21">
        <v>654334</v>
      </c>
      <c r="P20" s="21">
        <v>679645</v>
      </c>
      <c r="Q20" s="21">
        <v>677724</v>
      </c>
      <c r="R20" s="21">
        <v>691506</v>
      </c>
      <c r="S20" s="21">
        <v>707075</v>
      </c>
      <c r="T20" s="21">
        <v>725210</v>
      </c>
      <c r="U20" s="21">
        <v>706742</v>
      </c>
    </row>
    <row r="21" spans="2:21">
      <c r="B21" s="6">
        <v>7</v>
      </c>
      <c r="C21" s="21">
        <v>623653</v>
      </c>
      <c r="D21" s="21">
        <v>611499</v>
      </c>
      <c r="E21" s="21">
        <v>614219</v>
      </c>
      <c r="F21" s="21">
        <v>621878</v>
      </c>
      <c r="G21" s="21">
        <v>607633</v>
      </c>
      <c r="H21" s="21">
        <v>600295</v>
      </c>
      <c r="I21" s="21">
        <v>586109</v>
      </c>
      <c r="J21" s="21">
        <v>574056</v>
      </c>
      <c r="K21" s="21">
        <v>566002</v>
      </c>
      <c r="L21" s="21">
        <v>579655</v>
      </c>
      <c r="M21" s="21">
        <v>597679</v>
      </c>
      <c r="N21" s="21">
        <v>610955</v>
      </c>
      <c r="O21" s="21">
        <v>641065</v>
      </c>
      <c r="P21" s="21">
        <v>657784</v>
      </c>
      <c r="Q21" s="21">
        <v>683397</v>
      </c>
      <c r="R21" s="21">
        <v>681478</v>
      </c>
      <c r="S21" s="21">
        <v>694480</v>
      </c>
      <c r="T21" s="21">
        <v>710174</v>
      </c>
      <c r="U21" s="21">
        <v>727938</v>
      </c>
    </row>
    <row r="22" spans="2:21">
      <c r="B22" s="6">
        <v>8</v>
      </c>
      <c r="C22" s="21">
        <v>630796</v>
      </c>
      <c r="D22" s="21">
        <v>626939</v>
      </c>
      <c r="E22" s="21">
        <v>614737</v>
      </c>
      <c r="F22" s="21">
        <v>617893</v>
      </c>
      <c r="G22" s="21">
        <v>623497</v>
      </c>
      <c r="H22" s="21">
        <v>609683</v>
      </c>
      <c r="I22" s="21">
        <v>603863</v>
      </c>
      <c r="J22" s="21">
        <v>589158</v>
      </c>
      <c r="K22" s="21">
        <v>577340</v>
      </c>
      <c r="L22" s="21">
        <v>567722</v>
      </c>
      <c r="M22" s="21">
        <v>579791</v>
      </c>
      <c r="N22" s="21">
        <v>600238</v>
      </c>
      <c r="O22" s="21">
        <v>613614</v>
      </c>
      <c r="P22" s="21">
        <v>644277</v>
      </c>
      <c r="Q22" s="21">
        <v>661182</v>
      </c>
      <c r="R22" s="21">
        <v>686819</v>
      </c>
      <c r="S22" s="21">
        <v>684370</v>
      </c>
      <c r="T22" s="21">
        <v>697777</v>
      </c>
      <c r="U22" s="21">
        <v>712204</v>
      </c>
    </row>
    <row r="23" spans="2:21">
      <c r="B23" s="6">
        <v>9</v>
      </c>
      <c r="C23" s="21">
        <v>650450</v>
      </c>
      <c r="D23" s="21">
        <v>632843</v>
      </c>
      <c r="E23" s="21">
        <v>630410</v>
      </c>
      <c r="F23" s="21">
        <v>617567</v>
      </c>
      <c r="G23" s="21">
        <v>620142</v>
      </c>
      <c r="H23" s="21">
        <v>625740</v>
      </c>
      <c r="I23" s="21">
        <v>612837</v>
      </c>
      <c r="J23" s="21">
        <v>607073</v>
      </c>
      <c r="K23" s="21">
        <v>592465</v>
      </c>
      <c r="L23" s="21">
        <v>580615</v>
      </c>
      <c r="M23" s="21">
        <v>568460</v>
      </c>
      <c r="N23" s="21">
        <v>582497</v>
      </c>
      <c r="O23" s="21">
        <v>602871</v>
      </c>
      <c r="P23" s="21">
        <v>616703</v>
      </c>
      <c r="Q23" s="21">
        <v>647549</v>
      </c>
      <c r="R23" s="21">
        <v>664708</v>
      </c>
      <c r="S23" s="21">
        <v>689769</v>
      </c>
      <c r="T23" s="21">
        <v>687314</v>
      </c>
      <c r="U23" s="21">
        <v>700200</v>
      </c>
    </row>
    <row r="24" spans="2:21">
      <c r="B24" s="6">
        <v>10</v>
      </c>
      <c r="C24" s="21">
        <v>660955</v>
      </c>
      <c r="D24" s="21">
        <v>652912</v>
      </c>
      <c r="E24" s="21">
        <v>635470</v>
      </c>
      <c r="F24" s="21">
        <v>632425</v>
      </c>
      <c r="G24" s="21">
        <v>620214</v>
      </c>
      <c r="H24" s="21">
        <v>623261</v>
      </c>
      <c r="I24" s="21">
        <v>629615</v>
      </c>
      <c r="J24" s="21">
        <v>615251</v>
      </c>
      <c r="K24" s="21">
        <v>610274</v>
      </c>
      <c r="L24" s="21">
        <v>596097</v>
      </c>
      <c r="M24" s="21">
        <v>583192</v>
      </c>
      <c r="N24" s="21">
        <v>571373</v>
      </c>
      <c r="O24" s="21">
        <v>585128</v>
      </c>
      <c r="P24" s="21">
        <v>605945</v>
      </c>
      <c r="Q24" s="21">
        <v>620073</v>
      </c>
      <c r="R24" s="21">
        <v>651144</v>
      </c>
      <c r="S24" s="21">
        <v>667818</v>
      </c>
      <c r="T24" s="21">
        <v>693071</v>
      </c>
      <c r="U24" s="21">
        <v>689733</v>
      </c>
    </row>
    <row r="25" spans="2:21">
      <c r="B25" s="6">
        <v>11</v>
      </c>
      <c r="C25" s="21">
        <v>650382</v>
      </c>
      <c r="D25" s="21">
        <v>663404</v>
      </c>
      <c r="E25" s="21">
        <v>655147</v>
      </c>
      <c r="F25" s="21">
        <v>636571</v>
      </c>
      <c r="G25" s="21">
        <v>635666</v>
      </c>
      <c r="H25" s="21">
        <v>622895</v>
      </c>
      <c r="I25" s="21">
        <v>627118</v>
      </c>
      <c r="J25" s="21">
        <v>632265</v>
      </c>
      <c r="K25" s="21">
        <v>618336</v>
      </c>
      <c r="L25" s="21">
        <v>614236</v>
      </c>
      <c r="M25" s="21">
        <v>599021</v>
      </c>
      <c r="N25" s="21">
        <v>586219</v>
      </c>
      <c r="O25" s="21">
        <v>574278</v>
      </c>
      <c r="P25" s="21">
        <v>588343</v>
      </c>
      <c r="Q25" s="21">
        <v>609790</v>
      </c>
      <c r="R25" s="21">
        <v>623877</v>
      </c>
      <c r="S25" s="21">
        <v>654366</v>
      </c>
      <c r="T25" s="21">
        <v>671108</v>
      </c>
      <c r="U25" s="21">
        <v>695753</v>
      </c>
    </row>
    <row r="26" spans="2:21">
      <c r="B26" s="6">
        <v>12</v>
      </c>
      <c r="C26" s="21">
        <v>642727</v>
      </c>
      <c r="D26" s="21">
        <v>650721</v>
      </c>
      <c r="E26" s="21">
        <v>665542</v>
      </c>
      <c r="F26" s="21">
        <v>655097</v>
      </c>
      <c r="G26" s="21">
        <v>638363</v>
      </c>
      <c r="H26" s="21">
        <v>638428</v>
      </c>
      <c r="I26" s="21">
        <v>626071</v>
      </c>
      <c r="J26" s="21">
        <v>629903</v>
      </c>
      <c r="K26" s="21">
        <v>635554</v>
      </c>
      <c r="L26" s="21">
        <v>622005</v>
      </c>
      <c r="M26" s="21">
        <v>617326</v>
      </c>
      <c r="N26" s="21">
        <v>601871</v>
      </c>
      <c r="O26" s="21">
        <v>589178</v>
      </c>
      <c r="P26" s="21">
        <v>577811</v>
      </c>
      <c r="Q26" s="21">
        <v>592130</v>
      </c>
      <c r="R26" s="21">
        <v>613777</v>
      </c>
      <c r="S26" s="21">
        <v>627407</v>
      </c>
      <c r="T26" s="21">
        <v>658113</v>
      </c>
      <c r="U26" s="21">
        <v>673789</v>
      </c>
    </row>
    <row r="27" spans="2:21">
      <c r="B27" s="6">
        <v>13</v>
      </c>
      <c r="C27" s="21">
        <v>650171</v>
      </c>
      <c r="D27" s="21">
        <v>642301</v>
      </c>
      <c r="E27" s="21">
        <v>651555</v>
      </c>
      <c r="F27" s="21">
        <v>665401</v>
      </c>
      <c r="G27" s="21">
        <v>656325</v>
      </c>
      <c r="H27" s="21">
        <v>640160</v>
      </c>
      <c r="I27" s="21">
        <v>642238</v>
      </c>
      <c r="J27" s="21">
        <v>628463</v>
      </c>
      <c r="K27" s="21">
        <v>633426</v>
      </c>
      <c r="L27" s="21">
        <v>639481</v>
      </c>
      <c r="M27" s="21">
        <v>625128</v>
      </c>
      <c r="N27" s="21">
        <v>620278</v>
      </c>
      <c r="O27" s="21">
        <v>604563</v>
      </c>
      <c r="P27" s="21">
        <v>592716</v>
      </c>
      <c r="Q27" s="21">
        <v>581609</v>
      </c>
      <c r="R27" s="21">
        <v>595930</v>
      </c>
      <c r="S27" s="21">
        <v>616975</v>
      </c>
      <c r="T27" s="21">
        <v>630959</v>
      </c>
      <c r="U27" s="21">
        <v>660928</v>
      </c>
    </row>
    <row r="28" spans="2:21">
      <c r="B28" s="6">
        <v>14</v>
      </c>
      <c r="C28" s="21">
        <v>633826</v>
      </c>
      <c r="D28" s="21">
        <v>648646</v>
      </c>
      <c r="E28" s="21">
        <v>642784</v>
      </c>
      <c r="F28" s="21">
        <v>649740</v>
      </c>
      <c r="G28" s="21">
        <v>666445</v>
      </c>
      <c r="H28" s="21">
        <v>657231</v>
      </c>
      <c r="I28" s="21">
        <v>642426</v>
      </c>
      <c r="J28" s="21">
        <v>644860</v>
      </c>
      <c r="K28" s="21">
        <v>631249</v>
      </c>
      <c r="L28" s="21">
        <v>637420</v>
      </c>
      <c r="M28" s="21">
        <v>642744</v>
      </c>
      <c r="N28" s="21">
        <v>628130</v>
      </c>
      <c r="O28" s="21">
        <v>623246</v>
      </c>
      <c r="P28" s="21">
        <v>608240</v>
      </c>
      <c r="Q28" s="21">
        <v>596693</v>
      </c>
      <c r="R28" s="21">
        <v>585526</v>
      </c>
      <c r="S28" s="21">
        <v>599472</v>
      </c>
      <c r="T28" s="21">
        <v>620868</v>
      </c>
      <c r="U28" s="21">
        <v>634043</v>
      </c>
    </row>
    <row r="29" spans="2:21">
      <c r="B29" s="6">
        <v>15</v>
      </c>
      <c r="C29" s="21">
        <v>625706</v>
      </c>
      <c r="D29" s="21">
        <v>632470</v>
      </c>
      <c r="E29" s="21">
        <v>650495</v>
      </c>
      <c r="F29" s="21">
        <v>644054</v>
      </c>
      <c r="G29" s="21">
        <v>652454</v>
      </c>
      <c r="H29" s="21">
        <v>670744</v>
      </c>
      <c r="I29" s="21">
        <v>661568</v>
      </c>
      <c r="J29" s="21">
        <v>647366</v>
      </c>
      <c r="K29" s="21">
        <v>651381</v>
      </c>
      <c r="L29" s="21">
        <v>636708</v>
      </c>
      <c r="M29" s="21">
        <v>643838</v>
      </c>
      <c r="N29" s="21">
        <v>645417</v>
      </c>
      <c r="O29" s="21">
        <v>630796</v>
      </c>
      <c r="P29" s="21">
        <v>627179</v>
      </c>
      <c r="Q29" s="21">
        <v>612676</v>
      </c>
      <c r="R29" s="21">
        <v>601534</v>
      </c>
      <c r="S29" s="21">
        <v>589606</v>
      </c>
      <c r="T29" s="21">
        <v>603746</v>
      </c>
      <c r="U29" s="21">
        <v>624590</v>
      </c>
    </row>
    <row r="30" spans="2:21">
      <c r="B30" s="6">
        <v>16</v>
      </c>
      <c r="C30" s="21">
        <v>629729</v>
      </c>
      <c r="D30" s="21">
        <v>626288</v>
      </c>
      <c r="E30" s="21">
        <v>634417</v>
      </c>
      <c r="F30" s="21">
        <v>652594</v>
      </c>
      <c r="G30" s="21">
        <v>647480</v>
      </c>
      <c r="H30" s="21">
        <v>655753</v>
      </c>
      <c r="I30" s="21">
        <v>676298</v>
      </c>
      <c r="J30" s="21">
        <v>667013</v>
      </c>
      <c r="K30" s="21">
        <v>653819</v>
      </c>
      <c r="L30" s="21">
        <v>658326</v>
      </c>
      <c r="M30" s="21">
        <v>643625</v>
      </c>
      <c r="N30" s="21">
        <v>646317</v>
      </c>
      <c r="O30" s="21">
        <v>647865</v>
      </c>
      <c r="P30" s="21">
        <v>634876</v>
      </c>
      <c r="Q30" s="21">
        <v>631635</v>
      </c>
      <c r="R30" s="21">
        <v>617703</v>
      </c>
      <c r="S30" s="21">
        <v>605724</v>
      </c>
      <c r="T30" s="21">
        <v>593955</v>
      </c>
      <c r="U30" s="21">
        <v>607496</v>
      </c>
    </row>
    <row r="31" spans="2:21">
      <c r="B31" s="6">
        <v>17</v>
      </c>
      <c r="C31" s="21">
        <v>607690</v>
      </c>
      <c r="D31" s="21">
        <v>630897</v>
      </c>
      <c r="E31" s="21">
        <v>630318</v>
      </c>
      <c r="F31" s="21">
        <v>636158</v>
      </c>
      <c r="G31" s="21">
        <v>655938</v>
      </c>
      <c r="H31" s="21">
        <v>651137</v>
      </c>
      <c r="I31" s="21">
        <v>660933</v>
      </c>
      <c r="J31" s="21">
        <v>682497</v>
      </c>
      <c r="K31" s="21">
        <v>673880</v>
      </c>
      <c r="L31" s="21">
        <v>660308</v>
      </c>
      <c r="M31" s="21">
        <v>666996</v>
      </c>
      <c r="N31" s="21">
        <v>646767</v>
      </c>
      <c r="O31" s="21">
        <v>649348</v>
      </c>
      <c r="P31" s="21">
        <v>653269</v>
      </c>
      <c r="Q31" s="21">
        <v>641107</v>
      </c>
      <c r="R31" s="21">
        <v>638474</v>
      </c>
      <c r="S31" s="21">
        <v>623262</v>
      </c>
      <c r="T31" s="21">
        <v>612205</v>
      </c>
      <c r="U31" s="21">
        <v>599393</v>
      </c>
    </row>
    <row r="32" spans="2:21">
      <c r="B32" s="6">
        <v>18</v>
      </c>
      <c r="C32" s="21">
        <v>593746</v>
      </c>
      <c r="D32" s="21">
        <v>611942</v>
      </c>
      <c r="E32" s="21">
        <v>637983</v>
      </c>
      <c r="F32" s="21">
        <v>636682</v>
      </c>
      <c r="G32" s="21">
        <v>642597</v>
      </c>
      <c r="H32" s="21">
        <v>661906</v>
      </c>
      <c r="I32" s="21">
        <v>659283</v>
      </c>
      <c r="J32" s="21">
        <v>669058</v>
      </c>
      <c r="K32" s="21">
        <v>693106</v>
      </c>
      <c r="L32" s="21">
        <v>682632</v>
      </c>
      <c r="M32" s="21">
        <v>671694</v>
      </c>
      <c r="N32" s="21">
        <v>670895</v>
      </c>
      <c r="O32" s="21">
        <v>650210</v>
      </c>
      <c r="P32" s="21">
        <v>655753</v>
      </c>
      <c r="Q32" s="21">
        <v>661031</v>
      </c>
      <c r="R32" s="21">
        <v>648918</v>
      </c>
      <c r="S32" s="21">
        <v>645133</v>
      </c>
      <c r="T32" s="21">
        <v>630236</v>
      </c>
      <c r="U32" s="21">
        <v>618873</v>
      </c>
    </row>
    <row r="33" spans="2:21">
      <c r="B33" s="6">
        <v>19</v>
      </c>
      <c r="C33" s="21">
        <v>588129</v>
      </c>
      <c r="D33" s="21">
        <v>602402</v>
      </c>
      <c r="E33" s="21">
        <v>622459</v>
      </c>
      <c r="F33" s="21">
        <v>649084</v>
      </c>
      <c r="G33" s="21">
        <v>649820</v>
      </c>
      <c r="H33" s="21">
        <v>651489</v>
      </c>
      <c r="I33" s="21">
        <v>674484</v>
      </c>
      <c r="J33" s="21">
        <v>671235</v>
      </c>
      <c r="K33" s="21">
        <v>682829</v>
      </c>
      <c r="L33" s="21">
        <v>705157</v>
      </c>
      <c r="M33" s="21">
        <v>698117</v>
      </c>
      <c r="N33" s="21">
        <v>676910</v>
      </c>
      <c r="O33" s="21">
        <v>676533</v>
      </c>
      <c r="P33" s="21">
        <v>659877</v>
      </c>
      <c r="Q33" s="21">
        <v>666840</v>
      </c>
      <c r="R33" s="21">
        <v>672781</v>
      </c>
      <c r="S33" s="21">
        <v>657005</v>
      </c>
      <c r="T33" s="21">
        <v>656433</v>
      </c>
      <c r="U33" s="21">
        <v>639880</v>
      </c>
    </row>
    <row r="34" spans="2:21">
      <c r="B34" s="6">
        <v>20</v>
      </c>
      <c r="C34" s="21">
        <v>612518</v>
      </c>
      <c r="D34" s="21">
        <v>596031</v>
      </c>
      <c r="E34" s="21">
        <v>608883</v>
      </c>
      <c r="F34" s="21">
        <v>630928</v>
      </c>
      <c r="G34" s="21">
        <v>660529</v>
      </c>
      <c r="H34" s="21">
        <v>660461</v>
      </c>
      <c r="I34" s="21">
        <v>661604</v>
      </c>
      <c r="J34" s="21">
        <v>682677</v>
      </c>
      <c r="K34" s="21">
        <v>675117</v>
      </c>
      <c r="L34" s="21">
        <v>695081</v>
      </c>
      <c r="M34" s="21">
        <v>719878</v>
      </c>
      <c r="N34" s="21">
        <v>705163</v>
      </c>
      <c r="O34" s="21">
        <v>685020</v>
      </c>
      <c r="P34" s="21">
        <v>688589</v>
      </c>
      <c r="Q34" s="21">
        <v>673761</v>
      </c>
      <c r="R34" s="21">
        <v>680387</v>
      </c>
      <c r="S34" s="21">
        <v>683225</v>
      </c>
      <c r="T34" s="21">
        <v>669694</v>
      </c>
      <c r="U34" s="21">
        <v>668129</v>
      </c>
    </row>
    <row r="35" spans="2:21">
      <c r="B35" s="6">
        <v>21</v>
      </c>
      <c r="C35" s="21">
        <v>616613</v>
      </c>
      <c r="D35" s="21">
        <v>623727</v>
      </c>
      <c r="E35" s="21">
        <v>607081</v>
      </c>
      <c r="F35" s="21">
        <v>624523</v>
      </c>
      <c r="G35" s="21">
        <v>648643</v>
      </c>
      <c r="H35" s="21">
        <v>676690</v>
      </c>
      <c r="I35" s="21">
        <v>676793</v>
      </c>
      <c r="J35" s="21">
        <v>673354</v>
      </c>
      <c r="K35" s="21">
        <v>689349</v>
      </c>
      <c r="L35" s="21">
        <v>691930</v>
      </c>
      <c r="M35" s="21">
        <v>713864</v>
      </c>
      <c r="N35" s="21">
        <v>728804</v>
      </c>
      <c r="O35" s="21">
        <v>712611</v>
      </c>
      <c r="P35" s="21">
        <v>696363</v>
      </c>
      <c r="Q35" s="21">
        <v>701685</v>
      </c>
      <c r="R35" s="21">
        <v>685748</v>
      </c>
      <c r="S35" s="21">
        <v>689511</v>
      </c>
      <c r="T35" s="21">
        <v>694390</v>
      </c>
      <c r="U35" s="21">
        <v>679576</v>
      </c>
    </row>
    <row r="36" spans="2:21">
      <c r="B36" s="6">
        <v>22</v>
      </c>
      <c r="C36" s="21">
        <v>599160</v>
      </c>
      <c r="D36" s="21">
        <v>631273</v>
      </c>
      <c r="E36" s="21">
        <v>636193</v>
      </c>
      <c r="F36" s="21">
        <v>627661</v>
      </c>
      <c r="G36" s="21">
        <v>649227</v>
      </c>
      <c r="H36" s="21">
        <v>669005</v>
      </c>
      <c r="I36" s="21">
        <v>696334</v>
      </c>
      <c r="J36" s="21">
        <v>692690</v>
      </c>
      <c r="K36" s="21">
        <v>680751</v>
      </c>
      <c r="L36" s="21">
        <v>709439</v>
      </c>
      <c r="M36" s="21">
        <v>714692</v>
      </c>
      <c r="N36" s="21">
        <v>725244</v>
      </c>
      <c r="O36" s="21">
        <v>738885</v>
      </c>
      <c r="P36" s="21">
        <v>725657</v>
      </c>
      <c r="Q36" s="21">
        <v>712095</v>
      </c>
      <c r="R36" s="21">
        <v>715536</v>
      </c>
      <c r="S36" s="21">
        <v>696484</v>
      </c>
      <c r="T36" s="21">
        <v>703885</v>
      </c>
      <c r="U36" s="21">
        <v>706968</v>
      </c>
    </row>
    <row r="37" spans="2:21">
      <c r="B37" s="6">
        <v>23</v>
      </c>
      <c r="C37" s="21">
        <v>576893</v>
      </c>
      <c r="D37" s="21">
        <v>614417</v>
      </c>
      <c r="E37" s="21">
        <v>645179</v>
      </c>
      <c r="F37" s="21">
        <v>656866</v>
      </c>
      <c r="G37" s="21">
        <v>653305</v>
      </c>
      <c r="H37" s="21">
        <v>672195</v>
      </c>
      <c r="I37" s="21">
        <v>689366</v>
      </c>
      <c r="J37" s="21">
        <v>711948</v>
      </c>
      <c r="K37" s="21">
        <v>700960</v>
      </c>
      <c r="L37" s="21">
        <v>699184</v>
      </c>
      <c r="M37" s="21">
        <v>730305</v>
      </c>
      <c r="N37" s="21">
        <v>725112</v>
      </c>
      <c r="O37" s="21">
        <v>735438</v>
      </c>
      <c r="P37" s="21">
        <v>751543</v>
      </c>
      <c r="Q37" s="21">
        <v>740862</v>
      </c>
      <c r="R37" s="21">
        <v>726123</v>
      </c>
      <c r="S37" s="21">
        <v>725250</v>
      </c>
      <c r="T37" s="21">
        <v>710202</v>
      </c>
      <c r="U37" s="21">
        <v>715442</v>
      </c>
    </row>
    <row r="38" spans="2:21">
      <c r="B38" s="6">
        <v>24</v>
      </c>
      <c r="C38" s="21">
        <v>581400</v>
      </c>
      <c r="D38" s="21">
        <v>590051</v>
      </c>
      <c r="E38" s="21">
        <v>628006</v>
      </c>
      <c r="F38" s="21">
        <v>666626</v>
      </c>
      <c r="G38" s="21">
        <v>682023</v>
      </c>
      <c r="H38" s="21">
        <v>676996</v>
      </c>
      <c r="I38" s="21">
        <v>695019</v>
      </c>
      <c r="J38" s="21">
        <v>704736</v>
      </c>
      <c r="K38" s="21">
        <v>719890</v>
      </c>
      <c r="L38" s="21">
        <v>719904</v>
      </c>
      <c r="M38" s="21">
        <v>717522</v>
      </c>
      <c r="N38" s="21">
        <v>737228</v>
      </c>
      <c r="O38" s="21">
        <v>731784</v>
      </c>
      <c r="P38" s="21">
        <v>744265</v>
      </c>
      <c r="Q38" s="21">
        <v>763854</v>
      </c>
      <c r="R38" s="21">
        <v>752162</v>
      </c>
      <c r="S38" s="21">
        <v>731671</v>
      </c>
      <c r="T38" s="21">
        <v>734483</v>
      </c>
      <c r="U38" s="21">
        <v>717748</v>
      </c>
    </row>
    <row r="39" spans="2:21">
      <c r="B39" s="6">
        <v>25</v>
      </c>
      <c r="C39" s="21">
        <v>603724</v>
      </c>
      <c r="D39" s="21">
        <v>592793</v>
      </c>
      <c r="E39" s="21">
        <v>600961</v>
      </c>
      <c r="F39" s="21">
        <v>641493</v>
      </c>
      <c r="G39" s="21">
        <v>687077</v>
      </c>
      <c r="H39" s="21">
        <v>695307</v>
      </c>
      <c r="I39" s="21">
        <v>694018</v>
      </c>
      <c r="J39" s="21">
        <v>706740</v>
      </c>
      <c r="K39" s="21">
        <v>707422</v>
      </c>
      <c r="L39" s="21">
        <v>727356</v>
      </c>
      <c r="M39" s="21">
        <v>730255</v>
      </c>
      <c r="N39" s="21">
        <v>723675</v>
      </c>
      <c r="O39" s="21">
        <v>743135</v>
      </c>
      <c r="P39" s="21">
        <v>739681</v>
      </c>
      <c r="Q39" s="21">
        <v>754595</v>
      </c>
      <c r="R39" s="21">
        <v>773554</v>
      </c>
      <c r="S39" s="21">
        <v>757328</v>
      </c>
      <c r="T39" s="21">
        <v>739076</v>
      </c>
      <c r="U39" s="21">
        <v>740656</v>
      </c>
    </row>
    <row r="40" spans="2:21">
      <c r="B40" s="6">
        <v>26</v>
      </c>
      <c r="C40" s="21">
        <v>630571</v>
      </c>
      <c r="D40" s="21">
        <v>613740</v>
      </c>
      <c r="E40" s="21">
        <v>603217</v>
      </c>
      <c r="F40" s="21">
        <v>611604</v>
      </c>
      <c r="G40" s="21">
        <v>660636</v>
      </c>
      <c r="H40" s="21">
        <v>700762</v>
      </c>
      <c r="I40" s="21">
        <v>711238</v>
      </c>
      <c r="J40" s="21">
        <v>706571</v>
      </c>
      <c r="K40" s="21">
        <v>712010</v>
      </c>
      <c r="L40" s="21">
        <v>714706</v>
      </c>
      <c r="M40" s="21">
        <v>736817</v>
      </c>
      <c r="N40" s="21">
        <v>734767</v>
      </c>
      <c r="O40" s="21">
        <v>729067</v>
      </c>
      <c r="P40" s="21">
        <v>750246</v>
      </c>
      <c r="Q40" s="21">
        <v>749216</v>
      </c>
      <c r="R40" s="21">
        <v>763613</v>
      </c>
      <c r="S40" s="21">
        <v>777368</v>
      </c>
      <c r="T40" s="21">
        <v>762933</v>
      </c>
      <c r="U40" s="21">
        <v>742735</v>
      </c>
    </row>
    <row r="41" spans="2:21">
      <c r="B41" s="6">
        <v>27</v>
      </c>
      <c r="C41" s="21">
        <v>654561</v>
      </c>
      <c r="D41" s="21">
        <v>639044</v>
      </c>
      <c r="E41" s="21">
        <v>622938</v>
      </c>
      <c r="F41" s="21">
        <v>612991</v>
      </c>
      <c r="G41" s="21">
        <v>627065</v>
      </c>
      <c r="H41" s="21">
        <v>673249</v>
      </c>
      <c r="I41" s="21">
        <v>716409</v>
      </c>
      <c r="J41" s="21">
        <v>722727</v>
      </c>
      <c r="K41" s="21">
        <v>712828</v>
      </c>
      <c r="L41" s="21">
        <v>721095</v>
      </c>
      <c r="M41" s="21">
        <v>723383</v>
      </c>
      <c r="N41" s="21">
        <v>740472</v>
      </c>
      <c r="O41" s="21">
        <v>739435</v>
      </c>
      <c r="P41" s="21">
        <v>734985</v>
      </c>
      <c r="Q41" s="21">
        <v>759356</v>
      </c>
      <c r="R41" s="21">
        <v>757456</v>
      </c>
      <c r="S41" s="21">
        <v>766804</v>
      </c>
      <c r="T41" s="21">
        <v>781262</v>
      </c>
      <c r="U41" s="21">
        <v>765411</v>
      </c>
    </row>
    <row r="42" spans="2:21">
      <c r="B42" s="6">
        <v>28</v>
      </c>
      <c r="C42" s="21">
        <v>696247</v>
      </c>
      <c r="D42" s="21">
        <v>662416</v>
      </c>
      <c r="E42" s="21">
        <v>647392</v>
      </c>
      <c r="F42" s="21">
        <v>632020</v>
      </c>
      <c r="G42" s="21">
        <v>628017</v>
      </c>
      <c r="H42" s="21">
        <v>637635</v>
      </c>
      <c r="I42" s="21">
        <v>688237</v>
      </c>
      <c r="J42" s="21">
        <v>728572</v>
      </c>
      <c r="K42" s="21">
        <v>728405</v>
      </c>
      <c r="L42" s="21">
        <v>723034</v>
      </c>
      <c r="M42" s="21">
        <v>732154</v>
      </c>
      <c r="N42" s="21">
        <v>726009</v>
      </c>
      <c r="O42" s="21">
        <v>743968</v>
      </c>
      <c r="P42" s="21">
        <v>744417</v>
      </c>
      <c r="Q42" s="21">
        <v>742544</v>
      </c>
      <c r="R42" s="21">
        <v>767042</v>
      </c>
      <c r="S42" s="21">
        <v>760183</v>
      </c>
      <c r="T42" s="21">
        <v>769510</v>
      </c>
      <c r="U42" s="21">
        <v>782363</v>
      </c>
    </row>
    <row r="43" spans="2:21">
      <c r="B43" s="6">
        <v>29</v>
      </c>
      <c r="C43" s="21">
        <v>735365</v>
      </c>
      <c r="D43" s="21">
        <v>702910</v>
      </c>
      <c r="E43" s="21">
        <v>669860</v>
      </c>
      <c r="F43" s="21">
        <v>655221</v>
      </c>
      <c r="G43" s="21">
        <v>645467</v>
      </c>
      <c r="H43" s="21">
        <v>637572</v>
      </c>
      <c r="I43" s="21">
        <v>649216</v>
      </c>
      <c r="J43" s="21">
        <v>699436</v>
      </c>
      <c r="K43" s="21">
        <v>735033</v>
      </c>
      <c r="L43" s="21">
        <v>737413</v>
      </c>
      <c r="M43" s="21">
        <v>734618</v>
      </c>
      <c r="N43" s="21">
        <v>734654</v>
      </c>
      <c r="O43" s="21">
        <v>729727</v>
      </c>
      <c r="P43" s="21">
        <v>749053</v>
      </c>
      <c r="Q43" s="21">
        <v>752257</v>
      </c>
      <c r="R43" s="21">
        <v>749922</v>
      </c>
      <c r="S43" s="21">
        <v>769941</v>
      </c>
      <c r="T43" s="21">
        <v>763143</v>
      </c>
      <c r="U43" s="21">
        <v>770244</v>
      </c>
    </row>
    <row r="44" spans="2:21">
      <c r="B44" s="6">
        <v>30</v>
      </c>
      <c r="C44" s="21">
        <v>756225</v>
      </c>
      <c r="D44" s="21">
        <v>737388</v>
      </c>
      <c r="E44" s="21">
        <v>705708</v>
      </c>
      <c r="F44" s="21">
        <v>671763</v>
      </c>
      <c r="G44" s="21">
        <v>663500</v>
      </c>
      <c r="H44" s="21">
        <v>652469</v>
      </c>
      <c r="I44" s="21">
        <v>640284</v>
      </c>
      <c r="J44" s="21">
        <v>658120</v>
      </c>
      <c r="K44" s="21">
        <v>706521</v>
      </c>
      <c r="L44" s="21">
        <v>739813</v>
      </c>
      <c r="M44" s="21">
        <v>741904</v>
      </c>
      <c r="N44" s="21">
        <v>735633</v>
      </c>
      <c r="O44" s="21">
        <v>737246</v>
      </c>
      <c r="P44" s="21">
        <v>733085</v>
      </c>
      <c r="Q44" s="21">
        <v>754383</v>
      </c>
      <c r="R44" s="21">
        <v>757634</v>
      </c>
      <c r="S44" s="21">
        <v>750908</v>
      </c>
      <c r="T44" s="21">
        <v>771626</v>
      </c>
      <c r="U44" s="21">
        <v>762666</v>
      </c>
    </row>
    <row r="45" spans="2:21">
      <c r="B45" s="6">
        <v>31</v>
      </c>
      <c r="C45" s="21">
        <v>750268</v>
      </c>
      <c r="D45" s="21">
        <v>758547</v>
      </c>
      <c r="E45" s="21">
        <v>739403</v>
      </c>
      <c r="F45" s="21">
        <v>707659</v>
      </c>
      <c r="G45" s="21">
        <v>678563</v>
      </c>
      <c r="H45" s="21">
        <v>668962</v>
      </c>
      <c r="I45" s="21">
        <v>654716</v>
      </c>
      <c r="J45" s="21">
        <v>647908</v>
      </c>
      <c r="K45" s="21">
        <v>662684</v>
      </c>
      <c r="L45" s="21">
        <v>710894</v>
      </c>
      <c r="M45" s="21">
        <v>745069</v>
      </c>
      <c r="N45" s="21">
        <v>742920</v>
      </c>
      <c r="O45" s="21">
        <v>737807</v>
      </c>
      <c r="P45" s="21">
        <v>740124</v>
      </c>
      <c r="Q45" s="21">
        <v>737768</v>
      </c>
      <c r="R45" s="21">
        <v>758621</v>
      </c>
      <c r="S45" s="21">
        <v>758385</v>
      </c>
      <c r="T45" s="21">
        <v>752425</v>
      </c>
      <c r="U45" s="21">
        <v>771667</v>
      </c>
    </row>
    <row r="46" spans="2:21">
      <c r="B46" s="6">
        <v>32</v>
      </c>
      <c r="C46" s="21">
        <v>770400</v>
      </c>
      <c r="D46" s="21">
        <v>752195</v>
      </c>
      <c r="E46" s="21">
        <v>761424</v>
      </c>
      <c r="F46" s="21">
        <v>740197</v>
      </c>
      <c r="G46" s="21">
        <v>713883</v>
      </c>
      <c r="H46" s="21">
        <v>683634</v>
      </c>
      <c r="I46" s="21">
        <v>670766</v>
      </c>
      <c r="J46" s="21">
        <v>661884</v>
      </c>
      <c r="K46" s="21">
        <v>652679</v>
      </c>
      <c r="L46" s="21">
        <v>665180</v>
      </c>
      <c r="M46" s="21">
        <v>716022</v>
      </c>
      <c r="N46" s="21">
        <v>745426</v>
      </c>
      <c r="O46" s="21">
        <v>744529</v>
      </c>
      <c r="P46" s="21">
        <v>739988</v>
      </c>
      <c r="Q46" s="21">
        <v>744176</v>
      </c>
      <c r="R46" s="21">
        <v>741533</v>
      </c>
      <c r="S46" s="21">
        <v>759405</v>
      </c>
      <c r="T46" s="21">
        <v>760433</v>
      </c>
      <c r="U46" s="21">
        <v>752937</v>
      </c>
    </row>
    <row r="47" spans="2:21">
      <c r="B47" s="6">
        <v>33</v>
      </c>
      <c r="C47" s="21">
        <v>777463</v>
      </c>
      <c r="D47" s="21">
        <v>771688</v>
      </c>
      <c r="E47" s="21">
        <v>753478</v>
      </c>
      <c r="F47" s="21">
        <v>762433</v>
      </c>
      <c r="G47" s="21">
        <v>744807</v>
      </c>
      <c r="H47" s="21">
        <v>717809</v>
      </c>
      <c r="I47" s="21">
        <v>684917</v>
      </c>
      <c r="J47" s="21">
        <v>676727</v>
      </c>
      <c r="K47" s="21">
        <v>666024</v>
      </c>
      <c r="L47" s="21">
        <v>654907</v>
      </c>
      <c r="M47" s="21">
        <v>668117</v>
      </c>
      <c r="N47" s="21">
        <v>715532</v>
      </c>
      <c r="O47" s="21">
        <v>746160</v>
      </c>
      <c r="P47" s="21">
        <v>746297</v>
      </c>
      <c r="Q47" s="21">
        <v>742944</v>
      </c>
      <c r="R47" s="21">
        <v>746768</v>
      </c>
      <c r="S47" s="21">
        <v>742057</v>
      </c>
      <c r="T47" s="21">
        <v>760467</v>
      </c>
      <c r="U47" s="21">
        <v>760681</v>
      </c>
    </row>
    <row r="48" spans="2:21">
      <c r="B48" s="6">
        <v>34</v>
      </c>
      <c r="C48" s="21">
        <v>796206</v>
      </c>
      <c r="D48" s="21">
        <v>778255</v>
      </c>
      <c r="E48" s="21">
        <v>772638</v>
      </c>
      <c r="F48" s="21">
        <v>753567</v>
      </c>
      <c r="G48" s="21">
        <v>767466</v>
      </c>
      <c r="H48" s="21">
        <v>747997</v>
      </c>
      <c r="I48" s="21">
        <v>718938</v>
      </c>
      <c r="J48" s="21">
        <v>690266</v>
      </c>
      <c r="K48" s="21">
        <v>680264</v>
      </c>
      <c r="L48" s="21">
        <v>668279</v>
      </c>
      <c r="M48" s="21">
        <v>658038</v>
      </c>
      <c r="N48" s="21">
        <v>667706</v>
      </c>
      <c r="O48" s="21">
        <v>716283</v>
      </c>
      <c r="P48" s="21">
        <v>747715</v>
      </c>
      <c r="Q48" s="21">
        <v>748757</v>
      </c>
      <c r="R48" s="21">
        <v>745067</v>
      </c>
      <c r="S48" s="21">
        <v>746645</v>
      </c>
      <c r="T48" s="21">
        <v>742646</v>
      </c>
      <c r="U48" s="21">
        <v>760003</v>
      </c>
    </row>
    <row r="49" spans="2:21">
      <c r="B49" s="6">
        <v>35</v>
      </c>
      <c r="C49" s="21">
        <v>796931</v>
      </c>
      <c r="D49" s="21">
        <v>797150</v>
      </c>
      <c r="E49" s="21">
        <v>779044</v>
      </c>
      <c r="F49" s="21">
        <v>773674</v>
      </c>
      <c r="G49" s="21">
        <v>757863</v>
      </c>
      <c r="H49" s="21">
        <v>770690</v>
      </c>
      <c r="I49" s="21">
        <v>751774</v>
      </c>
      <c r="J49" s="21">
        <v>721128</v>
      </c>
      <c r="K49" s="21">
        <v>692103</v>
      </c>
      <c r="L49" s="21">
        <v>681595</v>
      </c>
      <c r="M49" s="21">
        <v>668977</v>
      </c>
      <c r="N49" s="21">
        <v>657268</v>
      </c>
      <c r="O49" s="21">
        <v>667971</v>
      </c>
      <c r="P49" s="21">
        <v>717222</v>
      </c>
      <c r="Q49" s="21">
        <v>749992</v>
      </c>
      <c r="R49" s="21">
        <v>750423</v>
      </c>
      <c r="S49" s="21">
        <v>745156</v>
      </c>
      <c r="T49" s="21">
        <v>747355</v>
      </c>
      <c r="U49" s="21">
        <v>741443</v>
      </c>
    </row>
    <row r="50" spans="2:21">
      <c r="B50" s="6">
        <v>36</v>
      </c>
      <c r="C50" s="21">
        <v>798783</v>
      </c>
      <c r="D50" s="21">
        <v>798043</v>
      </c>
      <c r="E50" s="21">
        <v>797142</v>
      </c>
      <c r="F50" s="21">
        <v>779322</v>
      </c>
      <c r="G50" s="21">
        <v>777087</v>
      </c>
      <c r="H50" s="21">
        <v>759374</v>
      </c>
      <c r="I50" s="21">
        <v>774493</v>
      </c>
      <c r="J50" s="21">
        <v>753134</v>
      </c>
      <c r="K50" s="21">
        <v>722633</v>
      </c>
      <c r="L50" s="21">
        <v>693230</v>
      </c>
      <c r="M50" s="21">
        <v>682056</v>
      </c>
      <c r="N50" s="21">
        <v>668419</v>
      </c>
      <c r="O50" s="21">
        <v>657506</v>
      </c>
      <c r="P50" s="21">
        <v>668867</v>
      </c>
      <c r="Q50" s="21">
        <v>719287</v>
      </c>
      <c r="R50" s="21">
        <v>751937</v>
      </c>
      <c r="S50" s="21">
        <v>751170</v>
      </c>
      <c r="T50" s="21">
        <v>745970</v>
      </c>
      <c r="U50" s="21">
        <v>746952</v>
      </c>
    </row>
    <row r="51" spans="2:21">
      <c r="B51" s="6">
        <v>37</v>
      </c>
      <c r="C51" s="21">
        <v>790570</v>
      </c>
      <c r="D51" s="21">
        <v>799886</v>
      </c>
      <c r="E51" s="21">
        <v>798308</v>
      </c>
      <c r="F51" s="21">
        <v>796931</v>
      </c>
      <c r="G51" s="21">
        <v>782018</v>
      </c>
      <c r="H51" s="21">
        <v>778327</v>
      </c>
      <c r="I51" s="21">
        <v>762008</v>
      </c>
      <c r="J51" s="21">
        <v>776715</v>
      </c>
      <c r="K51" s="21">
        <v>754152</v>
      </c>
      <c r="L51" s="21">
        <v>723461</v>
      </c>
      <c r="M51" s="21">
        <v>693562</v>
      </c>
      <c r="N51" s="21">
        <v>681331</v>
      </c>
      <c r="O51" s="21">
        <v>668412</v>
      </c>
      <c r="P51" s="21">
        <v>658257</v>
      </c>
      <c r="Q51" s="21">
        <v>670798</v>
      </c>
      <c r="R51" s="21">
        <v>721171</v>
      </c>
      <c r="S51" s="21">
        <v>751999</v>
      </c>
      <c r="T51" s="21">
        <v>750994</v>
      </c>
      <c r="U51" s="21">
        <v>745065</v>
      </c>
    </row>
    <row r="52" spans="2:21">
      <c r="B52" s="6">
        <v>38</v>
      </c>
      <c r="C52" s="21">
        <v>776545</v>
      </c>
      <c r="D52" s="21">
        <v>791707</v>
      </c>
      <c r="E52" s="21">
        <v>800337</v>
      </c>
      <c r="F52" s="21">
        <v>798103</v>
      </c>
      <c r="G52" s="21">
        <v>798556</v>
      </c>
      <c r="H52" s="21">
        <v>782627</v>
      </c>
      <c r="I52" s="21">
        <v>780268</v>
      </c>
      <c r="J52" s="21">
        <v>762872</v>
      </c>
      <c r="K52" s="21">
        <v>778379</v>
      </c>
      <c r="L52" s="21">
        <v>754304</v>
      </c>
      <c r="M52" s="21">
        <v>723729</v>
      </c>
      <c r="N52" s="21">
        <v>693126</v>
      </c>
      <c r="O52" s="21">
        <v>681869</v>
      </c>
      <c r="P52" s="21">
        <v>669407</v>
      </c>
      <c r="Q52" s="21">
        <v>660061</v>
      </c>
      <c r="R52" s="21">
        <v>672364</v>
      </c>
      <c r="S52" s="21">
        <v>721545</v>
      </c>
      <c r="T52" s="21">
        <v>751689</v>
      </c>
      <c r="U52" s="21">
        <v>749311</v>
      </c>
    </row>
    <row r="53" spans="2:21">
      <c r="B53" s="6">
        <v>39</v>
      </c>
      <c r="C53" s="21">
        <v>756143</v>
      </c>
      <c r="D53" s="21">
        <v>777880</v>
      </c>
      <c r="E53" s="21">
        <v>792520</v>
      </c>
      <c r="F53" s="21">
        <v>800278</v>
      </c>
      <c r="G53" s="21">
        <v>799472</v>
      </c>
      <c r="H53" s="21">
        <v>798367</v>
      </c>
      <c r="I53" s="21">
        <v>783748</v>
      </c>
      <c r="J53" s="21">
        <v>780683</v>
      </c>
      <c r="K53" s="21">
        <v>762999</v>
      </c>
      <c r="L53" s="21">
        <v>779278</v>
      </c>
      <c r="M53" s="21">
        <v>754048</v>
      </c>
      <c r="N53" s="21">
        <v>723209</v>
      </c>
      <c r="O53" s="21">
        <v>693416</v>
      </c>
      <c r="P53" s="21">
        <v>682251</v>
      </c>
      <c r="Q53" s="21">
        <v>670780</v>
      </c>
      <c r="R53" s="21">
        <v>661116</v>
      </c>
      <c r="S53" s="21">
        <v>672773</v>
      </c>
      <c r="T53" s="21">
        <v>721475</v>
      </c>
      <c r="U53" s="21">
        <v>750871</v>
      </c>
    </row>
    <row r="54" spans="2:21">
      <c r="B54" s="6">
        <v>40</v>
      </c>
      <c r="C54" s="21">
        <v>736326</v>
      </c>
      <c r="D54" s="21">
        <v>759053</v>
      </c>
      <c r="E54" s="21">
        <v>777246</v>
      </c>
      <c r="F54" s="21">
        <v>790918</v>
      </c>
      <c r="G54" s="21">
        <v>801371</v>
      </c>
      <c r="H54" s="21">
        <v>797231</v>
      </c>
      <c r="I54" s="21">
        <v>798042</v>
      </c>
      <c r="J54" s="21">
        <v>781558</v>
      </c>
      <c r="K54" s="21">
        <v>781846</v>
      </c>
      <c r="L54" s="21">
        <v>761581</v>
      </c>
      <c r="M54" s="21">
        <v>778527</v>
      </c>
      <c r="N54" s="21">
        <v>753237</v>
      </c>
      <c r="O54" s="21">
        <v>723557</v>
      </c>
      <c r="P54" s="21">
        <v>693835</v>
      </c>
      <c r="Q54" s="21">
        <v>683903</v>
      </c>
      <c r="R54" s="21">
        <v>672257</v>
      </c>
      <c r="S54" s="21">
        <v>661552</v>
      </c>
      <c r="T54" s="21">
        <v>672988</v>
      </c>
      <c r="U54" s="21">
        <v>721254</v>
      </c>
    </row>
    <row r="55" spans="2:21">
      <c r="B55" s="6">
        <v>41</v>
      </c>
      <c r="C55" s="21">
        <v>708830</v>
      </c>
      <c r="D55" s="21">
        <v>738179</v>
      </c>
      <c r="E55" s="21">
        <v>758729</v>
      </c>
      <c r="F55" s="21">
        <v>775413</v>
      </c>
      <c r="G55" s="21">
        <v>791873</v>
      </c>
      <c r="H55" s="21">
        <v>798951</v>
      </c>
      <c r="I55" s="21">
        <v>797025</v>
      </c>
      <c r="J55" s="21">
        <v>795176</v>
      </c>
      <c r="K55" s="21">
        <v>781924</v>
      </c>
      <c r="L55" s="21">
        <v>780107</v>
      </c>
      <c r="M55" s="21">
        <v>759492</v>
      </c>
      <c r="N55" s="21">
        <v>777487</v>
      </c>
      <c r="O55" s="21">
        <v>753328</v>
      </c>
      <c r="P55" s="21">
        <v>723529</v>
      </c>
      <c r="Q55" s="21">
        <v>694559</v>
      </c>
      <c r="R55" s="21">
        <v>684648</v>
      </c>
      <c r="S55" s="21">
        <v>672434</v>
      </c>
      <c r="T55" s="21">
        <v>661587</v>
      </c>
      <c r="U55" s="21">
        <v>672514</v>
      </c>
    </row>
    <row r="56" spans="2:21">
      <c r="B56" s="6">
        <v>42</v>
      </c>
      <c r="C56" s="21">
        <v>694600</v>
      </c>
      <c r="D56" s="21">
        <v>710610</v>
      </c>
      <c r="E56" s="21">
        <v>737587</v>
      </c>
      <c r="F56" s="21">
        <v>757677</v>
      </c>
      <c r="G56" s="21">
        <v>775994</v>
      </c>
      <c r="H56" s="21">
        <v>790172</v>
      </c>
      <c r="I56" s="21">
        <v>798830</v>
      </c>
      <c r="J56" s="21">
        <v>794225</v>
      </c>
      <c r="K56" s="21">
        <v>794641</v>
      </c>
      <c r="L56" s="21">
        <v>779771</v>
      </c>
      <c r="M56" s="21">
        <v>777911</v>
      </c>
      <c r="N56" s="21">
        <v>759000</v>
      </c>
      <c r="O56" s="21">
        <v>777647</v>
      </c>
      <c r="P56" s="21">
        <v>753580</v>
      </c>
      <c r="Q56" s="21">
        <v>724677</v>
      </c>
      <c r="R56" s="21">
        <v>696493</v>
      </c>
      <c r="S56" s="21">
        <v>685495</v>
      </c>
      <c r="T56" s="21">
        <v>673229</v>
      </c>
      <c r="U56" s="21">
        <v>661799</v>
      </c>
    </row>
    <row r="57" spans="2:21">
      <c r="B57" s="6">
        <v>43</v>
      </c>
      <c r="C57" s="21">
        <v>685074</v>
      </c>
      <c r="D57" s="21">
        <v>696153</v>
      </c>
      <c r="E57" s="21">
        <v>710041</v>
      </c>
      <c r="F57" s="21">
        <v>735705</v>
      </c>
      <c r="G57" s="21">
        <v>758661</v>
      </c>
      <c r="H57" s="21">
        <v>774066</v>
      </c>
      <c r="I57" s="21">
        <v>790147</v>
      </c>
      <c r="J57" s="21">
        <v>796317</v>
      </c>
      <c r="K57" s="21">
        <v>793740</v>
      </c>
      <c r="L57" s="21">
        <v>791841</v>
      </c>
      <c r="M57" s="21">
        <v>777050</v>
      </c>
      <c r="N57" s="21">
        <v>776811</v>
      </c>
      <c r="O57" s="21">
        <v>758751</v>
      </c>
      <c r="P57" s="21">
        <v>777644</v>
      </c>
      <c r="Q57" s="21">
        <v>754561</v>
      </c>
      <c r="R57" s="21">
        <v>725840</v>
      </c>
      <c r="S57" s="21">
        <v>696865</v>
      </c>
      <c r="T57" s="21">
        <v>685692</v>
      </c>
      <c r="U57" s="21">
        <v>673246</v>
      </c>
    </row>
    <row r="58" spans="2:21">
      <c r="B58" s="6">
        <v>44</v>
      </c>
      <c r="C58" s="21">
        <v>663083</v>
      </c>
      <c r="D58" s="21">
        <v>686134</v>
      </c>
      <c r="E58" s="21">
        <v>695616</v>
      </c>
      <c r="F58" s="21">
        <v>708471</v>
      </c>
      <c r="G58" s="21">
        <v>735938</v>
      </c>
      <c r="H58" s="21">
        <v>757409</v>
      </c>
      <c r="I58" s="21">
        <v>773981</v>
      </c>
      <c r="J58" s="21">
        <v>788196</v>
      </c>
      <c r="K58" s="21">
        <v>795865</v>
      </c>
      <c r="L58" s="21">
        <v>791139</v>
      </c>
      <c r="M58" s="21">
        <v>788503</v>
      </c>
      <c r="N58" s="21">
        <v>776181</v>
      </c>
      <c r="O58" s="21">
        <v>776610</v>
      </c>
      <c r="P58" s="21">
        <v>758816</v>
      </c>
      <c r="Q58" s="21">
        <v>778754</v>
      </c>
      <c r="R58" s="21">
        <v>756028</v>
      </c>
      <c r="S58" s="21">
        <v>726412</v>
      </c>
      <c r="T58" s="21">
        <v>697088</v>
      </c>
      <c r="U58" s="21">
        <v>685484</v>
      </c>
    </row>
    <row r="59" spans="2:21">
      <c r="B59" s="6">
        <v>45</v>
      </c>
      <c r="C59" s="21">
        <v>640280</v>
      </c>
      <c r="D59" s="21">
        <v>659475</v>
      </c>
      <c r="E59" s="21">
        <v>684913</v>
      </c>
      <c r="F59" s="21">
        <v>694444</v>
      </c>
      <c r="G59" s="21">
        <v>707494</v>
      </c>
      <c r="H59" s="21">
        <v>734966</v>
      </c>
      <c r="I59" s="21">
        <v>755118</v>
      </c>
      <c r="J59" s="21">
        <v>772995</v>
      </c>
      <c r="K59" s="21">
        <v>787620</v>
      </c>
      <c r="L59" s="21">
        <v>794889</v>
      </c>
      <c r="M59" s="21">
        <v>789225</v>
      </c>
      <c r="N59" s="21">
        <v>787707</v>
      </c>
      <c r="O59" s="21">
        <v>775854</v>
      </c>
      <c r="P59" s="21">
        <v>776700</v>
      </c>
      <c r="Q59" s="21">
        <v>759786</v>
      </c>
      <c r="R59" s="21">
        <v>779687</v>
      </c>
      <c r="S59" s="21">
        <v>756155</v>
      </c>
      <c r="T59" s="21">
        <v>726278</v>
      </c>
      <c r="U59" s="21">
        <v>696569</v>
      </c>
    </row>
    <row r="60" spans="2:21">
      <c r="B60" s="6">
        <v>46</v>
      </c>
      <c r="C60" s="21">
        <v>624378</v>
      </c>
      <c r="D60" s="21">
        <v>637082</v>
      </c>
      <c r="E60" s="21">
        <v>658477</v>
      </c>
      <c r="F60" s="21">
        <v>683283</v>
      </c>
      <c r="G60" s="21">
        <v>693468</v>
      </c>
      <c r="H60" s="21">
        <v>706645</v>
      </c>
      <c r="I60" s="21">
        <v>732169</v>
      </c>
      <c r="J60" s="21">
        <v>754697</v>
      </c>
      <c r="K60" s="21">
        <v>772191</v>
      </c>
      <c r="L60" s="21">
        <v>787069</v>
      </c>
      <c r="M60" s="21">
        <v>793306</v>
      </c>
      <c r="N60" s="21">
        <v>788277</v>
      </c>
      <c r="O60" s="21">
        <v>787082</v>
      </c>
      <c r="P60" s="21">
        <v>775852</v>
      </c>
      <c r="Q60" s="21">
        <v>777437</v>
      </c>
      <c r="R60" s="21">
        <v>760798</v>
      </c>
      <c r="S60" s="21">
        <v>779708</v>
      </c>
      <c r="T60" s="21">
        <v>756102</v>
      </c>
      <c r="U60" s="21">
        <v>725600</v>
      </c>
    </row>
    <row r="61" spans="2:21">
      <c r="B61" s="6">
        <v>47</v>
      </c>
      <c r="C61" s="21">
        <v>627954</v>
      </c>
      <c r="D61" s="21">
        <v>620510</v>
      </c>
      <c r="E61" s="21">
        <v>636182</v>
      </c>
      <c r="F61" s="21">
        <v>656854</v>
      </c>
      <c r="G61" s="21">
        <v>681619</v>
      </c>
      <c r="H61" s="21">
        <v>692441</v>
      </c>
      <c r="I61" s="21">
        <v>704106</v>
      </c>
      <c r="J61" s="21">
        <v>731051</v>
      </c>
      <c r="K61" s="21">
        <v>754557</v>
      </c>
      <c r="L61" s="21">
        <v>771413</v>
      </c>
      <c r="M61" s="21">
        <v>786015</v>
      </c>
      <c r="N61" s="21">
        <v>792104</v>
      </c>
      <c r="O61" s="21">
        <v>787762</v>
      </c>
      <c r="P61" s="21">
        <v>787049</v>
      </c>
      <c r="Q61" s="21">
        <v>776611</v>
      </c>
      <c r="R61" s="21">
        <v>777816</v>
      </c>
      <c r="S61" s="21">
        <v>760419</v>
      </c>
      <c r="T61" s="21">
        <v>779456</v>
      </c>
      <c r="U61" s="21">
        <v>755206</v>
      </c>
    </row>
    <row r="62" spans="2:21">
      <c r="B62" s="6">
        <v>48</v>
      </c>
      <c r="C62" s="21">
        <v>621132</v>
      </c>
      <c r="D62" s="21">
        <v>624345</v>
      </c>
      <c r="E62" s="21">
        <v>618962</v>
      </c>
      <c r="F62" s="21">
        <v>634734</v>
      </c>
      <c r="G62" s="21">
        <v>655340</v>
      </c>
      <c r="H62" s="21">
        <v>680085</v>
      </c>
      <c r="I62" s="21">
        <v>689634</v>
      </c>
      <c r="J62" s="21">
        <v>703178</v>
      </c>
      <c r="K62" s="21">
        <v>730132</v>
      </c>
      <c r="L62" s="21">
        <v>754346</v>
      </c>
      <c r="M62" s="21">
        <v>770056</v>
      </c>
      <c r="N62" s="21">
        <v>784876</v>
      </c>
      <c r="O62" s="21">
        <v>791234</v>
      </c>
      <c r="P62" s="21">
        <v>787545</v>
      </c>
      <c r="Q62" s="21">
        <v>787611</v>
      </c>
      <c r="R62" s="21">
        <v>776814</v>
      </c>
      <c r="S62" s="21">
        <v>777432</v>
      </c>
      <c r="T62" s="21">
        <v>760189</v>
      </c>
      <c r="U62" s="21">
        <v>778729</v>
      </c>
    </row>
    <row r="63" spans="2:21">
      <c r="B63" s="6">
        <v>49</v>
      </c>
      <c r="C63" s="21">
        <v>615223</v>
      </c>
      <c r="D63" s="21">
        <v>618189</v>
      </c>
      <c r="E63" s="21">
        <v>622908</v>
      </c>
      <c r="F63" s="21">
        <v>616718</v>
      </c>
      <c r="G63" s="21">
        <v>633354</v>
      </c>
      <c r="H63" s="21">
        <v>653741</v>
      </c>
      <c r="I63" s="21">
        <v>676990</v>
      </c>
      <c r="J63" s="21">
        <v>688599</v>
      </c>
      <c r="K63" s="21">
        <v>702356</v>
      </c>
      <c r="L63" s="21">
        <v>729121</v>
      </c>
      <c r="M63" s="21">
        <v>753474</v>
      </c>
      <c r="N63" s="21">
        <v>768644</v>
      </c>
      <c r="O63" s="21">
        <v>783842</v>
      </c>
      <c r="P63" s="21">
        <v>791217</v>
      </c>
      <c r="Q63" s="21">
        <v>787915</v>
      </c>
      <c r="R63" s="21">
        <v>787964</v>
      </c>
      <c r="S63" s="21">
        <v>776394</v>
      </c>
      <c r="T63" s="21">
        <v>777217</v>
      </c>
      <c r="U63" s="21">
        <v>759708</v>
      </c>
    </row>
    <row r="64" spans="2:21" s="73" customFormat="1">
      <c r="B64" s="26">
        <v>50</v>
      </c>
      <c r="C64" s="27">
        <v>617818</v>
      </c>
      <c r="D64" s="27">
        <v>613054</v>
      </c>
      <c r="E64" s="27">
        <v>615969</v>
      </c>
      <c r="F64" s="27">
        <v>619389</v>
      </c>
      <c r="G64" s="27">
        <v>614785</v>
      </c>
      <c r="H64" s="27">
        <v>631231</v>
      </c>
      <c r="I64" s="27">
        <v>651297</v>
      </c>
      <c r="J64" s="27">
        <v>675850</v>
      </c>
      <c r="K64" s="27">
        <v>687234</v>
      </c>
      <c r="L64" s="27">
        <v>700214</v>
      </c>
      <c r="M64" s="27">
        <v>727736</v>
      </c>
      <c r="N64" s="27">
        <v>752093</v>
      </c>
      <c r="O64" s="27">
        <v>767490</v>
      </c>
      <c r="P64" s="27">
        <v>783475</v>
      </c>
      <c r="Q64" s="27">
        <v>791066</v>
      </c>
      <c r="R64" s="27">
        <v>787783</v>
      </c>
      <c r="S64" s="27">
        <v>787115</v>
      </c>
      <c r="T64" s="27">
        <v>775934</v>
      </c>
      <c r="U64" s="27">
        <v>776578</v>
      </c>
    </row>
    <row r="65" spans="2:21" s="73" customFormat="1">
      <c r="B65" s="26">
        <v>51</v>
      </c>
      <c r="C65" s="27">
        <v>636516</v>
      </c>
      <c r="D65" s="27">
        <v>615886</v>
      </c>
      <c r="E65" s="27">
        <v>609813</v>
      </c>
      <c r="F65" s="27">
        <v>612944</v>
      </c>
      <c r="G65" s="27">
        <v>617608</v>
      </c>
      <c r="H65" s="27">
        <v>612050</v>
      </c>
      <c r="I65" s="27">
        <v>628945</v>
      </c>
      <c r="J65" s="27">
        <v>650546</v>
      </c>
      <c r="K65" s="27">
        <v>673930</v>
      </c>
      <c r="L65" s="27">
        <v>684929</v>
      </c>
      <c r="M65" s="27">
        <v>698861</v>
      </c>
      <c r="N65" s="27">
        <v>726090</v>
      </c>
      <c r="O65" s="27">
        <v>750609</v>
      </c>
      <c r="P65" s="27">
        <v>766662</v>
      </c>
      <c r="Q65" s="27">
        <v>783305</v>
      </c>
      <c r="R65" s="27">
        <v>790516</v>
      </c>
      <c r="S65" s="27">
        <v>786693</v>
      </c>
      <c r="T65" s="27">
        <v>786339</v>
      </c>
      <c r="U65" s="27">
        <v>775173</v>
      </c>
    </row>
    <row r="66" spans="2:21" s="73" customFormat="1">
      <c r="B66" s="26">
        <v>52</v>
      </c>
      <c r="C66" s="27">
        <v>657414</v>
      </c>
      <c r="D66" s="27">
        <v>634206</v>
      </c>
      <c r="E66" s="27">
        <v>612857</v>
      </c>
      <c r="F66" s="27">
        <v>605649</v>
      </c>
      <c r="G66" s="27">
        <v>611514</v>
      </c>
      <c r="H66" s="27">
        <v>614887</v>
      </c>
      <c r="I66" s="27">
        <v>609124</v>
      </c>
      <c r="J66" s="27">
        <v>628438</v>
      </c>
      <c r="K66" s="27">
        <v>648682</v>
      </c>
      <c r="L66" s="27">
        <v>670745</v>
      </c>
      <c r="M66" s="27">
        <v>683438</v>
      </c>
      <c r="N66" s="27">
        <v>697011</v>
      </c>
      <c r="O66" s="27">
        <v>724408</v>
      </c>
      <c r="P66" s="27">
        <v>749793</v>
      </c>
      <c r="Q66" s="27">
        <v>765857</v>
      </c>
      <c r="R66" s="27">
        <v>782476</v>
      </c>
      <c r="S66" s="27">
        <v>789137</v>
      </c>
      <c r="T66" s="27">
        <v>785536</v>
      </c>
      <c r="U66" s="27">
        <v>785471</v>
      </c>
    </row>
    <row r="67" spans="2:21" s="73" customFormat="1">
      <c r="B67" s="26">
        <v>53</v>
      </c>
      <c r="C67" s="27">
        <v>707124</v>
      </c>
      <c r="D67" s="27">
        <v>654633</v>
      </c>
      <c r="E67" s="27">
        <v>630774</v>
      </c>
      <c r="F67" s="27">
        <v>609051</v>
      </c>
      <c r="G67" s="27">
        <v>603137</v>
      </c>
      <c r="H67" s="27">
        <v>609201</v>
      </c>
      <c r="I67" s="27">
        <v>612044</v>
      </c>
      <c r="J67" s="27">
        <v>607793</v>
      </c>
      <c r="K67" s="27">
        <v>626960</v>
      </c>
      <c r="L67" s="27">
        <v>645874</v>
      </c>
      <c r="M67" s="27">
        <v>668589</v>
      </c>
      <c r="N67" s="27">
        <v>681684</v>
      </c>
      <c r="O67" s="27">
        <v>695250</v>
      </c>
      <c r="P67" s="27">
        <v>723407</v>
      </c>
      <c r="Q67" s="27">
        <v>748704</v>
      </c>
      <c r="R67" s="27">
        <v>764921</v>
      </c>
      <c r="S67" s="27">
        <v>781098</v>
      </c>
      <c r="T67" s="27">
        <v>787954</v>
      </c>
      <c r="U67" s="27">
        <v>784074</v>
      </c>
    </row>
    <row r="68" spans="2:21" s="73" customFormat="1">
      <c r="B68" s="26">
        <v>54</v>
      </c>
      <c r="C68" s="27">
        <v>745951</v>
      </c>
      <c r="D68" s="27">
        <v>703103</v>
      </c>
      <c r="E68" s="27">
        <v>650785</v>
      </c>
      <c r="F68" s="27">
        <v>626331</v>
      </c>
      <c r="G68" s="27">
        <v>606763</v>
      </c>
      <c r="H68" s="27">
        <v>599663</v>
      </c>
      <c r="I68" s="27">
        <v>606779</v>
      </c>
      <c r="J68" s="27">
        <v>610722</v>
      </c>
      <c r="K68" s="27">
        <v>605507</v>
      </c>
      <c r="L68" s="27">
        <v>624274</v>
      </c>
      <c r="M68" s="27">
        <v>643955</v>
      </c>
      <c r="N68" s="27">
        <v>666643</v>
      </c>
      <c r="O68" s="27">
        <v>679756</v>
      </c>
      <c r="P68" s="27">
        <v>693951</v>
      </c>
      <c r="Q68" s="27">
        <v>722068</v>
      </c>
      <c r="R68" s="27">
        <v>747399</v>
      </c>
      <c r="S68" s="27">
        <v>763153</v>
      </c>
      <c r="T68" s="27">
        <v>779688</v>
      </c>
      <c r="U68" s="27">
        <v>786165</v>
      </c>
    </row>
    <row r="69" spans="2:21" s="73" customFormat="1">
      <c r="B69" s="26">
        <v>55</v>
      </c>
      <c r="C69" s="27">
        <v>607770</v>
      </c>
      <c r="D69" s="27">
        <v>743699</v>
      </c>
      <c r="E69" s="27">
        <v>696732</v>
      </c>
      <c r="F69" s="27">
        <v>646422</v>
      </c>
      <c r="G69" s="27">
        <v>623021</v>
      </c>
      <c r="H69" s="27">
        <v>603791</v>
      </c>
      <c r="I69" s="27">
        <v>596103</v>
      </c>
      <c r="J69" s="27">
        <v>603081</v>
      </c>
      <c r="K69" s="27">
        <v>608658</v>
      </c>
      <c r="L69" s="27">
        <v>603185</v>
      </c>
      <c r="M69" s="27">
        <v>622322</v>
      </c>
      <c r="N69" s="27">
        <v>642045</v>
      </c>
      <c r="O69" s="27">
        <v>664642</v>
      </c>
      <c r="P69" s="27">
        <v>678012</v>
      </c>
      <c r="Q69" s="27">
        <v>692374</v>
      </c>
      <c r="R69" s="27">
        <v>720501</v>
      </c>
      <c r="S69" s="27">
        <v>745219</v>
      </c>
      <c r="T69" s="27">
        <v>761252</v>
      </c>
      <c r="U69" s="27">
        <v>777616</v>
      </c>
    </row>
    <row r="70" spans="2:21" s="73" customFormat="1">
      <c r="B70" s="26">
        <v>56</v>
      </c>
      <c r="C70" s="27">
        <v>593845</v>
      </c>
      <c r="D70" s="27">
        <v>602983</v>
      </c>
      <c r="E70" s="27">
        <v>739466</v>
      </c>
      <c r="F70" s="27">
        <v>690908</v>
      </c>
      <c r="G70" s="27">
        <v>642358</v>
      </c>
      <c r="H70" s="27">
        <v>619350</v>
      </c>
      <c r="I70" s="27">
        <v>600328</v>
      </c>
      <c r="J70" s="27">
        <v>591226</v>
      </c>
      <c r="K70" s="27">
        <v>601154</v>
      </c>
      <c r="L70" s="27">
        <v>606033</v>
      </c>
      <c r="M70" s="27">
        <v>600440</v>
      </c>
      <c r="N70" s="27">
        <v>620038</v>
      </c>
      <c r="O70" s="27">
        <v>639761</v>
      </c>
      <c r="P70" s="27">
        <v>662868</v>
      </c>
      <c r="Q70" s="27">
        <v>676158</v>
      </c>
      <c r="R70" s="27">
        <v>690480</v>
      </c>
      <c r="S70" s="27">
        <v>718187</v>
      </c>
      <c r="T70" s="27">
        <v>742901</v>
      </c>
      <c r="U70" s="27">
        <v>758665</v>
      </c>
    </row>
    <row r="71" spans="2:21" s="73" customFormat="1">
      <c r="B71" s="26">
        <v>57</v>
      </c>
      <c r="C71" s="27">
        <v>579578</v>
      </c>
      <c r="D71" s="27">
        <v>589067</v>
      </c>
      <c r="E71" s="27">
        <v>596688</v>
      </c>
      <c r="F71" s="27">
        <v>735994</v>
      </c>
      <c r="G71" s="27">
        <v>685536</v>
      </c>
      <c r="H71" s="27">
        <v>638471</v>
      </c>
      <c r="I71" s="27">
        <v>615591</v>
      </c>
      <c r="J71" s="27">
        <v>595777</v>
      </c>
      <c r="K71" s="27">
        <v>588229</v>
      </c>
      <c r="L71" s="27">
        <v>598956</v>
      </c>
      <c r="M71" s="27">
        <v>603239</v>
      </c>
      <c r="N71" s="27">
        <v>598032</v>
      </c>
      <c r="O71" s="27">
        <v>617562</v>
      </c>
      <c r="P71" s="27">
        <v>637850</v>
      </c>
      <c r="Q71" s="27">
        <v>661089</v>
      </c>
      <c r="R71" s="27">
        <v>674170</v>
      </c>
      <c r="S71" s="27">
        <v>688112</v>
      </c>
      <c r="T71" s="27">
        <v>715910</v>
      </c>
      <c r="U71" s="27">
        <v>740085</v>
      </c>
    </row>
    <row r="72" spans="2:21" s="73" customFormat="1">
      <c r="B72" s="26">
        <v>58</v>
      </c>
      <c r="C72" s="27">
        <v>553477</v>
      </c>
      <c r="D72" s="27">
        <v>576221</v>
      </c>
      <c r="E72" s="27">
        <v>583159</v>
      </c>
      <c r="F72" s="27">
        <v>591242</v>
      </c>
      <c r="G72" s="27">
        <v>733184</v>
      </c>
      <c r="H72" s="27">
        <v>680486</v>
      </c>
      <c r="I72" s="27">
        <v>634190</v>
      </c>
      <c r="J72" s="27">
        <v>610853</v>
      </c>
      <c r="K72" s="27">
        <v>592936</v>
      </c>
      <c r="L72" s="27">
        <v>584766</v>
      </c>
      <c r="M72" s="27">
        <v>596488</v>
      </c>
      <c r="N72" s="27">
        <v>600224</v>
      </c>
      <c r="O72" s="27">
        <v>595109</v>
      </c>
      <c r="P72" s="27">
        <v>615181</v>
      </c>
      <c r="Q72" s="27">
        <v>635797</v>
      </c>
      <c r="R72" s="27">
        <v>658879</v>
      </c>
      <c r="S72" s="27">
        <v>671436</v>
      </c>
      <c r="T72" s="27">
        <v>685060</v>
      </c>
      <c r="U72" s="27">
        <v>712624</v>
      </c>
    </row>
    <row r="73" spans="2:21" s="73" customFormat="1">
      <c r="B73" s="26">
        <v>59</v>
      </c>
      <c r="C73" s="27">
        <v>498114</v>
      </c>
      <c r="D73" s="27">
        <v>549000</v>
      </c>
      <c r="E73" s="27">
        <v>571623</v>
      </c>
      <c r="F73" s="27">
        <v>577547</v>
      </c>
      <c r="G73" s="27">
        <v>586025</v>
      </c>
      <c r="H73" s="27">
        <v>730216</v>
      </c>
      <c r="I73" s="27">
        <v>674871</v>
      </c>
      <c r="J73" s="27">
        <v>628757</v>
      </c>
      <c r="K73" s="27">
        <v>607393</v>
      </c>
      <c r="L73" s="27">
        <v>589740</v>
      </c>
      <c r="M73" s="27">
        <v>581012</v>
      </c>
      <c r="N73" s="27">
        <v>593330</v>
      </c>
      <c r="O73" s="27">
        <v>597150</v>
      </c>
      <c r="P73" s="27">
        <v>592670</v>
      </c>
      <c r="Q73" s="27">
        <v>612904</v>
      </c>
      <c r="R73" s="27">
        <v>633630</v>
      </c>
      <c r="S73" s="27">
        <v>656080</v>
      </c>
      <c r="T73" s="27">
        <v>668206</v>
      </c>
      <c r="U73" s="27">
        <v>681661</v>
      </c>
    </row>
    <row r="74" spans="2:21" s="73" customFormat="1">
      <c r="B74" s="26">
        <v>60</v>
      </c>
      <c r="C74" s="27">
        <v>467092</v>
      </c>
      <c r="D74" s="27">
        <v>494062</v>
      </c>
      <c r="E74" s="27">
        <v>544274</v>
      </c>
      <c r="F74" s="27">
        <v>567349</v>
      </c>
      <c r="G74" s="27">
        <v>571335</v>
      </c>
      <c r="H74" s="27">
        <v>579584</v>
      </c>
      <c r="I74" s="27">
        <v>724121</v>
      </c>
      <c r="J74" s="27">
        <v>669571</v>
      </c>
      <c r="K74" s="27">
        <v>624614</v>
      </c>
      <c r="L74" s="27">
        <v>603719</v>
      </c>
      <c r="M74" s="27">
        <v>585854</v>
      </c>
      <c r="N74" s="27">
        <v>577472</v>
      </c>
      <c r="O74" s="27">
        <v>589930</v>
      </c>
      <c r="P74" s="27">
        <v>594213</v>
      </c>
      <c r="Q74" s="27">
        <v>590280</v>
      </c>
      <c r="R74" s="27">
        <v>610494</v>
      </c>
      <c r="S74" s="27">
        <v>630542</v>
      </c>
      <c r="T74" s="27">
        <v>652943</v>
      </c>
      <c r="U74" s="27">
        <v>664457</v>
      </c>
    </row>
    <row r="75" spans="2:21" s="73" customFormat="1">
      <c r="B75" s="26">
        <v>61</v>
      </c>
      <c r="C75" s="27">
        <v>487005</v>
      </c>
      <c r="D75" s="27">
        <v>462138</v>
      </c>
      <c r="E75" s="27">
        <v>489775</v>
      </c>
      <c r="F75" s="27">
        <v>538939</v>
      </c>
      <c r="G75" s="27">
        <v>562455</v>
      </c>
      <c r="H75" s="27">
        <v>564852</v>
      </c>
      <c r="I75" s="27">
        <v>571596</v>
      </c>
      <c r="J75" s="27">
        <v>720854</v>
      </c>
      <c r="K75" s="27">
        <v>664134</v>
      </c>
      <c r="L75" s="27">
        <v>620421</v>
      </c>
      <c r="M75" s="27">
        <v>599145</v>
      </c>
      <c r="N75" s="27">
        <v>582109</v>
      </c>
      <c r="O75" s="27">
        <v>573886</v>
      </c>
      <c r="P75" s="27">
        <v>586924</v>
      </c>
      <c r="Q75" s="27">
        <v>591581</v>
      </c>
      <c r="R75" s="27">
        <v>587509</v>
      </c>
      <c r="S75" s="27">
        <v>607135</v>
      </c>
      <c r="T75" s="27">
        <v>626944</v>
      </c>
      <c r="U75" s="27">
        <v>649021</v>
      </c>
    </row>
    <row r="76" spans="2:21" s="73" customFormat="1">
      <c r="B76" s="26">
        <v>62</v>
      </c>
      <c r="C76" s="27">
        <v>488071</v>
      </c>
      <c r="D76" s="27">
        <v>481872</v>
      </c>
      <c r="E76" s="27">
        <v>456714</v>
      </c>
      <c r="F76" s="27">
        <v>484664</v>
      </c>
      <c r="G76" s="27">
        <v>533152</v>
      </c>
      <c r="H76" s="27">
        <v>557605</v>
      </c>
      <c r="I76" s="27">
        <v>557174</v>
      </c>
      <c r="J76" s="27">
        <v>566122</v>
      </c>
      <c r="K76" s="27">
        <v>717487</v>
      </c>
      <c r="L76" s="27">
        <v>658433</v>
      </c>
      <c r="M76" s="27">
        <v>615642</v>
      </c>
      <c r="N76" s="27">
        <v>595184</v>
      </c>
      <c r="O76" s="27">
        <v>578185</v>
      </c>
      <c r="P76" s="27">
        <v>570678</v>
      </c>
      <c r="Q76" s="27">
        <v>583991</v>
      </c>
      <c r="R76" s="27">
        <v>588568</v>
      </c>
      <c r="S76" s="27">
        <v>584177</v>
      </c>
      <c r="T76" s="27">
        <v>603322</v>
      </c>
      <c r="U76" s="27">
        <v>622905</v>
      </c>
    </row>
    <row r="77" spans="2:21" s="73" customFormat="1">
      <c r="B77" s="26">
        <v>63</v>
      </c>
      <c r="C77" s="27">
        <v>482757</v>
      </c>
      <c r="D77" s="27">
        <v>482751</v>
      </c>
      <c r="E77" s="27">
        <v>476283</v>
      </c>
      <c r="F77" s="27">
        <v>450629</v>
      </c>
      <c r="G77" s="27">
        <v>478957</v>
      </c>
      <c r="H77" s="27">
        <v>527075</v>
      </c>
      <c r="I77" s="27">
        <v>551291</v>
      </c>
      <c r="J77" s="27">
        <v>551714</v>
      </c>
      <c r="K77" s="27">
        <v>560648</v>
      </c>
      <c r="L77" s="27">
        <v>713933</v>
      </c>
      <c r="M77" s="27">
        <v>652004</v>
      </c>
      <c r="N77" s="27">
        <v>611352</v>
      </c>
      <c r="O77" s="27">
        <v>591007</v>
      </c>
      <c r="P77" s="27">
        <v>574970</v>
      </c>
      <c r="Q77" s="27">
        <v>567596</v>
      </c>
      <c r="R77" s="27">
        <v>580671</v>
      </c>
      <c r="S77" s="27">
        <v>584568</v>
      </c>
      <c r="T77" s="27">
        <v>580433</v>
      </c>
      <c r="U77" s="27">
        <v>599252</v>
      </c>
    </row>
    <row r="78" spans="2:21" s="73" customFormat="1">
      <c r="B78" s="26">
        <v>64</v>
      </c>
      <c r="C78" s="27">
        <v>470534</v>
      </c>
      <c r="D78" s="27">
        <v>477024</v>
      </c>
      <c r="E78" s="27">
        <v>476991</v>
      </c>
      <c r="F78" s="27">
        <v>469943</v>
      </c>
      <c r="G78" s="27">
        <v>443865</v>
      </c>
      <c r="H78" s="27">
        <v>473187</v>
      </c>
      <c r="I78" s="27">
        <v>519732</v>
      </c>
      <c r="J78" s="27">
        <v>547018</v>
      </c>
      <c r="K78" s="27">
        <v>545922</v>
      </c>
      <c r="L78" s="27">
        <v>555040</v>
      </c>
      <c r="M78" s="27">
        <v>709646</v>
      </c>
      <c r="N78" s="27">
        <v>646777</v>
      </c>
      <c r="O78" s="27">
        <v>606763</v>
      </c>
      <c r="P78" s="27">
        <v>587146</v>
      </c>
      <c r="Q78" s="27">
        <v>571273</v>
      </c>
      <c r="R78" s="27">
        <v>563731</v>
      </c>
      <c r="S78" s="27">
        <v>576498</v>
      </c>
      <c r="T78" s="27">
        <v>580732</v>
      </c>
      <c r="U78" s="27">
        <v>576200</v>
      </c>
    </row>
    <row r="79" spans="2:21" s="73" customFormat="1">
      <c r="B79" s="26">
        <v>65</v>
      </c>
      <c r="C79" s="27">
        <v>456222</v>
      </c>
      <c r="D79" s="27">
        <v>463742</v>
      </c>
      <c r="E79" s="27">
        <v>470131</v>
      </c>
      <c r="F79" s="27">
        <v>469704</v>
      </c>
      <c r="G79" s="27">
        <v>463364</v>
      </c>
      <c r="H79" s="27">
        <v>435523</v>
      </c>
      <c r="I79" s="27">
        <v>466875</v>
      </c>
      <c r="J79" s="27">
        <v>514758</v>
      </c>
      <c r="K79" s="27">
        <v>542642</v>
      </c>
      <c r="L79" s="27">
        <v>540459</v>
      </c>
      <c r="M79" s="27">
        <v>548640</v>
      </c>
      <c r="N79" s="27">
        <v>703319</v>
      </c>
      <c r="O79" s="27">
        <v>641210</v>
      </c>
      <c r="P79" s="27">
        <v>601943</v>
      </c>
      <c r="Q79" s="27">
        <v>582595</v>
      </c>
      <c r="R79" s="27">
        <v>566478</v>
      </c>
      <c r="S79" s="27">
        <v>558618</v>
      </c>
      <c r="T79" s="27">
        <v>571303</v>
      </c>
      <c r="U79" s="27">
        <v>575744</v>
      </c>
    </row>
    <row r="80" spans="2:21" s="73" customFormat="1">
      <c r="B80" s="26">
        <v>66</v>
      </c>
      <c r="C80" s="27">
        <v>441673</v>
      </c>
      <c r="D80" s="27">
        <v>449207</v>
      </c>
      <c r="E80" s="27">
        <v>456287</v>
      </c>
      <c r="F80" s="27">
        <v>462860</v>
      </c>
      <c r="G80" s="27">
        <v>462985</v>
      </c>
      <c r="H80" s="27">
        <v>455545</v>
      </c>
      <c r="I80" s="27">
        <v>428632</v>
      </c>
      <c r="J80" s="27">
        <v>461965</v>
      </c>
      <c r="K80" s="27">
        <v>509094</v>
      </c>
      <c r="L80" s="27">
        <v>538283</v>
      </c>
      <c r="M80" s="27">
        <v>533894</v>
      </c>
      <c r="N80" s="27">
        <v>543322</v>
      </c>
      <c r="O80" s="27">
        <v>696729</v>
      </c>
      <c r="P80" s="27">
        <v>635751</v>
      </c>
      <c r="Q80" s="27">
        <v>596441</v>
      </c>
      <c r="R80" s="27">
        <v>577281</v>
      </c>
      <c r="S80" s="27">
        <v>561050</v>
      </c>
      <c r="T80" s="27">
        <v>553421</v>
      </c>
      <c r="U80" s="27">
        <v>566050</v>
      </c>
    </row>
    <row r="81" spans="2:21" s="73" customFormat="1">
      <c r="B81" s="26">
        <v>67</v>
      </c>
      <c r="C81" s="27">
        <v>423029</v>
      </c>
      <c r="D81" s="27">
        <v>434613</v>
      </c>
      <c r="E81" s="27">
        <v>441787</v>
      </c>
      <c r="F81" s="27">
        <v>448542</v>
      </c>
      <c r="G81" s="27">
        <v>455864</v>
      </c>
      <c r="H81" s="27">
        <v>454725</v>
      </c>
      <c r="I81" s="27">
        <v>448203</v>
      </c>
      <c r="J81" s="27">
        <v>422664</v>
      </c>
      <c r="K81" s="27">
        <v>456511</v>
      </c>
      <c r="L81" s="27">
        <v>503365</v>
      </c>
      <c r="M81" s="27">
        <v>533167</v>
      </c>
      <c r="N81" s="27">
        <v>528218</v>
      </c>
      <c r="O81" s="27">
        <v>537844</v>
      </c>
      <c r="P81" s="27">
        <v>690209</v>
      </c>
      <c r="Q81" s="27">
        <v>629564</v>
      </c>
      <c r="R81" s="27">
        <v>590764</v>
      </c>
      <c r="S81" s="27">
        <v>571179</v>
      </c>
      <c r="T81" s="27">
        <v>555379</v>
      </c>
      <c r="U81" s="27">
        <v>547827</v>
      </c>
    </row>
    <row r="82" spans="2:21" s="73" customFormat="1">
      <c r="B82" s="26">
        <v>68</v>
      </c>
      <c r="C82" s="27">
        <v>419424</v>
      </c>
      <c r="D82" s="27">
        <v>415454</v>
      </c>
      <c r="E82" s="27">
        <v>427136</v>
      </c>
      <c r="F82" s="27">
        <v>433634</v>
      </c>
      <c r="G82" s="27">
        <v>440767</v>
      </c>
      <c r="H82" s="27">
        <v>447421</v>
      </c>
      <c r="I82" s="27">
        <v>447360</v>
      </c>
      <c r="J82" s="27">
        <v>441885</v>
      </c>
      <c r="K82" s="27">
        <v>416018</v>
      </c>
      <c r="L82" s="27">
        <v>451108</v>
      </c>
      <c r="M82" s="27">
        <v>497039</v>
      </c>
      <c r="N82" s="27">
        <v>526877</v>
      </c>
      <c r="O82" s="27">
        <v>521990</v>
      </c>
      <c r="P82" s="27">
        <v>531985</v>
      </c>
      <c r="Q82" s="27">
        <v>682834</v>
      </c>
      <c r="R82" s="27">
        <v>622899</v>
      </c>
      <c r="S82" s="27">
        <v>584410</v>
      </c>
      <c r="T82" s="27">
        <v>565071</v>
      </c>
      <c r="U82" s="27">
        <v>549233</v>
      </c>
    </row>
    <row r="83" spans="2:21" s="73" customFormat="1">
      <c r="B83" s="26">
        <v>69</v>
      </c>
      <c r="C83" s="27">
        <v>419748</v>
      </c>
      <c r="D83" s="27">
        <v>411016</v>
      </c>
      <c r="E83" s="27">
        <v>407126</v>
      </c>
      <c r="F83" s="27">
        <v>418632</v>
      </c>
      <c r="G83" s="27">
        <v>425531</v>
      </c>
      <c r="H83" s="27">
        <v>431829</v>
      </c>
      <c r="I83" s="27">
        <v>439351</v>
      </c>
      <c r="J83" s="27">
        <v>440593</v>
      </c>
      <c r="K83" s="27">
        <v>434993</v>
      </c>
      <c r="L83" s="27">
        <v>409360</v>
      </c>
      <c r="M83" s="27">
        <v>444880</v>
      </c>
      <c r="N83" s="27">
        <v>490321</v>
      </c>
      <c r="O83" s="27">
        <v>520026</v>
      </c>
      <c r="P83" s="27">
        <v>515573</v>
      </c>
      <c r="Q83" s="27">
        <v>525701</v>
      </c>
      <c r="R83" s="27">
        <v>674633</v>
      </c>
      <c r="S83" s="27">
        <v>615389</v>
      </c>
      <c r="T83" s="27">
        <v>577419</v>
      </c>
      <c r="U83" s="27">
        <v>557886</v>
      </c>
    </row>
    <row r="84" spans="2:21" s="73" customFormat="1">
      <c r="B84" s="26">
        <v>70</v>
      </c>
      <c r="C84" s="27">
        <v>418497</v>
      </c>
      <c r="D84" s="27">
        <v>410775</v>
      </c>
      <c r="E84" s="27">
        <v>401983</v>
      </c>
      <c r="F84" s="27">
        <v>398479</v>
      </c>
      <c r="G84" s="27">
        <v>410500</v>
      </c>
      <c r="H84" s="27">
        <v>416695</v>
      </c>
      <c r="I84" s="27">
        <v>423642</v>
      </c>
      <c r="J84" s="27">
        <v>431893</v>
      </c>
      <c r="K84" s="27">
        <v>433226</v>
      </c>
      <c r="L84" s="27">
        <v>427710</v>
      </c>
      <c r="M84" s="27">
        <v>401964</v>
      </c>
      <c r="N84" s="27">
        <v>438272</v>
      </c>
      <c r="O84" s="27">
        <v>483169</v>
      </c>
      <c r="P84" s="27">
        <v>512750</v>
      </c>
      <c r="Q84" s="27">
        <v>508499</v>
      </c>
      <c r="R84" s="27">
        <v>518596</v>
      </c>
      <c r="S84" s="27">
        <v>665499</v>
      </c>
      <c r="T84" s="27">
        <v>607104</v>
      </c>
      <c r="U84" s="27">
        <v>569617</v>
      </c>
    </row>
    <row r="85" spans="2:21" s="73" customFormat="1">
      <c r="B85" s="26">
        <v>71</v>
      </c>
      <c r="C85" s="27">
        <v>406238</v>
      </c>
      <c r="D85" s="27">
        <v>408208</v>
      </c>
      <c r="E85" s="27">
        <v>401191</v>
      </c>
      <c r="F85" s="27">
        <v>392444</v>
      </c>
      <c r="G85" s="27">
        <v>389705</v>
      </c>
      <c r="H85" s="27">
        <v>401431</v>
      </c>
      <c r="I85" s="27">
        <v>408040</v>
      </c>
      <c r="J85" s="27">
        <v>415560</v>
      </c>
      <c r="K85" s="27">
        <v>423966</v>
      </c>
      <c r="L85" s="27">
        <v>425685</v>
      </c>
      <c r="M85" s="27">
        <v>419739</v>
      </c>
      <c r="N85" s="27">
        <v>395063</v>
      </c>
      <c r="O85" s="27">
        <v>431292</v>
      </c>
      <c r="P85" s="27">
        <v>475767</v>
      </c>
      <c r="Q85" s="27">
        <v>504922</v>
      </c>
      <c r="R85" s="27">
        <v>500806</v>
      </c>
      <c r="S85" s="27">
        <v>510863</v>
      </c>
      <c r="T85" s="27">
        <v>655698</v>
      </c>
      <c r="U85" s="27">
        <v>598038</v>
      </c>
    </row>
    <row r="86" spans="2:21" s="73" customFormat="1">
      <c r="B86" s="26">
        <v>72</v>
      </c>
      <c r="C86" s="27">
        <v>389768</v>
      </c>
      <c r="D86" s="27">
        <v>395400</v>
      </c>
      <c r="E86" s="27">
        <v>397268</v>
      </c>
      <c r="F86" s="27">
        <v>390808</v>
      </c>
      <c r="G86" s="27">
        <v>382659</v>
      </c>
      <c r="H86" s="27">
        <v>380094</v>
      </c>
      <c r="I86" s="27">
        <v>392557</v>
      </c>
      <c r="J86" s="27">
        <v>399592</v>
      </c>
      <c r="K86" s="27">
        <v>406875</v>
      </c>
      <c r="L86" s="27">
        <v>415802</v>
      </c>
      <c r="M86" s="27">
        <v>417439</v>
      </c>
      <c r="N86" s="27">
        <v>411871</v>
      </c>
      <c r="O86" s="27">
        <v>387792</v>
      </c>
      <c r="P86" s="27">
        <v>423577</v>
      </c>
      <c r="Q86" s="27">
        <v>467555</v>
      </c>
      <c r="R86" s="27">
        <v>496588</v>
      </c>
      <c r="S86" s="27">
        <v>492182</v>
      </c>
      <c r="T86" s="27">
        <v>502223</v>
      </c>
      <c r="U86" s="27">
        <v>645078</v>
      </c>
    </row>
    <row r="87" spans="2:21" s="73" customFormat="1">
      <c r="B87" s="26">
        <v>73</v>
      </c>
      <c r="C87" s="27">
        <v>372608</v>
      </c>
      <c r="D87" s="27">
        <v>378019</v>
      </c>
      <c r="E87" s="27">
        <v>383808</v>
      </c>
      <c r="F87" s="27">
        <v>385862</v>
      </c>
      <c r="G87" s="27">
        <v>380378</v>
      </c>
      <c r="H87" s="27">
        <v>371897</v>
      </c>
      <c r="I87" s="27">
        <v>370667</v>
      </c>
      <c r="J87" s="27">
        <v>383708</v>
      </c>
      <c r="K87" s="27">
        <v>390342</v>
      </c>
      <c r="L87" s="27">
        <v>397929</v>
      </c>
      <c r="M87" s="27">
        <v>406955</v>
      </c>
      <c r="N87" s="27">
        <v>408958</v>
      </c>
      <c r="O87" s="27">
        <v>403415</v>
      </c>
      <c r="P87" s="27">
        <v>380351</v>
      </c>
      <c r="Q87" s="27">
        <v>415572</v>
      </c>
      <c r="R87" s="27">
        <v>458582</v>
      </c>
      <c r="S87" s="27">
        <v>487021</v>
      </c>
      <c r="T87" s="27">
        <v>482933</v>
      </c>
      <c r="U87" s="27">
        <v>493261</v>
      </c>
    </row>
    <row r="88" spans="2:21" s="73" customFormat="1">
      <c r="B88" s="26">
        <v>74</v>
      </c>
      <c r="C88" s="27">
        <v>365793</v>
      </c>
      <c r="D88" s="27">
        <v>360196</v>
      </c>
      <c r="E88" s="27">
        <v>365734</v>
      </c>
      <c r="F88" s="27">
        <v>371782</v>
      </c>
      <c r="G88" s="27">
        <v>374394</v>
      </c>
      <c r="H88" s="27">
        <v>369093</v>
      </c>
      <c r="I88" s="27">
        <v>361340</v>
      </c>
      <c r="J88" s="27">
        <v>361230</v>
      </c>
      <c r="K88" s="27">
        <v>374108</v>
      </c>
      <c r="L88" s="27">
        <v>380763</v>
      </c>
      <c r="M88" s="27">
        <v>388454</v>
      </c>
      <c r="N88" s="27">
        <v>398269</v>
      </c>
      <c r="O88" s="27">
        <v>400106</v>
      </c>
      <c r="P88" s="27">
        <v>394967</v>
      </c>
      <c r="Q88" s="27">
        <v>372072</v>
      </c>
      <c r="R88" s="27">
        <v>406717</v>
      </c>
      <c r="S88" s="27">
        <v>448970</v>
      </c>
      <c r="T88" s="27">
        <v>476842</v>
      </c>
      <c r="U88" s="27">
        <v>473332</v>
      </c>
    </row>
    <row r="89" spans="2:21" s="73" customFormat="1">
      <c r="B89" s="26">
        <v>75</v>
      </c>
      <c r="C89" s="27">
        <v>354946</v>
      </c>
      <c r="D89" s="27">
        <v>352165</v>
      </c>
      <c r="E89" s="27">
        <v>347254</v>
      </c>
      <c r="F89" s="27">
        <v>352724</v>
      </c>
      <c r="G89" s="27">
        <v>359766</v>
      </c>
      <c r="H89" s="27">
        <v>362127</v>
      </c>
      <c r="I89" s="27">
        <v>357959</v>
      </c>
      <c r="J89" s="27">
        <v>350622</v>
      </c>
      <c r="K89" s="27">
        <v>351142</v>
      </c>
      <c r="L89" s="27">
        <v>364343</v>
      </c>
      <c r="M89" s="27">
        <v>370663</v>
      </c>
      <c r="N89" s="27">
        <v>378905</v>
      </c>
      <c r="O89" s="27">
        <v>388543</v>
      </c>
      <c r="P89" s="27">
        <v>390814</v>
      </c>
      <c r="Q89" s="27">
        <v>385501</v>
      </c>
      <c r="R89" s="27">
        <v>363263</v>
      </c>
      <c r="S89" s="27">
        <v>396976</v>
      </c>
      <c r="T89" s="27">
        <v>438272</v>
      </c>
      <c r="U89" s="27">
        <v>466239</v>
      </c>
    </row>
    <row r="90" spans="2:21" s="73" customFormat="1">
      <c r="B90" s="26">
        <v>76</v>
      </c>
      <c r="C90" s="27">
        <v>339266</v>
      </c>
      <c r="D90" s="27">
        <v>340193</v>
      </c>
      <c r="E90" s="27">
        <v>337785</v>
      </c>
      <c r="F90" s="27">
        <v>333902</v>
      </c>
      <c r="G90" s="27">
        <v>339391</v>
      </c>
      <c r="H90" s="27">
        <v>346871</v>
      </c>
      <c r="I90" s="27">
        <v>349623</v>
      </c>
      <c r="J90" s="27">
        <v>346458</v>
      </c>
      <c r="K90" s="27">
        <v>339242</v>
      </c>
      <c r="L90" s="27">
        <v>340677</v>
      </c>
      <c r="M90" s="27">
        <v>353894</v>
      </c>
      <c r="N90" s="27">
        <v>360580</v>
      </c>
      <c r="O90" s="27">
        <v>368394</v>
      </c>
      <c r="P90" s="27">
        <v>378656</v>
      </c>
      <c r="Q90" s="27">
        <v>380304</v>
      </c>
      <c r="R90" s="27">
        <v>375407</v>
      </c>
      <c r="S90" s="27">
        <v>353696</v>
      </c>
      <c r="T90" s="27">
        <v>386454</v>
      </c>
      <c r="U90" s="27">
        <v>427207</v>
      </c>
    </row>
    <row r="91" spans="2:21" s="73" customFormat="1">
      <c r="B91" s="26">
        <v>77</v>
      </c>
      <c r="C91" s="27">
        <v>326016</v>
      </c>
      <c r="D91" s="27">
        <v>323900</v>
      </c>
      <c r="E91" s="27">
        <v>324901</v>
      </c>
      <c r="F91" s="27">
        <v>322960</v>
      </c>
      <c r="G91" s="27">
        <v>320205</v>
      </c>
      <c r="H91" s="27">
        <v>325777</v>
      </c>
      <c r="I91" s="27">
        <v>333794</v>
      </c>
      <c r="J91" s="27">
        <v>336963</v>
      </c>
      <c r="K91" s="27">
        <v>334297</v>
      </c>
      <c r="L91" s="27">
        <v>327501</v>
      </c>
      <c r="M91" s="27">
        <v>329623</v>
      </c>
      <c r="N91" s="27">
        <v>343085</v>
      </c>
      <c r="O91" s="27">
        <v>349506</v>
      </c>
      <c r="P91" s="27">
        <v>357814</v>
      </c>
      <c r="Q91" s="27">
        <v>367100</v>
      </c>
      <c r="R91" s="27">
        <v>369087</v>
      </c>
      <c r="S91" s="27">
        <v>364242</v>
      </c>
      <c r="T91" s="27">
        <v>342915</v>
      </c>
      <c r="U91" s="27">
        <v>375723</v>
      </c>
    </row>
    <row r="92" spans="2:21" s="73" customFormat="1">
      <c r="B92" s="26">
        <v>78</v>
      </c>
      <c r="C92" s="27">
        <v>313336</v>
      </c>
      <c r="D92" s="27">
        <v>309949</v>
      </c>
      <c r="E92" s="27">
        <v>307977</v>
      </c>
      <c r="F92" s="27">
        <v>309201</v>
      </c>
      <c r="G92" s="27">
        <v>307929</v>
      </c>
      <c r="H92" s="27">
        <v>305750</v>
      </c>
      <c r="I92" s="27">
        <v>311924</v>
      </c>
      <c r="J92" s="27">
        <v>320317</v>
      </c>
      <c r="K92" s="27">
        <v>323746</v>
      </c>
      <c r="L92" s="27">
        <v>322052</v>
      </c>
      <c r="M92" s="27">
        <v>315300</v>
      </c>
      <c r="N92" s="27">
        <v>318237</v>
      </c>
      <c r="O92" s="27">
        <v>331226</v>
      </c>
      <c r="P92" s="27">
        <v>338316</v>
      </c>
      <c r="Q92" s="27">
        <v>345778</v>
      </c>
      <c r="R92" s="27">
        <v>354957</v>
      </c>
      <c r="S92" s="27">
        <v>356752</v>
      </c>
      <c r="T92" s="27">
        <v>352025</v>
      </c>
      <c r="U92" s="27">
        <v>332047</v>
      </c>
    </row>
    <row r="93" spans="2:21" s="73" customFormat="1">
      <c r="B93" s="26">
        <v>79</v>
      </c>
      <c r="C93" s="27">
        <v>311163</v>
      </c>
      <c r="D93" s="27">
        <v>296628</v>
      </c>
      <c r="E93" s="27">
        <v>293156</v>
      </c>
      <c r="F93" s="27">
        <v>291641</v>
      </c>
      <c r="G93" s="27">
        <v>292956</v>
      </c>
      <c r="H93" s="27">
        <v>292676</v>
      </c>
      <c r="I93" s="27">
        <v>291377</v>
      </c>
      <c r="J93" s="27">
        <v>297842</v>
      </c>
      <c r="K93" s="27">
        <v>306159</v>
      </c>
      <c r="L93" s="27">
        <v>310175</v>
      </c>
      <c r="M93" s="27">
        <v>308851</v>
      </c>
      <c r="N93" s="27">
        <v>303283</v>
      </c>
      <c r="O93" s="27">
        <v>305805</v>
      </c>
      <c r="P93" s="27">
        <v>319358</v>
      </c>
      <c r="Q93" s="27">
        <v>325545</v>
      </c>
      <c r="R93" s="27">
        <v>333332</v>
      </c>
      <c r="S93" s="27">
        <v>341754</v>
      </c>
      <c r="T93" s="27">
        <v>343460</v>
      </c>
      <c r="U93" s="27">
        <v>339470</v>
      </c>
    </row>
    <row r="94" spans="2:21" s="73" customFormat="1">
      <c r="B94" s="26">
        <v>80</v>
      </c>
      <c r="C94" s="27">
        <v>308622</v>
      </c>
      <c r="D94" s="27">
        <v>292254</v>
      </c>
      <c r="E94" s="27">
        <v>278916</v>
      </c>
      <c r="F94" s="27">
        <v>275976</v>
      </c>
      <c r="G94" s="27">
        <v>275169</v>
      </c>
      <c r="H94" s="27">
        <v>277123</v>
      </c>
      <c r="I94" s="27">
        <v>277006</v>
      </c>
      <c r="J94" s="27">
        <v>276465</v>
      </c>
      <c r="K94" s="27">
        <v>282925</v>
      </c>
      <c r="L94" s="27">
        <v>291867</v>
      </c>
      <c r="M94" s="27">
        <v>295917</v>
      </c>
      <c r="N94" s="27">
        <v>295355</v>
      </c>
      <c r="O94" s="27">
        <v>289971</v>
      </c>
      <c r="P94" s="27">
        <v>293318</v>
      </c>
      <c r="Q94" s="27">
        <v>305377</v>
      </c>
      <c r="R94" s="27">
        <v>312214</v>
      </c>
      <c r="S94" s="27">
        <v>319364</v>
      </c>
      <c r="T94" s="27">
        <v>327252</v>
      </c>
      <c r="U94" s="27">
        <v>329713</v>
      </c>
    </row>
    <row r="95" spans="2:21" s="73" customFormat="1">
      <c r="B95" s="26">
        <v>81</v>
      </c>
      <c r="C95" s="27">
        <v>287067</v>
      </c>
      <c r="D95" s="27">
        <v>287985</v>
      </c>
      <c r="E95" s="27">
        <v>273151</v>
      </c>
      <c r="F95" s="27">
        <v>260834</v>
      </c>
      <c r="G95" s="27">
        <v>258609</v>
      </c>
      <c r="H95" s="27">
        <v>258574</v>
      </c>
      <c r="I95" s="27">
        <v>260900</v>
      </c>
      <c r="J95" s="27">
        <v>260970</v>
      </c>
      <c r="K95" s="27">
        <v>260739</v>
      </c>
      <c r="L95" s="27">
        <v>267769</v>
      </c>
      <c r="M95" s="27">
        <v>277110</v>
      </c>
      <c r="N95" s="27">
        <v>281244</v>
      </c>
      <c r="O95" s="27">
        <v>280858</v>
      </c>
      <c r="P95" s="27">
        <v>276571</v>
      </c>
      <c r="Q95" s="27">
        <v>278932</v>
      </c>
      <c r="R95" s="27">
        <v>291144</v>
      </c>
      <c r="S95" s="27">
        <v>297652</v>
      </c>
      <c r="T95" s="27">
        <v>304265</v>
      </c>
      <c r="U95" s="27">
        <v>312737</v>
      </c>
    </row>
    <row r="96" spans="2:21" s="73" customFormat="1">
      <c r="B96" s="26">
        <v>82</v>
      </c>
      <c r="C96" s="27">
        <v>200110</v>
      </c>
      <c r="D96" s="27">
        <v>265030</v>
      </c>
      <c r="E96" s="27">
        <v>266722</v>
      </c>
      <c r="F96" s="27">
        <v>253561</v>
      </c>
      <c r="G96" s="27">
        <v>243045</v>
      </c>
      <c r="H96" s="27">
        <v>241289</v>
      </c>
      <c r="I96" s="27">
        <v>241628</v>
      </c>
      <c r="J96" s="27">
        <v>243979</v>
      </c>
      <c r="K96" s="27">
        <v>244427</v>
      </c>
      <c r="L96" s="27">
        <v>245377</v>
      </c>
      <c r="M96" s="27">
        <v>252303</v>
      </c>
      <c r="N96" s="27">
        <v>261569</v>
      </c>
      <c r="O96" s="27">
        <v>265171</v>
      </c>
      <c r="P96" s="27">
        <v>266116</v>
      </c>
      <c r="Q96" s="27">
        <v>261228</v>
      </c>
      <c r="R96" s="27">
        <v>264161</v>
      </c>
      <c r="S96" s="27">
        <v>275694</v>
      </c>
      <c r="T96" s="27">
        <v>281645</v>
      </c>
      <c r="U96" s="27">
        <v>289092</v>
      </c>
    </row>
    <row r="97" spans="2:21" s="73" customFormat="1">
      <c r="B97" s="26">
        <v>83</v>
      </c>
      <c r="C97" s="27">
        <v>160327</v>
      </c>
      <c r="D97" s="27">
        <v>185183</v>
      </c>
      <c r="E97" s="27">
        <v>242773</v>
      </c>
      <c r="F97" s="27">
        <v>245130</v>
      </c>
      <c r="G97" s="27">
        <v>234125</v>
      </c>
      <c r="H97" s="27">
        <v>225329</v>
      </c>
      <c r="I97" s="27">
        <v>224069</v>
      </c>
      <c r="J97" s="27">
        <v>224452</v>
      </c>
      <c r="K97" s="27">
        <v>227204</v>
      </c>
      <c r="L97" s="27">
        <v>227987</v>
      </c>
      <c r="M97" s="27">
        <v>229424</v>
      </c>
      <c r="N97" s="27">
        <v>236408</v>
      </c>
      <c r="O97" s="27">
        <v>245045</v>
      </c>
      <c r="P97" s="27">
        <v>249473</v>
      </c>
      <c r="Q97" s="27">
        <v>249194</v>
      </c>
      <c r="R97" s="27">
        <v>245530</v>
      </c>
      <c r="S97" s="27">
        <v>248408</v>
      </c>
      <c r="T97" s="27">
        <v>259280</v>
      </c>
      <c r="U97" s="27">
        <v>265631</v>
      </c>
    </row>
    <row r="98" spans="2:21" s="73" customFormat="1">
      <c r="B98" s="26">
        <v>84</v>
      </c>
      <c r="C98" s="27">
        <v>162830</v>
      </c>
      <c r="D98" s="27">
        <v>145996</v>
      </c>
      <c r="E98" s="27">
        <v>170294</v>
      </c>
      <c r="F98" s="27">
        <v>220242</v>
      </c>
      <c r="G98" s="27">
        <v>223963</v>
      </c>
      <c r="H98" s="27">
        <v>214767</v>
      </c>
      <c r="I98" s="27">
        <v>207387</v>
      </c>
      <c r="J98" s="27">
        <v>206451</v>
      </c>
      <c r="K98" s="27">
        <v>206894</v>
      </c>
      <c r="L98" s="27">
        <v>210353</v>
      </c>
      <c r="M98" s="27">
        <v>211093</v>
      </c>
      <c r="N98" s="27">
        <v>212846</v>
      </c>
      <c r="O98" s="27">
        <v>219220</v>
      </c>
      <c r="P98" s="27">
        <v>228883</v>
      </c>
      <c r="Q98" s="27">
        <v>231569</v>
      </c>
      <c r="R98" s="27">
        <v>232310</v>
      </c>
      <c r="S98" s="27">
        <v>228736</v>
      </c>
      <c r="T98" s="27">
        <v>231314</v>
      </c>
      <c r="U98" s="27">
        <v>242740</v>
      </c>
    </row>
    <row r="99" spans="2:21">
      <c r="B99" s="6">
        <v>85</v>
      </c>
      <c r="C99" s="21">
        <v>155219</v>
      </c>
      <c r="D99" s="21">
        <v>146730</v>
      </c>
      <c r="E99" s="21">
        <v>131445</v>
      </c>
      <c r="F99" s="21">
        <v>155275</v>
      </c>
      <c r="G99" s="21">
        <v>198107</v>
      </c>
      <c r="H99" s="21">
        <v>203169</v>
      </c>
      <c r="I99" s="21">
        <v>195727</v>
      </c>
      <c r="J99" s="21">
        <v>189325</v>
      </c>
      <c r="K99" s="21">
        <v>188533</v>
      </c>
      <c r="L99" s="21">
        <v>189767</v>
      </c>
      <c r="M99" s="21">
        <v>193088</v>
      </c>
      <c r="N99" s="21">
        <v>194386</v>
      </c>
      <c r="O99" s="21">
        <v>195323</v>
      </c>
      <c r="P99" s="21">
        <v>202900</v>
      </c>
      <c r="Q99" s="21">
        <v>210446</v>
      </c>
      <c r="R99" s="21">
        <v>213876</v>
      </c>
      <c r="S99" s="21">
        <v>214145</v>
      </c>
      <c r="T99" s="21">
        <v>211152</v>
      </c>
      <c r="U99" s="21">
        <v>214727</v>
      </c>
    </row>
    <row r="100" spans="2:21">
      <c r="B100" s="6">
        <v>86</v>
      </c>
      <c r="C100" s="21">
        <v>148434</v>
      </c>
      <c r="D100" s="21">
        <v>138062</v>
      </c>
      <c r="E100" s="21">
        <v>130797</v>
      </c>
      <c r="F100" s="21">
        <v>116735</v>
      </c>
      <c r="G100" s="21">
        <v>140498</v>
      </c>
      <c r="H100" s="21">
        <v>176896</v>
      </c>
      <c r="I100" s="21">
        <v>182561</v>
      </c>
      <c r="J100" s="21">
        <v>176676</v>
      </c>
      <c r="K100" s="21">
        <v>171171</v>
      </c>
      <c r="L100" s="21">
        <v>171355</v>
      </c>
      <c r="M100" s="21">
        <v>172522</v>
      </c>
      <c r="N100" s="21">
        <v>175771</v>
      </c>
      <c r="O100" s="21">
        <v>176725</v>
      </c>
      <c r="P100" s="21">
        <v>179149</v>
      </c>
      <c r="Q100" s="21">
        <v>184425</v>
      </c>
      <c r="R100" s="21">
        <v>192240</v>
      </c>
      <c r="S100" s="21">
        <v>195523</v>
      </c>
      <c r="T100" s="21">
        <v>195247</v>
      </c>
      <c r="U100" s="21">
        <v>194007</v>
      </c>
    </row>
    <row r="101" spans="2:21">
      <c r="B101" s="6">
        <v>87</v>
      </c>
      <c r="C101" s="21">
        <v>130533</v>
      </c>
      <c r="D101" s="21">
        <v>130664</v>
      </c>
      <c r="E101" s="21">
        <v>121222</v>
      </c>
      <c r="F101" s="21">
        <v>115021</v>
      </c>
      <c r="G101" s="21">
        <v>103087</v>
      </c>
      <c r="H101" s="21">
        <v>126393</v>
      </c>
      <c r="I101" s="21">
        <v>156093</v>
      </c>
      <c r="J101" s="21">
        <v>162598</v>
      </c>
      <c r="K101" s="21">
        <v>157676</v>
      </c>
      <c r="L101" s="21">
        <v>153741</v>
      </c>
      <c r="M101" s="21">
        <v>154122</v>
      </c>
      <c r="N101" s="21">
        <v>155360</v>
      </c>
      <c r="O101" s="21">
        <v>157983</v>
      </c>
      <c r="P101" s="21">
        <v>160080</v>
      </c>
      <c r="Q101" s="21">
        <v>160779</v>
      </c>
      <c r="R101" s="21">
        <v>166582</v>
      </c>
      <c r="S101" s="21">
        <v>173368</v>
      </c>
      <c r="T101" s="21">
        <v>175993</v>
      </c>
      <c r="U101" s="21">
        <v>177399</v>
      </c>
    </row>
    <row r="102" spans="2:21">
      <c r="B102" s="6">
        <v>88</v>
      </c>
      <c r="C102" s="21">
        <v>111700</v>
      </c>
      <c r="D102" s="21">
        <v>113448</v>
      </c>
      <c r="E102" s="21">
        <v>113634</v>
      </c>
      <c r="F102" s="21">
        <v>104845</v>
      </c>
      <c r="G102" s="21">
        <v>100105</v>
      </c>
      <c r="H102" s="21">
        <v>90047</v>
      </c>
      <c r="I102" s="21">
        <v>113191</v>
      </c>
      <c r="J102" s="21">
        <v>135494</v>
      </c>
      <c r="K102" s="21">
        <v>142549</v>
      </c>
      <c r="L102" s="21">
        <v>139940</v>
      </c>
      <c r="M102" s="21">
        <v>136775</v>
      </c>
      <c r="N102" s="21">
        <v>137232</v>
      </c>
      <c r="O102" s="21">
        <v>137840</v>
      </c>
      <c r="P102" s="21">
        <v>141345</v>
      </c>
      <c r="Q102" s="21">
        <v>141595</v>
      </c>
      <c r="R102" s="21">
        <v>143201</v>
      </c>
      <c r="S102" s="21">
        <v>148227</v>
      </c>
      <c r="T102" s="21">
        <v>153958</v>
      </c>
      <c r="U102" s="21">
        <v>157770</v>
      </c>
    </row>
    <row r="103" spans="2:21">
      <c r="B103" s="6">
        <v>89</v>
      </c>
      <c r="C103" s="21">
        <v>92390</v>
      </c>
      <c r="D103" s="21">
        <v>95465</v>
      </c>
      <c r="E103" s="21">
        <v>96967</v>
      </c>
      <c r="F103" s="21">
        <v>97353</v>
      </c>
      <c r="G103" s="21">
        <v>89456</v>
      </c>
      <c r="H103" s="21">
        <v>86262</v>
      </c>
      <c r="I103" s="21">
        <v>77687</v>
      </c>
      <c r="J103" s="21">
        <v>100172</v>
      </c>
      <c r="K103" s="21">
        <v>115690</v>
      </c>
      <c r="L103" s="21">
        <v>123979</v>
      </c>
      <c r="M103" s="21">
        <v>122397</v>
      </c>
      <c r="N103" s="21">
        <v>119676</v>
      </c>
      <c r="O103" s="21">
        <v>119583</v>
      </c>
      <c r="P103" s="21">
        <v>121637</v>
      </c>
      <c r="Q103" s="21">
        <v>123076</v>
      </c>
      <c r="R103" s="21">
        <v>124347</v>
      </c>
      <c r="S103" s="21">
        <v>125549</v>
      </c>
      <c r="T103" s="21">
        <v>129352</v>
      </c>
      <c r="U103" s="21">
        <v>135875</v>
      </c>
    </row>
    <row r="104" spans="2:21">
      <c r="B104" s="6">
        <v>90</v>
      </c>
      <c r="C104" s="21">
        <v>320567</v>
      </c>
      <c r="D104" s="21">
        <v>330572</v>
      </c>
      <c r="E104" s="21">
        <v>339615</v>
      </c>
      <c r="F104" s="21">
        <v>347713</v>
      </c>
      <c r="G104" s="21">
        <v>355451</v>
      </c>
      <c r="H104" s="21">
        <v>357177</v>
      </c>
      <c r="I104" s="21">
        <v>357575</v>
      </c>
      <c r="J104" s="21">
        <v>347349</v>
      </c>
      <c r="K104" s="21">
        <v>360118</v>
      </c>
      <c r="L104" s="21">
        <v>386268</v>
      </c>
      <c r="M104" s="21">
        <v>414414</v>
      </c>
      <c r="N104" s="21">
        <v>438081</v>
      </c>
      <c r="O104" s="21">
        <v>450413</v>
      </c>
      <c r="P104" s="21">
        <v>470405</v>
      </c>
      <c r="Q104" s="21">
        <v>474968</v>
      </c>
      <c r="R104" s="21">
        <v>487846</v>
      </c>
      <c r="S104" s="21">
        <v>495244</v>
      </c>
      <c r="T104" s="21">
        <v>499276</v>
      </c>
      <c r="U104" s="21">
        <v>517273</v>
      </c>
    </row>
    <row r="105" spans="2:21" s="9" customFormat="1">
      <c r="B105" s="5" t="s">
        <v>22</v>
      </c>
      <c r="C105" s="22">
        <v>49449746</v>
      </c>
      <c r="D105" s="22">
        <v>49679267</v>
      </c>
      <c r="E105" s="22">
        <v>49925517</v>
      </c>
      <c r="F105" s="22">
        <v>50194600</v>
      </c>
      <c r="G105" s="22">
        <v>50606034</v>
      </c>
      <c r="H105" s="22">
        <v>50965186</v>
      </c>
      <c r="I105" s="22">
        <v>51381093</v>
      </c>
      <c r="J105" s="22">
        <v>51815853</v>
      </c>
      <c r="K105" s="22">
        <v>52196381</v>
      </c>
      <c r="L105" s="22">
        <v>52642452</v>
      </c>
      <c r="M105" s="22">
        <v>53107169</v>
      </c>
      <c r="N105" s="22">
        <v>53493729</v>
      </c>
      <c r="O105" s="22">
        <v>53865817</v>
      </c>
      <c r="P105" s="22">
        <v>54316618</v>
      </c>
      <c r="Q105" s="22">
        <v>54786327</v>
      </c>
      <c r="R105" s="22">
        <v>55268067</v>
      </c>
      <c r="S105" s="22">
        <v>55619430</v>
      </c>
      <c r="T105" s="22">
        <v>55977178</v>
      </c>
      <c r="U105" s="22">
        <v>56286961</v>
      </c>
    </row>
    <row r="108" spans="2:21">
      <c r="B108" s="35" t="s">
        <v>3282</v>
      </c>
    </row>
    <row r="109" spans="2:21">
      <c r="O109" s="23"/>
    </row>
    <row r="110" spans="2:21">
      <c r="C110" s="32">
        <v>2001</v>
      </c>
      <c r="D110" s="32">
        <v>2002</v>
      </c>
      <c r="E110" s="32">
        <v>2003</v>
      </c>
      <c r="F110" s="32">
        <v>2004</v>
      </c>
      <c r="G110" s="32">
        <v>2005</v>
      </c>
      <c r="H110" s="32">
        <v>2006</v>
      </c>
      <c r="I110" s="32">
        <v>2007</v>
      </c>
      <c r="J110" s="32">
        <v>2008</v>
      </c>
      <c r="K110" s="32">
        <v>2009</v>
      </c>
      <c r="L110" s="32">
        <v>2010</v>
      </c>
      <c r="M110" s="32">
        <v>2011</v>
      </c>
      <c r="N110" s="32">
        <v>2012</v>
      </c>
      <c r="O110" s="32">
        <v>2013</v>
      </c>
      <c r="P110" s="32">
        <v>2014</v>
      </c>
      <c r="Q110" s="32">
        <v>2015</v>
      </c>
      <c r="R110" s="32">
        <v>2016</v>
      </c>
      <c r="S110" s="32">
        <v>2017</v>
      </c>
      <c r="T110" s="32">
        <v>2018</v>
      </c>
      <c r="U110" s="32">
        <v>2019</v>
      </c>
    </row>
    <row r="111" spans="2:21">
      <c r="B111" s="36" t="s">
        <v>186</v>
      </c>
      <c r="C111" s="36">
        <f t="shared" ref="C111:T111" si="0">SUM(C14:C23)</f>
        <v>6044627</v>
      </c>
      <c r="D111" s="36">
        <f t="shared" si="0"/>
        <v>5977860</v>
      </c>
      <c r="E111" s="36">
        <f t="shared" si="0"/>
        <v>5948011</v>
      </c>
      <c r="F111" s="36">
        <f t="shared" si="0"/>
        <v>5935856</v>
      </c>
      <c r="G111" s="36">
        <f t="shared" si="0"/>
        <v>5938712</v>
      </c>
      <c r="H111" s="36">
        <f t="shared" si="0"/>
        <v>5950218</v>
      </c>
      <c r="I111" s="36">
        <f t="shared" si="0"/>
        <v>5986517</v>
      </c>
      <c r="J111" s="36">
        <f t="shared" si="0"/>
        <v>6054759</v>
      </c>
      <c r="K111" s="36">
        <f t="shared" si="0"/>
        <v>6123677</v>
      </c>
      <c r="L111" s="36">
        <f t="shared" si="0"/>
        <v>6214845</v>
      </c>
      <c r="M111" s="36">
        <f t="shared" si="0"/>
        <v>6318881</v>
      </c>
      <c r="N111" s="36">
        <f t="shared" si="0"/>
        <v>6476938</v>
      </c>
      <c r="O111" s="36">
        <f t="shared" si="0"/>
        <v>6602049</v>
      </c>
      <c r="P111" s="36">
        <f t="shared" si="0"/>
        <v>6703322</v>
      </c>
      <c r="Q111" s="36">
        <f t="shared" si="0"/>
        <v>6792143</v>
      </c>
      <c r="R111" s="36">
        <f t="shared" si="0"/>
        <v>6857312</v>
      </c>
      <c r="S111" s="36">
        <f t="shared" si="0"/>
        <v>6882327</v>
      </c>
      <c r="T111" s="36">
        <f t="shared" si="0"/>
        <v>6870593</v>
      </c>
      <c r="U111" s="36">
        <f t="shared" ref="U111" si="1">SUM(U14:U23)</f>
        <v>6837843</v>
      </c>
    </row>
    <row r="112" spans="2:21">
      <c r="B112" s="36" t="s">
        <v>187</v>
      </c>
      <c r="C112" s="36">
        <f t="shared" ref="C112:T112" si="2">SUM(C24:C33)</f>
        <v>6283061</v>
      </c>
      <c r="D112" s="36">
        <f t="shared" si="2"/>
        <v>6361983</v>
      </c>
      <c r="E112" s="36">
        <f t="shared" si="2"/>
        <v>6426170</v>
      </c>
      <c r="F112" s="36">
        <f t="shared" si="2"/>
        <v>6457806</v>
      </c>
      <c r="G112" s="36">
        <f t="shared" si="2"/>
        <v>6465302</v>
      </c>
      <c r="H112" s="36">
        <f t="shared" si="2"/>
        <v>6473004</v>
      </c>
      <c r="I112" s="36">
        <f t="shared" si="2"/>
        <v>6500034</v>
      </c>
      <c r="J112" s="36">
        <f t="shared" si="2"/>
        <v>6487911</v>
      </c>
      <c r="K112" s="36">
        <f t="shared" si="2"/>
        <v>6483854</v>
      </c>
      <c r="L112" s="36">
        <f t="shared" si="2"/>
        <v>6452370</v>
      </c>
      <c r="M112" s="36">
        <f t="shared" si="2"/>
        <v>6391681</v>
      </c>
      <c r="N112" s="36">
        <f t="shared" si="2"/>
        <v>6294177</v>
      </c>
      <c r="O112" s="36">
        <f t="shared" si="2"/>
        <v>6231145</v>
      </c>
      <c r="P112" s="36">
        <f t="shared" si="2"/>
        <v>6204009</v>
      </c>
      <c r="Q112" s="36">
        <f t="shared" si="2"/>
        <v>6213584</v>
      </c>
      <c r="R112" s="36">
        <f t="shared" si="2"/>
        <v>6249664</v>
      </c>
      <c r="S112" s="36">
        <f t="shared" si="2"/>
        <v>6286768</v>
      </c>
      <c r="T112" s="36">
        <f t="shared" si="2"/>
        <v>6370694</v>
      </c>
      <c r="U112" s="36">
        <f t="shared" ref="U112" si="3">SUM(U24:U33)</f>
        <v>6444478</v>
      </c>
    </row>
    <row r="113" spans="2:21">
      <c r="B113" s="36" t="s">
        <v>188</v>
      </c>
      <c r="C113" s="36">
        <f t="shared" ref="C113:T113" si="4">SUM(C34:C43)</f>
        <v>6307052</v>
      </c>
      <c r="D113" s="36">
        <f t="shared" si="4"/>
        <v>6266402</v>
      </c>
      <c r="E113" s="36">
        <f t="shared" si="4"/>
        <v>6269710</v>
      </c>
      <c r="F113" s="36">
        <f t="shared" si="4"/>
        <v>6359933</v>
      </c>
      <c r="G113" s="36">
        <f t="shared" si="4"/>
        <v>6541989</v>
      </c>
      <c r="H113" s="36">
        <f t="shared" si="4"/>
        <v>6699872</v>
      </c>
      <c r="I113" s="36">
        <f t="shared" si="4"/>
        <v>6878234</v>
      </c>
      <c r="J113" s="36">
        <f t="shared" si="4"/>
        <v>7029451</v>
      </c>
      <c r="K113" s="36">
        <f t="shared" si="4"/>
        <v>7061765</v>
      </c>
      <c r="L113" s="36">
        <f t="shared" si="4"/>
        <v>7139142</v>
      </c>
      <c r="M113" s="36">
        <f t="shared" si="4"/>
        <v>7253488</v>
      </c>
      <c r="N113" s="36">
        <f t="shared" si="4"/>
        <v>7281128</v>
      </c>
      <c r="O113" s="36">
        <f t="shared" si="4"/>
        <v>7289070</v>
      </c>
      <c r="P113" s="36">
        <f t="shared" si="4"/>
        <v>7324799</v>
      </c>
      <c r="Q113" s="36">
        <f t="shared" si="4"/>
        <v>7350225</v>
      </c>
      <c r="R113" s="36">
        <f t="shared" si="4"/>
        <v>7371543</v>
      </c>
      <c r="S113" s="36">
        <f t="shared" si="4"/>
        <v>7357765</v>
      </c>
      <c r="T113" s="36">
        <f t="shared" si="4"/>
        <v>7328578</v>
      </c>
      <c r="U113" s="36">
        <f t="shared" ref="U113" si="5">SUM(U34:U43)</f>
        <v>7289272</v>
      </c>
    </row>
    <row r="114" spans="2:21">
      <c r="B114" s="36" t="s">
        <v>189</v>
      </c>
      <c r="C114" s="36">
        <f t="shared" ref="C114:T114" si="6">SUM(C44:C53)</f>
        <v>7769534</v>
      </c>
      <c r="D114" s="36">
        <f t="shared" si="6"/>
        <v>7762739</v>
      </c>
      <c r="E114" s="36">
        <f t="shared" si="6"/>
        <v>7700002</v>
      </c>
      <c r="F114" s="36">
        <f t="shared" si="6"/>
        <v>7583927</v>
      </c>
      <c r="G114" s="36">
        <f t="shared" si="6"/>
        <v>7483215</v>
      </c>
      <c r="H114" s="36">
        <f t="shared" si="6"/>
        <v>7360256</v>
      </c>
      <c r="I114" s="36">
        <f t="shared" si="6"/>
        <v>7221912</v>
      </c>
      <c r="J114" s="36">
        <f t="shared" si="6"/>
        <v>7129437</v>
      </c>
      <c r="K114" s="36">
        <f t="shared" si="6"/>
        <v>7078438</v>
      </c>
      <c r="L114" s="36">
        <f t="shared" si="6"/>
        <v>7070941</v>
      </c>
      <c r="M114" s="36">
        <f t="shared" si="6"/>
        <v>7051522</v>
      </c>
      <c r="N114" s="36">
        <f t="shared" si="6"/>
        <v>7030570</v>
      </c>
      <c r="O114" s="36">
        <f t="shared" si="6"/>
        <v>7051199</v>
      </c>
      <c r="P114" s="36">
        <f t="shared" si="6"/>
        <v>7103213</v>
      </c>
      <c r="Q114" s="36">
        <f t="shared" si="6"/>
        <v>7198946</v>
      </c>
      <c r="R114" s="36">
        <f t="shared" si="6"/>
        <v>7306634</v>
      </c>
      <c r="S114" s="36">
        <f t="shared" si="6"/>
        <v>7400043</v>
      </c>
      <c r="T114" s="36">
        <f t="shared" si="6"/>
        <v>7505080</v>
      </c>
      <c r="U114" s="36">
        <f t="shared" ref="U114" si="7">SUM(U44:U53)</f>
        <v>7541596</v>
      </c>
    </row>
    <row r="115" spans="2:21">
      <c r="B115" s="36" t="s">
        <v>190</v>
      </c>
      <c r="C115" s="36">
        <f t="shared" ref="C115:T115" si="8">SUM(C54:C63)</f>
        <v>6616880</v>
      </c>
      <c r="D115" s="36">
        <f t="shared" si="8"/>
        <v>6749730</v>
      </c>
      <c r="E115" s="36">
        <f t="shared" si="8"/>
        <v>6900661</v>
      </c>
      <c r="F115" s="36">
        <f t="shared" si="8"/>
        <v>7054217</v>
      </c>
      <c r="G115" s="36">
        <f t="shared" si="8"/>
        <v>7235112</v>
      </c>
      <c r="H115" s="36">
        <f t="shared" si="8"/>
        <v>7385707</v>
      </c>
      <c r="I115" s="36">
        <f t="shared" si="8"/>
        <v>7516042</v>
      </c>
      <c r="J115" s="36">
        <f t="shared" si="8"/>
        <v>7605992</v>
      </c>
      <c r="K115" s="36">
        <f t="shared" si="8"/>
        <v>7694872</v>
      </c>
      <c r="L115" s="36">
        <f t="shared" si="8"/>
        <v>7741277</v>
      </c>
      <c r="M115" s="36">
        <f t="shared" si="8"/>
        <v>7773559</v>
      </c>
      <c r="N115" s="36">
        <f t="shared" si="8"/>
        <v>7764324</v>
      </c>
      <c r="O115" s="36">
        <f t="shared" si="8"/>
        <v>7715667</v>
      </c>
      <c r="P115" s="36">
        <f t="shared" si="8"/>
        <v>7625767</v>
      </c>
      <c r="Q115" s="36">
        <f t="shared" si="8"/>
        <v>7525814</v>
      </c>
      <c r="R115" s="36">
        <f t="shared" si="8"/>
        <v>7418345</v>
      </c>
      <c r="S115" s="36">
        <f t="shared" si="8"/>
        <v>7292866</v>
      </c>
      <c r="T115" s="36">
        <f t="shared" si="8"/>
        <v>7189826</v>
      </c>
      <c r="U115" s="36">
        <f t="shared" ref="U115" si="9">SUM(U54:U63)</f>
        <v>7130109</v>
      </c>
    </row>
    <row r="116" spans="2:21">
      <c r="B116" s="36" t="s">
        <v>191</v>
      </c>
      <c r="C116" s="36">
        <f t="shared" ref="C116:T116" si="10">SUM(C64:C73)</f>
        <v>6197607</v>
      </c>
      <c r="D116" s="36">
        <f t="shared" si="10"/>
        <v>6281852</v>
      </c>
      <c r="E116" s="36">
        <f t="shared" si="10"/>
        <v>6307866</v>
      </c>
      <c r="F116" s="36">
        <f t="shared" si="10"/>
        <v>6315477</v>
      </c>
      <c r="G116" s="36">
        <f t="shared" si="10"/>
        <v>6323931</v>
      </c>
      <c r="H116" s="36">
        <f t="shared" si="10"/>
        <v>6339346</v>
      </c>
      <c r="I116" s="36">
        <f t="shared" si="10"/>
        <v>6229272</v>
      </c>
      <c r="J116" s="36">
        <f t="shared" si="10"/>
        <v>6203043</v>
      </c>
      <c r="K116" s="36">
        <f t="shared" si="10"/>
        <v>6240683</v>
      </c>
      <c r="L116" s="36">
        <f t="shared" si="10"/>
        <v>6308716</v>
      </c>
      <c r="M116" s="36">
        <f t="shared" si="10"/>
        <v>6426080</v>
      </c>
      <c r="N116" s="36">
        <f t="shared" si="10"/>
        <v>6577190</v>
      </c>
      <c r="O116" s="36">
        <f t="shared" si="10"/>
        <v>6731737</v>
      </c>
      <c r="P116" s="36">
        <f t="shared" si="10"/>
        <v>6903869</v>
      </c>
      <c r="Q116" s="36">
        <f t="shared" si="10"/>
        <v>7089322</v>
      </c>
      <c r="R116" s="36">
        <f t="shared" si="10"/>
        <v>7250755</v>
      </c>
      <c r="S116" s="36">
        <f t="shared" si="10"/>
        <v>7386230</v>
      </c>
      <c r="T116" s="36">
        <f t="shared" si="10"/>
        <v>7488780</v>
      </c>
      <c r="U116" s="36">
        <f t="shared" ref="U116" si="11">SUM(U64:U73)</f>
        <v>7578112</v>
      </c>
    </row>
    <row r="117" spans="2:21">
      <c r="B117" s="36" t="s">
        <v>192</v>
      </c>
      <c r="C117" s="36">
        <f t="shared" ref="C117:T117" si="12">SUM(C74:C83)</f>
        <v>4555555</v>
      </c>
      <c r="D117" s="36">
        <f t="shared" si="12"/>
        <v>4571879</v>
      </c>
      <c r="E117" s="36">
        <f t="shared" si="12"/>
        <v>4646504</v>
      </c>
      <c r="F117" s="36">
        <f t="shared" si="12"/>
        <v>4744896</v>
      </c>
      <c r="G117" s="36">
        <f t="shared" si="12"/>
        <v>4838275</v>
      </c>
      <c r="H117" s="36">
        <f t="shared" si="12"/>
        <v>4927346</v>
      </c>
      <c r="I117" s="36">
        <f t="shared" si="12"/>
        <v>5154335</v>
      </c>
      <c r="J117" s="36">
        <f t="shared" si="12"/>
        <v>5337144</v>
      </c>
      <c r="K117" s="36">
        <f t="shared" si="12"/>
        <v>5472063</v>
      </c>
      <c r="L117" s="36">
        <f t="shared" si="12"/>
        <v>5594121</v>
      </c>
      <c r="M117" s="36">
        <f t="shared" si="12"/>
        <v>5719911</v>
      </c>
      <c r="N117" s="36">
        <f t="shared" si="12"/>
        <v>5804951</v>
      </c>
      <c r="O117" s="36">
        <f t="shared" si="12"/>
        <v>5857570</v>
      </c>
      <c r="P117" s="36">
        <f t="shared" si="12"/>
        <v>5889392</v>
      </c>
      <c r="Q117" s="36">
        <f t="shared" si="12"/>
        <v>5921856</v>
      </c>
      <c r="R117" s="36">
        <f t="shared" si="12"/>
        <v>5963028</v>
      </c>
      <c r="S117" s="36">
        <f t="shared" si="12"/>
        <v>5873566</v>
      </c>
      <c r="T117" s="36">
        <f t="shared" si="12"/>
        <v>5866967</v>
      </c>
      <c r="U117" s="36">
        <f t="shared" ref="U117" si="13">SUM(U74:U83)</f>
        <v>5908575</v>
      </c>
    </row>
    <row r="118" spans="2:21">
      <c r="B118" s="36" t="s">
        <v>193</v>
      </c>
      <c r="C118" s="36">
        <f t="shared" ref="C118:T118" si="14">SUM(C84:C93)</f>
        <v>3597631</v>
      </c>
      <c r="D118" s="36">
        <f t="shared" si="14"/>
        <v>3575433</v>
      </c>
      <c r="E118" s="36">
        <f t="shared" si="14"/>
        <v>3561057</v>
      </c>
      <c r="F118" s="36">
        <f t="shared" si="14"/>
        <v>3549803</v>
      </c>
      <c r="G118" s="36">
        <f t="shared" si="14"/>
        <v>3557883</v>
      </c>
      <c r="H118" s="36">
        <f t="shared" si="14"/>
        <v>3572411</v>
      </c>
      <c r="I118" s="36">
        <f t="shared" si="14"/>
        <v>3600923</v>
      </c>
      <c r="J118" s="36">
        <f t="shared" si="14"/>
        <v>3644185</v>
      </c>
      <c r="K118" s="36">
        <f t="shared" si="14"/>
        <v>3683103</v>
      </c>
      <c r="L118" s="36">
        <f t="shared" si="14"/>
        <v>3712637</v>
      </c>
      <c r="M118" s="36">
        <f t="shared" si="14"/>
        <v>3712882</v>
      </c>
      <c r="N118" s="36">
        <f t="shared" si="14"/>
        <v>3756523</v>
      </c>
      <c r="O118" s="36">
        <f t="shared" si="14"/>
        <v>3849248</v>
      </c>
      <c r="P118" s="36">
        <f t="shared" si="14"/>
        <v>3972370</v>
      </c>
      <c r="Q118" s="36">
        <f t="shared" si="14"/>
        <v>4072848</v>
      </c>
      <c r="R118" s="36">
        <f t="shared" si="14"/>
        <v>4177335</v>
      </c>
      <c r="S118" s="36">
        <f t="shared" si="14"/>
        <v>4417955</v>
      </c>
      <c r="T118" s="36">
        <f t="shared" si="14"/>
        <v>4587926</v>
      </c>
      <c r="U118" s="36">
        <f t="shared" ref="U118" si="15">SUM(U84:U93)</f>
        <v>4720012</v>
      </c>
    </row>
    <row r="119" spans="2:21">
      <c r="B119" s="36" t="s">
        <v>194</v>
      </c>
      <c r="C119" s="36">
        <f t="shared" ref="C119:T119" si="16">SUM(C94:C103)</f>
        <v>1757232</v>
      </c>
      <c r="D119" s="36">
        <f t="shared" si="16"/>
        <v>1800817</v>
      </c>
      <c r="E119" s="36">
        <f t="shared" si="16"/>
        <v>1825921</v>
      </c>
      <c r="F119" s="36">
        <f t="shared" si="16"/>
        <v>1844972</v>
      </c>
      <c r="G119" s="36">
        <f t="shared" si="16"/>
        <v>1866164</v>
      </c>
      <c r="H119" s="36">
        <f t="shared" si="16"/>
        <v>1899849</v>
      </c>
      <c r="I119" s="36">
        <f t="shared" si="16"/>
        <v>1936249</v>
      </c>
      <c r="J119" s="36">
        <f t="shared" si="16"/>
        <v>1976582</v>
      </c>
      <c r="K119" s="36">
        <f t="shared" si="16"/>
        <v>1997808</v>
      </c>
      <c r="L119" s="36">
        <f t="shared" si="16"/>
        <v>2022135</v>
      </c>
      <c r="M119" s="36">
        <f t="shared" si="16"/>
        <v>2044751</v>
      </c>
      <c r="N119" s="36">
        <f t="shared" si="16"/>
        <v>2069847</v>
      </c>
      <c r="O119" s="36">
        <f t="shared" si="16"/>
        <v>2087719</v>
      </c>
      <c r="P119" s="36">
        <f t="shared" si="16"/>
        <v>2119472</v>
      </c>
      <c r="Q119" s="36">
        <f t="shared" si="16"/>
        <v>2146621</v>
      </c>
      <c r="R119" s="36">
        <f t="shared" si="16"/>
        <v>2185605</v>
      </c>
      <c r="S119" s="36">
        <f t="shared" si="16"/>
        <v>2226666</v>
      </c>
      <c r="T119" s="36">
        <f t="shared" si="16"/>
        <v>2269458</v>
      </c>
      <c r="U119" s="36">
        <f t="shared" ref="U119" si="17">SUM(U94:U103)</f>
        <v>2319691</v>
      </c>
    </row>
    <row r="120" spans="2:21">
      <c r="B120" s="36" t="s">
        <v>41</v>
      </c>
      <c r="C120" s="36">
        <f t="shared" ref="C120:T120" si="18">C104</f>
        <v>320567</v>
      </c>
      <c r="D120" s="36">
        <f t="shared" si="18"/>
        <v>330572</v>
      </c>
      <c r="E120" s="36">
        <f t="shared" si="18"/>
        <v>339615</v>
      </c>
      <c r="F120" s="36">
        <f t="shared" si="18"/>
        <v>347713</v>
      </c>
      <c r="G120" s="36">
        <f t="shared" si="18"/>
        <v>355451</v>
      </c>
      <c r="H120" s="36">
        <f t="shared" si="18"/>
        <v>357177</v>
      </c>
      <c r="I120" s="36">
        <f t="shared" si="18"/>
        <v>357575</v>
      </c>
      <c r="J120" s="36">
        <f t="shared" si="18"/>
        <v>347349</v>
      </c>
      <c r="K120" s="36">
        <f t="shared" si="18"/>
        <v>360118</v>
      </c>
      <c r="L120" s="36">
        <f t="shared" si="18"/>
        <v>386268</v>
      </c>
      <c r="M120" s="36">
        <f t="shared" si="18"/>
        <v>414414</v>
      </c>
      <c r="N120" s="36">
        <f t="shared" si="18"/>
        <v>438081</v>
      </c>
      <c r="O120" s="36">
        <f t="shared" si="18"/>
        <v>450413</v>
      </c>
      <c r="P120" s="36">
        <f t="shared" si="18"/>
        <v>470405</v>
      </c>
      <c r="Q120" s="36">
        <f t="shared" si="18"/>
        <v>474968</v>
      </c>
      <c r="R120" s="36">
        <f t="shared" si="18"/>
        <v>487846</v>
      </c>
      <c r="S120" s="36">
        <f t="shared" si="18"/>
        <v>495244</v>
      </c>
      <c r="T120" s="36">
        <f t="shared" si="18"/>
        <v>499276</v>
      </c>
      <c r="U120" s="36">
        <f t="shared" ref="U120" si="19">U104</f>
        <v>517273</v>
      </c>
    </row>
    <row r="122" spans="2:21">
      <c r="B122" s="150" t="s">
        <v>3281</v>
      </c>
    </row>
    <row r="124" spans="2:21">
      <c r="C124" s="32">
        <v>2001</v>
      </c>
      <c r="D124" s="32">
        <v>2002</v>
      </c>
      <c r="E124" s="32">
        <v>2003</v>
      </c>
      <c r="F124" s="32">
        <v>2004</v>
      </c>
      <c r="G124" s="32">
        <v>2005</v>
      </c>
      <c r="H124" s="32">
        <v>2006</v>
      </c>
      <c r="I124" s="32">
        <v>2007</v>
      </c>
      <c r="J124" s="32">
        <v>2008</v>
      </c>
      <c r="K124" s="32">
        <v>2009</v>
      </c>
      <c r="L124" s="32">
        <v>2010</v>
      </c>
      <c r="M124" s="32">
        <v>2011</v>
      </c>
      <c r="N124" s="32">
        <v>2012</v>
      </c>
      <c r="O124" s="32">
        <v>2013</v>
      </c>
      <c r="P124" s="32">
        <v>2014</v>
      </c>
      <c r="Q124" s="32">
        <v>2015</v>
      </c>
      <c r="R124" s="32">
        <v>2016</v>
      </c>
      <c r="S124" s="32">
        <v>2017</v>
      </c>
      <c r="T124" s="32">
        <v>2018</v>
      </c>
      <c r="U124" s="32">
        <v>2019</v>
      </c>
    </row>
    <row r="125" spans="2:21">
      <c r="B125" s="36" t="s">
        <v>186</v>
      </c>
      <c r="C125" s="36"/>
      <c r="D125" s="126">
        <f>D111/C111-1</f>
        <v>-1.1045677425588041E-2</v>
      </c>
      <c r="E125" s="126">
        <f t="shared" ref="E125:U134" si="20">E111/D111-1</f>
        <v>-4.9932584570397953E-3</v>
      </c>
      <c r="F125" s="126">
        <f t="shared" si="20"/>
        <v>-2.0435402691757476E-3</v>
      </c>
      <c r="G125" s="126">
        <f t="shared" si="20"/>
        <v>4.8114374742236343E-4</v>
      </c>
      <c r="H125" s="126">
        <f t="shared" si="20"/>
        <v>1.9374571455899048E-3</v>
      </c>
      <c r="I125" s="126">
        <f t="shared" si="20"/>
        <v>6.100448756667376E-3</v>
      </c>
      <c r="J125" s="126">
        <f t="shared" si="20"/>
        <v>1.1399282754897433E-2</v>
      </c>
      <c r="K125" s="126">
        <f t="shared" si="20"/>
        <v>1.138245139071592E-2</v>
      </c>
      <c r="L125" s="126">
        <f t="shared" si="20"/>
        <v>1.4887787190604573E-2</v>
      </c>
      <c r="M125" s="126">
        <f t="shared" si="20"/>
        <v>1.6739918694673728E-2</v>
      </c>
      <c r="N125" s="126">
        <f t="shared" si="20"/>
        <v>2.5013447792417765E-2</v>
      </c>
      <c r="O125" s="126">
        <f t="shared" si="20"/>
        <v>1.93163806724721E-2</v>
      </c>
      <c r="P125" s="126">
        <f t="shared" si="20"/>
        <v>1.5339631681013044E-2</v>
      </c>
      <c r="Q125" s="126">
        <f t="shared" si="20"/>
        <v>1.3250295898063591E-2</v>
      </c>
      <c r="R125" s="126">
        <f t="shared" si="20"/>
        <v>9.5947626544377052E-3</v>
      </c>
      <c r="S125" s="126">
        <f t="shared" si="20"/>
        <v>3.647930851039094E-3</v>
      </c>
      <c r="T125" s="126">
        <f t="shared" si="20"/>
        <v>-1.7049465972773792E-3</v>
      </c>
      <c r="U125" s="126">
        <f t="shared" si="20"/>
        <v>-4.7666918998112706E-3</v>
      </c>
    </row>
    <row r="126" spans="2:21">
      <c r="B126" s="36" t="s">
        <v>187</v>
      </c>
      <c r="C126" s="36"/>
      <c r="D126" s="126">
        <f t="shared" ref="D126:S134" si="21">D112/C112-1</f>
        <v>1.2561074928287397E-2</v>
      </c>
      <c r="E126" s="126">
        <f t="shared" si="21"/>
        <v>1.008914987669729E-2</v>
      </c>
      <c r="F126" s="126">
        <f t="shared" si="21"/>
        <v>4.9229945675262066E-3</v>
      </c>
      <c r="G126" s="126">
        <f t="shared" si="21"/>
        <v>1.1607657461372156E-3</v>
      </c>
      <c r="H126" s="126">
        <f t="shared" si="21"/>
        <v>1.1912823252495652E-3</v>
      </c>
      <c r="I126" s="126">
        <f t="shared" si="21"/>
        <v>4.1758046186901598E-3</v>
      </c>
      <c r="J126" s="126">
        <f t="shared" si="21"/>
        <v>-1.8650671673409169E-3</v>
      </c>
      <c r="K126" s="126">
        <f t="shared" si="21"/>
        <v>-6.2531683927224968E-4</v>
      </c>
      <c r="L126" s="126">
        <f t="shared" si="21"/>
        <v>-4.8557540006298749E-3</v>
      </c>
      <c r="M126" s="126">
        <f t="shared" si="21"/>
        <v>-9.4056912421327521E-3</v>
      </c>
      <c r="N126" s="126">
        <f t="shared" si="21"/>
        <v>-1.5254828893995209E-2</v>
      </c>
      <c r="O126" s="126">
        <f t="shared" si="21"/>
        <v>-1.0014335472294467E-2</v>
      </c>
      <c r="P126" s="126">
        <f t="shared" si="21"/>
        <v>-4.354897855851525E-3</v>
      </c>
      <c r="Q126" s="126">
        <f t="shared" si="21"/>
        <v>1.5433568842340151E-3</v>
      </c>
      <c r="R126" s="126">
        <f t="shared" si="21"/>
        <v>5.8066326937882273E-3</v>
      </c>
      <c r="S126" s="126">
        <f t="shared" si="21"/>
        <v>5.9369591709250713E-3</v>
      </c>
      <c r="T126" s="126">
        <f t="shared" si="20"/>
        <v>1.3349625753646288E-2</v>
      </c>
      <c r="U126" s="126">
        <f t="shared" si="20"/>
        <v>1.1581783711476223E-2</v>
      </c>
    </row>
    <row r="127" spans="2:21">
      <c r="B127" s="36" t="s">
        <v>188</v>
      </c>
      <c r="C127" s="36"/>
      <c r="D127" s="126">
        <f t="shared" si="21"/>
        <v>-6.445166458116991E-3</v>
      </c>
      <c r="E127" s="126">
        <f t="shared" si="20"/>
        <v>5.2789463555003024E-4</v>
      </c>
      <c r="F127" s="126">
        <f t="shared" si="20"/>
        <v>1.4390298753849784E-2</v>
      </c>
      <c r="G127" s="126">
        <f t="shared" si="20"/>
        <v>2.8625458790210612E-2</v>
      </c>
      <c r="H127" s="126">
        <f t="shared" si="20"/>
        <v>2.4133791726033138E-2</v>
      </c>
      <c r="I127" s="126">
        <f t="shared" si="20"/>
        <v>2.6621702623572441E-2</v>
      </c>
      <c r="J127" s="126">
        <f t="shared" si="20"/>
        <v>2.1984858322644962E-2</v>
      </c>
      <c r="K127" s="126">
        <f t="shared" si="20"/>
        <v>4.5969450530347622E-3</v>
      </c>
      <c r="L127" s="126">
        <f t="shared" si="20"/>
        <v>1.0957175720234247E-2</v>
      </c>
      <c r="M127" s="126">
        <f t="shared" si="20"/>
        <v>1.6016770642746758E-2</v>
      </c>
      <c r="N127" s="126">
        <f t="shared" si="20"/>
        <v>3.8105805096804168E-3</v>
      </c>
      <c r="O127" s="126">
        <f t="shared" si="20"/>
        <v>1.0907650572822281E-3</v>
      </c>
      <c r="P127" s="126">
        <f t="shared" si="20"/>
        <v>4.9017227163410393E-3</v>
      </c>
      <c r="Q127" s="126">
        <f t="shared" si="20"/>
        <v>3.4712215311301087E-3</v>
      </c>
      <c r="R127" s="126">
        <f t="shared" si="20"/>
        <v>2.9003193779781888E-3</v>
      </c>
      <c r="S127" s="126">
        <f t="shared" si="20"/>
        <v>-1.869079512932359E-3</v>
      </c>
      <c r="T127" s="126">
        <f t="shared" si="20"/>
        <v>-3.9668296011085014E-3</v>
      </c>
      <c r="U127" s="126">
        <f t="shared" si="20"/>
        <v>-5.363387003590625E-3</v>
      </c>
    </row>
    <row r="128" spans="2:21">
      <c r="B128" s="36" t="s">
        <v>189</v>
      </c>
      <c r="C128" s="36"/>
      <c r="D128" s="126">
        <f t="shared" si="21"/>
        <v>-8.7456982619549262E-4</v>
      </c>
      <c r="E128" s="126">
        <f t="shared" si="20"/>
        <v>-8.081812360302254E-3</v>
      </c>
      <c r="F128" s="126">
        <f t="shared" si="20"/>
        <v>-1.5074671409176288E-2</v>
      </c>
      <c r="G128" s="126">
        <f t="shared" si="20"/>
        <v>-1.3279663688746002E-2</v>
      </c>
      <c r="H128" s="126">
        <f t="shared" si="20"/>
        <v>-1.6431306597498585E-2</v>
      </c>
      <c r="I128" s="126">
        <f t="shared" si="20"/>
        <v>-1.8796085353552927E-2</v>
      </c>
      <c r="J128" s="126">
        <f t="shared" si="20"/>
        <v>-1.280478078381464E-2</v>
      </c>
      <c r="K128" s="126">
        <f t="shared" si="20"/>
        <v>-7.1532997626601036E-3</v>
      </c>
      <c r="L128" s="126">
        <f t="shared" si="20"/>
        <v>-1.0591319723363135E-3</v>
      </c>
      <c r="M128" s="126">
        <f t="shared" si="20"/>
        <v>-2.7463105688478873E-3</v>
      </c>
      <c r="N128" s="126">
        <f t="shared" si="20"/>
        <v>-2.9712734357206783E-3</v>
      </c>
      <c r="O128" s="126">
        <f t="shared" si="20"/>
        <v>2.9341859906095724E-3</v>
      </c>
      <c r="P128" s="126">
        <f t="shared" si="20"/>
        <v>7.3766177922365284E-3</v>
      </c>
      <c r="Q128" s="126">
        <f t="shared" si="20"/>
        <v>1.3477422118694626E-2</v>
      </c>
      <c r="R128" s="126">
        <f t="shared" si="20"/>
        <v>1.4958856477045313E-2</v>
      </c>
      <c r="S128" s="126">
        <f t="shared" si="20"/>
        <v>1.2784135622504245E-2</v>
      </c>
      <c r="T128" s="126">
        <f t="shared" si="20"/>
        <v>1.4194106709920495E-2</v>
      </c>
      <c r="U128" s="126">
        <f t="shared" si="20"/>
        <v>4.865504431665002E-3</v>
      </c>
    </row>
    <row r="129" spans="1:21">
      <c r="B129" s="36" t="s">
        <v>190</v>
      </c>
      <c r="C129" s="36"/>
      <c r="D129" s="126">
        <f t="shared" si="21"/>
        <v>2.0077438309293871E-2</v>
      </c>
      <c r="E129" s="126">
        <f t="shared" si="20"/>
        <v>2.2361042589851721E-2</v>
      </c>
      <c r="F129" s="126">
        <f t="shared" si="20"/>
        <v>2.2252361041934954E-2</v>
      </c>
      <c r="G129" s="126">
        <f t="shared" si="20"/>
        <v>2.5643526418311247E-2</v>
      </c>
      <c r="H129" s="126">
        <f t="shared" si="20"/>
        <v>2.0814467004795612E-2</v>
      </c>
      <c r="I129" s="126">
        <f t="shared" si="20"/>
        <v>1.7646922630426554E-2</v>
      </c>
      <c r="J129" s="126">
        <f t="shared" si="20"/>
        <v>1.1967735145705705E-2</v>
      </c>
      <c r="K129" s="126">
        <f t="shared" si="20"/>
        <v>1.1685523729186187E-2</v>
      </c>
      <c r="L129" s="126">
        <f t="shared" si="20"/>
        <v>6.0306396259743877E-3</v>
      </c>
      <c r="M129" s="126">
        <f t="shared" si="20"/>
        <v>4.1701130188209756E-3</v>
      </c>
      <c r="N129" s="126">
        <f t="shared" si="20"/>
        <v>-1.188001531859495E-3</v>
      </c>
      <c r="O129" s="126">
        <f t="shared" si="20"/>
        <v>-6.266740027850437E-3</v>
      </c>
      <c r="P129" s="126">
        <f t="shared" si="20"/>
        <v>-1.1651617416874038E-2</v>
      </c>
      <c r="Q129" s="126">
        <f t="shared" si="20"/>
        <v>-1.3107271701325307E-2</v>
      </c>
      <c r="R129" s="126">
        <f t="shared" si="20"/>
        <v>-1.428004997200305E-2</v>
      </c>
      <c r="S129" s="126">
        <f t="shared" si="20"/>
        <v>-1.6914689192805143E-2</v>
      </c>
      <c r="T129" s="126">
        <f t="shared" si="20"/>
        <v>-1.4128876082461939E-2</v>
      </c>
      <c r="U129" s="126">
        <f t="shared" si="20"/>
        <v>-8.3057642841426471E-3</v>
      </c>
    </row>
    <row r="130" spans="1:21">
      <c r="B130" s="36" t="s">
        <v>191</v>
      </c>
      <c r="C130" s="36"/>
      <c r="D130" s="126">
        <f t="shared" si="21"/>
        <v>1.3593149743118538E-2</v>
      </c>
      <c r="E130" s="126">
        <f t="shared" si="20"/>
        <v>4.1411354485907381E-3</v>
      </c>
      <c r="F130" s="126">
        <f t="shared" si="20"/>
        <v>1.2065887258860819E-3</v>
      </c>
      <c r="G130" s="126">
        <f t="shared" si="20"/>
        <v>1.3386162280379921E-3</v>
      </c>
      <c r="H130" s="126">
        <f t="shared" si="20"/>
        <v>2.4375661277771243E-3</v>
      </c>
      <c r="I130" s="126">
        <f t="shared" si="20"/>
        <v>-1.7363620789904832E-2</v>
      </c>
      <c r="J130" s="126">
        <f t="shared" si="20"/>
        <v>-4.2106043852315755E-3</v>
      </c>
      <c r="K130" s="126">
        <f t="shared" si="20"/>
        <v>6.0679895335240541E-3</v>
      </c>
      <c r="L130" s="126">
        <f t="shared" si="20"/>
        <v>1.0901531130486752E-2</v>
      </c>
      <c r="M130" s="126">
        <f t="shared" si="20"/>
        <v>1.8603468598047623E-2</v>
      </c>
      <c r="N130" s="126">
        <f t="shared" si="20"/>
        <v>2.3515113412842625E-2</v>
      </c>
      <c r="O130" s="126">
        <f t="shared" si="20"/>
        <v>2.3497420630999022E-2</v>
      </c>
      <c r="P130" s="126">
        <f t="shared" si="20"/>
        <v>2.5570220583483794E-2</v>
      </c>
      <c r="Q130" s="126">
        <f t="shared" si="20"/>
        <v>2.6862184088371377E-2</v>
      </c>
      <c r="R130" s="126">
        <f t="shared" si="20"/>
        <v>2.2771288989271499E-2</v>
      </c>
      <c r="S130" s="126">
        <f t="shared" si="20"/>
        <v>1.8684261156252102E-2</v>
      </c>
      <c r="T130" s="126">
        <f t="shared" si="20"/>
        <v>1.3883943500270002E-2</v>
      </c>
      <c r="U130" s="126">
        <f t="shared" si="20"/>
        <v>1.1928778786397753E-2</v>
      </c>
    </row>
    <row r="131" spans="1:21">
      <c r="B131" s="36" t="s">
        <v>192</v>
      </c>
      <c r="C131" s="36"/>
      <c r="D131" s="126">
        <f t="shared" si="21"/>
        <v>3.5833175101607218E-3</v>
      </c>
      <c r="E131" s="126">
        <f t="shared" si="20"/>
        <v>1.6322610462787823E-2</v>
      </c>
      <c r="F131" s="126">
        <f t="shared" si="20"/>
        <v>2.1175490218021897E-2</v>
      </c>
      <c r="G131" s="126">
        <f t="shared" si="20"/>
        <v>1.96798833947045E-2</v>
      </c>
      <c r="H131" s="126">
        <f t="shared" si="20"/>
        <v>1.8409660467832101E-2</v>
      </c>
      <c r="I131" s="126">
        <f t="shared" si="20"/>
        <v>4.6067193170522325E-2</v>
      </c>
      <c r="J131" s="126">
        <f t="shared" si="20"/>
        <v>3.5467038909966053E-2</v>
      </c>
      <c r="K131" s="126">
        <f t="shared" si="20"/>
        <v>2.5279250475535253E-2</v>
      </c>
      <c r="L131" s="126">
        <f t="shared" si="20"/>
        <v>2.2305664243997159E-2</v>
      </c>
      <c r="M131" s="126">
        <f t="shared" si="20"/>
        <v>2.2486106396339967E-2</v>
      </c>
      <c r="N131" s="126">
        <f t="shared" si="20"/>
        <v>1.4867364195002342E-2</v>
      </c>
      <c r="O131" s="126">
        <f t="shared" si="20"/>
        <v>9.0645037313836774E-3</v>
      </c>
      <c r="P131" s="126">
        <f t="shared" si="20"/>
        <v>5.4326282058942965E-3</v>
      </c>
      <c r="Q131" s="126">
        <f t="shared" si="20"/>
        <v>5.5122837807366487E-3</v>
      </c>
      <c r="R131" s="126">
        <f t="shared" si="20"/>
        <v>6.9525500113478689E-3</v>
      </c>
      <c r="S131" s="126">
        <f t="shared" si="20"/>
        <v>-1.5002780466568333E-2</v>
      </c>
      <c r="T131" s="126">
        <f t="shared" si="20"/>
        <v>-1.1235082741898328E-3</v>
      </c>
      <c r="U131" s="126">
        <f t="shared" si="20"/>
        <v>7.091909669851626E-3</v>
      </c>
    </row>
    <row r="132" spans="1:21">
      <c r="B132" s="36" t="s">
        <v>193</v>
      </c>
      <c r="C132" s="36"/>
      <c r="D132" s="126">
        <f t="shared" si="21"/>
        <v>-6.1701714266971797E-3</v>
      </c>
      <c r="E132" s="126">
        <f t="shared" si="20"/>
        <v>-4.0207717498831341E-3</v>
      </c>
      <c r="F132" s="126">
        <f t="shared" si="20"/>
        <v>-3.1602976307315567E-3</v>
      </c>
      <c r="G132" s="126">
        <f t="shared" si="20"/>
        <v>2.2761826501358495E-3</v>
      </c>
      <c r="H132" s="126">
        <f t="shared" si="20"/>
        <v>4.0833270796145626E-3</v>
      </c>
      <c r="I132" s="126">
        <f t="shared" si="20"/>
        <v>7.9811645412579679E-3</v>
      </c>
      <c r="J132" s="126">
        <f t="shared" si="20"/>
        <v>1.2014141929721944E-2</v>
      </c>
      <c r="K132" s="126">
        <f t="shared" si="20"/>
        <v>1.0679479773941125E-2</v>
      </c>
      <c r="L132" s="126">
        <f t="shared" si="20"/>
        <v>8.0187819889914191E-3</v>
      </c>
      <c r="M132" s="126">
        <f t="shared" si="20"/>
        <v>6.5990830776074816E-5</v>
      </c>
      <c r="N132" s="126">
        <f t="shared" si="20"/>
        <v>1.1753942085959146E-2</v>
      </c>
      <c r="O132" s="126">
        <f t="shared" si="20"/>
        <v>2.4683730140877547E-2</v>
      </c>
      <c r="P132" s="126">
        <f t="shared" si="20"/>
        <v>3.1985987912444225E-2</v>
      </c>
      <c r="Q132" s="126">
        <f t="shared" si="20"/>
        <v>2.5294219823430275E-2</v>
      </c>
      <c r="R132" s="126">
        <f t="shared" si="20"/>
        <v>2.5654529705012363E-2</v>
      </c>
      <c r="S132" s="126">
        <f t="shared" si="20"/>
        <v>5.7601317586451595E-2</v>
      </c>
      <c r="T132" s="126">
        <f t="shared" si="20"/>
        <v>3.847277756337486E-2</v>
      </c>
      <c r="U132" s="126">
        <f t="shared" si="20"/>
        <v>2.8789915094532992E-2</v>
      </c>
    </row>
    <row r="133" spans="1:21">
      <c r="B133" s="36" t="s">
        <v>194</v>
      </c>
      <c r="C133" s="36"/>
      <c r="D133" s="126">
        <f t="shared" si="21"/>
        <v>2.4803213235361055E-2</v>
      </c>
      <c r="E133" s="126">
        <f t="shared" si="20"/>
        <v>1.3940339301550253E-2</v>
      </c>
      <c r="F133" s="126">
        <f t="shared" si="20"/>
        <v>1.0433638695211966E-2</v>
      </c>
      <c r="G133" s="126">
        <f t="shared" si="20"/>
        <v>1.1486353180427678E-2</v>
      </c>
      <c r="H133" s="126">
        <f t="shared" si="20"/>
        <v>1.805039642818107E-2</v>
      </c>
      <c r="I133" s="126">
        <f t="shared" si="20"/>
        <v>1.9159417406330759E-2</v>
      </c>
      <c r="J133" s="126">
        <f t="shared" si="20"/>
        <v>2.0830482029945419E-2</v>
      </c>
      <c r="K133" s="126">
        <f t="shared" si="20"/>
        <v>1.0738739905554073E-2</v>
      </c>
      <c r="L133" s="126">
        <f t="shared" si="20"/>
        <v>1.2176845823022031E-2</v>
      </c>
      <c r="M133" s="126">
        <f t="shared" si="20"/>
        <v>1.1184218659980649E-2</v>
      </c>
      <c r="N133" s="126">
        <f t="shared" si="20"/>
        <v>1.2273377051778001E-2</v>
      </c>
      <c r="O133" s="126">
        <f t="shared" si="20"/>
        <v>8.634454623940746E-3</v>
      </c>
      <c r="P133" s="126">
        <f t="shared" si="20"/>
        <v>1.5209422340841883E-2</v>
      </c>
      <c r="Q133" s="126">
        <f t="shared" si="20"/>
        <v>1.2809322321785777E-2</v>
      </c>
      <c r="R133" s="126">
        <f t="shared" si="20"/>
        <v>1.8160634783690233E-2</v>
      </c>
      <c r="S133" s="126">
        <f t="shared" si="20"/>
        <v>1.8787017782261772E-2</v>
      </c>
      <c r="T133" s="126">
        <f t="shared" si="20"/>
        <v>1.9217969825739534E-2</v>
      </c>
      <c r="U133" s="126">
        <f t="shared" si="20"/>
        <v>2.2134359833933859E-2</v>
      </c>
    </row>
    <row r="134" spans="1:21">
      <c r="B134" s="36" t="s">
        <v>41</v>
      </c>
      <c r="C134" s="36"/>
      <c r="D134" s="126">
        <f t="shared" si="21"/>
        <v>3.1210324206796036E-2</v>
      </c>
      <c r="E134" s="126">
        <f t="shared" si="20"/>
        <v>2.7355613905593934E-2</v>
      </c>
      <c r="F134" s="126">
        <f t="shared" si="20"/>
        <v>2.3844647615682391E-2</v>
      </c>
      <c r="G134" s="126">
        <f t="shared" si="20"/>
        <v>2.225398532697942E-2</v>
      </c>
      <c r="H134" s="126">
        <f t="shared" si="20"/>
        <v>4.8558029095431277E-3</v>
      </c>
      <c r="I134" s="126">
        <f t="shared" si="20"/>
        <v>1.1142934735439702E-3</v>
      </c>
      <c r="J134" s="126">
        <f t="shared" si="20"/>
        <v>-2.8598196182619051E-2</v>
      </c>
      <c r="K134" s="126">
        <f t="shared" si="20"/>
        <v>3.6761297714978269E-2</v>
      </c>
      <c r="L134" s="126">
        <f t="shared" si="20"/>
        <v>7.2615087276948209E-2</v>
      </c>
      <c r="M134" s="126">
        <f t="shared" si="20"/>
        <v>7.2866507191897911E-2</v>
      </c>
      <c r="N134" s="126">
        <f t="shared" si="20"/>
        <v>5.7109557109557008E-2</v>
      </c>
      <c r="O134" s="126">
        <f t="shared" si="20"/>
        <v>2.8150045311255312E-2</v>
      </c>
      <c r="P134" s="126">
        <f t="shared" si="20"/>
        <v>4.4385930246240601E-2</v>
      </c>
      <c r="Q134" s="126">
        <f t="shared" si="20"/>
        <v>9.7001519966837257E-3</v>
      </c>
      <c r="R134" s="126">
        <f t="shared" si="20"/>
        <v>2.7113405534688662E-2</v>
      </c>
      <c r="S134" s="126">
        <f t="shared" si="20"/>
        <v>1.516462162239729E-2</v>
      </c>
      <c r="T134" s="126">
        <f t="shared" si="20"/>
        <v>8.141441390506543E-3</v>
      </c>
      <c r="U134" s="126">
        <f t="shared" si="20"/>
        <v>3.6046194890201111E-2</v>
      </c>
    </row>
    <row r="136" spans="1:21">
      <c r="B136" s="149"/>
    </row>
    <row r="140" spans="1:21" s="588" customFormat="1" ht="21">
      <c r="A140" s="592" t="s">
        <v>85</v>
      </c>
    </row>
    <row r="141" spans="1:21">
      <c r="A141" s="152"/>
      <c r="B141" s="29"/>
    </row>
    <row r="144" spans="1:21">
      <c r="A144" s="9" t="s">
        <v>10</v>
      </c>
      <c r="B144" s="9" t="s">
        <v>3680</v>
      </c>
    </row>
    <row r="145" spans="2:46">
      <c r="B145" s="152" t="s">
        <v>3677</v>
      </c>
    </row>
    <row r="146" spans="2:46">
      <c r="B146" s="152" t="s">
        <v>3444</v>
      </c>
    </row>
    <row r="147" spans="2:46" ht="29">
      <c r="B147" s="32" t="s">
        <v>3421</v>
      </c>
      <c r="C147" s="32" t="s">
        <v>3445</v>
      </c>
      <c r="D147" s="32">
        <v>2018</v>
      </c>
      <c r="E147" s="32">
        <v>2019</v>
      </c>
      <c r="F147" s="32">
        <v>2020</v>
      </c>
      <c r="G147" s="32">
        <v>2021</v>
      </c>
      <c r="H147" s="32">
        <v>2022</v>
      </c>
      <c r="I147" s="32">
        <v>2023</v>
      </c>
      <c r="J147" s="32">
        <v>2024</v>
      </c>
      <c r="K147" s="32">
        <v>2025</v>
      </c>
      <c r="L147" s="32">
        <v>2026</v>
      </c>
      <c r="M147" s="32">
        <v>2027</v>
      </c>
      <c r="N147" s="32">
        <v>2028</v>
      </c>
      <c r="O147" s="32">
        <v>2029</v>
      </c>
      <c r="P147" s="32">
        <v>2030</v>
      </c>
      <c r="Q147" s="32">
        <v>2031</v>
      </c>
      <c r="R147" s="32">
        <v>2032</v>
      </c>
      <c r="S147" s="32">
        <v>2033</v>
      </c>
      <c r="T147" s="32">
        <v>2034</v>
      </c>
      <c r="U147" s="32">
        <v>2035</v>
      </c>
      <c r="V147" s="32">
        <v>2036</v>
      </c>
      <c r="W147" s="32">
        <v>2037</v>
      </c>
      <c r="X147" s="32">
        <v>2038</v>
      </c>
      <c r="Y147" s="32">
        <v>2039</v>
      </c>
      <c r="Z147" s="32">
        <v>2040</v>
      </c>
      <c r="AA147" s="32">
        <v>2041</v>
      </c>
      <c r="AB147" s="32">
        <v>2042</v>
      </c>
      <c r="AC147" s="32">
        <v>2043</v>
      </c>
      <c r="AD147" s="32">
        <v>2044</v>
      </c>
      <c r="AE147" s="32">
        <v>2045</v>
      </c>
      <c r="AF147" s="32">
        <v>2046</v>
      </c>
      <c r="AG147" s="32">
        <v>2047</v>
      </c>
      <c r="AH147" s="32">
        <v>2048</v>
      </c>
      <c r="AI147" s="32">
        <v>2049</v>
      </c>
      <c r="AJ147" s="32">
        <v>2050</v>
      </c>
      <c r="AK147" s="32">
        <v>2051</v>
      </c>
      <c r="AL147" s="32">
        <v>2052</v>
      </c>
      <c r="AM147" s="32">
        <v>2053</v>
      </c>
      <c r="AN147" s="32">
        <v>2054</v>
      </c>
      <c r="AO147" s="32">
        <v>2055</v>
      </c>
      <c r="AP147" s="32">
        <v>2056</v>
      </c>
      <c r="AQ147" s="32">
        <v>2057</v>
      </c>
      <c r="AR147" s="32">
        <v>2058</v>
      </c>
      <c r="AS147" s="32">
        <v>2059</v>
      </c>
      <c r="AT147" s="32">
        <v>2060</v>
      </c>
    </row>
    <row r="148" spans="2:46">
      <c r="B148" s="6" t="s">
        <v>3422</v>
      </c>
      <c r="C148" s="10" t="s">
        <v>186</v>
      </c>
      <c r="D148" s="10">
        <v>3346.7269999999999</v>
      </c>
      <c r="E148" s="10">
        <v>3298.3409999999999</v>
      </c>
      <c r="F148" s="10">
        <v>3254.058</v>
      </c>
      <c r="G148" s="10">
        <v>3199.741</v>
      </c>
      <c r="H148" s="10">
        <v>3156.5749999999998</v>
      </c>
      <c r="I148" s="10">
        <v>3129.2020000000002</v>
      </c>
      <c r="J148" s="10">
        <v>3122.4929999999999</v>
      </c>
      <c r="K148" s="10">
        <v>3112.277</v>
      </c>
      <c r="L148" s="10">
        <v>3105.3240000000001</v>
      </c>
      <c r="M148" s="10">
        <v>3102.2649999999999</v>
      </c>
      <c r="N148" s="10">
        <v>3101.4830000000002</v>
      </c>
      <c r="O148" s="10">
        <v>3101.5880000000002</v>
      </c>
      <c r="P148" s="10">
        <v>3103.4259999999999</v>
      </c>
      <c r="Q148" s="10">
        <v>3107.6909999999998</v>
      </c>
      <c r="R148" s="10">
        <v>3115.143</v>
      </c>
      <c r="S148" s="10">
        <v>3126.404</v>
      </c>
      <c r="T148" s="10">
        <v>3141.3040000000001</v>
      </c>
      <c r="U148" s="10">
        <v>3159.6129999999998</v>
      </c>
      <c r="V148" s="10">
        <v>3181.4969999999998</v>
      </c>
      <c r="W148" s="10">
        <v>3206.8159999999998</v>
      </c>
      <c r="X148" s="10">
        <v>3235.1109999999999</v>
      </c>
      <c r="Y148" s="10">
        <v>3265.7629999999999</v>
      </c>
      <c r="Z148" s="10">
        <v>3297.4059999999999</v>
      </c>
      <c r="AA148" s="10">
        <v>3328.3519999999999</v>
      </c>
      <c r="AB148" s="10">
        <v>3357.0529999999999</v>
      </c>
      <c r="AC148" s="10">
        <v>3382.1060000000002</v>
      </c>
      <c r="AD148" s="10">
        <v>3402.04</v>
      </c>
      <c r="AE148" s="10">
        <v>3416.7179999999998</v>
      </c>
      <c r="AF148" s="10">
        <v>3426.058</v>
      </c>
      <c r="AG148" s="10">
        <v>3430.0509999999999</v>
      </c>
      <c r="AH148" s="10">
        <v>3428.922</v>
      </c>
      <c r="AI148" s="10">
        <v>3423.6080000000002</v>
      </c>
      <c r="AJ148" s="10">
        <v>3414.67</v>
      </c>
      <c r="AK148" s="10">
        <v>3402.92</v>
      </c>
      <c r="AL148" s="10">
        <v>3389.2829999999999</v>
      </c>
      <c r="AM148" s="10">
        <v>3374.7220000000002</v>
      </c>
      <c r="AN148" s="10">
        <v>3360.1779999999999</v>
      </c>
      <c r="AO148" s="10">
        <v>3346.5160000000001</v>
      </c>
      <c r="AP148" s="10">
        <v>3334.4430000000002</v>
      </c>
      <c r="AQ148" s="10">
        <v>3324.5059999999999</v>
      </c>
      <c r="AR148" s="10">
        <v>3317.1060000000002</v>
      </c>
      <c r="AS148" s="10">
        <v>3312.51</v>
      </c>
      <c r="AT148" s="10">
        <v>3310.819</v>
      </c>
    </row>
    <row r="149" spans="2:46">
      <c r="B149" s="6" t="s">
        <v>3423</v>
      </c>
      <c r="C149" s="10" t="s">
        <v>186</v>
      </c>
      <c r="D149" s="10">
        <v>3523.866</v>
      </c>
      <c r="E149" s="10">
        <v>3542.2429999999999</v>
      </c>
      <c r="F149" s="10">
        <v>3545.2139999999999</v>
      </c>
      <c r="G149" s="10">
        <v>3537.0219999999999</v>
      </c>
      <c r="H149" s="10">
        <v>3494.7629999999999</v>
      </c>
      <c r="I149" s="10">
        <v>3451.951</v>
      </c>
      <c r="J149" s="10">
        <v>3399.3679999999999</v>
      </c>
      <c r="K149" s="10">
        <v>3350.8490000000002</v>
      </c>
      <c r="L149" s="10">
        <v>3293.7429999999999</v>
      </c>
      <c r="M149" s="10">
        <v>3248.3870000000002</v>
      </c>
      <c r="N149" s="10">
        <v>3219.489</v>
      </c>
      <c r="O149" s="10">
        <v>3212.0369999999998</v>
      </c>
      <c r="P149" s="10">
        <v>3201.873</v>
      </c>
      <c r="Q149" s="10">
        <v>3194.9609999999998</v>
      </c>
      <c r="R149" s="10">
        <v>3191.9360000000001</v>
      </c>
      <c r="S149" s="10">
        <v>3191.1959999999999</v>
      </c>
      <c r="T149" s="10">
        <v>3191.3310000000001</v>
      </c>
      <c r="U149" s="10">
        <v>3193.2069999999999</v>
      </c>
      <c r="V149" s="10">
        <v>3197.5050000000001</v>
      </c>
      <c r="W149" s="10">
        <v>3204.9870000000001</v>
      </c>
      <c r="X149" s="10">
        <v>3216.2719999999999</v>
      </c>
      <c r="Y149" s="10">
        <v>3231.192</v>
      </c>
      <c r="Z149" s="10">
        <v>3249.51</v>
      </c>
      <c r="AA149" s="10">
        <v>3271.395</v>
      </c>
      <c r="AB149" s="10">
        <v>3296.7139999999999</v>
      </c>
      <c r="AC149" s="10">
        <v>3325.0160000000001</v>
      </c>
      <c r="AD149" s="10">
        <v>3355.6680000000001</v>
      </c>
      <c r="AE149" s="10">
        <v>3387.297</v>
      </c>
      <c r="AF149" s="10">
        <v>3418.2330000000002</v>
      </c>
      <c r="AG149" s="10">
        <v>3446.92</v>
      </c>
      <c r="AH149" s="10">
        <v>3471.9659999999999</v>
      </c>
      <c r="AI149" s="10">
        <v>3491.8939999999998</v>
      </c>
      <c r="AJ149" s="10">
        <v>3506.5770000000002</v>
      </c>
      <c r="AK149" s="10">
        <v>3515.9279999999999</v>
      </c>
      <c r="AL149" s="10">
        <v>3519.942</v>
      </c>
      <c r="AM149" s="10">
        <v>3518.8380000000002</v>
      </c>
      <c r="AN149" s="10">
        <v>3513.5520000000001</v>
      </c>
      <c r="AO149" s="10">
        <v>3504.645</v>
      </c>
      <c r="AP149" s="10">
        <v>3492.9340000000002</v>
      </c>
      <c r="AQ149" s="10">
        <v>3479.3330000000001</v>
      </c>
      <c r="AR149" s="10">
        <v>3464.8130000000001</v>
      </c>
      <c r="AS149" s="10">
        <v>3450.3069999999998</v>
      </c>
      <c r="AT149" s="10">
        <v>3436.674</v>
      </c>
    </row>
    <row r="150" spans="2:46">
      <c r="B150" s="6" t="s">
        <v>3424</v>
      </c>
      <c r="C150" s="10" t="s">
        <v>187</v>
      </c>
      <c r="D150" s="10">
        <v>3274.1190000000001</v>
      </c>
      <c r="E150" s="10">
        <v>3357.8760000000002</v>
      </c>
      <c r="F150" s="10">
        <v>3441.0529999999999</v>
      </c>
      <c r="G150" s="10">
        <v>3508.1370000000002</v>
      </c>
      <c r="H150" s="10">
        <v>3576.63</v>
      </c>
      <c r="I150" s="10">
        <v>3601.4050000000002</v>
      </c>
      <c r="J150" s="10">
        <v>3616.5830000000001</v>
      </c>
      <c r="K150" s="10">
        <v>3616.239</v>
      </c>
      <c r="L150" s="10">
        <v>3606.0529999999999</v>
      </c>
      <c r="M150" s="10">
        <v>3562.3319999999999</v>
      </c>
      <c r="N150" s="10">
        <v>3518.5520000000001</v>
      </c>
      <c r="O150" s="10">
        <v>3465.5239999999999</v>
      </c>
      <c r="P150" s="10">
        <v>3417.0889999999999</v>
      </c>
      <c r="Q150" s="10">
        <v>3360.0610000000001</v>
      </c>
      <c r="R150" s="10">
        <v>3314.7719999999999</v>
      </c>
      <c r="S150" s="10">
        <v>3285.9119999999998</v>
      </c>
      <c r="T150" s="10">
        <v>3278.4940000000001</v>
      </c>
      <c r="U150" s="10">
        <v>3268.3429999999998</v>
      </c>
      <c r="V150" s="10">
        <v>3261.4549999999999</v>
      </c>
      <c r="W150" s="10">
        <v>3258.4560000000001</v>
      </c>
      <c r="X150" s="10">
        <v>3257.73</v>
      </c>
      <c r="Y150" s="10">
        <v>3257.8829999999998</v>
      </c>
      <c r="Z150" s="10">
        <v>3259.7820000000002</v>
      </c>
      <c r="AA150" s="10">
        <v>3264.0970000000002</v>
      </c>
      <c r="AB150" s="10">
        <v>3271.5970000000002</v>
      </c>
      <c r="AC150" s="10">
        <v>3282.8910000000001</v>
      </c>
      <c r="AD150" s="10">
        <v>3297.8220000000001</v>
      </c>
      <c r="AE150" s="10">
        <v>3316.1509999999998</v>
      </c>
      <c r="AF150" s="10">
        <v>3338.0349999999999</v>
      </c>
      <c r="AG150" s="10">
        <v>3363.3560000000002</v>
      </c>
      <c r="AH150" s="10">
        <v>3391.65</v>
      </c>
      <c r="AI150" s="10">
        <v>3422.2950000000001</v>
      </c>
      <c r="AJ150" s="10">
        <v>3453.922</v>
      </c>
      <c r="AK150" s="10">
        <v>3484.848</v>
      </c>
      <c r="AL150" s="10">
        <v>3513.5279999999998</v>
      </c>
      <c r="AM150" s="10">
        <v>3538.5709999999999</v>
      </c>
      <c r="AN150" s="10">
        <v>3558.4940000000001</v>
      </c>
      <c r="AO150" s="10">
        <v>3573.181</v>
      </c>
      <c r="AP150" s="10">
        <v>3582.5320000000002</v>
      </c>
      <c r="AQ150" s="10">
        <v>3586.5549999999998</v>
      </c>
      <c r="AR150" s="10">
        <v>3585.462</v>
      </c>
      <c r="AS150" s="10">
        <v>3580.1950000000002</v>
      </c>
      <c r="AT150" s="10">
        <v>3571.3119999999999</v>
      </c>
    </row>
    <row r="151" spans="2:46">
      <c r="B151" s="6" t="s">
        <v>3425</v>
      </c>
      <c r="C151" s="10" t="s">
        <v>187</v>
      </c>
      <c r="D151" s="10">
        <v>3096.5749999999998</v>
      </c>
      <c r="E151" s="10">
        <v>3089.942</v>
      </c>
      <c r="F151" s="10">
        <v>3113.2040000000002</v>
      </c>
      <c r="G151" s="10">
        <v>3177.7170000000001</v>
      </c>
      <c r="H151" s="10">
        <v>3271.346</v>
      </c>
      <c r="I151" s="10">
        <v>3375.5880000000002</v>
      </c>
      <c r="J151" s="10">
        <v>3455.54</v>
      </c>
      <c r="K151" s="10">
        <v>3534.8560000000002</v>
      </c>
      <c r="L151" s="10">
        <v>3599.511</v>
      </c>
      <c r="M151" s="10">
        <v>3666.2869999999998</v>
      </c>
      <c r="N151" s="10">
        <v>3689.9839999999999</v>
      </c>
      <c r="O151" s="10">
        <v>3704.6819999999998</v>
      </c>
      <c r="P151" s="10">
        <v>3704.386</v>
      </c>
      <c r="Q151" s="10">
        <v>3694.2379999999998</v>
      </c>
      <c r="R151" s="10">
        <v>3650.6370000000002</v>
      </c>
      <c r="S151" s="10">
        <v>3606.96</v>
      </c>
      <c r="T151" s="10">
        <v>3554.0320000000002</v>
      </c>
      <c r="U151" s="10">
        <v>3505.6869999999999</v>
      </c>
      <c r="V151" s="10">
        <v>3448.761</v>
      </c>
      <c r="W151" s="10">
        <v>3403.556</v>
      </c>
      <c r="X151" s="10">
        <v>3374.7710000000002</v>
      </c>
      <c r="Y151" s="10">
        <v>3367.4009999999998</v>
      </c>
      <c r="Z151" s="10">
        <v>3357.259</v>
      </c>
      <c r="AA151" s="10">
        <v>3350.3939999999998</v>
      </c>
      <c r="AB151" s="10">
        <v>3347.4160000000002</v>
      </c>
      <c r="AC151" s="10">
        <v>3346.7080000000001</v>
      </c>
      <c r="AD151" s="10">
        <v>3346.8780000000002</v>
      </c>
      <c r="AE151" s="10">
        <v>3348.799</v>
      </c>
      <c r="AF151" s="10">
        <v>3353.1370000000002</v>
      </c>
      <c r="AG151" s="10">
        <v>3360.65</v>
      </c>
      <c r="AH151" s="10">
        <v>3371.9659999999999</v>
      </c>
      <c r="AI151" s="10">
        <v>3386.9070000000002</v>
      </c>
      <c r="AJ151" s="10">
        <v>3405.2440000000001</v>
      </c>
      <c r="AK151" s="10">
        <v>3427.1350000000002</v>
      </c>
      <c r="AL151" s="10">
        <v>3452.4540000000002</v>
      </c>
      <c r="AM151" s="10">
        <v>3480.75</v>
      </c>
      <c r="AN151" s="10">
        <v>3511.395</v>
      </c>
      <c r="AO151" s="10">
        <v>3543.0160000000001</v>
      </c>
      <c r="AP151" s="10">
        <v>3573.9450000000002</v>
      </c>
      <c r="AQ151" s="10">
        <v>3602.6260000000002</v>
      </c>
      <c r="AR151" s="10">
        <v>3627.6660000000002</v>
      </c>
      <c r="AS151" s="10">
        <v>3647.5920000000001</v>
      </c>
      <c r="AT151" s="10">
        <v>3662.2910000000002</v>
      </c>
    </row>
    <row r="152" spans="2:46">
      <c r="B152" s="6" t="s">
        <v>3426</v>
      </c>
      <c r="C152" s="10" t="s">
        <v>188</v>
      </c>
      <c r="D152" s="10">
        <v>3512.654</v>
      </c>
      <c r="E152" s="10">
        <v>3487.9749999999999</v>
      </c>
      <c r="F152" s="10">
        <v>3459.6190000000001</v>
      </c>
      <c r="G152" s="10">
        <v>3412.241</v>
      </c>
      <c r="H152" s="10">
        <v>3348.9380000000001</v>
      </c>
      <c r="I152" s="10">
        <v>3311.884</v>
      </c>
      <c r="J152" s="10">
        <v>3296.0140000000001</v>
      </c>
      <c r="K152" s="10">
        <v>3309.9180000000001</v>
      </c>
      <c r="L152" s="10">
        <v>3367.68</v>
      </c>
      <c r="M152" s="10">
        <v>3456.5810000000001</v>
      </c>
      <c r="N152" s="10">
        <v>3557.9740000000002</v>
      </c>
      <c r="O152" s="10">
        <v>3636.7069999999999</v>
      </c>
      <c r="P152" s="10">
        <v>3716.0770000000002</v>
      </c>
      <c r="Q152" s="10">
        <v>3780.7890000000002</v>
      </c>
      <c r="R152" s="10">
        <v>3847.5749999999998</v>
      </c>
      <c r="S152" s="10">
        <v>3871.3649999999998</v>
      </c>
      <c r="T152" s="10">
        <v>3886.165</v>
      </c>
      <c r="U152" s="10">
        <v>3886.0140000000001</v>
      </c>
      <c r="V152" s="10">
        <v>3876.0790000000002</v>
      </c>
      <c r="W152" s="10">
        <v>3832.6669999999999</v>
      </c>
      <c r="X152" s="10">
        <v>3789.183</v>
      </c>
      <c r="Y152" s="10">
        <v>3736.4749999999999</v>
      </c>
      <c r="Z152" s="10">
        <v>3688.3609999999999</v>
      </c>
      <c r="AA152" s="10">
        <v>3631.5520000000001</v>
      </c>
      <c r="AB152" s="10">
        <v>3586.3809999999999</v>
      </c>
      <c r="AC152" s="10">
        <v>3557.5920000000001</v>
      </c>
      <c r="AD152" s="10">
        <v>3550.1790000000001</v>
      </c>
      <c r="AE152" s="10">
        <v>3540.0390000000002</v>
      </c>
      <c r="AF152" s="10">
        <v>3533.172</v>
      </c>
      <c r="AG152" s="10">
        <v>3530.1880000000001</v>
      </c>
      <c r="AH152" s="10">
        <v>3529.4810000000002</v>
      </c>
      <c r="AI152" s="10">
        <v>3529.6570000000002</v>
      </c>
      <c r="AJ152" s="10">
        <v>3531.5859999999998</v>
      </c>
      <c r="AK152" s="10">
        <v>3535.9430000000002</v>
      </c>
      <c r="AL152" s="10">
        <v>3543.4789999999998</v>
      </c>
      <c r="AM152" s="10">
        <v>3554.81</v>
      </c>
      <c r="AN152" s="10">
        <v>3569.7759999999998</v>
      </c>
      <c r="AO152" s="10">
        <v>3588.1529999999998</v>
      </c>
      <c r="AP152" s="10">
        <v>3610.0770000000002</v>
      </c>
      <c r="AQ152" s="10">
        <v>3635.4270000000001</v>
      </c>
      <c r="AR152" s="10">
        <v>3663.7489999999998</v>
      </c>
      <c r="AS152" s="10">
        <v>3694.4259999999999</v>
      </c>
      <c r="AT152" s="10">
        <v>3726.0740000000001</v>
      </c>
    </row>
    <row r="153" spans="2:46">
      <c r="B153" s="6" t="s">
        <v>3427</v>
      </c>
      <c r="C153" s="10" t="s">
        <v>188</v>
      </c>
      <c r="D153" s="10">
        <v>3815.924</v>
      </c>
      <c r="E153" s="10">
        <v>3813.069</v>
      </c>
      <c r="F153" s="10">
        <v>3783.0239999999999</v>
      </c>
      <c r="G153" s="10">
        <v>3738.8780000000002</v>
      </c>
      <c r="H153" s="10">
        <v>3707.1329999999998</v>
      </c>
      <c r="I153" s="10">
        <v>3677.7689999999998</v>
      </c>
      <c r="J153" s="10">
        <v>3642.6350000000002</v>
      </c>
      <c r="K153" s="10">
        <v>3603.6370000000002</v>
      </c>
      <c r="L153" s="10">
        <v>3548.0410000000002</v>
      </c>
      <c r="M153" s="10">
        <v>3478.261</v>
      </c>
      <c r="N153" s="10">
        <v>3436.6559999999999</v>
      </c>
      <c r="O153" s="10">
        <v>3418.511</v>
      </c>
      <c r="P153" s="10">
        <v>3432.4340000000002</v>
      </c>
      <c r="Q153" s="10">
        <v>3490.29</v>
      </c>
      <c r="R153" s="10">
        <v>3579.346</v>
      </c>
      <c r="S153" s="10">
        <v>3680.9229999999998</v>
      </c>
      <c r="T153" s="10">
        <v>3759.875</v>
      </c>
      <c r="U153" s="10">
        <v>3839.4090000000001</v>
      </c>
      <c r="V153" s="10">
        <v>3904.252</v>
      </c>
      <c r="W153" s="10">
        <v>3971.1559999999999</v>
      </c>
      <c r="X153" s="10">
        <v>3995.018</v>
      </c>
      <c r="Y153" s="10">
        <v>4009.8249999999998</v>
      </c>
      <c r="Z153" s="10">
        <v>4009.6439999999998</v>
      </c>
      <c r="AA153" s="10">
        <v>3999.652</v>
      </c>
      <c r="AB153" s="10">
        <v>3956.212</v>
      </c>
      <c r="AC153" s="10">
        <v>3912.6770000000001</v>
      </c>
      <c r="AD153" s="10">
        <v>3859.895</v>
      </c>
      <c r="AE153" s="10">
        <v>3811.6729999999998</v>
      </c>
      <c r="AF153" s="10">
        <v>3754.8130000000001</v>
      </c>
      <c r="AG153" s="10">
        <v>3709.6329999999998</v>
      </c>
      <c r="AH153" s="10">
        <v>3680.8629999999998</v>
      </c>
      <c r="AI153" s="10">
        <v>3673.4870000000001</v>
      </c>
      <c r="AJ153" s="10">
        <v>3663.39</v>
      </c>
      <c r="AK153" s="10">
        <v>3656.5549999999998</v>
      </c>
      <c r="AL153" s="10">
        <v>3653.6060000000002</v>
      </c>
      <c r="AM153" s="10">
        <v>3652.9360000000001</v>
      </c>
      <c r="AN153" s="10">
        <v>3653.1489999999999</v>
      </c>
      <c r="AO153" s="10">
        <v>3655.1019999999999</v>
      </c>
      <c r="AP153" s="10">
        <v>3659.4830000000002</v>
      </c>
      <c r="AQ153" s="10">
        <v>3667.049</v>
      </c>
      <c r="AR153" s="10">
        <v>3678.4169999999999</v>
      </c>
      <c r="AS153" s="10">
        <v>3693.4050000000002</v>
      </c>
      <c r="AT153" s="10">
        <v>3711.8130000000001</v>
      </c>
    </row>
    <row r="154" spans="2:46">
      <c r="B154" s="6" t="s">
        <v>3428</v>
      </c>
      <c r="C154" s="10" t="s">
        <v>189</v>
      </c>
      <c r="D154" s="10">
        <v>3787.5970000000002</v>
      </c>
      <c r="E154" s="10">
        <v>3818.183</v>
      </c>
      <c r="F154" s="10">
        <v>3839.4560000000001</v>
      </c>
      <c r="G154" s="10">
        <v>3873.2730000000001</v>
      </c>
      <c r="H154" s="10">
        <v>3898.6529999999998</v>
      </c>
      <c r="I154" s="10">
        <v>3883.3069999999998</v>
      </c>
      <c r="J154" s="10">
        <v>3873.7350000000001</v>
      </c>
      <c r="K154" s="10">
        <v>3836.895</v>
      </c>
      <c r="L154" s="10">
        <v>3787.857</v>
      </c>
      <c r="M154" s="10">
        <v>3752.2979999999998</v>
      </c>
      <c r="N154" s="10">
        <v>3720.2869999999998</v>
      </c>
      <c r="O154" s="10">
        <v>3683.8910000000001</v>
      </c>
      <c r="P154" s="10">
        <v>3645.0790000000002</v>
      </c>
      <c r="Q154" s="10">
        <v>3589.6849999999999</v>
      </c>
      <c r="R154" s="10">
        <v>3520.1390000000001</v>
      </c>
      <c r="S154" s="10">
        <v>3478.72</v>
      </c>
      <c r="T154" s="10">
        <v>3460.7570000000001</v>
      </c>
      <c r="U154" s="10">
        <v>3474.8049999999998</v>
      </c>
      <c r="V154" s="10">
        <v>3532.694</v>
      </c>
      <c r="W154" s="10">
        <v>3621.6869999999999</v>
      </c>
      <c r="X154" s="10">
        <v>3723.1660000000002</v>
      </c>
      <c r="Y154" s="10">
        <v>3802.0419999999999</v>
      </c>
      <c r="Z154" s="10">
        <v>3881.4749999999999</v>
      </c>
      <c r="AA154" s="10">
        <v>3946.2649999999999</v>
      </c>
      <c r="AB154" s="10">
        <v>4013.1080000000002</v>
      </c>
      <c r="AC154" s="10">
        <v>4036.971</v>
      </c>
      <c r="AD154" s="10">
        <v>4051.797</v>
      </c>
      <c r="AE154" s="10">
        <v>4051.663</v>
      </c>
      <c r="AF154" s="10">
        <v>4041.7530000000002</v>
      </c>
      <c r="AG154" s="10">
        <v>3998.4630000000002</v>
      </c>
      <c r="AH154" s="10">
        <v>3955.0630000000001</v>
      </c>
      <c r="AI154" s="10">
        <v>3902.4119999999998</v>
      </c>
      <c r="AJ154" s="10">
        <v>3854.3319999999999</v>
      </c>
      <c r="AK154" s="10">
        <v>3797.6680000000001</v>
      </c>
      <c r="AL154" s="10">
        <v>3752.6610000000001</v>
      </c>
      <c r="AM154" s="10">
        <v>3724.03</v>
      </c>
      <c r="AN154" s="10">
        <v>3716.748</v>
      </c>
      <c r="AO154" s="10">
        <v>3706.7429999999999</v>
      </c>
      <c r="AP154" s="10">
        <v>3699.989</v>
      </c>
      <c r="AQ154" s="10">
        <v>3697.1210000000001</v>
      </c>
      <c r="AR154" s="10">
        <v>3696.52</v>
      </c>
      <c r="AS154" s="10">
        <v>3696.8</v>
      </c>
      <c r="AT154" s="10">
        <v>3698.8229999999999</v>
      </c>
    </row>
    <row r="155" spans="2:46">
      <c r="B155" s="6" t="s">
        <v>3429</v>
      </c>
      <c r="C155" s="10" t="s">
        <v>189</v>
      </c>
      <c r="D155" s="10">
        <v>3717.4830000000002</v>
      </c>
      <c r="E155" s="10">
        <v>3741.83</v>
      </c>
      <c r="F155" s="10">
        <v>3753.9720000000002</v>
      </c>
      <c r="G155" s="10">
        <v>3766.5729999999999</v>
      </c>
      <c r="H155" s="10">
        <v>3776.7310000000002</v>
      </c>
      <c r="I155" s="10">
        <v>3805.288</v>
      </c>
      <c r="J155" s="10">
        <v>3831.71</v>
      </c>
      <c r="K155" s="10">
        <v>3848.7959999999998</v>
      </c>
      <c r="L155" s="10">
        <v>3879.7660000000001</v>
      </c>
      <c r="M155" s="10">
        <v>3902.8809999999999</v>
      </c>
      <c r="N155" s="10">
        <v>3886.0889999999999</v>
      </c>
      <c r="O155" s="10">
        <v>3875.8890000000001</v>
      </c>
      <c r="P155" s="10">
        <v>3839.3440000000001</v>
      </c>
      <c r="Q155" s="10">
        <v>3790.6950000000002</v>
      </c>
      <c r="R155" s="10">
        <v>3755.5</v>
      </c>
      <c r="S155" s="10">
        <v>3723.8040000000001</v>
      </c>
      <c r="T155" s="10">
        <v>3687.7170000000001</v>
      </c>
      <c r="U155" s="10">
        <v>3649.203</v>
      </c>
      <c r="V155" s="10">
        <v>3594.165</v>
      </c>
      <c r="W155" s="10">
        <v>3525.0279999999998</v>
      </c>
      <c r="X155" s="10">
        <v>3483.9389999999999</v>
      </c>
      <c r="Y155" s="10">
        <v>3466.2310000000002</v>
      </c>
      <c r="Z155" s="10">
        <v>3480.4079999999999</v>
      </c>
      <c r="AA155" s="10">
        <v>3538.259</v>
      </c>
      <c r="AB155" s="10">
        <v>3627.0830000000001</v>
      </c>
      <c r="AC155" s="10">
        <v>3728.328</v>
      </c>
      <c r="AD155" s="10">
        <v>3807.0039999999999</v>
      </c>
      <c r="AE155" s="10">
        <v>3886.259</v>
      </c>
      <c r="AF155" s="10">
        <v>3950.9259999999999</v>
      </c>
      <c r="AG155" s="10">
        <v>4017.6619999999998</v>
      </c>
      <c r="AH155" s="10">
        <v>4041.547</v>
      </c>
      <c r="AI155" s="10">
        <v>4056.442</v>
      </c>
      <c r="AJ155" s="10">
        <v>4056.4270000000001</v>
      </c>
      <c r="AK155" s="10">
        <v>4046.68</v>
      </c>
      <c r="AL155" s="10">
        <v>4003.6689999999999</v>
      </c>
      <c r="AM155" s="10">
        <v>3960.5419999999999</v>
      </c>
      <c r="AN155" s="10">
        <v>3908.1759999999999</v>
      </c>
      <c r="AO155" s="10">
        <v>3860.38</v>
      </c>
      <c r="AP155" s="10">
        <v>3804.027</v>
      </c>
      <c r="AQ155" s="10">
        <v>3759.2939999999999</v>
      </c>
      <c r="AR155" s="10">
        <v>3730.875</v>
      </c>
      <c r="AS155" s="10">
        <v>3723.7310000000002</v>
      </c>
      <c r="AT155" s="10">
        <v>3713.8589999999999</v>
      </c>
    </row>
    <row r="156" spans="2:46">
      <c r="B156" s="6" t="s">
        <v>3430</v>
      </c>
      <c r="C156" s="10" t="s">
        <v>190</v>
      </c>
      <c r="D156" s="10">
        <v>3390.5839999999998</v>
      </c>
      <c r="E156" s="10">
        <v>3417.24</v>
      </c>
      <c r="F156" s="10">
        <v>3484.7550000000001</v>
      </c>
      <c r="G156" s="10">
        <v>3563.04</v>
      </c>
      <c r="H156" s="10">
        <v>3647.6260000000002</v>
      </c>
      <c r="I156" s="10">
        <v>3722.1419999999998</v>
      </c>
      <c r="J156" s="10">
        <v>3743.5619999999999</v>
      </c>
      <c r="K156" s="10">
        <v>3752.8049999999998</v>
      </c>
      <c r="L156" s="10">
        <v>3763.5709999999999</v>
      </c>
      <c r="M156" s="10">
        <v>3772.337</v>
      </c>
      <c r="N156" s="10">
        <v>3799.8580000000002</v>
      </c>
      <c r="O156" s="10">
        <v>3825.7449999999999</v>
      </c>
      <c r="P156" s="10">
        <v>3842.8829999999998</v>
      </c>
      <c r="Q156" s="10">
        <v>3873.837</v>
      </c>
      <c r="R156" s="10">
        <v>3896.9250000000002</v>
      </c>
      <c r="S156" s="10">
        <v>3880.355</v>
      </c>
      <c r="T156" s="10">
        <v>3870.3789999999999</v>
      </c>
      <c r="U156" s="10">
        <v>3834.21</v>
      </c>
      <c r="V156" s="10">
        <v>3786.0540000000001</v>
      </c>
      <c r="W156" s="10">
        <v>3751.2939999999999</v>
      </c>
      <c r="X156" s="10">
        <v>3719.9960000000001</v>
      </c>
      <c r="Y156" s="10">
        <v>3684.3159999999998</v>
      </c>
      <c r="Z156" s="10">
        <v>3646.194</v>
      </c>
      <c r="AA156" s="10">
        <v>3591.652</v>
      </c>
      <c r="AB156" s="10">
        <v>3523.0830000000001</v>
      </c>
      <c r="AC156" s="10">
        <v>3482.451</v>
      </c>
      <c r="AD156" s="10">
        <v>3465.098</v>
      </c>
      <c r="AE156" s="10">
        <v>3479.4479999999999</v>
      </c>
      <c r="AF156" s="10">
        <v>3537.252</v>
      </c>
      <c r="AG156" s="10">
        <v>3625.837</v>
      </c>
      <c r="AH156" s="10">
        <v>3726.759</v>
      </c>
      <c r="AI156" s="10">
        <v>3805.1930000000002</v>
      </c>
      <c r="AJ156" s="10">
        <v>3884.2289999999998</v>
      </c>
      <c r="AK156" s="10">
        <v>3948.7579999999998</v>
      </c>
      <c r="AL156" s="10">
        <v>4015.3620000000001</v>
      </c>
      <c r="AM156" s="10">
        <v>4039.317</v>
      </c>
      <c r="AN156" s="10">
        <v>4054.326</v>
      </c>
      <c r="AO156" s="10">
        <v>4054.49</v>
      </c>
      <c r="AP156" s="10">
        <v>4044.9810000000002</v>
      </c>
      <c r="AQ156" s="10">
        <v>4002.3679999999999</v>
      </c>
      <c r="AR156" s="10">
        <v>3959.6149999999998</v>
      </c>
      <c r="AS156" s="10">
        <v>3907.64</v>
      </c>
      <c r="AT156" s="10">
        <v>3860.2440000000001</v>
      </c>
    </row>
    <row r="157" spans="2:46">
      <c r="B157" s="6" t="s">
        <v>3431</v>
      </c>
      <c r="C157" s="10" t="s">
        <v>190</v>
      </c>
      <c r="D157" s="10">
        <v>3799.2420000000002</v>
      </c>
      <c r="E157" s="10">
        <v>3720.4349999999999</v>
      </c>
      <c r="F157" s="10">
        <v>3647.3739999999998</v>
      </c>
      <c r="G157" s="10">
        <v>3542.9209999999998</v>
      </c>
      <c r="H157" s="10">
        <v>3450.1489999999999</v>
      </c>
      <c r="I157" s="10">
        <v>3397.9940000000001</v>
      </c>
      <c r="J157" s="10">
        <v>3422.3910000000001</v>
      </c>
      <c r="K157" s="10">
        <v>3487.3449999999998</v>
      </c>
      <c r="L157" s="10">
        <v>3563.6080000000002</v>
      </c>
      <c r="M157" s="10">
        <v>3646.4270000000001</v>
      </c>
      <c r="N157" s="10">
        <v>3719.6280000000002</v>
      </c>
      <c r="O157" s="10">
        <v>3740.6439999999998</v>
      </c>
      <c r="P157" s="10">
        <v>3750.0540000000001</v>
      </c>
      <c r="Q157" s="10">
        <v>3760.9879999999998</v>
      </c>
      <c r="R157" s="10">
        <v>3769.9290000000001</v>
      </c>
      <c r="S157" s="10">
        <v>3797.4810000000002</v>
      </c>
      <c r="T157" s="10">
        <v>3823.3719999999998</v>
      </c>
      <c r="U157" s="10">
        <v>3840.6239999999998</v>
      </c>
      <c r="V157" s="10">
        <v>3871.5940000000001</v>
      </c>
      <c r="W157" s="10">
        <v>3894.701</v>
      </c>
      <c r="X157" s="10">
        <v>3878.4670000000001</v>
      </c>
      <c r="Y157" s="10">
        <v>3868.8249999999998</v>
      </c>
      <c r="Z157" s="10">
        <v>3833.1979999999999</v>
      </c>
      <c r="AA157" s="10">
        <v>3785.72</v>
      </c>
      <c r="AB157" s="10">
        <v>3751.5419999999999</v>
      </c>
      <c r="AC157" s="10">
        <v>3720.7739999999999</v>
      </c>
      <c r="AD157" s="10">
        <v>3685.6590000000001</v>
      </c>
      <c r="AE157" s="10">
        <v>3648.0889999999999</v>
      </c>
      <c r="AF157" s="10">
        <v>3594.2330000000002</v>
      </c>
      <c r="AG157" s="10">
        <v>3526.4409999999998</v>
      </c>
      <c r="AH157" s="10">
        <v>3486.4110000000001</v>
      </c>
      <c r="AI157" s="10">
        <v>3469.518</v>
      </c>
      <c r="AJ157" s="10">
        <v>3484.0889999999999</v>
      </c>
      <c r="AK157" s="10">
        <v>3541.8049999999998</v>
      </c>
      <c r="AL157" s="10">
        <v>3630.076</v>
      </c>
      <c r="AM157" s="10">
        <v>3730.6080000000002</v>
      </c>
      <c r="AN157" s="10">
        <v>3808.7539999999999</v>
      </c>
      <c r="AO157" s="10">
        <v>3887.5210000000002</v>
      </c>
      <c r="AP157" s="10">
        <v>3951.8919999999998</v>
      </c>
      <c r="AQ157" s="10">
        <v>4018.3389999999999</v>
      </c>
      <c r="AR157" s="10">
        <v>4042.3960000000002</v>
      </c>
      <c r="AS157" s="10">
        <v>4057.5749999999998</v>
      </c>
      <c r="AT157" s="10">
        <v>4057.9839999999999</v>
      </c>
    </row>
    <row r="158" spans="2:46">
      <c r="B158" s="6" t="s">
        <v>3432</v>
      </c>
      <c r="C158" s="10" t="s">
        <v>191</v>
      </c>
      <c r="D158" s="10">
        <v>3915.451</v>
      </c>
      <c r="E158" s="10">
        <v>3909.5619999999999</v>
      </c>
      <c r="F158" s="10">
        <v>3879.2620000000002</v>
      </c>
      <c r="G158" s="10">
        <v>3871.3119999999999</v>
      </c>
      <c r="H158" s="10">
        <v>3840.1559999999999</v>
      </c>
      <c r="I158" s="10">
        <v>3790.373</v>
      </c>
      <c r="J158" s="10">
        <v>3710.9369999999999</v>
      </c>
      <c r="K158" s="10">
        <v>3637.3989999999999</v>
      </c>
      <c r="L158" s="10">
        <v>3533.3710000000001</v>
      </c>
      <c r="M158" s="10">
        <v>3441.21</v>
      </c>
      <c r="N158" s="10">
        <v>3389.5210000000002</v>
      </c>
      <c r="O158" s="10">
        <v>3413.8580000000002</v>
      </c>
      <c r="P158" s="10">
        <v>3478.6179999999999</v>
      </c>
      <c r="Q158" s="10">
        <v>3554.473</v>
      </c>
      <c r="R158" s="10">
        <v>3636.723</v>
      </c>
      <c r="S158" s="10">
        <v>3709.4229999999998</v>
      </c>
      <c r="T158" s="10">
        <v>3730.5619999999999</v>
      </c>
      <c r="U158" s="10">
        <v>3740.3119999999999</v>
      </c>
      <c r="V158" s="10">
        <v>3751.5619999999999</v>
      </c>
      <c r="W158" s="10">
        <v>3760.8229999999999</v>
      </c>
      <c r="X158" s="10">
        <v>3788.5059999999999</v>
      </c>
      <c r="Y158" s="10">
        <v>3814.49</v>
      </c>
      <c r="Z158" s="10">
        <v>3831.95</v>
      </c>
      <c r="AA158" s="10">
        <v>3863.011</v>
      </c>
      <c r="AB158" s="10">
        <v>3886.2139999999999</v>
      </c>
      <c r="AC158" s="10">
        <v>3870.4760000000001</v>
      </c>
      <c r="AD158" s="10">
        <v>3861.3069999999998</v>
      </c>
      <c r="AE158" s="10">
        <v>3826.413</v>
      </c>
      <c r="AF158" s="10">
        <v>3779.835</v>
      </c>
      <c r="AG158" s="10">
        <v>3746.43</v>
      </c>
      <c r="AH158" s="10">
        <v>3716.366</v>
      </c>
      <c r="AI158" s="10">
        <v>3681.9859999999999</v>
      </c>
      <c r="AJ158" s="10">
        <v>3645.127</v>
      </c>
      <c r="AK158" s="10">
        <v>3592.1529999999998</v>
      </c>
      <c r="AL158" s="10">
        <v>3525.3620000000001</v>
      </c>
      <c r="AM158" s="10">
        <v>3486.114</v>
      </c>
      <c r="AN158" s="10">
        <v>3469.8240000000001</v>
      </c>
      <c r="AO158" s="10">
        <v>3484.6979999999999</v>
      </c>
      <c r="AP158" s="10">
        <v>3542.3249999999998</v>
      </c>
      <c r="AQ158" s="10">
        <v>3630.2040000000002</v>
      </c>
      <c r="AR158" s="10">
        <v>3730.2220000000002</v>
      </c>
      <c r="AS158" s="10">
        <v>3808.009</v>
      </c>
      <c r="AT158" s="10">
        <v>3886.431</v>
      </c>
    </row>
    <row r="159" spans="2:46">
      <c r="B159" s="6" t="s">
        <v>3433</v>
      </c>
      <c r="C159" s="10" t="s">
        <v>191</v>
      </c>
      <c r="D159" s="10">
        <v>3573.3290000000002</v>
      </c>
      <c r="E159" s="10">
        <v>3674.32</v>
      </c>
      <c r="F159" s="10">
        <v>3766.982</v>
      </c>
      <c r="G159" s="10">
        <v>3827.5639999999999</v>
      </c>
      <c r="H159" s="10">
        <v>3863.346</v>
      </c>
      <c r="I159" s="10">
        <v>3872.1039999999998</v>
      </c>
      <c r="J159" s="10">
        <v>3865.45</v>
      </c>
      <c r="K159" s="10">
        <v>3835.19</v>
      </c>
      <c r="L159" s="10">
        <v>3827.3009999999999</v>
      </c>
      <c r="M159" s="10">
        <v>3796.7730000000001</v>
      </c>
      <c r="N159" s="10">
        <v>3748.0770000000002</v>
      </c>
      <c r="O159" s="10">
        <v>3670.4920000000002</v>
      </c>
      <c r="P159" s="10">
        <v>3598.924</v>
      </c>
      <c r="Q159" s="10">
        <v>3497.4659999999999</v>
      </c>
      <c r="R159" s="10">
        <v>3407.6790000000001</v>
      </c>
      <c r="S159" s="10">
        <v>3357.6869999999999</v>
      </c>
      <c r="T159" s="10">
        <v>3382.5160000000001</v>
      </c>
      <c r="U159" s="10">
        <v>3447.1080000000002</v>
      </c>
      <c r="V159" s="10">
        <v>3522.489</v>
      </c>
      <c r="W159" s="10">
        <v>3604.0030000000002</v>
      </c>
      <c r="X159" s="10">
        <v>3676.0459999999998</v>
      </c>
      <c r="Y159" s="10">
        <v>3697.404</v>
      </c>
      <c r="Z159" s="10">
        <v>3707.6709999999998</v>
      </c>
      <c r="AA159" s="10">
        <v>3719.4079999999999</v>
      </c>
      <c r="AB159" s="10">
        <v>3729.1419999999998</v>
      </c>
      <c r="AC159" s="10">
        <v>3757.0479999999998</v>
      </c>
      <c r="AD159" s="10">
        <v>3783.1840000000002</v>
      </c>
      <c r="AE159" s="10">
        <v>3800.9659999999999</v>
      </c>
      <c r="AF159" s="10">
        <v>3832.181</v>
      </c>
      <c r="AG159" s="10">
        <v>3855.5340000000001</v>
      </c>
      <c r="AH159" s="10">
        <v>3840.4920000000002</v>
      </c>
      <c r="AI159" s="10">
        <v>3831.9479999999999</v>
      </c>
      <c r="AJ159" s="10">
        <v>3798.0459999999998</v>
      </c>
      <c r="AK159" s="10">
        <v>3752.6990000000001</v>
      </c>
      <c r="AL159" s="10">
        <v>3720.3560000000002</v>
      </c>
      <c r="AM159" s="10">
        <v>3691.239</v>
      </c>
      <c r="AN159" s="10">
        <v>3657.875</v>
      </c>
      <c r="AO159" s="10">
        <v>3621.9859999999999</v>
      </c>
      <c r="AP159" s="10">
        <v>3570.2089999999998</v>
      </c>
      <c r="AQ159" s="10">
        <v>3504.7919999999999</v>
      </c>
      <c r="AR159" s="10">
        <v>3466.6120000000001</v>
      </c>
      <c r="AS159" s="10">
        <v>3451.1570000000002</v>
      </c>
      <c r="AT159" s="10">
        <v>3466.4470000000001</v>
      </c>
    </row>
    <row r="160" spans="2:46">
      <c r="B160" s="6" t="s">
        <v>3434</v>
      </c>
      <c r="C160" s="10" t="s">
        <v>192</v>
      </c>
      <c r="D160" s="10">
        <v>3044.3739999999998</v>
      </c>
      <c r="E160" s="10">
        <v>3116.4609999999998</v>
      </c>
      <c r="F160" s="10">
        <v>3205.1640000000002</v>
      </c>
      <c r="G160" s="10">
        <v>3302.1439999999998</v>
      </c>
      <c r="H160" s="10">
        <v>3403.0340000000001</v>
      </c>
      <c r="I160" s="10">
        <v>3497.0149999999999</v>
      </c>
      <c r="J160" s="10">
        <v>3594.6390000000001</v>
      </c>
      <c r="K160" s="10">
        <v>3684.6790000000001</v>
      </c>
      <c r="L160" s="10">
        <v>3743.819</v>
      </c>
      <c r="M160" s="10">
        <v>3779.116</v>
      </c>
      <c r="N160" s="10">
        <v>3788.3249999999998</v>
      </c>
      <c r="O160" s="10">
        <v>3782.8690000000001</v>
      </c>
      <c r="P160" s="10">
        <v>3754.6039999999998</v>
      </c>
      <c r="Q160" s="10">
        <v>3748.2460000000001</v>
      </c>
      <c r="R160" s="10">
        <v>3719.71</v>
      </c>
      <c r="S160" s="10">
        <v>3673.306</v>
      </c>
      <c r="T160" s="10">
        <v>3598.6849999999999</v>
      </c>
      <c r="U160" s="10">
        <v>3529.904</v>
      </c>
      <c r="V160" s="10">
        <v>3432.1210000000001</v>
      </c>
      <c r="W160" s="10">
        <v>3345.7060000000001</v>
      </c>
      <c r="X160" s="10">
        <v>3298.1149999999998</v>
      </c>
      <c r="Y160" s="10">
        <v>3323.6170000000002</v>
      </c>
      <c r="Z160" s="10">
        <v>3387.9369999999999</v>
      </c>
      <c r="AA160" s="10">
        <v>3462.5830000000001</v>
      </c>
      <c r="AB160" s="10">
        <v>3543.0070000000001</v>
      </c>
      <c r="AC160" s="10">
        <v>3614.0920000000001</v>
      </c>
      <c r="AD160" s="10">
        <v>3635.7759999999998</v>
      </c>
      <c r="AE160" s="10">
        <v>3646.8130000000001</v>
      </c>
      <c r="AF160" s="10">
        <v>3659.2649999999999</v>
      </c>
      <c r="AG160" s="10">
        <v>3669.683</v>
      </c>
      <c r="AH160" s="10">
        <v>3697.9259999999999</v>
      </c>
      <c r="AI160" s="10">
        <v>3724.3029999999999</v>
      </c>
      <c r="AJ160" s="10">
        <v>3742.5970000000002</v>
      </c>
      <c r="AK160" s="10">
        <v>3774.067</v>
      </c>
      <c r="AL160" s="10">
        <v>3797.6579999999999</v>
      </c>
      <c r="AM160" s="10">
        <v>3783.654</v>
      </c>
      <c r="AN160" s="10">
        <v>3776.0479999999998</v>
      </c>
      <c r="AO160" s="10">
        <v>3743.6129999999998</v>
      </c>
      <c r="AP160" s="10">
        <v>3700.0830000000001</v>
      </c>
      <c r="AQ160" s="10">
        <v>3669.2759999999998</v>
      </c>
      <c r="AR160" s="10">
        <v>3641.538</v>
      </c>
      <c r="AS160" s="10">
        <v>3609.64</v>
      </c>
      <c r="AT160" s="10">
        <v>3575.163</v>
      </c>
    </row>
    <row r="161" spans="2:46">
      <c r="B161" s="6" t="s">
        <v>3435</v>
      </c>
      <c r="C161" s="10" t="s">
        <v>192</v>
      </c>
      <c r="D161" s="10">
        <v>2822.5929999999998</v>
      </c>
      <c r="E161" s="10">
        <v>2800.4949999999999</v>
      </c>
      <c r="F161" s="10">
        <v>2792.4870000000001</v>
      </c>
      <c r="G161" s="10">
        <v>2818.8330000000001</v>
      </c>
      <c r="H161" s="10">
        <v>2871.6509999999998</v>
      </c>
      <c r="I161" s="10">
        <v>2933.8180000000002</v>
      </c>
      <c r="J161" s="10">
        <v>3002.5250000000001</v>
      </c>
      <c r="K161" s="10">
        <v>3087.826</v>
      </c>
      <c r="L161" s="10">
        <v>3181.4720000000002</v>
      </c>
      <c r="M161" s="10">
        <v>3279.192</v>
      </c>
      <c r="N161" s="10">
        <v>3370.5909999999999</v>
      </c>
      <c r="O161" s="10">
        <v>3465.6759999999999</v>
      </c>
      <c r="P161" s="10">
        <v>3553.6350000000002</v>
      </c>
      <c r="Q161" s="10">
        <v>3611.971</v>
      </c>
      <c r="R161" s="10">
        <v>3647.4690000000001</v>
      </c>
      <c r="S161" s="10">
        <v>3657.895</v>
      </c>
      <c r="T161" s="10">
        <v>3654.3519999999999</v>
      </c>
      <c r="U161" s="10">
        <v>3628.835</v>
      </c>
      <c r="V161" s="10">
        <v>3624.5250000000001</v>
      </c>
      <c r="W161" s="10">
        <v>3598.7420000000002</v>
      </c>
      <c r="X161" s="10">
        <v>3555.51</v>
      </c>
      <c r="Y161" s="10">
        <v>3485.0410000000002</v>
      </c>
      <c r="Z161" s="10">
        <v>3420.1109999999999</v>
      </c>
      <c r="AA161" s="10">
        <v>3327.4479999999999</v>
      </c>
      <c r="AB161" s="10">
        <v>3245.7220000000002</v>
      </c>
      <c r="AC161" s="10">
        <v>3201.433</v>
      </c>
      <c r="AD161" s="10">
        <v>3227.799</v>
      </c>
      <c r="AE161" s="10">
        <v>3291.6610000000001</v>
      </c>
      <c r="AF161" s="10">
        <v>3365.2550000000001</v>
      </c>
      <c r="AG161" s="10">
        <v>3444.15</v>
      </c>
      <c r="AH161" s="10">
        <v>3513.9250000000002</v>
      </c>
      <c r="AI161" s="10">
        <v>3536.1089999999999</v>
      </c>
      <c r="AJ161" s="10">
        <v>3548.2260000000001</v>
      </c>
      <c r="AK161" s="10">
        <v>3561.692</v>
      </c>
      <c r="AL161" s="10">
        <v>3573.0940000000001</v>
      </c>
      <c r="AM161" s="10">
        <v>3601.8090000000002</v>
      </c>
      <c r="AN161" s="10">
        <v>3628.5619999999999</v>
      </c>
      <c r="AO161" s="10">
        <v>3647.587</v>
      </c>
      <c r="AP161" s="10">
        <v>3679.4279999999999</v>
      </c>
      <c r="AQ161" s="10">
        <v>3703.395</v>
      </c>
      <c r="AR161" s="10">
        <v>3690.9050000000002</v>
      </c>
      <c r="AS161" s="10">
        <v>3684.6280000000002</v>
      </c>
      <c r="AT161" s="10">
        <v>3654.2739999999999</v>
      </c>
    </row>
    <row r="162" spans="2:46">
      <c r="B162" s="6" t="s">
        <v>3436</v>
      </c>
      <c r="C162" s="10" t="s">
        <v>193</v>
      </c>
      <c r="D162" s="10">
        <v>2724.8</v>
      </c>
      <c r="E162" s="10">
        <v>2780.9070000000002</v>
      </c>
      <c r="F162" s="10">
        <v>2819.5749999999998</v>
      </c>
      <c r="G162" s="10">
        <v>2832.8029999999999</v>
      </c>
      <c r="H162" s="10">
        <v>2704.6889999999999</v>
      </c>
      <c r="I162" s="10">
        <v>2644.721</v>
      </c>
      <c r="J162" s="10">
        <v>2624.8719999999998</v>
      </c>
      <c r="K162" s="10">
        <v>2618.8209999999999</v>
      </c>
      <c r="L162" s="10">
        <v>2644.893</v>
      </c>
      <c r="M162" s="10">
        <v>2695.8049999999998</v>
      </c>
      <c r="N162" s="10">
        <v>2755.92</v>
      </c>
      <c r="O162" s="10">
        <v>2822.306</v>
      </c>
      <c r="P162" s="10">
        <v>2904.2139999999999</v>
      </c>
      <c r="Q162" s="10">
        <v>2994.248</v>
      </c>
      <c r="R162" s="10">
        <v>3088.3049999999998</v>
      </c>
      <c r="S162" s="10">
        <v>3176.5830000000001</v>
      </c>
      <c r="T162" s="10">
        <v>3268.2820000000002</v>
      </c>
      <c r="U162" s="10">
        <v>3353.1640000000002</v>
      </c>
      <c r="V162" s="10">
        <v>3410.221</v>
      </c>
      <c r="W162" s="10">
        <v>3445.8580000000002</v>
      </c>
      <c r="X162" s="10">
        <v>3457.8609999999999</v>
      </c>
      <c r="Y162" s="10">
        <v>3456.9029999999998</v>
      </c>
      <c r="Z162" s="10">
        <v>3435.143</v>
      </c>
      <c r="AA162" s="10">
        <v>3433.616</v>
      </c>
      <c r="AB162" s="10">
        <v>3411.6120000000001</v>
      </c>
      <c r="AC162" s="10">
        <v>3372.7280000000001</v>
      </c>
      <c r="AD162" s="10">
        <v>3307.99</v>
      </c>
      <c r="AE162" s="10">
        <v>3248.3760000000002</v>
      </c>
      <c r="AF162" s="10">
        <v>3162.8939999999998</v>
      </c>
      <c r="AG162" s="10">
        <v>3087.73</v>
      </c>
      <c r="AH162" s="10">
        <v>3048.0520000000001</v>
      </c>
      <c r="AI162" s="10">
        <v>3075.5880000000002</v>
      </c>
      <c r="AJ162" s="10">
        <v>3138.7820000000002</v>
      </c>
      <c r="AK162" s="10">
        <v>3210.8389999999999</v>
      </c>
      <c r="AL162" s="10">
        <v>3287.511</v>
      </c>
      <c r="AM162" s="10">
        <v>3355.3539999999998</v>
      </c>
      <c r="AN162" s="10">
        <v>3378.203</v>
      </c>
      <c r="AO162" s="10">
        <v>3391.848</v>
      </c>
      <c r="AP162" s="10">
        <v>3406.72</v>
      </c>
      <c r="AQ162" s="10">
        <v>3419.4870000000001</v>
      </c>
      <c r="AR162" s="10">
        <v>3448.8530000000001</v>
      </c>
      <c r="AS162" s="10">
        <v>3476.1289999999999</v>
      </c>
      <c r="AT162" s="10">
        <v>3496.2080000000001</v>
      </c>
    </row>
    <row r="163" spans="2:46">
      <c r="B163" s="6" t="s">
        <v>3437</v>
      </c>
      <c r="C163" s="10" t="s">
        <v>193</v>
      </c>
      <c r="D163" s="10">
        <v>1863.126</v>
      </c>
      <c r="E163" s="10">
        <v>1941.8910000000001</v>
      </c>
      <c r="F163" s="10">
        <v>2017.2629999999999</v>
      </c>
      <c r="G163" s="10">
        <v>2119.239</v>
      </c>
      <c r="H163" s="10">
        <v>2323.1570000000002</v>
      </c>
      <c r="I163" s="10">
        <v>2433.4009999999998</v>
      </c>
      <c r="J163" s="10">
        <v>2483.4349999999999</v>
      </c>
      <c r="K163" s="10">
        <v>2518.27</v>
      </c>
      <c r="L163" s="10">
        <v>2529.84</v>
      </c>
      <c r="M163" s="10">
        <v>2420.0569999999998</v>
      </c>
      <c r="N163" s="10">
        <v>2370.48</v>
      </c>
      <c r="O163" s="10">
        <v>2356.2809999999999</v>
      </c>
      <c r="P163" s="10">
        <v>2353.9380000000001</v>
      </c>
      <c r="Q163" s="10">
        <v>2380.34</v>
      </c>
      <c r="R163" s="10">
        <v>2429.0239999999999</v>
      </c>
      <c r="S163" s="10">
        <v>2486.4850000000001</v>
      </c>
      <c r="T163" s="10">
        <v>2549.527</v>
      </c>
      <c r="U163" s="10">
        <v>2626.2269999999999</v>
      </c>
      <c r="V163" s="10">
        <v>2710.7060000000001</v>
      </c>
      <c r="W163" s="10">
        <v>2799.1120000000001</v>
      </c>
      <c r="X163" s="10">
        <v>2882.5160000000001</v>
      </c>
      <c r="Y163" s="10">
        <v>2968.9360000000001</v>
      </c>
      <c r="Z163" s="10">
        <v>3048.96</v>
      </c>
      <c r="AA163" s="10">
        <v>3103.7840000000001</v>
      </c>
      <c r="AB163" s="10">
        <v>3139.2979999999998</v>
      </c>
      <c r="AC163" s="10">
        <v>3153.288</v>
      </c>
      <c r="AD163" s="10">
        <v>3155.8240000000001</v>
      </c>
      <c r="AE163" s="10">
        <v>3139.3009999999999</v>
      </c>
      <c r="AF163" s="10">
        <v>3141.6019999999999</v>
      </c>
      <c r="AG163" s="10">
        <v>3124.8989999999999</v>
      </c>
      <c r="AH163" s="10">
        <v>3092.16</v>
      </c>
      <c r="AI163" s="10">
        <v>3035.6179999999999</v>
      </c>
      <c r="AJ163" s="10">
        <v>2983.6239999999998</v>
      </c>
      <c r="AK163" s="10">
        <v>2908.5920000000001</v>
      </c>
      <c r="AL163" s="10">
        <v>2842.9740000000002</v>
      </c>
      <c r="AM163" s="10">
        <v>2809.9749999999999</v>
      </c>
      <c r="AN163" s="10">
        <v>2839.1190000000001</v>
      </c>
      <c r="AO163" s="10">
        <v>2901.1950000000002</v>
      </c>
      <c r="AP163" s="10">
        <v>2970.8150000000001</v>
      </c>
      <c r="AQ163" s="10">
        <v>3043.951</v>
      </c>
      <c r="AR163" s="10">
        <v>3108.6579999999999</v>
      </c>
      <c r="AS163" s="10">
        <v>3132.2860000000001</v>
      </c>
      <c r="AT163" s="10">
        <v>3148.0610000000001</v>
      </c>
    </row>
    <row r="164" spans="2:46">
      <c r="B164" s="6" t="s">
        <v>3438</v>
      </c>
      <c r="C164" s="10" t="s">
        <v>3439</v>
      </c>
      <c r="D164" s="10">
        <v>1403.7560000000001</v>
      </c>
      <c r="E164" s="10">
        <v>1440.617</v>
      </c>
      <c r="F164" s="10">
        <v>1459.057</v>
      </c>
      <c r="G164" s="10">
        <v>1453.202</v>
      </c>
      <c r="H164" s="10">
        <v>1471.37</v>
      </c>
      <c r="I164" s="10">
        <v>1518.471</v>
      </c>
      <c r="J164" s="10">
        <v>1586.029</v>
      </c>
      <c r="K164" s="10">
        <v>1651.173</v>
      </c>
      <c r="L164" s="10">
        <v>1735.8710000000001</v>
      </c>
      <c r="M164" s="10">
        <v>1908.961</v>
      </c>
      <c r="N164" s="10">
        <v>2002.9580000000001</v>
      </c>
      <c r="O164" s="10">
        <v>2046.2249999999999</v>
      </c>
      <c r="P164" s="10">
        <v>2075.23</v>
      </c>
      <c r="Q164" s="10">
        <v>2084.2139999999999</v>
      </c>
      <c r="R164" s="10">
        <v>2000.145</v>
      </c>
      <c r="S164" s="10">
        <v>1965.0360000000001</v>
      </c>
      <c r="T164" s="10">
        <v>1958.4829999999999</v>
      </c>
      <c r="U164" s="10">
        <v>1961.027</v>
      </c>
      <c r="V164" s="10">
        <v>1987.45</v>
      </c>
      <c r="W164" s="10">
        <v>2032.442</v>
      </c>
      <c r="X164" s="10">
        <v>2085.4879999999998</v>
      </c>
      <c r="Y164" s="10">
        <v>2143.0859999999998</v>
      </c>
      <c r="Z164" s="10">
        <v>2211.567</v>
      </c>
      <c r="AA164" s="10">
        <v>2287.2150000000001</v>
      </c>
      <c r="AB164" s="10">
        <v>2366.5990000000002</v>
      </c>
      <c r="AC164" s="10">
        <v>2442.069</v>
      </c>
      <c r="AD164" s="10">
        <v>2519.9609999999998</v>
      </c>
      <c r="AE164" s="10">
        <v>2592.0859999999998</v>
      </c>
      <c r="AF164" s="10">
        <v>2642.8780000000002</v>
      </c>
      <c r="AG164" s="10">
        <v>2677.473</v>
      </c>
      <c r="AH164" s="10">
        <v>2693.6979999999999</v>
      </c>
      <c r="AI164" s="10">
        <v>2700.703</v>
      </c>
      <c r="AJ164" s="10">
        <v>2691.2739999999999</v>
      </c>
      <c r="AK164" s="10">
        <v>2698.58</v>
      </c>
      <c r="AL164" s="10">
        <v>2689.0909999999999</v>
      </c>
      <c r="AM164" s="10">
        <v>2664.9180000000001</v>
      </c>
      <c r="AN164" s="10">
        <v>2620.0410000000002</v>
      </c>
      <c r="AO164" s="10">
        <v>2578.8820000000001</v>
      </c>
      <c r="AP164" s="10">
        <v>2518.951</v>
      </c>
      <c r="AQ164" s="10">
        <v>2467.1030000000001</v>
      </c>
      <c r="AR164" s="10">
        <v>2443.6010000000001</v>
      </c>
      <c r="AS164" s="10">
        <v>2474.645</v>
      </c>
      <c r="AT164" s="10">
        <v>2534.5149999999999</v>
      </c>
    </row>
    <row r="165" spans="2:46">
      <c r="B165" s="6" t="s">
        <v>3440</v>
      </c>
      <c r="C165" s="10" t="s">
        <v>3439</v>
      </c>
      <c r="D165" s="10">
        <v>865.702</v>
      </c>
      <c r="E165" s="10">
        <v>879.07600000000002</v>
      </c>
      <c r="F165" s="10">
        <v>893.07600000000002</v>
      </c>
      <c r="G165" s="10">
        <v>909.572</v>
      </c>
      <c r="H165" s="10">
        <v>930.81899999999996</v>
      </c>
      <c r="I165" s="10">
        <v>958.37900000000002</v>
      </c>
      <c r="J165" s="10">
        <v>984.05</v>
      </c>
      <c r="K165" s="10">
        <v>999.09299999999996</v>
      </c>
      <c r="L165" s="10">
        <v>996.36300000000006</v>
      </c>
      <c r="M165" s="10">
        <v>1012.62</v>
      </c>
      <c r="N165" s="10">
        <v>1051.2260000000001</v>
      </c>
      <c r="O165" s="10">
        <v>1104.424</v>
      </c>
      <c r="P165" s="10">
        <v>1153.8579999999999</v>
      </c>
      <c r="Q165" s="10">
        <v>1214.2180000000001</v>
      </c>
      <c r="R165" s="10">
        <v>1343.3409999999999</v>
      </c>
      <c r="S165" s="10">
        <v>1413.18</v>
      </c>
      <c r="T165" s="10">
        <v>1445.326</v>
      </c>
      <c r="U165" s="10">
        <v>1465.3050000000001</v>
      </c>
      <c r="V165" s="10">
        <v>1470.491</v>
      </c>
      <c r="W165" s="10">
        <v>1418.9349999999999</v>
      </c>
      <c r="X165" s="10">
        <v>1401.4780000000001</v>
      </c>
      <c r="Y165" s="10">
        <v>1403.579</v>
      </c>
      <c r="Z165" s="10">
        <v>1411.2829999999999</v>
      </c>
      <c r="AA165" s="10">
        <v>1436.2639999999999</v>
      </c>
      <c r="AB165" s="10">
        <v>1474.7270000000001</v>
      </c>
      <c r="AC165" s="10">
        <v>1519.953</v>
      </c>
      <c r="AD165" s="10">
        <v>1568.251</v>
      </c>
      <c r="AE165" s="10">
        <v>1623.6849999999999</v>
      </c>
      <c r="AF165" s="10">
        <v>1685.2380000000001</v>
      </c>
      <c r="AG165" s="10">
        <v>1750.15</v>
      </c>
      <c r="AH165" s="10">
        <v>1812.5609999999999</v>
      </c>
      <c r="AI165" s="10">
        <v>1876.597</v>
      </c>
      <c r="AJ165" s="10">
        <v>1935.8579999999999</v>
      </c>
      <c r="AK165" s="10">
        <v>1979.242</v>
      </c>
      <c r="AL165" s="10">
        <v>2010.857</v>
      </c>
      <c r="AM165" s="10">
        <v>2028.6569999999999</v>
      </c>
      <c r="AN165" s="10">
        <v>2040.3520000000001</v>
      </c>
      <c r="AO165" s="10">
        <v>2039.444</v>
      </c>
      <c r="AP165" s="10">
        <v>2052.2379999999998</v>
      </c>
      <c r="AQ165" s="10">
        <v>2051.48</v>
      </c>
      <c r="AR165" s="10">
        <v>2038.2370000000001</v>
      </c>
      <c r="AS165" s="10">
        <v>2008.902</v>
      </c>
      <c r="AT165" s="10">
        <v>1982.268</v>
      </c>
    </row>
    <row r="166" spans="2:46">
      <c r="B166" s="6" t="s">
        <v>3441</v>
      </c>
      <c r="C166" s="10" t="s">
        <v>41</v>
      </c>
      <c r="D166" s="10">
        <v>382.07600000000002</v>
      </c>
      <c r="E166" s="10">
        <v>391.09199999999998</v>
      </c>
      <c r="F166" s="10">
        <v>400.65</v>
      </c>
      <c r="G166" s="10">
        <v>410.42399999999998</v>
      </c>
      <c r="H166" s="10">
        <v>419.048</v>
      </c>
      <c r="I166" s="10">
        <v>425.286</v>
      </c>
      <c r="J166" s="10">
        <v>431.52600000000001</v>
      </c>
      <c r="K166" s="10">
        <v>441.37299999999999</v>
      </c>
      <c r="L166" s="10">
        <v>452.79199999999997</v>
      </c>
      <c r="M166" s="10">
        <v>466.43799999999999</v>
      </c>
      <c r="N166" s="10">
        <v>482.745</v>
      </c>
      <c r="O166" s="10">
        <v>497.54199999999997</v>
      </c>
      <c r="P166" s="10">
        <v>506.79</v>
      </c>
      <c r="Q166" s="10">
        <v>506.06</v>
      </c>
      <c r="R166" s="10">
        <v>517.505</v>
      </c>
      <c r="S166" s="10">
        <v>542.57299999999998</v>
      </c>
      <c r="T166" s="10">
        <v>575.38599999999997</v>
      </c>
      <c r="U166" s="10">
        <v>604.17700000000002</v>
      </c>
      <c r="V166" s="10">
        <v>636.62800000000004</v>
      </c>
      <c r="W166" s="10">
        <v>712.04399999999998</v>
      </c>
      <c r="X166" s="10">
        <v>751.89</v>
      </c>
      <c r="Y166" s="10">
        <v>769.74900000000002</v>
      </c>
      <c r="Z166" s="10">
        <v>779.76</v>
      </c>
      <c r="AA166" s="10">
        <v>781.95899999999995</v>
      </c>
      <c r="AB166" s="10">
        <v>761.61900000000003</v>
      </c>
      <c r="AC166" s="10">
        <v>759.37199999999996</v>
      </c>
      <c r="AD166" s="10">
        <v>767.11599999999999</v>
      </c>
      <c r="AE166" s="10">
        <v>777.06200000000001</v>
      </c>
      <c r="AF166" s="10">
        <v>796.726</v>
      </c>
      <c r="AG166" s="10">
        <v>824.01900000000001</v>
      </c>
      <c r="AH166" s="10">
        <v>855.93100000000004</v>
      </c>
      <c r="AI166" s="10">
        <v>889.31899999999996</v>
      </c>
      <c r="AJ166" s="10">
        <v>926.04499999999996</v>
      </c>
      <c r="AK166" s="10">
        <v>967.21400000000006</v>
      </c>
      <c r="AL166" s="10">
        <v>1010.974</v>
      </c>
      <c r="AM166" s="10">
        <v>1053.644</v>
      </c>
      <c r="AN166" s="10">
        <v>1097.1510000000001</v>
      </c>
      <c r="AO166" s="10">
        <v>1137.433</v>
      </c>
      <c r="AP166" s="10">
        <v>1168.4280000000001</v>
      </c>
      <c r="AQ166" s="10">
        <v>1192.895</v>
      </c>
      <c r="AR166" s="10">
        <v>1209.181</v>
      </c>
      <c r="AS166" s="10">
        <v>1222.799</v>
      </c>
      <c r="AT166" s="10">
        <v>1228.6510000000001</v>
      </c>
    </row>
    <row r="167" spans="2:46">
      <c r="B167" s="6" t="s">
        <v>3442</v>
      </c>
      <c r="C167" s="10" t="s">
        <v>41</v>
      </c>
      <c r="D167" s="10">
        <v>105.85899999999999</v>
      </c>
      <c r="E167" s="10">
        <v>110.321</v>
      </c>
      <c r="F167" s="10">
        <v>109.929</v>
      </c>
      <c r="G167" s="10">
        <v>110.44199999999999</v>
      </c>
      <c r="H167" s="10">
        <v>111.288</v>
      </c>
      <c r="I167" s="10">
        <v>112.19799999999999</v>
      </c>
      <c r="J167" s="10">
        <v>114.068</v>
      </c>
      <c r="K167" s="10">
        <v>117.405</v>
      </c>
      <c r="L167" s="10">
        <v>120.86199999999999</v>
      </c>
      <c r="M167" s="10">
        <v>123.88800000000001</v>
      </c>
      <c r="N167" s="10">
        <v>126.08799999999999</v>
      </c>
      <c r="O167" s="10">
        <v>128.58199999999999</v>
      </c>
      <c r="P167" s="10">
        <v>132.755</v>
      </c>
      <c r="Q167" s="10">
        <v>137.47300000000001</v>
      </c>
      <c r="R167" s="10">
        <v>142.78100000000001</v>
      </c>
      <c r="S167" s="10">
        <v>148.72499999999999</v>
      </c>
      <c r="T167" s="10">
        <v>153.98599999999999</v>
      </c>
      <c r="U167" s="10">
        <v>157.45099999999999</v>
      </c>
      <c r="V167" s="10">
        <v>157.37899999999999</v>
      </c>
      <c r="W167" s="10">
        <v>162.53</v>
      </c>
      <c r="X167" s="10">
        <v>173.03399999999999</v>
      </c>
      <c r="Y167" s="10">
        <v>185.995</v>
      </c>
      <c r="Z167" s="10">
        <v>196.55099999999999</v>
      </c>
      <c r="AA167" s="10">
        <v>207.589</v>
      </c>
      <c r="AB167" s="10">
        <v>236.56700000000001</v>
      </c>
      <c r="AC167" s="10">
        <v>251.012</v>
      </c>
      <c r="AD167" s="10">
        <v>257.11099999999999</v>
      </c>
      <c r="AE167" s="10">
        <v>260.29700000000003</v>
      </c>
      <c r="AF167" s="10">
        <v>261.255</v>
      </c>
      <c r="AG167" s="10">
        <v>258.08800000000002</v>
      </c>
      <c r="AH167" s="10">
        <v>261.00299999999999</v>
      </c>
      <c r="AI167" s="10">
        <v>266.98399999999998</v>
      </c>
      <c r="AJ167" s="10">
        <v>273.214</v>
      </c>
      <c r="AK167" s="10">
        <v>283.089</v>
      </c>
      <c r="AL167" s="10">
        <v>295.85599999999999</v>
      </c>
      <c r="AM167" s="10">
        <v>310.72800000000001</v>
      </c>
      <c r="AN167" s="10">
        <v>325.959</v>
      </c>
      <c r="AO167" s="10">
        <v>342.09500000000003</v>
      </c>
      <c r="AP167" s="10">
        <v>360.50799999999998</v>
      </c>
      <c r="AQ167" s="10">
        <v>380.29599999999999</v>
      </c>
      <c r="AR167" s="10">
        <v>399.82600000000002</v>
      </c>
      <c r="AS167" s="10">
        <v>419.637</v>
      </c>
      <c r="AT167" s="10">
        <v>437.97899999999998</v>
      </c>
    </row>
    <row r="168" spans="2:46">
      <c r="B168" s="6" t="s">
        <v>3443</v>
      </c>
      <c r="C168" s="10" t="s">
        <v>41</v>
      </c>
      <c r="D168" s="10">
        <v>11.340999999999999</v>
      </c>
      <c r="E168" s="10">
        <v>11.196</v>
      </c>
      <c r="F168" s="10">
        <v>13.295999999999999</v>
      </c>
      <c r="G168" s="10">
        <v>14.492000000000001</v>
      </c>
      <c r="H168" s="10">
        <v>15.003</v>
      </c>
      <c r="I168" s="10">
        <v>15.225</v>
      </c>
      <c r="J168" s="10">
        <v>15.327999999999999</v>
      </c>
      <c r="K168" s="10">
        <v>15.388999999999999</v>
      </c>
      <c r="L168" s="10">
        <v>15.506</v>
      </c>
      <c r="M168" s="10">
        <v>15.606999999999999</v>
      </c>
      <c r="N168" s="10">
        <v>15.72</v>
      </c>
      <c r="O168" s="10">
        <v>16.023</v>
      </c>
      <c r="P168" s="10">
        <v>16.587</v>
      </c>
      <c r="Q168" s="10">
        <v>17.158000000000001</v>
      </c>
      <c r="R168" s="10">
        <v>17.640999999999998</v>
      </c>
      <c r="S168" s="10">
        <v>17.992000000000001</v>
      </c>
      <c r="T168" s="10">
        <v>18.460999999999999</v>
      </c>
      <c r="U168" s="10">
        <v>19.289000000000001</v>
      </c>
      <c r="V168" s="10">
        <v>20.187000000000001</v>
      </c>
      <c r="W168" s="10">
        <v>21.138000000000002</v>
      </c>
      <c r="X168" s="10">
        <v>22.155999999999999</v>
      </c>
      <c r="Y168" s="10">
        <v>23.052</v>
      </c>
      <c r="Z168" s="10">
        <v>23.698</v>
      </c>
      <c r="AA168" s="10">
        <v>23.75</v>
      </c>
      <c r="AB168" s="10">
        <v>24.928000000000001</v>
      </c>
      <c r="AC168" s="10">
        <v>27.113</v>
      </c>
      <c r="AD168" s="10">
        <v>29.616</v>
      </c>
      <c r="AE168" s="10">
        <v>31.475999999999999</v>
      </c>
      <c r="AF168" s="10">
        <v>33.319000000000003</v>
      </c>
      <c r="AG168" s="10">
        <v>39.009</v>
      </c>
      <c r="AH168" s="10">
        <v>41.558</v>
      </c>
      <c r="AI168" s="10">
        <v>42.539000000000001</v>
      </c>
      <c r="AJ168" s="10">
        <v>43.08</v>
      </c>
      <c r="AK168" s="10">
        <v>43.447000000000003</v>
      </c>
      <c r="AL168" s="10">
        <v>44.008000000000003</v>
      </c>
      <c r="AM168" s="10">
        <v>45.353000000000002</v>
      </c>
      <c r="AN168" s="10">
        <v>47.040999999999997</v>
      </c>
      <c r="AO168" s="10">
        <v>48.63</v>
      </c>
      <c r="AP168" s="10">
        <v>50.954999999999998</v>
      </c>
      <c r="AQ168" s="10">
        <v>53.866</v>
      </c>
      <c r="AR168" s="10">
        <v>57.293999999999997</v>
      </c>
      <c r="AS168" s="10">
        <v>60.738</v>
      </c>
      <c r="AT168" s="10">
        <v>64.275999999999996</v>
      </c>
    </row>
    <row r="169" spans="2:46" s="3" customFormat="1"/>
    <row r="170" spans="2:46" s="3" customFormat="1">
      <c r="B170" s="35" t="s">
        <v>3283</v>
      </c>
    </row>
    <row r="171" spans="2:46" s="3" customFormat="1"/>
    <row r="172" spans="2:46" s="3" customFormat="1">
      <c r="C172" s="32" t="s">
        <v>42</v>
      </c>
      <c r="D172" s="32" t="s">
        <v>43</v>
      </c>
      <c r="E172" s="32" t="s">
        <v>44</v>
      </c>
      <c r="F172" s="32" t="s">
        <v>45</v>
      </c>
      <c r="G172" s="32" t="s">
        <v>46</v>
      </c>
      <c r="H172" s="32" t="s">
        <v>47</v>
      </c>
      <c r="I172" s="32" t="s">
        <v>48</v>
      </c>
      <c r="J172" s="32" t="s">
        <v>49</v>
      </c>
      <c r="K172" s="32" t="s">
        <v>50</v>
      </c>
      <c r="L172" s="32" t="s">
        <v>51</v>
      </c>
      <c r="M172" s="32" t="s">
        <v>52</v>
      </c>
      <c r="N172" s="32" t="s">
        <v>53</v>
      </c>
      <c r="O172" s="32" t="s">
        <v>54</v>
      </c>
      <c r="P172" s="32" t="s">
        <v>55</v>
      </c>
      <c r="Q172" s="32" t="s">
        <v>56</v>
      </c>
      <c r="R172" s="32" t="s">
        <v>57</v>
      </c>
      <c r="S172" s="32" t="s">
        <v>58</v>
      </c>
      <c r="T172" s="32" t="s">
        <v>59</v>
      </c>
      <c r="U172" s="32" t="s">
        <v>60</v>
      </c>
      <c r="V172" s="32" t="s">
        <v>61</v>
      </c>
      <c r="W172" s="32" t="s">
        <v>62</v>
      </c>
      <c r="X172" s="32" t="s">
        <v>63</v>
      </c>
      <c r="Y172" s="32" t="s">
        <v>64</v>
      </c>
      <c r="Z172" s="32" t="s">
        <v>65</v>
      </c>
      <c r="AA172" s="32" t="s">
        <v>66</v>
      </c>
      <c r="AB172" s="32" t="s">
        <v>67</v>
      </c>
      <c r="AC172" s="32" t="s">
        <v>68</v>
      </c>
      <c r="AD172" s="32" t="s">
        <v>69</v>
      </c>
      <c r="AE172" s="32" t="s">
        <v>70</v>
      </c>
      <c r="AF172" s="32" t="s">
        <v>71</v>
      </c>
      <c r="AG172" s="32" t="s">
        <v>72</v>
      </c>
      <c r="AH172" s="32" t="s">
        <v>73</v>
      </c>
      <c r="AI172" s="32" t="s">
        <v>74</v>
      </c>
      <c r="AJ172" s="32" t="s">
        <v>75</v>
      </c>
      <c r="AK172" s="32" t="s">
        <v>76</v>
      </c>
      <c r="AL172" s="32" t="s">
        <v>77</v>
      </c>
      <c r="AM172" s="32" t="s">
        <v>78</v>
      </c>
      <c r="AN172" s="32" t="s">
        <v>79</v>
      </c>
      <c r="AO172" s="32" t="s">
        <v>80</v>
      </c>
      <c r="AP172" s="32" t="s">
        <v>81</v>
      </c>
      <c r="AQ172" s="32" t="s">
        <v>82</v>
      </c>
      <c r="AR172" s="32" t="s">
        <v>83</v>
      </c>
    </row>
    <row r="173" spans="2:46" s="3" customFormat="1">
      <c r="B173" s="720" t="s">
        <v>186</v>
      </c>
      <c r="C173" s="720">
        <f>SUMIFS(E$148:E$168, $C$148:$C$168, $B173)*1000</f>
        <v>6840584</v>
      </c>
      <c r="D173" s="720">
        <f t="shared" ref="D173:AR179" si="22">SUMIFS(F$148:F$168, $C$148:$C$168, $B173)*1000</f>
        <v>6799272</v>
      </c>
      <c r="E173" s="720">
        <f t="shared" si="22"/>
        <v>6736763</v>
      </c>
      <c r="F173" s="720">
        <f t="shared" si="22"/>
        <v>6651338</v>
      </c>
      <c r="G173" s="720">
        <f t="shared" si="22"/>
        <v>6581153</v>
      </c>
      <c r="H173" s="720">
        <f t="shared" si="22"/>
        <v>6521861</v>
      </c>
      <c r="I173" s="720">
        <f t="shared" si="22"/>
        <v>6463126</v>
      </c>
      <c r="J173" s="720">
        <f t="shared" si="22"/>
        <v>6399067</v>
      </c>
      <c r="K173" s="720">
        <f t="shared" si="22"/>
        <v>6350652</v>
      </c>
      <c r="L173" s="720">
        <f t="shared" si="22"/>
        <v>6320972</v>
      </c>
      <c r="M173" s="720">
        <f t="shared" si="22"/>
        <v>6313625</v>
      </c>
      <c r="N173" s="720">
        <f t="shared" si="22"/>
        <v>6305299</v>
      </c>
      <c r="O173" s="720">
        <f t="shared" si="22"/>
        <v>6302652</v>
      </c>
      <c r="P173" s="720">
        <f t="shared" si="22"/>
        <v>6307079</v>
      </c>
      <c r="Q173" s="720">
        <f t="shared" si="22"/>
        <v>6317600</v>
      </c>
      <c r="R173" s="720">
        <f t="shared" si="22"/>
        <v>6332635</v>
      </c>
      <c r="S173" s="720">
        <f t="shared" si="22"/>
        <v>6352820</v>
      </c>
      <c r="T173" s="720">
        <f t="shared" si="22"/>
        <v>6379002</v>
      </c>
      <c r="U173" s="720">
        <f t="shared" si="22"/>
        <v>6411803</v>
      </c>
      <c r="V173" s="720">
        <f t="shared" si="22"/>
        <v>6451383</v>
      </c>
      <c r="W173" s="720">
        <f t="shared" si="22"/>
        <v>6496955</v>
      </c>
      <c r="X173" s="720">
        <f t="shared" si="22"/>
        <v>6546916</v>
      </c>
      <c r="Y173" s="720">
        <f t="shared" si="22"/>
        <v>6599746.9999999991</v>
      </c>
      <c r="Z173" s="720">
        <f t="shared" si="22"/>
        <v>6653767</v>
      </c>
      <c r="AA173" s="720">
        <f t="shared" si="22"/>
        <v>6707122</v>
      </c>
      <c r="AB173" s="720">
        <f t="shared" si="22"/>
        <v>6757708.0000000009</v>
      </c>
      <c r="AC173" s="720">
        <f t="shared" si="22"/>
        <v>6804014.9999999991</v>
      </c>
      <c r="AD173" s="720">
        <f t="shared" si="22"/>
        <v>6844291</v>
      </c>
      <c r="AE173" s="720">
        <f t="shared" si="22"/>
        <v>6876971</v>
      </c>
      <c r="AF173" s="720">
        <f t="shared" si="22"/>
        <v>6900888</v>
      </c>
      <c r="AG173" s="720">
        <f t="shared" si="22"/>
        <v>6915502</v>
      </c>
      <c r="AH173" s="720">
        <f t="shared" si="22"/>
        <v>6921247</v>
      </c>
      <c r="AI173" s="720">
        <f t="shared" si="22"/>
        <v>6918848</v>
      </c>
      <c r="AJ173" s="720">
        <f t="shared" si="22"/>
        <v>6909225</v>
      </c>
      <c r="AK173" s="720">
        <f t="shared" si="22"/>
        <v>6893560</v>
      </c>
      <c r="AL173" s="720">
        <f t="shared" si="22"/>
        <v>6873730</v>
      </c>
      <c r="AM173" s="720">
        <f t="shared" si="22"/>
        <v>6851161</v>
      </c>
      <c r="AN173" s="720">
        <f t="shared" si="22"/>
        <v>6827377</v>
      </c>
      <c r="AO173" s="720">
        <f t="shared" si="22"/>
        <v>6803839</v>
      </c>
      <c r="AP173" s="720">
        <f t="shared" si="22"/>
        <v>6781919</v>
      </c>
      <c r="AQ173" s="720">
        <f t="shared" si="22"/>
        <v>6762817</v>
      </c>
      <c r="AR173" s="720">
        <f t="shared" si="22"/>
        <v>6747493</v>
      </c>
    </row>
    <row r="174" spans="2:46" s="3" customFormat="1">
      <c r="B174" s="720" t="s">
        <v>187</v>
      </c>
      <c r="C174" s="720">
        <f t="shared" ref="C174:C182" si="23">SUMIFS(E$148:E$168, $C$148:$C$168, $B174)*1000</f>
        <v>6447818</v>
      </c>
      <c r="D174" s="720">
        <f t="shared" si="22"/>
        <v>6554257</v>
      </c>
      <c r="E174" s="720">
        <f t="shared" si="22"/>
        <v>6685854</v>
      </c>
      <c r="F174" s="720">
        <f t="shared" si="22"/>
        <v>6847976.0000000009</v>
      </c>
      <c r="G174" s="720">
        <f t="shared" si="22"/>
        <v>6976993</v>
      </c>
      <c r="H174" s="720">
        <f t="shared" si="22"/>
        <v>7072123</v>
      </c>
      <c r="I174" s="720">
        <f t="shared" si="22"/>
        <v>7151095</v>
      </c>
      <c r="J174" s="720">
        <f t="shared" si="22"/>
        <v>7205564</v>
      </c>
      <c r="K174" s="720">
        <f t="shared" si="22"/>
        <v>7228619</v>
      </c>
      <c r="L174" s="720">
        <f t="shared" si="22"/>
        <v>7208536</v>
      </c>
      <c r="M174" s="720">
        <f t="shared" si="22"/>
        <v>7170206</v>
      </c>
      <c r="N174" s="720">
        <f t="shared" si="22"/>
        <v>7121475</v>
      </c>
      <c r="O174" s="720">
        <f t="shared" si="22"/>
        <v>7054299</v>
      </c>
      <c r="P174" s="720">
        <f t="shared" si="22"/>
        <v>6965409</v>
      </c>
      <c r="Q174" s="720">
        <f t="shared" si="22"/>
        <v>6892871.9999999991</v>
      </c>
      <c r="R174" s="720">
        <f t="shared" si="22"/>
        <v>6832526</v>
      </c>
      <c r="S174" s="720">
        <f t="shared" si="22"/>
        <v>6774030</v>
      </c>
      <c r="T174" s="720">
        <f t="shared" si="22"/>
        <v>6710216</v>
      </c>
      <c r="U174" s="720">
        <f t="shared" si="22"/>
        <v>6662012.0000000009</v>
      </c>
      <c r="V174" s="720">
        <f t="shared" si="22"/>
        <v>6632501</v>
      </c>
      <c r="W174" s="720">
        <f t="shared" si="22"/>
        <v>6625284</v>
      </c>
      <c r="X174" s="720">
        <f t="shared" si="22"/>
        <v>6617041</v>
      </c>
      <c r="Y174" s="720">
        <f t="shared" si="22"/>
        <v>6614491</v>
      </c>
      <c r="Z174" s="720">
        <f t="shared" si="22"/>
        <v>6619013.0000000009</v>
      </c>
      <c r="AA174" s="720">
        <f t="shared" si="22"/>
        <v>6629599</v>
      </c>
      <c r="AB174" s="720">
        <f t="shared" si="22"/>
        <v>6644700.0000000009</v>
      </c>
      <c r="AC174" s="720">
        <f t="shared" si="22"/>
        <v>6664950</v>
      </c>
      <c r="AD174" s="720">
        <f t="shared" si="22"/>
        <v>6691172.0000000009</v>
      </c>
      <c r="AE174" s="720">
        <f t="shared" si="22"/>
        <v>6724006</v>
      </c>
      <c r="AF174" s="720">
        <f t="shared" si="22"/>
        <v>6763616</v>
      </c>
      <c r="AG174" s="720">
        <f t="shared" si="22"/>
        <v>6809202</v>
      </c>
      <c r="AH174" s="720">
        <f t="shared" si="22"/>
        <v>6859166</v>
      </c>
      <c r="AI174" s="720">
        <f t="shared" si="22"/>
        <v>6911983</v>
      </c>
      <c r="AJ174" s="720">
        <f t="shared" si="22"/>
        <v>6965982</v>
      </c>
      <c r="AK174" s="720">
        <f t="shared" si="22"/>
        <v>7019321</v>
      </c>
      <c r="AL174" s="720">
        <f t="shared" si="22"/>
        <v>7069889</v>
      </c>
      <c r="AM174" s="720">
        <f t="shared" si="22"/>
        <v>7116197</v>
      </c>
      <c r="AN174" s="720">
        <f t="shared" si="22"/>
        <v>7156477.0000000009</v>
      </c>
      <c r="AO174" s="720">
        <f t="shared" si="22"/>
        <v>7189181.0000000009</v>
      </c>
      <c r="AP174" s="720">
        <f t="shared" si="22"/>
        <v>7213128.0000000009</v>
      </c>
      <c r="AQ174" s="720">
        <f t="shared" si="22"/>
        <v>7227787</v>
      </c>
      <c r="AR174" s="720">
        <f t="shared" si="22"/>
        <v>7233603</v>
      </c>
    </row>
    <row r="175" spans="2:46" s="3" customFormat="1">
      <c r="B175" s="720" t="s">
        <v>188</v>
      </c>
      <c r="C175" s="720">
        <f t="shared" si="23"/>
        <v>7301044</v>
      </c>
      <c r="D175" s="720">
        <f t="shared" si="22"/>
        <v>7242643</v>
      </c>
      <c r="E175" s="720">
        <f t="shared" si="22"/>
        <v>7151119.0000000009</v>
      </c>
      <c r="F175" s="720">
        <f t="shared" si="22"/>
        <v>7056071</v>
      </c>
      <c r="G175" s="720">
        <f t="shared" si="22"/>
        <v>6989653</v>
      </c>
      <c r="H175" s="720">
        <f t="shared" si="22"/>
        <v>6938649</v>
      </c>
      <c r="I175" s="720">
        <f t="shared" si="22"/>
        <v>6913555</v>
      </c>
      <c r="J175" s="720">
        <f t="shared" si="22"/>
        <v>6915721</v>
      </c>
      <c r="K175" s="720">
        <f t="shared" si="22"/>
        <v>6934842.0000000009</v>
      </c>
      <c r="L175" s="720">
        <f t="shared" si="22"/>
        <v>6994630</v>
      </c>
      <c r="M175" s="720">
        <f t="shared" si="22"/>
        <v>7055218</v>
      </c>
      <c r="N175" s="720">
        <f t="shared" si="22"/>
        <v>7148511</v>
      </c>
      <c r="O175" s="720">
        <f t="shared" si="22"/>
        <v>7271079</v>
      </c>
      <c r="P175" s="720">
        <f t="shared" si="22"/>
        <v>7426921</v>
      </c>
      <c r="Q175" s="720">
        <f t="shared" si="22"/>
        <v>7552288</v>
      </c>
      <c r="R175" s="720">
        <f t="shared" si="22"/>
        <v>7646040</v>
      </c>
      <c r="S175" s="720">
        <f t="shared" si="22"/>
        <v>7725423.0000000009</v>
      </c>
      <c r="T175" s="720">
        <f t="shared" si="22"/>
        <v>7780331</v>
      </c>
      <c r="U175" s="720">
        <f t="shared" si="22"/>
        <v>7803823</v>
      </c>
      <c r="V175" s="720">
        <f t="shared" si="22"/>
        <v>7784201</v>
      </c>
      <c r="W175" s="720">
        <f t="shared" si="22"/>
        <v>7746299.9999999991</v>
      </c>
      <c r="X175" s="720">
        <f t="shared" si="22"/>
        <v>7698004.9999999991</v>
      </c>
      <c r="Y175" s="720">
        <f t="shared" si="22"/>
        <v>7631204</v>
      </c>
      <c r="Z175" s="720">
        <f t="shared" si="22"/>
        <v>7542593</v>
      </c>
      <c r="AA175" s="720">
        <f t="shared" si="22"/>
        <v>7470269</v>
      </c>
      <c r="AB175" s="720">
        <f t="shared" si="22"/>
        <v>7410074.0000000009</v>
      </c>
      <c r="AC175" s="720">
        <f t="shared" si="22"/>
        <v>7351712</v>
      </c>
      <c r="AD175" s="720">
        <f t="shared" si="22"/>
        <v>7287985.0000000009</v>
      </c>
      <c r="AE175" s="720">
        <f t="shared" si="22"/>
        <v>7239821</v>
      </c>
      <c r="AF175" s="720">
        <f t="shared" si="22"/>
        <v>7210344</v>
      </c>
      <c r="AG175" s="720">
        <f t="shared" si="22"/>
        <v>7203144</v>
      </c>
      <c r="AH175" s="720">
        <f t="shared" si="22"/>
        <v>7194976</v>
      </c>
      <c r="AI175" s="720">
        <f t="shared" si="22"/>
        <v>7192498</v>
      </c>
      <c r="AJ175" s="720">
        <f t="shared" si="22"/>
        <v>7197085</v>
      </c>
      <c r="AK175" s="720">
        <f t="shared" si="22"/>
        <v>7207746</v>
      </c>
      <c r="AL175" s="720">
        <f t="shared" si="22"/>
        <v>7222924.9999999991</v>
      </c>
      <c r="AM175" s="720">
        <f t="shared" si="22"/>
        <v>7243254.9999999991</v>
      </c>
      <c r="AN175" s="720">
        <f t="shared" si="22"/>
        <v>7269560</v>
      </c>
      <c r="AO175" s="720">
        <f t="shared" si="22"/>
        <v>7302476.0000000009</v>
      </c>
      <c r="AP175" s="720">
        <f t="shared" si="22"/>
        <v>7342165.9999999991</v>
      </c>
      <c r="AQ175" s="720">
        <f t="shared" si="22"/>
        <v>7387831</v>
      </c>
      <c r="AR175" s="720">
        <f t="shared" si="22"/>
        <v>7437887.0000000009</v>
      </c>
    </row>
    <row r="176" spans="2:46" s="3" customFormat="1">
      <c r="B176" s="720" t="s">
        <v>189</v>
      </c>
      <c r="C176" s="720">
        <f t="shared" si="23"/>
        <v>7560013</v>
      </c>
      <c r="D176" s="720">
        <f t="shared" si="22"/>
        <v>7593428</v>
      </c>
      <c r="E176" s="720">
        <f t="shared" si="22"/>
        <v>7639846</v>
      </c>
      <c r="F176" s="720">
        <f t="shared" si="22"/>
        <v>7675384</v>
      </c>
      <c r="G176" s="720">
        <f t="shared" si="22"/>
        <v>7688594.9999999991</v>
      </c>
      <c r="H176" s="720">
        <f t="shared" si="22"/>
        <v>7705445</v>
      </c>
      <c r="I176" s="720">
        <f t="shared" si="22"/>
        <v>7685691</v>
      </c>
      <c r="J176" s="720">
        <f t="shared" si="22"/>
        <v>7667623</v>
      </c>
      <c r="K176" s="720">
        <f t="shared" si="22"/>
        <v>7655179</v>
      </c>
      <c r="L176" s="720">
        <f t="shared" si="22"/>
        <v>7606376</v>
      </c>
      <c r="M176" s="720">
        <f t="shared" si="22"/>
        <v>7559780.0000000009</v>
      </c>
      <c r="N176" s="720">
        <f t="shared" si="22"/>
        <v>7484423.0000000009</v>
      </c>
      <c r="O176" s="720">
        <f t="shared" si="22"/>
        <v>7380380</v>
      </c>
      <c r="P176" s="720">
        <f t="shared" si="22"/>
        <v>7275639</v>
      </c>
      <c r="Q176" s="720">
        <f t="shared" si="22"/>
        <v>7202523.9999999991</v>
      </c>
      <c r="R176" s="720">
        <f t="shared" si="22"/>
        <v>7148474</v>
      </c>
      <c r="S176" s="720">
        <f t="shared" si="22"/>
        <v>7124008</v>
      </c>
      <c r="T176" s="720">
        <f t="shared" si="22"/>
        <v>7126859</v>
      </c>
      <c r="U176" s="720">
        <f t="shared" si="22"/>
        <v>7146715</v>
      </c>
      <c r="V176" s="720">
        <f t="shared" si="22"/>
        <v>7207105</v>
      </c>
      <c r="W176" s="720">
        <f t="shared" si="22"/>
        <v>7268273</v>
      </c>
      <c r="X176" s="720">
        <f t="shared" si="22"/>
        <v>7361883</v>
      </c>
      <c r="Y176" s="720">
        <f t="shared" si="22"/>
        <v>7484523.9999999991</v>
      </c>
      <c r="Z176" s="720">
        <f t="shared" si="22"/>
        <v>7640191.0000000009</v>
      </c>
      <c r="AA176" s="720">
        <f t="shared" si="22"/>
        <v>7765299</v>
      </c>
      <c r="AB176" s="720">
        <f t="shared" si="22"/>
        <v>7858800.9999999991</v>
      </c>
      <c r="AC176" s="720">
        <f t="shared" si="22"/>
        <v>7937922.0000000009</v>
      </c>
      <c r="AD176" s="720">
        <f t="shared" si="22"/>
        <v>7992679</v>
      </c>
      <c r="AE176" s="720">
        <f t="shared" si="22"/>
        <v>8016125</v>
      </c>
      <c r="AF176" s="720">
        <f t="shared" si="22"/>
        <v>7996610.0000000009</v>
      </c>
      <c r="AG176" s="720">
        <f t="shared" si="22"/>
        <v>7958853.9999999991</v>
      </c>
      <c r="AH176" s="720">
        <f t="shared" si="22"/>
        <v>7910759</v>
      </c>
      <c r="AI176" s="720">
        <f t="shared" si="22"/>
        <v>7844348</v>
      </c>
      <c r="AJ176" s="720">
        <f t="shared" si="22"/>
        <v>7756330</v>
      </c>
      <c r="AK176" s="720">
        <f t="shared" si="22"/>
        <v>7684572</v>
      </c>
      <c r="AL176" s="720">
        <f t="shared" si="22"/>
        <v>7624924</v>
      </c>
      <c r="AM176" s="720">
        <f t="shared" si="22"/>
        <v>7567123</v>
      </c>
      <c r="AN176" s="720">
        <f t="shared" si="22"/>
        <v>7504016</v>
      </c>
      <c r="AO176" s="720">
        <f t="shared" si="22"/>
        <v>7456415</v>
      </c>
      <c r="AP176" s="720">
        <f t="shared" si="22"/>
        <v>7427395</v>
      </c>
      <c r="AQ176" s="720">
        <f t="shared" si="22"/>
        <v>7420531.0000000009</v>
      </c>
      <c r="AR176" s="720">
        <f t="shared" si="22"/>
        <v>7412682</v>
      </c>
    </row>
    <row r="177" spans="2:44" s="3" customFormat="1">
      <c r="B177" s="720" t="s">
        <v>190</v>
      </c>
      <c r="C177" s="720">
        <f t="shared" si="23"/>
        <v>7137674.9999999991</v>
      </c>
      <c r="D177" s="720">
        <f t="shared" si="22"/>
        <v>7132129</v>
      </c>
      <c r="E177" s="720">
        <f t="shared" si="22"/>
        <v>7105960.9999999991</v>
      </c>
      <c r="F177" s="720">
        <f t="shared" si="22"/>
        <v>7097775</v>
      </c>
      <c r="G177" s="720">
        <f t="shared" si="22"/>
        <v>7120136</v>
      </c>
      <c r="H177" s="720">
        <f t="shared" si="22"/>
        <v>7165952.9999999991</v>
      </c>
      <c r="I177" s="720">
        <f t="shared" si="22"/>
        <v>7240150</v>
      </c>
      <c r="J177" s="720">
        <f t="shared" si="22"/>
        <v>7327179</v>
      </c>
      <c r="K177" s="720">
        <f t="shared" si="22"/>
        <v>7418764</v>
      </c>
      <c r="L177" s="720">
        <f t="shared" si="22"/>
        <v>7519486.0000000009</v>
      </c>
      <c r="M177" s="720">
        <f t="shared" si="22"/>
        <v>7566388.9999999991</v>
      </c>
      <c r="N177" s="720">
        <f t="shared" si="22"/>
        <v>7592937</v>
      </c>
      <c r="O177" s="720">
        <f t="shared" si="22"/>
        <v>7634825</v>
      </c>
      <c r="P177" s="720">
        <f t="shared" si="22"/>
        <v>7666854</v>
      </c>
      <c r="Q177" s="720">
        <f t="shared" si="22"/>
        <v>7677836</v>
      </c>
      <c r="R177" s="720">
        <f t="shared" si="22"/>
        <v>7693751</v>
      </c>
      <c r="S177" s="720">
        <f t="shared" si="22"/>
        <v>7674834</v>
      </c>
      <c r="T177" s="720">
        <f t="shared" si="22"/>
        <v>7657648</v>
      </c>
      <c r="U177" s="720">
        <f t="shared" si="22"/>
        <v>7645995</v>
      </c>
      <c r="V177" s="720">
        <f t="shared" si="22"/>
        <v>7598463</v>
      </c>
      <c r="W177" s="720">
        <f t="shared" si="22"/>
        <v>7553141</v>
      </c>
      <c r="X177" s="720">
        <f t="shared" si="22"/>
        <v>7479392</v>
      </c>
      <c r="Y177" s="720">
        <f t="shared" si="22"/>
        <v>7377371.9999999991</v>
      </c>
      <c r="Z177" s="720">
        <f t="shared" si="22"/>
        <v>7274625</v>
      </c>
      <c r="AA177" s="720">
        <f t="shared" si="22"/>
        <v>7203225</v>
      </c>
      <c r="AB177" s="720">
        <f t="shared" si="22"/>
        <v>7150757</v>
      </c>
      <c r="AC177" s="720">
        <f t="shared" si="22"/>
        <v>7127537</v>
      </c>
      <c r="AD177" s="720">
        <f t="shared" si="22"/>
        <v>7131485.0000000009</v>
      </c>
      <c r="AE177" s="720">
        <f t="shared" si="22"/>
        <v>7152278</v>
      </c>
      <c r="AF177" s="720">
        <f t="shared" si="22"/>
        <v>7213170</v>
      </c>
      <c r="AG177" s="720">
        <f t="shared" si="22"/>
        <v>7274711</v>
      </c>
      <c r="AH177" s="720">
        <f t="shared" si="22"/>
        <v>7368317.9999999991</v>
      </c>
      <c r="AI177" s="720">
        <f t="shared" si="22"/>
        <v>7490563</v>
      </c>
      <c r="AJ177" s="720">
        <f t="shared" si="22"/>
        <v>7645438</v>
      </c>
      <c r="AK177" s="720">
        <f t="shared" si="22"/>
        <v>7769925</v>
      </c>
      <c r="AL177" s="720">
        <f t="shared" si="22"/>
        <v>7863080</v>
      </c>
      <c r="AM177" s="720">
        <f t="shared" si="22"/>
        <v>7942011</v>
      </c>
      <c r="AN177" s="720">
        <f t="shared" si="22"/>
        <v>7996873</v>
      </c>
      <c r="AO177" s="720">
        <f t="shared" si="22"/>
        <v>8020707</v>
      </c>
      <c r="AP177" s="720">
        <f t="shared" si="22"/>
        <v>8002011</v>
      </c>
      <c r="AQ177" s="720">
        <f t="shared" si="22"/>
        <v>7965215</v>
      </c>
      <c r="AR177" s="720">
        <f t="shared" si="22"/>
        <v>7918228</v>
      </c>
    </row>
    <row r="178" spans="2:44" s="3" customFormat="1">
      <c r="B178" s="720" t="s">
        <v>191</v>
      </c>
      <c r="C178" s="720">
        <f t="shared" si="23"/>
        <v>7583882</v>
      </c>
      <c r="D178" s="720">
        <f t="shared" si="22"/>
        <v>7646244.0000000009</v>
      </c>
      <c r="E178" s="720">
        <f t="shared" si="22"/>
        <v>7698876</v>
      </c>
      <c r="F178" s="720">
        <f t="shared" si="22"/>
        <v>7703502</v>
      </c>
      <c r="G178" s="720">
        <f t="shared" si="22"/>
        <v>7662477</v>
      </c>
      <c r="H178" s="720">
        <f t="shared" si="22"/>
        <v>7576387</v>
      </c>
      <c r="I178" s="720">
        <f t="shared" si="22"/>
        <v>7472589</v>
      </c>
      <c r="J178" s="720">
        <f t="shared" si="22"/>
        <v>7360672.0000000009</v>
      </c>
      <c r="K178" s="720">
        <f t="shared" si="22"/>
        <v>7237983</v>
      </c>
      <c r="L178" s="720">
        <f t="shared" si="22"/>
        <v>7137598</v>
      </c>
      <c r="M178" s="720">
        <f t="shared" si="22"/>
        <v>7084350</v>
      </c>
      <c r="N178" s="720">
        <f t="shared" si="22"/>
        <v>7077541.9999999991</v>
      </c>
      <c r="O178" s="720">
        <f t="shared" si="22"/>
        <v>7051939</v>
      </c>
      <c r="P178" s="720">
        <f t="shared" si="22"/>
        <v>7044402</v>
      </c>
      <c r="Q178" s="720">
        <f t="shared" si="22"/>
        <v>7067110</v>
      </c>
      <c r="R178" s="720">
        <f t="shared" si="22"/>
        <v>7113077.9999999991</v>
      </c>
      <c r="S178" s="720">
        <f t="shared" si="22"/>
        <v>7187420</v>
      </c>
      <c r="T178" s="720">
        <f t="shared" si="22"/>
        <v>7274050.9999999991</v>
      </c>
      <c r="U178" s="720">
        <f t="shared" si="22"/>
        <v>7364826</v>
      </c>
      <c r="V178" s="720">
        <f t="shared" si="22"/>
        <v>7464552</v>
      </c>
      <c r="W178" s="720">
        <f t="shared" si="22"/>
        <v>7511894</v>
      </c>
      <c r="X178" s="720">
        <f t="shared" si="22"/>
        <v>7539620.9999999991</v>
      </c>
      <c r="Y178" s="720">
        <f t="shared" si="22"/>
        <v>7582419</v>
      </c>
      <c r="Z178" s="720">
        <f t="shared" si="22"/>
        <v>7615356</v>
      </c>
      <c r="AA178" s="720">
        <f t="shared" si="22"/>
        <v>7627523.9999999991</v>
      </c>
      <c r="AB178" s="720">
        <f t="shared" si="22"/>
        <v>7644491</v>
      </c>
      <c r="AC178" s="720">
        <f t="shared" si="22"/>
        <v>7627379</v>
      </c>
      <c r="AD178" s="720">
        <f t="shared" si="22"/>
        <v>7612016</v>
      </c>
      <c r="AE178" s="720">
        <f t="shared" si="22"/>
        <v>7601964</v>
      </c>
      <c r="AF178" s="720">
        <f t="shared" si="22"/>
        <v>7556858</v>
      </c>
      <c r="AG178" s="720">
        <f t="shared" si="22"/>
        <v>7513933.9999999991</v>
      </c>
      <c r="AH178" s="720">
        <f t="shared" si="22"/>
        <v>7443173</v>
      </c>
      <c r="AI178" s="720">
        <f t="shared" si="22"/>
        <v>7344852</v>
      </c>
      <c r="AJ178" s="720">
        <f t="shared" si="22"/>
        <v>7245718.0000000009</v>
      </c>
      <c r="AK178" s="720">
        <f t="shared" si="22"/>
        <v>7177353</v>
      </c>
      <c r="AL178" s="720">
        <f t="shared" si="22"/>
        <v>7127699.0000000009</v>
      </c>
      <c r="AM178" s="720">
        <f t="shared" si="22"/>
        <v>7106683.9999999991</v>
      </c>
      <c r="AN178" s="720">
        <f t="shared" si="22"/>
        <v>7112534</v>
      </c>
      <c r="AO178" s="720">
        <f t="shared" si="22"/>
        <v>7134996</v>
      </c>
      <c r="AP178" s="720">
        <f t="shared" si="22"/>
        <v>7196834.0000000009</v>
      </c>
      <c r="AQ178" s="720">
        <f t="shared" si="22"/>
        <v>7259166</v>
      </c>
      <c r="AR178" s="720">
        <f t="shared" si="22"/>
        <v>7352878.0000000009</v>
      </c>
    </row>
    <row r="179" spans="2:44" s="3" customFormat="1">
      <c r="B179" s="720" t="s">
        <v>192</v>
      </c>
      <c r="C179" s="720">
        <f t="shared" si="23"/>
        <v>5916956</v>
      </c>
      <c r="D179" s="720">
        <f t="shared" si="22"/>
        <v>5997651</v>
      </c>
      <c r="E179" s="720">
        <f t="shared" si="22"/>
        <v>6120977</v>
      </c>
      <c r="F179" s="720">
        <f t="shared" si="22"/>
        <v>6274684.9999999991</v>
      </c>
      <c r="G179" s="720">
        <f t="shared" si="22"/>
        <v>6430833.0000000009</v>
      </c>
      <c r="H179" s="720">
        <f t="shared" si="22"/>
        <v>6597164.0000000009</v>
      </c>
      <c r="I179" s="720">
        <f t="shared" si="22"/>
        <v>6772505</v>
      </c>
      <c r="J179" s="720">
        <f t="shared" si="22"/>
        <v>6925291</v>
      </c>
      <c r="K179" s="720">
        <f t="shared" si="22"/>
        <v>7058308</v>
      </c>
      <c r="L179" s="720">
        <f t="shared" si="22"/>
        <v>7158915.9999999991</v>
      </c>
      <c r="M179" s="720">
        <f t="shared" ref="M179:M182" si="24">SUMIFS(O$148:O$168, $C$148:$C$168, $B179)*1000</f>
        <v>7248545</v>
      </c>
      <c r="N179" s="720">
        <f t="shared" ref="N179:N182" si="25">SUMIFS(P$148:P$168, $C$148:$C$168, $B179)*1000</f>
        <v>7308239</v>
      </c>
      <c r="O179" s="720">
        <f t="shared" ref="O179:O182" si="26">SUMIFS(Q$148:Q$168, $C$148:$C$168, $B179)*1000</f>
        <v>7360217.0000000009</v>
      </c>
      <c r="P179" s="720">
        <f t="shared" ref="P179:P182" si="27">SUMIFS(R$148:R$168, $C$148:$C$168, $B179)*1000</f>
        <v>7367179</v>
      </c>
      <c r="Q179" s="720">
        <f t="shared" ref="Q179:Q182" si="28">SUMIFS(S$148:S$168, $C$148:$C$168, $B179)*1000</f>
        <v>7331201</v>
      </c>
      <c r="R179" s="720">
        <f t="shared" ref="R179:R182" si="29">SUMIFS(T$148:T$168, $C$148:$C$168, $B179)*1000</f>
        <v>7253037</v>
      </c>
      <c r="S179" s="720">
        <f t="shared" ref="S179:S182" si="30">SUMIFS(U$148:U$168, $C$148:$C$168, $B179)*1000</f>
        <v>7158739</v>
      </c>
      <c r="T179" s="720">
        <f t="shared" ref="T179:T182" si="31">SUMIFS(V$148:V$168, $C$148:$C$168, $B179)*1000</f>
        <v>7056646.0000000009</v>
      </c>
      <c r="U179" s="720">
        <f t="shared" ref="U179:U182" si="32">SUMIFS(W$148:W$168, $C$148:$C$168, $B179)*1000</f>
        <v>6944448</v>
      </c>
      <c r="V179" s="720">
        <f t="shared" ref="V179:V182" si="33">SUMIFS(X$148:X$168, $C$148:$C$168, $B179)*1000</f>
        <v>6853625</v>
      </c>
      <c r="W179" s="720">
        <f t="shared" ref="W179:W182" si="34">SUMIFS(Y$148:Y$168, $C$148:$C$168, $B179)*1000</f>
        <v>6808658</v>
      </c>
      <c r="X179" s="720">
        <f t="shared" ref="X179:X182" si="35">SUMIFS(Z$148:Z$168, $C$148:$C$168, $B179)*1000</f>
        <v>6808048</v>
      </c>
      <c r="Y179" s="720">
        <f t="shared" ref="Y179:Y182" si="36">SUMIFS(AA$148:AA$168, $C$148:$C$168, $B179)*1000</f>
        <v>6790031</v>
      </c>
      <c r="Z179" s="720">
        <f t="shared" ref="Z179:Z182" si="37">SUMIFS(AB$148:AB$168, $C$148:$C$168, $B179)*1000</f>
        <v>6788729</v>
      </c>
      <c r="AA179" s="720">
        <f t="shared" ref="AA179:AA182" si="38">SUMIFS(AC$148:AC$168, $C$148:$C$168, $B179)*1000</f>
        <v>6815525</v>
      </c>
      <c r="AB179" s="720">
        <f t="shared" ref="AB179:AB182" si="39">SUMIFS(AD$148:AD$168, $C$148:$C$168, $B179)*1000</f>
        <v>6863575</v>
      </c>
      <c r="AC179" s="720">
        <f t="shared" ref="AC179:AC182" si="40">SUMIFS(AE$148:AE$168, $C$148:$C$168, $B179)*1000</f>
        <v>6938474</v>
      </c>
      <c r="AD179" s="720">
        <f t="shared" ref="AD179:AD182" si="41">SUMIFS(AF$148:AF$168, $C$148:$C$168, $B179)*1000</f>
        <v>7024520</v>
      </c>
      <c r="AE179" s="720">
        <f t="shared" ref="AE179:AE182" si="42">SUMIFS(AG$148:AG$168, $C$148:$C$168, $B179)*1000</f>
        <v>7113833.0000000009</v>
      </c>
      <c r="AF179" s="720">
        <f t="shared" ref="AF179:AF182" si="43">SUMIFS(AH$148:AH$168, $C$148:$C$168, $B179)*1000</f>
        <v>7211851.0000000009</v>
      </c>
      <c r="AG179" s="720">
        <f t="shared" ref="AG179:AG182" si="44">SUMIFS(AI$148:AI$168, $C$148:$C$168, $B179)*1000</f>
        <v>7260412</v>
      </c>
      <c r="AH179" s="720">
        <f t="shared" ref="AH179:AH182" si="45">SUMIFS(AJ$148:AJ$168, $C$148:$C$168, $B179)*1000</f>
        <v>7290823</v>
      </c>
      <c r="AI179" s="720">
        <f t="shared" ref="AI179:AI182" si="46">SUMIFS(AK$148:AK$168, $C$148:$C$168, $B179)*1000</f>
        <v>7335759</v>
      </c>
      <c r="AJ179" s="720">
        <f t="shared" ref="AJ179:AJ182" si="47">SUMIFS(AL$148:AL$168, $C$148:$C$168, $B179)*1000</f>
        <v>7370752</v>
      </c>
      <c r="AK179" s="720">
        <f t="shared" ref="AK179:AK182" si="48">SUMIFS(AM$148:AM$168, $C$148:$C$168, $B179)*1000</f>
        <v>7385463</v>
      </c>
      <c r="AL179" s="720">
        <f t="shared" ref="AL179:AL182" si="49">SUMIFS(AN$148:AN$168, $C$148:$C$168, $B179)*1000</f>
        <v>7404610</v>
      </c>
      <c r="AM179" s="720">
        <f t="shared" ref="AM179:AM182" si="50">SUMIFS(AO$148:AO$168, $C$148:$C$168, $B179)*1000</f>
        <v>7391200</v>
      </c>
      <c r="AN179" s="720">
        <f t="shared" ref="AN179:AN182" si="51">SUMIFS(AP$148:AP$168, $C$148:$C$168, $B179)*1000</f>
        <v>7379511</v>
      </c>
      <c r="AO179" s="720">
        <f t="shared" ref="AO179:AO182" si="52">SUMIFS(AQ$148:AQ$168, $C$148:$C$168, $B179)*1000</f>
        <v>7372671</v>
      </c>
      <c r="AP179" s="720">
        <f t="shared" ref="AP179:AP182" si="53">SUMIFS(AR$148:AR$168, $C$148:$C$168, $B179)*1000</f>
        <v>7332443</v>
      </c>
      <c r="AQ179" s="720">
        <f t="shared" ref="AQ179:AQ182" si="54">SUMIFS(AS$148:AS$168, $C$148:$C$168, $B179)*1000</f>
        <v>7294268</v>
      </c>
      <c r="AR179" s="720">
        <f t="shared" ref="AR179:AR182" si="55">SUMIFS(AT$148:AT$168, $C$148:$C$168, $B179)*1000</f>
        <v>7229437</v>
      </c>
    </row>
    <row r="180" spans="2:44" s="3" customFormat="1">
      <c r="B180" s="720" t="s">
        <v>193</v>
      </c>
      <c r="C180" s="720">
        <f t="shared" si="23"/>
        <v>4722798.0000000009</v>
      </c>
      <c r="D180" s="720">
        <f t="shared" ref="D180:D182" si="56">SUMIFS(F$148:F$168, $C$148:$C$168, $B180)*1000</f>
        <v>4836838</v>
      </c>
      <c r="E180" s="720">
        <f t="shared" ref="E180:E182" si="57">SUMIFS(G$148:G$168, $C$148:$C$168, $B180)*1000</f>
        <v>4952041.9999999991</v>
      </c>
      <c r="F180" s="720">
        <f t="shared" ref="F180:F182" si="58">SUMIFS(H$148:H$168, $C$148:$C$168, $B180)*1000</f>
        <v>5027846</v>
      </c>
      <c r="G180" s="720">
        <f t="shared" ref="G180:G182" si="59">SUMIFS(I$148:I$168, $C$148:$C$168, $B180)*1000</f>
        <v>5078121.9999999991</v>
      </c>
      <c r="H180" s="720">
        <f t="shared" ref="H180:H182" si="60">SUMIFS(J$148:J$168, $C$148:$C$168, $B180)*1000</f>
        <v>5108307</v>
      </c>
      <c r="I180" s="720">
        <f t="shared" ref="I180:I182" si="61">SUMIFS(K$148:K$168, $C$148:$C$168, $B180)*1000</f>
        <v>5137091</v>
      </c>
      <c r="J180" s="720">
        <f t="shared" ref="J180:J182" si="62">SUMIFS(L$148:L$168, $C$148:$C$168, $B180)*1000</f>
        <v>5174733</v>
      </c>
      <c r="K180" s="720">
        <f t="shared" ref="K180:K182" si="63">SUMIFS(M$148:M$168, $C$148:$C$168, $B180)*1000</f>
        <v>5115861.9999999991</v>
      </c>
      <c r="L180" s="720">
        <f t="shared" ref="L180:L182" si="64">SUMIFS(N$148:N$168, $C$148:$C$168, $B180)*1000</f>
        <v>5126400</v>
      </c>
      <c r="M180" s="720">
        <f t="shared" si="24"/>
        <v>5178587</v>
      </c>
      <c r="N180" s="720">
        <f t="shared" si="25"/>
        <v>5258152</v>
      </c>
      <c r="O180" s="720">
        <f t="shared" si="26"/>
        <v>5374588</v>
      </c>
      <c r="P180" s="720">
        <f t="shared" si="27"/>
        <v>5517329</v>
      </c>
      <c r="Q180" s="720">
        <f t="shared" si="28"/>
        <v>5663068</v>
      </c>
      <c r="R180" s="720">
        <f t="shared" si="29"/>
        <v>5817809</v>
      </c>
      <c r="S180" s="720">
        <f t="shared" si="30"/>
        <v>5979391</v>
      </c>
      <c r="T180" s="720">
        <f t="shared" si="31"/>
        <v>6120927</v>
      </c>
      <c r="U180" s="720">
        <f t="shared" si="32"/>
        <v>6244970</v>
      </c>
      <c r="V180" s="720">
        <f t="shared" si="33"/>
        <v>6340377</v>
      </c>
      <c r="W180" s="720">
        <f t="shared" si="34"/>
        <v>6425839</v>
      </c>
      <c r="X180" s="720">
        <f t="shared" si="35"/>
        <v>6484103</v>
      </c>
      <c r="Y180" s="720">
        <f t="shared" si="36"/>
        <v>6537400</v>
      </c>
      <c r="Z180" s="720">
        <f t="shared" si="37"/>
        <v>6550910</v>
      </c>
      <c r="AA180" s="720">
        <f t="shared" si="38"/>
        <v>6526016</v>
      </c>
      <c r="AB180" s="720">
        <f t="shared" si="39"/>
        <v>6463814</v>
      </c>
      <c r="AC180" s="720">
        <f t="shared" si="40"/>
        <v>6387677</v>
      </c>
      <c r="AD180" s="720">
        <f t="shared" si="41"/>
        <v>6304495.9999999991</v>
      </c>
      <c r="AE180" s="720">
        <f t="shared" si="42"/>
        <v>6212629</v>
      </c>
      <c r="AF180" s="720">
        <f t="shared" si="43"/>
        <v>6140212</v>
      </c>
      <c r="AG180" s="720">
        <f t="shared" si="44"/>
        <v>6111206</v>
      </c>
      <c r="AH180" s="720">
        <f t="shared" si="45"/>
        <v>6122406</v>
      </c>
      <c r="AI180" s="720">
        <f t="shared" si="46"/>
        <v>6119431.0000000009</v>
      </c>
      <c r="AJ180" s="720">
        <f t="shared" si="47"/>
        <v>6130485.0000000009</v>
      </c>
      <c r="AK180" s="720">
        <f t="shared" si="48"/>
        <v>6165329</v>
      </c>
      <c r="AL180" s="720">
        <f t="shared" si="49"/>
        <v>6217322</v>
      </c>
      <c r="AM180" s="720">
        <f t="shared" si="50"/>
        <v>6293043</v>
      </c>
      <c r="AN180" s="720">
        <f t="shared" si="51"/>
        <v>6377535</v>
      </c>
      <c r="AO180" s="720">
        <f t="shared" si="52"/>
        <v>6463438</v>
      </c>
      <c r="AP180" s="720">
        <f t="shared" si="53"/>
        <v>6557511</v>
      </c>
      <c r="AQ180" s="720">
        <f t="shared" si="54"/>
        <v>6608415</v>
      </c>
      <c r="AR180" s="720">
        <f t="shared" si="55"/>
        <v>6644269</v>
      </c>
    </row>
    <row r="181" spans="2:44" s="3" customFormat="1">
      <c r="B181" s="720" t="s">
        <v>3439</v>
      </c>
      <c r="C181" s="720">
        <f t="shared" si="23"/>
        <v>2319693</v>
      </c>
      <c r="D181" s="720">
        <f t="shared" si="56"/>
        <v>2352133</v>
      </c>
      <c r="E181" s="720">
        <f t="shared" si="57"/>
        <v>2362774</v>
      </c>
      <c r="F181" s="720">
        <f t="shared" si="58"/>
        <v>2402189</v>
      </c>
      <c r="G181" s="720">
        <f t="shared" si="59"/>
        <v>2476850</v>
      </c>
      <c r="H181" s="720">
        <f t="shared" si="60"/>
        <v>2570078.9999999995</v>
      </c>
      <c r="I181" s="720">
        <f t="shared" si="61"/>
        <v>2650266</v>
      </c>
      <c r="J181" s="720">
        <f t="shared" si="62"/>
        <v>2732234.0000000005</v>
      </c>
      <c r="K181" s="720">
        <f t="shared" si="63"/>
        <v>2921581</v>
      </c>
      <c r="L181" s="720">
        <f t="shared" si="64"/>
        <v>3054184</v>
      </c>
      <c r="M181" s="720">
        <f t="shared" si="24"/>
        <v>3150649</v>
      </c>
      <c r="N181" s="720">
        <f t="shared" si="25"/>
        <v>3229087.9999999995</v>
      </c>
      <c r="O181" s="720">
        <f t="shared" si="26"/>
        <v>3298432</v>
      </c>
      <c r="P181" s="720">
        <f t="shared" si="27"/>
        <v>3343486</v>
      </c>
      <c r="Q181" s="720">
        <f t="shared" si="28"/>
        <v>3378216.0000000005</v>
      </c>
      <c r="R181" s="720">
        <f t="shared" si="29"/>
        <v>3403809</v>
      </c>
      <c r="S181" s="720">
        <f t="shared" si="30"/>
        <v>3426332.0000000005</v>
      </c>
      <c r="T181" s="720">
        <f t="shared" si="31"/>
        <v>3457941</v>
      </c>
      <c r="U181" s="720">
        <f t="shared" si="32"/>
        <v>3451377</v>
      </c>
      <c r="V181" s="720">
        <f t="shared" si="33"/>
        <v>3486966</v>
      </c>
      <c r="W181" s="720">
        <f t="shared" si="34"/>
        <v>3546665</v>
      </c>
      <c r="X181" s="720">
        <f t="shared" si="35"/>
        <v>3622850</v>
      </c>
      <c r="Y181" s="720">
        <f t="shared" si="36"/>
        <v>3723479.0000000005</v>
      </c>
      <c r="Z181" s="720">
        <f t="shared" si="37"/>
        <v>3841326</v>
      </c>
      <c r="AA181" s="720">
        <f t="shared" si="38"/>
        <v>3962022</v>
      </c>
      <c r="AB181" s="720">
        <f t="shared" si="39"/>
        <v>4088211.9999999995</v>
      </c>
      <c r="AC181" s="720">
        <f t="shared" si="40"/>
        <v>4215771</v>
      </c>
      <c r="AD181" s="720">
        <f t="shared" si="41"/>
        <v>4328116</v>
      </c>
      <c r="AE181" s="720">
        <f t="shared" si="42"/>
        <v>4427623</v>
      </c>
      <c r="AF181" s="720">
        <f t="shared" si="43"/>
        <v>4506259</v>
      </c>
      <c r="AG181" s="720">
        <f t="shared" si="44"/>
        <v>4577300</v>
      </c>
      <c r="AH181" s="720">
        <f t="shared" si="45"/>
        <v>4627132</v>
      </c>
      <c r="AI181" s="720">
        <f t="shared" si="46"/>
        <v>4677822</v>
      </c>
      <c r="AJ181" s="720">
        <f t="shared" si="47"/>
        <v>4699948</v>
      </c>
      <c r="AK181" s="720">
        <f t="shared" si="48"/>
        <v>4693575</v>
      </c>
      <c r="AL181" s="720">
        <f t="shared" si="49"/>
        <v>4660393</v>
      </c>
      <c r="AM181" s="720">
        <f t="shared" si="50"/>
        <v>4618326</v>
      </c>
      <c r="AN181" s="720">
        <f t="shared" si="51"/>
        <v>4571189</v>
      </c>
      <c r="AO181" s="720">
        <f t="shared" si="52"/>
        <v>4518583.0000000009</v>
      </c>
      <c r="AP181" s="720">
        <f t="shared" si="53"/>
        <v>4481838</v>
      </c>
      <c r="AQ181" s="720">
        <f t="shared" si="54"/>
        <v>4483547.0000000009</v>
      </c>
      <c r="AR181" s="720">
        <f t="shared" si="55"/>
        <v>4516782.9999999991</v>
      </c>
    </row>
    <row r="182" spans="2:44" s="3" customFormat="1">
      <c r="B182" s="720" t="s">
        <v>41</v>
      </c>
      <c r="C182" s="720">
        <f t="shared" si="23"/>
        <v>512609.00000000006</v>
      </c>
      <c r="D182" s="720">
        <f t="shared" si="56"/>
        <v>523875</v>
      </c>
      <c r="E182" s="720">
        <f t="shared" si="57"/>
        <v>535358</v>
      </c>
      <c r="F182" s="720">
        <f t="shared" si="58"/>
        <v>545339</v>
      </c>
      <c r="G182" s="720">
        <f t="shared" si="59"/>
        <v>552709.00000000012</v>
      </c>
      <c r="H182" s="720">
        <f t="shared" si="60"/>
        <v>560922</v>
      </c>
      <c r="I182" s="720">
        <f t="shared" si="61"/>
        <v>574167</v>
      </c>
      <c r="J182" s="720">
        <f t="shared" si="62"/>
        <v>589160</v>
      </c>
      <c r="K182" s="720">
        <f t="shared" si="63"/>
        <v>605933</v>
      </c>
      <c r="L182" s="720">
        <f t="shared" si="64"/>
        <v>624553</v>
      </c>
      <c r="M182" s="720">
        <f t="shared" si="24"/>
        <v>642147</v>
      </c>
      <c r="N182" s="720">
        <f t="shared" si="25"/>
        <v>656132.00000000012</v>
      </c>
      <c r="O182" s="720">
        <f t="shared" si="26"/>
        <v>660691</v>
      </c>
      <c r="P182" s="720">
        <f t="shared" si="27"/>
        <v>677927</v>
      </c>
      <c r="Q182" s="720">
        <f t="shared" si="28"/>
        <v>709290</v>
      </c>
      <c r="R182" s="720">
        <f t="shared" si="29"/>
        <v>747833</v>
      </c>
      <c r="S182" s="720">
        <f t="shared" si="30"/>
        <v>780917</v>
      </c>
      <c r="T182" s="720">
        <f t="shared" si="31"/>
        <v>814194.00000000012</v>
      </c>
      <c r="U182" s="720">
        <f t="shared" si="32"/>
        <v>895712</v>
      </c>
      <c r="V182" s="720">
        <f t="shared" si="33"/>
        <v>947079.99999999988</v>
      </c>
      <c r="W182" s="720">
        <f t="shared" si="34"/>
        <v>978796</v>
      </c>
      <c r="X182" s="720">
        <f t="shared" si="35"/>
        <v>1000008.9999999999</v>
      </c>
      <c r="Y182" s="720">
        <f t="shared" si="36"/>
        <v>1013298</v>
      </c>
      <c r="Z182" s="720">
        <f t="shared" si="37"/>
        <v>1023114</v>
      </c>
      <c r="AA182" s="720">
        <f t="shared" si="38"/>
        <v>1037497.0000000001</v>
      </c>
      <c r="AB182" s="720">
        <f t="shared" si="39"/>
        <v>1053842.9999999998</v>
      </c>
      <c r="AC182" s="720">
        <f t="shared" si="40"/>
        <v>1068835</v>
      </c>
      <c r="AD182" s="720">
        <f t="shared" si="41"/>
        <v>1091300</v>
      </c>
      <c r="AE182" s="720">
        <f t="shared" si="42"/>
        <v>1121116</v>
      </c>
      <c r="AF182" s="720">
        <f t="shared" si="43"/>
        <v>1158492</v>
      </c>
      <c r="AG182" s="720">
        <f t="shared" si="44"/>
        <v>1198841.9999999998</v>
      </c>
      <c r="AH182" s="720">
        <f t="shared" si="45"/>
        <v>1242339</v>
      </c>
      <c r="AI182" s="720">
        <f t="shared" si="46"/>
        <v>1293750</v>
      </c>
      <c r="AJ182" s="720">
        <f t="shared" si="47"/>
        <v>1350838</v>
      </c>
      <c r="AK182" s="720">
        <f t="shared" si="48"/>
        <v>1409725.0000000002</v>
      </c>
      <c r="AL182" s="720">
        <f t="shared" si="49"/>
        <v>1470151</v>
      </c>
      <c r="AM182" s="720">
        <f t="shared" si="50"/>
        <v>1528158.0000000002</v>
      </c>
      <c r="AN182" s="720">
        <f t="shared" si="51"/>
        <v>1579891</v>
      </c>
      <c r="AO182" s="720">
        <f t="shared" si="52"/>
        <v>1627057</v>
      </c>
      <c r="AP182" s="720">
        <f t="shared" si="53"/>
        <v>1666301.0000000002</v>
      </c>
      <c r="AQ182" s="720">
        <f t="shared" si="54"/>
        <v>1703174</v>
      </c>
      <c r="AR182" s="720">
        <f t="shared" si="55"/>
        <v>1730906.0000000002</v>
      </c>
    </row>
    <row r="183" spans="2:44" s="3" customFormat="1">
      <c r="B183" s="721"/>
      <c r="C183" s="722" t="b">
        <f>SUM(C173:C182)=SUM(E148:E168)*1000</f>
        <v>1</v>
      </c>
      <c r="D183" s="722" t="b">
        <f t="shared" ref="D183:AR183" si="65">SUM(D173:D182)=SUM(F148:F168)*1000</f>
        <v>1</v>
      </c>
      <c r="E183" s="722" t="b">
        <f t="shared" si="65"/>
        <v>1</v>
      </c>
      <c r="F183" s="722" t="b">
        <f t="shared" si="65"/>
        <v>1</v>
      </c>
      <c r="G183" s="722" t="b">
        <f t="shared" si="65"/>
        <v>1</v>
      </c>
      <c r="H183" s="722" t="b">
        <f t="shared" si="65"/>
        <v>1</v>
      </c>
      <c r="I183" s="722" t="b">
        <f t="shared" si="65"/>
        <v>1</v>
      </c>
      <c r="J183" s="722" t="b">
        <f t="shared" si="65"/>
        <v>1</v>
      </c>
      <c r="K183" s="722" t="b">
        <f t="shared" si="65"/>
        <v>1</v>
      </c>
      <c r="L183" s="722" t="b">
        <f t="shared" si="65"/>
        <v>1</v>
      </c>
      <c r="M183" s="722" t="b">
        <f t="shared" si="65"/>
        <v>1</v>
      </c>
      <c r="N183" s="722" t="b">
        <f t="shared" si="65"/>
        <v>1</v>
      </c>
      <c r="O183" s="722" t="b">
        <f t="shared" si="65"/>
        <v>1</v>
      </c>
      <c r="P183" s="722" t="b">
        <f t="shared" si="65"/>
        <v>1</v>
      </c>
      <c r="Q183" s="722" t="b">
        <f t="shared" si="65"/>
        <v>1</v>
      </c>
      <c r="R183" s="722" t="b">
        <f t="shared" si="65"/>
        <v>1</v>
      </c>
      <c r="S183" s="722" t="b">
        <f t="shared" si="65"/>
        <v>1</v>
      </c>
      <c r="T183" s="722" t="b">
        <f t="shared" si="65"/>
        <v>1</v>
      </c>
      <c r="U183" s="722" t="b">
        <f t="shared" si="65"/>
        <v>1</v>
      </c>
      <c r="V183" s="722" t="b">
        <f t="shared" si="65"/>
        <v>1</v>
      </c>
      <c r="W183" s="722" t="b">
        <f t="shared" si="65"/>
        <v>1</v>
      </c>
      <c r="X183" s="722" t="b">
        <f t="shared" si="65"/>
        <v>1</v>
      </c>
      <c r="Y183" s="722" t="b">
        <f t="shared" si="65"/>
        <v>1</v>
      </c>
      <c r="Z183" s="722" t="b">
        <f t="shared" si="65"/>
        <v>1</v>
      </c>
      <c r="AA183" s="722" t="b">
        <f t="shared" si="65"/>
        <v>1</v>
      </c>
      <c r="AB183" s="722" t="b">
        <f t="shared" si="65"/>
        <v>1</v>
      </c>
      <c r="AC183" s="722" t="b">
        <f t="shared" si="65"/>
        <v>1</v>
      </c>
      <c r="AD183" s="722" t="b">
        <f t="shared" si="65"/>
        <v>1</v>
      </c>
      <c r="AE183" s="722" t="b">
        <f t="shared" si="65"/>
        <v>1</v>
      </c>
      <c r="AF183" s="722" t="b">
        <f t="shared" si="65"/>
        <v>1</v>
      </c>
      <c r="AG183" s="722" t="b">
        <f t="shared" si="65"/>
        <v>1</v>
      </c>
      <c r="AH183" s="722" t="b">
        <f t="shared" si="65"/>
        <v>1</v>
      </c>
      <c r="AI183" s="722" t="b">
        <f t="shared" si="65"/>
        <v>1</v>
      </c>
      <c r="AJ183" s="722" t="b">
        <f t="shared" si="65"/>
        <v>1</v>
      </c>
      <c r="AK183" s="722" t="b">
        <f t="shared" si="65"/>
        <v>1</v>
      </c>
      <c r="AL183" s="722" t="b">
        <f t="shared" si="65"/>
        <v>1</v>
      </c>
      <c r="AM183" s="722" t="b">
        <f t="shared" si="65"/>
        <v>1</v>
      </c>
      <c r="AN183" s="722" t="b">
        <f t="shared" si="65"/>
        <v>1</v>
      </c>
      <c r="AO183" s="722" t="b">
        <f t="shared" si="65"/>
        <v>1</v>
      </c>
      <c r="AP183" s="722" t="b">
        <f t="shared" si="65"/>
        <v>1</v>
      </c>
      <c r="AQ183" s="722" t="b">
        <f t="shared" si="65"/>
        <v>1</v>
      </c>
      <c r="AR183" s="722" t="b">
        <f t="shared" si="65"/>
        <v>1</v>
      </c>
    </row>
    <row r="184" spans="2:44" s="3" customFormat="1">
      <c r="B184" s="721"/>
      <c r="C184" s="721"/>
      <c r="D184" s="721"/>
      <c r="E184" s="721"/>
      <c r="F184" s="721"/>
      <c r="G184" s="721"/>
      <c r="H184" s="721"/>
      <c r="I184" s="721"/>
      <c r="J184" s="721"/>
      <c r="K184" s="721"/>
      <c r="L184" s="721"/>
      <c r="M184" s="721"/>
      <c r="N184" s="721"/>
      <c r="O184" s="721"/>
      <c r="P184" s="721"/>
      <c r="Q184" s="721"/>
      <c r="R184" s="721"/>
      <c r="S184" s="721"/>
      <c r="T184" s="721"/>
      <c r="U184" s="721"/>
      <c r="V184" s="721"/>
      <c r="W184" s="721"/>
      <c r="X184" s="721"/>
      <c r="Y184" s="721"/>
      <c r="Z184" s="721"/>
      <c r="AA184" s="721"/>
      <c r="AB184" s="721"/>
      <c r="AC184" s="721"/>
      <c r="AD184" s="721"/>
      <c r="AE184" s="721"/>
      <c r="AF184" s="721"/>
      <c r="AG184" s="721"/>
      <c r="AH184" s="721"/>
      <c r="AI184" s="721"/>
      <c r="AJ184" s="721"/>
      <c r="AK184" s="721"/>
      <c r="AL184" s="721"/>
      <c r="AM184" s="721"/>
      <c r="AN184" s="721"/>
      <c r="AO184" s="721"/>
      <c r="AP184" s="721"/>
      <c r="AQ184" s="721"/>
      <c r="AR184" s="721"/>
    </row>
    <row r="186" spans="2:44">
      <c r="B186" s="150" t="s">
        <v>3284</v>
      </c>
    </row>
    <row r="188" spans="2:44">
      <c r="C188" s="32" t="s">
        <v>42</v>
      </c>
      <c r="D188" s="32" t="s">
        <v>43</v>
      </c>
      <c r="E188" s="32" t="s">
        <v>44</v>
      </c>
      <c r="F188" s="32" t="s">
        <v>45</v>
      </c>
      <c r="G188" s="32" t="s">
        <v>46</v>
      </c>
      <c r="H188" s="32" t="s">
        <v>47</v>
      </c>
      <c r="I188" s="32" t="s">
        <v>48</v>
      </c>
      <c r="J188" s="32" t="s">
        <v>49</v>
      </c>
      <c r="K188" s="32" t="s">
        <v>50</v>
      </c>
      <c r="L188" s="32" t="s">
        <v>51</v>
      </c>
      <c r="M188" s="32" t="s">
        <v>52</v>
      </c>
      <c r="N188" s="32" t="s">
        <v>53</v>
      </c>
      <c r="O188" s="32" t="s">
        <v>54</v>
      </c>
      <c r="P188" s="32" t="s">
        <v>55</v>
      </c>
      <c r="Q188" s="32" t="s">
        <v>56</v>
      </c>
      <c r="R188" s="32" t="s">
        <v>57</v>
      </c>
      <c r="S188" s="32" t="s">
        <v>58</v>
      </c>
      <c r="T188" s="32" t="s">
        <v>59</v>
      </c>
      <c r="U188" s="32" t="s">
        <v>60</v>
      </c>
      <c r="V188" s="32" t="s">
        <v>61</v>
      </c>
      <c r="W188" s="32" t="s">
        <v>62</v>
      </c>
      <c r="X188" s="32" t="s">
        <v>63</v>
      </c>
      <c r="Y188" s="32" t="s">
        <v>64</v>
      </c>
      <c r="Z188" s="32" t="s">
        <v>65</v>
      </c>
      <c r="AA188" s="32" t="s">
        <v>66</v>
      </c>
      <c r="AB188" s="32" t="s">
        <v>67</v>
      </c>
      <c r="AC188" s="32" t="s">
        <v>68</v>
      </c>
      <c r="AD188" s="32" t="s">
        <v>69</v>
      </c>
      <c r="AE188" s="32" t="s">
        <v>70</v>
      </c>
      <c r="AF188" s="32" t="s">
        <v>71</v>
      </c>
      <c r="AG188" s="32" t="s">
        <v>72</v>
      </c>
      <c r="AH188" s="32" t="s">
        <v>73</v>
      </c>
      <c r="AI188" s="32" t="s">
        <v>74</v>
      </c>
      <c r="AJ188" s="32" t="s">
        <v>75</v>
      </c>
      <c r="AK188" s="32" t="s">
        <v>76</v>
      </c>
      <c r="AL188" s="32" t="s">
        <v>77</v>
      </c>
      <c r="AM188" s="32" t="s">
        <v>78</v>
      </c>
      <c r="AN188" s="32" t="s">
        <v>79</v>
      </c>
      <c r="AO188" s="32" t="s">
        <v>80</v>
      </c>
      <c r="AP188" s="32" t="s">
        <v>81</v>
      </c>
      <c r="AQ188" s="32" t="s">
        <v>82</v>
      </c>
      <c r="AR188" s="32" t="s">
        <v>83</v>
      </c>
    </row>
    <row r="189" spans="2:44">
      <c r="B189" s="36" t="s">
        <v>186</v>
      </c>
      <c r="C189" s="126">
        <f t="shared" ref="C189:C198" si="66">C173/T111-1</f>
        <v>-4.3677452586697862E-3</v>
      </c>
      <c r="D189" s="126">
        <f>D173/U111-1</f>
        <v>-5.6408139233381505E-3</v>
      </c>
      <c r="E189" s="126">
        <f t="shared" ref="E189:AR195" si="67">E173/D173-1</f>
        <v>-9.1934842436072195E-3</v>
      </c>
      <c r="F189" s="126">
        <f t="shared" si="67"/>
        <v>-1.2680422333396613E-2</v>
      </c>
      <c r="G189" s="126">
        <f t="shared" si="67"/>
        <v>-1.0552012241747399E-2</v>
      </c>
      <c r="H189" s="126">
        <f t="shared" si="67"/>
        <v>-9.0093635568113672E-3</v>
      </c>
      <c r="I189" s="126">
        <f t="shared" si="67"/>
        <v>-9.0058650437352394E-3</v>
      </c>
      <c r="J189" s="126">
        <f t="shared" si="67"/>
        <v>-9.9114577063792453E-3</v>
      </c>
      <c r="K189" s="126">
        <f t="shared" si="67"/>
        <v>-7.5659467231707911E-3</v>
      </c>
      <c r="L189" s="126">
        <f t="shared" si="67"/>
        <v>-4.6735358826148765E-3</v>
      </c>
      <c r="M189" s="126">
        <f t="shared" si="67"/>
        <v>-1.162321237936137E-3</v>
      </c>
      <c r="N189" s="126">
        <f t="shared" si="67"/>
        <v>-1.3187352749014503E-3</v>
      </c>
      <c r="O189" s="126">
        <f t="shared" si="67"/>
        <v>-4.1980562698140655E-4</v>
      </c>
      <c r="P189" s="126">
        <f t="shared" si="67"/>
        <v>7.0240273459498681E-4</v>
      </c>
      <c r="Q189" s="126">
        <f t="shared" si="67"/>
        <v>1.6681256093351582E-3</v>
      </c>
      <c r="R189" s="126">
        <f t="shared" si="67"/>
        <v>2.3798594402937301E-3</v>
      </c>
      <c r="S189" s="126">
        <f t="shared" si="67"/>
        <v>3.1874567222016648E-3</v>
      </c>
      <c r="T189" s="126">
        <f t="shared" si="67"/>
        <v>4.1213193510913904E-3</v>
      </c>
      <c r="U189" s="126">
        <f t="shared" si="67"/>
        <v>5.1420269189443868E-3</v>
      </c>
      <c r="V189" s="126">
        <f t="shared" si="67"/>
        <v>6.172990654890631E-3</v>
      </c>
      <c r="W189" s="126">
        <f t="shared" si="67"/>
        <v>7.0639117224942094E-3</v>
      </c>
      <c r="X189" s="126">
        <f t="shared" si="67"/>
        <v>7.6899101194327635E-3</v>
      </c>
      <c r="Y189" s="126">
        <f t="shared" si="67"/>
        <v>8.0696010151954933E-3</v>
      </c>
      <c r="Z189" s="126">
        <f t="shared" si="67"/>
        <v>8.1851622494015785E-3</v>
      </c>
      <c r="AA189" s="126">
        <f t="shared" si="67"/>
        <v>8.0187659110997345E-3</v>
      </c>
      <c r="AB189" s="126">
        <f t="shared" si="67"/>
        <v>7.5421320798996216E-3</v>
      </c>
      <c r="AC189" s="126">
        <f t="shared" si="67"/>
        <v>6.8524712816828703E-3</v>
      </c>
      <c r="AD189" s="126">
        <f t="shared" si="67"/>
        <v>5.9194460917562086E-3</v>
      </c>
      <c r="AE189" s="126">
        <f t="shared" si="67"/>
        <v>4.7747823697150693E-3</v>
      </c>
      <c r="AF189" s="126">
        <f t="shared" si="67"/>
        <v>3.4778392987262485E-3</v>
      </c>
      <c r="AG189" s="126">
        <f t="shared" si="67"/>
        <v>2.1176984759063711E-3</v>
      </c>
      <c r="AH189" s="126">
        <f t="shared" si="67"/>
        <v>8.3074229463031557E-4</v>
      </c>
      <c r="AI189" s="126">
        <f t="shared" si="67"/>
        <v>-3.4661383996270612E-4</v>
      </c>
      <c r="AJ189" s="126">
        <f t="shared" si="67"/>
        <v>-1.3908384748443359E-3</v>
      </c>
      <c r="AK189" s="126">
        <f t="shared" si="67"/>
        <v>-2.2672586288621233E-3</v>
      </c>
      <c r="AL189" s="126">
        <f t="shared" si="67"/>
        <v>-2.8765978681551951E-3</v>
      </c>
      <c r="AM189" s="126">
        <f t="shared" si="67"/>
        <v>-3.2833701643794067E-3</v>
      </c>
      <c r="AN189" s="126">
        <f t="shared" si="67"/>
        <v>-3.4715284022663884E-3</v>
      </c>
      <c r="AO189" s="126">
        <f t="shared" si="67"/>
        <v>-3.4475904875327368E-3</v>
      </c>
      <c r="AP189" s="126">
        <f t="shared" si="67"/>
        <v>-3.2217105666374479E-3</v>
      </c>
      <c r="AQ189" s="126">
        <f t="shared" si="67"/>
        <v>-2.8166069220231238E-3</v>
      </c>
      <c r="AR189" s="126">
        <f t="shared" si="67"/>
        <v>-2.265919660401905E-3</v>
      </c>
    </row>
    <row r="190" spans="2:44">
      <c r="B190" s="36" t="s">
        <v>187</v>
      </c>
      <c r="C190" s="126">
        <f t="shared" si="66"/>
        <v>1.2106059402633429E-2</v>
      </c>
      <c r="D190" s="126">
        <f t="shared" ref="D190:D198" si="68">D174/U112-1</f>
        <v>1.7034583716477814E-2</v>
      </c>
      <c r="E190" s="126">
        <f t="shared" ref="E190:S190" si="69">E174/D174-1</f>
        <v>2.0078095808571339E-2</v>
      </c>
      <c r="F190" s="126">
        <f t="shared" si="69"/>
        <v>2.4248510362326225E-2</v>
      </c>
      <c r="G190" s="126">
        <f t="shared" si="69"/>
        <v>1.8840165327682179E-2</v>
      </c>
      <c r="H190" s="126">
        <f t="shared" si="69"/>
        <v>1.3634813737092744E-2</v>
      </c>
      <c r="I190" s="126">
        <f t="shared" si="69"/>
        <v>1.1166660987089738E-2</v>
      </c>
      <c r="J190" s="126">
        <f t="shared" si="69"/>
        <v>7.6168754575347553E-3</v>
      </c>
      <c r="K190" s="126">
        <f t="shared" si="69"/>
        <v>3.1996107452518796E-3</v>
      </c>
      <c r="L190" s="126">
        <f t="shared" si="69"/>
        <v>-2.7782623485896885E-3</v>
      </c>
      <c r="M190" s="126">
        <f t="shared" si="69"/>
        <v>-5.3173071480810963E-3</v>
      </c>
      <c r="N190" s="126">
        <f t="shared" si="69"/>
        <v>-6.7963179858431255E-3</v>
      </c>
      <c r="O190" s="126">
        <f t="shared" si="69"/>
        <v>-9.432877318252153E-3</v>
      </c>
      <c r="P190" s="126">
        <f t="shared" si="69"/>
        <v>-1.2600826814967769E-2</v>
      </c>
      <c r="Q190" s="126">
        <f t="shared" si="69"/>
        <v>-1.0413889550491717E-2</v>
      </c>
      <c r="R190" s="126">
        <f t="shared" si="69"/>
        <v>-8.7548412330882286E-3</v>
      </c>
      <c r="S190" s="126">
        <f t="shared" si="69"/>
        <v>-8.5614017421961064E-3</v>
      </c>
      <c r="T190" s="126">
        <f t="shared" si="67"/>
        <v>-9.4203893398759897E-3</v>
      </c>
      <c r="U190" s="126">
        <f t="shared" si="67"/>
        <v>-7.1836733720641588E-3</v>
      </c>
      <c r="V190" s="126">
        <f t="shared" si="67"/>
        <v>-4.4297428464555866E-3</v>
      </c>
      <c r="W190" s="126">
        <f t="shared" si="67"/>
        <v>-1.0881264850167716E-3</v>
      </c>
      <c r="X190" s="126">
        <f t="shared" si="67"/>
        <v>-1.244173079976596E-3</v>
      </c>
      <c r="Y190" s="126">
        <f t="shared" si="67"/>
        <v>-3.8536862624849455E-4</v>
      </c>
      <c r="Z190" s="126">
        <f t="shared" si="67"/>
        <v>6.8365048799678974E-4</v>
      </c>
      <c r="AA190" s="126">
        <f t="shared" si="67"/>
        <v>1.5993321058591636E-3</v>
      </c>
      <c r="AB190" s="126">
        <f t="shared" si="67"/>
        <v>2.2778149930335889E-3</v>
      </c>
      <c r="AC190" s="126">
        <f t="shared" si="67"/>
        <v>3.0475416497357521E-3</v>
      </c>
      <c r="AD190" s="126">
        <f t="shared" si="67"/>
        <v>3.9343130856197561E-3</v>
      </c>
      <c r="AE190" s="126">
        <f t="shared" si="67"/>
        <v>4.907062619224023E-3</v>
      </c>
      <c r="AF190" s="126">
        <f t="shared" si="67"/>
        <v>5.890833529892836E-3</v>
      </c>
      <c r="AG190" s="126">
        <f t="shared" si="67"/>
        <v>6.7398858835274744E-3</v>
      </c>
      <c r="AH190" s="126">
        <f t="shared" si="67"/>
        <v>7.3377174006588053E-3</v>
      </c>
      <c r="AI190" s="126">
        <f t="shared" si="67"/>
        <v>7.7002072846756864E-3</v>
      </c>
      <c r="AJ190" s="126">
        <f t="shared" si="67"/>
        <v>7.8123745385370036E-3</v>
      </c>
      <c r="AK190" s="126">
        <f t="shared" si="67"/>
        <v>7.6570683070957823E-3</v>
      </c>
      <c r="AL190" s="126">
        <f t="shared" si="67"/>
        <v>7.2041156117521599E-3</v>
      </c>
      <c r="AM190" s="126">
        <f t="shared" si="67"/>
        <v>6.5500321150728791E-3</v>
      </c>
      <c r="AN190" s="126">
        <f t="shared" si="67"/>
        <v>5.6603267166439597E-3</v>
      </c>
      <c r="AO190" s="126">
        <f t="shared" si="67"/>
        <v>4.569846308456027E-3</v>
      </c>
      <c r="AP190" s="126">
        <f t="shared" si="67"/>
        <v>3.3309774785195145E-3</v>
      </c>
      <c r="AQ190" s="126">
        <f t="shared" si="67"/>
        <v>2.032266722564513E-3</v>
      </c>
      <c r="AR190" s="126">
        <f t="shared" si="67"/>
        <v>8.0467230149428026E-4</v>
      </c>
    </row>
    <row r="191" spans="2:44">
      <c r="B191" s="36" t="s">
        <v>188</v>
      </c>
      <c r="C191" s="126">
        <f t="shared" si="66"/>
        <v>-3.7570726544767785E-3</v>
      </c>
      <c r="D191" s="126">
        <f t="shared" si="68"/>
        <v>-6.3969351123129847E-3</v>
      </c>
      <c r="E191" s="126">
        <f t="shared" si="67"/>
        <v>-1.2636823325407498E-2</v>
      </c>
      <c r="F191" s="126">
        <f t="shared" si="67"/>
        <v>-1.3291346431236972E-2</v>
      </c>
      <c r="G191" s="126">
        <f t="shared" si="67"/>
        <v>-9.4128871435675832E-3</v>
      </c>
      <c r="H191" s="126">
        <f t="shared" si="67"/>
        <v>-7.2970718288876135E-3</v>
      </c>
      <c r="I191" s="126">
        <f t="shared" si="67"/>
        <v>-3.616554173586195E-3</v>
      </c>
      <c r="J191" s="126">
        <f t="shared" si="67"/>
        <v>3.1329757266695957E-4</v>
      </c>
      <c r="K191" s="126">
        <f t="shared" si="67"/>
        <v>2.7648599473577562E-3</v>
      </c>
      <c r="L191" s="126">
        <f t="shared" si="67"/>
        <v>8.6213932487573253E-3</v>
      </c>
      <c r="M191" s="126">
        <f t="shared" si="67"/>
        <v>8.6620736193336878E-3</v>
      </c>
      <c r="N191" s="126">
        <f t="shared" si="67"/>
        <v>1.3223262555458914E-2</v>
      </c>
      <c r="O191" s="126">
        <f t="shared" si="67"/>
        <v>1.7145948296085622E-2</v>
      </c>
      <c r="P191" s="126">
        <f t="shared" si="67"/>
        <v>2.1433132551578638E-2</v>
      </c>
      <c r="Q191" s="126">
        <f t="shared" si="67"/>
        <v>1.6880077221772094E-2</v>
      </c>
      <c r="R191" s="126">
        <f t="shared" si="67"/>
        <v>1.2413721510620368E-2</v>
      </c>
      <c r="S191" s="126">
        <f t="shared" si="67"/>
        <v>1.038223707958652E-2</v>
      </c>
      <c r="T191" s="126">
        <f t="shared" si="67"/>
        <v>7.1074425309785028E-3</v>
      </c>
      <c r="U191" s="126">
        <f t="shared" si="67"/>
        <v>3.0194088143551401E-3</v>
      </c>
      <c r="V191" s="126">
        <f t="shared" si="67"/>
        <v>-2.5144086430458623E-3</v>
      </c>
      <c r="W191" s="126">
        <f t="shared" si="67"/>
        <v>-4.8689647145546688E-3</v>
      </c>
      <c r="X191" s="126">
        <f t="shared" si="67"/>
        <v>-6.2345894168829297E-3</v>
      </c>
      <c r="Y191" s="126">
        <f t="shared" si="67"/>
        <v>-8.6777028593770789E-3</v>
      </c>
      <c r="Z191" s="126">
        <f t="shared" si="67"/>
        <v>-1.1611667044938101E-2</v>
      </c>
      <c r="AA191" s="126">
        <f t="shared" si="67"/>
        <v>-9.5887448785848539E-3</v>
      </c>
      <c r="AB191" s="126">
        <f t="shared" si="67"/>
        <v>-8.0579427594908992E-3</v>
      </c>
      <c r="AC191" s="126">
        <f t="shared" si="67"/>
        <v>-7.8760347062661884E-3</v>
      </c>
      <c r="AD191" s="126">
        <f t="shared" si="67"/>
        <v>-8.6683210658957677E-3</v>
      </c>
      <c r="AE191" s="126">
        <f t="shared" si="67"/>
        <v>-6.6086853910924948E-3</v>
      </c>
      <c r="AF191" s="126">
        <f t="shared" si="67"/>
        <v>-4.0715095027902271E-3</v>
      </c>
      <c r="AG191" s="126">
        <f t="shared" si="67"/>
        <v>-9.9856539438336611E-4</v>
      </c>
      <c r="AH191" s="126">
        <f t="shared" si="67"/>
        <v>-1.1339492865892753E-3</v>
      </c>
      <c r="AI191" s="126">
        <f t="shared" si="67"/>
        <v>-3.4440698620818999E-4</v>
      </c>
      <c r="AJ191" s="126">
        <f t="shared" si="67"/>
        <v>6.3774783114300959E-4</v>
      </c>
      <c r="AK191" s="126">
        <f t="shared" si="67"/>
        <v>1.4812941628450371E-3</v>
      </c>
      <c r="AL191" s="126">
        <f t="shared" si="67"/>
        <v>2.1059288160263367E-3</v>
      </c>
      <c r="AM191" s="126">
        <f t="shared" si="67"/>
        <v>2.8146491899057047E-3</v>
      </c>
      <c r="AN191" s="126">
        <f t="shared" si="67"/>
        <v>3.631654553098107E-3</v>
      </c>
      <c r="AO191" s="126">
        <f t="shared" si="67"/>
        <v>4.52792190999185E-3</v>
      </c>
      <c r="AP191" s="126">
        <f t="shared" si="67"/>
        <v>5.4351428200514196E-3</v>
      </c>
      <c r="AQ191" s="126">
        <f t="shared" si="67"/>
        <v>6.2195542841174678E-3</v>
      </c>
      <c r="AR191" s="126">
        <f t="shared" si="67"/>
        <v>6.7754663039802931E-3</v>
      </c>
    </row>
    <row r="192" spans="2:44">
      <c r="B192" s="36" t="s">
        <v>189</v>
      </c>
      <c r="C192" s="126">
        <f t="shared" si="66"/>
        <v>7.3194422977502782E-3</v>
      </c>
      <c r="D192" s="126">
        <f t="shared" si="68"/>
        <v>6.8728157806385859E-3</v>
      </c>
      <c r="E192" s="126">
        <f t="shared" si="67"/>
        <v>6.1129176440468669E-3</v>
      </c>
      <c r="F192" s="126">
        <f t="shared" si="67"/>
        <v>4.6516644445451227E-3</v>
      </c>
      <c r="G192" s="126">
        <f t="shared" si="67"/>
        <v>1.721216814689619E-3</v>
      </c>
      <c r="H192" s="126">
        <f t="shared" si="67"/>
        <v>2.1915577553508481E-3</v>
      </c>
      <c r="I192" s="126">
        <f t="shared" si="67"/>
        <v>-2.563641684549034E-3</v>
      </c>
      <c r="J192" s="126">
        <f t="shared" si="67"/>
        <v>-2.3508621410879282E-3</v>
      </c>
      <c r="K192" s="126">
        <f t="shared" si="67"/>
        <v>-1.6229279921561313E-3</v>
      </c>
      <c r="L192" s="126">
        <f t="shared" si="67"/>
        <v>-6.3751611817306486E-3</v>
      </c>
      <c r="M192" s="126">
        <f t="shared" si="67"/>
        <v>-6.1259133127259391E-3</v>
      </c>
      <c r="N192" s="126">
        <f t="shared" si="67"/>
        <v>-9.9681472212154176E-3</v>
      </c>
      <c r="O192" s="126">
        <f t="shared" si="67"/>
        <v>-1.3901272015224286E-2</v>
      </c>
      <c r="P192" s="126">
        <f t="shared" si="67"/>
        <v>-1.4191816681525915E-2</v>
      </c>
      <c r="Q192" s="126">
        <f t="shared" si="67"/>
        <v>-1.0049289141476181E-2</v>
      </c>
      <c r="R192" s="126">
        <f t="shared" si="67"/>
        <v>-7.5043137655631531E-3</v>
      </c>
      <c r="S192" s="126">
        <f t="shared" si="67"/>
        <v>-3.4225486446477493E-3</v>
      </c>
      <c r="T192" s="126">
        <f t="shared" si="67"/>
        <v>4.0019606940355779E-4</v>
      </c>
      <c r="U192" s="126">
        <f t="shared" si="67"/>
        <v>2.7860800950321174E-3</v>
      </c>
      <c r="V192" s="126">
        <f t="shared" si="67"/>
        <v>8.4500361354831188E-3</v>
      </c>
      <c r="W192" s="126">
        <f t="shared" si="67"/>
        <v>8.4871803588264516E-3</v>
      </c>
      <c r="X192" s="126">
        <f t="shared" si="67"/>
        <v>1.2879263065655344E-2</v>
      </c>
      <c r="Y192" s="126">
        <f t="shared" si="67"/>
        <v>1.665891729058977E-2</v>
      </c>
      <c r="Z192" s="126">
        <f t="shared" si="67"/>
        <v>2.079851704664204E-2</v>
      </c>
      <c r="AA192" s="126">
        <f t="shared" si="67"/>
        <v>1.637498329557463E-2</v>
      </c>
      <c r="AB192" s="126">
        <f t="shared" si="67"/>
        <v>1.2041004473877903E-2</v>
      </c>
      <c r="AC192" s="126">
        <f t="shared" si="67"/>
        <v>1.0067820778258962E-2</v>
      </c>
      <c r="AD192" s="126">
        <f t="shared" si="67"/>
        <v>6.8981529422937893E-3</v>
      </c>
      <c r="AE192" s="126">
        <f t="shared" si="67"/>
        <v>2.9334344592095718E-3</v>
      </c>
      <c r="AF192" s="126">
        <f t="shared" si="67"/>
        <v>-2.4344680253861606E-3</v>
      </c>
      <c r="AG192" s="126">
        <f t="shared" si="67"/>
        <v>-4.7215007359371342E-3</v>
      </c>
      <c r="AH192" s="126">
        <f t="shared" si="67"/>
        <v>-6.0429554305179156E-3</v>
      </c>
      <c r="AI192" s="126">
        <f t="shared" si="67"/>
        <v>-8.3950225256514965E-3</v>
      </c>
      <c r="AJ192" s="126">
        <f t="shared" si="67"/>
        <v>-1.1220562881707918E-2</v>
      </c>
      <c r="AK192" s="126">
        <f t="shared" si="67"/>
        <v>-9.2515403547811514E-3</v>
      </c>
      <c r="AL192" s="126">
        <f t="shared" si="67"/>
        <v>-7.7620458237621648E-3</v>
      </c>
      <c r="AM192" s="126">
        <f t="shared" si="67"/>
        <v>-7.580534573197073E-3</v>
      </c>
      <c r="AN192" s="126">
        <f t="shared" si="67"/>
        <v>-8.3396292091458823E-3</v>
      </c>
      <c r="AO192" s="126">
        <f t="shared" si="67"/>
        <v>-6.3434033189694317E-3</v>
      </c>
      <c r="AP192" s="126">
        <f t="shared" si="67"/>
        <v>-3.8919507564962874E-3</v>
      </c>
      <c r="AQ192" s="126">
        <f t="shared" si="67"/>
        <v>-9.2414635279247648E-4</v>
      </c>
      <c r="AR192" s="126">
        <f t="shared" si="67"/>
        <v>-1.0577410161080048E-3</v>
      </c>
    </row>
    <row r="193" spans="1:62">
      <c r="B193" s="36" t="s">
        <v>190</v>
      </c>
      <c r="C193" s="126">
        <f t="shared" si="66"/>
        <v>-7.2534439637343961E-3</v>
      </c>
      <c r="D193" s="126">
        <f t="shared" si="68"/>
        <v>2.8330562688450023E-4</v>
      </c>
      <c r="E193" s="126">
        <f t="shared" si="67"/>
        <v>-3.6690306639154402E-3</v>
      </c>
      <c r="F193" s="126">
        <f t="shared" si="67"/>
        <v>-1.1519905611638848E-3</v>
      </c>
      <c r="G193" s="126">
        <f t="shared" si="67"/>
        <v>3.1504239004476187E-3</v>
      </c>
      <c r="H193" s="126">
        <f t="shared" si="67"/>
        <v>6.4348489972663181E-3</v>
      </c>
      <c r="I193" s="126">
        <f t="shared" si="67"/>
        <v>1.0354100843251501E-2</v>
      </c>
      <c r="J193" s="126">
        <f t="shared" si="67"/>
        <v>1.2020331070488943E-2</v>
      </c>
      <c r="K193" s="126">
        <f t="shared" si="67"/>
        <v>1.2499353434657356E-2</v>
      </c>
      <c r="L193" s="126">
        <f t="shared" si="67"/>
        <v>1.3576655087019995E-2</v>
      </c>
      <c r="M193" s="126">
        <f t="shared" si="67"/>
        <v>6.23752740546335E-3</v>
      </c>
      <c r="N193" s="126">
        <f t="shared" si="67"/>
        <v>3.5086750099686537E-3</v>
      </c>
      <c r="O193" s="126">
        <f t="shared" si="67"/>
        <v>5.5167058544012271E-3</v>
      </c>
      <c r="P193" s="126">
        <f t="shared" si="67"/>
        <v>4.1951190760758372E-3</v>
      </c>
      <c r="Q193" s="126">
        <f t="shared" si="67"/>
        <v>1.4323997822314194E-3</v>
      </c>
      <c r="R193" s="126">
        <f t="shared" si="67"/>
        <v>2.0728496935855656E-3</v>
      </c>
      <c r="S193" s="126">
        <f t="shared" si="67"/>
        <v>-2.4587486649879642E-3</v>
      </c>
      <c r="T193" s="126">
        <f t="shared" si="67"/>
        <v>-2.2392666733899169E-3</v>
      </c>
      <c r="U193" s="126">
        <f t="shared" si="67"/>
        <v>-1.5217466250734279E-3</v>
      </c>
      <c r="V193" s="126">
        <f t="shared" si="67"/>
        <v>-6.2165878999397295E-3</v>
      </c>
      <c r="W193" s="126">
        <f t="shared" si="67"/>
        <v>-5.9646273200251176E-3</v>
      </c>
      <c r="X193" s="126">
        <f t="shared" si="67"/>
        <v>-9.7640173803189567E-3</v>
      </c>
      <c r="Y193" s="126">
        <f t="shared" si="67"/>
        <v>-1.3640146150917243E-2</v>
      </c>
      <c r="Z193" s="126">
        <f t="shared" si="67"/>
        <v>-1.3927317207265588E-2</v>
      </c>
      <c r="AA193" s="126">
        <f t="shared" si="67"/>
        <v>-9.8149389143770138E-3</v>
      </c>
      <c r="AB193" s="126">
        <f t="shared" si="67"/>
        <v>-7.2839596153111419E-3</v>
      </c>
      <c r="AC193" s="126">
        <f t="shared" si="67"/>
        <v>-3.2472086521748711E-3</v>
      </c>
      <c r="AD193" s="126">
        <f t="shared" si="67"/>
        <v>5.539080330274615E-4</v>
      </c>
      <c r="AE193" s="126">
        <f t="shared" si="67"/>
        <v>2.9156620255106347E-3</v>
      </c>
      <c r="AF193" s="126">
        <f t="shared" si="67"/>
        <v>8.513651175191983E-3</v>
      </c>
      <c r="AG193" s="126">
        <f t="shared" si="67"/>
        <v>8.5317551090575705E-3</v>
      </c>
      <c r="AH193" s="126">
        <f t="shared" si="67"/>
        <v>1.2867452741421426E-2</v>
      </c>
      <c r="AI193" s="126">
        <f t="shared" si="67"/>
        <v>1.6590624888882521E-2</v>
      </c>
      <c r="AJ193" s="126">
        <f t="shared" si="67"/>
        <v>2.0676015941658799E-2</v>
      </c>
      <c r="AK193" s="126">
        <f t="shared" si="67"/>
        <v>1.6282520373587461E-2</v>
      </c>
      <c r="AL193" s="126">
        <f t="shared" si="67"/>
        <v>1.1989176214699526E-2</v>
      </c>
      <c r="AM193" s="126">
        <f t="shared" si="67"/>
        <v>1.0038178423722011E-2</v>
      </c>
      <c r="AN193" s="126">
        <f t="shared" si="67"/>
        <v>6.9078222127871847E-3</v>
      </c>
      <c r="AO193" s="126">
        <f t="shared" si="67"/>
        <v>2.9804149697012505E-3</v>
      </c>
      <c r="AP193" s="126">
        <f t="shared" si="67"/>
        <v>-2.3309665843671556E-3</v>
      </c>
      <c r="AQ193" s="126">
        <f t="shared" si="67"/>
        <v>-4.5983440912540363E-3</v>
      </c>
      <c r="AR193" s="126">
        <f t="shared" si="67"/>
        <v>-5.8990246967596249E-3</v>
      </c>
    </row>
    <row r="194" spans="1:62">
      <c r="B194" s="36" t="s">
        <v>191</v>
      </c>
      <c r="C194" s="126">
        <f t="shared" si="66"/>
        <v>1.2699264766757645E-2</v>
      </c>
      <c r="D194" s="126">
        <f t="shared" si="68"/>
        <v>8.9906298560908926E-3</v>
      </c>
      <c r="E194" s="126">
        <f t="shared" si="67"/>
        <v>6.8833796044174278E-3</v>
      </c>
      <c r="F194" s="126">
        <f t="shared" si="67"/>
        <v>6.0086693174432604E-4</v>
      </c>
      <c r="G194" s="126">
        <f t="shared" si="67"/>
        <v>-5.3255000128512586E-3</v>
      </c>
      <c r="H194" s="126">
        <f t="shared" si="67"/>
        <v>-1.1235270265737785E-2</v>
      </c>
      <c r="I194" s="126">
        <f t="shared" si="67"/>
        <v>-1.3700197732771535E-2</v>
      </c>
      <c r="J194" s="126">
        <f t="shared" si="67"/>
        <v>-1.4977004623163315E-2</v>
      </c>
      <c r="K194" s="126">
        <f t="shared" si="67"/>
        <v>-1.666817920972441E-2</v>
      </c>
      <c r="L194" s="126">
        <f t="shared" si="67"/>
        <v>-1.3869195326930206E-2</v>
      </c>
      <c r="M194" s="126">
        <f t="shared" si="67"/>
        <v>-7.4602128054843675E-3</v>
      </c>
      <c r="N194" s="126">
        <f t="shared" si="67"/>
        <v>-9.6099148122286149E-4</v>
      </c>
      <c r="O194" s="126">
        <f t="shared" si="67"/>
        <v>-3.6174988435249134E-3</v>
      </c>
      <c r="P194" s="126">
        <f t="shared" si="67"/>
        <v>-1.0687840606675714E-3</v>
      </c>
      <c r="Q194" s="126">
        <f t="shared" si="67"/>
        <v>3.2235525456951741E-3</v>
      </c>
      <c r="R194" s="126">
        <f t="shared" si="67"/>
        <v>6.504497595198E-3</v>
      </c>
      <c r="S194" s="126">
        <f t="shared" si="67"/>
        <v>1.0451452943437634E-2</v>
      </c>
      <c r="T194" s="126">
        <f t="shared" si="67"/>
        <v>1.2053142852372467E-2</v>
      </c>
      <c r="U194" s="126">
        <f t="shared" si="67"/>
        <v>1.2479291113026481E-2</v>
      </c>
      <c r="V194" s="126">
        <f t="shared" si="67"/>
        <v>1.3540849437583491E-2</v>
      </c>
      <c r="W194" s="126">
        <f t="shared" si="67"/>
        <v>6.3422426422912181E-3</v>
      </c>
      <c r="X194" s="126">
        <f t="shared" si="67"/>
        <v>3.6910797729572398E-3</v>
      </c>
      <c r="Y194" s="126">
        <f t="shared" si="67"/>
        <v>5.6764126472670373E-3</v>
      </c>
      <c r="Z194" s="126">
        <f t="shared" si="67"/>
        <v>4.3438644052775643E-3</v>
      </c>
      <c r="AA194" s="126">
        <f t="shared" si="67"/>
        <v>1.5978241857634856E-3</v>
      </c>
      <c r="AB194" s="126">
        <f t="shared" si="67"/>
        <v>2.2244440004386412E-3</v>
      </c>
      <c r="AC194" s="126">
        <f t="shared" si="67"/>
        <v>-2.2384747395215454E-3</v>
      </c>
      <c r="AD194" s="126">
        <f t="shared" si="67"/>
        <v>-2.0141912444628929E-3</v>
      </c>
      <c r="AE194" s="126">
        <f t="shared" si="67"/>
        <v>-1.3205437298082767E-3</v>
      </c>
      <c r="AF194" s="126">
        <f t="shared" si="67"/>
        <v>-5.933466667298104E-3</v>
      </c>
      <c r="AG194" s="126">
        <f t="shared" si="67"/>
        <v>-5.6801384914207942E-3</v>
      </c>
      <c r="AH194" s="126">
        <f t="shared" si="67"/>
        <v>-9.4173039049849638E-3</v>
      </c>
      <c r="AI194" s="126">
        <f t="shared" si="67"/>
        <v>-1.3209554581090632E-2</v>
      </c>
      <c r="AJ194" s="126">
        <f t="shared" si="67"/>
        <v>-1.3497072507383301E-2</v>
      </c>
      <c r="AK194" s="126">
        <f t="shared" si="67"/>
        <v>-9.4352278131719647E-3</v>
      </c>
      <c r="AL194" s="126">
        <f t="shared" si="67"/>
        <v>-6.9181493511604186E-3</v>
      </c>
      <c r="AM194" s="126">
        <f t="shared" si="67"/>
        <v>-2.9483568259548454E-3</v>
      </c>
      <c r="AN194" s="126">
        <f t="shared" si="67"/>
        <v>8.2316872397880658E-4</v>
      </c>
      <c r="AO194" s="126">
        <f t="shared" si="67"/>
        <v>3.1580868365621573E-3</v>
      </c>
      <c r="AP194" s="126">
        <f t="shared" si="67"/>
        <v>8.6668583976783342E-3</v>
      </c>
      <c r="AQ194" s="126">
        <f t="shared" si="67"/>
        <v>8.6610306698748918E-3</v>
      </c>
      <c r="AR194" s="126">
        <f t="shared" si="67"/>
        <v>1.2909471969645203E-2</v>
      </c>
    </row>
    <row r="195" spans="1:62">
      <c r="B195" s="36" t="s">
        <v>192</v>
      </c>
      <c r="C195" s="126">
        <f t="shared" si="66"/>
        <v>8.5204160855174571E-3</v>
      </c>
      <c r="D195" s="126">
        <f t="shared" si="68"/>
        <v>1.5075716225993574E-2</v>
      </c>
      <c r="E195" s="126">
        <f t="shared" si="67"/>
        <v>2.0562383506476101E-2</v>
      </c>
      <c r="F195" s="126">
        <f t="shared" si="67"/>
        <v>2.5111677433193869E-2</v>
      </c>
      <c r="G195" s="126">
        <f t="shared" si="67"/>
        <v>2.4885392653177352E-2</v>
      </c>
      <c r="H195" s="126">
        <f t="shared" si="67"/>
        <v>2.58646119406305E-2</v>
      </c>
      <c r="I195" s="126">
        <f t="shared" si="67"/>
        <v>2.6578238770477602E-2</v>
      </c>
      <c r="J195" s="126">
        <f t="shared" si="67"/>
        <v>2.2559747095055593E-2</v>
      </c>
      <c r="K195" s="126">
        <f t="shared" si="67"/>
        <v>1.920742391908159E-2</v>
      </c>
      <c r="L195" s="126">
        <f t="shared" si="67"/>
        <v>1.4253841005521295E-2</v>
      </c>
      <c r="M195" s="126">
        <f t="shared" si="67"/>
        <v>1.2519912232522579E-2</v>
      </c>
      <c r="N195" s="126">
        <f t="shared" si="67"/>
        <v>8.2353079135191187E-3</v>
      </c>
      <c r="O195" s="126">
        <f t="shared" si="67"/>
        <v>7.1122468764364122E-3</v>
      </c>
      <c r="P195" s="126">
        <f t="shared" si="67"/>
        <v>9.4589602453276633E-4</v>
      </c>
      <c r="Q195" s="126">
        <f t="shared" si="67"/>
        <v>-4.8835517638433634E-3</v>
      </c>
      <c r="R195" s="126">
        <f t="shared" si="67"/>
        <v>-1.066182744137012E-2</v>
      </c>
      <c r="S195" s="126">
        <f t="shared" si="67"/>
        <v>-1.3001174542470961E-2</v>
      </c>
      <c r="T195" s="126">
        <f t="shared" si="67"/>
        <v>-1.4261310546452299E-2</v>
      </c>
      <c r="U195" s="126">
        <f t="shared" si="67"/>
        <v>-1.5899621434885769E-2</v>
      </c>
      <c r="V195" s="126">
        <f t="shared" si="67"/>
        <v>-1.3078505303805277E-2</v>
      </c>
      <c r="W195" s="126">
        <f t="shared" si="67"/>
        <v>-6.5610534571121093E-3</v>
      </c>
      <c r="X195" s="126">
        <f t="shared" si="67"/>
        <v>-8.9591810897293733E-5</v>
      </c>
      <c r="Y195" s="126">
        <f t="shared" si="67"/>
        <v>-2.646426699694282E-3</v>
      </c>
      <c r="Z195" s="126">
        <f t="shared" si="67"/>
        <v>-1.9175170187002433E-4</v>
      </c>
      <c r="AA195" s="126">
        <f t="shared" si="67"/>
        <v>3.9471306042706544E-3</v>
      </c>
      <c r="AB195" s="126">
        <f t="shared" si="67"/>
        <v>7.0500805147071244E-3</v>
      </c>
      <c r="AC195" s="126">
        <f t="shared" si="67"/>
        <v>1.0912534648488625E-2</v>
      </c>
      <c r="AD195" s="126">
        <f t="shared" si="67"/>
        <v>1.2401285931171513E-2</v>
      </c>
      <c r="AE195" s="126">
        <f t="shared" si="67"/>
        <v>1.2714463052279967E-2</v>
      </c>
      <c r="AF195" s="126">
        <f t="shared" si="67"/>
        <v>1.3778507311037469E-2</v>
      </c>
      <c r="AG195" s="126">
        <f t="shared" si="67"/>
        <v>6.733500179080032E-3</v>
      </c>
      <c r="AH195" s="126">
        <f t="shared" si="67"/>
        <v>4.1886052747419633E-3</v>
      </c>
      <c r="AI195" s="126">
        <f t="shared" ref="E195:AR198" si="70">AI179/AH179-1</f>
        <v>6.1633645474592491E-3</v>
      </c>
      <c r="AJ195" s="126">
        <f t="shared" si="70"/>
        <v>4.7701948769036662E-3</v>
      </c>
      <c r="AK195" s="126">
        <f t="shared" si="70"/>
        <v>1.9958614806196984E-3</v>
      </c>
      <c r="AL195" s="126">
        <f t="shared" si="70"/>
        <v>2.5925253433671802E-3</v>
      </c>
      <c r="AM195" s="126">
        <f t="shared" si="70"/>
        <v>-1.8110339369662443E-3</v>
      </c>
      <c r="AN195" s="126">
        <f t="shared" si="70"/>
        <v>-1.581475267886101E-3</v>
      </c>
      <c r="AO195" s="126">
        <f t="shared" si="70"/>
        <v>-9.2689068422013854E-4</v>
      </c>
      <c r="AP195" s="126">
        <f t="shared" si="70"/>
        <v>-5.4563671700527117E-3</v>
      </c>
      <c r="AQ195" s="126">
        <f t="shared" si="70"/>
        <v>-5.2063139120208657E-3</v>
      </c>
      <c r="AR195" s="126">
        <f t="shared" si="70"/>
        <v>-8.8879377615409538E-3</v>
      </c>
    </row>
    <row r="196" spans="1:62">
      <c r="B196" s="720" t="s">
        <v>193</v>
      </c>
      <c r="C196" s="126">
        <f t="shared" si="66"/>
        <v>2.9397161157351137E-2</v>
      </c>
      <c r="D196" s="126">
        <f t="shared" si="68"/>
        <v>2.4751208259639945E-2</v>
      </c>
      <c r="E196" s="126">
        <f t="shared" si="70"/>
        <v>2.3818039802035784E-2</v>
      </c>
      <c r="F196" s="126">
        <f t="shared" si="70"/>
        <v>1.5307624612230786E-2</v>
      </c>
      <c r="G196" s="126">
        <f t="shared" si="70"/>
        <v>9.9995107248709303E-3</v>
      </c>
      <c r="H196" s="126">
        <f t="shared" si="70"/>
        <v>5.9441265885302741E-3</v>
      </c>
      <c r="I196" s="126">
        <f t="shared" si="70"/>
        <v>5.6347435657253531E-3</v>
      </c>
      <c r="J196" s="126">
        <f t="shared" si="70"/>
        <v>7.3274933225828676E-3</v>
      </c>
      <c r="K196" s="126">
        <f t="shared" si="70"/>
        <v>-1.1376625615273417E-2</v>
      </c>
      <c r="L196" s="126">
        <f t="shared" si="70"/>
        <v>2.0598679166874412E-3</v>
      </c>
      <c r="M196" s="126">
        <f t="shared" si="70"/>
        <v>1.0180048377028683E-2</v>
      </c>
      <c r="N196" s="126">
        <f t="shared" si="70"/>
        <v>1.5364229663419771E-2</v>
      </c>
      <c r="O196" s="126">
        <f t="shared" si="70"/>
        <v>2.2143901507601926E-2</v>
      </c>
      <c r="P196" s="126">
        <f t="shared" si="70"/>
        <v>2.6558500856251666E-2</v>
      </c>
      <c r="Q196" s="126">
        <f t="shared" si="70"/>
        <v>2.6414774250366424E-2</v>
      </c>
      <c r="R196" s="126">
        <f t="shared" si="70"/>
        <v>2.7324588014835838E-2</v>
      </c>
      <c r="S196" s="126">
        <f t="shared" si="70"/>
        <v>2.7773685935719161E-2</v>
      </c>
      <c r="T196" s="126">
        <f t="shared" si="70"/>
        <v>2.367063802985947E-2</v>
      </c>
      <c r="U196" s="126">
        <f t="shared" si="70"/>
        <v>2.0265394441070672E-2</v>
      </c>
      <c r="V196" s="126">
        <f t="shared" si="70"/>
        <v>1.5277415263804217E-2</v>
      </c>
      <c r="W196" s="126">
        <f t="shared" si="70"/>
        <v>1.347900921348999E-2</v>
      </c>
      <c r="X196" s="126">
        <f t="shared" si="70"/>
        <v>9.0671428275748145E-3</v>
      </c>
      <c r="Y196" s="126">
        <f t="shared" si="70"/>
        <v>8.2196411747315068E-3</v>
      </c>
      <c r="Z196" s="126">
        <f t="shared" si="70"/>
        <v>2.0665708079665723E-3</v>
      </c>
      <c r="AA196" s="126">
        <f t="shared" si="70"/>
        <v>-3.8000827365969325E-3</v>
      </c>
      <c r="AB196" s="126">
        <f t="shared" si="70"/>
        <v>-9.5313894418892486E-3</v>
      </c>
      <c r="AC196" s="126">
        <f t="shared" si="70"/>
        <v>-1.1778958986134236E-2</v>
      </c>
      <c r="AD196" s="126">
        <f t="shared" si="70"/>
        <v>-1.3022104906055931E-2</v>
      </c>
      <c r="AE196" s="126">
        <f t="shared" si="70"/>
        <v>-1.4571664412190821E-2</v>
      </c>
      <c r="AF196" s="126">
        <f t="shared" si="70"/>
        <v>-1.1656417919048478E-2</v>
      </c>
      <c r="AG196" s="126">
        <f t="shared" si="70"/>
        <v>-4.7239411277656407E-3</v>
      </c>
      <c r="AH196" s="126">
        <f t="shared" si="70"/>
        <v>1.8326988159129698E-3</v>
      </c>
      <c r="AI196" s="126">
        <f t="shared" si="70"/>
        <v>-4.8592007782544133E-4</v>
      </c>
      <c r="AJ196" s="126">
        <f t="shared" si="70"/>
        <v>1.8063770961711523E-3</v>
      </c>
      <c r="AK196" s="126">
        <f t="shared" si="70"/>
        <v>5.6837264914602059E-3</v>
      </c>
      <c r="AL196" s="126">
        <f t="shared" si="70"/>
        <v>8.433126602003016E-3</v>
      </c>
      <c r="AM196" s="126">
        <f t="shared" si="70"/>
        <v>1.2179037855848618E-2</v>
      </c>
      <c r="AN196" s="126">
        <f t="shared" si="70"/>
        <v>1.3426254993013753E-2</v>
      </c>
      <c r="AO196" s="126">
        <f t="shared" si="70"/>
        <v>1.3469624235695976E-2</v>
      </c>
      <c r="AP196" s="126">
        <f t="shared" si="70"/>
        <v>1.4554637949648397E-2</v>
      </c>
      <c r="AQ196" s="126">
        <f t="shared" si="70"/>
        <v>7.7627014274166406E-3</v>
      </c>
      <c r="AR196" s="126">
        <f t="shared" si="70"/>
        <v>5.425506721354445E-3</v>
      </c>
    </row>
    <row r="197" spans="1:62">
      <c r="B197" s="720" t="s">
        <v>194</v>
      </c>
      <c r="C197" s="126">
        <f t="shared" si="66"/>
        <v>2.2135241101619796E-2</v>
      </c>
      <c r="D197" s="126">
        <f t="shared" si="68"/>
        <v>1.3985483411368183E-2</v>
      </c>
      <c r="E197" s="126">
        <f t="shared" si="70"/>
        <v>4.5239788736435305E-3</v>
      </c>
      <c r="F197" s="126">
        <f t="shared" si="70"/>
        <v>1.6681663163721883E-2</v>
      </c>
      <c r="G197" s="126">
        <f t="shared" si="70"/>
        <v>3.1080402083266456E-2</v>
      </c>
      <c r="H197" s="126">
        <f t="shared" si="70"/>
        <v>3.7640147768334575E-2</v>
      </c>
      <c r="I197" s="126">
        <f t="shared" si="70"/>
        <v>3.1200208242626148E-2</v>
      </c>
      <c r="J197" s="126">
        <f t="shared" si="70"/>
        <v>3.0928216262065877E-2</v>
      </c>
      <c r="K197" s="126">
        <f t="shared" si="70"/>
        <v>6.9301165273545129E-2</v>
      </c>
      <c r="L197" s="126">
        <f t="shared" si="70"/>
        <v>4.5387411815725809E-2</v>
      </c>
      <c r="M197" s="126">
        <f t="shared" si="70"/>
        <v>3.158454107545583E-2</v>
      </c>
      <c r="N197" s="126">
        <f t="shared" si="70"/>
        <v>2.4896140445984205E-2</v>
      </c>
      <c r="O197" s="126">
        <f t="shared" si="70"/>
        <v>2.147479412143638E-2</v>
      </c>
      <c r="P197" s="126">
        <f t="shared" si="70"/>
        <v>1.3659217470604279E-2</v>
      </c>
      <c r="Q197" s="126">
        <f t="shared" si="70"/>
        <v>1.0387362172295855E-2</v>
      </c>
      <c r="R197" s="126">
        <f t="shared" si="70"/>
        <v>7.5758921276791735E-3</v>
      </c>
      <c r="S197" s="126">
        <f t="shared" si="70"/>
        <v>6.6169987798965213E-3</v>
      </c>
      <c r="T197" s="126">
        <f t="shared" si="70"/>
        <v>9.2253173364400531E-3</v>
      </c>
      <c r="U197" s="126">
        <f t="shared" si="70"/>
        <v>-1.898239443645755E-3</v>
      </c>
      <c r="V197" s="126">
        <f t="shared" si="70"/>
        <v>1.0311536525856146E-2</v>
      </c>
      <c r="W197" s="126">
        <f t="shared" si="70"/>
        <v>1.7120614310549565E-2</v>
      </c>
      <c r="X197" s="126">
        <f t="shared" si="70"/>
        <v>2.1480743177040962E-2</v>
      </c>
      <c r="Y197" s="126">
        <f t="shared" si="70"/>
        <v>2.7776198296921129E-2</v>
      </c>
      <c r="Z197" s="126">
        <f t="shared" si="70"/>
        <v>3.1649701797700436E-2</v>
      </c>
      <c r="AA197" s="126">
        <f t="shared" si="70"/>
        <v>3.1420400143075566E-2</v>
      </c>
      <c r="AB197" s="126">
        <f t="shared" si="70"/>
        <v>3.184989886477152E-2</v>
      </c>
      <c r="AC197" s="126">
        <f t="shared" si="70"/>
        <v>3.1201659796507686E-2</v>
      </c>
      <c r="AD197" s="126">
        <f t="shared" si="70"/>
        <v>2.6648743491997084E-2</v>
      </c>
      <c r="AE197" s="126">
        <f t="shared" si="70"/>
        <v>2.2990834811266625E-2</v>
      </c>
      <c r="AF197" s="126">
        <f t="shared" si="70"/>
        <v>1.7760319702016192E-2</v>
      </c>
      <c r="AG197" s="126">
        <f t="shared" si="70"/>
        <v>1.5764961578994985E-2</v>
      </c>
      <c r="AH197" s="126">
        <f t="shared" si="70"/>
        <v>1.0886767308238454E-2</v>
      </c>
      <c r="AI197" s="126">
        <f t="shared" si="70"/>
        <v>1.0954950064100188E-2</v>
      </c>
      <c r="AJ197" s="126">
        <f t="shared" si="70"/>
        <v>4.7299790372528072E-3</v>
      </c>
      <c r="AK197" s="126">
        <f t="shared" si="70"/>
        <v>-1.3559724490568303E-3</v>
      </c>
      <c r="AL197" s="126">
        <f t="shared" si="70"/>
        <v>-7.069664381628038E-3</v>
      </c>
      <c r="AM197" s="126">
        <f t="shared" si="70"/>
        <v>-9.0264919718143766E-3</v>
      </c>
      <c r="AN197" s="126">
        <f t="shared" si="70"/>
        <v>-1.0206512056533001E-2</v>
      </c>
      <c r="AO197" s="126">
        <f t="shared" si="70"/>
        <v>-1.1508165599803277E-2</v>
      </c>
      <c r="AP197" s="126">
        <f t="shared" si="70"/>
        <v>-8.1319741166646642E-3</v>
      </c>
      <c r="AQ197" s="126">
        <f t="shared" si="70"/>
        <v>3.8131677227082328E-4</v>
      </c>
      <c r="AR197" s="126">
        <f t="shared" si="70"/>
        <v>7.412880917719411E-3</v>
      </c>
    </row>
    <row r="198" spans="1:62">
      <c r="B198" s="720" t="s">
        <v>41</v>
      </c>
      <c r="C198" s="126">
        <f t="shared" si="66"/>
        <v>2.6704668359785133E-2</v>
      </c>
      <c r="D198" s="126">
        <f t="shared" si="68"/>
        <v>1.276308641665036E-2</v>
      </c>
      <c r="E198" s="126">
        <f t="shared" si="70"/>
        <v>2.1919350990217135E-2</v>
      </c>
      <c r="F198" s="126">
        <f t="shared" si="70"/>
        <v>1.8643599236398911E-2</v>
      </c>
      <c r="G198" s="126">
        <f t="shared" si="70"/>
        <v>1.3514529494498051E-2</v>
      </c>
      <c r="H198" s="126">
        <f t="shared" si="70"/>
        <v>1.4859537297203129E-2</v>
      </c>
      <c r="I198" s="126">
        <f t="shared" si="70"/>
        <v>2.3612908746670769E-2</v>
      </c>
      <c r="J198" s="126">
        <f t="shared" si="70"/>
        <v>2.6112611835929167E-2</v>
      </c>
      <c r="K198" s="126">
        <f t="shared" si="70"/>
        <v>2.8469346187792732E-2</v>
      </c>
      <c r="L198" s="126">
        <f t="shared" si="70"/>
        <v>3.0729470089927435E-2</v>
      </c>
      <c r="M198" s="126">
        <f t="shared" si="70"/>
        <v>2.8170547575625982E-2</v>
      </c>
      <c r="N198" s="126">
        <f t="shared" si="70"/>
        <v>2.1778502430129132E-2</v>
      </c>
      <c r="O198" s="126">
        <f t="shared" si="70"/>
        <v>6.9482969890202195E-3</v>
      </c>
      <c r="P198" s="126">
        <f t="shared" si="70"/>
        <v>2.6087838338951119E-2</v>
      </c>
      <c r="Q198" s="126">
        <f t="shared" si="70"/>
        <v>4.6263093223901652E-2</v>
      </c>
      <c r="R198" s="126">
        <f t="shared" si="70"/>
        <v>5.434025574870649E-2</v>
      </c>
      <c r="S198" s="126">
        <f t="shared" si="70"/>
        <v>4.4239823596979644E-2</v>
      </c>
      <c r="T198" s="126">
        <f t="shared" si="70"/>
        <v>4.2612723247156925E-2</v>
      </c>
      <c r="U198" s="126">
        <f t="shared" si="70"/>
        <v>0.10012110135913543</v>
      </c>
      <c r="V198" s="126">
        <f t="shared" si="70"/>
        <v>5.7348790682719253E-2</v>
      </c>
      <c r="W198" s="126">
        <f t="shared" si="70"/>
        <v>3.3488195295012124E-2</v>
      </c>
      <c r="X198" s="126">
        <f t="shared" si="70"/>
        <v>2.1672544636471613E-2</v>
      </c>
      <c r="Y198" s="126">
        <f t="shared" si="70"/>
        <v>1.3288880400076586E-2</v>
      </c>
      <c r="Z198" s="126">
        <f t="shared" si="70"/>
        <v>9.6871798819300192E-3</v>
      </c>
      <c r="AA198" s="126">
        <f t="shared" si="70"/>
        <v>1.4058061955950274E-2</v>
      </c>
      <c r="AB198" s="126">
        <f t="shared" si="70"/>
        <v>1.5755226280172119E-2</v>
      </c>
      <c r="AC198" s="126">
        <f t="shared" si="70"/>
        <v>1.4226027975704492E-2</v>
      </c>
      <c r="AD198" s="126">
        <f t="shared" si="70"/>
        <v>2.1018211417103583E-2</v>
      </c>
      <c r="AE198" s="126">
        <f t="shared" si="70"/>
        <v>2.7321543113717484E-2</v>
      </c>
      <c r="AF198" s="126">
        <f t="shared" si="70"/>
        <v>3.3338209427035137E-2</v>
      </c>
      <c r="AG198" s="126">
        <f t="shared" si="70"/>
        <v>3.4829761448503582E-2</v>
      </c>
      <c r="AH198" s="126">
        <f t="shared" si="70"/>
        <v>3.6282512624683072E-2</v>
      </c>
      <c r="AI198" s="126">
        <f t="shared" si="70"/>
        <v>4.1382424603912504E-2</v>
      </c>
      <c r="AJ198" s="126">
        <f t="shared" si="70"/>
        <v>4.4125990338164334E-2</v>
      </c>
      <c r="AK198" s="126">
        <f t="shared" si="70"/>
        <v>4.3592940086080167E-2</v>
      </c>
      <c r="AL198" s="126">
        <f t="shared" si="70"/>
        <v>4.2863679086346362E-2</v>
      </c>
      <c r="AM198" s="126">
        <f t="shared" si="70"/>
        <v>3.9456491203964994E-2</v>
      </c>
      <c r="AN198" s="126">
        <f t="shared" si="70"/>
        <v>3.3853174868043512E-2</v>
      </c>
      <c r="AO198" s="126">
        <f t="shared" si="70"/>
        <v>2.9853958279400183E-2</v>
      </c>
      <c r="AP198" s="126">
        <f t="shared" si="70"/>
        <v>2.4119622115267081E-2</v>
      </c>
      <c r="AQ198" s="126">
        <f t="shared" si="70"/>
        <v>2.2128655026912858E-2</v>
      </c>
      <c r="AR198" s="126">
        <f t="shared" si="70"/>
        <v>1.6282540715159E-2</v>
      </c>
    </row>
    <row r="201" spans="1:62" s="54" customFormat="1"/>
    <row r="202" spans="1:62" s="54" customFormat="1"/>
    <row r="203" spans="1:62" s="588" customFormat="1" ht="20" customHeight="1">
      <c r="A203" s="587" t="s">
        <v>3285</v>
      </c>
    </row>
    <row r="204" spans="1:62" s="3" customFormat="1" ht="28.25" customHeight="1">
      <c r="A204" s="594"/>
    </row>
    <row r="205" spans="1:62" s="3" customFormat="1" ht="28.25" customHeight="1">
      <c r="A205" s="594"/>
      <c r="B205" s="595" t="s">
        <v>3281</v>
      </c>
    </row>
    <row r="206" spans="1:62">
      <c r="U206" s="151" t="s">
        <v>88</v>
      </c>
      <c r="V206" s="151" t="s">
        <v>87</v>
      </c>
    </row>
    <row r="207" spans="1:62">
      <c r="C207" s="32">
        <v>2001</v>
      </c>
      <c r="D207" s="32">
        <v>2002</v>
      </c>
      <c r="E207" s="32">
        <v>2003</v>
      </c>
      <c r="F207" s="32">
        <v>2004</v>
      </c>
      <c r="G207" s="32">
        <v>2005</v>
      </c>
      <c r="H207" s="32">
        <v>2006</v>
      </c>
      <c r="I207" s="32">
        <v>2007</v>
      </c>
      <c r="J207" s="32">
        <v>2008</v>
      </c>
      <c r="K207" s="32">
        <v>2009</v>
      </c>
      <c r="L207" s="32">
        <v>2010</v>
      </c>
      <c r="M207" s="32">
        <v>2011</v>
      </c>
      <c r="N207" s="32">
        <v>2012</v>
      </c>
      <c r="O207" s="32">
        <v>2013</v>
      </c>
      <c r="P207" s="32">
        <v>2014</v>
      </c>
      <c r="Q207" s="32">
        <v>2015</v>
      </c>
      <c r="R207" s="32">
        <v>2016</v>
      </c>
      <c r="S207" s="32">
        <v>2017</v>
      </c>
      <c r="T207" s="32">
        <v>2018</v>
      </c>
      <c r="U207" s="32">
        <v>2019</v>
      </c>
      <c r="V207" s="136">
        <v>2020</v>
      </c>
      <c r="W207" s="136">
        <v>2021</v>
      </c>
      <c r="X207" s="136">
        <v>2022</v>
      </c>
      <c r="Y207" s="136">
        <v>2023</v>
      </c>
      <c r="Z207" s="136">
        <v>2024</v>
      </c>
      <c r="AA207" s="136">
        <v>2025</v>
      </c>
      <c r="AB207" s="136">
        <v>2026</v>
      </c>
      <c r="AC207" s="136">
        <v>2027</v>
      </c>
      <c r="AD207" s="136">
        <v>2028</v>
      </c>
      <c r="AE207" s="136">
        <v>2029</v>
      </c>
      <c r="AF207" s="136">
        <v>2030</v>
      </c>
      <c r="AG207" s="136">
        <v>2031</v>
      </c>
      <c r="AH207" s="136">
        <v>2032</v>
      </c>
      <c r="AI207" s="136">
        <v>2033</v>
      </c>
      <c r="AJ207" s="136">
        <v>2034</v>
      </c>
      <c r="AK207" s="136">
        <v>2035</v>
      </c>
      <c r="AL207" s="136">
        <v>2036</v>
      </c>
      <c r="AM207" s="136">
        <v>2037</v>
      </c>
      <c r="AN207" s="136">
        <v>2038</v>
      </c>
      <c r="AO207" s="136">
        <v>2039</v>
      </c>
      <c r="AP207" s="136">
        <v>2040</v>
      </c>
      <c r="AQ207" s="136">
        <v>2041</v>
      </c>
      <c r="AR207" s="136">
        <v>2042</v>
      </c>
      <c r="AS207" s="136">
        <v>2043</v>
      </c>
      <c r="AT207" s="136">
        <v>2044</v>
      </c>
      <c r="AU207" s="136">
        <v>2045</v>
      </c>
      <c r="AV207" s="136">
        <v>2046</v>
      </c>
      <c r="AW207" s="136">
        <v>2047</v>
      </c>
      <c r="AX207" s="136">
        <v>2048</v>
      </c>
      <c r="AY207" s="136">
        <v>2049</v>
      </c>
      <c r="AZ207" s="136">
        <v>2050</v>
      </c>
      <c r="BA207" s="136">
        <v>2051</v>
      </c>
      <c r="BB207" s="136">
        <v>2052</v>
      </c>
      <c r="BC207" s="136">
        <v>2053</v>
      </c>
      <c r="BD207" s="136">
        <v>2054</v>
      </c>
      <c r="BE207" s="136">
        <v>2055</v>
      </c>
      <c r="BF207" s="136">
        <v>2056</v>
      </c>
      <c r="BG207" s="136">
        <v>2057</v>
      </c>
      <c r="BH207" s="136">
        <v>2058</v>
      </c>
      <c r="BI207" s="136">
        <v>2059</v>
      </c>
      <c r="BJ207" s="136">
        <v>2060</v>
      </c>
    </row>
    <row r="208" spans="1:62">
      <c r="B208" s="36" t="s">
        <v>186</v>
      </c>
      <c r="C208" s="36"/>
      <c r="D208" s="126">
        <f t="shared" ref="D208:T208" si="71">D125</f>
        <v>-1.1045677425588041E-2</v>
      </c>
      <c r="E208" s="126">
        <f t="shared" si="71"/>
        <v>-4.9932584570397953E-3</v>
      </c>
      <c r="F208" s="126">
        <f t="shared" si="71"/>
        <v>-2.0435402691757476E-3</v>
      </c>
      <c r="G208" s="126">
        <f t="shared" si="71"/>
        <v>4.8114374742236343E-4</v>
      </c>
      <c r="H208" s="126">
        <f t="shared" si="71"/>
        <v>1.9374571455899048E-3</v>
      </c>
      <c r="I208" s="126">
        <f t="shared" si="71"/>
        <v>6.100448756667376E-3</v>
      </c>
      <c r="J208" s="126">
        <f t="shared" si="71"/>
        <v>1.1399282754897433E-2</v>
      </c>
      <c r="K208" s="126">
        <f t="shared" si="71"/>
        <v>1.138245139071592E-2</v>
      </c>
      <c r="L208" s="126">
        <f t="shared" si="71"/>
        <v>1.4887787190604573E-2</v>
      </c>
      <c r="M208" s="126">
        <f t="shared" si="71"/>
        <v>1.6739918694673728E-2</v>
      </c>
      <c r="N208" s="126">
        <f t="shared" si="71"/>
        <v>2.5013447792417765E-2</v>
      </c>
      <c r="O208" s="126">
        <f t="shared" si="71"/>
        <v>1.93163806724721E-2</v>
      </c>
      <c r="P208" s="126">
        <f t="shared" si="71"/>
        <v>1.5339631681013044E-2</v>
      </c>
      <c r="Q208" s="126">
        <f t="shared" si="71"/>
        <v>1.3250295898063591E-2</v>
      </c>
      <c r="R208" s="126">
        <f t="shared" si="71"/>
        <v>9.5947626544377052E-3</v>
      </c>
      <c r="S208" s="126">
        <f t="shared" si="71"/>
        <v>3.647930851039094E-3</v>
      </c>
      <c r="T208" s="126">
        <f t="shared" si="71"/>
        <v>-1.7049465972773792E-3</v>
      </c>
      <c r="U208" s="126">
        <f t="shared" ref="U208" si="72">U125</f>
        <v>-4.7666918998112706E-3</v>
      </c>
      <c r="V208" s="126">
        <f t="shared" ref="V208:AD215" si="73">D189</f>
        <v>-5.6408139233381505E-3</v>
      </c>
      <c r="W208" s="126">
        <f t="shared" si="73"/>
        <v>-9.1934842436072195E-3</v>
      </c>
      <c r="X208" s="126">
        <f t="shared" si="73"/>
        <v>-1.2680422333396613E-2</v>
      </c>
      <c r="Y208" s="126">
        <f t="shared" si="73"/>
        <v>-1.0552012241747399E-2</v>
      </c>
      <c r="Z208" s="126">
        <f t="shared" si="73"/>
        <v>-9.0093635568113672E-3</v>
      </c>
      <c r="AA208" s="126">
        <f t="shared" si="73"/>
        <v>-9.0058650437352394E-3</v>
      </c>
      <c r="AB208" s="126">
        <f t="shared" si="73"/>
        <v>-9.9114577063792453E-3</v>
      </c>
      <c r="AC208" s="126">
        <f t="shared" si="73"/>
        <v>-7.5659467231707911E-3</v>
      </c>
      <c r="AD208" s="126">
        <f t="shared" si="73"/>
        <v>-4.6735358826148765E-3</v>
      </c>
      <c r="AE208" s="126">
        <f t="shared" ref="AE208:AN215" si="74">M189</f>
        <v>-1.162321237936137E-3</v>
      </c>
      <c r="AF208" s="126">
        <f t="shared" si="74"/>
        <v>-1.3187352749014503E-3</v>
      </c>
      <c r="AG208" s="126">
        <f t="shared" si="74"/>
        <v>-4.1980562698140655E-4</v>
      </c>
      <c r="AH208" s="126">
        <f t="shared" si="74"/>
        <v>7.0240273459498681E-4</v>
      </c>
      <c r="AI208" s="126">
        <f t="shared" si="74"/>
        <v>1.6681256093351582E-3</v>
      </c>
      <c r="AJ208" s="126">
        <f t="shared" si="74"/>
        <v>2.3798594402937301E-3</v>
      </c>
      <c r="AK208" s="126">
        <f t="shared" si="74"/>
        <v>3.1874567222016648E-3</v>
      </c>
      <c r="AL208" s="126">
        <f t="shared" si="74"/>
        <v>4.1213193510913904E-3</v>
      </c>
      <c r="AM208" s="126">
        <f t="shared" si="74"/>
        <v>5.1420269189443868E-3</v>
      </c>
      <c r="AN208" s="126">
        <f t="shared" si="74"/>
        <v>6.172990654890631E-3</v>
      </c>
      <c r="AO208" s="126">
        <f t="shared" ref="AO208:AX215" si="75">W189</f>
        <v>7.0639117224942094E-3</v>
      </c>
      <c r="AP208" s="126">
        <f t="shared" si="75"/>
        <v>7.6899101194327635E-3</v>
      </c>
      <c r="AQ208" s="126">
        <f t="shared" si="75"/>
        <v>8.0696010151954933E-3</v>
      </c>
      <c r="AR208" s="126">
        <f t="shared" si="75"/>
        <v>8.1851622494015785E-3</v>
      </c>
      <c r="AS208" s="126">
        <f t="shared" si="75"/>
        <v>8.0187659110997345E-3</v>
      </c>
      <c r="AT208" s="126">
        <f t="shared" si="75"/>
        <v>7.5421320798996216E-3</v>
      </c>
      <c r="AU208" s="126">
        <f t="shared" si="75"/>
        <v>6.8524712816828703E-3</v>
      </c>
      <c r="AV208" s="126">
        <f t="shared" si="75"/>
        <v>5.9194460917562086E-3</v>
      </c>
      <c r="AW208" s="126">
        <f t="shared" si="75"/>
        <v>4.7747823697150693E-3</v>
      </c>
      <c r="AX208" s="126">
        <f t="shared" si="75"/>
        <v>3.4778392987262485E-3</v>
      </c>
      <c r="AY208" s="126">
        <f t="shared" ref="AY208:BH215" si="76">AG189</f>
        <v>2.1176984759063711E-3</v>
      </c>
      <c r="AZ208" s="126">
        <f t="shared" si="76"/>
        <v>8.3074229463031557E-4</v>
      </c>
      <c r="BA208" s="126">
        <f t="shared" si="76"/>
        <v>-3.4661383996270612E-4</v>
      </c>
      <c r="BB208" s="126">
        <f t="shared" si="76"/>
        <v>-1.3908384748443359E-3</v>
      </c>
      <c r="BC208" s="126">
        <f t="shared" si="76"/>
        <v>-2.2672586288621233E-3</v>
      </c>
      <c r="BD208" s="126">
        <f t="shared" si="76"/>
        <v>-2.8765978681551951E-3</v>
      </c>
      <c r="BE208" s="126">
        <f t="shared" si="76"/>
        <v>-3.2833701643794067E-3</v>
      </c>
      <c r="BF208" s="126">
        <f t="shared" si="76"/>
        <v>-3.4715284022663884E-3</v>
      </c>
      <c r="BG208" s="126">
        <f t="shared" si="76"/>
        <v>-3.4475904875327368E-3</v>
      </c>
      <c r="BH208" s="126">
        <f t="shared" si="76"/>
        <v>-3.2217105666374479E-3</v>
      </c>
      <c r="BI208" s="126">
        <f t="shared" ref="BI208:BJ215" si="77">AQ189</f>
        <v>-2.8166069220231238E-3</v>
      </c>
      <c r="BJ208" s="126">
        <f t="shared" si="77"/>
        <v>-2.265919660401905E-3</v>
      </c>
    </row>
    <row r="209" spans="1:62">
      <c r="B209" s="36" t="s">
        <v>187</v>
      </c>
      <c r="C209" s="36"/>
      <c r="D209" s="126">
        <f t="shared" ref="D209:T209" si="78">D126</f>
        <v>1.2561074928287397E-2</v>
      </c>
      <c r="E209" s="126">
        <f t="shared" si="78"/>
        <v>1.008914987669729E-2</v>
      </c>
      <c r="F209" s="126">
        <f t="shared" si="78"/>
        <v>4.9229945675262066E-3</v>
      </c>
      <c r="G209" s="126">
        <f t="shared" si="78"/>
        <v>1.1607657461372156E-3</v>
      </c>
      <c r="H209" s="126">
        <f t="shared" si="78"/>
        <v>1.1912823252495652E-3</v>
      </c>
      <c r="I209" s="126">
        <f t="shared" si="78"/>
        <v>4.1758046186901598E-3</v>
      </c>
      <c r="J209" s="126">
        <f t="shared" si="78"/>
        <v>-1.8650671673409169E-3</v>
      </c>
      <c r="K209" s="126">
        <f t="shared" si="78"/>
        <v>-6.2531683927224968E-4</v>
      </c>
      <c r="L209" s="126">
        <f t="shared" si="78"/>
        <v>-4.8557540006298749E-3</v>
      </c>
      <c r="M209" s="126">
        <f t="shared" si="78"/>
        <v>-9.4056912421327521E-3</v>
      </c>
      <c r="N209" s="126">
        <f t="shared" si="78"/>
        <v>-1.5254828893995209E-2</v>
      </c>
      <c r="O209" s="126">
        <f t="shared" si="78"/>
        <v>-1.0014335472294467E-2</v>
      </c>
      <c r="P209" s="126">
        <f t="shared" si="78"/>
        <v>-4.354897855851525E-3</v>
      </c>
      <c r="Q209" s="126">
        <f t="shared" si="78"/>
        <v>1.5433568842340151E-3</v>
      </c>
      <c r="R209" s="126">
        <f t="shared" si="78"/>
        <v>5.8066326937882273E-3</v>
      </c>
      <c r="S209" s="126">
        <f t="shared" si="78"/>
        <v>5.9369591709250713E-3</v>
      </c>
      <c r="T209" s="126">
        <f t="shared" si="78"/>
        <v>1.3349625753646288E-2</v>
      </c>
      <c r="U209" s="126">
        <f t="shared" ref="U209" si="79">U126</f>
        <v>1.1581783711476223E-2</v>
      </c>
      <c r="V209" s="126">
        <f t="shared" si="73"/>
        <v>1.7034583716477814E-2</v>
      </c>
      <c r="W209" s="126">
        <f t="shared" si="73"/>
        <v>2.0078095808571339E-2</v>
      </c>
      <c r="X209" s="126">
        <f t="shared" si="73"/>
        <v>2.4248510362326225E-2</v>
      </c>
      <c r="Y209" s="126">
        <f t="shared" si="73"/>
        <v>1.8840165327682179E-2</v>
      </c>
      <c r="Z209" s="126">
        <f t="shared" si="73"/>
        <v>1.3634813737092744E-2</v>
      </c>
      <c r="AA209" s="126">
        <f t="shared" si="73"/>
        <v>1.1166660987089738E-2</v>
      </c>
      <c r="AB209" s="126">
        <f t="shared" si="73"/>
        <v>7.6168754575347553E-3</v>
      </c>
      <c r="AC209" s="126">
        <f t="shared" si="73"/>
        <v>3.1996107452518796E-3</v>
      </c>
      <c r="AD209" s="126">
        <f t="shared" si="73"/>
        <v>-2.7782623485896885E-3</v>
      </c>
      <c r="AE209" s="126">
        <f t="shared" si="74"/>
        <v>-5.3173071480810963E-3</v>
      </c>
      <c r="AF209" s="126">
        <f t="shared" si="74"/>
        <v>-6.7963179858431255E-3</v>
      </c>
      <c r="AG209" s="126">
        <f t="shared" si="74"/>
        <v>-9.432877318252153E-3</v>
      </c>
      <c r="AH209" s="126">
        <f t="shared" si="74"/>
        <v>-1.2600826814967769E-2</v>
      </c>
      <c r="AI209" s="126">
        <f t="shared" si="74"/>
        <v>-1.0413889550491717E-2</v>
      </c>
      <c r="AJ209" s="126">
        <f t="shared" si="74"/>
        <v>-8.7548412330882286E-3</v>
      </c>
      <c r="AK209" s="126">
        <f t="shared" si="74"/>
        <v>-8.5614017421961064E-3</v>
      </c>
      <c r="AL209" s="126">
        <f t="shared" si="74"/>
        <v>-9.4203893398759897E-3</v>
      </c>
      <c r="AM209" s="126">
        <f t="shared" si="74"/>
        <v>-7.1836733720641588E-3</v>
      </c>
      <c r="AN209" s="126">
        <f t="shared" si="74"/>
        <v>-4.4297428464555866E-3</v>
      </c>
      <c r="AO209" s="126">
        <f t="shared" si="75"/>
        <v>-1.0881264850167716E-3</v>
      </c>
      <c r="AP209" s="126">
        <f t="shared" si="75"/>
        <v>-1.244173079976596E-3</v>
      </c>
      <c r="AQ209" s="126">
        <f t="shared" si="75"/>
        <v>-3.8536862624849455E-4</v>
      </c>
      <c r="AR209" s="126">
        <f t="shared" si="75"/>
        <v>6.8365048799678974E-4</v>
      </c>
      <c r="AS209" s="126">
        <f t="shared" si="75"/>
        <v>1.5993321058591636E-3</v>
      </c>
      <c r="AT209" s="126">
        <f t="shared" si="75"/>
        <v>2.2778149930335889E-3</v>
      </c>
      <c r="AU209" s="126">
        <f t="shared" si="75"/>
        <v>3.0475416497357521E-3</v>
      </c>
      <c r="AV209" s="126">
        <f t="shared" si="75"/>
        <v>3.9343130856197561E-3</v>
      </c>
      <c r="AW209" s="126">
        <f t="shared" si="75"/>
        <v>4.907062619224023E-3</v>
      </c>
      <c r="AX209" s="126">
        <f t="shared" si="75"/>
        <v>5.890833529892836E-3</v>
      </c>
      <c r="AY209" s="126">
        <f t="shared" si="76"/>
        <v>6.7398858835274744E-3</v>
      </c>
      <c r="AZ209" s="126">
        <f t="shared" si="76"/>
        <v>7.3377174006588053E-3</v>
      </c>
      <c r="BA209" s="126">
        <f t="shared" si="76"/>
        <v>7.7002072846756864E-3</v>
      </c>
      <c r="BB209" s="126">
        <f t="shared" si="76"/>
        <v>7.8123745385370036E-3</v>
      </c>
      <c r="BC209" s="126">
        <f t="shared" si="76"/>
        <v>7.6570683070957823E-3</v>
      </c>
      <c r="BD209" s="126">
        <f t="shared" si="76"/>
        <v>7.2041156117521599E-3</v>
      </c>
      <c r="BE209" s="126">
        <f t="shared" si="76"/>
        <v>6.5500321150728791E-3</v>
      </c>
      <c r="BF209" s="126">
        <f t="shared" si="76"/>
        <v>5.6603267166439597E-3</v>
      </c>
      <c r="BG209" s="126">
        <f t="shared" si="76"/>
        <v>4.569846308456027E-3</v>
      </c>
      <c r="BH209" s="126">
        <f t="shared" si="76"/>
        <v>3.3309774785195145E-3</v>
      </c>
      <c r="BI209" s="126">
        <f t="shared" si="77"/>
        <v>2.032266722564513E-3</v>
      </c>
      <c r="BJ209" s="126">
        <f t="shared" si="77"/>
        <v>8.0467230149428026E-4</v>
      </c>
    </row>
    <row r="210" spans="1:62">
      <c r="B210" s="36" t="s">
        <v>188</v>
      </c>
      <c r="C210" s="36"/>
      <c r="D210" s="126">
        <f t="shared" ref="D210:T210" si="80">D127</f>
        <v>-6.445166458116991E-3</v>
      </c>
      <c r="E210" s="126">
        <f t="shared" si="80"/>
        <v>5.2789463555003024E-4</v>
      </c>
      <c r="F210" s="126">
        <f t="shared" si="80"/>
        <v>1.4390298753849784E-2</v>
      </c>
      <c r="G210" s="126">
        <f t="shared" si="80"/>
        <v>2.8625458790210612E-2</v>
      </c>
      <c r="H210" s="126">
        <f t="shared" si="80"/>
        <v>2.4133791726033138E-2</v>
      </c>
      <c r="I210" s="126">
        <f t="shared" si="80"/>
        <v>2.6621702623572441E-2</v>
      </c>
      <c r="J210" s="126">
        <f t="shared" si="80"/>
        <v>2.1984858322644962E-2</v>
      </c>
      <c r="K210" s="126">
        <f t="shared" si="80"/>
        <v>4.5969450530347622E-3</v>
      </c>
      <c r="L210" s="126">
        <f t="shared" si="80"/>
        <v>1.0957175720234247E-2</v>
      </c>
      <c r="M210" s="126">
        <f t="shared" si="80"/>
        <v>1.6016770642746758E-2</v>
      </c>
      <c r="N210" s="126">
        <f t="shared" si="80"/>
        <v>3.8105805096804168E-3</v>
      </c>
      <c r="O210" s="126">
        <f t="shared" si="80"/>
        <v>1.0907650572822281E-3</v>
      </c>
      <c r="P210" s="126">
        <f t="shared" si="80"/>
        <v>4.9017227163410393E-3</v>
      </c>
      <c r="Q210" s="126">
        <f t="shared" si="80"/>
        <v>3.4712215311301087E-3</v>
      </c>
      <c r="R210" s="126">
        <f t="shared" si="80"/>
        <v>2.9003193779781888E-3</v>
      </c>
      <c r="S210" s="126">
        <f t="shared" si="80"/>
        <v>-1.869079512932359E-3</v>
      </c>
      <c r="T210" s="126">
        <f t="shared" si="80"/>
        <v>-3.9668296011085014E-3</v>
      </c>
      <c r="U210" s="126">
        <f t="shared" ref="U210" si="81">U127</f>
        <v>-5.363387003590625E-3</v>
      </c>
      <c r="V210" s="126">
        <f t="shared" si="73"/>
        <v>-6.3969351123129847E-3</v>
      </c>
      <c r="W210" s="126">
        <f t="shared" si="73"/>
        <v>-1.2636823325407498E-2</v>
      </c>
      <c r="X210" s="126">
        <f t="shared" si="73"/>
        <v>-1.3291346431236972E-2</v>
      </c>
      <c r="Y210" s="126">
        <f t="shared" si="73"/>
        <v>-9.4128871435675832E-3</v>
      </c>
      <c r="Z210" s="126">
        <f t="shared" si="73"/>
        <v>-7.2970718288876135E-3</v>
      </c>
      <c r="AA210" s="126">
        <f t="shared" si="73"/>
        <v>-3.616554173586195E-3</v>
      </c>
      <c r="AB210" s="126">
        <f t="shared" si="73"/>
        <v>3.1329757266695957E-4</v>
      </c>
      <c r="AC210" s="126">
        <f t="shared" si="73"/>
        <v>2.7648599473577562E-3</v>
      </c>
      <c r="AD210" s="126">
        <f t="shared" si="73"/>
        <v>8.6213932487573253E-3</v>
      </c>
      <c r="AE210" s="126">
        <f t="shared" si="74"/>
        <v>8.6620736193336878E-3</v>
      </c>
      <c r="AF210" s="126">
        <f t="shared" si="74"/>
        <v>1.3223262555458914E-2</v>
      </c>
      <c r="AG210" s="126">
        <f t="shared" si="74"/>
        <v>1.7145948296085622E-2</v>
      </c>
      <c r="AH210" s="126">
        <f t="shared" si="74"/>
        <v>2.1433132551578638E-2</v>
      </c>
      <c r="AI210" s="126">
        <f t="shared" si="74"/>
        <v>1.6880077221772094E-2</v>
      </c>
      <c r="AJ210" s="126">
        <f t="shared" si="74"/>
        <v>1.2413721510620368E-2</v>
      </c>
      <c r="AK210" s="126">
        <f t="shared" si="74"/>
        <v>1.038223707958652E-2</v>
      </c>
      <c r="AL210" s="126">
        <f t="shared" si="74"/>
        <v>7.1074425309785028E-3</v>
      </c>
      <c r="AM210" s="126">
        <f t="shared" si="74"/>
        <v>3.0194088143551401E-3</v>
      </c>
      <c r="AN210" s="126">
        <f t="shared" si="74"/>
        <v>-2.5144086430458623E-3</v>
      </c>
      <c r="AO210" s="126">
        <f t="shared" si="75"/>
        <v>-4.8689647145546688E-3</v>
      </c>
      <c r="AP210" s="126">
        <f t="shared" si="75"/>
        <v>-6.2345894168829297E-3</v>
      </c>
      <c r="AQ210" s="126">
        <f t="shared" si="75"/>
        <v>-8.6777028593770789E-3</v>
      </c>
      <c r="AR210" s="126">
        <f t="shared" si="75"/>
        <v>-1.1611667044938101E-2</v>
      </c>
      <c r="AS210" s="126">
        <f t="shared" si="75"/>
        <v>-9.5887448785848539E-3</v>
      </c>
      <c r="AT210" s="126">
        <f t="shared" si="75"/>
        <v>-8.0579427594908992E-3</v>
      </c>
      <c r="AU210" s="126">
        <f t="shared" si="75"/>
        <v>-7.8760347062661884E-3</v>
      </c>
      <c r="AV210" s="126">
        <f t="shared" si="75"/>
        <v>-8.6683210658957677E-3</v>
      </c>
      <c r="AW210" s="126">
        <f t="shared" si="75"/>
        <v>-6.6086853910924948E-3</v>
      </c>
      <c r="AX210" s="126">
        <f t="shared" si="75"/>
        <v>-4.0715095027902271E-3</v>
      </c>
      <c r="AY210" s="126">
        <f t="shared" si="76"/>
        <v>-9.9856539438336611E-4</v>
      </c>
      <c r="AZ210" s="126">
        <f t="shared" si="76"/>
        <v>-1.1339492865892753E-3</v>
      </c>
      <c r="BA210" s="126">
        <f t="shared" si="76"/>
        <v>-3.4440698620818999E-4</v>
      </c>
      <c r="BB210" s="126">
        <f t="shared" si="76"/>
        <v>6.3774783114300959E-4</v>
      </c>
      <c r="BC210" s="126">
        <f t="shared" si="76"/>
        <v>1.4812941628450371E-3</v>
      </c>
      <c r="BD210" s="126">
        <f t="shared" si="76"/>
        <v>2.1059288160263367E-3</v>
      </c>
      <c r="BE210" s="126">
        <f t="shared" si="76"/>
        <v>2.8146491899057047E-3</v>
      </c>
      <c r="BF210" s="126">
        <f t="shared" si="76"/>
        <v>3.631654553098107E-3</v>
      </c>
      <c r="BG210" s="126">
        <f t="shared" si="76"/>
        <v>4.52792190999185E-3</v>
      </c>
      <c r="BH210" s="126">
        <f t="shared" si="76"/>
        <v>5.4351428200514196E-3</v>
      </c>
      <c r="BI210" s="126">
        <f t="shared" si="77"/>
        <v>6.2195542841174678E-3</v>
      </c>
      <c r="BJ210" s="126">
        <f t="shared" si="77"/>
        <v>6.7754663039802931E-3</v>
      </c>
    </row>
    <row r="211" spans="1:62">
      <c r="B211" s="36" t="s">
        <v>189</v>
      </c>
      <c r="C211" s="36"/>
      <c r="D211" s="126">
        <f t="shared" ref="D211:T211" si="82">D128</f>
        <v>-8.7456982619549262E-4</v>
      </c>
      <c r="E211" s="126">
        <f t="shared" si="82"/>
        <v>-8.081812360302254E-3</v>
      </c>
      <c r="F211" s="126">
        <f t="shared" si="82"/>
        <v>-1.5074671409176288E-2</v>
      </c>
      <c r="G211" s="126">
        <f t="shared" si="82"/>
        <v>-1.3279663688746002E-2</v>
      </c>
      <c r="H211" s="126">
        <f t="shared" si="82"/>
        <v>-1.6431306597498585E-2</v>
      </c>
      <c r="I211" s="126">
        <f t="shared" si="82"/>
        <v>-1.8796085353552927E-2</v>
      </c>
      <c r="J211" s="126">
        <f t="shared" si="82"/>
        <v>-1.280478078381464E-2</v>
      </c>
      <c r="K211" s="126">
        <f t="shared" si="82"/>
        <v>-7.1532997626601036E-3</v>
      </c>
      <c r="L211" s="126">
        <f t="shared" si="82"/>
        <v>-1.0591319723363135E-3</v>
      </c>
      <c r="M211" s="126">
        <f t="shared" si="82"/>
        <v>-2.7463105688478873E-3</v>
      </c>
      <c r="N211" s="126">
        <f t="shared" si="82"/>
        <v>-2.9712734357206783E-3</v>
      </c>
      <c r="O211" s="126">
        <f t="shared" si="82"/>
        <v>2.9341859906095724E-3</v>
      </c>
      <c r="P211" s="126">
        <f t="shared" si="82"/>
        <v>7.3766177922365284E-3</v>
      </c>
      <c r="Q211" s="126">
        <f t="shared" si="82"/>
        <v>1.3477422118694626E-2</v>
      </c>
      <c r="R211" s="126">
        <f t="shared" si="82"/>
        <v>1.4958856477045313E-2</v>
      </c>
      <c r="S211" s="126">
        <f t="shared" si="82"/>
        <v>1.2784135622504245E-2</v>
      </c>
      <c r="T211" s="126">
        <f t="shared" si="82"/>
        <v>1.4194106709920495E-2</v>
      </c>
      <c r="U211" s="126">
        <f t="shared" ref="U211" si="83">U128</f>
        <v>4.865504431665002E-3</v>
      </c>
      <c r="V211" s="126">
        <f t="shared" si="73"/>
        <v>6.8728157806385859E-3</v>
      </c>
      <c r="W211" s="126">
        <f t="shared" si="73"/>
        <v>6.1129176440468669E-3</v>
      </c>
      <c r="X211" s="126">
        <f t="shared" si="73"/>
        <v>4.6516644445451227E-3</v>
      </c>
      <c r="Y211" s="126">
        <f t="shared" si="73"/>
        <v>1.721216814689619E-3</v>
      </c>
      <c r="Z211" s="126">
        <f t="shared" si="73"/>
        <v>2.1915577553508481E-3</v>
      </c>
      <c r="AA211" s="126">
        <f t="shared" si="73"/>
        <v>-2.563641684549034E-3</v>
      </c>
      <c r="AB211" s="126">
        <f t="shared" si="73"/>
        <v>-2.3508621410879282E-3</v>
      </c>
      <c r="AC211" s="126">
        <f t="shared" si="73"/>
        <v>-1.6229279921561313E-3</v>
      </c>
      <c r="AD211" s="126">
        <f t="shared" si="73"/>
        <v>-6.3751611817306486E-3</v>
      </c>
      <c r="AE211" s="126">
        <f t="shared" si="74"/>
        <v>-6.1259133127259391E-3</v>
      </c>
      <c r="AF211" s="126">
        <f t="shared" si="74"/>
        <v>-9.9681472212154176E-3</v>
      </c>
      <c r="AG211" s="126">
        <f t="shared" si="74"/>
        <v>-1.3901272015224286E-2</v>
      </c>
      <c r="AH211" s="126">
        <f t="shared" si="74"/>
        <v>-1.4191816681525915E-2</v>
      </c>
      <c r="AI211" s="126">
        <f t="shared" si="74"/>
        <v>-1.0049289141476181E-2</v>
      </c>
      <c r="AJ211" s="126">
        <f t="shared" si="74"/>
        <v>-7.5043137655631531E-3</v>
      </c>
      <c r="AK211" s="126">
        <f t="shared" si="74"/>
        <v>-3.4225486446477493E-3</v>
      </c>
      <c r="AL211" s="126">
        <f t="shared" si="74"/>
        <v>4.0019606940355779E-4</v>
      </c>
      <c r="AM211" s="126">
        <f t="shared" si="74"/>
        <v>2.7860800950321174E-3</v>
      </c>
      <c r="AN211" s="126">
        <f t="shared" si="74"/>
        <v>8.4500361354831188E-3</v>
      </c>
      <c r="AO211" s="126">
        <f t="shared" si="75"/>
        <v>8.4871803588264516E-3</v>
      </c>
      <c r="AP211" s="126">
        <f t="shared" si="75"/>
        <v>1.2879263065655344E-2</v>
      </c>
      <c r="AQ211" s="126">
        <f t="shared" si="75"/>
        <v>1.665891729058977E-2</v>
      </c>
      <c r="AR211" s="126">
        <f t="shared" si="75"/>
        <v>2.079851704664204E-2</v>
      </c>
      <c r="AS211" s="126">
        <f t="shared" si="75"/>
        <v>1.637498329557463E-2</v>
      </c>
      <c r="AT211" s="126">
        <f t="shared" si="75"/>
        <v>1.2041004473877903E-2</v>
      </c>
      <c r="AU211" s="126">
        <f t="shared" si="75"/>
        <v>1.0067820778258962E-2</v>
      </c>
      <c r="AV211" s="126">
        <f t="shared" si="75"/>
        <v>6.8981529422937893E-3</v>
      </c>
      <c r="AW211" s="126">
        <f t="shared" si="75"/>
        <v>2.9334344592095718E-3</v>
      </c>
      <c r="AX211" s="126">
        <f t="shared" si="75"/>
        <v>-2.4344680253861606E-3</v>
      </c>
      <c r="AY211" s="126">
        <f t="shared" si="76"/>
        <v>-4.7215007359371342E-3</v>
      </c>
      <c r="AZ211" s="126">
        <f t="shared" si="76"/>
        <v>-6.0429554305179156E-3</v>
      </c>
      <c r="BA211" s="126">
        <f t="shared" si="76"/>
        <v>-8.3950225256514965E-3</v>
      </c>
      <c r="BB211" s="126">
        <f t="shared" si="76"/>
        <v>-1.1220562881707918E-2</v>
      </c>
      <c r="BC211" s="126">
        <f t="shared" si="76"/>
        <v>-9.2515403547811514E-3</v>
      </c>
      <c r="BD211" s="126">
        <f t="shared" si="76"/>
        <v>-7.7620458237621648E-3</v>
      </c>
      <c r="BE211" s="126">
        <f t="shared" si="76"/>
        <v>-7.580534573197073E-3</v>
      </c>
      <c r="BF211" s="126">
        <f t="shared" si="76"/>
        <v>-8.3396292091458823E-3</v>
      </c>
      <c r="BG211" s="126">
        <f t="shared" si="76"/>
        <v>-6.3434033189694317E-3</v>
      </c>
      <c r="BH211" s="126">
        <f t="shared" si="76"/>
        <v>-3.8919507564962874E-3</v>
      </c>
      <c r="BI211" s="126">
        <f t="shared" si="77"/>
        <v>-9.2414635279247648E-4</v>
      </c>
      <c r="BJ211" s="126">
        <f t="shared" si="77"/>
        <v>-1.0577410161080048E-3</v>
      </c>
    </row>
    <row r="212" spans="1:62">
      <c r="B212" s="36" t="s">
        <v>190</v>
      </c>
      <c r="C212" s="36"/>
      <c r="D212" s="126">
        <f t="shared" ref="D212:T212" si="84">D129</f>
        <v>2.0077438309293871E-2</v>
      </c>
      <c r="E212" s="126">
        <f t="shared" si="84"/>
        <v>2.2361042589851721E-2</v>
      </c>
      <c r="F212" s="126">
        <f t="shared" si="84"/>
        <v>2.2252361041934954E-2</v>
      </c>
      <c r="G212" s="126">
        <f t="shared" si="84"/>
        <v>2.5643526418311247E-2</v>
      </c>
      <c r="H212" s="126">
        <f t="shared" si="84"/>
        <v>2.0814467004795612E-2</v>
      </c>
      <c r="I212" s="126">
        <f t="shared" si="84"/>
        <v>1.7646922630426554E-2</v>
      </c>
      <c r="J212" s="126">
        <f t="shared" si="84"/>
        <v>1.1967735145705705E-2</v>
      </c>
      <c r="K212" s="126">
        <f t="shared" si="84"/>
        <v>1.1685523729186187E-2</v>
      </c>
      <c r="L212" s="126">
        <f t="shared" si="84"/>
        <v>6.0306396259743877E-3</v>
      </c>
      <c r="M212" s="126">
        <f t="shared" si="84"/>
        <v>4.1701130188209756E-3</v>
      </c>
      <c r="N212" s="126">
        <f t="shared" si="84"/>
        <v>-1.188001531859495E-3</v>
      </c>
      <c r="O212" s="126">
        <f t="shared" si="84"/>
        <v>-6.266740027850437E-3</v>
      </c>
      <c r="P212" s="126">
        <f t="shared" si="84"/>
        <v>-1.1651617416874038E-2</v>
      </c>
      <c r="Q212" s="126">
        <f t="shared" si="84"/>
        <v>-1.3107271701325307E-2</v>
      </c>
      <c r="R212" s="126">
        <f t="shared" si="84"/>
        <v>-1.428004997200305E-2</v>
      </c>
      <c r="S212" s="126">
        <f t="shared" si="84"/>
        <v>-1.6914689192805143E-2</v>
      </c>
      <c r="T212" s="126">
        <f t="shared" si="84"/>
        <v>-1.4128876082461939E-2</v>
      </c>
      <c r="U212" s="126">
        <f t="shared" ref="U212" si="85">U129</f>
        <v>-8.3057642841426471E-3</v>
      </c>
      <c r="V212" s="126">
        <f t="shared" si="73"/>
        <v>2.8330562688450023E-4</v>
      </c>
      <c r="W212" s="126">
        <f t="shared" si="73"/>
        <v>-3.6690306639154402E-3</v>
      </c>
      <c r="X212" s="126">
        <f t="shared" si="73"/>
        <v>-1.1519905611638848E-3</v>
      </c>
      <c r="Y212" s="126">
        <f t="shared" si="73"/>
        <v>3.1504239004476187E-3</v>
      </c>
      <c r="Z212" s="126">
        <f t="shared" si="73"/>
        <v>6.4348489972663181E-3</v>
      </c>
      <c r="AA212" s="126">
        <f t="shared" si="73"/>
        <v>1.0354100843251501E-2</v>
      </c>
      <c r="AB212" s="126">
        <f t="shared" si="73"/>
        <v>1.2020331070488943E-2</v>
      </c>
      <c r="AC212" s="126">
        <f t="shared" si="73"/>
        <v>1.2499353434657356E-2</v>
      </c>
      <c r="AD212" s="126">
        <f t="shared" si="73"/>
        <v>1.3576655087019995E-2</v>
      </c>
      <c r="AE212" s="126">
        <f t="shared" si="74"/>
        <v>6.23752740546335E-3</v>
      </c>
      <c r="AF212" s="126">
        <f t="shared" si="74"/>
        <v>3.5086750099686537E-3</v>
      </c>
      <c r="AG212" s="126">
        <f t="shared" si="74"/>
        <v>5.5167058544012271E-3</v>
      </c>
      <c r="AH212" s="126">
        <f t="shared" si="74"/>
        <v>4.1951190760758372E-3</v>
      </c>
      <c r="AI212" s="126">
        <f t="shared" si="74"/>
        <v>1.4323997822314194E-3</v>
      </c>
      <c r="AJ212" s="126">
        <f t="shared" si="74"/>
        <v>2.0728496935855656E-3</v>
      </c>
      <c r="AK212" s="126">
        <f t="shared" si="74"/>
        <v>-2.4587486649879642E-3</v>
      </c>
      <c r="AL212" s="126">
        <f t="shared" si="74"/>
        <v>-2.2392666733899169E-3</v>
      </c>
      <c r="AM212" s="126">
        <f t="shared" si="74"/>
        <v>-1.5217466250734279E-3</v>
      </c>
      <c r="AN212" s="126">
        <f t="shared" si="74"/>
        <v>-6.2165878999397295E-3</v>
      </c>
      <c r="AO212" s="126">
        <f t="shared" si="75"/>
        <v>-5.9646273200251176E-3</v>
      </c>
      <c r="AP212" s="126">
        <f t="shared" si="75"/>
        <v>-9.7640173803189567E-3</v>
      </c>
      <c r="AQ212" s="126">
        <f t="shared" si="75"/>
        <v>-1.3640146150917243E-2</v>
      </c>
      <c r="AR212" s="126">
        <f t="shared" si="75"/>
        <v>-1.3927317207265588E-2</v>
      </c>
      <c r="AS212" s="126">
        <f t="shared" si="75"/>
        <v>-9.8149389143770138E-3</v>
      </c>
      <c r="AT212" s="126">
        <f t="shared" si="75"/>
        <v>-7.2839596153111419E-3</v>
      </c>
      <c r="AU212" s="126">
        <f t="shared" si="75"/>
        <v>-3.2472086521748711E-3</v>
      </c>
      <c r="AV212" s="126">
        <f t="shared" si="75"/>
        <v>5.539080330274615E-4</v>
      </c>
      <c r="AW212" s="126">
        <f t="shared" si="75"/>
        <v>2.9156620255106347E-3</v>
      </c>
      <c r="AX212" s="126">
        <f t="shared" si="75"/>
        <v>8.513651175191983E-3</v>
      </c>
      <c r="AY212" s="126">
        <f t="shared" si="76"/>
        <v>8.5317551090575705E-3</v>
      </c>
      <c r="AZ212" s="126">
        <f t="shared" si="76"/>
        <v>1.2867452741421426E-2</v>
      </c>
      <c r="BA212" s="126">
        <f t="shared" si="76"/>
        <v>1.6590624888882521E-2</v>
      </c>
      <c r="BB212" s="126">
        <f t="shared" si="76"/>
        <v>2.0676015941658799E-2</v>
      </c>
      <c r="BC212" s="126">
        <f t="shared" si="76"/>
        <v>1.6282520373587461E-2</v>
      </c>
      <c r="BD212" s="126">
        <f t="shared" si="76"/>
        <v>1.1989176214699526E-2</v>
      </c>
      <c r="BE212" s="126">
        <f t="shared" si="76"/>
        <v>1.0038178423722011E-2</v>
      </c>
      <c r="BF212" s="126">
        <f t="shared" si="76"/>
        <v>6.9078222127871847E-3</v>
      </c>
      <c r="BG212" s="126">
        <f t="shared" si="76"/>
        <v>2.9804149697012505E-3</v>
      </c>
      <c r="BH212" s="126">
        <f t="shared" si="76"/>
        <v>-2.3309665843671556E-3</v>
      </c>
      <c r="BI212" s="126">
        <f t="shared" si="77"/>
        <v>-4.5983440912540363E-3</v>
      </c>
      <c r="BJ212" s="126">
        <f t="shared" si="77"/>
        <v>-5.8990246967596249E-3</v>
      </c>
    </row>
    <row r="213" spans="1:62">
      <c r="B213" s="36" t="s">
        <v>191</v>
      </c>
      <c r="C213" s="36"/>
      <c r="D213" s="126">
        <f t="shared" ref="D213:T213" si="86">D130</f>
        <v>1.3593149743118538E-2</v>
      </c>
      <c r="E213" s="126">
        <f t="shared" si="86"/>
        <v>4.1411354485907381E-3</v>
      </c>
      <c r="F213" s="126">
        <f t="shared" si="86"/>
        <v>1.2065887258860819E-3</v>
      </c>
      <c r="G213" s="126">
        <f t="shared" si="86"/>
        <v>1.3386162280379921E-3</v>
      </c>
      <c r="H213" s="126">
        <f t="shared" si="86"/>
        <v>2.4375661277771243E-3</v>
      </c>
      <c r="I213" s="126">
        <f t="shared" si="86"/>
        <v>-1.7363620789904832E-2</v>
      </c>
      <c r="J213" s="126">
        <f t="shared" si="86"/>
        <v>-4.2106043852315755E-3</v>
      </c>
      <c r="K213" s="126">
        <f t="shared" si="86"/>
        <v>6.0679895335240541E-3</v>
      </c>
      <c r="L213" s="126">
        <f t="shared" si="86"/>
        <v>1.0901531130486752E-2</v>
      </c>
      <c r="M213" s="126">
        <f t="shared" si="86"/>
        <v>1.8603468598047623E-2</v>
      </c>
      <c r="N213" s="126">
        <f t="shared" si="86"/>
        <v>2.3515113412842625E-2</v>
      </c>
      <c r="O213" s="126">
        <f t="shared" si="86"/>
        <v>2.3497420630999022E-2</v>
      </c>
      <c r="P213" s="126">
        <f t="shared" si="86"/>
        <v>2.5570220583483794E-2</v>
      </c>
      <c r="Q213" s="126">
        <f t="shared" si="86"/>
        <v>2.6862184088371377E-2</v>
      </c>
      <c r="R213" s="126">
        <f t="shared" si="86"/>
        <v>2.2771288989271499E-2</v>
      </c>
      <c r="S213" s="126">
        <f t="shared" si="86"/>
        <v>1.8684261156252102E-2</v>
      </c>
      <c r="T213" s="126">
        <f t="shared" si="86"/>
        <v>1.3883943500270002E-2</v>
      </c>
      <c r="U213" s="126">
        <f t="shared" ref="U213" si="87">U130</f>
        <v>1.1928778786397753E-2</v>
      </c>
      <c r="V213" s="126">
        <f t="shared" si="73"/>
        <v>8.9906298560908926E-3</v>
      </c>
      <c r="W213" s="126">
        <f t="shared" si="73"/>
        <v>6.8833796044174278E-3</v>
      </c>
      <c r="X213" s="126">
        <f t="shared" si="73"/>
        <v>6.0086693174432604E-4</v>
      </c>
      <c r="Y213" s="126">
        <f t="shared" si="73"/>
        <v>-5.3255000128512586E-3</v>
      </c>
      <c r="Z213" s="126">
        <f t="shared" si="73"/>
        <v>-1.1235270265737785E-2</v>
      </c>
      <c r="AA213" s="126">
        <f t="shared" si="73"/>
        <v>-1.3700197732771535E-2</v>
      </c>
      <c r="AB213" s="126">
        <f t="shared" si="73"/>
        <v>-1.4977004623163315E-2</v>
      </c>
      <c r="AC213" s="126">
        <f t="shared" si="73"/>
        <v>-1.666817920972441E-2</v>
      </c>
      <c r="AD213" s="126">
        <f t="shared" si="73"/>
        <v>-1.3869195326930206E-2</v>
      </c>
      <c r="AE213" s="126">
        <f t="shared" si="74"/>
        <v>-7.4602128054843675E-3</v>
      </c>
      <c r="AF213" s="126">
        <f t="shared" si="74"/>
        <v>-9.6099148122286149E-4</v>
      </c>
      <c r="AG213" s="126">
        <f t="shared" si="74"/>
        <v>-3.6174988435249134E-3</v>
      </c>
      <c r="AH213" s="126">
        <f t="shared" si="74"/>
        <v>-1.0687840606675714E-3</v>
      </c>
      <c r="AI213" s="126">
        <f t="shared" si="74"/>
        <v>3.2235525456951741E-3</v>
      </c>
      <c r="AJ213" s="126">
        <f t="shared" si="74"/>
        <v>6.504497595198E-3</v>
      </c>
      <c r="AK213" s="126">
        <f t="shared" si="74"/>
        <v>1.0451452943437634E-2</v>
      </c>
      <c r="AL213" s="126">
        <f t="shared" si="74"/>
        <v>1.2053142852372467E-2</v>
      </c>
      <c r="AM213" s="126">
        <f t="shared" si="74"/>
        <v>1.2479291113026481E-2</v>
      </c>
      <c r="AN213" s="126">
        <f t="shared" si="74"/>
        <v>1.3540849437583491E-2</v>
      </c>
      <c r="AO213" s="126">
        <f t="shared" si="75"/>
        <v>6.3422426422912181E-3</v>
      </c>
      <c r="AP213" s="126">
        <f t="shared" si="75"/>
        <v>3.6910797729572398E-3</v>
      </c>
      <c r="AQ213" s="126">
        <f t="shared" si="75"/>
        <v>5.6764126472670373E-3</v>
      </c>
      <c r="AR213" s="126">
        <f t="shared" si="75"/>
        <v>4.3438644052775643E-3</v>
      </c>
      <c r="AS213" s="126">
        <f t="shared" si="75"/>
        <v>1.5978241857634856E-3</v>
      </c>
      <c r="AT213" s="126">
        <f t="shared" si="75"/>
        <v>2.2244440004386412E-3</v>
      </c>
      <c r="AU213" s="126">
        <f t="shared" si="75"/>
        <v>-2.2384747395215454E-3</v>
      </c>
      <c r="AV213" s="126">
        <f t="shared" si="75"/>
        <v>-2.0141912444628929E-3</v>
      </c>
      <c r="AW213" s="126">
        <f t="shared" si="75"/>
        <v>-1.3205437298082767E-3</v>
      </c>
      <c r="AX213" s="126">
        <f t="shared" si="75"/>
        <v>-5.933466667298104E-3</v>
      </c>
      <c r="AY213" s="126">
        <f t="shared" si="76"/>
        <v>-5.6801384914207942E-3</v>
      </c>
      <c r="AZ213" s="126">
        <f t="shared" si="76"/>
        <v>-9.4173039049849638E-3</v>
      </c>
      <c r="BA213" s="126">
        <f t="shared" si="76"/>
        <v>-1.3209554581090632E-2</v>
      </c>
      <c r="BB213" s="126">
        <f t="shared" si="76"/>
        <v>-1.3497072507383301E-2</v>
      </c>
      <c r="BC213" s="126">
        <f t="shared" si="76"/>
        <v>-9.4352278131719647E-3</v>
      </c>
      <c r="BD213" s="126">
        <f t="shared" si="76"/>
        <v>-6.9181493511604186E-3</v>
      </c>
      <c r="BE213" s="126">
        <f t="shared" si="76"/>
        <v>-2.9483568259548454E-3</v>
      </c>
      <c r="BF213" s="126">
        <f t="shared" si="76"/>
        <v>8.2316872397880658E-4</v>
      </c>
      <c r="BG213" s="126">
        <f t="shared" si="76"/>
        <v>3.1580868365621573E-3</v>
      </c>
      <c r="BH213" s="126">
        <f t="shared" si="76"/>
        <v>8.6668583976783342E-3</v>
      </c>
      <c r="BI213" s="126">
        <f t="shared" si="77"/>
        <v>8.6610306698748918E-3</v>
      </c>
      <c r="BJ213" s="126">
        <f t="shared" si="77"/>
        <v>1.2909471969645203E-2</v>
      </c>
    </row>
    <row r="214" spans="1:62">
      <c r="B214" s="36" t="s">
        <v>192</v>
      </c>
      <c r="C214" s="36"/>
      <c r="D214" s="126">
        <f t="shared" ref="D214:T214" si="88">D131</f>
        <v>3.5833175101607218E-3</v>
      </c>
      <c r="E214" s="126">
        <f t="shared" si="88"/>
        <v>1.6322610462787823E-2</v>
      </c>
      <c r="F214" s="126">
        <f t="shared" si="88"/>
        <v>2.1175490218021897E-2</v>
      </c>
      <c r="G214" s="126">
        <f t="shared" si="88"/>
        <v>1.96798833947045E-2</v>
      </c>
      <c r="H214" s="126">
        <f t="shared" si="88"/>
        <v>1.8409660467832101E-2</v>
      </c>
      <c r="I214" s="126">
        <f t="shared" si="88"/>
        <v>4.6067193170522325E-2</v>
      </c>
      <c r="J214" s="126">
        <f t="shared" si="88"/>
        <v>3.5467038909966053E-2</v>
      </c>
      <c r="K214" s="126">
        <f t="shared" si="88"/>
        <v>2.5279250475535253E-2</v>
      </c>
      <c r="L214" s="126">
        <f t="shared" si="88"/>
        <v>2.2305664243997159E-2</v>
      </c>
      <c r="M214" s="126">
        <f t="shared" si="88"/>
        <v>2.2486106396339967E-2</v>
      </c>
      <c r="N214" s="126">
        <f t="shared" si="88"/>
        <v>1.4867364195002342E-2</v>
      </c>
      <c r="O214" s="126">
        <f t="shared" si="88"/>
        <v>9.0645037313836774E-3</v>
      </c>
      <c r="P214" s="126">
        <f t="shared" si="88"/>
        <v>5.4326282058942965E-3</v>
      </c>
      <c r="Q214" s="126">
        <f t="shared" si="88"/>
        <v>5.5122837807366487E-3</v>
      </c>
      <c r="R214" s="126">
        <f t="shared" si="88"/>
        <v>6.9525500113478689E-3</v>
      </c>
      <c r="S214" s="126">
        <f t="shared" si="88"/>
        <v>-1.5002780466568333E-2</v>
      </c>
      <c r="T214" s="126">
        <f t="shared" si="88"/>
        <v>-1.1235082741898328E-3</v>
      </c>
      <c r="U214" s="126">
        <f t="shared" ref="U214" si="89">U131</f>
        <v>7.091909669851626E-3</v>
      </c>
      <c r="V214" s="126">
        <f t="shared" si="73"/>
        <v>1.5075716225993574E-2</v>
      </c>
      <c r="W214" s="126">
        <f t="shared" si="73"/>
        <v>2.0562383506476101E-2</v>
      </c>
      <c r="X214" s="126">
        <f t="shared" si="73"/>
        <v>2.5111677433193869E-2</v>
      </c>
      <c r="Y214" s="126">
        <f t="shared" si="73"/>
        <v>2.4885392653177352E-2</v>
      </c>
      <c r="Z214" s="126">
        <f t="shared" si="73"/>
        <v>2.58646119406305E-2</v>
      </c>
      <c r="AA214" s="126">
        <f t="shared" si="73"/>
        <v>2.6578238770477602E-2</v>
      </c>
      <c r="AB214" s="126">
        <f t="shared" si="73"/>
        <v>2.2559747095055593E-2</v>
      </c>
      <c r="AC214" s="126">
        <f t="shared" si="73"/>
        <v>1.920742391908159E-2</v>
      </c>
      <c r="AD214" s="126">
        <f t="shared" si="73"/>
        <v>1.4253841005521295E-2</v>
      </c>
      <c r="AE214" s="126">
        <f t="shared" si="74"/>
        <v>1.2519912232522579E-2</v>
      </c>
      <c r="AF214" s="126">
        <f t="shared" si="74"/>
        <v>8.2353079135191187E-3</v>
      </c>
      <c r="AG214" s="126">
        <f t="shared" si="74"/>
        <v>7.1122468764364122E-3</v>
      </c>
      <c r="AH214" s="126">
        <f t="shared" si="74"/>
        <v>9.4589602453276633E-4</v>
      </c>
      <c r="AI214" s="126">
        <f t="shared" si="74"/>
        <v>-4.8835517638433634E-3</v>
      </c>
      <c r="AJ214" s="126">
        <f t="shared" si="74"/>
        <v>-1.066182744137012E-2</v>
      </c>
      <c r="AK214" s="126">
        <f t="shared" si="74"/>
        <v>-1.3001174542470961E-2</v>
      </c>
      <c r="AL214" s="126">
        <f t="shared" si="74"/>
        <v>-1.4261310546452299E-2</v>
      </c>
      <c r="AM214" s="126">
        <f t="shared" si="74"/>
        <v>-1.5899621434885769E-2</v>
      </c>
      <c r="AN214" s="126">
        <f t="shared" si="74"/>
        <v>-1.3078505303805277E-2</v>
      </c>
      <c r="AO214" s="126">
        <f t="shared" si="75"/>
        <v>-6.5610534571121093E-3</v>
      </c>
      <c r="AP214" s="126">
        <f t="shared" si="75"/>
        <v>-8.9591810897293733E-5</v>
      </c>
      <c r="AQ214" s="126">
        <f t="shared" si="75"/>
        <v>-2.646426699694282E-3</v>
      </c>
      <c r="AR214" s="126">
        <f t="shared" si="75"/>
        <v>-1.9175170187002433E-4</v>
      </c>
      <c r="AS214" s="126">
        <f t="shared" si="75"/>
        <v>3.9471306042706544E-3</v>
      </c>
      <c r="AT214" s="126">
        <f t="shared" si="75"/>
        <v>7.0500805147071244E-3</v>
      </c>
      <c r="AU214" s="126">
        <f t="shared" si="75"/>
        <v>1.0912534648488625E-2</v>
      </c>
      <c r="AV214" s="126">
        <f t="shared" si="75"/>
        <v>1.2401285931171513E-2</v>
      </c>
      <c r="AW214" s="126">
        <f t="shared" si="75"/>
        <v>1.2714463052279967E-2</v>
      </c>
      <c r="AX214" s="126">
        <f t="shared" si="75"/>
        <v>1.3778507311037469E-2</v>
      </c>
      <c r="AY214" s="126">
        <f t="shared" si="76"/>
        <v>6.733500179080032E-3</v>
      </c>
      <c r="AZ214" s="126">
        <f t="shared" si="76"/>
        <v>4.1886052747419633E-3</v>
      </c>
      <c r="BA214" s="126">
        <f t="shared" si="76"/>
        <v>6.1633645474592491E-3</v>
      </c>
      <c r="BB214" s="126">
        <f t="shared" si="76"/>
        <v>4.7701948769036662E-3</v>
      </c>
      <c r="BC214" s="126">
        <f t="shared" si="76"/>
        <v>1.9958614806196984E-3</v>
      </c>
      <c r="BD214" s="126">
        <f t="shared" si="76"/>
        <v>2.5925253433671802E-3</v>
      </c>
      <c r="BE214" s="126">
        <f t="shared" si="76"/>
        <v>-1.8110339369662443E-3</v>
      </c>
      <c r="BF214" s="126">
        <f t="shared" si="76"/>
        <v>-1.581475267886101E-3</v>
      </c>
      <c r="BG214" s="126">
        <f t="shared" si="76"/>
        <v>-9.2689068422013854E-4</v>
      </c>
      <c r="BH214" s="126">
        <f t="shared" si="76"/>
        <v>-5.4563671700527117E-3</v>
      </c>
      <c r="BI214" s="126">
        <f t="shared" si="77"/>
        <v>-5.2063139120208657E-3</v>
      </c>
      <c r="BJ214" s="126">
        <f t="shared" si="77"/>
        <v>-8.8879377615409538E-3</v>
      </c>
    </row>
    <row r="215" spans="1:62">
      <c r="B215" s="36" t="s">
        <v>193</v>
      </c>
      <c r="C215" s="36"/>
      <c r="D215" s="126">
        <f t="shared" ref="D215:T215" si="90">D132</f>
        <v>-6.1701714266971797E-3</v>
      </c>
      <c r="E215" s="126">
        <f t="shared" si="90"/>
        <v>-4.0207717498831341E-3</v>
      </c>
      <c r="F215" s="126">
        <f t="shared" si="90"/>
        <v>-3.1602976307315567E-3</v>
      </c>
      <c r="G215" s="126">
        <f t="shared" si="90"/>
        <v>2.2761826501358495E-3</v>
      </c>
      <c r="H215" s="126">
        <f t="shared" si="90"/>
        <v>4.0833270796145626E-3</v>
      </c>
      <c r="I215" s="126">
        <f t="shared" si="90"/>
        <v>7.9811645412579679E-3</v>
      </c>
      <c r="J215" s="126">
        <f t="shared" si="90"/>
        <v>1.2014141929721944E-2</v>
      </c>
      <c r="K215" s="126">
        <f t="shared" si="90"/>
        <v>1.0679479773941125E-2</v>
      </c>
      <c r="L215" s="126">
        <f t="shared" si="90"/>
        <v>8.0187819889914191E-3</v>
      </c>
      <c r="M215" s="126">
        <f t="shared" si="90"/>
        <v>6.5990830776074816E-5</v>
      </c>
      <c r="N215" s="126">
        <f t="shared" si="90"/>
        <v>1.1753942085959146E-2</v>
      </c>
      <c r="O215" s="126">
        <f t="shared" si="90"/>
        <v>2.4683730140877547E-2</v>
      </c>
      <c r="P215" s="126">
        <f t="shared" si="90"/>
        <v>3.1985987912444225E-2</v>
      </c>
      <c r="Q215" s="126">
        <f t="shared" si="90"/>
        <v>2.5294219823430275E-2</v>
      </c>
      <c r="R215" s="126">
        <f t="shared" si="90"/>
        <v>2.5654529705012363E-2</v>
      </c>
      <c r="S215" s="126">
        <f t="shared" si="90"/>
        <v>5.7601317586451595E-2</v>
      </c>
      <c r="T215" s="126">
        <f t="shared" si="90"/>
        <v>3.847277756337486E-2</v>
      </c>
      <c r="U215" s="126">
        <f t="shared" ref="U215" si="91">U132</f>
        <v>2.8789915094532992E-2</v>
      </c>
      <c r="V215" s="126">
        <f t="shared" si="73"/>
        <v>2.4751208259639945E-2</v>
      </c>
      <c r="W215" s="126">
        <f t="shared" si="73"/>
        <v>2.3818039802035784E-2</v>
      </c>
      <c r="X215" s="126">
        <f t="shared" si="73"/>
        <v>1.5307624612230786E-2</v>
      </c>
      <c r="Y215" s="126">
        <f t="shared" si="73"/>
        <v>9.9995107248709303E-3</v>
      </c>
      <c r="Z215" s="126">
        <f t="shared" si="73"/>
        <v>5.9441265885302741E-3</v>
      </c>
      <c r="AA215" s="126">
        <f t="shared" si="73"/>
        <v>5.6347435657253531E-3</v>
      </c>
      <c r="AB215" s="126">
        <f t="shared" si="73"/>
        <v>7.3274933225828676E-3</v>
      </c>
      <c r="AC215" s="126">
        <f t="shared" si="73"/>
        <v>-1.1376625615273417E-2</v>
      </c>
      <c r="AD215" s="126">
        <f t="shared" si="73"/>
        <v>2.0598679166874412E-3</v>
      </c>
      <c r="AE215" s="126">
        <f t="shared" si="74"/>
        <v>1.0180048377028683E-2</v>
      </c>
      <c r="AF215" s="126">
        <f t="shared" si="74"/>
        <v>1.5364229663419771E-2</v>
      </c>
      <c r="AG215" s="126">
        <f t="shared" si="74"/>
        <v>2.2143901507601926E-2</v>
      </c>
      <c r="AH215" s="126">
        <f t="shared" si="74"/>
        <v>2.6558500856251666E-2</v>
      </c>
      <c r="AI215" s="126">
        <f t="shared" si="74"/>
        <v>2.6414774250366424E-2</v>
      </c>
      <c r="AJ215" s="126">
        <f t="shared" si="74"/>
        <v>2.7324588014835838E-2</v>
      </c>
      <c r="AK215" s="126">
        <f t="shared" si="74"/>
        <v>2.7773685935719161E-2</v>
      </c>
      <c r="AL215" s="126">
        <f t="shared" si="74"/>
        <v>2.367063802985947E-2</v>
      </c>
      <c r="AM215" s="126">
        <f t="shared" si="74"/>
        <v>2.0265394441070672E-2</v>
      </c>
      <c r="AN215" s="126">
        <f t="shared" si="74"/>
        <v>1.5277415263804217E-2</v>
      </c>
      <c r="AO215" s="126">
        <f t="shared" si="75"/>
        <v>1.347900921348999E-2</v>
      </c>
      <c r="AP215" s="126">
        <f t="shared" si="75"/>
        <v>9.0671428275748145E-3</v>
      </c>
      <c r="AQ215" s="126">
        <f t="shared" si="75"/>
        <v>8.2196411747315068E-3</v>
      </c>
      <c r="AR215" s="126">
        <f t="shared" si="75"/>
        <v>2.0665708079665723E-3</v>
      </c>
      <c r="AS215" s="126">
        <f t="shared" si="75"/>
        <v>-3.8000827365969325E-3</v>
      </c>
      <c r="AT215" s="126">
        <f t="shared" si="75"/>
        <v>-9.5313894418892486E-3</v>
      </c>
      <c r="AU215" s="126">
        <f t="shared" si="75"/>
        <v>-1.1778958986134236E-2</v>
      </c>
      <c r="AV215" s="126">
        <f t="shared" si="75"/>
        <v>-1.3022104906055931E-2</v>
      </c>
      <c r="AW215" s="126">
        <f t="shared" si="75"/>
        <v>-1.4571664412190821E-2</v>
      </c>
      <c r="AX215" s="126">
        <f t="shared" si="75"/>
        <v>-1.1656417919048478E-2</v>
      </c>
      <c r="AY215" s="126">
        <f t="shared" si="76"/>
        <v>-4.7239411277656407E-3</v>
      </c>
      <c r="AZ215" s="126">
        <f t="shared" si="76"/>
        <v>1.8326988159129698E-3</v>
      </c>
      <c r="BA215" s="126">
        <f t="shared" si="76"/>
        <v>-4.8592007782544133E-4</v>
      </c>
      <c r="BB215" s="126">
        <f t="shared" si="76"/>
        <v>1.8063770961711523E-3</v>
      </c>
      <c r="BC215" s="126">
        <f t="shared" si="76"/>
        <v>5.6837264914602059E-3</v>
      </c>
      <c r="BD215" s="126">
        <f t="shared" si="76"/>
        <v>8.433126602003016E-3</v>
      </c>
      <c r="BE215" s="126">
        <f t="shared" si="76"/>
        <v>1.2179037855848618E-2</v>
      </c>
      <c r="BF215" s="126">
        <f t="shared" si="76"/>
        <v>1.3426254993013753E-2</v>
      </c>
      <c r="BG215" s="126">
        <f t="shared" si="76"/>
        <v>1.3469624235695976E-2</v>
      </c>
      <c r="BH215" s="126">
        <f t="shared" si="76"/>
        <v>1.4554637949648397E-2</v>
      </c>
      <c r="BI215" s="126">
        <f t="shared" si="77"/>
        <v>7.7627014274166406E-3</v>
      </c>
      <c r="BJ215" s="126">
        <f t="shared" si="77"/>
        <v>5.425506721354445E-3</v>
      </c>
    </row>
    <row r="216" spans="1:62">
      <c r="B216" s="36" t="s">
        <v>194</v>
      </c>
      <c r="C216" s="36"/>
      <c r="D216" s="126">
        <f t="shared" ref="D216:T216" si="92">D133</f>
        <v>2.4803213235361055E-2</v>
      </c>
      <c r="E216" s="126">
        <f t="shared" si="92"/>
        <v>1.3940339301550253E-2</v>
      </c>
      <c r="F216" s="126">
        <f t="shared" si="92"/>
        <v>1.0433638695211966E-2</v>
      </c>
      <c r="G216" s="126">
        <f t="shared" si="92"/>
        <v>1.1486353180427678E-2</v>
      </c>
      <c r="H216" s="126">
        <f t="shared" si="92"/>
        <v>1.805039642818107E-2</v>
      </c>
      <c r="I216" s="126">
        <f t="shared" si="92"/>
        <v>1.9159417406330759E-2</v>
      </c>
      <c r="J216" s="126">
        <f t="shared" si="92"/>
        <v>2.0830482029945419E-2</v>
      </c>
      <c r="K216" s="126">
        <f t="shared" si="92"/>
        <v>1.0738739905554073E-2</v>
      </c>
      <c r="L216" s="126">
        <f t="shared" si="92"/>
        <v>1.2176845823022031E-2</v>
      </c>
      <c r="M216" s="126">
        <f t="shared" si="92"/>
        <v>1.1184218659980649E-2</v>
      </c>
      <c r="N216" s="126">
        <f t="shared" si="92"/>
        <v>1.2273377051778001E-2</v>
      </c>
      <c r="O216" s="126">
        <f t="shared" si="92"/>
        <v>8.634454623940746E-3</v>
      </c>
      <c r="P216" s="126">
        <f t="shared" si="92"/>
        <v>1.5209422340841883E-2</v>
      </c>
      <c r="Q216" s="126">
        <f t="shared" si="92"/>
        <v>1.2809322321785777E-2</v>
      </c>
      <c r="R216" s="126">
        <f t="shared" si="92"/>
        <v>1.8160634783690233E-2</v>
      </c>
      <c r="S216" s="126">
        <f t="shared" si="92"/>
        <v>1.8787017782261772E-2</v>
      </c>
      <c r="T216" s="126">
        <f t="shared" si="92"/>
        <v>1.9217969825739534E-2</v>
      </c>
      <c r="U216" s="126">
        <f t="shared" ref="U216" si="93">U133</f>
        <v>2.2134359833933859E-2</v>
      </c>
      <c r="V216" s="126">
        <f t="shared" ref="V216:V217" si="94">D197</f>
        <v>1.3985483411368183E-2</v>
      </c>
      <c r="W216" s="126">
        <f t="shared" ref="W216:W217" si="95">E197</f>
        <v>4.5239788736435305E-3</v>
      </c>
      <c r="X216" s="126">
        <f t="shared" ref="X216:X217" si="96">F197</f>
        <v>1.6681663163721883E-2</v>
      </c>
      <c r="Y216" s="126">
        <f t="shared" ref="Y216:Y217" si="97">G197</f>
        <v>3.1080402083266456E-2</v>
      </c>
      <c r="Z216" s="126">
        <f t="shared" ref="Z216:Z217" si="98">H197</f>
        <v>3.7640147768334575E-2</v>
      </c>
      <c r="AA216" s="126">
        <f t="shared" ref="AA216:AA217" si="99">I197</f>
        <v>3.1200208242626148E-2</v>
      </c>
      <c r="AB216" s="126">
        <f t="shared" ref="AB216:AB217" si="100">J197</f>
        <v>3.0928216262065877E-2</v>
      </c>
      <c r="AC216" s="126">
        <f t="shared" ref="AC216:AC217" si="101">K197</f>
        <v>6.9301165273545129E-2</v>
      </c>
      <c r="AD216" s="126">
        <f t="shared" ref="AD216:AD217" si="102">L197</f>
        <v>4.5387411815725809E-2</v>
      </c>
      <c r="AE216" s="126">
        <f t="shared" ref="AE216:AE217" si="103">M197</f>
        <v>3.158454107545583E-2</v>
      </c>
      <c r="AF216" s="126">
        <f t="shared" ref="AF216:AF217" si="104">N197</f>
        <v>2.4896140445984205E-2</v>
      </c>
      <c r="AG216" s="126">
        <f t="shared" ref="AG216:AG217" si="105">O197</f>
        <v>2.147479412143638E-2</v>
      </c>
      <c r="AH216" s="126">
        <f t="shared" ref="AH216:AH217" si="106">P197</f>
        <v>1.3659217470604279E-2</v>
      </c>
      <c r="AI216" s="126">
        <f t="shared" ref="AI216:AI217" si="107">Q197</f>
        <v>1.0387362172295855E-2</v>
      </c>
      <c r="AJ216" s="126">
        <f t="shared" ref="AJ216:AJ217" si="108">R197</f>
        <v>7.5758921276791735E-3</v>
      </c>
      <c r="AK216" s="126">
        <f t="shared" ref="AK216:AK217" si="109">S197</f>
        <v>6.6169987798965213E-3</v>
      </c>
      <c r="AL216" s="126">
        <f t="shared" ref="AL216:AL217" si="110">T197</f>
        <v>9.2253173364400531E-3</v>
      </c>
      <c r="AM216" s="126">
        <f t="shared" ref="AM216:AM217" si="111">U197</f>
        <v>-1.898239443645755E-3</v>
      </c>
      <c r="AN216" s="126">
        <f t="shared" ref="AN216:AN217" si="112">V197</f>
        <v>1.0311536525856146E-2</v>
      </c>
      <c r="AO216" s="126">
        <f t="shared" ref="AO216:AO217" si="113">W197</f>
        <v>1.7120614310549565E-2</v>
      </c>
      <c r="AP216" s="126">
        <f t="shared" ref="AP216:AP217" si="114">X197</f>
        <v>2.1480743177040962E-2</v>
      </c>
      <c r="AQ216" s="126">
        <f t="shared" ref="AQ216:AQ217" si="115">Y197</f>
        <v>2.7776198296921129E-2</v>
      </c>
      <c r="AR216" s="126">
        <f t="shared" ref="AR216:AR217" si="116">Z197</f>
        <v>3.1649701797700436E-2</v>
      </c>
      <c r="AS216" s="126">
        <f t="shared" ref="AS216:AS217" si="117">AA197</f>
        <v>3.1420400143075566E-2</v>
      </c>
      <c r="AT216" s="126">
        <f t="shared" ref="AT216:AT217" si="118">AB197</f>
        <v>3.184989886477152E-2</v>
      </c>
      <c r="AU216" s="126">
        <f t="shared" ref="AU216:AU217" si="119">AC197</f>
        <v>3.1201659796507686E-2</v>
      </c>
      <c r="AV216" s="126">
        <f t="shared" ref="AV216:AV217" si="120">AD197</f>
        <v>2.6648743491997084E-2</v>
      </c>
      <c r="AW216" s="126">
        <f t="shared" ref="AW216:AW217" si="121">AE197</f>
        <v>2.2990834811266625E-2</v>
      </c>
      <c r="AX216" s="126">
        <f t="shared" ref="AX216:AX217" si="122">AF197</f>
        <v>1.7760319702016192E-2</v>
      </c>
      <c r="AY216" s="126">
        <f t="shared" ref="AY216:AY217" si="123">AG197</f>
        <v>1.5764961578994985E-2</v>
      </c>
      <c r="AZ216" s="126">
        <f t="shared" ref="AZ216:AZ217" si="124">AH197</f>
        <v>1.0886767308238454E-2</v>
      </c>
      <c r="BA216" s="126">
        <f t="shared" ref="BA216:BA217" si="125">AI197</f>
        <v>1.0954950064100188E-2</v>
      </c>
      <c r="BB216" s="126">
        <f t="shared" ref="BB216:BB217" si="126">AJ197</f>
        <v>4.7299790372528072E-3</v>
      </c>
      <c r="BC216" s="126">
        <f t="shared" ref="BC216:BC217" si="127">AK197</f>
        <v>-1.3559724490568303E-3</v>
      </c>
      <c r="BD216" s="126">
        <f t="shared" ref="BD216:BD217" si="128">AL197</f>
        <v>-7.069664381628038E-3</v>
      </c>
      <c r="BE216" s="126">
        <f t="shared" ref="BE216:BE217" si="129">AM197</f>
        <v>-9.0264919718143766E-3</v>
      </c>
      <c r="BF216" s="126">
        <f t="shared" ref="BF216:BF217" si="130">AN197</f>
        <v>-1.0206512056533001E-2</v>
      </c>
      <c r="BG216" s="126">
        <f t="shared" ref="BG216:BG217" si="131">AO197</f>
        <v>-1.1508165599803277E-2</v>
      </c>
      <c r="BH216" s="126">
        <f t="shared" ref="BH216:BH217" si="132">AP197</f>
        <v>-8.1319741166646642E-3</v>
      </c>
      <c r="BI216" s="126">
        <f t="shared" ref="BI216:BI217" si="133">AQ197</f>
        <v>3.8131677227082328E-4</v>
      </c>
      <c r="BJ216" s="126">
        <f t="shared" ref="BJ216:BJ217" si="134">AR197</f>
        <v>7.412880917719411E-3</v>
      </c>
    </row>
    <row r="217" spans="1:62">
      <c r="B217" s="36" t="s">
        <v>41</v>
      </c>
      <c r="C217" s="36"/>
      <c r="D217" s="126">
        <f t="shared" ref="D217:T217" si="135">D134</f>
        <v>3.1210324206796036E-2</v>
      </c>
      <c r="E217" s="126">
        <f t="shared" si="135"/>
        <v>2.7355613905593934E-2</v>
      </c>
      <c r="F217" s="126">
        <f t="shared" si="135"/>
        <v>2.3844647615682391E-2</v>
      </c>
      <c r="G217" s="126">
        <f t="shared" si="135"/>
        <v>2.225398532697942E-2</v>
      </c>
      <c r="H217" s="126">
        <f t="shared" si="135"/>
        <v>4.8558029095431277E-3</v>
      </c>
      <c r="I217" s="126">
        <f t="shared" si="135"/>
        <v>1.1142934735439702E-3</v>
      </c>
      <c r="J217" s="126">
        <f t="shared" si="135"/>
        <v>-2.8598196182619051E-2</v>
      </c>
      <c r="K217" s="126">
        <f t="shared" si="135"/>
        <v>3.6761297714978269E-2</v>
      </c>
      <c r="L217" s="126">
        <f t="shared" si="135"/>
        <v>7.2615087276948209E-2</v>
      </c>
      <c r="M217" s="126">
        <f t="shared" si="135"/>
        <v>7.2866507191897911E-2</v>
      </c>
      <c r="N217" s="126">
        <f t="shared" si="135"/>
        <v>5.7109557109557008E-2</v>
      </c>
      <c r="O217" s="126">
        <f t="shared" si="135"/>
        <v>2.8150045311255312E-2</v>
      </c>
      <c r="P217" s="126">
        <f t="shared" si="135"/>
        <v>4.4385930246240601E-2</v>
      </c>
      <c r="Q217" s="126">
        <f t="shared" si="135"/>
        <v>9.7001519966837257E-3</v>
      </c>
      <c r="R217" s="126">
        <f t="shared" si="135"/>
        <v>2.7113405534688662E-2</v>
      </c>
      <c r="S217" s="126">
        <f t="shared" si="135"/>
        <v>1.516462162239729E-2</v>
      </c>
      <c r="T217" s="126">
        <f t="shared" si="135"/>
        <v>8.141441390506543E-3</v>
      </c>
      <c r="U217" s="126">
        <f t="shared" ref="U217" si="136">U134</f>
        <v>3.6046194890201111E-2</v>
      </c>
      <c r="V217" s="126">
        <f t="shared" si="94"/>
        <v>1.276308641665036E-2</v>
      </c>
      <c r="W217" s="126">
        <f t="shared" si="95"/>
        <v>2.1919350990217135E-2</v>
      </c>
      <c r="X217" s="126">
        <f t="shared" si="96"/>
        <v>1.8643599236398911E-2</v>
      </c>
      <c r="Y217" s="126">
        <f t="shared" si="97"/>
        <v>1.3514529494498051E-2</v>
      </c>
      <c r="Z217" s="126">
        <f t="shared" si="98"/>
        <v>1.4859537297203129E-2</v>
      </c>
      <c r="AA217" s="126">
        <f t="shared" si="99"/>
        <v>2.3612908746670769E-2</v>
      </c>
      <c r="AB217" s="126">
        <f t="shared" si="100"/>
        <v>2.6112611835929167E-2</v>
      </c>
      <c r="AC217" s="126">
        <f t="shared" si="101"/>
        <v>2.8469346187792732E-2</v>
      </c>
      <c r="AD217" s="126">
        <f t="shared" si="102"/>
        <v>3.0729470089927435E-2</v>
      </c>
      <c r="AE217" s="126">
        <f t="shared" si="103"/>
        <v>2.8170547575625982E-2</v>
      </c>
      <c r="AF217" s="126">
        <f t="shared" si="104"/>
        <v>2.1778502430129132E-2</v>
      </c>
      <c r="AG217" s="126">
        <f t="shared" si="105"/>
        <v>6.9482969890202195E-3</v>
      </c>
      <c r="AH217" s="126">
        <f t="shared" si="106"/>
        <v>2.6087838338951119E-2</v>
      </c>
      <c r="AI217" s="126">
        <f t="shared" si="107"/>
        <v>4.6263093223901652E-2</v>
      </c>
      <c r="AJ217" s="126">
        <f t="shared" si="108"/>
        <v>5.434025574870649E-2</v>
      </c>
      <c r="AK217" s="126">
        <f t="shared" si="109"/>
        <v>4.4239823596979644E-2</v>
      </c>
      <c r="AL217" s="126">
        <f t="shared" si="110"/>
        <v>4.2612723247156925E-2</v>
      </c>
      <c r="AM217" s="126">
        <f t="shared" si="111"/>
        <v>0.10012110135913543</v>
      </c>
      <c r="AN217" s="126">
        <f t="shared" si="112"/>
        <v>5.7348790682719253E-2</v>
      </c>
      <c r="AO217" s="126">
        <f t="shared" si="113"/>
        <v>3.3488195295012124E-2</v>
      </c>
      <c r="AP217" s="126">
        <f t="shared" si="114"/>
        <v>2.1672544636471613E-2</v>
      </c>
      <c r="AQ217" s="126">
        <f t="shared" si="115"/>
        <v>1.3288880400076586E-2</v>
      </c>
      <c r="AR217" s="126">
        <f t="shared" si="116"/>
        <v>9.6871798819300192E-3</v>
      </c>
      <c r="AS217" s="126">
        <f t="shared" si="117"/>
        <v>1.4058061955950274E-2</v>
      </c>
      <c r="AT217" s="126">
        <f t="shared" si="118"/>
        <v>1.5755226280172119E-2</v>
      </c>
      <c r="AU217" s="126">
        <f t="shared" si="119"/>
        <v>1.4226027975704492E-2</v>
      </c>
      <c r="AV217" s="126">
        <f t="shared" si="120"/>
        <v>2.1018211417103583E-2</v>
      </c>
      <c r="AW217" s="126">
        <f t="shared" si="121"/>
        <v>2.7321543113717484E-2</v>
      </c>
      <c r="AX217" s="126">
        <f t="shared" si="122"/>
        <v>3.3338209427035137E-2</v>
      </c>
      <c r="AY217" s="126">
        <f t="shared" si="123"/>
        <v>3.4829761448503582E-2</v>
      </c>
      <c r="AZ217" s="126">
        <f t="shared" si="124"/>
        <v>3.6282512624683072E-2</v>
      </c>
      <c r="BA217" s="126">
        <f t="shared" si="125"/>
        <v>4.1382424603912504E-2</v>
      </c>
      <c r="BB217" s="126">
        <f t="shared" si="126"/>
        <v>4.4125990338164334E-2</v>
      </c>
      <c r="BC217" s="126">
        <f t="shared" si="127"/>
        <v>4.3592940086080167E-2</v>
      </c>
      <c r="BD217" s="126">
        <f t="shared" si="128"/>
        <v>4.2863679086346362E-2</v>
      </c>
      <c r="BE217" s="126">
        <f t="shared" si="129"/>
        <v>3.9456491203964994E-2</v>
      </c>
      <c r="BF217" s="126">
        <f t="shared" si="130"/>
        <v>3.3853174868043512E-2</v>
      </c>
      <c r="BG217" s="126">
        <f t="shared" si="131"/>
        <v>2.9853958279400183E-2</v>
      </c>
      <c r="BH217" s="126">
        <f t="shared" si="132"/>
        <v>2.4119622115267081E-2</v>
      </c>
      <c r="BI217" s="126">
        <f t="shared" si="133"/>
        <v>2.2128655026912858E-2</v>
      </c>
      <c r="BJ217" s="126">
        <f t="shared" si="134"/>
        <v>1.6282540715159E-2</v>
      </c>
    </row>
    <row r="220" spans="1:62" s="588" customFormat="1" ht="21">
      <c r="A220" s="592" t="s">
        <v>3028</v>
      </c>
    </row>
    <row r="221" spans="1:62">
      <c r="A221" s="152" t="s">
        <v>3286</v>
      </c>
    </row>
    <row r="222" spans="1:62" ht="21">
      <c r="A222" s="37"/>
    </row>
    <row r="223" spans="1:62" ht="21">
      <c r="A223" s="37" t="s">
        <v>10</v>
      </c>
      <c r="B223" s="9" t="s">
        <v>3684</v>
      </c>
    </row>
    <row r="224" spans="1:62">
      <c r="B224" s="152" t="s">
        <v>201</v>
      </c>
    </row>
    <row r="225" spans="1:5">
      <c r="B225" s="152" t="s">
        <v>200</v>
      </c>
    </row>
    <row r="226" spans="1:5">
      <c r="A226" s="29"/>
    </row>
    <row r="227" spans="1:5">
      <c r="A227" s="29"/>
    </row>
    <row r="228" spans="1:5" ht="58">
      <c r="C228" s="32" t="s">
        <v>198</v>
      </c>
      <c r="D228" s="32" t="s">
        <v>3685</v>
      </c>
    </row>
    <row r="229" spans="1:5">
      <c r="B229" s="36" t="s">
        <v>186</v>
      </c>
      <c r="C229" s="130">
        <f>Epidemiology!C148</f>
        <v>3.0000000000000001E-3</v>
      </c>
      <c r="D229" s="123"/>
    </row>
    <row r="230" spans="1:5">
      <c r="B230" s="36" t="s">
        <v>187</v>
      </c>
      <c r="C230" s="130">
        <f>Epidemiology!C149</f>
        <v>1.7999999999999999E-2</v>
      </c>
      <c r="D230" s="123"/>
    </row>
    <row r="231" spans="1:5">
      <c r="B231" s="36" t="s">
        <v>188</v>
      </c>
      <c r="C231" s="130">
        <f>Epidemiology!C150</f>
        <v>2.7E-2</v>
      </c>
      <c r="D231" s="126">
        <f>C231/SUM($C$231:$C$239)</f>
        <v>2.8125000000000004E-2</v>
      </c>
      <c r="E231" s="152" t="s">
        <v>3686</v>
      </c>
    </row>
    <row r="232" spans="1:5">
      <c r="B232" s="36" t="s">
        <v>189</v>
      </c>
      <c r="C232" s="130">
        <f>Epidemiology!C151</f>
        <v>4.4999999999999998E-2</v>
      </c>
      <c r="D232" s="126">
        <f t="shared" ref="D232:D237" si="137">C232/SUM($C$231:$C$239)</f>
        <v>4.6875000000000007E-2</v>
      </c>
    </row>
    <row r="233" spans="1:5">
      <c r="B233" s="36" t="s">
        <v>190</v>
      </c>
      <c r="C233" s="130">
        <f>Epidemiology!C152</f>
        <v>5.5E-2</v>
      </c>
      <c r="D233" s="126">
        <f t="shared" si="137"/>
        <v>5.7291666666666678E-2</v>
      </c>
    </row>
    <row r="234" spans="1:5">
      <c r="B234" s="36" t="s">
        <v>191</v>
      </c>
      <c r="C234" s="130">
        <f>Epidemiology!C153</f>
        <v>0.09</v>
      </c>
      <c r="D234" s="126">
        <f t="shared" si="137"/>
        <v>9.3750000000000014E-2</v>
      </c>
    </row>
    <row r="235" spans="1:5">
      <c r="B235" s="36" t="s">
        <v>192</v>
      </c>
      <c r="C235" s="130">
        <f>Epidemiology!C154</f>
        <v>0.124</v>
      </c>
      <c r="D235" s="126">
        <f t="shared" si="137"/>
        <v>0.12916666666666668</v>
      </c>
    </row>
    <row r="236" spans="1:5">
      <c r="B236" s="36" t="s">
        <v>193</v>
      </c>
      <c r="C236" s="130">
        <f>Epidemiology!C155</f>
        <v>0.23200000000000001</v>
      </c>
      <c r="D236" s="126">
        <f t="shared" si="137"/>
        <v>0.24166666666666672</v>
      </c>
    </row>
    <row r="237" spans="1:5">
      <c r="B237" s="36" t="s">
        <v>194</v>
      </c>
      <c r="C237" s="130">
        <f>Epidemiology!C156</f>
        <v>0.28299999999999997</v>
      </c>
      <c r="D237" s="126">
        <f t="shared" si="137"/>
        <v>0.29479166666666667</v>
      </c>
    </row>
    <row r="238" spans="1:5">
      <c r="B238" s="36" t="s">
        <v>195</v>
      </c>
      <c r="C238" s="130">
        <f>Epidemiology!C157</f>
        <v>0.1</v>
      </c>
      <c r="D238" s="126">
        <f>(C238+C239)/SUM($C$231:$C$239)</f>
        <v>0.10833333333333336</v>
      </c>
      <c r="E238" s="152" t="s">
        <v>204</v>
      </c>
    </row>
    <row r="239" spans="1:5">
      <c r="B239" s="36" t="s">
        <v>196</v>
      </c>
      <c r="C239" s="130">
        <f>Epidemiology!C158</f>
        <v>4.0000000000000001E-3</v>
      </c>
      <c r="D239" s="123"/>
    </row>
    <row r="240" spans="1:5">
      <c r="B240" s="36" t="s">
        <v>197</v>
      </c>
      <c r="C240" s="130">
        <f>Epidemiology!C159</f>
        <v>1.9E-2</v>
      </c>
      <c r="D240" s="123"/>
    </row>
    <row r="241" spans="1:72">
      <c r="C241" s="151" t="b">
        <f>SUM(C229:C240)=1</f>
        <v>1</v>
      </c>
      <c r="D241" s="151" t="b">
        <f t="shared" ref="D241" si="138">SUM(D229:D240)=1</f>
        <v>1</v>
      </c>
    </row>
    <row r="244" spans="1:72">
      <c r="A244" s="9" t="s">
        <v>10</v>
      </c>
      <c r="B244" s="9" t="s">
        <v>3681</v>
      </c>
    </row>
    <row r="245" spans="1:72">
      <c r="B245" s="152" t="s">
        <v>199</v>
      </c>
    </row>
    <row r="246" spans="1:72">
      <c r="B246" s="152" t="s">
        <v>203</v>
      </c>
    </row>
    <row r="248" spans="1:72">
      <c r="B248" s="9"/>
    </row>
    <row r="249" spans="1:72">
      <c r="B249" s="9"/>
    </row>
    <row r="250" spans="1:72" ht="19.25" customHeight="1">
      <c r="T250" s="13" t="s">
        <v>88</v>
      </c>
      <c r="U250" s="13" t="s">
        <v>87</v>
      </c>
    </row>
    <row r="251" spans="1:72">
      <c r="C251" s="32">
        <v>2001</v>
      </c>
      <c r="D251" s="32">
        <v>2002</v>
      </c>
      <c r="E251" s="32">
        <v>2003</v>
      </c>
      <c r="F251" s="32">
        <v>2004</v>
      </c>
      <c r="G251" s="32">
        <v>2005</v>
      </c>
      <c r="H251" s="32">
        <v>2006</v>
      </c>
      <c r="I251" s="32">
        <v>2007</v>
      </c>
      <c r="J251" s="32">
        <v>2008</v>
      </c>
      <c r="K251" s="32">
        <v>2009</v>
      </c>
      <c r="L251" s="32">
        <v>2010</v>
      </c>
      <c r="M251" s="32">
        <v>2011</v>
      </c>
      <c r="N251" s="32">
        <v>2012</v>
      </c>
      <c r="O251" s="32">
        <v>2013</v>
      </c>
      <c r="P251" s="32">
        <v>2014</v>
      </c>
      <c r="Q251" s="32">
        <v>2015</v>
      </c>
      <c r="R251" s="32">
        <v>2016</v>
      </c>
      <c r="S251" s="32">
        <v>2017</v>
      </c>
      <c r="T251" s="32">
        <v>2018</v>
      </c>
      <c r="U251" s="136">
        <v>2019</v>
      </c>
      <c r="V251" s="136">
        <v>2020</v>
      </c>
      <c r="W251" s="136">
        <v>2021</v>
      </c>
      <c r="X251" s="136">
        <v>2022</v>
      </c>
      <c r="Y251" s="136">
        <v>2023</v>
      </c>
      <c r="Z251" s="136">
        <v>2024</v>
      </c>
      <c r="AA251" s="136">
        <v>2025</v>
      </c>
      <c r="AB251" s="136">
        <v>2026</v>
      </c>
      <c r="AC251" s="136">
        <v>2027</v>
      </c>
      <c r="AD251" s="136">
        <v>2028</v>
      </c>
      <c r="AE251" s="136">
        <v>2029</v>
      </c>
      <c r="AF251" s="136">
        <v>2030</v>
      </c>
      <c r="AG251" s="136">
        <v>2031</v>
      </c>
      <c r="AH251" s="136">
        <v>2032</v>
      </c>
      <c r="AI251" s="136">
        <v>2033</v>
      </c>
      <c r="AJ251" s="136">
        <v>2034</v>
      </c>
      <c r="AK251" s="136">
        <v>2035</v>
      </c>
      <c r="AL251" s="136">
        <v>2036</v>
      </c>
      <c r="AM251" s="136">
        <v>2037</v>
      </c>
      <c r="AN251" s="136">
        <v>2038</v>
      </c>
      <c r="AO251" s="136">
        <v>2039</v>
      </c>
      <c r="AP251" s="136">
        <v>2040</v>
      </c>
      <c r="AQ251" s="136">
        <v>2041</v>
      </c>
      <c r="AR251" s="136">
        <v>2042</v>
      </c>
      <c r="AS251" s="136">
        <v>2043</v>
      </c>
      <c r="AT251" s="136">
        <v>2044</v>
      </c>
      <c r="AU251" s="136">
        <v>2045</v>
      </c>
      <c r="AV251" s="136">
        <v>2046</v>
      </c>
      <c r="AW251" s="136">
        <v>2047</v>
      </c>
      <c r="AX251" s="136">
        <v>2048</v>
      </c>
      <c r="AY251" s="136">
        <v>2049</v>
      </c>
      <c r="AZ251" s="136">
        <v>2050</v>
      </c>
      <c r="BA251" s="136">
        <v>2051</v>
      </c>
      <c r="BB251" s="136">
        <v>2052</v>
      </c>
      <c r="BC251" s="136">
        <v>2053</v>
      </c>
      <c r="BD251" s="136">
        <v>2054</v>
      </c>
      <c r="BE251" s="136">
        <v>2055</v>
      </c>
      <c r="BF251" s="136">
        <v>2056</v>
      </c>
      <c r="BG251" s="136">
        <v>2057</v>
      </c>
      <c r="BH251" s="136">
        <v>2058</v>
      </c>
      <c r="BI251" s="136">
        <v>2059</v>
      </c>
      <c r="BJ251" s="136">
        <v>2060</v>
      </c>
      <c r="BK251" s="136">
        <v>2061</v>
      </c>
      <c r="BL251" s="136">
        <v>2062</v>
      </c>
      <c r="BM251" s="136">
        <v>2063</v>
      </c>
      <c r="BN251" s="136">
        <v>2064</v>
      </c>
      <c r="BO251" s="136">
        <v>2065</v>
      </c>
      <c r="BP251" s="136">
        <v>2066</v>
      </c>
      <c r="BQ251" s="136">
        <v>2067</v>
      </c>
      <c r="BR251" s="136">
        <v>2068</v>
      </c>
      <c r="BS251" s="136">
        <v>2069</v>
      </c>
    </row>
    <row r="252" spans="1:72" s="595" customFormat="1" ht="72.5">
      <c r="A252" s="9"/>
      <c r="B252" s="596" t="s">
        <v>3287</v>
      </c>
      <c r="C252" s="597"/>
      <c r="D252" s="598">
        <f>SUMPRODUCT($D$231:$D$238,D210:D217)</f>
        <v>1.1866981365337528E-2</v>
      </c>
      <c r="E252" s="598">
        <f t="shared" ref="E252:AJ252" si="139">SUMPRODUCT($D$229:$D$238,E208:E217)</f>
        <v>9.5150163038484961E-3</v>
      </c>
      <c r="F252" s="598">
        <f t="shared" si="139"/>
        <v>8.7164432656855542E-3</v>
      </c>
      <c r="G252" s="598">
        <f t="shared" si="139"/>
        <v>1.0666254452827524E-2</v>
      </c>
      <c r="H252" s="598">
        <f t="shared" si="139"/>
        <v>1.0541433009092339E-2</v>
      </c>
      <c r="I252" s="598">
        <f t="shared" si="139"/>
        <v>1.2898729976526453E-2</v>
      </c>
      <c r="J252" s="598">
        <f t="shared" si="139"/>
        <v>1.0836098793537689E-2</v>
      </c>
      <c r="K252" s="598">
        <f t="shared" si="139"/>
        <v>1.4026611054567602E-2</v>
      </c>
      <c r="L252" s="598">
        <f t="shared" si="139"/>
        <v>1.7901335436753228E-2</v>
      </c>
      <c r="M252" s="598">
        <f t="shared" si="139"/>
        <v>1.6416015537743293E-2</v>
      </c>
      <c r="N252" s="598">
        <f t="shared" si="139"/>
        <v>1.6670235272111898E-2</v>
      </c>
      <c r="O252" s="598">
        <f t="shared" si="139"/>
        <v>1.4743088966357442E-2</v>
      </c>
      <c r="P252" s="598">
        <f t="shared" si="139"/>
        <v>1.9937055801940159E-2</v>
      </c>
      <c r="Q252" s="598">
        <f t="shared" si="139"/>
        <v>1.4148478972531204E-2</v>
      </c>
      <c r="R252" s="598">
        <f t="shared" si="139"/>
        <v>1.7488220143342375E-2</v>
      </c>
      <c r="S252" s="598">
        <f t="shared" si="139"/>
        <v>2.0492816810347529E-2</v>
      </c>
      <c r="T252" s="598">
        <f t="shared" si="139"/>
        <v>1.6745689445006026E-2</v>
      </c>
      <c r="U252" s="598">
        <f t="shared" si="139"/>
        <v>1.902332761255561E-2</v>
      </c>
      <c r="V252" s="598">
        <f t="shared" si="139"/>
        <v>1.4435645707949602E-2</v>
      </c>
      <c r="W252" s="598">
        <f t="shared" si="139"/>
        <v>1.2486472765809758E-2</v>
      </c>
      <c r="X252" s="598">
        <f t="shared" si="139"/>
        <v>1.3714832288569241E-2</v>
      </c>
      <c r="Y252" s="598">
        <f t="shared" si="139"/>
        <v>1.5754401199280177E-2</v>
      </c>
      <c r="Z252" s="598">
        <f t="shared" si="139"/>
        <v>1.6695983830280297E-2</v>
      </c>
      <c r="AA252" s="598">
        <f t="shared" si="139"/>
        <v>1.5637302571919091E-2</v>
      </c>
      <c r="AB252" s="598">
        <f t="shared" si="139"/>
        <v>1.5814210369408999E-2</v>
      </c>
      <c r="AC252" s="598">
        <f t="shared" si="139"/>
        <v>2.2400346841801033E-2</v>
      </c>
      <c r="AD252" s="598">
        <f t="shared" si="139"/>
        <v>1.84690123848541E-2</v>
      </c>
      <c r="AE252" s="598">
        <f t="shared" si="139"/>
        <v>1.6054434537477909E-2</v>
      </c>
      <c r="AF252" s="598">
        <f t="shared" si="139"/>
        <v>1.4490834185851703E-2</v>
      </c>
      <c r="AG252" s="598">
        <f t="shared" si="139"/>
        <v>1.3160959036510839E-2</v>
      </c>
      <c r="AH252" s="598">
        <f t="shared" si="139"/>
        <v>1.3471000884450444E-2</v>
      </c>
      <c r="AI252" s="598">
        <f t="shared" si="139"/>
        <v>1.4214685612677759E-2</v>
      </c>
      <c r="AJ252" s="598">
        <f t="shared" si="139"/>
        <v>1.4072385171627226E-2</v>
      </c>
      <c r="AK252" s="598">
        <f t="shared" ref="AK252:BS252" si="140">SUMPRODUCT($D$229:$D$238,AK208:AK217)</f>
        <v>1.2746465732387276E-2</v>
      </c>
      <c r="AL252" s="598">
        <f t="shared" si="140"/>
        <v>1.2434590104396695E-2</v>
      </c>
      <c r="AM252" s="598">
        <f t="shared" si="140"/>
        <v>1.4428905217977375E-2</v>
      </c>
      <c r="AN252" s="598">
        <f t="shared" si="140"/>
        <v>1.249394943642828E-2</v>
      </c>
      <c r="AO252" s="598">
        <f t="shared" si="140"/>
        <v>1.1598618826535009E-2</v>
      </c>
      <c r="AP252" s="598">
        <f t="shared" si="140"/>
        <v>1.1074866520926036E-2</v>
      </c>
      <c r="AQ252" s="598">
        <f t="shared" si="140"/>
        <v>1.1559927002332507E-2</v>
      </c>
      <c r="AR252" s="598">
        <f t="shared" si="140"/>
        <v>1.1111836604007545E-2</v>
      </c>
      <c r="AS252" s="598">
        <f t="shared" si="140"/>
        <v>1.0462288913495137E-2</v>
      </c>
      <c r="AT252" s="598">
        <f t="shared" si="140"/>
        <v>9.8321411179054536E-3</v>
      </c>
      <c r="AU252" s="598">
        <f t="shared" si="140"/>
        <v>9.1566169156669774E-3</v>
      </c>
      <c r="AV252" s="598">
        <f t="shared" si="140"/>
        <v>8.510082766992836E-3</v>
      </c>
      <c r="AW252" s="598">
        <f t="shared" si="140"/>
        <v>7.8530172198904083E-3</v>
      </c>
      <c r="AX252" s="598">
        <f t="shared" si="140"/>
        <v>7.5128616690548471E-3</v>
      </c>
      <c r="AY252" s="598">
        <f t="shared" si="140"/>
        <v>7.855608610488566E-3</v>
      </c>
      <c r="AZ252" s="598">
        <f t="shared" si="140"/>
        <v>7.6630339216423446E-3</v>
      </c>
      <c r="BA252" s="598">
        <f t="shared" si="140"/>
        <v>7.7001002365470238E-3</v>
      </c>
      <c r="BB252" s="598">
        <f t="shared" si="140"/>
        <v>6.6385509652605625E-3</v>
      </c>
      <c r="BC252" s="598">
        <f t="shared" si="140"/>
        <v>5.6105007075816287E-3</v>
      </c>
      <c r="BD252" s="598">
        <f t="shared" si="140"/>
        <v>4.6660472764468424E-3</v>
      </c>
      <c r="BE252" s="598">
        <f t="shared" si="140"/>
        <v>4.3453808363169977E-3</v>
      </c>
      <c r="BF252" s="598">
        <f t="shared" si="140"/>
        <v>3.8831898591900767E-3</v>
      </c>
      <c r="BG252" s="598">
        <f t="shared" si="140"/>
        <v>3.2739276614497715E-3</v>
      </c>
      <c r="BH252" s="598">
        <f t="shared" si="140"/>
        <v>3.677712152034877E-3</v>
      </c>
      <c r="BI252" s="598">
        <f t="shared" si="140"/>
        <v>4.3933143650905556E-3</v>
      </c>
      <c r="BJ252" s="598">
        <f t="shared" si="140"/>
        <v>5.1256126817116453E-3</v>
      </c>
      <c r="BK252" s="598">
        <f t="shared" si="140"/>
        <v>0</v>
      </c>
      <c r="BL252" s="598">
        <f t="shared" si="140"/>
        <v>0</v>
      </c>
      <c r="BM252" s="598">
        <f t="shared" si="140"/>
        <v>0</v>
      </c>
      <c r="BN252" s="598">
        <f t="shared" si="140"/>
        <v>0</v>
      </c>
      <c r="BO252" s="598">
        <f t="shared" si="140"/>
        <v>0</v>
      </c>
      <c r="BP252" s="598">
        <f t="shared" si="140"/>
        <v>0</v>
      </c>
      <c r="BQ252" s="598">
        <f t="shared" si="140"/>
        <v>0</v>
      </c>
      <c r="BR252" s="598">
        <f t="shared" si="140"/>
        <v>0</v>
      </c>
      <c r="BS252" s="598">
        <f t="shared" si="140"/>
        <v>0</v>
      </c>
      <c r="BT252"/>
    </row>
    <row r="254" spans="1:72" s="54" customFormat="1">
      <c r="C254" s="444"/>
      <c r="BT254"/>
    </row>
  </sheetData>
  <phoneticPr fontId="1" type="noConversion"/>
  <pageMargins left="0.7" right="0.7" top="0.75" bottom="0.75" header="0.3" footer="0.3"/>
  <pageSetup paperSize="9" orientation="portrait"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B01010"/>
  </sheetPr>
  <dimension ref="A1:BC184"/>
  <sheetViews>
    <sheetView showGridLines="0" topLeftCell="A159" workbookViewId="0">
      <selection activeCell="D167" sqref="D167"/>
    </sheetView>
  </sheetViews>
  <sheetFormatPr defaultRowHeight="14.5"/>
  <cols>
    <col min="1" max="1" width="6" customWidth="1"/>
    <col min="2" max="2" width="27" customWidth="1"/>
    <col min="3" max="15" width="15.36328125" customWidth="1"/>
    <col min="16" max="41" width="15" customWidth="1"/>
  </cols>
  <sheetData>
    <row r="1" spans="1:41" s="782" customFormat="1" ht="18.5">
      <c r="A1" s="780" t="s">
        <v>3741</v>
      </c>
      <c r="O1" s="806"/>
    </row>
    <row r="2" spans="1:41" s="782" customFormat="1">
      <c r="A2" s="782" t="s">
        <v>3777</v>
      </c>
      <c r="O2" s="806"/>
    </row>
    <row r="3" spans="1:41" s="782" customFormat="1">
      <c r="A3" s="782" t="s">
        <v>3774</v>
      </c>
      <c r="O3" s="806"/>
    </row>
    <row r="4" spans="1:41" s="783" customFormat="1">
      <c r="O4" s="807"/>
    </row>
    <row r="5" spans="1:41">
      <c r="K5" s="658"/>
      <c r="L5" s="181"/>
      <c r="M5" s="181"/>
      <c r="N5" s="181"/>
      <c r="O5" s="810"/>
      <c r="P5" s="181"/>
      <c r="Q5" s="181"/>
    </row>
    <row r="9" spans="1:41" s="588" customFormat="1">
      <c r="A9" s="593" t="s">
        <v>10</v>
      </c>
      <c r="B9" s="593" t="s">
        <v>3474</v>
      </c>
    </row>
    <row r="11" spans="1:41">
      <c r="C11" s="34">
        <f>'National model results detailed'!C10</f>
        <v>2020</v>
      </c>
      <c r="D11" s="34">
        <f>'National model results detailed'!D10</f>
        <v>2021</v>
      </c>
      <c r="E11" s="34">
        <f>'National model results detailed'!E10</f>
        <v>2022</v>
      </c>
      <c r="F11" s="34">
        <f>'National model results detailed'!F10</f>
        <v>2023</v>
      </c>
      <c r="G11" s="34">
        <f>'National model results detailed'!G10</f>
        <v>2024</v>
      </c>
      <c r="H11" s="34">
        <f>'National model results detailed'!H10</f>
        <v>2025</v>
      </c>
      <c r="I11" s="34">
        <f>'National model results detailed'!I10</f>
        <v>2026</v>
      </c>
      <c r="J11" s="34">
        <f>'National model results detailed'!J10</f>
        <v>2027</v>
      </c>
      <c r="K11" s="34">
        <f>'National model results detailed'!K10</f>
        <v>2028</v>
      </c>
      <c r="L11" s="34">
        <f>'National model results detailed'!L10</f>
        <v>2029</v>
      </c>
      <c r="M11" s="34">
        <f>'National model results detailed'!M10</f>
        <v>2030</v>
      </c>
      <c r="N11" s="34">
        <f>'National model results detailed'!N10</f>
        <v>2031</v>
      </c>
      <c r="O11" s="34">
        <f>'National model results detailed'!O10</f>
        <v>2032</v>
      </c>
      <c r="P11" s="34">
        <f>'National model results detailed'!P10</f>
        <v>2033</v>
      </c>
      <c r="Q11" s="34">
        <f>'National model results detailed'!Q10</f>
        <v>2034</v>
      </c>
      <c r="R11" s="34">
        <f>'National model results detailed'!R10</f>
        <v>2035</v>
      </c>
      <c r="S11" s="34">
        <f>'National model results detailed'!S10</f>
        <v>2036</v>
      </c>
      <c r="T11" s="34">
        <f>'National model results detailed'!T10</f>
        <v>2037</v>
      </c>
      <c r="U11" s="34">
        <f>'National model results detailed'!U10</f>
        <v>2038</v>
      </c>
      <c r="V11" s="34">
        <f>'National model results detailed'!V10</f>
        <v>2039</v>
      </c>
      <c r="W11" s="34">
        <f>'National model results detailed'!W10</f>
        <v>2040</v>
      </c>
      <c r="X11" s="34">
        <f>'National model results detailed'!X10</f>
        <v>2041</v>
      </c>
      <c r="Y11" s="34">
        <f>'National model results detailed'!Y10</f>
        <v>2042</v>
      </c>
      <c r="Z11" s="34">
        <f>'National model results detailed'!Z10</f>
        <v>2043</v>
      </c>
      <c r="AA11" s="34">
        <f>'National model results detailed'!AA10</f>
        <v>2044</v>
      </c>
      <c r="AB11" s="34">
        <f>'National model results detailed'!AB10</f>
        <v>2045</v>
      </c>
      <c r="AC11" s="34">
        <f>'National model results detailed'!AC10</f>
        <v>2046</v>
      </c>
      <c r="AD11" s="34">
        <f>'National model results detailed'!AD10</f>
        <v>2047</v>
      </c>
      <c r="AE11" s="34">
        <f>'National model results detailed'!AE10</f>
        <v>2048</v>
      </c>
      <c r="AF11" s="34">
        <f>'National model results detailed'!AF10</f>
        <v>2049</v>
      </c>
      <c r="AG11" s="34">
        <f>'National model results detailed'!AG10</f>
        <v>2050</v>
      </c>
      <c r="AH11" s="34">
        <f>'National model results detailed'!AH10</f>
        <v>2051</v>
      </c>
      <c r="AI11" s="34">
        <f>'National model results detailed'!AI10</f>
        <v>2052</v>
      </c>
      <c r="AJ11" s="34">
        <f>'National model results detailed'!AJ10</f>
        <v>2053</v>
      </c>
      <c r="AK11" s="34">
        <f>'National model results detailed'!AK10</f>
        <v>2054</v>
      </c>
      <c r="AL11" s="34">
        <f>'National model results detailed'!AL10</f>
        <v>2055</v>
      </c>
      <c r="AM11" s="34">
        <f>'National model results detailed'!AM10</f>
        <v>2056</v>
      </c>
      <c r="AN11" s="34">
        <f>'National model results detailed'!AN10</f>
        <v>2057</v>
      </c>
      <c r="AO11" s="34">
        <f>'National model results detailed'!AO10</f>
        <v>2058</v>
      </c>
    </row>
    <row r="12" spans="1:41">
      <c r="B12" s="12" t="s">
        <v>183</v>
      </c>
      <c r="C12" s="39">
        <f>'National model results detailed'!C11</f>
        <v>82.5</v>
      </c>
      <c r="D12" s="39">
        <f>'National model results detailed'!D11</f>
        <v>85.671252397034777</v>
      </c>
      <c r="E12" s="39">
        <f>'National model results detailed'!E11</f>
        <v>88.409985944913515</v>
      </c>
      <c r="F12" s="39">
        <f>'National model results detailed'!F11</f>
        <v>90.841470209093458</v>
      </c>
      <c r="G12" s="39">
        <f>'National model results detailed'!G11</f>
        <v>93.082241400315425</v>
      </c>
      <c r="H12" s="39">
        <f>'National model results detailed'!H11</f>
        <v>85.286901679364021</v>
      </c>
      <c r="I12" s="39">
        <f>'National model results detailed'!I11</f>
        <v>80.371125267470873</v>
      </c>
      <c r="J12" s="39">
        <f>'National model results detailed'!J11</f>
        <v>77.423024352014167</v>
      </c>
      <c r="K12" s="39">
        <f>'National model results detailed'!K11</f>
        <v>75.937588943370585</v>
      </c>
      <c r="L12" s="39">
        <f>'National model results detailed'!L11</f>
        <v>75.373960841853631</v>
      </c>
      <c r="M12" s="39">
        <f>'National model results detailed'!M11</f>
        <v>75.399002957624646</v>
      </c>
      <c r="N12" s="39">
        <f>'National model results detailed'!N11</f>
        <v>75.843476439524451</v>
      </c>
      <c r="O12" s="39">
        <f>'National model results detailed'!O11</f>
        <v>76.512346222148111</v>
      </c>
      <c r="P12" s="39">
        <f>'National model results detailed'!P11</f>
        <v>77.316706904841794</v>
      </c>
      <c r="Q12" s="39">
        <f>'National model results detailed'!Q11</f>
        <v>78.215904967552774</v>
      </c>
      <c r="R12" s="39">
        <f>'National model results detailed'!R11</f>
        <v>79.172732163785923</v>
      </c>
      <c r="S12" s="39">
        <f>'National model results detailed'!S11</f>
        <v>80.155030344903821</v>
      </c>
      <c r="T12" s="39">
        <f>'National model results detailed'!T11</f>
        <v>81.159129851206629</v>
      </c>
      <c r="U12" s="39">
        <f>'National model results detailed'!U11</f>
        <v>82.21650286249897</v>
      </c>
      <c r="V12" s="39">
        <f>'National model results detailed'!V11</f>
        <v>83.269470376127629</v>
      </c>
      <c r="W12" s="39">
        <f>'National model results detailed'!W11</f>
        <v>84.304559744743102</v>
      </c>
      <c r="X12" s="39">
        <f>'National model results detailed'!X11</f>
        <v>85.338263741522951</v>
      </c>
      <c r="Y12" s="39">
        <f>'National model results detailed'!Y11</f>
        <v>86.361751387228182</v>
      </c>
      <c r="Z12" s="39">
        <f>'National model results detailed'!Z11</f>
        <v>87.365790951214706</v>
      </c>
      <c r="AA12" s="39">
        <f>'National model results detailed'!AA11</f>
        <v>88.343803133612155</v>
      </c>
      <c r="AB12" s="39">
        <f>'National model results detailed'!AB11</f>
        <v>89.300002386112538</v>
      </c>
      <c r="AC12" s="39">
        <f>'National model results detailed'!AC11</f>
        <v>90.224792989119592</v>
      </c>
      <c r="AD12" s="39">
        <f>'National model results detailed'!AD11</f>
        <v>91.109782246881963</v>
      </c>
      <c r="AE12" s="39">
        <f>'National model results detailed'!AE11</f>
        <v>91.949173834027292</v>
      </c>
      <c r="AF12" s="39">
        <f>'National model results detailed'!AF11</f>
        <v>92.745041204404558</v>
      </c>
      <c r="AG12" s="39">
        <f>'National model results detailed'!AG11</f>
        <v>93.514153714375951</v>
      </c>
      <c r="AH12" s="39">
        <f>'National model results detailed'!AH11</f>
        <v>94.258561793882748</v>
      </c>
      <c r="AI12" s="39">
        <f>'National model results detailed'!AI11</f>
        <v>94.988077339954486</v>
      </c>
      <c r="AJ12" s="39">
        <f>'National model results detailed'!AJ11</f>
        <v>95.692672677062632</v>
      </c>
      <c r="AK12" s="39">
        <f>'National model results detailed'!AK11</f>
        <v>96.356771487241119</v>
      </c>
      <c r="AL12" s="39">
        <f>'National model results detailed'!AL11</f>
        <v>96.971911538641692</v>
      </c>
      <c r="AM12" s="39">
        <f>'National model results detailed'!AM11</f>
        <v>97.532841782974856</v>
      </c>
      <c r="AN12" s="39">
        <f>'National model results detailed'!AN11</f>
        <v>98.035625443233315</v>
      </c>
      <c r="AO12" s="39">
        <f>'National model results detailed'!AO11</f>
        <v>98.476638181047576</v>
      </c>
    </row>
    <row r="13" spans="1:41">
      <c r="B13" s="12" t="s">
        <v>2555</v>
      </c>
      <c r="C13" s="39">
        <f>'National model results detailed'!C12</f>
        <v>34.5</v>
      </c>
      <c r="D13" s="39">
        <f>'National model results detailed'!D12</f>
        <v>38.454128917855734</v>
      </c>
      <c r="E13" s="39">
        <f>'National model results detailed'!E12</f>
        <v>42.457630958756774</v>
      </c>
      <c r="F13" s="39">
        <f>'National model results detailed'!F12</f>
        <v>46.516040358715721</v>
      </c>
      <c r="G13" s="39">
        <f>'National model results detailed'!G12</f>
        <v>50.574449758674668</v>
      </c>
      <c r="H13" s="39">
        <f>'National model results detailed'!H12</f>
        <v>54.683534377078708</v>
      </c>
      <c r="I13" s="39">
        <f>'National model results detailed'!I12</f>
        <v>58.848974401883702</v>
      </c>
      <c r="J13" s="39">
        <f>'National model results detailed'!J12</f>
        <v>63.080038440011002</v>
      </c>
      <c r="K13" s="39">
        <f>'National model results detailed'!K12</f>
        <v>67.381744254903779</v>
      </c>
      <c r="L13" s="39">
        <f>'National model results detailed'!L12</f>
        <v>71.750717145199403</v>
      </c>
      <c r="M13" s="39">
        <f>'National model results detailed'!M12</f>
        <v>76.18878189188041</v>
      </c>
      <c r="N13" s="39">
        <f>'National model results detailed'!N12</f>
        <v>80.72626082819346</v>
      </c>
      <c r="O13" s="39">
        <f>'National model results detailed'!O12</f>
        <v>85.347542519177281</v>
      </c>
      <c r="P13" s="39">
        <f>'National model results detailed'!P12</f>
        <v>90.043016274548236</v>
      </c>
      <c r="Q13" s="39">
        <f>'National model results detailed'!Q12</f>
        <v>94.806531361532308</v>
      </c>
      <c r="R13" s="39">
        <f>'National model results detailed'!R12</f>
        <v>99.632738875445966</v>
      </c>
      <c r="S13" s="39">
        <f>'National model results detailed'!S12</f>
        <v>104.52396023504808</v>
      </c>
      <c r="T13" s="39">
        <f>'National model results detailed'!T12</f>
        <v>109.48470876853897</v>
      </c>
      <c r="U13" s="39">
        <f>'National model results detailed'!U12</f>
        <v>114.51526686613272</v>
      </c>
      <c r="V13" s="39">
        <f>'National model results detailed'!V12</f>
        <v>119.60994680013225</v>
      </c>
      <c r="W13" s="39">
        <f>'National model results detailed'!W12</f>
        <v>124.76797699082415</v>
      </c>
      <c r="X13" s="39">
        <f>'National model results detailed'!X12</f>
        <v>130.00043191024901</v>
      </c>
      <c r="Y13" s="39">
        <f>'National model results detailed'!Y12</f>
        <v>135.29826085686554</v>
      </c>
      <c r="Z13" s="39">
        <f>'National model results detailed'!Z12</f>
        <v>140.65753730204207</v>
      </c>
      <c r="AA13" s="39">
        <f>'National model results detailed'!AA12</f>
        <v>146.07616701849767</v>
      </c>
      <c r="AB13" s="39">
        <f>'National model results detailed'!AB12</f>
        <v>151.55743569892817</v>
      </c>
      <c r="AC13" s="39">
        <f>'National model results detailed'!AC12</f>
        <v>157.09961134131828</v>
      </c>
      <c r="AD13" s="39">
        <f>'National model results detailed'!AD12</f>
        <v>162.69977082648839</v>
      </c>
      <c r="AE13" s="39">
        <f>'National model results detailed'!AE12</f>
        <v>168.35499186999945</v>
      </c>
      <c r="AF13" s="39">
        <f>'National model results detailed'!AF12</f>
        <v>174.06199560617938</v>
      </c>
      <c r="AG13" s="39">
        <f>'National model results detailed'!AG12</f>
        <v>179.81756641650577</v>
      </c>
      <c r="AH13" s="39">
        <f>'National model results detailed'!AH12</f>
        <v>185.61833582351593</v>
      </c>
      <c r="AI13" s="39">
        <f>'National model results detailed'!AI12</f>
        <v>191.46268560865505</v>
      </c>
      <c r="AJ13" s="39">
        <f>'National model results detailed'!AJ12</f>
        <v>197.35294631828901</v>
      </c>
      <c r="AK13" s="39">
        <f>'National model results detailed'!AK12</f>
        <v>203.28834429554823</v>
      </c>
      <c r="AL13" s="39">
        <f>'National model results detailed'!AL12</f>
        <v>209.26944543217613</v>
      </c>
      <c r="AM13" s="39">
        <f>'National model results detailed'!AM12</f>
        <v>215.29025241352792</v>
      </c>
      <c r="AN13" s="39">
        <f>'National model results detailed'!AN12</f>
        <v>221.3448391367088</v>
      </c>
      <c r="AO13" s="39">
        <f>'National model results detailed'!AO12</f>
        <v>227.42767684777934</v>
      </c>
    </row>
    <row r="14" spans="1:41">
      <c r="B14" s="12" t="s">
        <v>2556</v>
      </c>
      <c r="C14" s="39">
        <f>'National model results detailed'!C13</f>
        <v>283.5</v>
      </c>
      <c r="D14" s="39">
        <f>'National model results detailed'!D13</f>
        <v>293.19015912843923</v>
      </c>
      <c r="E14" s="39">
        <f>'National model results detailed'!E13</f>
        <v>301.48374143342193</v>
      </c>
      <c r="F14" s="39">
        <f>'National model results detailed'!F13</f>
        <v>308.83682243526221</v>
      </c>
      <c r="G14" s="39">
        <f>'National model results detailed'!G13</f>
        <v>315.66336153104555</v>
      </c>
      <c r="H14" s="39">
        <f>'National model results detailed'!H13</f>
        <v>280.33856384346745</v>
      </c>
      <c r="I14" s="39">
        <f>'National model results detailed'!I13</f>
        <v>259.63630449965746</v>
      </c>
      <c r="J14" s="39">
        <f>'National model results detailed'!J13</f>
        <v>248.14148252763499</v>
      </c>
      <c r="K14" s="39">
        <f>'National model results detailed'!K13</f>
        <v>242.85939581547882</v>
      </c>
      <c r="L14" s="39">
        <f>'National model results detailed'!L13</f>
        <v>241.2153991664303</v>
      </c>
      <c r="M14" s="39">
        <f>'National model results detailed'!M13</f>
        <v>241.71855154653568</v>
      </c>
      <c r="N14" s="39">
        <f>'National model results detailed'!N13</f>
        <v>243.66081825644366</v>
      </c>
      <c r="O14" s="39">
        <f>'National model results detailed'!O13</f>
        <v>246.25395226781214</v>
      </c>
      <c r="P14" s="39">
        <f>'National model results detailed'!P13</f>
        <v>249.17780539158161</v>
      </c>
      <c r="Q14" s="39">
        <f>'National model results detailed'!Q13</f>
        <v>252.31434755734173</v>
      </c>
      <c r="R14" s="39">
        <f>'National model results detailed'!R13</f>
        <v>255.56074741837355</v>
      </c>
      <c r="S14" s="39">
        <f>'National model results detailed'!S13</f>
        <v>258.83478091381068</v>
      </c>
      <c r="T14" s="39">
        <f>'National model results detailed'!T13</f>
        <v>262.14679438231275</v>
      </c>
      <c r="U14" s="39">
        <f>'National model results detailed'!U13</f>
        <v>265.61958437207431</v>
      </c>
      <c r="V14" s="39">
        <f>'National model results detailed'!V13</f>
        <v>269.04620892921093</v>
      </c>
      <c r="W14" s="39">
        <f>'National model results detailed'!W13</f>
        <v>272.39089844636584</v>
      </c>
      <c r="X14" s="39">
        <f>'National model results detailed'!X13</f>
        <v>275.73080174212112</v>
      </c>
      <c r="Y14" s="39">
        <f>'National model results detailed'!Y13</f>
        <v>279.02256167212551</v>
      </c>
      <c r="Z14" s="39">
        <f>'National model results detailed'!Z13</f>
        <v>282.23751089696094</v>
      </c>
      <c r="AA14" s="39">
        <f>'National model results detailed'!AA13</f>
        <v>285.3583802282584</v>
      </c>
      <c r="AB14" s="39">
        <f>'National model results detailed'!AB13</f>
        <v>288.40870310516499</v>
      </c>
      <c r="AC14" s="39">
        <f>'National model results detailed'!AC13</f>
        <v>291.3522635596687</v>
      </c>
      <c r="AD14" s="39">
        <f>'National model results detailed'!AD13</f>
        <v>294.15882468483863</v>
      </c>
      <c r="AE14" s="39">
        <f>'National model results detailed'!AE13</f>
        <v>296.80959997325209</v>
      </c>
      <c r="AF14" s="39">
        <f>'National model results detailed'!AF13</f>
        <v>299.31443210254628</v>
      </c>
      <c r="AG14" s="39">
        <f>'National model results detailed'!AG13</f>
        <v>301.73564106612992</v>
      </c>
      <c r="AH14" s="39">
        <f>'National model results detailed'!AH13</f>
        <v>304.08051005093057</v>
      </c>
      <c r="AI14" s="39">
        <f>'National model results detailed'!AI13</f>
        <v>306.38535542126493</v>
      </c>
      <c r="AJ14" s="39">
        <f>'National model results detailed'!AJ13</f>
        <v>308.61577956841728</v>
      </c>
      <c r="AK14" s="39">
        <f>'National model results detailed'!AK13</f>
        <v>310.71278508482129</v>
      </c>
      <c r="AL14" s="39">
        <f>'National model results detailed'!AL13</f>
        <v>312.64669120122744</v>
      </c>
      <c r="AM14" s="39">
        <f>'National model results detailed'!AM13</f>
        <v>314.39476692357863</v>
      </c>
      <c r="AN14" s="39">
        <f>'National model results detailed'!AN13</f>
        <v>315.94436957924216</v>
      </c>
      <c r="AO14" s="39">
        <f>'National model results detailed'!AO13</f>
        <v>317.28599657027979</v>
      </c>
    </row>
    <row r="15" spans="1:41" s="9" customFormat="1">
      <c r="B15" s="14" t="s">
        <v>22</v>
      </c>
      <c r="C15" s="40">
        <f>'National model results detailed'!C14</f>
        <v>400.5</v>
      </c>
      <c r="D15" s="40">
        <f>'National model results detailed'!D14</f>
        <v>417.31554044332972</v>
      </c>
      <c r="E15" s="40">
        <f>'National model results detailed'!E14</f>
        <v>432.35135833709222</v>
      </c>
      <c r="F15" s="40">
        <f>'National model results detailed'!F14</f>
        <v>446.19433300307139</v>
      </c>
      <c r="G15" s="40">
        <f>'National model results detailed'!G14</f>
        <v>459.32005269003565</v>
      </c>
      <c r="H15" s="40">
        <f>'National model results detailed'!H14</f>
        <v>420.30899989991019</v>
      </c>
      <c r="I15" s="40">
        <f>'National model results detailed'!I14</f>
        <v>398.85640416901202</v>
      </c>
      <c r="J15" s="40">
        <f>'National model results detailed'!J14</f>
        <v>388.64454531966015</v>
      </c>
      <c r="K15" s="40">
        <f>'National model results detailed'!K14</f>
        <v>386.17872901375318</v>
      </c>
      <c r="L15" s="40">
        <f>'National model results detailed'!L14</f>
        <v>388.34007715348332</v>
      </c>
      <c r="M15" s="40">
        <f>'National model results detailed'!M14</f>
        <v>393.30633639604071</v>
      </c>
      <c r="N15" s="40">
        <f>'National model results detailed'!N14</f>
        <v>400.23055552416156</v>
      </c>
      <c r="O15" s="40">
        <f>'National model results detailed'!O14</f>
        <v>408.11384100913756</v>
      </c>
      <c r="P15" s="40">
        <f>'National model results detailed'!P14</f>
        <v>416.53752857097163</v>
      </c>
      <c r="Q15" s="40">
        <f>'National model results detailed'!Q14</f>
        <v>425.33678388642682</v>
      </c>
      <c r="R15" s="40">
        <f>'National model results detailed'!R14</f>
        <v>434.36621845760544</v>
      </c>
      <c r="S15" s="40">
        <f>'National model results detailed'!S14</f>
        <v>443.51377149376259</v>
      </c>
      <c r="T15" s="40">
        <f>'National model results detailed'!T14</f>
        <v>452.79063300205837</v>
      </c>
      <c r="U15" s="40">
        <f>'National model results detailed'!U14</f>
        <v>462.35135410070598</v>
      </c>
      <c r="V15" s="40">
        <f>'National model results detailed'!V14</f>
        <v>471.92562610547083</v>
      </c>
      <c r="W15" s="40">
        <f>'National model results detailed'!W14</f>
        <v>481.46343518193311</v>
      </c>
      <c r="X15" s="40">
        <f>'National model results detailed'!X14</f>
        <v>491.06949739389307</v>
      </c>
      <c r="Y15" s="40">
        <f>'National model results detailed'!Y14</f>
        <v>500.68257391621921</v>
      </c>
      <c r="Z15" s="40">
        <f>'National model results detailed'!Z14</f>
        <v>510.26083915021775</v>
      </c>
      <c r="AA15" s="40">
        <f>'National model results detailed'!AA14</f>
        <v>519.77835038036824</v>
      </c>
      <c r="AB15" s="40">
        <f>'National model results detailed'!AB14</f>
        <v>529.26614119020564</v>
      </c>
      <c r="AC15" s="40">
        <f>'National model results detailed'!AC14</f>
        <v>538.6766678901065</v>
      </c>
      <c r="AD15" s="40">
        <f>'National model results detailed'!AD14</f>
        <v>547.96837775820904</v>
      </c>
      <c r="AE15" s="40">
        <f>'National model results detailed'!AE14</f>
        <v>557.11376567727882</v>
      </c>
      <c r="AF15" s="40">
        <f>'National model results detailed'!AF14</f>
        <v>566.12146891313023</v>
      </c>
      <c r="AG15" s="40">
        <f>'National model results detailed'!AG14</f>
        <v>575.06736119701168</v>
      </c>
      <c r="AH15" s="40">
        <f>'National model results detailed'!AH14</f>
        <v>583.95740766832932</v>
      </c>
      <c r="AI15" s="40">
        <f>'National model results detailed'!AI14</f>
        <v>592.83611836987438</v>
      </c>
      <c r="AJ15" s="40">
        <f>'National model results detailed'!AJ14</f>
        <v>601.6613985637689</v>
      </c>
      <c r="AK15" s="40">
        <f>'National model results detailed'!AK14</f>
        <v>610.35790086761062</v>
      </c>
      <c r="AL15" s="40">
        <f>'National model results detailed'!AL14</f>
        <v>618.88804817204527</v>
      </c>
      <c r="AM15" s="40">
        <f>'National model results detailed'!AM14</f>
        <v>627.21786112008135</v>
      </c>
      <c r="AN15" s="40">
        <f>'National model results detailed'!AN14</f>
        <v>635.32483415918432</v>
      </c>
      <c r="AO15" s="40">
        <f>'National model results detailed'!AO14</f>
        <v>643.19031159910674</v>
      </c>
    </row>
    <row r="16" spans="1:41" s="9" customFormat="1">
      <c r="B16" s="67"/>
      <c r="C16" s="866"/>
      <c r="D16" s="866"/>
      <c r="E16" s="866"/>
      <c r="F16" s="866"/>
      <c r="G16" s="866"/>
      <c r="H16" s="866"/>
      <c r="I16" s="866"/>
      <c r="J16" s="866"/>
      <c r="K16" s="866"/>
      <c r="L16" s="866"/>
      <c r="M16" s="866"/>
      <c r="N16" s="866"/>
      <c r="O16" s="866"/>
      <c r="P16" s="866"/>
      <c r="Q16" s="866"/>
      <c r="R16" s="866"/>
      <c r="S16" s="866"/>
      <c r="T16" s="866"/>
      <c r="U16" s="866"/>
      <c r="V16" s="866"/>
      <c r="W16" s="866"/>
      <c r="X16" s="866"/>
      <c r="Y16" s="866"/>
      <c r="Z16" s="866"/>
      <c r="AA16" s="866"/>
      <c r="AB16" s="866"/>
      <c r="AC16" s="866"/>
      <c r="AD16" s="866"/>
      <c r="AE16" s="866"/>
      <c r="AF16" s="866"/>
      <c r="AG16" s="866"/>
      <c r="AH16" s="866"/>
      <c r="AI16" s="866"/>
      <c r="AJ16" s="866"/>
      <c r="AK16" s="866"/>
      <c r="AL16" s="866"/>
      <c r="AM16" s="866"/>
      <c r="AN16" s="866"/>
      <c r="AO16" s="866"/>
    </row>
    <row r="17" spans="1:41" s="568" customFormat="1" ht="30" customHeight="1">
      <c r="B17" s="25" t="s">
        <v>3688</v>
      </c>
      <c r="C17" s="867">
        <f>'National model results detailed'!C16</f>
        <v>0</v>
      </c>
      <c r="D17" s="867">
        <f>'National model results detailed'!D16</f>
        <v>0</v>
      </c>
      <c r="E17" s="867">
        <f>'National model results detailed'!E16</f>
        <v>0</v>
      </c>
      <c r="F17" s="867">
        <f>'National model results detailed'!F16</f>
        <v>0</v>
      </c>
      <c r="G17" s="867">
        <f>'National model results detailed'!G16</f>
        <v>1.3918162417525526E-4</v>
      </c>
      <c r="H17" s="867">
        <f>'National model results detailed'!H16</f>
        <v>0.10993361249671163</v>
      </c>
      <c r="I17" s="867">
        <f>'National model results detailed'!I16</f>
        <v>0.177143738823202</v>
      </c>
      <c r="J17" s="867">
        <f>'National model results detailed'!J16</f>
        <v>0.21806176091253171</v>
      </c>
      <c r="K17" s="867">
        <f>'National model results detailed'!K16</f>
        <v>0.24276420354484463</v>
      </c>
      <c r="L17" s="867">
        <f>'National model results detailed'!L16</f>
        <v>0.25755610727801748</v>
      </c>
      <c r="M17" s="867">
        <f>'National model results detailed'!M16</f>
        <v>0.26619970283964389</v>
      </c>
      <c r="N17" s="867">
        <f>'National model results detailed'!N16</f>
        <v>0.27053677553846189</v>
      </c>
      <c r="O17" s="867">
        <f>'National model results detailed'!O16</f>
        <v>0.27256464374153966</v>
      </c>
      <c r="P17" s="867">
        <f>'National model results detailed'!P16</f>
        <v>0.27335672957085044</v>
      </c>
      <c r="Q17" s="867">
        <f>'National model results detailed'!Q16</f>
        <v>0.27348487875719241</v>
      </c>
      <c r="R17" s="867">
        <f>'National model results detailed'!R16</f>
        <v>0.27325906783275855</v>
      </c>
      <c r="S17" s="867">
        <f>'National model results detailed'!S16</f>
        <v>0.27271974381043451</v>
      </c>
      <c r="T17" s="867">
        <f>'National model results detailed'!T16</f>
        <v>0.27189165866635945</v>
      </c>
      <c r="U17" s="867">
        <f>'National model results detailed'!U16</f>
        <v>0.27091770207189536</v>
      </c>
      <c r="V17" s="867">
        <f>'National model results detailed'!V16</f>
        <v>0.26991658127449081</v>
      </c>
      <c r="W17" s="867">
        <f>'National model results detailed'!W16</f>
        <v>0.26888007687212545</v>
      </c>
      <c r="X17" s="867">
        <f>'National model results detailed'!X16</f>
        <v>0.26764032923562542</v>
      </c>
      <c r="Y17" s="867">
        <f>'National model results detailed'!Y16</f>
        <v>0.26643637274914445</v>
      </c>
      <c r="Z17" s="867">
        <f>'National model results detailed'!Z16</f>
        <v>0.2652941090935389</v>
      </c>
      <c r="AA17" s="867">
        <f>'National model results detailed'!AA16</f>
        <v>0.26419022345480914</v>
      </c>
      <c r="AB17" s="867">
        <f>'National model results detailed'!AB16</f>
        <v>0.26303610660282217</v>
      </c>
      <c r="AC17" s="867">
        <f>'National model results detailed'!AC16</f>
        <v>0.26185647173050441</v>
      </c>
      <c r="AD17" s="867">
        <f>'National model results detailed'!AD16</f>
        <v>0.26067700709496733</v>
      </c>
      <c r="AE17" s="867">
        <f>'National model results detailed'!AE16</f>
        <v>0.25950564755900618</v>
      </c>
      <c r="AF17" s="867">
        <f>'National model results detailed'!AF16</f>
        <v>0.25835214504361237</v>
      </c>
      <c r="AG17" s="867">
        <f>'National model results detailed'!AG16</f>
        <v>0.25723126718528599</v>
      </c>
      <c r="AH17" s="867">
        <f>'National model results detailed'!AH16</f>
        <v>0.25614390227625472</v>
      </c>
      <c r="AI17" s="867">
        <f>'National model results detailed'!AI16</f>
        <v>0.25507236952783974</v>
      </c>
      <c r="AJ17" s="867">
        <f>'National model results detailed'!AJ16</f>
        <v>0.25394115910051296</v>
      </c>
      <c r="AK17" s="867">
        <f>'National model results detailed'!AK16</f>
        <v>0.25274928476446457</v>
      </c>
      <c r="AL17" s="867">
        <f>'National model results detailed'!AL16</f>
        <v>0.25148010568083512</v>
      </c>
      <c r="AM17" s="867">
        <f>'National model results detailed'!AM16</f>
        <v>0.25021281415711527</v>
      </c>
      <c r="AN17" s="867">
        <f>'National model results detailed'!AN16</f>
        <v>0.24897983992458639</v>
      </c>
      <c r="AO17" s="867">
        <f>'National model results detailed'!AO16</f>
        <v>0.24778419018738684</v>
      </c>
    </row>
    <row r="21" spans="1:41" s="588" customFormat="1">
      <c r="A21" s="593" t="s">
        <v>10</v>
      </c>
      <c r="B21" s="593" t="s">
        <v>3732</v>
      </c>
      <c r="H21" s="764"/>
      <c r="K21" s="765"/>
      <c r="L21" s="766"/>
      <c r="M21" s="767"/>
      <c r="N21" s="767"/>
      <c r="O21" s="808"/>
      <c r="P21" s="766"/>
      <c r="Q21" s="767"/>
    </row>
    <row r="22" spans="1:41">
      <c r="B22" s="151"/>
      <c r="H22" s="151"/>
      <c r="K22" s="762"/>
      <c r="L22" s="181"/>
      <c r="M22" s="201"/>
      <c r="N22" s="201"/>
      <c r="O22" s="809"/>
      <c r="P22" s="181"/>
      <c r="Q22" s="201"/>
    </row>
    <row r="23" spans="1:41">
      <c r="B23" s="151"/>
      <c r="H23" s="151"/>
      <c r="K23" s="762"/>
      <c r="L23" s="181"/>
      <c r="M23" s="201"/>
      <c r="N23" s="201"/>
      <c r="O23" s="809"/>
      <c r="P23" s="181"/>
      <c r="Q23" s="201"/>
    </row>
    <row r="24" spans="1:41">
      <c r="B24" s="84" t="s">
        <v>125</v>
      </c>
      <c r="C24" s="84" t="s">
        <v>3739</v>
      </c>
    </row>
    <row r="25" spans="1:41">
      <c r="B25" s="6" t="s">
        <v>11</v>
      </c>
      <c r="C25" s="888">
        <f>'Control Assumptions'!E59</f>
        <v>162275.67023773913</v>
      </c>
    </row>
    <row r="26" spans="1:41">
      <c r="B26" s="6" t="s">
        <v>14</v>
      </c>
      <c r="C26" s="888">
        <f>'Control Assumptions'!E60</f>
        <v>18963.68</v>
      </c>
    </row>
    <row r="27" spans="1:41">
      <c r="B27" s="6" t="s">
        <v>15</v>
      </c>
      <c r="C27" s="888">
        <f>'Control Assumptions'!E61</f>
        <v>5319.9855347552493</v>
      </c>
    </row>
    <row r="28" spans="1:41">
      <c r="B28" s="6" t="s">
        <v>16</v>
      </c>
      <c r="C28" s="888">
        <f>'Control Assumptions'!E62</f>
        <v>87380.366700960963</v>
      </c>
    </row>
    <row r="29" spans="1:41">
      <c r="B29" s="6" t="s">
        <v>103</v>
      </c>
      <c r="C29" s="888">
        <f>'Control Assumptions'!E63</f>
        <v>666527.69409990811</v>
      </c>
    </row>
    <row r="30" spans="1:41">
      <c r="B30" s="6" t="s">
        <v>104</v>
      </c>
      <c r="C30" s="888">
        <f>'Control Assumptions'!E64</f>
        <v>77072.310579558907</v>
      </c>
    </row>
    <row r="31" spans="1:41">
      <c r="B31" s="6" t="s">
        <v>17</v>
      </c>
      <c r="C31" s="888">
        <f>'Control Assumptions'!E65</f>
        <v>38097.301285716727</v>
      </c>
    </row>
    <row r="32" spans="1:41">
      <c r="B32" s="6" t="s">
        <v>217</v>
      </c>
      <c r="C32" s="888">
        <f>'Control Assumptions'!E66</f>
        <v>240715.48338421382</v>
      </c>
    </row>
    <row r="33" spans="2:45">
      <c r="B33" s="26" t="s">
        <v>3714</v>
      </c>
      <c r="C33" s="888">
        <f>'Control Assumptions'!E67</f>
        <v>174779.29552087732</v>
      </c>
    </row>
    <row r="34" spans="2:45">
      <c r="B34" s="26" t="s">
        <v>102</v>
      </c>
      <c r="C34" s="888">
        <f>'Control Assumptions'!E68</f>
        <v>2696.1643307111453</v>
      </c>
    </row>
    <row r="35" spans="2:45">
      <c r="B35" s="26" t="s">
        <v>2831</v>
      </c>
      <c r="C35" s="888">
        <f>'Control Assumptions'!E69</f>
        <v>385246</v>
      </c>
    </row>
    <row r="36" spans="2:45">
      <c r="B36" s="26" t="s">
        <v>2832</v>
      </c>
      <c r="C36" s="888">
        <f>'Control Assumptions'!E70</f>
        <v>0</v>
      </c>
    </row>
    <row r="37" spans="2:45">
      <c r="B37" s="887"/>
      <c r="C37" s="81"/>
    </row>
    <row r="38" spans="2:45">
      <c r="B38" s="26" t="s">
        <v>3724</v>
      </c>
      <c r="C38" s="26">
        <f>'Control Assumptions'!E72</f>
        <v>2020</v>
      </c>
    </row>
    <row r="41" spans="2:45">
      <c r="B41" s="872" t="s">
        <v>3721</v>
      </c>
    </row>
    <row r="44" spans="2:45">
      <c r="B44" s="84" t="s">
        <v>125</v>
      </c>
      <c r="C44" s="34">
        <f>'National model results detailed'!C226</f>
        <v>2020</v>
      </c>
      <c r="D44" s="34">
        <f>'National model results detailed'!D226</f>
        <v>2021</v>
      </c>
      <c r="E44" s="34">
        <f>'National model results detailed'!E226</f>
        <v>2022</v>
      </c>
      <c r="F44" s="34">
        <f>'National model results detailed'!F226</f>
        <v>2023</v>
      </c>
      <c r="G44" s="34">
        <f>'National model results detailed'!G226</f>
        <v>2024</v>
      </c>
      <c r="H44" s="34">
        <f>'National model results detailed'!H226</f>
        <v>2025</v>
      </c>
      <c r="I44" s="34">
        <f>'National model results detailed'!I226</f>
        <v>2026</v>
      </c>
      <c r="J44" s="34">
        <f>'National model results detailed'!J226</f>
        <v>2027</v>
      </c>
      <c r="K44" s="34">
        <f>'National model results detailed'!K226</f>
        <v>2028</v>
      </c>
      <c r="L44" s="34">
        <f>'National model results detailed'!L226</f>
        <v>2029</v>
      </c>
      <c r="M44" s="34">
        <f>'National model results detailed'!M226</f>
        <v>2030</v>
      </c>
      <c r="N44" s="34">
        <f>'National model results detailed'!N226</f>
        <v>2031</v>
      </c>
      <c r="O44" s="34">
        <f>'National model results detailed'!O226</f>
        <v>2032</v>
      </c>
      <c r="P44" s="34">
        <f>'National model results detailed'!P226</f>
        <v>2033</v>
      </c>
      <c r="Q44" s="34">
        <f>'National model results detailed'!Q226</f>
        <v>2034</v>
      </c>
      <c r="R44" s="34">
        <f>'National model results detailed'!R226</f>
        <v>2035</v>
      </c>
      <c r="S44" s="34">
        <f>'National model results detailed'!S226</f>
        <v>2036</v>
      </c>
      <c r="T44" s="34">
        <f>'National model results detailed'!T226</f>
        <v>2037</v>
      </c>
      <c r="U44" s="34">
        <f>'National model results detailed'!U226</f>
        <v>2038</v>
      </c>
      <c r="V44" s="34">
        <f>'National model results detailed'!V226</f>
        <v>2039</v>
      </c>
      <c r="W44" s="34">
        <f>'National model results detailed'!W226</f>
        <v>2040</v>
      </c>
      <c r="X44" s="34">
        <f>'National model results detailed'!X226</f>
        <v>2041</v>
      </c>
      <c r="Y44" s="34">
        <f>'National model results detailed'!Y226</f>
        <v>2042</v>
      </c>
      <c r="Z44" s="34">
        <f>'National model results detailed'!Z226</f>
        <v>2043</v>
      </c>
      <c r="AA44" s="34">
        <f>'National model results detailed'!AA226</f>
        <v>2044</v>
      </c>
      <c r="AB44" s="34">
        <f>'National model results detailed'!AB226</f>
        <v>2045</v>
      </c>
      <c r="AC44" s="34">
        <f>'National model results detailed'!AC226</f>
        <v>2046</v>
      </c>
      <c r="AD44" s="34">
        <f>'National model results detailed'!AD226</f>
        <v>2047</v>
      </c>
      <c r="AE44" s="34">
        <f>'National model results detailed'!AE226</f>
        <v>2048</v>
      </c>
      <c r="AF44" s="34">
        <f>'National model results detailed'!AF226</f>
        <v>2049</v>
      </c>
      <c r="AG44" s="34">
        <f>'National model results detailed'!AG226</f>
        <v>2050</v>
      </c>
      <c r="AH44" s="34">
        <f>'National model results detailed'!AH226</f>
        <v>2051</v>
      </c>
      <c r="AI44" s="34">
        <f>'National model results detailed'!AI226</f>
        <v>2052</v>
      </c>
      <c r="AJ44" s="34">
        <f>'National model results detailed'!AJ226</f>
        <v>2053</v>
      </c>
      <c r="AK44" s="34">
        <f>'National model results detailed'!AK226</f>
        <v>2054</v>
      </c>
      <c r="AL44" s="34">
        <f>'National model results detailed'!AL226</f>
        <v>2055</v>
      </c>
      <c r="AM44" s="34">
        <f>'National model results detailed'!AM226</f>
        <v>2056</v>
      </c>
      <c r="AN44" s="34">
        <f>'National model results detailed'!AN226</f>
        <v>2057</v>
      </c>
      <c r="AO44" s="34">
        <f>'National model results detailed'!AO226</f>
        <v>2058</v>
      </c>
      <c r="AP44" s="34">
        <f>'National model results detailed'!AP226</f>
        <v>2059</v>
      </c>
      <c r="AQ44" s="34">
        <f>'National model results detailed'!AQ226</f>
        <v>2060</v>
      </c>
      <c r="AR44" s="34">
        <f>'National model results detailed'!AR226</f>
        <v>2061</v>
      </c>
      <c r="AS44" s="34">
        <f>'National model results detailed'!AS226</f>
        <v>2062</v>
      </c>
    </row>
    <row r="45" spans="2:45">
      <c r="B45" s="6" t="s">
        <v>11</v>
      </c>
      <c r="C45" s="888"/>
      <c r="D45" s="186">
        <f>('National model results detailed'!D227/'National model results detailed'!C227)-1</f>
        <v>6.3356363243454838E-2</v>
      </c>
      <c r="E45" s="186">
        <f>('National model results detailed'!E227/'National model results detailed'!D227)-1</f>
        <v>5.7146829883243599E-2</v>
      </c>
      <c r="F45" s="186">
        <f>('National model results detailed'!F227/'National model results detailed'!E227)-1</f>
        <v>5.2952243920678654E-2</v>
      </c>
      <c r="G45" s="186">
        <f>('National model results detailed'!G227/'National model results detailed'!F227)-1</f>
        <v>5.0378482351463028E-2</v>
      </c>
      <c r="H45" s="186">
        <f>('National model results detailed'!H227/'National model results detailed'!G227)-1</f>
        <v>4.8693737967594686E-2</v>
      </c>
      <c r="I45" s="186">
        <f>('National model results detailed'!I227/'National model results detailed'!H227)-1</f>
        <v>4.7163341465998654E-2</v>
      </c>
      <c r="J45" s="186">
        <f>('National model results detailed'!J227/'National model results detailed'!I227)-1</f>
        <v>4.6050718470550978E-2</v>
      </c>
      <c r="K45" s="186">
        <f>('National model results detailed'!K227/'National model results detailed'!J227)-1</f>
        <v>4.6801632907225832E-2</v>
      </c>
      <c r="L45" s="186">
        <f>('National model results detailed'!L227/'National model results detailed'!K227)-1</f>
        <v>4.6387152260139786E-2</v>
      </c>
      <c r="M45" s="186">
        <f>('National model results detailed'!M227/'National model results detailed'!L227)-1</f>
        <v>4.5475520977462436E-2</v>
      </c>
      <c r="N45" s="186">
        <f>('National model results detailed'!N227/'National model results detailed'!M227)-1</f>
        <v>4.4403798827431062E-2</v>
      </c>
      <c r="O45" s="186">
        <f>('National model results detailed'!O227/'National model results detailed'!N227)-1</f>
        <v>4.3272091571344706E-2</v>
      </c>
      <c r="P45" s="186">
        <f>('National model results detailed'!P227/'National model results detailed'!O227)-1</f>
        <v>4.2486514647726237E-2</v>
      </c>
      <c r="Q45" s="186">
        <f>('National model results detailed'!Q227/'National model results detailed'!P227)-1</f>
        <v>4.2059478100102465E-2</v>
      </c>
      <c r="R45" s="186">
        <f>('National model results detailed'!R227/'National model results detailed'!Q227)-1</f>
        <v>4.1691193729749942E-2</v>
      </c>
      <c r="S45" s="186">
        <f>('National model results detailed'!S227/'National model results detailed'!R227)-1</f>
        <v>4.1091153578232564E-2</v>
      </c>
      <c r="T45" s="186">
        <f>('National model results detailed'!T227/'National model results detailed'!S227)-1</f>
        <v>4.0555741326723904E-2</v>
      </c>
      <c r="U45" s="186">
        <f>('National model results detailed'!U227/'National model results detailed'!T227)-1</f>
        <v>4.0601947913771808E-2</v>
      </c>
      <c r="V45" s="186">
        <f>('National model results detailed'!V227/'National model results detailed'!U227)-1</f>
        <v>4.0176790229571546E-2</v>
      </c>
      <c r="W45" s="186">
        <f>('National model results detailed'!W227/'National model results detailed'!V227)-1</f>
        <v>3.9639840883753275E-2</v>
      </c>
      <c r="X45" s="186">
        <f>('National model results detailed'!X227/'National model results detailed'!W227)-1</f>
        <v>3.9105477140957579E-2</v>
      </c>
      <c r="Y45" s="186">
        <f>('National model results detailed'!Y227/'National model results detailed'!X227)-1</f>
        <v>3.8802971338331771E-2</v>
      </c>
      <c r="Z45" s="186">
        <f>('National model results detailed'!Z227/'National model results detailed'!Y227)-1</f>
        <v>3.8462503263547276E-2</v>
      </c>
      <c r="AA45" s="186">
        <f>('National model results detailed'!AA227/'National model results detailed'!Z227)-1</f>
        <v>3.8048919430232031E-2</v>
      </c>
      <c r="AB45" s="186">
        <f>('National model results detailed'!AB227/'National model results detailed'!AA227)-1</f>
        <v>3.7585839997622328E-2</v>
      </c>
      <c r="AC45" s="186">
        <f>('National model results detailed'!AC227/'National model results detailed'!AB227)-1</f>
        <v>3.7076431402914833E-2</v>
      </c>
      <c r="AD45" s="186">
        <f>('National model results detailed'!AD227/'National model results detailed'!AC227)-1</f>
        <v>3.6539679487644028E-2</v>
      </c>
      <c r="AE45" s="186">
        <f>('National model results detailed'!AE227/'National model results detailed'!AD227)-1</f>
        <v>3.5980982307064924E-2</v>
      </c>
      <c r="AF45" s="186">
        <f>('National model results detailed'!AF227/'National model results detailed'!AE227)-1</f>
        <v>3.5476452219602495E-2</v>
      </c>
      <c r="AG45" s="186">
        <f>('National model results detailed'!AG227/'National model results detailed'!AF227)-1</f>
        <v>3.5162547478932549E-2</v>
      </c>
      <c r="AH45" s="186">
        <f>('National model results detailed'!AH227/'National model results detailed'!AG227)-1</f>
        <v>3.4874760798254023E-2</v>
      </c>
      <c r="AI45" s="186">
        <f>('National model results detailed'!AI227/'National model results detailed'!AH227)-1</f>
        <v>3.4656834448735685E-2</v>
      </c>
      <c r="AJ45" s="186">
        <f>('National model results detailed'!AJ227/'National model results detailed'!AI227)-1</f>
        <v>3.4253896417119956E-2</v>
      </c>
      <c r="AK45" s="186">
        <f>('National model results detailed'!AK227/'National model results detailed'!AJ227)-1</f>
        <v>3.3720384730701936E-2</v>
      </c>
      <c r="AL45" s="186">
        <f>('National model results detailed'!AL227/'National model results detailed'!AK227)-1</f>
        <v>3.3108025250271789E-2</v>
      </c>
      <c r="AM45" s="186">
        <f>('National model results detailed'!AM227/'National model results detailed'!AL227)-1</f>
        <v>3.2570656199958581E-2</v>
      </c>
      <c r="AN45" s="186">
        <f>('National model results detailed'!AN227/'National model results detailed'!AM227)-1</f>
        <v>3.2060030768672032E-2</v>
      </c>
      <c r="AO45" s="186">
        <f>('National model results detailed'!AO227/'National model results detailed'!AN227)-1</f>
        <v>3.1539117689257656E-2</v>
      </c>
      <c r="AP45" s="186">
        <f>('National model results detailed'!AP227/'National model results detailed'!AO227)-1</f>
        <v>3.1223891086651578E-2</v>
      </c>
      <c r="AQ45" s="186">
        <f>('National model results detailed'!AQ227/'National model results detailed'!AP227)-1</f>
        <v>3.112833678510829E-2</v>
      </c>
      <c r="AR45" s="186">
        <f>('National model results detailed'!AR227/'National model results detailed'!AQ227)-1</f>
        <v>3.1201481130570974E-2</v>
      </c>
      <c r="AS45" s="186">
        <f>('National model results detailed'!AS227/'National model results detailed'!AR227)-1</f>
        <v>3.018627103207927E-2</v>
      </c>
    </row>
    <row r="46" spans="2:45">
      <c r="B46" s="6" t="s">
        <v>14</v>
      </c>
      <c r="C46" s="888"/>
      <c r="D46" s="186">
        <f>('National model results detailed'!D228/'National model results detailed'!C228)-1</f>
        <v>5.7759769864436317E-2</v>
      </c>
      <c r="E46" s="186">
        <f>('National model results detailed'!E228/'National model results detailed'!D228)-1</f>
        <v>5.1732335269207175E-2</v>
      </c>
      <c r="F46" s="186">
        <f>('National model results detailed'!F228/'National model results detailed'!E228)-1</f>
        <v>4.7745727464189258E-2</v>
      </c>
      <c r="G46" s="186">
        <f>('National model results detailed'!G228/'National model results detailed'!F228)-1</f>
        <v>4.5408004227315502E-2</v>
      </c>
      <c r="H46" s="186">
        <f>('National model results detailed'!H228/'National model results detailed'!G228)-1</f>
        <v>4.3953038555506696E-2</v>
      </c>
      <c r="I46" s="186">
        <f>('National model results detailed'!I228/'National model results detailed'!H228)-1</f>
        <v>4.2601261274375135E-2</v>
      </c>
      <c r="J46" s="186">
        <f>('National model results detailed'!J228/'National model results detailed'!I228)-1</f>
        <v>4.1654545642207497E-2</v>
      </c>
      <c r="K46" s="186">
        <f>('National model results detailed'!K228/'National model results detailed'!J228)-1</f>
        <v>4.2710801962706935E-2</v>
      </c>
      <c r="L46" s="186">
        <f>('National model results detailed'!L228/'National model results detailed'!K228)-1</f>
        <v>4.2444264037693413E-2</v>
      </c>
      <c r="M46" s="186">
        <f>('National model results detailed'!M228/'National model results detailed'!L228)-1</f>
        <v>4.1603033980918136E-2</v>
      </c>
      <c r="N46" s="186">
        <f>('National model results detailed'!N228/'National model results detailed'!M228)-1</f>
        <v>4.0566379301674393E-2</v>
      </c>
      <c r="O46" s="186">
        <f>('National model results detailed'!O228/'National model results detailed'!N228)-1</f>
        <v>3.9448663802549744E-2</v>
      </c>
      <c r="P46" s="186">
        <f>('National model results detailed'!P228/'National model results detailed'!O228)-1</f>
        <v>3.8705730052934539E-2</v>
      </c>
      <c r="Q46" s="186">
        <f>('National model results detailed'!Q228/'National model results detailed'!P228)-1</f>
        <v>3.8352668104298271E-2</v>
      </c>
      <c r="R46" s="186">
        <f>('National model results detailed'!R228/'National model results detailed'!Q228)-1</f>
        <v>3.8053497010815063E-2</v>
      </c>
      <c r="S46" s="186">
        <f>('National model results detailed'!S228/'National model results detailed'!R228)-1</f>
        <v>3.7482065026572364E-2</v>
      </c>
      <c r="T46" s="186">
        <f>('National model results detailed'!T228/'National model results detailed'!S228)-1</f>
        <v>3.6976521024859821E-2</v>
      </c>
      <c r="U46" s="186">
        <f>('National model results detailed'!U228/'National model results detailed'!T228)-1</f>
        <v>3.7125959101678374E-2</v>
      </c>
      <c r="V46" s="186">
        <f>('National model results detailed'!V228/'National model results detailed'!U228)-1</f>
        <v>3.67281027541142E-2</v>
      </c>
      <c r="W46" s="186">
        <f>('National model results detailed'!W228/'National model results detailed'!V228)-1</f>
        <v>3.6197657793405336E-2</v>
      </c>
      <c r="X46" s="186">
        <f>('National model results detailed'!X228/'National model results detailed'!W228)-1</f>
        <v>3.566665212656539E-2</v>
      </c>
      <c r="Y46" s="186">
        <f>('National model results detailed'!Y228/'National model results detailed'!X228)-1</f>
        <v>3.5399490778087017E-2</v>
      </c>
      <c r="Z46" s="186">
        <f>('National model results detailed'!Z228/'National model results detailed'!Y228)-1</f>
        <v>3.5083612446086487E-2</v>
      </c>
      <c r="AA46" s="186">
        <f>('National model results detailed'!AA228/'National model results detailed'!Z228)-1</f>
        <v>3.4678912126754557E-2</v>
      </c>
      <c r="AB46" s="186">
        <f>('National model results detailed'!AB228/'National model results detailed'!AA228)-1</f>
        <v>3.4213424392351754E-2</v>
      </c>
      <c r="AC46" s="186">
        <f>('National model results detailed'!AC228/'National model results detailed'!AB228)-1</f>
        <v>3.3691046533771862E-2</v>
      </c>
      <c r="AD46" s="186">
        <f>('National model results detailed'!AD228/'National model results detailed'!AC228)-1</f>
        <v>3.3134064438678612E-2</v>
      </c>
      <c r="AE46" s="186">
        <f>('National model results detailed'!AE228/'National model results detailed'!AD228)-1</f>
        <v>3.2548701952342496E-2</v>
      </c>
      <c r="AF46" s="186">
        <f>('National model results detailed'!AF228/'National model results detailed'!AE228)-1</f>
        <v>3.2024592465474289E-2</v>
      </c>
      <c r="AG46" s="186">
        <f>('National model results detailed'!AG228/'National model results detailed'!AF228)-1</f>
        <v>3.1722979360258918E-2</v>
      </c>
      <c r="AH46" s="186">
        <f>('National model results detailed'!AH228/'National model results detailed'!AG228)-1</f>
        <v>3.1448129487550602E-2</v>
      </c>
      <c r="AI46" s="186">
        <f>('National model results detailed'!AI228/'National model results detailed'!AH228)-1</f>
        <v>3.1252644679109265E-2</v>
      </c>
      <c r="AJ46" s="186">
        <f>('National model results detailed'!AJ228/'National model results detailed'!AI228)-1</f>
        <v>3.0832099153483172E-2</v>
      </c>
      <c r="AK46" s="186">
        <f>('National model results detailed'!AK228/'National model results detailed'!AJ228)-1</f>
        <v>3.0252671749803728E-2</v>
      </c>
      <c r="AL46" s="186">
        <f>('National model results detailed'!AL228/'National model results detailed'!AK228)-1</f>
        <v>2.9576718573168792E-2</v>
      </c>
      <c r="AM46" s="186">
        <f>('National model results detailed'!AM228/'National model results detailed'!AL228)-1</f>
        <v>2.8989669481356506E-2</v>
      </c>
      <c r="AN46" s="186">
        <f>('National model results detailed'!AN228/'National model results detailed'!AM228)-1</f>
        <v>2.8432342537936472E-2</v>
      </c>
      <c r="AO46" s="186">
        <f>('National model results detailed'!AO228/'National model results detailed'!AN228)-1</f>
        <v>2.78594012896487E-2</v>
      </c>
      <c r="AP46" s="186">
        <f>('National model results detailed'!AP228/'National model results detailed'!AO228)-1</f>
        <v>2.7534347944733639E-2</v>
      </c>
      <c r="AQ46" s="186">
        <f>('National model results detailed'!AQ228/'National model results detailed'!AP228)-1</f>
        <v>2.7474078309736694E-2</v>
      </c>
      <c r="AR46" s="186">
        <f>('National model results detailed'!AR228/'National model results detailed'!AQ228)-1</f>
        <v>2.7616278277930562E-2</v>
      </c>
      <c r="AS46" s="186">
        <f>('National model results detailed'!AS228/'National model results detailed'!AR228)-1</f>
        <v>2.6410858387571068E-2</v>
      </c>
    </row>
    <row r="47" spans="2:45">
      <c r="B47" s="6" t="s">
        <v>15</v>
      </c>
      <c r="C47" s="888"/>
      <c r="D47" s="186">
        <f>('National model results detailed'!D229/'National model results detailed'!C229)-1</f>
        <v>6.8992394000492618E-2</v>
      </c>
      <c r="E47" s="186">
        <f>('National model results detailed'!E229/'National model results detailed'!D229)-1</f>
        <v>6.2886063858128116E-2</v>
      </c>
      <c r="F47" s="186">
        <f>('National model results detailed'!F229/'National model results detailed'!E229)-1</f>
        <v>5.8744880566102387E-2</v>
      </c>
      <c r="G47" s="186">
        <f>('National model results detailed'!G229/'National model results detailed'!F229)-1</f>
        <v>5.616707012624822E-2</v>
      </c>
      <c r="H47" s="186">
        <f>('National model results detailed'!H229/'National model results detailed'!G229)-1</f>
        <v>5.4439597869158751E-2</v>
      </c>
      <c r="I47" s="186">
        <f>('National model results detailed'!I229/'National model results detailed'!H229)-1</f>
        <v>5.2862173029874837E-2</v>
      </c>
      <c r="J47" s="186">
        <f>('National model results detailed'!J229/'National model results detailed'!I229)-1</f>
        <v>5.1681718415307554E-2</v>
      </c>
      <c r="K47" s="186">
        <f>('National model results detailed'!K229/'National model results detailed'!J229)-1</f>
        <v>5.2237142563281491E-2</v>
      </c>
      <c r="L47" s="186">
        <f>('National model results detailed'!L229/'National model results detailed'!K229)-1</f>
        <v>5.1703482398698375E-2</v>
      </c>
      <c r="M47" s="186">
        <f>('National model results detailed'!M229/'National model results detailed'!L229)-1</f>
        <v>5.0715408030431064E-2</v>
      </c>
      <c r="N47" s="186">
        <f>('National model results detailed'!N229/'National model results detailed'!M229)-1</f>
        <v>4.958938812494007E-2</v>
      </c>
      <c r="O47" s="186">
        <f>('National model results detailed'!O229/'National model results detailed'!N229)-1</f>
        <v>4.8418995200566695E-2</v>
      </c>
      <c r="P47" s="186">
        <f>('National model results detailed'!P229/'National model results detailed'!O229)-1</f>
        <v>4.7572876267136133E-2</v>
      </c>
      <c r="Q47" s="186">
        <f>('National model results detailed'!Q229/'National model results detailed'!P229)-1</f>
        <v>4.7057421181427417E-2</v>
      </c>
      <c r="R47" s="186">
        <f>('National model results detailed'!R229/'National model results detailed'!Q229)-1</f>
        <v>4.6599089092485668E-2</v>
      </c>
      <c r="S47" s="186">
        <f>('National model results detailed'!S229/'National model results detailed'!R229)-1</f>
        <v>4.5938044181877746E-2</v>
      </c>
      <c r="T47" s="186">
        <f>('National model results detailed'!T229/'National model results detailed'!S229)-1</f>
        <v>4.5340799993330627E-2</v>
      </c>
      <c r="U47" s="186">
        <f>('National model results detailed'!U229/'National model results detailed'!T229)-1</f>
        <v>4.526389496581773E-2</v>
      </c>
      <c r="V47" s="186">
        <f>('National model results detailed'!V229/'National model results detailed'!U229)-1</f>
        <v>4.4772985057683679E-2</v>
      </c>
      <c r="W47" s="186">
        <f>('National model results detailed'!W229/'National model results detailed'!V229)-1</f>
        <v>4.4189173120238845E-2</v>
      </c>
      <c r="X47" s="186">
        <f>('National model results detailed'!X229/'National model results detailed'!W229)-1</f>
        <v>4.3613411340688746E-2</v>
      </c>
      <c r="Y47" s="186">
        <f>('National model results detailed'!Y229/'National model results detailed'!X229)-1</f>
        <v>4.32447381804415E-2</v>
      </c>
      <c r="Z47" s="186">
        <f>('National model results detailed'!Z229/'National model results detailed'!Y229)-1</f>
        <v>4.2846870264569903E-2</v>
      </c>
      <c r="AA47" s="186">
        <f>('National model results detailed'!AA229/'National model results detailed'!Z229)-1</f>
        <v>4.2389883597681477E-2</v>
      </c>
      <c r="AB47" s="186">
        <f>('National model results detailed'!AB229/'National model results detailed'!AA229)-1</f>
        <v>4.1894721261681811E-2</v>
      </c>
      <c r="AC47" s="186">
        <f>('National model results detailed'!AC229/'National model results detailed'!AB229)-1</f>
        <v>4.1364435262848387E-2</v>
      </c>
      <c r="AD47" s="186">
        <f>('National model results detailed'!AD229/'National model results detailed'!AC229)-1</f>
        <v>4.081546823435267E-2</v>
      </c>
      <c r="AE47" s="186">
        <f>('National model results detailed'!AE229/'National model results detailed'!AD229)-1</f>
        <v>4.0252469950116998E-2</v>
      </c>
      <c r="AF47" s="186">
        <f>('National model results detailed'!AF229/'National model results detailed'!AE229)-1</f>
        <v>3.9739734942503935E-2</v>
      </c>
      <c r="AG47" s="186">
        <f>('National model results detailed'!AG229/'National model results detailed'!AF229)-1</f>
        <v>3.9391303587958726E-2</v>
      </c>
      <c r="AH47" s="186">
        <f>('National model results detailed'!AH229/'National model results detailed'!AG229)-1</f>
        <v>3.9067430538685555E-2</v>
      </c>
      <c r="AI47" s="186">
        <f>('National model results detailed'!AI229/'National model results detailed'!AH229)-1</f>
        <v>3.8804376970966281E-2</v>
      </c>
      <c r="AJ47" s="186">
        <f>('National model results detailed'!AJ229/'National model results detailed'!AI229)-1</f>
        <v>3.8389759869759121E-2</v>
      </c>
      <c r="AK47" s="186">
        <f>('National model results detailed'!AK229/'National model results detailed'!AJ229)-1</f>
        <v>3.7870379368955431E-2</v>
      </c>
      <c r="AL47" s="186">
        <f>('National model results detailed'!AL229/'National model results detailed'!AK229)-1</f>
        <v>3.7289961525092341E-2</v>
      </c>
      <c r="AM47" s="186">
        <f>('National model results detailed'!AM229/'National model results detailed'!AL229)-1</f>
        <v>3.6775347476981857E-2</v>
      </c>
      <c r="AN47" s="186">
        <f>('National model results detailed'!AN229/'National model results detailed'!AM229)-1</f>
        <v>3.628620918621972E-2</v>
      </c>
      <c r="AO47" s="186">
        <f>('National model results detailed'!AO229/'National model results detailed'!AN229)-1</f>
        <v>3.5792043548722008E-2</v>
      </c>
      <c r="AP47" s="186">
        <f>('National model results detailed'!AP229/'National model results detailed'!AO229)-1</f>
        <v>3.5468004375526885E-2</v>
      </c>
      <c r="AQ47" s="186">
        <f>('National model results detailed'!AQ229/'National model results detailed'!AP229)-1</f>
        <v>3.5323375608759644E-2</v>
      </c>
      <c r="AR47" s="186">
        <f>('National model results detailed'!AR229/'National model results detailed'!AQ229)-1</f>
        <v>3.5315189858455387E-2</v>
      </c>
      <c r="AS47" s="186">
        <f>('National model results detailed'!AS229/'National model results detailed'!AR229)-1</f>
        <v>3.44351645616503E-2</v>
      </c>
    </row>
    <row r="48" spans="2:45">
      <c r="B48" s="6" t="s">
        <v>16</v>
      </c>
      <c r="C48" s="888"/>
      <c r="D48" s="186">
        <f>('National model results detailed'!D230/'National model results detailed'!C230)-1</f>
        <v>6.2047655012670511E-2</v>
      </c>
      <c r="E48" s="186">
        <f>('National model results detailed'!E230/'National model results detailed'!D230)-1</f>
        <v>5.5987084254819575E-2</v>
      </c>
      <c r="F48" s="186">
        <f>('National model results detailed'!F230/'National model results detailed'!E230)-1</f>
        <v>5.1939879188942717E-2</v>
      </c>
      <c r="G48" s="186">
        <f>('National model results detailed'!G230/'National model results detailed'!F230)-1</f>
        <v>4.9510142676490565E-2</v>
      </c>
      <c r="H48" s="186">
        <f>('National model results detailed'!H230/'National model results detailed'!G230)-1</f>
        <v>4.7953173997670184E-2</v>
      </c>
      <c r="I48" s="186">
        <f>('National model results detailed'!I230/'National model results detailed'!H230)-1</f>
        <v>4.6521203736050065E-2</v>
      </c>
      <c r="J48" s="186">
        <f>('National model results detailed'!J230/'National model results detailed'!I230)-1</f>
        <v>4.5492885997941324E-2</v>
      </c>
      <c r="K48" s="186">
        <f>('National model results detailed'!K230/'National model results detailed'!J230)-1</f>
        <v>4.635952666836074E-2</v>
      </c>
      <c r="L48" s="186">
        <f>('National model results detailed'!L230/'National model results detailed'!K230)-1</f>
        <v>4.6000894493039901E-2</v>
      </c>
      <c r="M48" s="186">
        <f>('National model results detailed'!M230/'National model results detailed'!L230)-1</f>
        <v>4.5117371761248748E-2</v>
      </c>
      <c r="N48" s="186">
        <f>('National model results detailed'!N230/'National model results detailed'!M230)-1</f>
        <v>4.406195225619558E-2</v>
      </c>
      <c r="O48" s="186">
        <f>('National model results detailed'!O230/'National model results detailed'!N230)-1</f>
        <v>4.2940328825744167E-2</v>
      </c>
      <c r="P48" s="186">
        <f>('National model results detailed'!P230/'National model results detailed'!O230)-1</f>
        <v>4.2172240395023097E-2</v>
      </c>
      <c r="Q48" s="186">
        <f>('National model results detailed'!Q230/'National model results detailed'!P230)-1</f>
        <v>4.1769206921736801E-2</v>
      </c>
      <c r="R48" s="186">
        <f>('National model results detailed'!R230/'National model results detailed'!Q230)-1</f>
        <v>4.1421201854159317E-2</v>
      </c>
      <c r="S48" s="186">
        <f>('National model results detailed'!S230/'National model results detailed'!R230)-1</f>
        <v>4.0829683666246952E-2</v>
      </c>
      <c r="T48" s="186">
        <f>('National model results detailed'!T230/'National model results detailed'!S230)-1</f>
        <v>4.0302761581788138E-2</v>
      </c>
      <c r="U48" s="186">
        <f>('National model results detailed'!U230/'National model results detailed'!T230)-1</f>
        <v>4.0373818879280154E-2</v>
      </c>
      <c r="V48" s="186">
        <f>('National model results detailed'!V230/'National model results detailed'!U230)-1</f>
        <v>3.9953383381411411E-2</v>
      </c>
      <c r="W48" s="186">
        <f>('National model results detailed'!W230/'National model results detailed'!V230)-1</f>
        <v>3.9416614439001796E-2</v>
      </c>
      <c r="X48" s="186">
        <f>('National model results detailed'!X230/'National model results detailed'!W230)-1</f>
        <v>3.8882448586103902E-2</v>
      </c>
      <c r="Y48" s="186">
        <f>('National model results detailed'!Y230/'National model results detailed'!X230)-1</f>
        <v>3.8587555409271168E-2</v>
      </c>
      <c r="Z48" s="186">
        <f>('National model results detailed'!Z230/'National model results detailed'!Y230)-1</f>
        <v>3.8251886968480031E-2</v>
      </c>
      <c r="AA48" s="186">
        <f>('National model results detailed'!AA230/'National model results detailed'!Z230)-1</f>
        <v>3.7839721866428144E-2</v>
      </c>
      <c r="AB48" s="186">
        <f>('National model results detailed'!AB230/'National model results detailed'!AA230)-1</f>
        <v>3.7376116779994639E-2</v>
      </c>
      <c r="AC48" s="186">
        <f>('National model results detailed'!AC230/'National model results detailed'!AB230)-1</f>
        <v>3.6864688003651613E-2</v>
      </c>
      <c r="AD48" s="186">
        <f>('National model results detailed'!AD230/'National model results detailed'!AC230)-1</f>
        <v>3.6325293306840312E-2</v>
      </c>
      <c r="AE48" s="186">
        <f>('National model results detailed'!AE230/'National model results detailed'!AD230)-1</f>
        <v>3.5763570633767117E-2</v>
      </c>
      <c r="AF48" s="186">
        <f>('National model results detailed'!AF230/'National model results detailed'!AE230)-1</f>
        <v>3.5258222713773213E-2</v>
      </c>
      <c r="AG48" s="186">
        <f>('National model results detailed'!AG230/'National model results detailed'!AF230)-1</f>
        <v>3.4949909531882817E-2</v>
      </c>
      <c r="AH48" s="186">
        <f>('National model results detailed'!AH230/'National model results detailed'!AG230)-1</f>
        <v>3.4667300738247198E-2</v>
      </c>
      <c r="AI48" s="186">
        <f>('National model results detailed'!AI230/'National model results detailed'!AH230)-1</f>
        <v>3.4455783919547844E-2</v>
      </c>
      <c r="AJ48" s="186">
        <f>('National model results detailed'!AJ230/'National model results detailed'!AI230)-1</f>
        <v>3.4051460304269865E-2</v>
      </c>
      <c r="AK48" s="186">
        <f>('National model results detailed'!AK230/'National model results detailed'!AJ230)-1</f>
        <v>3.3512119667839624E-2</v>
      </c>
      <c r="AL48" s="186">
        <f>('National model results detailed'!AL230/'National model results detailed'!AK230)-1</f>
        <v>3.2892049988660688E-2</v>
      </c>
      <c r="AM48" s="186">
        <f>('National model results detailed'!AM230/'National model results detailed'!AL230)-1</f>
        <v>3.2350762565847679E-2</v>
      </c>
      <c r="AN48" s="186">
        <f>('National model results detailed'!AN230/'National model results detailed'!AM230)-1</f>
        <v>3.1837518369898454E-2</v>
      </c>
      <c r="AO48" s="186">
        <f>('National model results detailed'!AO230/'National model results detailed'!AN230)-1</f>
        <v>3.131367568743304E-2</v>
      </c>
      <c r="AP48" s="186">
        <f>('National model results detailed'!AP230/'National model results detailed'!AO230)-1</f>
        <v>3.1003010718946289E-2</v>
      </c>
      <c r="AQ48" s="186">
        <f>('National model results detailed'!AQ230/'National model results detailed'!AP230)-1</f>
        <v>3.0918711239961816E-2</v>
      </c>
      <c r="AR48" s="186">
        <f>('National model results detailed'!AR230/'National model results detailed'!AQ230)-1</f>
        <v>3.1006878217078704E-2</v>
      </c>
      <c r="AS48" s="186">
        <f>('National model results detailed'!AS230/'National model results detailed'!AR230)-1</f>
        <v>2.9963843917587552E-2</v>
      </c>
    </row>
    <row r="49" spans="2:45">
      <c r="B49" s="6" t="s">
        <v>103</v>
      </c>
      <c r="C49" s="888"/>
      <c r="D49" s="186">
        <f>('National model results detailed'!D231/'National model results detailed'!C231)-1</f>
        <v>6.6057054809569804E-2</v>
      </c>
      <c r="E49" s="186">
        <f>('National model results detailed'!E231/'National model results detailed'!D231)-1</f>
        <v>5.9909464533672407E-2</v>
      </c>
      <c r="F49" s="186">
        <f>('National model results detailed'!F231/'National model results detailed'!E231)-1</f>
        <v>5.5717346423196368E-2</v>
      </c>
      <c r="G49" s="186">
        <f>('National model results detailed'!G231/'National model results detailed'!F231)-1</f>
        <v>5.3080692417926789E-2</v>
      </c>
      <c r="H49" s="186">
        <f>('National model results detailed'!H231/'National model results detailed'!G231)-1</f>
        <v>5.1296089156100511E-2</v>
      </c>
      <c r="I49" s="186">
        <f>('National model results detailed'!I231/'National model results detailed'!H231)-1</f>
        <v>4.9673869776293955E-2</v>
      </c>
      <c r="J49" s="186">
        <f>('National model results detailed'!J231/'National model results detailed'!I231)-1</f>
        <v>4.8452177032356492E-2</v>
      </c>
      <c r="K49" s="186">
        <f>('National model results detailed'!K231/'National model results detailed'!J231)-1</f>
        <v>4.8937969675225013E-2</v>
      </c>
      <c r="L49" s="186">
        <f>('National model results detailed'!L231/'National model results detailed'!K231)-1</f>
        <v>4.8370027612498534E-2</v>
      </c>
      <c r="M49" s="186">
        <f>('National model results detailed'!M231/'National model results detailed'!L231)-1</f>
        <v>4.736439900193723E-2</v>
      </c>
      <c r="N49" s="186">
        <f>('National model results detailed'!N231/'National model results detailed'!M231)-1</f>
        <v>4.6228085688630571E-2</v>
      </c>
      <c r="O49" s="186">
        <f>('National model results detailed'!O231/'National model results detailed'!N231)-1</f>
        <v>4.5051441918272817E-2</v>
      </c>
      <c r="P49" s="186">
        <f>('National model results detailed'!P231/'National model results detailed'!O231)-1</f>
        <v>4.4193449440302013E-2</v>
      </c>
      <c r="Q49" s="186">
        <f>('National model results detailed'!Q231/'National model results detailed'!P231)-1</f>
        <v>4.3660471850631266E-2</v>
      </c>
      <c r="R49" s="186">
        <f>('National model results detailed'!R231/'National model results detailed'!Q231)-1</f>
        <v>4.3186035722246441E-2</v>
      </c>
      <c r="S49" s="186">
        <f>('National model results detailed'!S231/'National model results detailed'!R231)-1</f>
        <v>4.2516625748903136E-2</v>
      </c>
      <c r="T49" s="186">
        <f>('National model results detailed'!T231/'National model results detailed'!S231)-1</f>
        <v>4.1910887899153426E-2</v>
      </c>
      <c r="U49" s="186">
        <f>('National model results detailed'!U231/'National model results detailed'!T231)-1</f>
        <v>4.1812938939903788E-2</v>
      </c>
      <c r="V49" s="186">
        <f>('National model results detailed'!V231/'National model results detailed'!U231)-1</f>
        <v>4.1314704476820951E-2</v>
      </c>
      <c r="W49" s="186">
        <f>('National model results detailed'!W231/'National model results detailed'!V231)-1</f>
        <v>4.0727136250279017E-2</v>
      </c>
      <c r="X49" s="186">
        <f>('National model results detailed'!X231/'National model results detailed'!W231)-1</f>
        <v>4.0148054442926684E-2</v>
      </c>
      <c r="Y49" s="186">
        <f>('National model results detailed'!Y231/'National model results detailed'!X231)-1</f>
        <v>3.9770798040481559E-2</v>
      </c>
      <c r="Z49" s="186">
        <f>('National model results detailed'!Z231/'National model results detailed'!Y231)-1</f>
        <v>3.9366268169729324E-2</v>
      </c>
      <c r="AA49" s="186">
        <f>('National model results detailed'!AA231/'National model results detailed'!Z231)-1</f>
        <v>3.8905198593902179E-2</v>
      </c>
      <c r="AB49" s="186">
        <f>('National model results detailed'!AB231/'National model results detailed'!AA231)-1</f>
        <v>3.8407687222157483E-2</v>
      </c>
      <c r="AC49" s="186">
        <f>('National model results detailed'!AC231/'National model results detailed'!AB231)-1</f>
        <v>3.7876569376022129E-2</v>
      </c>
      <c r="AD49" s="186">
        <f>('National model results detailed'!AD231/'National model results detailed'!AC231)-1</f>
        <v>3.7327701379421763E-2</v>
      </c>
      <c r="AE49" s="186">
        <f>('National model results detailed'!AE231/'National model results detailed'!AD231)-1</f>
        <v>3.6765558343130555E-2</v>
      </c>
      <c r="AF49" s="186">
        <f>('National model results detailed'!AF231/'National model results detailed'!AE231)-1</f>
        <v>3.62524230309198E-2</v>
      </c>
      <c r="AG49" s="186">
        <f>('National model results detailed'!AG231/'National model results detailed'!AF231)-1</f>
        <v>3.5898871293282397E-2</v>
      </c>
      <c r="AH49" s="186">
        <f>('National model results detailed'!AH231/'National model results detailed'!AG231)-1</f>
        <v>3.5569905240248056E-2</v>
      </c>
      <c r="AI49" s="186">
        <f>('National model results detailed'!AI231/'National model results detailed'!AH231)-1</f>
        <v>3.5300551422162929E-2</v>
      </c>
      <c r="AJ49" s="186">
        <f>('National model results detailed'!AJ231/'National model results detailed'!AI231)-1</f>
        <v>3.4885329040580171E-2</v>
      </c>
      <c r="AK49" s="186">
        <f>('National model results detailed'!AK231/'National model results detailed'!AJ231)-1</f>
        <v>3.4369064217103507E-2</v>
      </c>
      <c r="AL49" s="186">
        <f>('National model results detailed'!AL231/'National model results detailed'!AK231)-1</f>
        <v>3.3793815389581816E-2</v>
      </c>
      <c r="AM49" s="186">
        <f>('National model results detailed'!AM231/'National model results detailed'!AL231)-1</f>
        <v>3.3282121439152768E-2</v>
      </c>
      <c r="AN49" s="186">
        <f>('National model results detailed'!AN231/'National model results detailed'!AM231)-1</f>
        <v>3.2795237286861623E-2</v>
      </c>
      <c r="AO49" s="186">
        <f>('National model results detailed'!AO231/'National model results detailed'!AN231)-1</f>
        <v>3.2303774055620682E-2</v>
      </c>
      <c r="AP49" s="186">
        <f>('National model results detailed'!AP231/'National model results detailed'!AO231)-1</f>
        <v>3.1976844756401279E-2</v>
      </c>
      <c r="AQ49" s="186">
        <f>('National model results detailed'!AQ231/'National model results detailed'!AP231)-1</f>
        <v>3.1823765507888568E-2</v>
      </c>
      <c r="AR49" s="186">
        <f>('National model results detailed'!AR231/'National model results detailed'!AQ231)-1</f>
        <v>3.1803349313902274E-2</v>
      </c>
      <c r="AS49" s="186">
        <f>('National model results detailed'!AS231/'National model results detailed'!AR231)-1</f>
        <v>3.094310647782339E-2</v>
      </c>
    </row>
    <row r="50" spans="2:45">
      <c r="B50" s="6" t="s">
        <v>104</v>
      </c>
      <c r="C50" s="888"/>
      <c r="D50" s="186">
        <f>('National model results detailed'!D232/'National model results detailed'!C232)-1</f>
        <v>5.7606620130851383E-2</v>
      </c>
      <c r="E50" s="186">
        <f>('National model results detailed'!E232/'National model results detailed'!D232)-1</f>
        <v>5.1377446912861391E-2</v>
      </c>
      <c r="F50" s="186">
        <f>('National model results detailed'!F232/'National model results detailed'!E232)-1</f>
        <v>4.7170751582028769E-2</v>
      </c>
      <c r="G50" s="186">
        <f>('National model results detailed'!G232/'National model results detailed'!F232)-1</f>
        <v>4.4596769807683678E-2</v>
      </c>
      <c r="H50" s="186">
        <f>('National model results detailed'!H232/'National model results detailed'!G232)-1</f>
        <v>4.2920655074943248E-2</v>
      </c>
      <c r="I50" s="186">
        <f>('National model results detailed'!I232/'National model results detailed'!H232)-1</f>
        <v>4.139938543946875E-2</v>
      </c>
      <c r="J50" s="186">
        <f>('National model results detailed'!J232/'National model results detailed'!I232)-1</f>
        <v>4.0301142577901183E-2</v>
      </c>
      <c r="K50" s="186">
        <f>('National model results detailed'!K232/'National model results detailed'!J232)-1</f>
        <v>4.1102727145562179E-2</v>
      </c>
      <c r="L50" s="186">
        <f>('National model results detailed'!L232/'National model results detailed'!K232)-1</f>
        <v>4.0718011773082319E-2</v>
      </c>
      <c r="M50" s="186">
        <f>('National model results detailed'!M232/'National model results detailed'!L232)-1</f>
        <v>3.9823862259207088E-2</v>
      </c>
      <c r="N50" s="186">
        <f>('National model results detailed'!N232/'National model results detailed'!M232)-1</f>
        <v>3.8762930039276888E-2</v>
      </c>
      <c r="O50" s="186">
        <f>('National model results detailed'!O232/'National model results detailed'!N232)-1</f>
        <v>3.7637068822186093E-2</v>
      </c>
      <c r="P50" s="186">
        <f>('National model results detailed'!P232/'National model results detailed'!O232)-1</f>
        <v>3.6863826622950624E-2</v>
      </c>
      <c r="Q50" s="186">
        <f>('National model results detailed'!Q232/'National model results detailed'!P232)-1</f>
        <v>3.6457833042879972E-2</v>
      </c>
      <c r="R50" s="186">
        <f>('National model results detailed'!R232/'National model results detailed'!Q232)-1</f>
        <v>3.6111373773006328E-2</v>
      </c>
      <c r="S50" s="186">
        <f>('National model results detailed'!S232/'National model results detailed'!R232)-1</f>
        <v>3.5524171567493878E-2</v>
      </c>
      <c r="T50" s="186">
        <f>('National model results detailed'!T232/'National model results detailed'!S232)-1</f>
        <v>3.5001959841685304E-2</v>
      </c>
      <c r="U50" s="186">
        <f>('National model results detailed'!U232/'National model results detailed'!T232)-1</f>
        <v>3.5081501095966416E-2</v>
      </c>
      <c r="V50" s="186">
        <f>('National model results detailed'!V232/'National model results detailed'!U232)-1</f>
        <v>3.4671374486322737E-2</v>
      </c>
      <c r="W50" s="186">
        <f>('National model results detailed'!W232/'National model results detailed'!V232)-1</f>
        <v>3.4143368071296587E-2</v>
      </c>
      <c r="X50" s="186">
        <f>('National model results detailed'!X232/'National model results detailed'!W232)-1</f>
        <v>3.3616189777997185E-2</v>
      </c>
      <c r="Y50" s="186">
        <f>('National model results detailed'!Y232/'National model results detailed'!X232)-1</f>
        <v>3.3329304939747173E-2</v>
      </c>
      <c r="Z50" s="186">
        <f>('National model results detailed'!Z232/'National model results detailed'!Y232)-1</f>
        <v>3.3001700861745586E-2</v>
      </c>
      <c r="AA50" s="186">
        <f>('National model results detailed'!AA232/'National model results detailed'!Z232)-1</f>
        <v>3.2596351756946085E-2</v>
      </c>
      <c r="AB50" s="186">
        <f>('National model results detailed'!AB232/'National model results detailed'!AA232)-1</f>
        <v>3.2137684424323298E-2</v>
      </c>
      <c r="AC50" s="186">
        <f>('National model results detailed'!AC232/'National model results detailed'!AB232)-1</f>
        <v>3.1628808939252684E-2</v>
      </c>
      <c r="AD50" s="186">
        <f>('National model results detailed'!AD232/'National model results detailed'!AC232)-1</f>
        <v>3.1089510707207113E-2</v>
      </c>
      <c r="AE50" s="186">
        <f>('National model results detailed'!AE232/'National model results detailed'!AD232)-1</f>
        <v>3.0525379691686005E-2</v>
      </c>
      <c r="AF50" s="186">
        <f>('National model results detailed'!AF232/'National model results detailed'!AE232)-1</f>
        <v>3.0016683087198182E-2</v>
      </c>
      <c r="AG50" s="186">
        <f>('National model results detailed'!AG232/'National model results detailed'!AF232)-1</f>
        <v>2.9707987822802151E-2</v>
      </c>
      <c r="AH50" s="186">
        <f>('National model results detailed'!AH232/'National model results detailed'!AG232)-1</f>
        <v>2.9426055602565837E-2</v>
      </c>
      <c r="AI50" s="186">
        <f>('National model results detailed'!AI232/'National model results detailed'!AH232)-1</f>
        <v>2.9217380796030756E-2</v>
      </c>
      <c r="AJ50" s="186">
        <f>('National model results detailed'!AJ232/'National model results detailed'!AI232)-1</f>
        <v>2.8811559425276023E-2</v>
      </c>
      <c r="AK50" s="186">
        <f>('National model results detailed'!AK232/'National model results detailed'!AJ232)-1</f>
        <v>2.8265562894595142E-2</v>
      </c>
      <c r="AL50" s="186">
        <f>('National model results detailed'!AL232/'National model results detailed'!AK232)-1</f>
        <v>2.7633867265590473E-2</v>
      </c>
      <c r="AM50" s="186">
        <f>('National model results detailed'!AM232/'National model results detailed'!AL232)-1</f>
        <v>2.7080274660773229E-2</v>
      </c>
      <c r="AN50" s="186">
        <f>('National model results detailed'!AN232/'National model results detailed'!AM232)-1</f>
        <v>2.6553625531507974E-2</v>
      </c>
      <c r="AO50" s="186">
        <f>('National model results detailed'!AO232/'National model results detailed'!AN232)-1</f>
        <v>2.6014414109611028E-2</v>
      </c>
      <c r="AP50" s="186">
        <f>('National model results detailed'!AP232/'National model results detailed'!AO232)-1</f>
        <v>2.5694196115565671E-2</v>
      </c>
      <c r="AQ50" s="186">
        <f>('National model results detailed'!AQ232/'National model results detailed'!AP232)-1</f>
        <v>2.5609106676521831E-2</v>
      </c>
      <c r="AR50" s="186">
        <f>('National model results detailed'!AR232/'National model results detailed'!AQ232)-1</f>
        <v>2.5705449637356992E-2</v>
      </c>
      <c r="AS50" s="186">
        <f>('National model results detailed'!AS232/'National model results detailed'!AR232)-1</f>
        <v>2.4629272844914007E-2</v>
      </c>
    </row>
    <row r="51" spans="2:45">
      <c r="B51" s="6" t="s">
        <v>17</v>
      </c>
      <c r="C51" s="888"/>
      <c r="D51" s="186">
        <f>('National model results detailed'!D233/'National model results detailed'!C233)-1</f>
        <v>7.3746771812879031E-2</v>
      </c>
      <c r="E51" s="186">
        <f>('National model results detailed'!E233/'National model results detailed'!D233)-1</f>
        <v>6.7648341402843926E-2</v>
      </c>
      <c r="F51" s="186">
        <f>('National model results detailed'!F233/'National model results detailed'!E233)-1</f>
        <v>6.3434495077461683E-2</v>
      </c>
      <c r="G51" s="186">
        <f>('National model results detailed'!G233/'National model results detailed'!F233)-1</f>
        <v>6.0698813996455048E-2</v>
      </c>
      <c r="H51" s="186">
        <f>('National model results detailed'!H233/'National model results detailed'!G233)-1</f>
        <v>5.8765438449236429E-2</v>
      </c>
      <c r="I51" s="186">
        <f>('National model results detailed'!I233/'National model results detailed'!H233)-1</f>
        <v>5.6990391466686274E-2</v>
      </c>
      <c r="J51" s="186">
        <f>('National model results detailed'!J233/'National model results detailed'!I233)-1</f>
        <v>5.5592458256378041E-2</v>
      </c>
      <c r="K51" s="186">
        <f>('National model results detailed'!K233/'National model results detailed'!J233)-1</f>
        <v>5.5750255240345492E-2</v>
      </c>
      <c r="L51" s="186">
        <f>('National model results detailed'!L233/'National model results detailed'!K233)-1</f>
        <v>5.4953990485800963E-2</v>
      </c>
      <c r="M51" s="186">
        <f>('National model results detailed'!M233/'National model results detailed'!L233)-1</f>
        <v>5.3776582838108711E-2</v>
      </c>
      <c r="N51" s="186">
        <f>('National model results detailed'!N233/'National model results detailed'!M233)-1</f>
        <v>5.2498921322275294E-2</v>
      </c>
      <c r="O51" s="186">
        <f>('National model results detailed'!O233/'National model results detailed'!N233)-1</f>
        <v>5.120267102574716E-2</v>
      </c>
      <c r="P51" s="186">
        <f>('National model results detailed'!P233/'National model results detailed'!O233)-1</f>
        <v>5.0202926861953046E-2</v>
      </c>
      <c r="Q51" s="186">
        <f>('National model results detailed'!Q233/'National model results detailed'!P233)-1</f>
        <v>4.9499986163210385E-2</v>
      </c>
      <c r="R51" s="186">
        <f>('National model results detailed'!R233/'National model results detailed'!Q233)-1</f>
        <v>4.8857940221868734E-2</v>
      </c>
      <c r="S51" s="186">
        <f>('National model results detailed'!S233/'National model results detailed'!R233)-1</f>
        <v>4.8057387219904379E-2</v>
      </c>
      <c r="T51" s="186">
        <f>('National model results detailed'!T233/'National model results detailed'!S233)-1</f>
        <v>4.7322828875675294E-2</v>
      </c>
      <c r="U51" s="186">
        <f>('National model results detailed'!U233/'National model results detailed'!T233)-1</f>
        <v>4.7032347323480383E-2</v>
      </c>
      <c r="V51" s="186">
        <f>('National model results detailed'!V233/'National model results detailed'!U233)-1</f>
        <v>4.6408110119643187E-2</v>
      </c>
      <c r="W51" s="186">
        <f>('National model results detailed'!W233/'National model results detailed'!V233)-1</f>
        <v>4.5717799898447486E-2</v>
      </c>
      <c r="X51" s="186">
        <f>('National model results detailed'!X233/'National model results detailed'!W233)-1</f>
        <v>4.5044223590338328E-2</v>
      </c>
      <c r="Y51" s="186">
        <f>('National model results detailed'!Y233/'National model results detailed'!X233)-1</f>
        <v>4.4548669695789744E-2</v>
      </c>
      <c r="Z51" s="186">
        <f>('National model results detailed'!Z233/'National model results detailed'!Y233)-1</f>
        <v>4.4037612506324431E-2</v>
      </c>
      <c r="AA51" s="186">
        <f>('National model results detailed'!AA233/'National model results detailed'!Z233)-1</f>
        <v>4.3486806446238813E-2</v>
      </c>
      <c r="AB51" s="186">
        <f>('National model results detailed'!AB233/'National model results detailed'!AA233)-1</f>
        <v>4.2913088779432451E-2</v>
      </c>
      <c r="AC51" s="186">
        <f>('National model results detailed'!AC233/'National model results detailed'!AB233)-1</f>
        <v>4.2318741441068175E-2</v>
      </c>
      <c r="AD51" s="186">
        <f>('National model results detailed'!AD233/'National model results detailed'!AC233)-1</f>
        <v>4.1716644946330206E-2</v>
      </c>
      <c r="AE51" s="186">
        <f>('National model results detailed'!AE233/'National model results detailed'!AD233)-1</f>
        <v>4.1110191610128188E-2</v>
      </c>
      <c r="AF51" s="186">
        <f>('National model results detailed'!AF233/'National model results detailed'!AE233)-1</f>
        <v>4.0549709733331163E-2</v>
      </c>
      <c r="AG51" s="186">
        <f>('National model results detailed'!AG233/'National model results detailed'!AF233)-1</f>
        <v>4.0123920455892526E-2</v>
      </c>
      <c r="AH51" s="186">
        <f>('National model results detailed'!AH233/'National model results detailed'!AG233)-1</f>
        <v>3.9722521414556899E-2</v>
      </c>
      <c r="AI51" s="186">
        <f>('National model results detailed'!AI233/'National model results detailed'!AH233)-1</f>
        <v>3.9373378419023108E-2</v>
      </c>
      <c r="AJ51" s="186">
        <f>('National model results detailed'!AJ233/'National model results detailed'!AI233)-1</f>
        <v>3.8911703778285123E-2</v>
      </c>
      <c r="AK51" s="186">
        <f>('National model results detailed'!AK233/'National model results detailed'!AJ233)-1</f>
        <v>3.8374192805230578E-2</v>
      </c>
      <c r="AL51" s="186">
        <f>('National model results detailed'!AL233/'National model results detailed'!AK233)-1</f>
        <v>3.7794676211514444E-2</v>
      </c>
      <c r="AM51" s="186">
        <f>('National model results detailed'!AM233/'National model results detailed'!AL233)-1</f>
        <v>3.7270081580937919E-2</v>
      </c>
      <c r="AN51" s="186">
        <f>('National model results detailed'!AN233/'National model results detailed'!AM233)-1</f>
        <v>3.6769137989454359E-2</v>
      </c>
      <c r="AO51" s="186">
        <f>('National model results detailed'!AO233/'National model results detailed'!AN233)-1</f>
        <v>3.6268416703632678E-2</v>
      </c>
      <c r="AP51" s="186">
        <f>('National model results detailed'!AP233/'National model results detailed'!AO233)-1</f>
        <v>3.5899904685102735E-2</v>
      </c>
      <c r="AQ51" s="186">
        <f>('National model results detailed'!AQ233/'National model results detailed'!AP233)-1</f>
        <v>3.5669603997861898E-2</v>
      </c>
      <c r="AR51" s="186">
        <f>('National model results detailed'!AR233/'National model results detailed'!AQ233)-1</f>
        <v>3.5544495830761358E-2</v>
      </c>
      <c r="AS51" s="186">
        <f>('National model results detailed'!AS233/'National model results detailed'!AR233)-1</f>
        <v>3.4772642363822603E-2</v>
      </c>
    </row>
    <row r="52" spans="2:45">
      <c r="B52" s="6" t="s">
        <v>217</v>
      </c>
      <c r="C52" s="888"/>
      <c r="D52" s="186">
        <f>('National model results detailed'!D234/'National model results detailed'!C234)-1</f>
        <v>7.9026470579760755E-2</v>
      </c>
      <c r="E52" s="186">
        <f>('National model results detailed'!E234/'National model results detailed'!D234)-1</f>
        <v>7.268104604317438E-2</v>
      </c>
      <c r="F52" s="186">
        <f>('National model results detailed'!F234/'National model results detailed'!E234)-1</f>
        <v>6.8416230079717533E-2</v>
      </c>
      <c r="G52" s="186">
        <f>('National model results detailed'!G234/'National model results detailed'!F234)-1</f>
        <v>6.5835624190447861E-2</v>
      </c>
      <c r="H52" s="186">
        <f>('National model results detailed'!H234/'National model results detailed'!G234)-1</f>
        <v>6.4176787755758191E-2</v>
      </c>
      <c r="I52" s="186">
        <f>('National model results detailed'!I234/'National model results detailed'!H234)-1</f>
        <v>6.2663684614520321E-2</v>
      </c>
      <c r="J52" s="186">
        <f>('National model results detailed'!J234/'National model results detailed'!I234)-1</f>
        <v>6.1582998644037934E-2</v>
      </c>
      <c r="K52" s="186">
        <f>('National model results detailed'!K234/'National model results detailed'!J234)-1</f>
        <v>6.250045587563724E-2</v>
      </c>
      <c r="L52" s="186">
        <f>('National model results detailed'!L234/'National model results detailed'!K234)-1</f>
        <v>6.2153563658803535E-2</v>
      </c>
      <c r="M52" s="186">
        <f>('National model results detailed'!M234/'National model results detailed'!L234)-1</f>
        <v>6.1259623049866097E-2</v>
      </c>
      <c r="N52" s="186">
        <f>('National model results detailed'!N234/'National model results detailed'!M234)-1</f>
        <v>6.0182791139311576E-2</v>
      </c>
      <c r="O52" s="186">
        <f>('National model results detailed'!O234/'National model results detailed'!N234)-1</f>
        <v>5.9031762859269588E-2</v>
      </c>
      <c r="P52" s="186">
        <f>('National model results detailed'!P234/'National model results detailed'!O234)-1</f>
        <v>5.8252259924292504E-2</v>
      </c>
      <c r="Q52" s="186">
        <f>('National model results detailed'!Q234/'National model results detailed'!P234)-1</f>
        <v>5.7861107698551573E-2</v>
      </c>
      <c r="R52" s="186">
        <f>('National model results detailed'!R234/'National model results detailed'!Q234)-1</f>
        <v>5.7530208378691938E-2</v>
      </c>
      <c r="S52" s="186">
        <f>('National model results detailed'!S234/'National model results detailed'!R234)-1</f>
        <v>5.6938195930745783E-2</v>
      </c>
      <c r="T52" s="186">
        <f>('National model results detailed'!T234/'National model results detailed'!S234)-1</f>
        <v>5.6413300680575373E-2</v>
      </c>
      <c r="U52" s="186">
        <f>('National model results detailed'!U234/'National model results detailed'!T234)-1</f>
        <v>5.6533371641400709E-2</v>
      </c>
      <c r="V52" s="186">
        <f>('National model results detailed'!V234/'National model results detailed'!U234)-1</f>
        <v>5.6123782044376735E-2</v>
      </c>
      <c r="W52" s="186">
        <f>('National model results detailed'!W234/'National model results detailed'!V234)-1</f>
        <v>5.5585211244741695E-2</v>
      </c>
      <c r="X52" s="186">
        <f>('National model results detailed'!X234/'National model results detailed'!W234)-1</f>
        <v>5.504583204107405E-2</v>
      </c>
      <c r="Y52" s="186">
        <f>('National model results detailed'!Y234/'National model results detailed'!X234)-1</f>
        <v>5.4764959175088501E-2</v>
      </c>
      <c r="Z52" s="186">
        <f>('National model results detailed'!Z234/'National model results detailed'!Y234)-1</f>
        <v>5.4438339797295399E-2</v>
      </c>
      <c r="AA52" s="186">
        <f>('National model results detailed'!AA234/'National model results detailed'!Z234)-1</f>
        <v>5.4025809125067381E-2</v>
      </c>
      <c r="AB52" s="186">
        <f>('National model results detailed'!AB234/'National model results detailed'!AA234)-1</f>
        <v>5.3553870045184082E-2</v>
      </c>
      <c r="AC52" s="186">
        <f>('National model results detailed'!AC234/'National model results detailed'!AB234)-1</f>
        <v>5.3025824594221005E-2</v>
      </c>
      <c r="AD52" s="186">
        <f>('National model results detailed'!AD234/'National model results detailed'!AC234)-1</f>
        <v>5.2463148970683271E-2</v>
      </c>
      <c r="AE52" s="186">
        <f>('National model results detailed'!AE234/'National model results detailed'!AD234)-1</f>
        <v>5.1871846560524126E-2</v>
      </c>
      <c r="AF52" s="186">
        <f>('National model results detailed'!AF234/'National model results detailed'!AE234)-1</f>
        <v>5.1339704055049395E-2</v>
      </c>
      <c r="AG52" s="186">
        <f>('National model results detailed'!AG234/'National model results detailed'!AF234)-1</f>
        <v>5.1025359060529851E-2</v>
      </c>
      <c r="AH52" s="186">
        <f>('National model results detailed'!AH234/'National model results detailed'!AG234)-1</f>
        <v>5.0738944674457276E-2</v>
      </c>
      <c r="AI52" s="186">
        <f>('National model results detailed'!AI234/'National model results detailed'!AH234)-1</f>
        <v>5.0531798186119525E-2</v>
      </c>
      <c r="AJ52" s="186">
        <f>('National model results detailed'!AJ234/'National model results detailed'!AI234)-1</f>
        <v>5.0106140454950987E-2</v>
      </c>
      <c r="AK52" s="186">
        <f>('National model results detailed'!AK234/'National model results detailed'!AJ234)-1</f>
        <v>4.9524525995996882E-2</v>
      </c>
      <c r="AL52" s="186">
        <f>('National model results detailed'!AL234/'National model results detailed'!AK234)-1</f>
        <v>4.8846823411177187E-2</v>
      </c>
      <c r="AM52" s="186">
        <f>('National model results detailed'!AM234/'National model results detailed'!AL234)-1</f>
        <v>4.8254137584736956E-2</v>
      </c>
      <c r="AN52" s="186">
        <f>('National model results detailed'!AN234/'National model results detailed'!AM234)-1</f>
        <v>4.7689744845407667E-2</v>
      </c>
      <c r="AO52" s="186">
        <f>('National model results detailed'!AO234/'National model results detailed'!AN234)-1</f>
        <v>4.7109722641073715E-2</v>
      </c>
      <c r="AP52" s="186">
        <f>('National model results detailed'!AP234/'National model results detailed'!AO234)-1</f>
        <v>4.6771834561151859E-2</v>
      </c>
      <c r="AQ52" s="186">
        <f>('National model results detailed'!AQ234/'National model results detailed'!AP234)-1</f>
        <v>4.669469027713169E-2</v>
      </c>
      <c r="AR52" s="186">
        <f>('National model results detailed'!AR234/'National model results detailed'!AQ234)-1</f>
        <v>4.681908661712253E-2</v>
      </c>
      <c r="AS52" s="186">
        <f>('National model results detailed'!AS234/'National model results detailed'!AR234)-1</f>
        <v>4.5629969421223215E-2</v>
      </c>
    </row>
    <row r="53" spans="2:45">
      <c r="B53" s="26" t="s">
        <v>3714</v>
      </c>
      <c r="C53" s="888"/>
      <c r="D53" s="186">
        <f>('National model results detailed'!D235/'National model results detailed'!C235)-1</f>
        <v>6.7525095419896708E-2</v>
      </c>
      <c r="E53" s="186">
        <f>('National model results detailed'!E235/'National model results detailed'!D235)-1</f>
        <v>6.1398398364084672E-2</v>
      </c>
      <c r="F53" s="186">
        <f>('National model results detailed'!F235/'National model results detailed'!E235)-1</f>
        <v>5.7214774566173299E-2</v>
      </c>
      <c r="G53" s="186">
        <f>('National model results detailed'!G235/'National model results detailed'!F235)-1</f>
        <v>5.4572077937818042E-2</v>
      </c>
      <c r="H53" s="186">
        <f>('National model results detailed'!H235/'National model results detailed'!G235)-1</f>
        <v>5.2770976086154775E-2</v>
      </c>
      <c r="I53" s="186">
        <f>('National model results detailed'!I235/'National model results detailed'!H235)-1</f>
        <v>5.1129806064048156E-2</v>
      </c>
      <c r="J53" s="186">
        <f>('National model results detailed'!J235/'National model results detailed'!I235)-1</f>
        <v>4.9883558669011174E-2</v>
      </c>
      <c r="K53" s="186">
        <f>('National model results detailed'!K235/'National model results detailed'!J235)-1</f>
        <v>5.0315512999882683E-2</v>
      </c>
      <c r="L53" s="186">
        <f>('National model results detailed'!L235/'National model results detailed'!K235)-1</f>
        <v>4.9710003987261109E-2</v>
      </c>
      <c r="M53" s="186">
        <f>('National model results detailed'!M235/'National model results detailed'!L235)-1</f>
        <v>4.8676391617497705E-2</v>
      </c>
      <c r="N53" s="186">
        <f>('National model results detailed'!N235/'National model results detailed'!M235)-1</f>
        <v>4.7443978349641647E-2</v>
      </c>
      <c r="O53" s="186">
        <f>('National model results detailed'!O235/'National model results detailed'!N235)-1</f>
        <v>4.6249903847741525E-2</v>
      </c>
      <c r="P53" s="186">
        <f>('National model results detailed'!P235/'National model results detailed'!O235)-1</f>
        <v>4.5370197520498534E-2</v>
      </c>
      <c r="Q53" s="186">
        <f>('National model results detailed'!Q235/'National model results detailed'!P235)-1</f>
        <v>4.4809763513349754E-2</v>
      </c>
      <c r="R53" s="186">
        <f>('National model results detailed'!R235/'National model results detailed'!Q235)-1</f>
        <v>4.4307819819534799E-2</v>
      </c>
      <c r="S53" s="186">
        <f>('National model results detailed'!S235/'National model results detailed'!R235)-1</f>
        <v>4.3617526095913517E-2</v>
      </c>
      <c r="T53" s="186">
        <f>('National model results detailed'!T235/'National model results detailed'!S235)-1</f>
        <v>4.299105141813242E-2</v>
      </c>
      <c r="U53" s="186">
        <f>('National model results detailed'!U235/'National model results detailed'!T235)-1</f>
        <v>4.2859460855690257E-2</v>
      </c>
      <c r="V53" s="186">
        <f>('National model results detailed'!V235/'National model results detailed'!U235)-1</f>
        <v>4.2340052465823508E-2</v>
      </c>
      <c r="W53" s="186">
        <f>('National model results detailed'!W235/'National model results detailed'!V235)-1</f>
        <v>4.1735646489006184E-2</v>
      </c>
      <c r="X53" s="186">
        <f>('National model results detailed'!X235/'National model results detailed'!W235)-1</f>
        <v>4.1141209129184508E-2</v>
      </c>
      <c r="Y53" s="186">
        <f>('National model results detailed'!Y235/'National model results detailed'!X235)-1</f>
        <v>4.0743676813316476E-2</v>
      </c>
      <c r="Z53" s="186">
        <f>('National model results detailed'!Z235/'National model results detailed'!Y235)-1</f>
        <v>4.0321004919920078E-2</v>
      </c>
      <c r="AA53" s="186">
        <f>('National model results detailed'!AA235/'National model results detailed'!Z235)-1</f>
        <v>3.984498063756714E-2</v>
      </c>
      <c r="AB53" s="186">
        <f>('National model results detailed'!AB235/'National model results detailed'!AA235)-1</f>
        <v>3.9335089299777914E-2</v>
      </c>
      <c r="AC53" s="186">
        <f>('National model results detailed'!AC235/'National model results detailed'!AB235)-1</f>
        <v>3.8794102181594736E-2</v>
      </c>
      <c r="AD53" s="186">
        <f>('National model results detailed'!AD235/'National model results detailed'!AC235)-1</f>
        <v>3.8237329100964113E-2</v>
      </c>
      <c r="AE53" s="186">
        <f>('National model results detailed'!AE235/'National model results detailed'!AD235)-1</f>
        <v>3.7669046498496561E-2</v>
      </c>
      <c r="AF53" s="186">
        <f>('National model results detailed'!AF235/'National model results detailed'!AE235)-1</f>
        <v>3.7149051517744835E-2</v>
      </c>
      <c r="AG53" s="186">
        <f>('National model results detailed'!AG235/'National model results detailed'!AF235)-1</f>
        <v>3.6783406250129547E-2</v>
      </c>
      <c r="AH53" s="186">
        <f>('National model results detailed'!AH235/'National model results detailed'!AG235)-1</f>
        <v>3.6442141403605799E-2</v>
      </c>
      <c r="AI53" s="186">
        <f>('National model results detailed'!AI235/'National model results detailed'!AH235)-1</f>
        <v>3.6158799326272861E-2</v>
      </c>
      <c r="AJ53" s="186">
        <f>('National model results detailed'!AJ235/'National model results detailed'!AI235)-1</f>
        <v>3.5736369914600497E-2</v>
      </c>
      <c r="AK53" s="186">
        <f>('National model results detailed'!AK235/'National model results detailed'!AJ235)-1</f>
        <v>3.5218117638657453E-2</v>
      </c>
      <c r="AL53" s="186">
        <f>('National model results detailed'!AL235/'National model results detailed'!AK235)-1</f>
        <v>3.4644464635259942E-2</v>
      </c>
      <c r="AM53" s="186">
        <f>('National model results detailed'!AM235/'National model results detailed'!AL235)-1</f>
        <v>3.4132594318750042E-2</v>
      </c>
      <c r="AN53" s="186">
        <f>('National model results detailed'!AN235/'National model results detailed'!AM235)-1</f>
        <v>3.3645295755402316E-2</v>
      </c>
      <c r="AO53" s="186">
        <f>('National model results detailed'!AO235/'National model results detailed'!AN235)-1</f>
        <v>3.3154434347497652E-2</v>
      </c>
      <c r="AP53" s="186">
        <f>('National model results detailed'!AP235/'National model results detailed'!AO235)-1</f>
        <v>3.2821222159961083E-2</v>
      </c>
      <c r="AQ53" s="186">
        <f>('National model results detailed'!AQ235/'National model results detailed'!AP235)-1</f>
        <v>3.2654134602917884E-2</v>
      </c>
      <c r="AR53" s="186">
        <f>('National model results detailed'!AR235/'National model results detailed'!AQ235)-1</f>
        <v>3.2613600730800885E-2</v>
      </c>
      <c r="AS53" s="186">
        <f>('National model results detailed'!AS235/'National model results detailed'!AR235)-1</f>
        <v>3.177450623837097E-2</v>
      </c>
    </row>
    <row r="54" spans="2:45">
      <c r="B54" s="26" t="s">
        <v>102</v>
      </c>
      <c r="C54" s="888"/>
      <c r="D54" s="186">
        <f>('National model results detailed'!D236/'National model results detailed'!C236)-1</f>
        <v>0.27799762151816787</v>
      </c>
      <c r="E54" s="186">
        <f>('National model results detailed'!E236/'National model results detailed'!D236)-1</f>
        <v>0.22777383196647993</v>
      </c>
      <c r="F54" s="186">
        <f>('National model results detailed'!F236/'National model results detailed'!E236)-1</f>
        <v>0.19449620105996024</v>
      </c>
      <c r="G54" s="186">
        <f>('National model results detailed'!G236/'National model results detailed'!F236)-1</f>
        <v>0.17101736055848549</v>
      </c>
      <c r="H54" s="186">
        <f>('National model results detailed'!H236/'National model results detailed'!G236)-1</f>
        <v>0.15347722370958805</v>
      </c>
      <c r="I54" s="186">
        <f>('National model results detailed'!I236/'National model results detailed'!H236)-1</f>
        <v>0.13963843498766626</v>
      </c>
      <c r="J54" s="186">
        <f>('National model results detailed'!J236/'National model results detailed'!I236)-1</f>
        <v>0.12856711536823995</v>
      </c>
      <c r="K54" s="186">
        <f>('National model results detailed'!K236/'National model results detailed'!J236)-1</f>
        <v>0.12021384270002966</v>
      </c>
      <c r="L54" s="186">
        <f>('National model results detailed'!L236/'National model results detailed'!K236)-1</f>
        <v>0.1127761457652301</v>
      </c>
      <c r="M54" s="186">
        <f>('National model results detailed'!M236/'National model results detailed'!L236)-1</f>
        <v>0.10623541743691178</v>
      </c>
      <c r="N54" s="186">
        <f>('National model results detailed'!N236/'National model results detailed'!M236)-1</f>
        <v>4.0247521616296744E-2</v>
      </c>
      <c r="O54" s="186">
        <f>('National model results detailed'!O236/'National model results detailed'!N236)-1</f>
        <v>3.8766403996080889E-2</v>
      </c>
      <c r="P54" s="186">
        <f>('National model results detailed'!P236/'National model results detailed'!O236)-1</f>
        <v>3.7701032261818757E-2</v>
      </c>
      <c r="Q54" s="186">
        <f>('National model results detailed'!Q236/'National model results detailed'!P236)-1</f>
        <v>3.6964719581154437E-2</v>
      </c>
      <c r="R54" s="186">
        <f>('National model results detailed'!R236/'National model results detailed'!Q236)-1</f>
        <v>3.6375132250556108E-2</v>
      </c>
      <c r="S54" s="186">
        <f>('National model results detailed'!S236/'National model results detailed'!R236)-1</f>
        <v>3.5774400876855461E-2</v>
      </c>
      <c r="T54" s="186">
        <f>('National model results detailed'!T236/'National model results detailed'!S236)-1</f>
        <v>3.5247234466869282E-2</v>
      </c>
      <c r="U54" s="186">
        <f>('National model results detailed'!U236/'National model results detailed'!T236)-1</f>
        <v>3.4966021593819008E-2</v>
      </c>
      <c r="V54" s="186">
        <f>('National model results detailed'!V236/'National model results detailed'!U236)-1</f>
        <v>3.4461145033491736E-2</v>
      </c>
      <c r="W54" s="186">
        <f>('National model results detailed'!W236/'National model results detailed'!V236)-1</f>
        <v>3.3908523960364922E-2</v>
      </c>
      <c r="X54" s="186">
        <f>('National model results detailed'!X236/'National model results detailed'!W236)-1</f>
        <v>3.3375925726220057E-2</v>
      </c>
      <c r="Y54" s="186">
        <f>('National model results detailed'!Y236/'National model results detailed'!X236)-1</f>
        <v>3.2960902142160187E-2</v>
      </c>
      <c r="Z54" s="186">
        <f>('National model results detailed'!Z236/'National model results detailed'!Y236)-1</f>
        <v>3.258420921446481E-2</v>
      </c>
      <c r="AA54" s="186">
        <f>('National model results detailed'!AA236/'National model results detailed'!Z236)-1</f>
        <v>3.2206382478517703E-2</v>
      </c>
      <c r="AB54" s="186">
        <f>('National model results detailed'!AB236/'National model results detailed'!AA236)-1</f>
        <v>3.1806466163019076E-2</v>
      </c>
      <c r="AC54" s="186">
        <f>('National model results detailed'!AC236/'National model results detailed'!AB236)-1</f>
        <v>3.1378096319655047E-2</v>
      </c>
      <c r="AD54" s="186">
        <f>('National model results detailed'!AD236/'National model results detailed'!AC236)-1</f>
        <v>3.0941143393766968E-2</v>
      </c>
      <c r="AE54" s="186">
        <f>('National model results detailed'!AE236/'National model results detailed'!AD236)-1</f>
        <v>3.0491244156428232E-2</v>
      </c>
      <c r="AF54" s="186">
        <f>('National model results detailed'!AF236/'National model results detailed'!AE236)-1</f>
        <v>3.0015276935411173E-2</v>
      </c>
      <c r="AG54" s="186">
        <f>('National model results detailed'!AG236/'National model results detailed'!AF236)-1</f>
        <v>2.9602947488694298E-2</v>
      </c>
      <c r="AH54" s="186">
        <f>('National model results detailed'!AH236/'National model results detailed'!AG236)-1</f>
        <v>2.921438980126867E-2</v>
      </c>
      <c r="AI54" s="186">
        <f>('National model results detailed'!AI236/'National model results detailed'!AH236)-1</f>
        <v>2.8868262241011022E-2</v>
      </c>
      <c r="AJ54" s="186">
        <f>('National model results detailed'!AJ236/'National model results detailed'!AI236)-1</f>
        <v>2.8455786113309234E-2</v>
      </c>
      <c r="AK54" s="186">
        <f>('National model results detailed'!AK236/'National model results detailed'!AJ236)-1</f>
        <v>2.798591216284807E-2</v>
      </c>
      <c r="AL54" s="186">
        <f>('National model results detailed'!AL236/'National model results detailed'!AK236)-1</f>
        <v>2.7473443295217503E-2</v>
      </c>
      <c r="AM54" s="186">
        <f>('National model results detailed'!AM236/'National model results detailed'!AL236)-1</f>
        <v>2.6975027186203926E-2</v>
      </c>
      <c r="AN54" s="186">
        <f>('National model results detailed'!AN236/'National model results detailed'!AM236)-1</f>
        <v>2.6481427794061485E-2</v>
      </c>
      <c r="AO54" s="186">
        <f>('National model results detailed'!AO236/'National model results detailed'!AN236)-1</f>
        <v>2.5982483485816443E-2</v>
      </c>
      <c r="AP54" s="186">
        <f>('National model results detailed'!AP236/'National model results detailed'!AO236)-1</f>
        <v>2.5562732591793536E-2</v>
      </c>
      <c r="AQ54" s="186">
        <f>('National model results detailed'!AQ236/'National model results detailed'!AP236)-1</f>
        <v>2.5240128592460831E-2</v>
      </c>
      <c r="AR54" s="186">
        <f>('National model results detailed'!AR236/'National model results detailed'!AQ236)-1</f>
        <v>2.4998327844296231E-2</v>
      </c>
      <c r="AS54" s="186">
        <f>('National model results detailed'!AS236/'National model results detailed'!AR236)-1</f>
        <v>2.4359032908902289E-2</v>
      </c>
    </row>
    <row r="55" spans="2:45">
      <c r="B55" s="26" t="s">
        <v>2831</v>
      </c>
      <c r="C55" s="888"/>
      <c r="D55" s="186">
        <f>('National model results detailed'!D237/'National model results detailed'!C237)-1</f>
        <v>7.0433993333779865E-2</v>
      </c>
      <c r="E55" s="186">
        <f>('National model results detailed'!E237/'National model results detailed'!D237)-1</f>
        <v>6.4261958185829471E-2</v>
      </c>
      <c r="F55" s="186">
        <f>('National model results detailed'!F237/'National model results detailed'!E237)-1</f>
        <v>6.0062923855334516E-2</v>
      </c>
      <c r="G55" s="186">
        <f>('National model results detailed'!G237/'National model results detailed'!F237)-1</f>
        <v>5.7430017693063329E-2</v>
      </c>
      <c r="H55" s="186">
        <f>('National model results detailed'!H237/'National model results detailed'!G237)-1</f>
        <v>5.5650649160453591E-2</v>
      </c>
      <c r="I55" s="186">
        <f>('National model results detailed'!I237/'National model results detailed'!H237)-1</f>
        <v>5.4028193993411522E-2</v>
      </c>
      <c r="J55" s="186">
        <f>('National model results detailed'!J237/'National model results detailed'!I237)-1</f>
        <v>5.2805188762175659E-2</v>
      </c>
      <c r="K55" s="186">
        <f>('National model results detailed'!K237/'National model results detailed'!J237)-1</f>
        <v>5.3301918467748788E-2</v>
      </c>
      <c r="L55" s="186">
        <f>('National model results detailed'!L237/'National model results detailed'!K237)-1</f>
        <v>5.2727692750098365E-2</v>
      </c>
      <c r="M55" s="186">
        <f>('National model results detailed'!M237/'National model results detailed'!L237)-1</f>
        <v>5.1709274058141297E-2</v>
      </c>
      <c r="N55" s="186">
        <f>('National model results detailed'!N237/'National model results detailed'!M237)-1</f>
        <v>4.9813765182002756E-2</v>
      </c>
      <c r="O55" s="186">
        <f>('National model results detailed'!O237/'National model results detailed'!N237)-1</f>
        <v>4.8635155228748728E-2</v>
      </c>
      <c r="P55" s="186">
        <f>('National model results detailed'!P237/'National model results detailed'!O237)-1</f>
        <v>4.7780199175163629E-2</v>
      </c>
      <c r="Q55" s="186">
        <f>('National model results detailed'!Q237/'National model results detailed'!P237)-1</f>
        <v>4.7253981846507864E-2</v>
      </c>
      <c r="R55" s="186">
        <f>('National model results detailed'!R237/'National model results detailed'!Q237)-1</f>
        <v>4.6786472201495455E-2</v>
      </c>
      <c r="S55" s="186">
        <f>('National model results detailed'!S237/'National model results detailed'!R237)-1</f>
        <v>4.6121342720104153E-2</v>
      </c>
      <c r="T55" s="186">
        <f>('National model results detailed'!T237/'National model results detailed'!S237)-1</f>
        <v>4.5520150166451501E-2</v>
      </c>
      <c r="U55" s="186">
        <f>('National model results detailed'!U237/'National model results detailed'!T237)-1</f>
        <v>4.5431470604538227E-2</v>
      </c>
      <c r="V55" s="186">
        <f>('National model results detailed'!V237/'National model results detailed'!U237)-1</f>
        <v>4.4936034201270791E-2</v>
      </c>
      <c r="W55" s="186">
        <f>('National model results detailed'!W237/'National model results detailed'!V237)-1</f>
        <v>4.434964520226603E-2</v>
      </c>
      <c r="X55" s="186">
        <f>('National model results detailed'!X237/'National model results detailed'!W237)-1</f>
        <v>4.3771726169072211E-2</v>
      </c>
      <c r="Y55" s="186">
        <f>('National model results detailed'!Y237/'National model results detailed'!X237)-1</f>
        <v>4.3397966205383165E-2</v>
      </c>
      <c r="Z55" s="186">
        <f>('National model results detailed'!Z237/'National model results detailed'!Y237)-1</f>
        <v>4.2996553302922402E-2</v>
      </c>
      <c r="AA55" s="186">
        <f>('National model results detailed'!AA237/'National model results detailed'!Z237)-1</f>
        <v>4.253771717545507E-2</v>
      </c>
      <c r="AB55" s="186">
        <f>('National model results detailed'!AB237/'National model results detailed'!AA237)-1</f>
        <v>4.2041618976183415E-2</v>
      </c>
      <c r="AC55" s="186">
        <f>('National model results detailed'!AC237/'National model results detailed'!AB237)-1</f>
        <v>4.1511134744736777E-2</v>
      </c>
      <c r="AD55" s="186">
        <f>('National model results detailed'!AD237/'National model results detailed'!AC237)-1</f>
        <v>4.0962527637669943E-2</v>
      </c>
      <c r="AE55" s="186">
        <f>('National model results detailed'!AE237/'National model results detailed'!AD237)-1</f>
        <v>4.0400278281947921E-2</v>
      </c>
      <c r="AF55" s="186">
        <f>('National model results detailed'!AF237/'National model results detailed'!AE237)-1</f>
        <v>3.9887027394206909E-2</v>
      </c>
      <c r="AG55" s="186">
        <f>('National model results detailed'!AG237/'National model results detailed'!AF237)-1</f>
        <v>3.9535156598353716E-2</v>
      </c>
      <c r="AH55" s="186">
        <f>('National model results detailed'!AH237/'National model results detailed'!AG237)-1</f>
        <v>3.9207853904722256E-2</v>
      </c>
      <c r="AI55" s="186">
        <f>('National model results detailed'!AI237/'National model results detailed'!AH237)-1</f>
        <v>3.8940695445439877E-2</v>
      </c>
      <c r="AJ55" s="186">
        <f>('National model results detailed'!AJ237/'National model results detailed'!AI237)-1</f>
        <v>3.8525191225822208E-2</v>
      </c>
      <c r="AK55" s="186">
        <f>('National model results detailed'!AK237/'National model results detailed'!AJ237)-1</f>
        <v>3.8007004393872279E-2</v>
      </c>
      <c r="AL55" s="186">
        <f>('National model results detailed'!AL237/'National model results detailed'!AK237)-1</f>
        <v>3.7428910513341629E-2</v>
      </c>
      <c r="AM55" s="186">
        <f>('National model results detailed'!AM237/'National model results detailed'!AL237)-1</f>
        <v>3.6915259535937883E-2</v>
      </c>
      <c r="AN55" s="186">
        <f>('National model results detailed'!AN237/'National model results detailed'!AM237)-1</f>
        <v>3.6426664188384361E-2</v>
      </c>
      <c r="AO55" s="186">
        <f>('National model results detailed'!AO237/'National model results detailed'!AN237)-1</f>
        <v>3.5933279927690132E-2</v>
      </c>
      <c r="AP55" s="186">
        <f>('National model results detailed'!AP237/'National model results detailed'!AO237)-1</f>
        <v>3.5606815769103628E-2</v>
      </c>
      <c r="AQ55" s="186">
        <f>('National model results detailed'!AQ237/'National model results detailed'!AP237)-1</f>
        <v>3.5456589754235601E-2</v>
      </c>
      <c r="AR55" s="186">
        <f>('National model results detailed'!AR237/'National model results detailed'!AQ237)-1</f>
        <v>3.5440593484271199E-2</v>
      </c>
      <c r="AS55" s="186">
        <f>('National model results detailed'!AS237/'National model results detailed'!AR237)-1</f>
        <v>3.4570925081671255E-2</v>
      </c>
    </row>
    <row r="56" spans="2:45">
      <c r="B56" s="26" t="s">
        <v>2832</v>
      </c>
      <c r="C56" s="888"/>
      <c r="D56" s="186">
        <f>('National model results detailed'!D238/'National model results detailed'!C238)-1</f>
        <v>7.0408936498227215E-2</v>
      </c>
      <c r="E56" s="186">
        <f>('National model results detailed'!E238/'National model results detailed'!D238)-1</f>
        <v>6.4210481293980326E-2</v>
      </c>
      <c r="F56" s="186">
        <f>('National model results detailed'!F238/'National model results detailed'!E238)-1</f>
        <v>5.999614036038059E-2</v>
      </c>
      <c r="G56" s="186">
        <f>('National model results detailed'!G238/'National model results detailed'!F238)-1</f>
        <v>5.7356325256443741E-2</v>
      </c>
      <c r="H56" s="186">
        <f>('National model results detailed'!H238/'National model results detailed'!G238)-1</f>
        <v>5.5574253493947623E-2</v>
      </c>
      <c r="I56" s="186">
        <f>('National model results detailed'!I238/'National model results detailed'!H238)-1</f>
        <v>5.3949308264713336E-2</v>
      </c>
      <c r="J56" s="186">
        <f>('National model results detailed'!J238/'National model results detailed'!I238)-1</f>
        <v>5.2725589739715861E-2</v>
      </c>
      <c r="K56" s="186">
        <f>('National model results detailed'!K238/'National model results detailed'!J238)-1</f>
        <v>5.3231367378562044E-2</v>
      </c>
      <c r="L56" s="186">
        <f>('National model results detailed'!L238/'National model results detailed'!K238)-1</f>
        <v>5.2658999851614041E-2</v>
      </c>
      <c r="M56" s="186">
        <f>('National model results detailed'!M238/'National model results detailed'!L238)-1</f>
        <v>5.1639326996792523E-2</v>
      </c>
      <c r="N56" s="186">
        <f>('National model results detailed'!N238/'National model results detailed'!M238)-1</f>
        <v>4.9265590026609685E-2</v>
      </c>
      <c r="O56" s="186">
        <f>('National model results detailed'!O238/'National model results detailed'!N238)-1</f>
        <v>4.8091521038988283E-2</v>
      </c>
      <c r="P56" s="186">
        <f>('National model results detailed'!P238/'National model results detailed'!O238)-1</f>
        <v>4.7244276019170028E-2</v>
      </c>
      <c r="Q56" s="186">
        <f>('National model results detailed'!Q238/'National model results detailed'!P238)-1</f>
        <v>4.6728647474520768E-2</v>
      </c>
      <c r="R56" s="186">
        <f>('National model results detailed'!R238/'National model results detailed'!Q238)-1</f>
        <v>4.6272202760241798E-2</v>
      </c>
      <c r="S56" s="186">
        <f>('National model results detailed'!S238/'National model results detailed'!R238)-1</f>
        <v>4.5616094970186039E-2</v>
      </c>
      <c r="T56" s="186">
        <f>('National model results detailed'!T238/'National model results detailed'!S238)-1</f>
        <v>4.5023968598273401E-2</v>
      </c>
      <c r="U56" s="186">
        <f>('National model results detailed'!U238/'National model results detailed'!T238)-1</f>
        <v>4.4948701872799646E-2</v>
      </c>
      <c r="V56" s="186">
        <f>('National model results detailed'!V238/'National model results detailed'!U238)-1</f>
        <v>4.4461563447771413E-2</v>
      </c>
      <c r="W56" s="186">
        <f>('National model results detailed'!W238/'National model results detailed'!V238)-1</f>
        <v>4.3881755295088753E-2</v>
      </c>
      <c r="X56" s="186">
        <f>('National model results detailed'!X238/'National model results detailed'!W238)-1</f>
        <v>4.3309955386125365E-2</v>
      </c>
      <c r="Y56" s="186">
        <f>('National model results detailed'!Y238/'National model results detailed'!X238)-1</f>
        <v>4.2944230469778688E-2</v>
      </c>
      <c r="Z56" s="186">
        <f>('National model results detailed'!Z238/'National model results detailed'!Y238)-1</f>
        <v>4.2550325845923886E-2</v>
      </c>
      <c r="AA56" s="186">
        <f>('National model results detailed'!AA238/'National model results detailed'!Z238)-1</f>
        <v>4.2097915174948319E-2</v>
      </c>
      <c r="AB56" s="186">
        <f>('National model results detailed'!AB238/'National model results detailed'!AA238)-1</f>
        <v>4.1607188887589297E-2</v>
      </c>
      <c r="AC56" s="186">
        <f>('National model results detailed'!AC238/'National model results detailed'!AB238)-1</f>
        <v>4.1081008547704023E-2</v>
      </c>
      <c r="AD56" s="186">
        <f>('National model results detailed'!AD238/'National model results detailed'!AC238)-1</f>
        <v>4.0535952704791711E-2</v>
      </c>
      <c r="AE56" s="186">
        <f>('National model results detailed'!AE238/'National model results detailed'!AD238)-1</f>
        <v>3.9976527784103766E-2</v>
      </c>
      <c r="AF56" s="186">
        <f>('National model results detailed'!AF238/'National model results detailed'!AE238)-1</f>
        <v>3.9465995974736767E-2</v>
      </c>
      <c r="AG56" s="186">
        <f>('National model results detailed'!AG238/'National model results detailed'!AF238)-1</f>
        <v>3.9118731891802039E-2</v>
      </c>
      <c r="AH56" s="186">
        <f>('National model results detailed'!AH238/'National model results detailed'!AG238)-1</f>
        <v>3.8796097803160512E-2</v>
      </c>
      <c r="AI56" s="186">
        <f>('National model results detailed'!AI238/'National model results detailed'!AH238)-1</f>
        <v>3.8534274260887846E-2</v>
      </c>
      <c r="AJ56" s="186">
        <f>('National model results detailed'!AJ238/'National model results detailed'!AI238)-1</f>
        <v>3.8121380483790768E-2</v>
      </c>
      <c r="AK56" s="186">
        <f>('National model results detailed'!AK238/'National model results detailed'!AJ238)-1</f>
        <v>3.7603692388549659E-2</v>
      </c>
      <c r="AL56" s="186">
        <f>('National model results detailed'!AL238/'National model results detailed'!AK238)-1</f>
        <v>3.7024634257034172E-2</v>
      </c>
      <c r="AM56" s="186">
        <f>('National model results detailed'!AM238/'National model results detailed'!AL238)-1</f>
        <v>3.6510668309050365E-2</v>
      </c>
      <c r="AN56" s="186">
        <f>('National model results detailed'!AN238/'National model results detailed'!AM238)-1</f>
        <v>3.6021813358565247E-2</v>
      </c>
      <c r="AO56" s="186">
        <f>('National model results detailed'!AO238/'National model results detailed'!AN238)-1</f>
        <v>3.5527733420211982E-2</v>
      </c>
      <c r="AP56" s="186">
        <f>('National model results detailed'!AP238/'National model results detailed'!AO238)-1</f>
        <v>3.5203326437498905E-2</v>
      </c>
      <c r="AQ56" s="186">
        <f>('National model results detailed'!AQ238/'National model results detailed'!AP238)-1</f>
        <v>3.5058265537778688E-2</v>
      </c>
      <c r="AR56" s="186">
        <f>('National model results detailed'!AR238/'National model results detailed'!AQ238)-1</f>
        <v>3.5049855503786809E-2</v>
      </c>
      <c r="AS56" s="186">
        <f>('National model results detailed'!AS238/'National model results detailed'!AR238)-1</f>
        <v>3.4170903683379716E-2</v>
      </c>
    </row>
    <row r="57" spans="2:45">
      <c r="B57" s="151"/>
      <c r="H57" s="151"/>
      <c r="K57" s="762"/>
      <c r="L57" s="181"/>
      <c r="M57" s="201"/>
      <c r="N57" s="201"/>
      <c r="O57" s="809"/>
      <c r="P57" s="181"/>
      <c r="Q57" s="201"/>
    </row>
    <row r="58" spans="2:45">
      <c r="B58" s="872" t="s">
        <v>3479</v>
      </c>
    </row>
    <row r="61" spans="2:45">
      <c r="B61" s="84" t="s">
        <v>125</v>
      </c>
      <c r="C61" s="34">
        <f>C38</f>
        <v>2020</v>
      </c>
      <c r="D61" s="34">
        <f>C61+1</f>
        <v>2021</v>
      </c>
      <c r="E61" s="34">
        <f t="shared" ref="E61:AG61" si="0">D61+1</f>
        <v>2022</v>
      </c>
      <c r="F61" s="34">
        <f t="shared" si="0"/>
        <v>2023</v>
      </c>
      <c r="G61" s="34">
        <f t="shared" si="0"/>
        <v>2024</v>
      </c>
      <c r="H61" s="34">
        <f t="shared" si="0"/>
        <v>2025</v>
      </c>
      <c r="I61" s="34">
        <f t="shared" si="0"/>
        <v>2026</v>
      </c>
      <c r="J61" s="34">
        <f t="shared" si="0"/>
        <v>2027</v>
      </c>
      <c r="K61" s="34">
        <f t="shared" si="0"/>
        <v>2028</v>
      </c>
      <c r="L61" s="34">
        <f t="shared" si="0"/>
        <v>2029</v>
      </c>
      <c r="M61" s="34">
        <f t="shared" si="0"/>
        <v>2030</v>
      </c>
      <c r="N61" s="34">
        <f t="shared" si="0"/>
        <v>2031</v>
      </c>
      <c r="O61" s="34">
        <f t="shared" si="0"/>
        <v>2032</v>
      </c>
      <c r="P61" s="34">
        <f t="shared" si="0"/>
        <v>2033</v>
      </c>
      <c r="Q61" s="34">
        <f t="shared" si="0"/>
        <v>2034</v>
      </c>
      <c r="R61" s="34">
        <f t="shared" si="0"/>
        <v>2035</v>
      </c>
      <c r="S61" s="34">
        <f t="shared" si="0"/>
        <v>2036</v>
      </c>
      <c r="T61" s="34">
        <f t="shared" si="0"/>
        <v>2037</v>
      </c>
      <c r="U61" s="34">
        <f t="shared" si="0"/>
        <v>2038</v>
      </c>
      <c r="V61" s="34">
        <f t="shared" si="0"/>
        <v>2039</v>
      </c>
      <c r="W61" s="34">
        <f t="shared" si="0"/>
        <v>2040</v>
      </c>
      <c r="X61" s="34">
        <f t="shared" si="0"/>
        <v>2041</v>
      </c>
      <c r="Y61" s="34">
        <f t="shared" si="0"/>
        <v>2042</v>
      </c>
      <c r="Z61" s="34">
        <f t="shared" si="0"/>
        <v>2043</v>
      </c>
      <c r="AA61" s="34">
        <f t="shared" si="0"/>
        <v>2044</v>
      </c>
      <c r="AB61" s="34">
        <f t="shared" si="0"/>
        <v>2045</v>
      </c>
      <c r="AC61" s="34">
        <f t="shared" si="0"/>
        <v>2046</v>
      </c>
      <c r="AD61" s="34">
        <f t="shared" si="0"/>
        <v>2047</v>
      </c>
      <c r="AE61" s="34">
        <f t="shared" si="0"/>
        <v>2048</v>
      </c>
      <c r="AF61" s="34">
        <f t="shared" si="0"/>
        <v>2049</v>
      </c>
      <c r="AG61" s="34">
        <f t="shared" si="0"/>
        <v>2050</v>
      </c>
      <c r="AH61" s="34">
        <f t="shared" ref="AH61" si="1">AG61+1</f>
        <v>2051</v>
      </c>
      <c r="AI61" s="34">
        <f t="shared" ref="AI61" si="2">AH61+1</f>
        <v>2052</v>
      </c>
      <c r="AJ61" s="34">
        <f t="shared" ref="AJ61:AK61" si="3">AI61+1</f>
        <v>2053</v>
      </c>
      <c r="AK61" s="34">
        <f t="shared" si="3"/>
        <v>2054</v>
      </c>
    </row>
    <row r="62" spans="2:45">
      <c r="B62" s="6" t="s">
        <v>11</v>
      </c>
      <c r="C62" s="888">
        <f>C25</f>
        <v>162275.67023773913</v>
      </c>
      <c r="D62" s="888">
        <f>C62*(1+INDEX($D45:$AS45,MATCH(D$61,$D$44:$AS$44,0)))</f>
        <v>172556.86654689643</v>
      </c>
      <c r="E62" s="888">
        <f t="shared" ref="E62:AJ62" si="4">D62*(1+INDEX($D45:$AS45,MATCH(E$61,$D$44:$AS$44,0)))</f>
        <v>182417.94444463748</v>
      </c>
      <c r="F62" s="888">
        <f t="shared" si="4"/>
        <v>192077.38393437874</v>
      </c>
      <c r="G62" s="888">
        <f t="shared" si="4"/>
        <v>201753.95103103202</v>
      </c>
      <c r="H62" s="888">
        <f t="shared" si="4"/>
        <v>211578.10505646403</v>
      </c>
      <c r="I62" s="888">
        <f t="shared" si="4"/>
        <v>221556.83547197099</v>
      </c>
      <c r="J62" s="888">
        <f t="shared" si="4"/>
        <v>231759.68692751692</v>
      </c>
      <c r="K62" s="888">
        <f t="shared" si="4"/>
        <v>242606.41871779214</v>
      </c>
      <c r="L62" s="888">
        <f t="shared" si="4"/>
        <v>253860.23960214161</v>
      </c>
      <c r="M62" s="888">
        <f t="shared" si="4"/>
        <v>265404.66625351243</v>
      </c>
      <c r="N62" s="888">
        <f t="shared" si="4"/>
        <v>277189.64166169486</v>
      </c>
      <c r="O62" s="888">
        <f t="shared" si="4"/>
        <v>289184.21721830795</v>
      </c>
      <c r="P62" s="888">
        <f t="shared" si="4"/>
        <v>301470.64669904485</v>
      </c>
      <c r="Q62" s="888">
        <f t="shared" si="4"/>
        <v>314150.34476170706</v>
      </c>
      <c r="R62" s="888">
        <f t="shared" si="4"/>
        <v>327247.64764543512</v>
      </c>
      <c r="S62" s="888">
        <f t="shared" si="4"/>
        <v>340694.63099294901</v>
      </c>
      <c r="T62" s="888">
        <f t="shared" si="4"/>
        <v>354511.75431890268</v>
      </c>
      <c r="U62" s="888">
        <f t="shared" si="4"/>
        <v>368905.62210257864</v>
      </c>
      <c r="V62" s="888">
        <f t="shared" si="4"/>
        <v>383727.06589630351</v>
      </c>
      <c r="W62" s="888">
        <f t="shared" si="4"/>
        <v>398937.94573122251</v>
      </c>
      <c r="X62" s="888">
        <f t="shared" si="4"/>
        <v>414538.60444867541</v>
      </c>
      <c r="Y62" s="888">
        <f t="shared" si="4"/>
        <v>430623.93403572944</v>
      </c>
      <c r="Z62" s="888">
        <f t="shared" si="4"/>
        <v>447186.80850394024</v>
      </c>
      <c r="AA62" s="888">
        <f t="shared" si="4"/>
        <v>464201.78335096926</v>
      </c>
      <c r="AB62" s="888">
        <f t="shared" si="4"/>
        <v>481649.19730660971</v>
      </c>
      <c r="AC62" s="888">
        <f t="shared" si="4"/>
        <v>499507.03073081723</v>
      </c>
      <c r="AD62" s="888">
        <f t="shared" si="4"/>
        <v>517758.85753554606</v>
      </c>
      <c r="AE62" s="888">
        <f t="shared" si="4"/>
        <v>536388.32982785872</v>
      </c>
      <c r="AF62" s="888">
        <f t="shared" si="4"/>
        <v>555417.48478214908</v>
      </c>
      <c r="AG62" s="888">
        <f t="shared" si="4"/>
        <v>574947.37846143066</v>
      </c>
      <c r="AH62" s="888">
        <f t="shared" si="4"/>
        <v>594998.53075685631</v>
      </c>
      <c r="AI62" s="888">
        <f t="shared" si="4"/>
        <v>615619.29633453768</v>
      </c>
      <c r="AJ62" s="888">
        <f t="shared" si="4"/>
        <v>636706.65594356123</v>
      </c>
      <c r="AK62" s="888">
        <f t="shared" ref="AK62" si="5">AJ62*(1+INDEX($D45:$AS45,MATCH(AK$61,$D$44:$AS$44,0)))</f>
        <v>658176.64934257674</v>
      </c>
    </row>
    <row r="63" spans="2:45">
      <c r="B63" s="6" t="s">
        <v>14</v>
      </c>
      <c r="C63" s="888">
        <f t="shared" ref="C63:C73" si="6">C26</f>
        <v>18963.68</v>
      </c>
      <c r="D63" s="888">
        <f t="shared" ref="D63:AJ63" si="7">C63*(1+INDEX($D46:$AS46,MATCH(D$61,$D$44:$AS$44,0)))</f>
        <v>20059.017792582814</v>
      </c>
      <c r="E63" s="888">
        <f t="shared" si="7"/>
        <v>21096.717626199701</v>
      </c>
      <c r="F63" s="888">
        <f t="shared" si="7"/>
        <v>22103.99575636919</v>
      </c>
      <c r="G63" s="888">
        <f t="shared" si="7"/>
        <v>23107.694089114964</v>
      </c>
      <c r="H63" s="888">
        <f t="shared" si="7"/>
        <v>24123.347458342687</v>
      </c>
      <c r="I63" s="888">
        <f t="shared" si="7"/>
        <v>25151.032486228076</v>
      </c>
      <c r="J63" s="888">
        <f t="shared" si="7"/>
        <v>26198.687316874308</v>
      </c>
      <c r="K63" s="888">
        <f t="shared" si="7"/>
        <v>27317.654262548207</v>
      </c>
      <c r="L63" s="888">
        <f t="shared" si="7"/>
        <v>28477.131992958224</v>
      </c>
      <c r="M63" s="888">
        <f t="shared" si="7"/>
        <v>29661.867082940356</v>
      </c>
      <c r="N63" s="888">
        <f t="shared" si="7"/>
        <v>30865.141633822765</v>
      </c>
      <c r="O63" s="888">
        <f t="shared" si="7"/>
        <v>32082.730229353521</v>
      </c>
      <c r="P63" s="888">
        <f t="shared" si="7"/>
        <v>33324.515724972</v>
      </c>
      <c r="Q63" s="888">
        <f t="shared" si="7"/>
        <v>34602.59981630832</v>
      </c>
      <c r="R63" s="888">
        <f t="shared" si="7"/>
        <v>35919.34974498464</v>
      </c>
      <c r="S63" s="888">
        <f t="shared" si="7"/>
        <v>37265.681147838353</v>
      </c>
      <c r="T63" s="888">
        <f t="shared" si="7"/>
        <v>38643.636390307118</v>
      </c>
      <c r="U63" s="888">
        <f t="shared" si="7"/>
        <v>40078.318454473789</v>
      </c>
      <c r="V63" s="888">
        <f t="shared" si="7"/>
        <v>41550.319052881816</v>
      </c>
      <c r="W63" s="888">
        <f t="shared" si="7"/>
        <v>43054.343283164839</v>
      </c>
      <c r="X63" s="888">
        <f t="shared" si="7"/>
        <v>44589.947567583207</v>
      </c>
      <c r="Y63" s="888">
        <f t="shared" si="7"/>
        <v>46168.409005297253</v>
      </c>
      <c r="Z63" s="888">
        <f t="shared" si="7"/>
        <v>47788.163574091508</v>
      </c>
      <c r="AA63" s="888">
        <f t="shared" si="7"/>
        <v>49445.405099376403</v>
      </c>
      <c r="AB63" s="888">
        <f t="shared" si="7"/>
        <v>51137.101728293121</v>
      </c>
      <c r="AC63" s="888">
        <f t="shared" si="7"/>
        <v>52859.964202223273</v>
      </c>
      <c r="AD63" s="888">
        <f t="shared" si="7"/>
        <v>54611.429662325987</v>
      </c>
      <c r="AE63" s="888">
        <f t="shared" si="7"/>
        <v>56388.960809596349</v>
      </c>
      <c r="AF63" s="888">
        <f t="shared" si="7"/>
        <v>58194.794299075271</v>
      </c>
      <c r="AG63" s="888">
        <f t="shared" si="7"/>
        <v>60040.906557499351</v>
      </c>
      <c r="AH63" s="888">
        <f t="shared" si="7"/>
        <v>61929.080761469515</v>
      </c>
      <c r="AI63" s="888">
        <f t="shared" si="7"/>
        <v>63864.528317811586</v>
      </c>
      <c r="AJ63" s="888">
        <f t="shared" si="7"/>
        <v>65833.605787296779</v>
      </c>
      <c r="AK63" s="888">
        <f t="shared" ref="AK63" si="8">AJ63*(1+INDEX($D46:$AS46,MATCH(AK$61,$D$44:$AS$44,0)))</f>
        <v>67825.248253285841</v>
      </c>
    </row>
    <row r="64" spans="2:45">
      <c r="B64" s="6" t="s">
        <v>15</v>
      </c>
      <c r="C64" s="888">
        <f t="shared" si="6"/>
        <v>5319.9855347552493</v>
      </c>
      <c r="D64" s="888">
        <f t="shared" ref="D64:AJ64" si="9">C64*(1+INDEX($D47:$AS47,MATCH(D$61,$D$44:$AS$44,0)))</f>
        <v>5687.0240728460049</v>
      </c>
      <c r="E64" s="888">
        <f t="shared" si="9"/>
        <v>6044.6586318537102</v>
      </c>
      <c r="F64" s="888">
        <f t="shared" si="9"/>
        <v>6399.751381244816</v>
      </c>
      <c r="G64" s="888">
        <f t="shared" si="9"/>
        <v>6759.2066658657477</v>
      </c>
      <c r="H64" s="888">
        <f t="shared" si="9"/>
        <v>7127.1751586700166</v>
      </c>
      <c r="I64" s="888">
        <f t="shared" si="9"/>
        <v>7503.9331251218564</v>
      </c>
      <c r="J64" s="888">
        <f t="shared" si="9"/>
        <v>7891.7492839017032</v>
      </c>
      <c r="K64" s="888">
        <f t="shared" si="9"/>
        <v>8303.991716318551</v>
      </c>
      <c r="L64" s="888">
        <f t="shared" si="9"/>
        <v>8733.337005862164</v>
      </c>
      <c r="M64" s="888">
        <f t="shared" si="9"/>
        <v>9176.2517555817267</v>
      </c>
      <c r="N64" s="888">
        <f t="shared" si="9"/>
        <v>9631.296465421432</v>
      </c>
      <c r="O64" s="888">
        <f t="shared" si="9"/>
        <v>10097.634162755907</v>
      </c>
      <c r="P64" s="888">
        <f t="shared" si="9"/>
        <v>10578.0076633715</v>
      </c>
      <c r="Q64" s="888">
        <f t="shared" si="9"/>
        <v>11075.78142524714</v>
      </c>
      <c r="R64" s="888">
        <f t="shared" si="9"/>
        <v>11591.902750651128</v>
      </c>
      <c r="S64" s="888">
        <f t="shared" si="9"/>
        <v>12124.41209136257</v>
      </c>
      <c r="T64" s="888">
        <f t="shared" si="9"/>
        <v>12674.142635033761</v>
      </c>
      <c r="U64" s="888">
        <f t="shared" si="9"/>
        <v>13247.823696047721</v>
      </c>
      <c r="V64" s="888">
        <f t="shared" si="9"/>
        <v>13840.968308437694</v>
      </c>
      <c r="W64" s="888">
        <f t="shared" si="9"/>
        <v>14452.589253170987</v>
      </c>
      <c r="X64" s="888">
        <f t="shared" si="9"/>
        <v>15082.915973207551</v>
      </c>
      <c r="Y64" s="888">
        <f t="shared" si="9"/>
        <v>15735.172725466511</v>
      </c>
      <c r="Z64" s="888">
        <f t="shared" si="9"/>
        <v>16409.375629825172</v>
      </c>
      <c r="AA64" s="888">
        <f t="shared" si="9"/>
        <v>17104.967152684094</v>
      </c>
      <c r="AB64" s="888">
        <f t="shared" si="9"/>
        <v>17821.574983736016</v>
      </c>
      <c r="AC64" s="888">
        <f t="shared" si="9"/>
        <v>18558.754368432765</v>
      </c>
      <c r="AD64" s="888">
        <f t="shared" si="9"/>
        <v>19316.238617826686</v>
      </c>
      <c r="AE64" s="888">
        <f t="shared" si="9"/>
        <v>20093.764932340044</v>
      </c>
      <c r="AF64" s="888">
        <f t="shared" si="9"/>
        <v>20892.285824748218</v>
      </c>
      <c r="AG64" s="888">
        <f t="shared" si="9"/>
        <v>21715.260198317283</v>
      </c>
      <c r="AH64" s="888">
        <f t="shared" si="9"/>
        <v>22563.619617744527</v>
      </c>
      <c r="AI64" s="888">
        <f t="shared" si="9"/>
        <v>23439.186819220977</v>
      </c>
      <c r="AJ64" s="888">
        <f t="shared" si="9"/>
        <v>24339.011572753294</v>
      </c>
      <c r="AK64" s="888">
        <f t="shared" ref="AK64" si="10">AJ64*(1+INDEX($D47:$AS47,MATCH(AK$61,$D$44:$AS$44,0)))</f>
        <v>25260.739174478858</v>
      </c>
    </row>
    <row r="65" spans="1:37">
      <c r="B65" s="6" t="s">
        <v>16</v>
      </c>
      <c r="C65" s="888">
        <f t="shared" si="6"/>
        <v>87380.366700960963</v>
      </c>
      <c r="D65" s="888">
        <f t="shared" ref="D65:AJ65" si="11">C65*(1+INDEX($D48:$AS48,MATCH(D$61,$D$44:$AS$44,0)))</f>
        <v>92802.113548902838</v>
      </c>
      <c r="E65" s="888">
        <f t="shared" si="11"/>
        <v>97997.833299190592</v>
      </c>
      <c r="F65" s="888">
        <f t="shared" si="11"/>
        <v>103087.82892152869</v>
      </c>
      <c r="G65" s="888">
        <f t="shared" si="11"/>
        <v>108191.72203964322</v>
      </c>
      <c r="H65" s="888">
        <f t="shared" si="11"/>
        <v>113379.8585117178</v>
      </c>
      <c r="I65" s="888">
        <f t="shared" si="11"/>
        <v>118654.42600910596</v>
      </c>
      <c r="J65" s="888">
        <f t="shared" si="11"/>
        <v>124052.35828468937</v>
      </c>
      <c r="K65" s="888">
        <f t="shared" si="11"/>
        <v>129803.36689686147</v>
      </c>
      <c r="L65" s="888">
        <f t="shared" si="11"/>
        <v>135774.43788232535</v>
      </c>
      <c r="M65" s="888">
        <f t="shared" si="11"/>
        <v>141900.22367193681</v>
      </c>
      <c r="N65" s="888">
        <f t="shared" si="11"/>
        <v>148152.62455251315</v>
      </c>
      <c r="O65" s="888">
        <f t="shared" si="11"/>
        <v>154514.34696719507</v>
      </c>
      <c r="P65" s="888">
        <f t="shared" si="11"/>
        <v>161030.56315197563</v>
      </c>
      <c r="Q65" s="888">
        <f t="shared" si="11"/>
        <v>167756.6820649943</v>
      </c>
      <c r="R65" s="888">
        <f t="shared" si="11"/>
        <v>174705.36545519246</v>
      </c>
      <c r="S65" s="888">
        <f t="shared" si="11"/>
        <v>181838.53026152402</v>
      </c>
      <c r="T65" s="888">
        <f t="shared" si="11"/>
        <v>189167.12519303701</v>
      </c>
      <c r="U65" s="888">
        <f t="shared" si="11"/>
        <v>196804.5244434948</v>
      </c>
      <c r="V65" s="888">
        <f t="shared" si="11"/>
        <v>204667.53105978211</v>
      </c>
      <c r="W65" s="888">
        <f t="shared" si="11"/>
        <v>212734.83221974797</v>
      </c>
      <c r="X65" s="888">
        <f t="shared" si="11"/>
        <v>221006.48339600576</v>
      </c>
      <c r="Y65" s="888">
        <f t="shared" si="11"/>
        <v>229534.58331985731</v>
      </c>
      <c r="Z65" s="888">
        <f t="shared" si="11"/>
        <v>238314.71425636567</v>
      </c>
      <c r="AA65" s="888">
        <f t="shared" si="11"/>
        <v>247332.47676050384</v>
      </c>
      <c r="AB65" s="888">
        <f t="shared" si="11"/>
        <v>256576.80429538974</v>
      </c>
      <c r="AC65" s="888">
        <f t="shared" si="11"/>
        <v>266035.42813471326</v>
      </c>
      <c r="AD65" s="888">
        <f t="shared" si="11"/>
        <v>275699.24309171754</v>
      </c>
      <c r="AE65" s="888">
        <f t="shared" si="11"/>
        <v>285559.23244570429</v>
      </c>
      <c r="AF65" s="888">
        <f t="shared" si="11"/>
        <v>295627.54346124904</v>
      </c>
      <c r="AG65" s="888">
        <f t="shared" si="11"/>
        <v>305959.69936035242</v>
      </c>
      <c r="AH65" s="888">
        <f t="shared" si="11"/>
        <v>316566.49627186143</v>
      </c>
      <c r="AI65" s="888">
        <f t="shared" si="11"/>
        <v>327474.04306357302</v>
      </c>
      <c r="AJ65" s="888">
        <f t="shared" si="11"/>
        <v>338625.01244163106</v>
      </c>
      <c r="AK65" s="888">
        <f t="shared" ref="AK65" si="12">AJ65*(1+INDEX($D48:$AS48,MATCH(AK$61,$D$44:$AS$44,0)))</f>
        <v>349973.05438109866</v>
      </c>
    </row>
    <row r="66" spans="1:37">
      <c r="B66" s="6" t="s">
        <v>103</v>
      </c>
      <c r="C66" s="888">
        <f t="shared" si="6"/>
        <v>666527.69409990811</v>
      </c>
      <c r="D66" s="888">
        <f t="shared" ref="D66:AJ66" si="13">C66*(1+INDEX($D49:$AS49,MATCH(D$61,$D$44:$AS$44,0)))</f>
        <v>710556.55052116187</v>
      </c>
      <c r="E66" s="888">
        <f t="shared" si="13"/>
        <v>753125.612983778</v>
      </c>
      <c r="F66" s="888">
        <f t="shared" si="13"/>
        <v>795087.77366257727</v>
      </c>
      <c r="G66" s="888">
        <f t="shared" si="13"/>
        <v>837291.58322161471</v>
      </c>
      <c r="H66" s="888">
        <f t="shared" si="13"/>
        <v>880241.36692420323</v>
      </c>
      <c r="I66" s="888">
        <f t="shared" si="13"/>
        <v>923966.36195650313</v>
      </c>
      <c r="J66" s="888">
        <f t="shared" si="13"/>
        <v>968734.54369796196</v>
      </c>
      <c r="K66" s="888">
        <f t="shared" si="13"/>
        <v>1016142.4454207957</v>
      </c>
      <c r="L66" s="888">
        <f t="shared" si="13"/>
        <v>1065293.2835640314</v>
      </c>
      <c r="M66" s="888">
        <f t="shared" si="13"/>
        <v>1115750.259700842</v>
      </c>
      <c r="N66" s="888">
        <f t="shared" si="13"/>
        <v>1167329.2583134044</v>
      </c>
      <c r="O66" s="888">
        <f t="shared" si="13"/>
        <v>1219919.1245938111</v>
      </c>
      <c r="P66" s="888">
        <f t="shared" si="13"/>
        <v>1273831.5587478052</v>
      </c>
      <c r="Q66" s="888">
        <f t="shared" si="13"/>
        <v>1329447.6456609594</v>
      </c>
      <c r="R66" s="888">
        <f t="shared" si="13"/>
        <v>1386861.2191773301</v>
      </c>
      <c r="S66" s="888">
        <f t="shared" si="13"/>
        <v>1445825.8785987601</v>
      </c>
      <c r="T66" s="888">
        <f t="shared" si="13"/>
        <v>1506421.7249184079</v>
      </c>
      <c r="U66" s="888">
        <f t="shared" si="13"/>
        <v>1569409.6445201659</v>
      </c>
      <c r="V66" s="888">
        <f t="shared" si="13"/>
        <v>1634249.3401865892</v>
      </c>
      <c r="W66" s="888">
        <f t="shared" si="13"/>
        <v>1700807.6357312971</v>
      </c>
      <c r="X66" s="888">
        <f t="shared" si="13"/>
        <v>1769091.7532875827</v>
      </c>
      <c r="Y66" s="888">
        <f t="shared" si="13"/>
        <v>1839449.9441226646</v>
      </c>
      <c r="Z66" s="888">
        <f t="shared" si="13"/>
        <v>1911862.2239077911</v>
      </c>
      <c r="AA66" s="888">
        <f t="shared" si="13"/>
        <v>1986243.6034131031</v>
      </c>
      <c r="AB66" s="888">
        <f t="shared" si="13"/>
        <v>2062530.6264800045</v>
      </c>
      <c r="AC66" s="888">
        <f t="shared" si="13"/>
        <v>2140652.2108440446</v>
      </c>
      <c r="AD66" s="888">
        <f t="shared" si="13"/>
        <v>2220557.8373276303</v>
      </c>
      <c r="AE66" s="888">
        <f t="shared" si="13"/>
        <v>2302197.886050195</v>
      </c>
      <c r="AF66" s="888">
        <f t="shared" si="13"/>
        <v>2385658.137716176</v>
      </c>
      <c r="AG66" s="888">
        <f t="shared" si="13"/>
        <v>2471300.5721518206</v>
      </c>
      <c r="AH66" s="888">
        <f t="shared" si="13"/>
        <v>2559204.4993234319</v>
      </c>
      <c r="AI66" s="888">
        <f t="shared" si="13"/>
        <v>2649545.8293516296</v>
      </c>
      <c r="AJ66" s="888">
        <f t="shared" si="13"/>
        <v>2741976.1074166582</v>
      </c>
      <c r="AK66" s="888">
        <f t="shared" ref="AK66" si="14">AJ66*(1+INDEX($D49:$AS49,MATCH(AK$61,$D$44:$AS$44,0)))</f>
        <v>2836215.2603342249</v>
      </c>
    </row>
    <row r="67" spans="1:37">
      <c r="B67" s="6" t="s">
        <v>104</v>
      </c>
      <c r="C67" s="888">
        <f t="shared" si="6"/>
        <v>77072.310579558907</v>
      </c>
      <c r="D67" s="888">
        <f t="shared" ref="D67:AJ67" si="15">C67*(1+INDEX($D50:$AS50,MATCH(D$61,$D$44:$AS$44,0)))</f>
        <v>81512.185897722549</v>
      </c>
      <c r="E67" s="888">
        <f t="shared" si="15"/>
        <v>85700.07390143408</v>
      </c>
      <c r="F67" s="888">
        <f t="shared" si="15"/>
        <v>89742.61079800014</v>
      </c>
      <c r="G67" s="888">
        <f t="shared" si="15"/>
        <v>93744.841353699099</v>
      </c>
      <c r="H67" s="888">
        <f t="shared" si="15"/>
        <v>97768.431354496497</v>
      </c>
      <c r="I67" s="888">
        <f t="shared" si="15"/>
        <v>101815.98432795354</v>
      </c>
      <c r="J67" s="888">
        <f t="shared" si="15"/>
        <v>105919.28482906375</v>
      </c>
      <c r="K67" s="888">
        <f t="shared" si="15"/>
        <v>110272.85629284584</v>
      </c>
      <c r="L67" s="888">
        <f t="shared" si="15"/>
        <v>114762.94775362936</v>
      </c>
      <c r="M67" s="888">
        <f t="shared" si="15"/>
        <v>119333.25157743048</v>
      </c>
      <c r="N67" s="888">
        <f t="shared" si="15"/>
        <v>123958.95805968584</v>
      </c>
      <c r="O67" s="888">
        <f t="shared" si="15"/>
        <v>128624.40989530472</v>
      </c>
      <c r="P67" s="888">
        <f t="shared" si="15"/>
        <v>133365.99784116456</v>
      </c>
      <c r="Q67" s="888">
        <f t="shared" si="15"/>
        <v>138228.23312405482</v>
      </c>
      <c r="R67" s="888">
        <f t="shared" si="15"/>
        <v>143219.84451637982</v>
      </c>
      <c r="S67" s="888">
        <f t="shared" si="15"/>
        <v>148307.61084484949</v>
      </c>
      <c r="T67" s="888">
        <f t="shared" si="15"/>
        <v>153498.66788385721</v>
      </c>
      <c r="U67" s="888">
        <f t="shared" si="15"/>
        <v>158883.63156945413</v>
      </c>
      <c r="V67" s="888">
        <f t="shared" si="15"/>
        <v>164392.34545934561</v>
      </c>
      <c r="W67" s="888">
        <f t="shared" si="15"/>
        <v>170005.25381846778</v>
      </c>
      <c r="X67" s="888">
        <f t="shared" si="15"/>
        <v>175720.18269408599</v>
      </c>
      <c r="Y67" s="888">
        <f t="shared" si="15"/>
        <v>181576.81424716525</v>
      </c>
      <c r="Z67" s="888">
        <f t="shared" si="15"/>
        <v>187569.15795437896</v>
      </c>
      <c r="AA67" s="888">
        <f t="shared" si="15"/>
        <v>193683.22820581408</v>
      </c>
      <c r="AB67" s="888">
        <f t="shared" si="15"/>
        <v>199907.75867217674</v>
      </c>
      <c r="AC67" s="888">
        <f t="shared" si="15"/>
        <v>206230.60297669325</v>
      </c>
      <c r="AD67" s="888">
        <f t="shared" si="15"/>
        <v>212642.21151609093</v>
      </c>
      <c r="AE67" s="888">
        <f t="shared" si="15"/>
        <v>219133.1957610994</v>
      </c>
      <c r="AF67" s="888">
        <f t="shared" si="15"/>
        <v>225710.84745214527</v>
      </c>
      <c r="AG67" s="888">
        <f t="shared" si="15"/>
        <v>232416.26255972797</v>
      </c>
      <c r="AH67" s="888">
        <f t="shared" si="15"/>
        <v>239255.35642475105</v>
      </c>
      <c r="AI67" s="888">
        <f t="shared" si="15"/>
        <v>246245.77128090308</v>
      </c>
      <c r="AJ67" s="888">
        <f t="shared" si="15"/>
        <v>253340.49595338575</v>
      </c>
      <c r="AK67" s="888">
        <f t="shared" ref="AK67" si="16">AJ67*(1+INDEX($D50:$AS50,MATCH(AK$61,$D$44:$AS$44,0)))</f>
        <v>260501.3076755041</v>
      </c>
    </row>
    <row r="68" spans="1:37">
      <c r="B68" s="6" t="s">
        <v>17</v>
      </c>
      <c r="C68" s="888">
        <f t="shared" si="6"/>
        <v>38097.301285716727</v>
      </c>
      <c r="D68" s="888">
        <f t="shared" ref="D68:AJ68" si="17">C68*(1+INDEX($D51:$AS51,MATCH(D$61,$D$44:$AS$44,0)))</f>
        <v>40906.854270320982</v>
      </c>
      <c r="E68" s="888">
        <f t="shared" si="17"/>
        <v>43674.135113716038</v>
      </c>
      <c r="F68" s="888">
        <f t="shared" si="17"/>
        <v>46444.581822599452</v>
      </c>
      <c r="G68" s="888">
        <f t="shared" si="17"/>
        <v>49263.712855792553</v>
      </c>
      <c r="H68" s="888">
        <f t="shared" si="17"/>
        <v>52158.716541400485</v>
      </c>
      <c r="I68" s="888">
        <f t="shared" si="17"/>
        <v>55131.262215494826</v>
      </c>
      <c r="J68" s="888">
        <f t="shared" si="17"/>
        <v>58196.144608831157</v>
      </c>
      <c r="K68" s="888">
        <f t="shared" si="17"/>
        <v>61440.594524777553</v>
      </c>
      <c r="L68" s="888">
        <f t="shared" si="17"/>
        <v>64817.000371734131</v>
      </c>
      <c r="M68" s="888">
        <f t="shared" si="17"/>
        <v>68302.637161542414</v>
      </c>
      <c r="N68" s="888">
        <f t="shared" si="17"/>
        <v>71888.451935990146</v>
      </c>
      <c r="O68" s="888">
        <f t="shared" si="17"/>
        <v>75569.332691018892</v>
      </c>
      <c r="P68" s="888">
        <f t="shared" si="17"/>
        <v>79363.134373112713</v>
      </c>
      <c r="Q68" s="888">
        <f t="shared" si="17"/>
        <v>83291.608426450795</v>
      </c>
      <c r="R68" s="888">
        <f t="shared" si="17"/>
        <v>87361.064851933625</v>
      </c>
      <c r="S68" s="888">
        <f t="shared" si="17"/>
        <v>91559.409373466173</v>
      </c>
      <c r="T68" s="888">
        <f t="shared" si="17"/>
        <v>95892.259635204609</v>
      </c>
      <c r="U68" s="888">
        <f t="shared" si="17"/>
        <v>100402.29769600091</v>
      </c>
      <c r="V68" s="888">
        <f t="shared" si="17"/>
        <v>105061.77858374213</v>
      </c>
      <c r="W68" s="888">
        <f t="shared" si="17"/>
        <v>109864.97195400864</v>
      </c>
      <c r="X68" s="888">
        <f t="shared" si="17"/>
        <v>114813.75431545125</v>
      </c>
      <c r="Y68" s="888">
        <f t="shared" si="17"/>
        <v>119928.55433298384</v>
      </c>
      <c r="Z68" s="888">
        <f t="shared" si="17"/>
        <v>125209.92153714345</v>
      </c>
      <c r="AA68" s="888">
        <f t="shared" si="17"/>
        <v>130654.90116017796</v>
      </c>
      <c r="AB68" s="888">
        <f t="shared" si="17"/>
        <v>136261.70653313264</v>
      </c>
      <c r="AC68" s="888">
        <f t="shared" si="17"/>
        <v>142028.130460227</v>
      </c>
      <c r="AD68" s="888">
        <f t="shared" si="17"/>
        <v>147953.06755102734</v>
      </c>
      <c r="AE68" s="888">
        <f t="shared" si="17"/>
        <v>154035.4465073563</v>
      </c>
      <c r="AF68" s="888">
        <f t="shared" si="17"/>
        <v>160281.53915187367</v>
      </c>
      <c r="AG68" s="888">
        <f t="shared" si="17"/>
        <v>166712.66287935147</v>
      </c>
      <c r="AH68" s="888">
        <f t="shared" si="17"/>
        <v>173334.91020065433</v>
      </c>
      <c r="AI68" s="888">
        <f t="shared" si="17"/>
        <v>180159.69121321206</v>
      </c>
      <c r="AJ68" s="888">
        <f t="shared" si="17"/>
        <v>187170.0117504879</v>
      </c>
      <c r="AK68" s="888">
        <f t="shared" ref="AK68" si="18">AJ68*(1+INDEX($D51:$AS51,MATCH(AK$61,$D$44:$AS$44,0)))</f>
        <v>194352.50986875841</v>
      </c>
    </row>
    <row r="69" spans="1:37">
      <c r="B69" s="6" t="s">
        <v>217</v>
      </c>
      <c r="C69" s="888">
        <f t="shared" si="6"/>
        <v>240715.48338421382</v>
      </c>
      <c r="D69" s="888">
        <f t="shared" ref="D69:AJ69" si="19">C69*(1+INDEX($D52:$AS52,MATCH(D$61,$D$44:$AS$44,0)))</f>
        <v>259738.37844996928</v>
      </c>
      <c r="E69" s="888">
        <f t="shared" si="19"/>
        <v>278616.43549327098</v>
      </c>
      <c r="F69" s="888">
        <f t="shared" si="19"/>
        <v>297678.32164796937</v>
      </c>
      <c r="G69" s="888">
        <f t="shared" si="19"/>
        <v>317276.15976162831</v>
      </c>
      <c r="H69" s="888">
        <f t="shared" si="19"/>
        <v>337637.92452661233</v>
      </c>
      <c r="I69" s="888">
        <f t="shared" si="19"/>
        <v>358795.5609430492</v>
      </c>
      <c r="J69" s="888">
        <f t="shared" si="19"/>
        <v>380891.26748609182</v>
      </c>
      <c r="K69" s="888">
        <f t="shared" si="19"/>
        <v>404697.14534302184</v>
      </c>
      <c r="L69" s="888">
        <f t="shared" si="19"/>
        <v>429850.51512863539</v>
      </c>
      <c r="M69" s="888">
        <f t="shared" si="19"/>
        <v>456182.99565320637</v>
      </c>
      <c r="N69" s="888">
        <f t="shared" si="19"/>
        <v>483637.36160190875</v>
      </c>
      <c r="O69" s="888">
        <f t="shared" si="19"/>
        <v>512187.32764187542</v>
      </c>
      <c r="P69" s="888">
        <f t="shared" si="19"/>
        <v>542023.39698159869</v>
      </c>
      <c r="Q69" s="888">
        <f t="shared" si="19"/>
        <v>573385.47112948576</v>
      </c>
      <c r="R69" s="888">
        <f t="shared" si="19"/>
        <v>606372.45676487952</v>
      </c>
      <c r="S69" s="888">
        <f t="shared" si="19"/>
        <v>640898.21051516593</v>
      </c>
      <c r="T69" s="888">
        <f t="shared" si="19"/>
        <v>677053.39397060068</v>
      </c>
      <c r="U69" s="888">
        <f t="shared" si="19"/>
        <v>715329.50511301239</v>
      </c>
      <c r="V69" s="888">
        <f t="shared" si="19"/>
        <v>755476.50234788703</v>
      </c>
      <c r="W69" s="888">
        <f t="shared" si="19"/>
        <v>797469.82332133292</v>
      </c>
      <c r="X69" s="888">
        <f t="shared" si="19"/>
        <v>841367.21327370405</v>
      </c>
      <c r="Y69" s="888">
        <f t="shared" si="19"/>
        <v>887444.65435989643</v>
      </c>
      <c r="Z69" s="888">
        <f t="shared" si="19"/>
        <v>935755.66800523386</v>
      </c>
      <c r="AA69" s="888">
        <f t="shared" si="19"/>
        <v>986310.62511258456</v>
      </c>
      <c r="AB69" s="888">
        <f t="shared" si="19"/>
        <v>1039131.3761540481</v>
      </c>
      <c r="AC69" s="888">
        <f t="shared" si="19"/>
        <v>1094232.1742363442</v>
      </c>
      <c r="AD69" s="888">
        <f t="shared" si="19"/>
        <v>1151639.0398018202</v>
      </c>
      <c r="AE69" s="888">
        <f t="shared" si="19"/>
        <v>1211376.6833675297</v>
      </c>
      <c r="AF69" s="888">
        <f t="shared" si="19"/>
        <v>1273568.403790806</v>
      </c>
      <c r="AG69" s="888">
        <f t="shared" si="19"/>
        <v>1338552.6888823777</v>
      </c>
      <c r="AH69" s="888">
        <f t="shared" si="19"/>
        <v>1406469.4397074266</v>
      </c>
      <c r="AI69" s="888">
        <f t="shared" si="19"/>
        <v>1477540.8695896668</v>
      </c>
      <c r="AJ69" s="888">
        <f t="shared" si="19"/>
        <v>1551574.7399292572</v>
      </c>
      <c r="AK69" s="888">
        <f t="shared" ref="AK69" si="20">AJ69*(1+INDEX($D52:$AS52,MATCH(AK$61,$D$44:$AS$44,0)))</f>
        <v>1628415.7434716157</v>
      </c>
    </row>
    <row r="70" spans="1:37">
      <c r="B70" s="26" t="s">
        <v>3714</v>
      </c>
      <c r="C70" s="888">
        <f t="shared" si="6"/>
        <v>174779.29552087732</v>
      </c>
      <c r="D70" s="888">
        <f t="shared" ref="D70:AJ70" si="21">C70*(1+INDEX($D53:$AS53,MATCH(D$61,$D$44:$AS$44,0)))</f>
        <v>186581.28412834689</v>
      </c>
      <c r="E70" s="888">
        <f t="shared" si="21"/>
        <v>198037.0761385416</v>
      </c>
      <c r="F70" s="888">
        <f t="shared" si="21"/>
        <v>209367.72280555236</v>
      </c>
      <c r="G70" s="888">
        <f t="shared" si="21"/>
        <v>220793.35449216043</v>
      </c>
      <c r="H70" s="888">
        <f t="shared" si="21"/>
        <v>232444.83532204814</v>
      </c>
      <c r="I70" s="888">
        <f t="shared" si="21"/>
        <v>244329.69467265406</v>
      </c>
      <c r="J70" s="888">
        <f t="shared" si="21"/>
        <v>256517.72933143898</v>
      </c>
      <c r="K70" s="888">
        <f t="shared" si="21"/>
        <v>269424.55047631537</v>
      </c>
      <c r="L70" s="888">
        <f t="shared" si="21"/>
        <v>282817.64595475903</v>
      </c>
      <c r="M70" s="888">
        <f t="shared" si="21"/>
        <v>296584.18844559172</v>
      </c>
      <c r="N70" s="888">
        <f t="shared" si="21"/>
        <v>310655.3222610504</v>
      </c>
      <c r="O70" s="888">
        <f t="shared" si="21"/>
        <v>325023.10104541312</v>
      </c>
      <c r="P70" s="888">
        <f t="shared" si="21"/>
        <v>339769.46333856846</v>
      </c>
      <c r="Q70" s="888">
        <f t="shared" si="21"/>
        <v>354994.45263982745</v>
      </c>
      <c r="R70" s="888">
        <f t="shared" si="21"/>
        <v>370723.4828843273</v>
      </c>
      <c r="S70" s="888">
        <f t="shared" si="21"/>
        <v>386893.5240734024</v>
      </c>
      <c r="T70" s="888">
        <f t="shared" si="21"/>
        <v>403526.48346018448</v>
      </c>
      <c r="U70" s="888">
        <f t="shared" si="21"/>
        <v>420821.41098228062</v>
      </c>
      <c r="V70" s="888">
        <f t="shared" si="21"/>
        <v>438639.01160201227</v>
      </c>
      <c r="W70" s="888">
        <f t="shared" si="21"/>
        <v>456945.89432652091</v>
      </c>
      <c r="X70" s="888">
        <f t="shared" si="21"/>
        <v>475745.20092573058</v>
      </c>
      <c r="Y70" s="888">
        <f t="shared" si="21"/>
        <v>495128.80963773484</v>
      </c>
      <c r="Z70" s="888">
        <f t="shared" si="21"/>
        <v>515092.90080713213</v>
      </c>
      <c r="AA70" s="888">
        <f t="shared" si="21"/>
        <v>535616.76746634056</v>
      </c>
      <c r="AB70" s="888">
        <f t="shared" si="21"/>
        <v>556685.30084508751</v>
      </c>
      <c r="AC70" s="888">
        <f t="shared" si="21"/>
        <v>578281.40728906367</v>
      </c>
      <c r="AD70" s="888">
        <f t="shared" si="21"/>
        <v>600393.34377254429</v>
      </c>
      <c r="AE70" s="888">
        <f t="shared" si="21"/>
        <v>623009.58855650015</v>
      </c>
      <c r="AF70" s="888">
        <f t="shared" si="21"/>
        <v>646153.80385783454</v>
      </c>
      <c r="AG70" s="888">
        <f t="shared" si="21"/>
        <v>669921.54172520374</v>
      </c>
      <c r="AH70" s="888">
        <f t="shared" si="21"/>
        <v>694334.91727807524</v>
      </c>
      <c r="AI70" s="888">
        <f t="shared" si="21"/>
        <v>719441.23421715747</v>
      </c>
      <c r="AJ70" s="888">
        <f t="shared" si="21"/>
        <v>745151.45229495852</v>
      </c>
      <c r="AK70" s="888">
        <f t="shared" ref="AK70" si="22">AJ70*(1+INDEX($D53:$AS53,MATCH(AK$61,$D$44:$AS$44,0)))</f>
        <v>771394.28380049882</v>
      </c>
    </row>
    <row r="71" spans="1:37">
      <c r="B71" s="26" t="s">
        <v>102</v>
      </c>
      <c r="C71" s="888">
        <f t="shared" si="6"/>
        <v>2696.1643307111453</v>
      </c>
      <c r="D71" s="888">
        <f t="shared" ref="D71:AJ71" si="23">C71*(1+INDEX($D54:$AS54,MATCH(D$61,$D$44:$AS$44,0)))</f>
        <v>3445.6916018709667</v>
      </c>
      <c r="E71" s="888">
        <f t="shared" si="23"/>
        <v>4230.5299818038357</v>
      </c>
      <c r="F71" s="888">
        <f t="shared" si="23"/>
        <v>5053.351991734944</v>
      </c>
      <c r="G71" s="888">
        <f t="shared" si="23"/>
        <v>5917.5629113344194</v>
      </c>
      <c r="H71" s="888">
        <f t="shared" si="23"/>
        <v>6825.7740380928535</v>
      </c>
      <c r="I71" s="888">
        <f t="shared" si="23"/>
        <v>7778.9144423515827</v>
      </c>
      <c r="J71" s="888">
        <f t="shared" si="23"/>
        <v>8779.0270329010673</v>
      </c>
      <c r="K71" s="888">
        <f t="shared" si="23"/>
        <v>9834.3876076935449</v>
      </c>
      <c r="L71" s="888">
        <f t="shared" si="23"/>
        <v>10943.471938050565</v>
      </c>
      <c r="M71" s="888">
        <f t="shared" si="23"/>
        <v>12106.056247598497</v>
      </c>
      <c r="N71" s="888">
        <f t="shared" si="23"/>
        <v>12593.295008111822</v>
      </c>
      <c r="O71" s="888">
        <f t="shared" si="23"/>
        <v>13081.491770038114</v>
      </c>
      <c r="P71" s="888">
        <f t="shared" si="23"/>
        <v>13574.677513293038</v>
      </c>
      <c r="Q71" s="888">
        <f t="shared" si="23"/>
        <v>14076.461660976518</v>
      </c>
      <c r="R71" s="888">
        <f t="shared" si="23"/>
        <v>14588.494815514421</v>
      </c>
      <c r="S71" s="888">
        <f t="shared" si="23"/>
        <v>15110.389477234561</v>
      </c>
      <c r="T71" s="888">
        <f t="shared" si="23"/>
        <v>15642.988918024363</v>
      </c>
      <c r="U71" s="888">
        <f t="shared" si="23"/>
        <v>16189.962006323874</v>
      </c>
      <c r="V71" s="888">
        <f t="shared" si="23"/>
        <v>16747.886635110521</v>
      </c>
      <c r="W71" s="888">
        <f t="shared" si="23"/>
        <v>17315.782750362639</v>
      </c>
      <c r="X71" s="888">
        <f t="shared" si="23"/>
        <v>17893.713029330105</v>
      </c>
      <c r="Y71" s="888">
        <f t="shared" si="23"/>
        <v>18483.505953449752</v>
      </c>
      <c r="Z71" s="888">
        <f t="shared" si="23"/>
        <v>19085.776378453764</v>
      </c>
      <c r="AA71" s="888">
        <f t="shared" si="23"/>
        <v>19700.460192397702</v>
      </c>
      <c r="AB71" s="888">
        <f t="shared" si="23"/>
        <v>20327.062212903104</v>
      </c>
      <c r="AC71" s="888">
        <f t="shared" si="23"/>
        <v>20964.886728915197</v>
      </c>
      <c r="AD71" s="888">
        <f t="shared" si="23"/>
        <v>21613.564295428645</v>
      </c>
      <c r="AE71" s="888">
        <f t="shared" si="23"/>
        <v>22272.588761451221</v>
      </c>
      <c r="AF71" s="888">
        <f t="shared" si="23"/>
        <v>22941.106681194706</v>
      </c>
      <c r="AG71" s="888">
        <f t="shared" si="23"/>
        <v>23620.231057610647</v>
      </c>
      <c r="AH71" s="888">
        <f t="shared" si="23"/>
        <v>24310.281694923717</v>
      </c>
      <c r="AI71" s="888">
        <f t="shared" si="23"/>
        <v>25012.077282045626</v>
      </c>
      <c r="AJ71" s="888">
        <f t="shared" si="23"/>
        <v>25723.815603433079</v>
      </c>
      <c r="AK71" s="888">
        <f t="shared" ref="AK71" si="24">AJ71*(1+INDEX($D54:$AS54,MATCH(AK$61,$D$44:$AS$44,0)))</f>
        <v>26443.720047404058</v>
      </c>
    </row>
    <row r="72" spans="1:37">
      <c r="B72" s="26" t="s">
        <v>2831</v>
      </c>
      <c r="C72" s="888">
        <f t="shared" si="6"/>
        <v>385246</v>
      </c>
      <c r="D72" s="888">
        <f t="shared" ref="D72:AJ72" si="25">C72*(1+INDEX($D55:$AS55,MATCH(D$61,$D$44:$AS$44,0)))</f>
        <v>412380.41419586533</v>
      </c>
      <c r="E72" s="888">
        <f t="shared" si="25"/>
        <v>438880.7871295751</v>
      </c>
      <c r="F72" s="888">
        <f t="shared" si="25"/>
        <v>465241.25042850804</v>
      </c>
      <c r="G72" s="888">
        <f t="shared" si="25"/>
        <v>491960.06367216015</v>
      </c>
      <c r="H72" s="888">
        <f t="shared" si="25"/>
        <v>519337.96057653392</v>
      </c>
      <c r="I72" s="888">
        <f t="shared" si="25"/>
        <v>547396.85265870555</v>
      </c>
      <c r="J72" s="888">
        <f t="shared" si="25"/>
        <v>576302.2467911694</v>
      </c>
      <c r="K72" s="888">
        <f t="shared" si="25"/>
        <v>607020.26216241275</v>
      </c>
      <c r="L72" s="888">
        <f t="shared" si="25"/>
        <v>639027.04003879661</v>
      </c>
      <c r="M72" s="888">
        <f t="shared" si="25"/>
        <v>672070.6643827256</v>
      </c>
      <c r="N72" s="888">
        <f t="shared" si="25"/>
        <v>705549.0346439993</v>
      </c>
      <c r="O72" s="888">
        <f t="shared" si="25"/>
        <v>739863.52146540408</v>
      </c>
      <c r="P72" s="888">
        <f t="shared" si="25"/>
        <v>775214.34788345906</v>
      </c>
      <c r="Q72" s="888">
        <f t="shared" si="25"/>
        <v>811846.3126054965</v>
      </c>
      <c r="R72" s="888">
        <f t="shared" si="25"/>
        <v>849829.73754210013</v>
      </c>
      <c r="S72" s="888">
        <f t="shared" si="25"/>
        <v>889025.02612101554</v>
      </c>
      <c r="T72" s="888">
        <f t="shared" si="25"/>
        <v>929493.57881177764</v>
      </c>
      <c r="U72" s="888">
        <f t="shared" si="25"/>
        <v>971721.83901467198</v>
      </c>
      <c r="V72" s="888">
        <f t="shared" si="25"/>
        <v>1015387.164806757</v>
      </c>
      <c r="W72" s="888">
        <f t="shared" si="25"/>
        <v>1060419.2253088716</v>
      </c>
      <c r="X72" s="888">
        <f t="shared" si="25"/>
        <v>1106835.6052635112</v>
      </c>
      <c r="Y72" s="888">
        <f t="shared" si="25"/>
        <v>1154870.0194556518</v>
      </c>
      <c r="Z72" s="888">
        <f t="shared" si="25"/>
        <v>1204525.4498051237</v>
      </c>
      <c r="AA72" s="888">
        <f t="shared" si="25"/>
        <v>1255763.2127195718</v>
      </c>
      <c r="AB72" s="888">
        <f t="shared" si="25"/>
        <v>1308557.531233036</v>
      </c>
      <c r="AC72" s="888">
        <f t="shared" si="25"/>
        <v>1362877.2392332905</v>
      </c>
      <c r="AD72" s="888">
        <f t="shared" si="25"/>
        <v>1418704.1358121354</v>
      </c>
      <c r="AE72" s="888">
        <f t="shared" si="25"/>
        <v>1476020.177698696</v>
      </c>
      <c r="AF72" s="888">
        <f t="shared" si="25"/>
        <v>1534894.234960966</v>
      </c>
      <c r="AG72" s="888">
        <f t="shared" si="25"/>
        <v>1595576.5189020582</v>
      </c>
      <c r="AH72" s="888">
        <f t="shared" si="25"/>
        <v>1658135.6499489755</v>
      </c>
      <c r="AI72" s="888">
        <f t="shared" si="25"/>
        <v>1722704.6053008651</v>
      </c>
      <c r="AJ72" s="888">
        <f t="shared" si="25"/>
        <v>1789072.1296456854</v>
      </c>
      <c r="AK72" s="888">
        <f t="shared" ref="AK72" si="26">AJ72*(1+INDEX($D55:$AS55,MATCH(AK$61,$D$44:$AS$44,0)))</f>
        <v>1857069.4019380833</v>
      </c>
    </row>
    <row r="73" spans="1:37">
      <c r="B73" s="26" t="s">
        <v>2832</v>
      </c>
      <c r="C73" s="888">
        <f t="shared" si="6"/>
        <v>0</v>
      </c>
      <c r="D73" s="888">
        <f t="shared" ref="D73:AJ73" si="27">C73*(1+INDEX($D56:$AS56,MATCH(D$61,$D$44:$AS$44,0)))</f>
        <v>0</v>
      </c>
      <c r="E73" s="888">
        <f t="shared" si="27"/>
        <v>0</v>
      </c>
      <c r="F73" s="888">
        <f t="shared" si="27"/>
        <v>0</v>
      </c>
      <c r="G73" s="888">
        <f t="shared" si="27"/>
        <v>0</v>
      </c>
      <c r="H73" s="888">
        <f t="shared" si="27"/>
        <v>0</v>
      </c>
      <c r="I73" s="888">
        <f t="shared" si="27"/>
        <v>0</v>
      </c>
      <c r="J73" s="888">
        <f t="shared" si="27"/>
        <v>0</v>
      </c>
      <c r="K73" s="888">
        <f t="shared" si="27"/>
        <v>0</v>
      </c>
      <c r="L73" s="888">
        <f t="shared" si="27"/>
        <v>0</v>
      </c>
      <c r="M73" s="888">
        <f t="shared" si="27"/>
        <v>0</v>
      </c>
      <c r="N73" s="888">
        <f t="shared" si="27"/>
        <v>0</v>
      </c>
      <c r="O73" s="888">
        <f t="shared" si="27"/>
        <v>0</v>
      </c>
      <c r="P73" s="888">
        <f t="shared" si="27"/>
        <v>0</v>
      </c>
      <c r="Q73" s="888">
        <f t="shared" si="27"/>
        <v>0</v>
      </c>
      <c r="R73" s="888">
        <f t="shared" si="27"/>
        <v>0</v>
      </c>
      <c r="S73" s="888">
        <f t="shared" si="27"/>
        <v>0</v>
      </c>
      <c r="T73" s="888">
        <f t="shared" si="27"/>
        <v>0</v>
      </c>
      <c r="U73" s="888">
        <f t="shared" si="27"/>
        <v>0</v>
      </c>
      <c r="V73" s="888">
        <f t="shared" si="27"/>
        <v>0</v>
      </c>
      <c r="W73" s="888">
        <f t="shared" si="27"/>
        <v>0</v>
      </c>
      <c r="X73" s="888">
        <f t="shared" si="27"/>
        <v>0</v>
      </c>
      <c r="Y73" s="888">
        <f t="shared" si="27"/>
        <v>0</v>
      </c>
      <c r="Z73" s="888">
        <f t="shared" si="27"/>
        <v>0</v>
      </c>
      <c r="AA73" s="888">
        <f t="shared" si="27"/>
        <v>0</v>
      </c>
      <c r="AB73" s="888">
        <f t="shared" si="27"/>
        <v>0</v>
      </c>
      <c r="AC73" s="888">
        <f t="shared" si="27"/>
        <v>0</v>
      </c>
      <c r="AD73" s="888">
        <f t="shared" si="27"/>
        <v>0</v>
      </c>
      <c r="AE73" s="888">
        <f t="shared" si="27"/>
        <v>0</v>
      </c>
      <c r="AF73" s="888">
        <f t="shared" si="27"/>
        <v>0</v>
      </c>
      <c r="AG73" s="888">
        <f t="shared" si="27"/>
        <v>0</v>
      </c>
      <c r="AH73" s="888">
        <f t="shared" si="27"/>
        <v>0</v>
      </c>
      <c r="AI73" s="888">
        <f t="shared" si="27"/>
        <v>0</v>
      </c>
      <c r="AJ73" s="888">
        <f t="shared" si="27"/>
        <v>0</v>
      </c>
      <c r="AK73" s="888">
        <f t="shared" ref="AK73" si="28">AJ73*(1+INDEX($D56:$AS56,MATCH(AK$61,$D$44:$AS$44,0)))</f>
        <v>0</v>
      </c>
    </row>
    <row r="74" spans="1:37">
      <c r="B74" s="151"/>
      <c r="H74" s="151"/>
      <c r="K74" s="762"/>
      <c r="L74" s="181"/>
      <c r="M74" s="201"/>
      <c r="N74" s="201"/>
      <c r="O74" s="809"/>
      <c r="P74" s="181"/>
      <c r="Q74" s="201"/>
    </row>
    <row r="75" spans="1:37">
      <c r="B75" s="151"/>
      <c r="H75" s="151"/>
      <c r="K75" s="762"/>
      <c r="L75" s="181"/>
      <c r="M75" s="201"/>
      <c r="N75" s="201"/>
      <c r="O75" s="809"/>
      <c r="P75" s="181"/>
      <c r="Q75" s="201"/>
    </row>
    <row r="76" spans="1:37" s="588" customFormat="1">
      <c r="A76" s="593" t="s">
        <v>10</v>
      </c>
      <c r="B76" s="593" t="s">
        <v>3718</v>
      </c>
      <c r="H76" s="764"/>
      <c r="K76" s="765"/>
      <c r="L76" s="766"/>
      <c r="M76" s="767"/>
      <c r="N76" s="767"/>
      <c r="O76" s="808"/>
      <c r="P76" s="766"/>
      <c r="Q76" s="767"/>
    </row>
    <row r="77" spans="1:37" s="3" customFormat="1">
      <c r="A77" s="595"/>
      <c r="B77" s="768" t="s">
        <v>3736</v>
      </c>
      <c r="H77" s="768"/>
      <c r="K77" s="769"/>
      <c r="L77" s="813"/>
      <c r="M77" s="814"/>
      <c r="N77" s="814"/>
      <c r="O77" s="815"/>
      <c r="P77" s="813"/>
      <c r="Q77" s="814"/>
    </row>
    <row r="78" spans="1:37" s="3" customFormat="1">
      <c r="A78" s="595"/>
      <c r="B78" s="595"/>
      <c r="H78" s="768"/>
      <c r="K78" s="769"/>
      <c r="L78" s="813"/>
      <c r="M78" s="814"/>
      <c r="N78" s="814"/>
      <c r="O78" s="815"/>
      <c r="P78" s="813"/>
      <c r="Q78" s="814"/>
    </row>
    <row r="79" spans="1:37" ht="17.399999999999999" customHeight="1">
      <c r="A79" s="9" t="s">
        <v>10</v>
      </c>
      <c r="B79" s="9" t="s">
        <v>3719</v>
      </c>
      <c r="H79" s="151"/>
      <c r="K79" s="762"/>
      <c r="L79" s="181"/>
      <c r="M79" s="201"/>
      <c r="N79" s="201"/>
      <c r="O79" s="809"/>
      <c r="P79" s="181"/>
      <c r="Q79" s="201"/>
    </row>
    <row r="80" spans="1:37">
      <c r="A80" s="9"/>
      <c r="B80" s="9"/>
      <c r="H80" s="151"/>
      <c r="K80" s="762"/>
      <c r="L80" s="181"/>
      <c r="M80" s="201"/>
      <c r="N80" s="201"/>
      <c r="O80" s="809"/>
      <c r="P80" s="181"/>
      <c r="Q80" s="201"/>
    </row>
    <row r="82" spans="1:55">
      <c r="B82" s="84" t="s">
        <v>125</v>
      </c>
      <c r="C82" s="34">
        <f>'National model results detailed'!C177</f>
        <v>2020</v>
      </c>
      <c r="D82" s="34">
        <f>'National model results detailed'!D177</f>
        <v>2021</v>
      </c>
      <c r="E82" s="34">
        <f>'National model results detailed'!E177</f>
        <v>2022</v>
      </c>
      <c r="F82" s="34">
        <f>'National model results detailed'!F177</f>
        <v>2023</v>
      </c>
      <c r="G82" s="34">
        <f>'National model results detailed'!G177</f>
        <v>2024</v>
      </c>
      <c r="H82" s="34">
        <f>'National model results detailed'!H177</f>
        <v>2025</v>
      </c>
      <c r="I82" s="34">
        <f>'National model results detailed'!I177</f>
        <v>2026</v>
      </c>
      <c r="J82" s="34">
        <f>'National model results detailed'!J177</f>
        <v>2027</v>
      </c>
      <c r="K82" s="34">
        <f>'National model results detailed'!K177</f>
        <v>2028</v>
      </c>
      <c r="L82" s="34">
        <f>'National model results detailed'!L177</f>
        <v>2029</v>
      </c>
      <c r="M82" s="34">
        <f>'National model results detailed'!M177</f>
        <v>2030</v>
      </c>
      <c r="N82" s="34">
        <f>'National model results detailed'!N177</f>
        <v>2031</v>
      </c>
      <c r="O82" s="34">
        <f>'National model results detailed'!O177</f>
        <v>2032</v>
      </c>
      <c r="P82" s="34">
        <f>'National model results detailed'!P177</f>
        <v>2033</v>
      </c>
      <c r="Q82" s="34">
        <f>'National model results detailed'!Q177</f>
        <v>2034</v>
      </c>
      <c r="R82" s="34">
        <f>'National model results detailed'!R177</f>
        <v>2035</v>
      </c>
      <c r="S82" s="34">
        <f>'National model results detailed'!S177</f>
        <v>2036</v>
      </c>
      <c r="T82" s="34">
        <f>'National model results detailed'!T177</f>
        <v>2037</v>
      </c>
      <c r="U82" s="34">
        <f>'National model results detailed'!U177</f>
        <v>2038</v>
      </c>
      <c r="V82" s="34">
        <f>'National model results detailed'!V177</f>
        <v>2039</v>
      </c>
      <c r="W82" s="34">
        <f>'National model results detailed'!W177</f>
        <v>2040</v>
      </c>
      <c r="X82" s="34">
        <f>'National model results detailed'!X177</f>
        <v>2041</v>
      </c>
      <c r="Y82" s="34">
        <f>'National model results detailed'!Y177</f>
        <v>2042</v>
      </c>
      <c r="Z82" s="34">
        <f>'National model results detailed'!Z177</f>
        <v>2043</v>
      </c>
      <c r="AA82" s="34">
        <f>'National model results detailed'!AA177</f>
        <v>2044</v>
      </c>
      <c r="AB82" s="34">
        <f>'National model results detailed'!AB177</f>
        <v>2045</v>
      </c>
      <c r="AC82" s="34">
        <f>'National model results detailed'!AC177</f>
        <v>2046</v>
      </c>
      <c r="AD82" s="34">
        <f>'National model results detailed'!AD177</f>
        <v>2047</v>
      </c>
      <c r="AE82" s="34">
        <f>'National model results detailed'!AE177</f>
        <v>2048</v>
      </c>
      <c r="AF82" s="34">
        <f>'National model results detailed'!AF177</f>
        <v>2049</v>
      </c>
      <c r="AG82" s="34">
        <f>'National model results detailed'!AG177</f>
        <v>2050</v>
      </c>
      <c r="AH82" s="34">
        <f>'National model results detailed'!AH177</f>
        <v>2051</v>
      </c>
      <c r="AI82" s="34">
        <f>'National model results detailed'!AI177</f>
        <v>2052</v>
      </c>
      <c r="AJ82" s="34">
        <f>'National model results detailed'!AJ177</f>
        <v>2053</v>
      </c>
      <c r="AK82" s="34">
        <f>'National model results detailed'!AK177</f>
        <v>2054</v>
      </c>
      <c r="AL82" s="34">
        <f>'National model results detailed'!AL177</f>
        <v>2055</v>
      </c>
      <c r="AM82" s="34">
        <f>'National model results detailed'!AM177</f>
        <v>2056</v>
      </c>
      <c r="AN82" s="34">
        <f>'National model results detailed'!AN177</f>
        <v>2057</v>
      </c>
      <c r="AO82" s="34">
        <f>'National model results detailed'!AO177</f>
        <v>2058</v>
      </c>
      <c r="AP82" s="34">
        <f>'National model results detailed'!AP177</f>
        <v>2059</v>
      </c>
      <c r="AQ82" s="34">
        <f>'National model results detailed'!AQ177</f>
        <v>2060</v>
      </c>
      <c r="AR82" s="34">
        <f>'National model results detailed'!AR177</f>
        <v>2061</v>
      </c>
      <c r="AS82" s="34">
        <f>'National model results detailed'!AS177</f>
        <v>2062</v>
      </c>
      <c r="BC82" s="81"/>
    </row>
    <row r="83" spans="1:55">
      <c r="A83" s="19"/>
      <c r="B83" s="6" t="s">
        <v>11</v>
      </c>
      <c r="C83" s="186">
        <f>SUMIFS('National model results detailed'!C$153:C$170,'National model results detailed'!$AW$153:$AW$170,$B83)/ SUMIFS('National model results detailed'!C$105:C$122,'National model results detailed'!$AU$105:$AU$122,$B83)*(1-'Control Assumptions'!$C$16)</f>
        <v>0</v>
      </c>
      <c r="D83" s="186">
        <f>SUMIFS('National model results detailed'!D$153:D$170,'National model results detailed'!$AW$153:$AW$170,$B83)/ SUMIFS('National model results detailed'!D$105:D$122,'National model results detailed'!$AU$105:$AU$122,$B83)*(1-'Control Assumptions'!$C$16)</f>
        <v>0</v>
      </c>
      <c r="E83" s="186">
        <f>SUMIFS('National model results detailed'!E$153:E$170,'National model results detailed'!$AW$153:$AW$170,$B83)/ SUMIFS('National model results detailed'!E$105:E$122,'National model results detailed'!$AU$105:$AU$122,$B83)*(1-'Control Assumptions'!$C$16)</f>
        <v>0</v>
      </c>
      <c r="F83" s="186">
        <f>SUMIFS('National model results detailed'!F$153:F$170,'National model results detailed'!$AW$153:$AW$170,$B83)/ SUMIFS('National model results detailed'!F$105:F$122,'National model results detailed'!$AU$105:$AU$122,$B83)*(1-'Control Assumptions'!$C$16)</f>
        <v>0</v>
      </c>
      <c r="G83" s="186">
        <f>SUMIFS('National model results detailed'!G$153:G$170,'National model results detailed'!$AW$153:$AW$170,$B83)/ SUMIFS('National model results detailed'!G$105:G$122,'National model results detailed'!$AU$105:$AU$122,$B83)*(1-'Control Assumptions'!$C$16)</f>
        <v>8.4120180787235529E-2</v>
      </c>
      <c r="H83" s="186">
        <f>SUMIFS('National model results detailed'!H$153:H$170,'National model results detailed'!$AW$153:$AW$170,$B83)/ SUMIFS('National model results detailed'!H$105:H$122,'National model results detailed'!$AU$105:$AU$122,$B83)*(1-'Control Assumptions'!$C$16)</f>
        <v>0.15223925685615752</v>
      </c>
      <c r="I83" s="186">
        <f>SUMIFS('National model results detailed'!I$153:I$170,'National model results detailed'!$AW$153:$AW$170,$B83)/ SUMIFS('National model results detailed'!I$105:I$122,'National model results detailed'!$AU$105:$AU$122,$B83)*(1-'Control Assumptions'!$C$16)</f>
        <v>0.19458071926876647</v>
      </c>
      <c r="J83" s="186">
        <f>SUMIFS('National model results detailed'!J$153:J$170,'National model results detailed'!$AW$153:$AW$170,$B83)/ SUMIFS('National model results detailed'!J$105:J$122,'National model results detailed'!$AU$105:$AU$122,$B83)*(1-'Control Assumptions'!$C$16)</f>
        <v>0.22079631316777351</v>
      </c>
      <c r="K83" s="186">
        <f>SUMIFS('National model results detailed'!K$153:K$170,'National model results detailed'!$AW$153:$AW$170,$B83)/ SUMIFS('National model results detailed'!K$105:K$122,'National model results detailed'!$AU$105:$AU$122,$B83)*(1-'Control Assumptions'!$C$16)</f>
        <v>0.23688888197805891</v>
      </c>
      <c r="L83" s="186">
        <f>SUMIFS('National model results detailed'!L$153:L$170,'National model results detailed'!$AW$153:$AW$170,$B83)/ SUMIFS('National model results detailed'!L$105:L$122,'National model results detailed'!$AU$105:$AU$122,$B83)*(1-'Control Assumptions'!$C$16)</f>
        <v>0.24670518516254875</v>
      </c>
      <c r="M83" s="186">
        <f>SUMIFS('National model results detailed'!M$153:M$170,'National model results detailed'!$AW$153:$AW$170,$B83)/ SUMIFS('National model results detailed'!M$105:M$122,'National model results detailed'!$AU$105:$AU$122,$B83)*(1-'Control Assumptions'!$C$16)</f>
        <v>0.2525766156891307</v>
      </c>
      <c r="N83" s="186">
        <f>SUMIFS('National model results detailed'!N$153:N$170,'National model results detailed'!$AW$153:$AW$170,$B83)/ SUMIFS('National model results detailed'!N$105:N$122,'National model results detailed'!$AU$105:$AU$122,$B83)*(1-'Control Assumptions'!$C$16)</f>
        <v>0.25569085262948305</v>
      </c>
      <c r="O83" s="186">
        <f>SUMIFS('National model results detailed'!O$153:O$170,'National model results detailed'!$AW$153:$AW$170,$B83)/ SUMIFS('National model results detailed'!O$105:O$122,'National model results detailed'!$AU$105:$AU$122,$B83)*(1-'Control Assumptions'!$C$16)</f>
        <v>0.25729503276800181</v>
      </c>
      <c r="P83" s="186">
        <f>SUMIFS('National model results detailed'!P$153:P$170,'National model results detailed'!$AW$153:$AW$170,$B83)/ SUMIFS('National model results detailed'!P$105:P$122,'National model results detailed'!$AU$105:$AU$122,$B83)*(1-'Control Assumptions'!$C$16)</f>
        <v>0.25806518137824036</v>
      </c>
      <c r="Q83" s="186">
        <f>SUMIFS('National model results detailed'!Q$153:Q$170,'National model results detailed'!$AW$153:$AW$170,$B83)/ SUMIFS('National model results detailed'!Q$105:Q$122,'National model results detailed'!$AU$105:$AU$122,$B83)*(1-'Control Assumptions'!$C$16)</f>
        <v>0.25836510533340801</v>
      </c>
      <c r="R83" s="186">
        <f>SUMIFS('National model results detailed'!R$153:R$170,'National model results detailed'!$AW$153:$AW$170,$B83)/ SUMIFS('National model results detailed'!R$105:R$122,'National model results detailed'!$AU$105:$AU$122,$B83)*(1-'Control Assumptions'!$C$16)</f>
        <v>0.25839822297573861</v>
      </c>
      <c r="S83" s="186">
        <f>SUMIFS('National model results detailed'!S$153:S$170,'National model results detailed'!$AW$153:$AW$170,$B83)/ SUMIFS('National model results detailed'!S$105:S$122,'National model results detailed'!$AU$105:$AU$122,$B83)*(1-'Control Assumptions'!$C$16)</f>
        <v>0.25820861591685801</v>
      </c>
      <c r="T83" s="186">
        <f>SUMIFS('National model results detailed'!T$153:T$170,'National model results detailed'!$AW$153:$AW$170,$B83)/ SUMIFS('National model results detailed'!T$105:T$122,'National model results detailed'!$AU$105:$AU$122,$B83)*(1-'Control Assumptions'!$C$16)</f>
        <v>0.25782251401518907</v>
      </c>
      <c r="U83" s="186">
        <f>SUMIFS('National model results detailed'!U$153:U$170,'National model results detailed'!$AW$153:$AW$170,$B83)/ SUMIFS('National model results detailed'!U$105:U$122,'National model results detailed'!$AU$105:$AU$122,$B83)*(1-'Control Assumptions'!$C$16)</f>
        <v>0.25732215451647605</v>
      </c>
      <c r="V83" s="186">
        <f>SUMIFS('National model results detailed'!V$153:V$170,'National model results detailed'!$AW$153:$AW$170,$B83)/ SUMIFS('National model results detailed'!V$105:V$122,'National model results detailed'!$AU$105:$AU$122,$B83)*(1-'Control Assumptions'!$C$16)</f>
        <v>0.25679255756479652</v>
      </c>
      <c r="W83" s="186">
        <f>SUMIFS('National model results detailed'!W$153:W$170,'National model results detailed'!$AW$153:$AW$170,$B83)/ SUMIFS('National model results detailed'!W$105:W$122,'National model results detailed'!$AU$105:$AU$122,$B83)*(1-'Control Assumptions'!$C$16)</f>
        <v>0.25623477270808953</v>
      </c>
      <c r="X83" s="186">
        <f>SUMIFS('National model results detailed'!X$153:X$170,'National model results detailed'!$AW$153:$AW$170,$B83)/ SUMIFS('National model results detailed'!X$105:X$122,'National model results detailed'!$AU$105:$AU$122,$B83)*(1-'Control Assumptions'!$C$16)</f>
        <v>0.25555359932562549</v>
      </c>
      <c r="Y83" s="186">
        <f>SUMIFS('National model results detailed'!Y$153:Y$170,'National model results detailed'!$AW$153:$AW$170,$B83)/ SUMIFS('National model results detailed'!Y$105:Y$122,'National model results detailed'!$AU$105:$AU$122,$B83)*(1-'Control Assumptions'!$C$16)</f>
        <v>0.25489138264566225</v>
      </c>
      <c r="Z83" s="186">
        <f>SUMIFS('National model results detailed'!Z$153:Z$170,'National model results detailed'!$AW$153:$AW$170,$B83)/ SUMIFS('National model results detailed'!Z$105:Z$122,'National model results detailed'!$AU$105:$AU$122,$B83)*(1-'Control Assumptions'!$C$16)</f>
        <v>0.25426483257013832</v>
      </c>
      <c r="AA83" s="186">
        <f>SUMIFS('National model results detailed'!AA$153:AA$170,'National model results detailed'!$AW$153:$AW$170,$B83)/ SUMIFS('National model results detailed'!AA$105:AA$122,'National model results detailed'!$AU$105:$AU$122,$B83)*(1-'Control Assumptions'!$C$16)</f>
        <v>0.25366114796612188</v>
      </c>
      <c r="AB83" s="186">
        <f>SUMIFS('National model results detailed'!AB$153:AB$170,'National model results detailed'!$AW$153:$AW$170,$B83)/ SUMIFS('National model results detailed'!AB$105:AB$122,'National model results detailed'!$AU$105:$AU$122,$B83)*(1-'Control Assumptions'!$C$16)</f>
        <v>0.2530286077509743</v>
      </c>
      <c r="AC83" s="186">
        <f>SUMIFS('National model results detailed'!AC$153:AC$170,'National model results detailed'!$AW$153:$AW$170,$B83)/ SUMIFS('National model results detailed'!AC$105:AC$122,'National model results detailed'!$AU$105:$AU$122,$B83)*(1-'Control Assumptions'!$C$16)</f>
        <v>0.25238446186228325</v>
      </c>
      <c r="AD83" s="186">
        <f>SUMIFS('National model results detailed'!AD$153:AD$170,'National model results detailed'!$AW$153:$AW$170,$B83)/ SUMIFS('National model results detailed'!AD$105:AD$122,'National model results detailed'!$AU$105:$AU$122,$B83)*(1-'Control Assumptions'!$C$16)</f>
        <v>0.25174573468990952</v>
      </c>
      <c r="AE83" s="186">
        <f>SUMIFS('National model results detailed'!AE$153:AE$170,'National model results detailed'!$AW$153:$AW$170,$B83)/ SUMIFS('National model results detailed'!AE$105:AE$122,'National model results detailed'!$AU$105:$AU$122,$B83)*(1-'Control Assumptions'!$C$16)</f>
        <v>0.25111811182159183</v>
      </c>
      <c r="AF83" s="186">
        <f>SUMIFS('National model results detailed'!AF$153:AF$170,'National model results detailed'!$AW$153:$AW$170,$B83)/ SUMIFS('National model results detailed'!AF$105:AF$122,'National model results detailed'!$AU$105:$AU$122,$B83)*(1-'Control Assumptions'!$C$16)</f>
        <v>0.25050639833975713</v>
      </c>
      <c r="AG83" s="186">
        <f>SUMIFS('National model results detailed'!AG$153:AG$170,'National model results detailed'!$AW$153:$AW$170,$B83)/ SUMIFS('National model results detailed'!AG$105:AG$122,'National model results detailed'!$AU$105:$AU$122,$B83)*(1-'Control Assumptions'!$C$16)</f>
        <v>0.24991498471468412</v>
      </c>
      <c r="AH83" s="186">
        <f>SUMIFS('National model results detailed'!AH$153:AH$170,'National model results detailed'!$AW$153:$AW$170,$B83)/ SUMIFS('National model results detailed'!AH$105:AH$122,'National model results detailed'!$AU$105:$AU$122,$B83)*(1-'Control Assumptions'!$C$16)</f>
        <v>0.24934246166742613</v>
      </c>
      <c r="AI83" s="186">
        <f>SUMIFS('National model results detailed'!AI$153:AI$170,'National model results detailed'!$AW$153:$AW$170,$B83)/ SUMIFS('National model results detailed'!AI$105:AI$122,'National model results detailed'!$AU$105:$AU$122,$B83)*(1-'Control Assumptions'!$C$16)</f>
        <v>0.24877519761997954</v>
      </c>
      <c r="AJ83" s="186">
        <f>SUMIFS('National model results detailed'!AJ$153:AJ$170,'National model results detailed'!$AW$153:$AW$170,$B83)/ SUMIFS('National model results detailed'!AJ$105:AJ$122,'National model results detailed'!$AU$105:$AU$122,$B83)*(1-'Control Assumptions'!$C$16)</f>
        <v>0.24817038986708218</v>
      </c>
      <c r="AK83" s="186">
        <f>SUMIFS('National model results detailed'!AK$153:AK$170,'National model results detailed'!$AW$153:$AW$170,$B83)/ SUMIFS('National model results detailed'!AK$105:AK$122,'National model results detailed'!$AU$105:$AU$122,$B83)*(1-'Control Assumptions'!$C$16)</f>
        <v>0.24753129238288493</v>
      </c>
      <c r="AL83" s="186">
        <f>SUMIFS('National model results detailed'!AL$153:AL$170,'National model results detailed'!$AW$153:$AW$170,$B83)/ SUMIFS('National model results detailed'!AL$105:AL$122,'National model results detailed'!$AU$105:$AU$122,$B83)*(1-'Control Assumptions'!$C$16)</f>
        <v>0.24685120216041193</v>
      </c>
      <c r="AM83" s="186">
        <f>SUMIFS('National model results detailed'!AM$153:AM$170,'National model results detailed'!$AW$153:$AW$170,$B83)/ SUMIFS('National model results detailed'!AM$105:AM$122,'National model results detailed'!$AU$105:$AU$122,$B83)*(1-'Control Assumptions'!$C$16)</f>
        <v>0.24617888028821358</v>
      </c>
      <c r="AN83" s="186">
        <f>SUMIFS('National model results detailed'!AN$153:AN$170,'National model results detailed'!$AW$153:$AW$170,$B83)/ SUMIFS('National model results detailed'!AN$105:AN$122,'National model results detailed'!$AU$105:$AU$122,$B83)*(1-'Control Assumptions'!$C$16)</f>
        <v>0.24553370386225112</v>
      </c>
      <c r="AO83" s="186">
        <f>SUMIFS('National model results detailed'!AO$153:AO$170,'National model results detailed'!$AW$153:$AW$170,$B83)/ SUMIFS('National model results detailed'!AO$105:AO$122,'National model results detailed'!$AU$105:$AU$122,$B83)*(1-'Control Assumptions'!$C$16)</f>
        <v>0.24491675455750866</v>
      </c>
      <c r="AP83" s="186">
        <f>SUMIFS('National model results detailed'!AP$153:AP$170,'National model results detailed'!$AW$153:$AW$170,$B83)/ SUMIFS('National model results detailed'!AP$105:AP$122,'National model results detailed'!$AU$105:$AU$122,$B83)*(1-'Control Assumptions'!$C$16)</f>
        <v>0.24430763489903587</v>
      </c>
      <c r="AQ83" s="186">
        <f>SUMIFS('National model results detailed'!AQ$153:AQ$170,'National model results detailed'!$AW$153:$AW$170,$B83)/ SUMIFS('National model results detailed'!AQ$105:AQ$122,'National model results detailed'!$AU$105:$AU$122,$B83)*(1-'Control Assumptions'!$C$16)</f>
        <v>0.24370658169329909</v>
      </c>
      <c r="AR83" s="186">
        <f>SUMIFS('National model results detailed'!AR$153:AR$170,'National model results detailed'!$AW$153:$AW$170,$B83)/ SUMIFS('National model results detailed'!AR$105:AR$122,'National model results detailed'!$AU$105:$AU$122,$B83)*(1-'Control Assumptions'!$C$16)</f>
        <v>0.24312235391911177</v>
      </c>
      <c r="AS83" s="186">
        <f>SUMIFS('National model results detailed'!AS$153:AS$170,'National model results detailed'!$AW$153:$AW$170,$B83)/ SUMIFS('National model results detailed'!AS$105:AS$122,'National model results detailed'!$AU$105:$AU$122,$B83)*(1-'Control Assumptions'!$C$16)</f>
        <v>0.24246727376500127</v>
      </c>
      <c r="BC83" s="568"/>
    </row>
    <row r="84" spans="1:55">
      <c r="A84" s="19"/>
      <c r="B84" s="6" t="s">
        <v>14</v>
      </c>
      <c r="C84" s="186">
        <f>SUMIFS('National model results detailed'!C$153:C$170,'National model results detailed'!$AW$153:$AW$170,$B84)/ SUMIFS('National model results detailed'!C$105:C$122,'National model results detailed'!$AU$105:$AU$122,$B84)*(1-'Control Assumptions'!$C$16)</f>
        <v>0</v>
      </c>
      <c r="D84" s="186">
        <f>SUMIFS('National model results detailed'!D$153:D$170,'National model results detailed'!$AW$153:$AW$170,$B84)/ SUMIFS('National model results detailed'!D$105:D$122,'National model results detailed'!$AU$105:$AU$122,$B84)*(1-'Control Assumptions'!$C$16)</f>
        <v>0</v>
      </c>
      <c r="E84" s="186">
        <f>SUMIFS('National model results detailed'!E$153:E$170,'National model results detailed'!$AW$153:$AW$170,$B84)/ SUMIFS('National model results detailed'!E$105:E$122,'National model results detailed'!$AU$105:$AU$122,$B84)*(1-'Control Assumptions'!$C$16)</f>
        <v>0</v>
      </c>
      <c r="F84" s="186">
        <f>SUMIFS('National model results detailed'!F$153:F$170,'National model results detailed'!$AW$153:$AW$170,$B84)/ SUMIFS('National model results detailed'!F$105:F$122,'National model results detailed'!$AU$105:$AU$122,$B84)*(1-'Control Assumptions'!$C$16)</f>
        <v>0</v>
      </c>
      <c r="G84" s="186">
        <f>SUMIFS('National model results detailed'!G$153:G$170,'National model results detailed'!$AW$153:$AW$170,$B84)/ SUMIFS('National model results detailed'!G$105:G$122,'National model results detailed'!$AU$105:$AU$122,$B84)*(1-'Control Assumptions'!$C$16)</f>
        <v>-8.1080317299992571E-3</v>
      </c>
      <c r="H84" s="186">
        <f>SUMIFS('National model results detailed'!H$153:H$170,'National model results detailed'!$AW$153:$AW$170,$B84)/ SUMIFS('National model results detailed'!H$105:H$122,'National model results detailed'!$AU$105:$AU$122,$B84)*(1-'Control Assumptions'!$C$16)</f>
        <v>8.3876258364195419E-2</v>
      </c>
      <c r="I84" s="186">
        <f>SUMIFS('National model results detailed'!I$153:I$170,'National model results detailed'!$AW$153:$AW$170,$B84)/ SUMIFS('National model results detailed'!I$105:I$122,'National model results detailed'!$AU$105:$AU$122,$B84)*(1-'Control Assumptions'!$C$16)</f>
        <v>0.14021276302385544</v>
      </c>
      <c r="J84" s="186">
        <f>SUMIFS('National model results detailed'!J$153:J$170,'National model results detailed'!$AW$153:$AW$170,$B84)/ SUMIFS('National model results detailed'!J$105:J$122,'National model results detailed'!$AU$105:$AU$122,$B84)*(1-'Control Assumptions'!$C$16)</f>
        <v>0.17467998020689304</v>
      </c>
      <c r="K84" s="186">
        <f>SUMIFS('National model results detailed'!K$153:K$170,'National model results detailed'!$AW$153:$AW$170,$B84)/ SUMIFS('National model results detailed'!K$105:K$122,'National model results detailed'!$AU$105:$AU$122,$B84)*(1-'Control Assumptions'!$C$16)</f>
        <v>0.19567983180499468</v>
      </c>
      <c r="L84" s="186">
        <f>SUMIFS('National model results detailed'!L$153:L$170,'National model results detailed'!$AW$153:$AW$170,$B84)/ SUMIFS('National model results detailed'!L$105:L$122,'National model results detailed'!$AU$105:$AU$122,$B84)*(1-'Control Assumptions'!$C$16)</f>
        <v>0.20853303504640841</v>
      </c>
      <c r="M84" s="186">
        <f>SUMIFS('National model results detailed'!M$153:M$170,'National model results detailed'!$AW$153:$AW$170,$B84)/ SUMIFS('National model results detailed'!M$105:M$122,'National model results detailed'!$AU$105:$AU$122,$B84)*(1-'Control Assumptions'!$C$16)</f>
        <v>0.21639835699216764</v>
      </c>
      <c r="N84" s="186">
        <f>SUMIFS('National model results detailed'!N$153:N$170,'National model results detailed'!$AW$153:$AW$170,$B84)/ SUMIFS('National model results detailed'!N$105:N$122,'National model results detailed'!$AU$105:$AU$122,$B84)*(1-'Control Assumptions'!$C$16)</f>
        <v>0.22083574538810849</v>
      </c>
      <c r="O84" s="186">
        <f>SUMIFS('National model results detailed'!O$153:O$170,'National model results detailed'!$AW$153:$AW$170,$B84)/ SUMIFS('National model results detailed'!O$105:O$122,'National model results detailed'!$AU$105:$AU$122,$B84)*(1-'Control Assumptions'!$C$16)</f>
        <v>0.22349265684747402</v>
      </c>
      <c r="P84" s="186">
        <f>SUMIFS('National model results detailed'!P$153:P$170,'National model results detailed'!$AW$153:$AW$170,$B84)/ SUMIFS('National model results detailed'!P$105:P$122,'National model results detailed'!$AU$105:$AU$122,$B84)*(1-'Control Assumptions'!$C$16)</f>
        <v>0.22521833772841313</v>
      </c>
      <c r="Q84" s="186">
        <f>SUMIFS('National model results detailed'!Q$153:Q$170,'National model results detailed'!$AW$153:$AW$170,$B84)/ SUMIFS('National model results detailed'!Q$105:Q$122,'National model results detailed'!$AU$105:$AU$122,$B84)*(1-'Control Assumptions'!$C$16)</f>
        <v>0.22644288819460121</v>
      </c>
      <c r="R84" s="186">
        <f>SUMIFS('National model results detailed'!R$153:R$170,'National model results detailed'!$AW$153:$AW$170,$B84)/ SUMIFS('National model results detailed'!R$105:R$122,'National model results detailed'!$AU$105:$AU$122,$B84)*(1-'Control Assumptions'!$C$16)</f>
        <v>0.22739800627446297</v>
      </c>
      <c r="S84" s="186">
        <f>SUMIFS('National model results detailed'!S$153:S$170,'National model results detailed'!$AW$153:$AW$170,$B84)/ SUMIFS('National model results detailed'!S$105:S$122,'National model results detailed'!$AU$105:$AU$122,$B84)*(1-'Control Assumptions'!$C$16)</f>
        <v>0.22811719143574202</v>
      </c>
      <c r="T84" s="186">
        <f>SUMIFS('National model results detailed'!T$153:T$170,'National model results detailed'!$AW$153:$AW$170,$B84)/ SUMIFS('National model results detailed'!T$105:T$122,'National model results detailed'!$AU$105:$AU$122,$B84)*(1-'Control Assumptions'!$C$16)</f>
        <v>0.22861270964345465</v>
      </c>
      <c r="U84" s="186">
        <f>SUMIFS('National model results detailed'!U$153:U$170,'National model results detailed'!$AW$153:$AW$170,$B84)/ SUMIFS('National model results detailed'!U$105:U$122,'National model results detailed'!$AU$105:$AU$122,$B84)*(1-'Control Assumptions'!$C$16)</f>
        <v>0.22896560031217686</v>
      </c>
      <c r="V84" s="186">
        <f>SUMIFS('National model results detailed'!V$153:V$170,'National model results detailed'!$AW$153:$AW$170,$B84)/ SUMIFS('National model results detailed'!V$105:V$122,'National model results detailed'!$AU$105:$AU$122,$B84)*(1-'Control Assumptions'!$C$16)</f>
        <v>0.22929885244861356</v>
      </c>
      <c r="W84" s="186">
        <f>SUMIFS('National model results detailed'!W$153:W$170,'National model results detailed'!$AW$153:$AW$170,$B84)/ SUMIFS('National model results detailed'!W$105:W$122,'National model results detailed'!$AU$105:$AU$122,$B84)*(1-'Control Assumptions'!$C$16)</f>
        <v>0.2296089115444708</v>
      </c>
      <c r="X84" s="186">
        <f>SUMIFS('National model results detailed'!X$153:X$170,'National model results detailed'!$AW$153:$AW$170,$B84)/ SUMIFS('National model results detailed'!X$105:X$122,'National model results detailed'!$AU$105:$AU$122,$B84)*(1-'Control Assumptions'!$C$16)</f>
        <v>0.22975682194828087</v>
      </c>
      <c r="Y84" s="186">
        <f>SUMIFS('National model results detailed'!Y$153:Y$170,'National model results detailed'!$AW$153:$AW$170,$B84)/ SUMIFS('National model results detailed'!Y$105:Y$122,'National model results detailed'!$AU$105:$AU$122,$B84)*(1-'Control Assumptions'!$C$16)</f>
        <v>0.22993348649409245</v>
      </c>
      <c r="Z84" s="186">
        <f>SUMIFS('National model results detailed'!Z$153:Z$170,'National model results detailed'!$AW$153:$AW$170,$B84)/ SUMIFS('National model results detailed'!Z$105:Z$122,'National model results detailed'!$AU$105:$AU$122,$B84)*(1-'Control Assumptions'!$C$16)</f>
        <v>0.23015997345327271</v>
      </c>
      <c r="AA84" s="186">
        <f>SUMIFS('National model results detailed'!AA$153:AA$170,'National model results detailed'!$AW$153:$AW$170,$B84)/ SUMIFS('National model results detailed'!AA$105:AA$122,'National model results detailed'!$AU$105:$AU$122,$B84)*(1-'Control Assumptions'!$C$16)</f>
        <v>0.23041844270998463</v>
      </c>
      <c r="AB84" s="186">
        <f>SUMIFS('National model results detailed'!AB$153:AB$170,'National model results detailed'!$AW$153:$AW$170,$B84)/ SUMIFS('National model results detailed'!AB$105:AB$122,'National model results detailed'!$AU$105:$AU$122,$B84)*(1-'Control Assumptions'!$C$16)</f>
        <v>0.23063650309817291</v>
      </c>
      <c r="AC84" s="186">
        <f>SUMIFS('National model results detailed'!AC$153:AC$170,'National model results detailed'!$AW$153:$AW$170,$B84)/ SUMIFS('National model results detailed'!AC$105:AC$122,'National model results detailed'!$AU$105:$AU$122,$B84)*(1-'Control Assumptions'!$C$16)</f>
        <v>0.23084180093196607</v>
      </c>
      <c r="AD84" s="186">
        <f>SUMIFS('National model results detailed'!AD$153:AD$170,'National model results detailed'!$AW$153:$AW$170,$B84)/ SUMIFS('National model results detailed'!AD$105:AD$122,'National model results detailed'!$AU$105:$AU$122,$B84)*(1-'Control Assumptions'!$C$16)</f>
        <v>0.23106048098431423</v>
      </c>
      <c r="AE84" s="186">
        <f>SUMIFS('National model results detailed'!AE$153:AE$170,'National model results detailed'!$AW$153:$AW$170,$B84)/ SUMIFS('National model results detailed'!AE$105:AE$122,'National model results detailed'!$AU$105:$AU$122,$B84)*(1-'Control Assumptions'!$C$16)</f>
        <v>0.23130203283322023</v>
      </c>
      <c r="AF84" s="186">
        <f>SUMIFS('National model results detailed'!AF$153:AF$170,'National model results detailed'!$AW$153:$AW$170,$B84)/ SUMIFS('National model results detailed'!AF$105:AF$122,'National model results detailed'!$AU$105:$AU$122,$B84)*(1-'Control Assumptions'!$C$16)</f>
        <v>0.23157134180402114</v>
      </c>
      <c r="AG84" s="186">
        <f>SUMIFS('National model results detailed'!AG$153:AG$170,'National model results detailed'!$AW$153:$AW$170,$B84)/ SUMIFS('National model results detailed'!AG$105:AG$122,'National model results detailed'!$AU$105:$AU$122,$B84)*(1-'Control Assumptions'!$C$16)</f>
        <v>0.23186616962400705</v>
      </c>
      <c r="AH84" s="186">
        <f>SUMIFS('National model results detailed'!AH$153:AH$170,'National model results detailed'!$AW$153:$AW$170,$B84)/ SUMIFS('National model results detailed'!AH$105:AH$122,'National model results detailed'!$AU$105:$AU$122,$B84)*(1-'Control Assumptions'!$C$16)</f>
        <v>0.23218372466919299</v>
      </c>
      <c r="AI84" s="186">
        <f>SUMIFS('National model results detailed'!AI$153:AI$170,'National model results detailed'!$AW$153:$AW$170,$B84)/ SUMIFS('National model results detailed'!AI$105:AI$122,'National model results detailed'!$AU$105:$AU$122,$B84)*(1-'Control Assumptions'!$C$16)</f>
        <v>0.23250132006359855</v>
      </c>
      <c r="AJ84" s="186">
        <f>SUMIFS('National model results detailed'!AJ$153:AJ$170,'National model results detailed'!$AW$153:$AW$170,$B84)/ SUMIFS('National model results detailed'!AJ$105:AJ$122,'National model results detailed'!$AU$105:$AU$122,$B84)*(1-'Control Assumptions'!$C$16)</f>
        <v>0.23276722528224214</v>
      </c>
      <c r="AK84" s="186">
        <f>SUMIFS('National model results detailed'!AK$153:AK$170,'National model results detailed'!$AW$153:$AW$170,$B84)/ SUMIFS('National model results detailed'!AK$105:AK$122,'National model results detailed'!$AU$105:$AU$122,$B84)*(1-'Control Assumptions'!$C$16)</f>
        <v>0.23299528509052184</v>
      </c>
      <c r="AL84" s="186">
        <f>SUMIFS('National model results detailed'!AL$153:AL$170,'National model results detailed'!$AW$153:$AW$170,$B84)/ SUMIFS('National model results detailed'!AL$105:AL$122,'National model results detailed'!$AU$105:$AU$122,$B84)*(1-'Control Assumptions'!$C$16)</f>
        <v>0.23318158021833502</v>
      </c>
      <c r="AM84" s="186">
        <f>SUMIFS('National model results detailed'!AM$153:AM$170,'National model results detailed'!$AW$153:$AW$170,$B84)/ SUMIFS('National model results detailed'!AM$105:AM$122,'National model results detailed'!$AU$105:$AU$122,$B84)*(1-'Control Assumptions'!$C$16)</f>
        <v>0.23339524455958549</v>
      </c>
      <c r="AN84" s="186">
        <f>SUMIFS('National model results detailed'!AN$153:AN$170,'National model results detailed'!$AW$153:$AW$170,$B84)/ SUMIFS('National model results detailed'!AN$105:AN$122,'National model results detailed'!$AU$105:$AU$122,$B84)*(1-'Control Assumptions'!$C$16)</f>
        <v>0.23366343913921941</v>
      </c>
      <c r="AO84" s="186">
        <f>SUMIFS('National model results detailed'!AO$153:AO$170,'National model results detailed'!$AW$153:$AW$170,$B84)/ SUMIFS('National model results detailed'!AO$105:AO$122,'National model results detailed'!$AU$105:$AU$122,$B84)*(1-'Control Assumptions'!$C$16)</f>
        <v>0.23398836806541409</v>
      </c>
      <c r="AP84" s="186">
        <f>SUMIFS('National model results detailed'!AP$153:AP$170,'National model results detailed'!$AW$153:$AW$170,$B84)/ SUMIFS('National model results detailed'!AP$105:AP$122,'National model results detailed'!$AU$105:$AU$122,$B84)*(1-'Control Assumptions'!$C$16)</f>
        <v>0.23432760402937008</v>
      </c>
      <c r="AQ84" s="186">
        <f>SUMIFS('National model results detailed'!AQ$153:AQ$170,'National model results detailed'!$AW$153:$AW$170,$B84)/ SUMIFS('National model results detailed'!AQ$105:AQ$122,'National model results detailed'!$AU$105:$AU$122,$B84)*(1-'Control Assumptions'!$C$16)</f>
        <v>0.23466889969595442</v>
      </c>
      <c r="AR84" s="186">
        <f>SUMIFS('National model results detailed'!AR$153:AR$170,'National model results detailed'!$AW$153:$AW$170,$B84)/ SUMIFS('National model results detailed'!AR$105:AR$122,'National model results detailed'!$AU$105:$AU$122,$B84)*(1-'Control Assumptions'!$C$16)</f>
        <v>0.23501541603023943</v>
      </c>
      <c r="AS84" s="186">
        <f>SUMIFS('National model results detailed'!AS$153:AS$170,'National model results detailed'!$AW$153:$AW$170,$B84)/ SUMIFS('National model results detailed'!AS$105:AS$122,'National model results detailed'!$AU$105:$AU$122,$B84)*(1-'Control Assumptions'!$C$16)</f>
        <v>0.2353069631000213</v>
      </c>
      <c r="BC84" s="791"/>
    </row>
    <row r="85" spans="1:55">
      <c r="A85" s="19"/>
      <c r="B85" s="6" t="s">
        <v>15</v>
      </c>
      <c r="C85" s="186">
        <f>SUMIFS('National model results detailed'!C$153:C$170,'National model results detailed'!$AW$153:$AW$170,$B85)/ SUMIFS('National model results detailed'!C$105:C$122,'National model results detailed'!$AU$105:$AU$122,$B85)*(1-'Control Assumptions'!$C$16)</f>
        <v>0</v>
      </c>
      <c r="D85" s="186">
        <f>SUMIFS('National model results detailed'!D$153:D$170,'National model results detailed'!$AW$153:$AW$170,$B85)/ SUMIFS('National model results detailed'!D$105:D$122,'National model results detailed'!$AU$105:$AU$122,$B85)*(1-'Control Assumptions'!$C$16)</f>
        <v>0</v>
      </c>
      <c r="E85" s="186">
        <f>SUMIFS('National model results detailed'!E$153:E$170,'National model results detailed'!$AW$153:$AW$170,$B85)/ SUMIFS('National model results detailed'!E$105:E$122,'National model results detailed'!$AU$105:$AU$122,$B85)*(1-'Control Assumptions'!$C$16)</f>
        <v>0</v>
      </c>
      <c r="F85" s="186">
        <f>SUMIFS('National model results detailed'!F$153:F$170,'National model results detailed'!$AW$153:$AW$170,$B85)/ SUMIFS('National model results detailed'!F$105:F$122,'National model results detailed'!$AU$105:$AU$122,$B85)*(1-'Control Assumptions'!$C$16)</f>
        <v>0</v>
      </c>
      <c r="G85" s="186">
        <f>SUMIFS('National model results detailed'!G$153:G$170,'National model results detailed'!$AW$153:$AW$170,$B85)/ SUMIFS('National model results detailed'!G$105:G$122,'National model results detailed'!$AU$105:$AU$122,$B85)*(1-'Control Assumptions'!$C$16)</f>
        <v>5.5387703305006593E-2</v>
      </c>
      <c r="H85" s="186">
        <f>SUMIFS('National model results detailed'!H$153:H$170,'National model results detailed'!$AW$153:$AW$170,$B85)/ SUMIFS('National model results detailed'!H$105:H$122,'National model results detailed'!$AU$105:$AU$122,$B85)*(1-'Control Assumptions'!$C$16)</f>
        <v>0.12026933309247245</v>
      </c>
      <c r="I85" s="186">
        <f>SUMIFS('National model results detailed'!I$153:I$170,'National model results detailed'!$AW$153:$AW$170,$B85)/ SUMIFS('National model results detailed'!I$105:I$122,'National model results detailed'!$AU$105:$AU$122,$B85)*(1-'Control Assumptions'!$C$16)</f>
        <v>0.15949717350659223</v>
      </c>
      <c r="J85" s="186">
        <f>SUMIFS('National model results detailed'!J$153:J$170,'National model results detailed'!$AW$153:$AW$170,$B85)/ SUMIFS('National model results detailed'!J$105:J$122,'National model results detailed'!$AU$105:$AU$122,$B85)*(1-'Control Assumptions'!$C$16)</f>
        <v>0.1829381634109131</v>
      </c>
      <c r="K85" s="186">
        <f>SUMIFS('National model results detailed'!K$153:K$170,'National model results detailed'!$AW$153:$AW$170,$B85)/ SUMIFS('National model results detailed'!K$105:K$122,'National model results detailed'!$AU$105:$AU$122,$B85)*(1-'Control Assumptions'!$C$16)</f>
        <v>0.19666824846448377</v>
      </c>
      <c r="L85" s="186">
        <f>SUMIFS('National model results detailed'!L$153:L$170,'National model results detailed'!$AW$153:$AW$170,$B85)/ SUMIFS('National model results detailed'!L$105:L$122,'National model results detailed'!$AU$105:$AU$122,$B85)*(1-'Control Assumptions'!$C$16)</f>
        <v>0.20448238718333911</v>
      </c>
      <c r="M85" s="186">
        <f>SUMIFS('National model results detailed'!M$153:M$170,'National model results detailed'!$AW$153:$AW$170,$B85)/ SUMIFS('National model results detailed'!M$105:M$122,'National model results detailed'!$AU$105:$AU$122,$B85)*(1-'Control Assumptions'!$C$16)</f>
        <v>0.2086446674131533</v>
      </c>
      <c r="N85" s="186">
        <f>SUMIFS('National model results detailed'!N$153:N$170,'National model results detailed'!$AW$153:$AW$170,$B85)/ SUMIFS('National model results detailed'!N$105:N$122,'National model results detailed'!$AU$105:$AU$122,$B85)*(1-'Control Assumptions'!$C$16)</f>
        <v>0.21029915933137105</v>
      </c>
      <c r="O85" s="186">
        <f>SUMIFS('National model results detailed'!O$153:O$170,'National model results detailed'!$AW$153:$AW$170,$B85)/ SUMIFS('National model results detailed'!O$105:O$122,'National model results detailed'!$AU$105:$AU$122,$B85)*(1-'Control Assumptions'!$C$16)</f>
        <v>0.21061886252674833</v>
      </c>
      <c r="P85" s="186">
        <f>SUMIFS('National model results detailed'!P$153:P$170,'National model results detailed'!$AW$153:$AW$170,$B85)/ SUMIFS('National model results detailed'!P$105:P$122,'National model results detailed'!$AU$105:$AU$122,$B85)*(1-'Control Assumptions'!$C$16)</f>
        <v>0.2102329773365669</v>
      </c>
      <c r="Q85" s="186">
        <f>SUMIFS('National model results detailed'!Q$153:Q$170,'National model results detailed'!$AW$153:$AW$170,$B85)/ SUMIFS('National model results detailed'!Q$105:Q$122,'National model results detailed'!$AU$105:$AU$122,$B85)*(1-'Control Assumptions'!$C$16)</f>
        <v>0.2094754269447415</v>
      </c>
      <c r="R85" s="186">
        <f>SUMIFS('National model results detailed'!R$153:R$170,'National model results detailed'!$AW$153:$AW$170,$B85)/ SUMIFS('National model results detailed'!R$105:R$122,'National model results detailed'!$AU$105:$AU$122,$B85)*(1-'Control Assumptions'!$C$16)</f>
        <v>0.20852468609670696</v>
      </c>
      <c r="S85" s="186">
        <f>SUMIFS('National model results detailed'!S$153:S$170,'National model results detailed'!$AW$153:$AW$170,$B85)/ SUMIFS('National model results detailed'!S$105:S$122,'National model results detailed'!$AU$105:$AU$122,$B85)*(1-'Control Assumptions'!$C$16)</f>
        <v>0.20740827960522487</v>
      </c>
      <c r="T85" s="186">
        <f>SUMIFS('National model results detailed'!T$153:T$170,'National model results detailed'!$AW$153:$AW$170,$B85)/ SUMIFS('National model results detailed'!T$105:T$122,'National model results detailed'!$AU$105:$AU$122,$B85)*(1-'Control Assumptions'!$C$16)</f>
        <v>0.20614697516876535</v>
      </c>
      <c r="U85" s="186">
        <f>SUMIFS('National model results detailed'!U$153:U$170,'National model results detailed'!$AW$153:$AW$170,$B85)/ SUMIFS('National model results detailed'!U$105:U$122,'National model results detailed'!$AU$105:$AU$122,$B85)*(1-'Control Assumptions'!$C$16)</f>
        <v>0.20482589588492281</v>
      </c>
      <c r="V85" s="186">
        <f>SUMIFS('National model results detailed'!V$153:V$170,'National model results detailed'!$AW$153:$AW$170,$B85)/ SUMIFS('National model results detailed'!V$105:V$122,'National model results detailed'!$AU$105:$AU$122,$B85)*(1-'Control Assumptions'!$C$16)</f>
        <v>0.20350593042252343</v>
      </c>
      <c r="W85" s="186">
        <f>SUMIFS('National model results detailed'!W$153:W$170,'National model results detailed'!$AW$153:$AW$170,$B85)/ SUMIFS('National model results detailed'!W$105:W$122,'National model results detailed'!$AU$105:$AU$122,$B85)*(1-'Control Assumptions'!$C$16)</f>
        <v>0.20218168837161582</v>
      </c>
      <c r="X85" s="186">
        <f>SUMIFS('National model results detailed'!X$153:X$170,'National model results detailed'!$AW$153:$AW$170,$B85)/ SUMIFS('National model results detailed'!X$105:X$122,'National model results detailed'!$AU$105:$AU$122,$B85)*(1-'Control Assumptions'!$C$16)</f>
        <v>0.20076701910935829</v>
      </c>
      <c r="Y85" s="186">
        <f>SUMIFS('National model results detailed'!Y$153:Y$170,'National model results detailed'!$AW$153:$AW$170,$B85)/ SUMIFS('National model results detailed'!Y$105:Y$122,'National model results detailed'!$AU$105:$AU$122,$B85)*(1-'Control Assumptions'!$C$16)</f>
        <v>0.19939291648370636</v>
      </c>
      <c r="Z85" s="186">
        <f>SUMIFS('National model results detailed'!Z$153:Z$170,'National model results detailed'!$AW$153:$AW$170,$B85)/ SUMIFS('National model results detailed'!Z$105:Z$122,'National model results detailed'!$AU$105:$AU$122,$B85)*(1-'Control Assumptions'!$C$16)</f>
        <v>0.19807033098546745</v>
      </c>
      <c r="AA85" s="186">
        <f>SUMIFS('National model results detailed'!AA$153:AA$170,'National model results detailed'!$AW$153:$AW$170,$B85)/ SUMIFS('National model results detailed'!AA$105:AA$122,'National model results detailed'!$AU$105:$AU$122,$B85)*(1-'Control Assumptions'!$C$16)</f>
        <v>0.19678372462295507</v>
      </c>
      <c r="AB85" s="186">
        <f>SUMIFS('National model results detailed'!AB$153:AB$170,'National model results detailed'!$AW$153:$AW$170,$B85)/ SUMIFS('National model results detailed'!AB$105:AB$122,'National model results detailed'!$AU$105:$AU$122,$B85)*(1-'Control Assumptions'!$C$16)</f>
        <v>0.19548523616560104</v>
      </c>
      <c r="AC85" s="186">
        <f>SUMIFS('National model results detailed'!AC$153:AC$170,'National model results detailed'!$AW$153:$AW$170,$B85)/ SUMIFS('National model results detailed'!AC$105:AC$122,'National model results detailed'!$AU$105:$AU$122,$B85)*(1-'Control Assumptions'!$C$16)</f>
        <v>0.19418791505258329</v>
      </c>
      <c r="AD85" s="186">
        <f>SUMIFS('National model results detailed'!AD$153:AD$170,'National model results detailed'!$AW$153:$AW$170,$B85)/ SUMIFS('National model results detailed'!AD$105:AD$122,'National model results detailed'!$AU$105:$AU$122,$B85)*(1-'Control Assumptions'!$C$16)</f>
        <v>0.19290476768300346</v>
      </c>
      <c r="AE85" s="186">
        <f>SUMIFS('National model results detailed'!AE$153:AE$170,'National model results detailed'!$AW$153:$AW$170,$B85)/ SUMIFS('National model results detailed'!AE$105:AE$122,'National model results detailed'!$AU$105:$AU$122,$B85)*(1-'Control Assumptions'!$C$16)</f>
        <v>0.19163894636909615</v>
      </c>
      <c r="AF85" s="186">
        <f>SUMIFS('National model results detailed'!AF$153:AF$170,'National model results detailed'!$AW$153:$AW$170,$B85)/ SUMIFS('National model results detailed'!AF$105:AF$122,'National model results detailed'!$AU$105:$AU$122,$B85)*(1-'Control Assumptions'!$C$16)</f>
        <v>0.19039508584210052</v>
      </c>
      <c r="AG85" s="186">
        <f>SUMIFS('National model results detailed'!AG$153:AG$170,'National model results detailed'!$AW$153:$AW$170,$B85)/ SUMIFS('National model results detailed'!AG$105:AG$122,'National model results detailed'!$AU$105:$AU$122,$B85)*(1-'Control Assumptions'!$C$16)</f>
        <v>0.18918158728065401</v>
      </c>
      <c r="AH85" s="186">
        <f>SUMIFS('National model results detailed'!AH$153:AH$170,'National model results detailed'!$AW$153:$AW$170,$B85)/ SUMIFS('National model results detailed'!AH$105:AH$122,'National model results detailed'!$AU$105:$AU$122,$B85)*(1-'Control Assumptions'!$C$16)</f>
        <v>0.18799700584253812</v>
      </c>
      <c r="AI85" s="186">
        <f>SUMIFS('National model results detailed'!AI$153:AI$170,'National model results detailed'!$AW$153:$AW$170,$B85)/ SUMIFS('National model results detailed'!AI$105:AI$122,'National model results detailed'!$AU$105:$AU$122,$B85)*(1-'Control Assumptions'!$C$16)</f>
        <v>0.18683109514329788</v>
      </c>
      <c r="AJ85" s="186">
        <f>SUMIFS('National model results detailed'!AJ$153:AJ$170,'National model results detailed'!$AW$153:$AW$170,$B85)/ SUMIFS('National model results detailed'!AJ$105:AJ$122,'National model results detailed'!$AU$105:$AU$122,$B85)*(1-'Control Assumptions'!$C$16)</f>
        <v>0.1856416299693267</v>
      </c>
      <c r="AK85" s="186">
        <f>SUMIFS('National model results detailed'!AK$153:AK$170,'National model results detailed'!$AW$153:$AW$170,$B85)/ SUMIFS('National model results detailed'!AK$105:AK$122,'National model results detailed'!$AU$105:$AU$122,$B85)*(1-'Control Assumptions'!$C$16)</f>
        <v>0.18442739499938321</v>
      </c>
      <c r="AL85" s="186">
        <f>SUMIFS('National model results detailed'!AL$153:AL$170,'National model results detailed'!$AW$153:$AW$170,$B85)/ SUMIFS('National model results detailed'!AL$105:AL$122,'National model results detailed'!$AU$105:$AU$122,$B85)*(1-'Control Assumptions'!$C$16)</f>
        <v>0.18318035448255179</v>
      </c>
      <c r="AM85" s="186">
        <f>SUMIFS('National model results detailed'!AM$153:AM$170,'National model results detailed'!$AW$153:$AW$170,$B85)/ SUMIFS('National model results detailed'!AM$105:AM$122,'National model results detailed'!$AU$105:$AU$122,$B85)*(1-'Control Assumptions'!$C$16)</f>
        <v>0.18194336299940106</v>
      </c>
      <c r="AN85" s="186">
        <f>SUMIFS('National model results detailed'!AN$153:AN$170,'National model results detailed'!$AW$153:$AW$170,$B85)/ SUMIFS('National model results detailed'!AN$105:AN$122,'National model results detailed'!$AU$105:$AU$122,$B85)*(1-'Control Assumptions'!$C$16)</f>
        <v>0.18073240867659243</v>
      </c>
      <c r="AO85" s="186">
        <f>SUMIFS('National model results detailed'!AO$153:AO$170,'National model results detailed'!$AW$153:$AW$170,$B85)/ SUMIFS('National model results detailed'!AO$105:AO$122,'National model results detailed'!$AU$105:$AU$122,$B85)*(1-'Control Assumptions'!$C$16)</f>
        <v>0.1795469462055421</v>
      </c>
      <c r="AP85" s="186">
        <f>SUMIFS('National model results detailed'!AP$153:AP$170,'National model results detailed'!$AW$153:$AW$170,$B85)/ SUMIFS('National model results detailed'!AP$105:AP$122,'National model results detailed'!$AU$105:$AU$122,$B85)*(1-'Control Assumptions'!$C$16)</f>
        <v>0.17837614558934151</v>
      </c>
      <c r="AQ85" s="186">
        <f>SUMIFS('National model results detailed'!AQ$153:AQ$170,'National model results detailed'!$AW$153:$AW$170,$B85)/ SUMIFS('National model results detailed'!AQ$105:AQ$122,'National model results detailed'!$AU$105:$AU$122,$B85)*(1-'Control Assumptions'!$C$16)</f>
        <v>0.17722700474461092</v>
      </c>
      <c r="AR85" s="186">
        <f>SUMIFS('National model results detailed'!AR$153:AR$170,'National model results detailed'!$AW$153:$AW$170,$B85)/ SUMIFS('National model results detailed'!AR$105:AR$122,'National model results detailed'!$AU$105:$AU$122,$B85)*(1-'Control Assumptions'!$C$16)</f>
        <v>0.17611174047691477</v>
      </c>
      <c r="AS85" s="186">
        <f>SUMIFS('National model results detailed'!AS$153:AS$170,'National model results detailed'!$AW$153:$AW$170,$B85)/ SUMIFS('National model results detailed'!AS$105:AS$122,'National model results detailed'!$AU$105:$AU$122,$B85)*(1-'Control Assumptions'!$C$16)</f>
        <v>0.1749219158058932</v>
      </c>
    </row>
    <row r="86" spans="1:55">
      <c r="A86" s="19"/>
      <c r="B86" s="6" t="s">
        <v>16</v>
      </c>
      <c r="C86" s="186">
        <f>SUMIFS('National model results detailed'!C$153:C$170,'National model results detailed'!$AW$153:$AW$170,$B86)/ SUMIFS('National model results detailed'!C$105:C$122,'National model results detailed'!$AU$105:$AU$122,$B86)*(1-'Control Assumptions'!$C$16)</f>
        <v>0</v>
      </c>
      <c r="D86" s="186">
        <f>SUMIFS('National model results detailed'!D$153:D$170,'National model results detailed'!$AW$153:$AW$170,$B86)/ SUMIFS('National model results detailed'!D$105:D$122,'National model results detailed'!$AU$105:$AU$122,$B86)*(1-'Control Assumptions'!$C$16)</f>
        <v>0</v>
      </c>
      <c r="E86" s="186">
        <f>SUMIFS('National model results detailed'!E$153:E$170,'National model results detailed'!$AW$153:$AW$170,$B86)/ SUMIFS('National model results detailed'!E$105:E$122,'National model results detailed'!$AU$105:$AU$122,$B86)*(1-'Control Assumptions'!$C$16)</f>
        <v>0</v>
      </c>
      <c r="F86" s="186">
        <f>SUMIFS('National model results detailed'!F$153:F$170,'National model results detailed'!$AW$153:$AW$170,$B86)/ SUMIFS('National model results detailed'!F$105:F$122,'National model results detailed'!$AU$105:$AU$122,$B86)*(1-'Control Assumptions'!$C$16)</f>
        <v>0</v>
      </c>
      <c r="G86" s="186">
        <f>SUMIFS('National model results detailed'!G$153:G$170,'National model results detailed'!$AW$153:$AW$170,$B86)/ SUMIFS('National model results detailed'!G$105:G$122,'National model results detailed'!$AU$105:$AU$122,$B86)*(1-'Control Assumptions'!$C$16)</f>
        <v>0.1444473376716604</v>
      </c>
      <c r="H86" s="186">
        <f>SUMIFS('National model results detailed'!H$153:H$170,'National model results detailed'!$AW$153:$AW$170,$B86)/ SUMIFS('National model results detailed'!H$105:H$122,'National model results detailed'!$AU$105:$AU$122,$B86)*(1-'Control Assumptions'!$C$16)</f>
        <v>0.20888768556982873</v>
      </c>
      <c r="I86" s="186">
        <f>SUMIFS('National model results detailed'!I$153:I$170,'National model results detailed'!$AW$153:$AW$170,$B86)/ SUMIFS('National model results detailed'!I$105:I$122,'National model results detailed'!$AU$105:$AU$122,$B86)*(1-'Control Assumptions'!$C$16)</f>
        <v>0.24812969084577582</v>
      </c>
      <c r="J86" s="186">
        <f>SUMIFS('National model results detailed'!J$153:J$170,'National model results detailed'!$AW$153:$AW$170,$B86)/ SUMIFS('National model results detailed'!J$105:J$122,'National model results detailed'!$AU$105:$AU$122,$B86)*(1-'Control Assumptions'!$C$16)</f>
        <v>0.27186598885225882</v>
      </c>
      <c r="K86" s="186">
        <f>SUMIFS('National model results detailed'!K$153:K$170,'National model results detailed'!$AW$153:$AW$170,$B86)/ SUMIFS('National model results detailed'!K$105:K$122,'National model results detailed'!$AU$105:$AU$122,$B86)*(1-'Control Assumptions'!$C$16)</f>
        <v>0.28604557949943271</v>
      </c>
      <c r="L86" s="186">
        <f>SUMIFS('National model results detailed'!L$153:L$170,'National model results detailed'!$AW$153:$AW$170,$B86)/ SUMIFS('National model results detailed'!L$105:L$122,'National model results detailed'!$AU$105:$AU$122,$B86)*(1-'Control Assumptions'!$C$16)</f>
        <v>0.29441184363957384</v>
      </c>
      <c r="M86" s="186">
        <f>SUMIFS('National model results detailed'!M$153:M$170,'National model results detailed'!$AW$153:$AW$170,$B86)/ SUMIFS('National model results detailed'!M$105:M$122,'National model results detailed'!$AU$105:$AU$122,$B86)*(1-'Control Assumptions'!$C$16)</f>
        <v>0.29919561509986797</v>
      </c>
      <c r="N86" s="186">
        <f>SUMIFS('National model results detailed'!N$153:N$170,'National model results detailed'!$AW$153:$AW$170,$B86)/ SUMIFS('National model results detailed'!N$105:N$122,'National model results detailed'!$AU$105:$AU$122,$B86)*(1-'Control Assumptions'!$C$16)</f>
        <v>0.30151085151786067</v>
      </c>
      <c r="O86" s="186">
        <f>SUMIFS('National model results detailed'!O$153:O$170,'National model results detailed'!$AW$153:$AW$170,$B86)/ SUMIFS('National model results detailed'!O$105:O$122,'National model results detailed'!$AU$105:$AU$122,$B86)*(1-'Control Assumptions'!$C$16)</f>
        <v>0.30252197210170095</v>
      </c>
      <c r="P86" s="186">
        <f>SUMIFS('National model results detailed'!P$153:P$170,'National model results detailed'!$AW$153:$AW$170,$B86)/ SUMIFS('National model results detailed'!P$105:P$122,'National model results detailed'!$AU$105:$AU$122,$B86)*(1-'Control Assumptions'!$C$16)</f>
        <v>0.30284295052736337</v>
      </c>
      <c r="Q86" s="186">
        <f>SUMIFS('National model results detailed'!Q$153:Q$170,'National model results detailed'!$AW$153:$AW$170,$B86)/ SUMIFS('National model results detailed'!Q$105:Q$122,'National model results detailed'!$AU$105:$AU$122,$B86)*(1-'Control Assumptions'!$C$16)</f>
        <v>0.30279337398540945</v>
      </c>
      <c r="R86" s="186">
        <f>SUMIFS('National model results detailed'!R$153:R$170,'National model results detailed'!$AW$153:$AW$170,$B86)/ SUMIFS('National model results detailed'!R$105:R$122,'National model results detailed'!$AU$105:$AU$122,$B86)*(1-'Control Assumptions'!$C$16)</f>
        <v>0.30254484374847607</v>
      </c>
      <c r="S86" s="186">
        <f>SUMIFS('National model results detailed'!S$153:S$170,'National model results detailed'!$AW$153:$AW$170,$B86)/ SUMIFS('National model results detailed'!S$105:S$122,'National model results detailed'!$AU$105:$AU$122,$B86)*(1-'Control Assumptions'!$C$16)</f>
        <v>0.302122272768511</v>
      </c>
      <c r="T86" s="186">
        <f>SUMIFS('National model results detailed'!T$153:T$170,'National model results detailed'!$AW$153:$AW$170,$B86)/ SUMIFS('National model results detailed'!T$105:T$122,'National model results detailed'!$AU$105:$AU$122,$B86)*(1-'Control Assumptions'!$C$16)</f>
        <v>0.30154047774676707</v>
      </c>
      <c r="U86" s="186">
        <f>SUMIFS('National model results detailed'!U$153:U$170,'National model results detailed'!$AW$153:$AW$170,$B86)/ SUMIFS('National model results detailed'!U$105:U$122,'National model results detailed'!$AU$105:$AU$122,$B86)*(1-'Control Assumptions'!$C$16)</f>
        <v>0.30087324660189674</v>
      </c>
      <c r="V86" s="186">
        <f>SUMIFS('National model results detailed'!V$153:V$170,'National model results detailed'!$AW$153:$AW$170,$B86)/ SUMIFS('National model results detailed'!V$105:V$122,'National model results detailed'!$AU$105:$AU$122,$B86)*(1-'Control Assumptions'!$C$16)</f>
        <v>0.30019345905956879</v>
      </c>
      <c r="W86" s="186">
        <f>SUMIFS('National model results detailed'!W$153:W$170,'National model results detailed'!$AW$153:$AW$170,$B86)/ SUMIFS('National model results detailed'!W$105:W$122,'National model results detailed'!$AU$105:$AU$122,$B86)*(1-'Control Assumptions'!$C$16)</f>
        <v>0.29949678688200543</v>
      </c>
      <c r="X86" s="186">
        <f>SUMIFS('National model results detailed'!X$153:X$170,'National model results detailed'!$AW$153:$AW$170,$B86)/ SUMIFS('National model results detailed'!X$105:X$122,'National model results detailed'!$AU$105:$AU$122,$B86)*(1-'Control Assumptions'!$C$16)</f>
        <v>0.29869027971037165</v>
      </c>
      <c r="Y86" s="186">
        <f>SUMIFS('National model results detailed'!Y$153:Y$170,'National model results detailed'!$AW$153:$AW$170,$B86)/ SUMIFS('National model results detailed'!Y$105:Y$122,'National model results detailed'!$AU$105:$AU$122,$B86)*(1-'Control Assumptions'!$C$16)</f>
        <v>0.2979091495257597</v>
      </c>
      <c r="Z86" s="186">
        <f>SUMIFS('National model results detailed'!Z$153:Z$170,'National model results detailed'!$AW$153:$AW$170,$B86)/ SUMIFS('National model results detailed'!Z$105:Z$122,'National model results detailed'!$AU$105:$AU$122,$B86)*(1-'Control Assumptions'!$C$16)</f>
        <v>0.29716646369243577</v>
      </c>
      <c r="AA86" s="186">
        <f>SUMIFS('National model results detailed'!AA$153:AA$170,'National model results detailed'!$AW$153:$AW$170,$B86)/ SUMIFS('National model results detailed'!AA$105:AA$122,'National model results detailed'!$AU$105:$AU$122,$B86)*(1-'Control Assumptions'!$C$16)</f>
        <v>0.29644775460043421</v>
      </c>
      <c r="AB86" s="186">
        <f>SUMIFS('National model results detailed'!AB$153:AB$170,'National model results detailed'!$AW$153:$AW$170,$B86)/ SUMIFS('National model results detailed'!AB$105:AB$122,'National model results detailed'!$AU$105:$AU$122,$B86)*(1-'Control Assumptions'!$C$16)</f>
        <v>0.29570273781746448</v>
      </c>
      <c r="AC86" s="186">
        <f>SUMIFS('National model results detailed'!AC$153:AC$170,'National model results detailed'!$AW$153:$AW$170,$B86)/ SUMIFS('National model results detailed'!AC$105:AC$122,'National model results detailed'!$AU$105:$AU$122,$B86)*(1-'Control Assumptions'!$C$16)</f>
        <v>0.29494746853982196</v>
      </c>
      <c r="AD86" s="186">
        <f>SUMIFS('National model results detailed'!AD$153:AD$170,'National model results detailed'!$AW$153:$AW$170,$B86)/ SUMIFS('National model results detailed'!AD$105:AD$122,'National model results detailed'!$AU$105:$AU$122,$B86)*(1-'Control Assumptions'!$C$16)</f>
        <v>0.29419754186665925</v>
      </c>
      <c r="AE86" s="186">
        <f>SUMIFS('National model results detailed'!AE$153:AE$170,'National model results detailed'!$AW$153:$AW$170,$B86)/ SUMIFS('National model results detailed'!AE$105:AE$122,'National model results detailed'!$AU$105:$AU$122,$B86)*(1-'Control Assumptions'!$C$16)</f>
        <v>0.29345763290065402</v>
      </c>
      <c r="AF86" s="186">
        <f>SUMIFS('National model results detailed'!AF$153:AF$170,'National model results detailed'!$AW$153:$AW$170,$B86)/ SUMIFS('National model results detailed'!AF$105:AF$122,'National model results detailed'!$AU$105:$AU$122,$B86)*(1-'Control Assumptions'!$C$16)</f>
        <v>0.29273209741988815</v>
      </c>
      <c r="AG86" s="186">
        <f>SUMIFS('National model results detailed'!AG$153:AG$170,'National model results detailed'!$AW$153:$AW$170,$B86)/ SUMIFS('National model results detailed'!AG$105:AG$122,'National model results detailed'!$AU$105:$AU$122,$B86)*(1-'Control Assumptions'!$C$16)</f>
        <v>0.29202588320096939</v>
      </c>
      <c r="AH86" s="186">
        <f>SUMIFS('National model results detailed'!AH$153:AH$170,'National model results detailed'!$AW$153:$AW$170,$B86)/ SUMIFS('National model results detailed'!AH$105:AH$122,'National model results detailed'!$AU$105:$AU$122,$B86)*(1-'Control Assumptions'!$C$16)</f>
        <v>0.29133750613178383</v>
      </c>
      <c r="AI86" s="186">
        <f>SUMIFS('National model results detailed'!AI$153:AI$170,'National model results detailed'!$AW$153:$AW$170,$B86)/ SUMIFS('National model results detailed'!AI$105:AI$122,'National model results detailed'!$AU$105:$AU$122,$B86)*(1-'Control Assumptions'!$C$16)</f>
        <v>0.29065434248920941</v>
      </c>
      <c r="AJ86" s="186">
        <f>SUMIFS('National model results detailed'!AJ$153:AJ$170,'National model results detailed'!$AW$153:$AW$170,$B86)/ SUMIFS('National model results detailed'!AJ$105:AJ$122,'National model results detailed'!$AU$105:$AU$122,$B86)*(1-'Control Assumptions'!$C$16)</f>
        <v>0.28993468857307153</v>
      </c>
      <c r="AK86" s="186">
        <f>SUMIFS('National model results detailed'!AK$153:AK$170,'National model results detailed'!$AW$153:$AW$170,$B86)/ SUMIFS('National model results detailed'!AK$105:AK$122,'National model results detailed'!$AU$105:$AU$122,$B86)*(1-'Control Assumptions'!$C$16)</f>
        <v>0.2891813097565944</v>
      </c>
      <c r="AL86" s="186">
        <f>SUMIFS('National model results detailed'!AL$153:AL$170,'National model results detailed'!$AW$153:$AW$170,$B86)/ SUMIFS('National model results detailed'!AL$105:AL$122,'National model results detailed'!$AU$105:$AU$122,$B86)*(1-'Control Assumptions'!$C$16)</f>
        <v>0.28838753913820442</v>
      </c>
      <c r="AM86" s="186">
        <f>SUMIFS('National model results detailed'!AM$153:AM$170,'National model results detailed'!$AW$153:$AW$170,$B86)/ SUMIFS('National model results detailed'!AM$105:AM$122,'National model results detailed'!$AU$105:$AU$122,$B86)*(1-'Control Assumptions'!$C$16)</f>
        <v>0.28760026674250649</v>
      </c>
      <c r="AN86" s="186">
        <f>SUMIFS('National model results detailed'!AN$153:AN$170,'National model results detailed'!$AW$153:$AW$170,$B86)/ SUMIFS('National model results detailed'!AN$105:AN$122,'National model results detailed'!$AU$105:$AU$122,$B86)*(1-'Control Assumptions'!$C$16)</f>
        <v>0.28683732957981001</v>
      </c>
      <c r="AO86" s="186">
        <f>SUMIFS('National model results detailed'!AO$153:AO$170,'National model results detailed'!$AW$153:$AW$170,$B86)/ SUMIFS('National model results detailed'!AO$105:AO$122,'National model results detailed'!$AU$105:$AU$122,$B86)*(1-'Control Assumptions'!$C$16)</f>
        <v>0.28609882231991296</v>
      </c>
      <c r="AP86" s="186">
        <f>SUMIFS('National model results detailed'!AP$153:AP$170,'National model results detailed'!$AW$153:$AW$170,$B86)/ SUMIFS('National model results detailed'!AP$105:AP$122,'National model results detailed'!$AU$105:$AU$122,$B86)*(1-'Control Assumptions'!$C$16)</f>
        <v>0.28536645982795156</v>
      </c>
      <c r="AQ86" s="186">
        <f>SUMIFS('National model results detailed'!AQ$153:AQ$170,'National model results detailed'!$AW$153:$AW$170,$B86)/ SUMIFS('National model results detailed'!AQ$105:AQ$122,'National model results detailed'!$AU$105:$AU$122,$B86)*(1-'Control Assumptions'!$C$16)</f>
        <v>0.28464227841683926</v>
      </c>
      <c r="AR86" s="186">
        <f>SUMIFS('National model results detailed'!AR$153:AR$170,'National model results detailed'!$AW$153:$AW$170,$B86)/ SUMIFS('National model results detailed'!AR$105:AR$122,'National model results detailed'!$AU$105:$AU$122,$B86)*(1-'Control Assumptions'!$C$16)</f>
        <v>0.28393610019952165</v>
      </c>
      <c r="AS86" s="186">
        <f>SUMIFS('National model results detailed'!AS$153:AS$170,'National model results detailed'!$AW$153:$AW$170,$B86)/ SUMIFS('National model results detailed'!AS$105:AS$122,'National model results detailed'!$AU$105:$AU$122,$B86)*(1-'Control Assumptions'!$C$16)</f>
        <v>0.28315545916072088</v>
      </c>
    </row>
    <row r="87" spans="1:55">
      <c r="A87" s="19"/>
      <c r="B87" s="6" t="s">
        <v>103</v>
      </c>
      <c r="C87" s="186">
        <f>SUMIFS('National model results detailed'!C$153:C$170,'National model results detailed'!$AW$153:$AW$170,$B87)/ SUMIFS('National model results detailed'!C$105:C$122,'National model results detailed'!$AU$105:$AU$122,$B87)*(1-'Control Assumptions'!$C$16)</f>
        <v>0</v>
      </c>
      <c r="D87" s="186">
        <f>SUMIFS('National model results detailed'!D$153:D$170,'National model results detailed'!$AW$153:$AW$170,$B87)/ SUMIFS('National model results detailed'!D$105:D$122,'National model results detailed'!$AU$105:$AU$122,$B87)*(1-'Control Assumptions'!$C$16)</f>
        <v>0</v>
      </c>
      <c r="E87" s="186">
        <f>SUMIFS('National model results detailed'!E$153:E$170,'National model results detailed'!$AW$153:$AW$170,$B87)/ SUMIFS('National model results detailed'!E$105:E$122,'National model results detailed'!$AU$105:$AU$122,$B87)*(1-'Control Assumptions'!$C$16)</f>
        <v>0</v>
      </c>
      <c r="F87" s="186">
        <f>SUMIFS('National model results detailed'!F$153:F$170,'National model results detailed'!$AW$153:$AW$170,$B87)/ SUMIFS('National model results detailed'!F$105:F$122,'National model results detailed'!$AU$105:$AU$122,$B87)*(1-'Control Assumptions'!$C$16)</f>
        <v>0</v>
      </c>
      <c r="G87" s="186">
        <f>SUMIFS('National model results detailed'!G$153:G$170,'National model results detailed'!$AW$153:$AW$170,$B87)/ SUMIFS('National model results detailed'!G$105:G$122,'National model results detailed'!$AU$105:$AU$122,$B87)*(1-'Control Assumptions'!$C$16)</f>
        <v>-0.11439471792646622</v>
      </c>
      <c r="H87" s="186">
        <f>SUMIFS('National model results detailed'!H$153:H$170,'National model results detailed'!$AW$153:$AW$170,$B87)/ SUMIFS('National model results detailed'!H$105:H$122,'National model results detailed'!$AU$105:$AU$122,$B87)*(1-'Control Assumptions'!$C$16)</f>
        <v>-2.8118113098591795E-2</v>
      </c>
      <c r="I87" s="186">
        <f>SUMIFS('National model results detailed'!I$153:I$170,'National model results detailed'!$AW$153:$AW$170,$B87)/ SUMIFS('National model results detailed'!I$105:I$122,'National model results detailed'!$AU$105:$AU$122,$B87)*(1-'Control Assumptions'!$C$16)</f>
        <v>2.4729695886243287E-2</v>
      </c>
      <c r="J87" s="186">
        <f>SUMIFS('National model results detailed'!J$153:J$170,'National model results detailed'!$AW$153:$AW$170,$B87)/ SUMIFS('National model results detailed'!J$105:J$122,'National model results detailed'!$AU$105:$AU$122,$B87)*(1-'Control Assumptions'!$C$16)</f>
        <v>5.6978126375310016E-2</v>
      </c>
      <c r="K87" s="186">
        <f>SUMIFS('National model results detailed'!K$153:K$170,'National model results detailed'!$AW$153:$AW$170,$B87)/ SUMIFS('National model results detailed'!K$105:K$122,'National model results detailed'!$AU$105:$AU$122,$B87)*(1-'Control Assumptions'!$C$16)</f>
        <v>7.6482405362416739E-2</v>
      </c>
      <c r="L87" s="186">
        <f>SUMIFS('National model results detailed'!L$153:L$170,'National model results detailed'!$AW$153:$AW$170,$B87)/ SUMIFS('National model results detailed'!L$105:L$122,'National model results detailed'!$AU$105:$AU$122,$B87)*(1-'Control Assumptions'!$C$16)</f>
        <v>8.8222401865648711E-2</v>
      </c>
      <c r="M87" s="186">
        <f>SUMIFS('National model results detailed'!M$153:M$170,'National model results detailed'!$AW$153:$AW$170,$B87)/ SUMIFS('National model results detailed'!M$105:M$122,'National model results detailed'!$AU$105:$AU$122,$B87)*(1-'Control Assumptions'!$C$16)</f>
        <v>9.5165819084315206E-2</v>
      </c>
      <c r="N87" s="186">
        <f>SUMIFS('National model results detailed'!N$153:N$170,'National model results detailed'!$AW$153:$AW$170,$B87)/ SUMIFS('National model results detailed'!N$105:N$122,'National model results detailed'!$AU$105:$AU$122,$B87)*(1-'Control Assumptions'!$C$16)</f>
        <v>9.8813895266271781E-2</v>
      </c>
      <c r="O87" s="186">
        <f>SUMIFS('National model results detailed'!O$153:O$170,'National model results detailed'!$AW$153:$AW$170,$B87)/ SUMIFS('National model results detailed'!O$105:O$122,'National model results detailed'!$AU$105:$AU$122,$B87)*(1-'Control Assumptions'!$C$16)</f>
        <v>0.10069873446079339</v>
      </c>
      <c r="P87" s="186">
        <f>SUMIFS('National model results detailed'!P$153:P$170,'National model results detailed'!$AW$153:$AW$170,$B87)/ SUMIFS('National model results detailed'!P$105:P$122,'National model results detailed'!$AU$105:$AU$122,$B87)*(1-'Control Assumptions'!$C$16)</f>
        <v>0.10163182348680391</v>
      </c>
      <c r="Q87" s="186">
        <f>SUMIFS('National model results detailed'!Q$153:Q$170,'National model results detailed'!$AW$153:$AW$170,$B87)/ SUMIFS('National model results detailed'!Q$105:Q$122,'National model results detailed'!$AU$105:$AU$122,$B87)*(1-'Control Assumptions'!$C$16)</f>
        <v>0.10203975014765092</v>
      </c>
      <c r="R87" s="186">
        <f>SUMIFS('National model results detailed'!R$153:R$170,'National model results detailed'!$AW$153:$AW$170,$B87)/ SUMIFS('National model results detailed'!R$105:R$122,'National model results detailed'!$AU$105:$AU$122,$B87)*(1-'Control Assumptions'!$C$16)</f>
        <v>0.10215714634127916</v>
      </c>
      <c r="S87" s="186">
        <f>SUMIFS('National model results detailed'!S$153:S$170,'National model results detailed'!$AW$153:$AW$170,$B87)/ SUMIFS('National model results detailed'!S$105:S$122,'National model results detailed'!$AU$105:$AU$122,$B87)*(1-'Control Assumptions'!$C$16)</f>
        <v>0.10203309822485843</v>
      </c>
      <c r="T87" s="186">
        <f>SUMIFS('National model results detailed'!T$153:T$170,'National model results detailed'!$AW$153:$AW$170,$B87)/ SUMIFS('National model results detailed'!T$105:T$122,'National model results detailed'!$AU$105:$AU$122,$B87)*(1-'Control Assumptions'!$C$16)</f>
        <v>0.10169566393978252</v>
      </c>
      <c r="U87" s="186">
        <f>SUMIFS('National model results detailed'!U$153:U$170,'National model results detailed'!$AW$153:$AW$170,$B87)/ SUMIFS('National model results detailed'!U$105:U$122,'National model results detailed'!$AU$105:$AU$122,$B87)*(1-'Control Assumptions'!$C$16)</f>
        <v>0.10123490932367787</v>
      </c>
      <c r="V87" s="186">
        <f>SUMIFS('National model results detailed'!V$153:V$170,'National model results detailed'!$AW$153:$AW$170,$B87)/ SUMIFS('National model results detailed'!V$105:V$122,'National model results detailed'!$AU$105:$AU$122,$B87)*(1-'Control Assumptions'!$C$16)</f>
        <v>0.10075156111290522</v>
      </c>
      <c r="W87" s="186">
        <f>SUMIFS('National model results detailed'!W$153:W$170,'National model results detailed'!$AW$153:$AW$170,$B87)/ SUMIFS('National model results detailed'!W$105:W$122,'National model results detailed'!$AU$105:$AU$122,$B87)*(1-'Control Assumptions'!$C$16)</f>
        <v>0.10024552899248521</v>
      </c>
      <c r="X87" s="186">
        <f>SUMIFS('National model results detailed'!X$153:X$170,'National model results detailed'!$AW$153:$AW$170,$B87)/ SUMIFS('National model results detailed'!X$105:X$122,'National model results detailed'!$AU$105:$AU$122,$B87)*(1-'Control Assumptions'!$C$16)</f>
        <v>9.9607424734950087E-2</v>
      </c>
      <c r="Y87" s="186">
        <f>SUMIFS('National model results detailed'!Y$153:Y$170,'National model results detailed'!$AW$153:$AW$170,$B87)/ SUMIFS('National model results detailed'!Y$105:Y$122,'National model results detailed'!$AU$105:$AU$122,$B87)*(1-'Control Assumptions'!$C$16)</f>
        <v>9.8997974380725731E-2</v>
      </c>
      <c r="Z87" s="186">
        <f>SUMIFS('National model results detailed'!Z$153:Z$170,'National model results detailed'!$AW$153:$AW$170,$B87)/ SUMIFS('National model results detailed'!Z$105:Z$122,'National model results detailed'!$AU$105:$AU$122,$B87)*(1-'Control Assumptions'!$C$16)</f>
        <v>9.8434746628979788E-2</v>
      </c>
      <c r="AA87" s="186">
        <f>SUMIFS('National model results detailed'!AA$153:AA$170,'National model results detailed'!$AW$153:$AW$170,$B87)/ SUMIFS('National model results detailed'!AA$105:AA$122,'National model results detailed'!$AU$105:$AU$122,$B87)*(1-'Control Assumptions'!$C$16)</f>
        <v>9.7902521542843818E-2</v>
      </c>
      <c r="AB87" s="186">
        <f>SUMIFS('National model results detailed'!AB$153:AB$170,'National model results detailed'!$AW$153:$AW$170,$B87)/ SUMIFS('National model results detailed'!AB$105:AB$122,'National model results detailed'!$AU$105:$AU$122,$B87)*(1-'Control Assumptions'!$C$16)</f>
        <v>9.7343203890530874E-2</v>
      </c>
      <c r="AC87" s="186">
        <f>SUMIFS('National model results detailed'!AC$153:AC$170,'National model results detailed'!$AW$153:$AW$170,$B87)/ SUMIFS('National model results detailed'!AC$105:AC$122,'National model results detailed'!$AU$105:$AU$122,$B87)*(1-'Control Assumptions'!$C$16)</f>
        <v>9.677692336802185E-2</v>
      </c>
      <c r="AD87" s="186">
        <f>SUMIFS('National model results detailed'!AD$153:AD$170,'National model results detailed'!$AW$153:$AW$170,$B87)/ SUMIFS('National model results detailed'!AD$105:AD$122,'National model results detailed'!$AU$105:$AU$122,$B87)*(1-'Control Assumptions'!$C$16)</f>
        <v>9.6222816029116573E-2</v>
      </c>
      <c r="AE87" s="186">
        <f>SUMIFS('National model results detailed'!AE$153:AE$170,'National model results detailed'!$AW$153:$AW$170,$B87)/ SUMIFS('National model results detailed'!AE$105:AE$122,'National model results detailed'!$AU$105:$AU$122,$B87)*(1-'Control Assumptions'!$C$16)</f>
        <v>9.5687035108332E-2</v>
      </c>
      <c r="AF87" s="186">
        <f>SUMIFS('National model results detailed'!AF$153:AF$170,'National model results detailed'!$AW$153:$AW$170,$B87)/ SUMIFS('National model results detailed'!AF$105:AF$122,'National model results detailed'!$AU$105:$AU$122,$B87)*(1-'Control Assumptions'!$C$16)</f>
        <v>9.5173937467059169E-2</v>
      </c>
      <c r="AG87" s="186">
        <f>SUMIFS('National model results detailed'!AG$153:AG$170,'National model results detailed'!$AW$153:$AW$170,$B87)/ SUMIFS('National model results detailed'!AG$105:AG$122,'National model results detailed'!$AU$105:$AU$122,$B87)*(1-'Control Assumptions'!$C$16)</f>
        <v>9.4686035948271324E-2</v>
      </c>
      <c r="AH87" s="186">
        <f>SUMIFS('National model results detailed'!AH$153:AH$170,'National model results detailed'!$AW$153:$AW$170,$B87)/ SUMIFS('National model results detailed'!AH$105:AH$122,'National model results detailed'!$AU$105:$AU$122,$B87)*(1-'Control Assumptions'!$C$16)</f>
        <v>9.422131630013221E-2</v>
      </c>
      <c r="AI87" s="186">
        <f>SUMIFS('National model results detailed'!AI$153:AI$170,'National model results detailed'!$AW$153:$AW$170,$B87)/ SUMIFS('National model results detailed'!AI$105:AI$122,'National model results detailed'!$AU$105:$AU$122,$B87)*(1-'Control Assumptions'!$C$16)</f>
        <v>9.3764164129694585E-2</v>
      </c>
      <c r="AJ87" s="186">
        <f>SUMIFS('National model results detailed'!AJ$153:AJ$170,'National model results detailed'!$AW$153:$AW$170,$B87)/ SUMIFS('National model results detailed'!AJ$105:AJ$122,'National model results detailed'!$AU$105:$AU$122,$B87)*(1-'Control Assumptions'!$C$16)</f>
        <v>9.3270748330214787E-2</v>
      </c>
      <c r="AK87" s="186">
        <f>SUMIFS('National model results detailed'!AK$153:AK$170,'National model results detailed'!$AW$153:$AW$170,$B87)/ SUMIFS('National model results detailed'!AK$105:AK$122,'National model results detailed'!$AU$105:$AU$122,$B87)*(1-'Control Assumptions'!$C$16)</f>
        <v>9.2746970307073309E-2</v>
      </c>
      <c r="AL87" s="186">
        <f>SUMIFS('National model results detailed'!AL$153:AL$170,'National model results detailed'!$AW$153:$AW$170,$B87)/ SUMIFS('National model results detailed'!AL$105:AL$122,'National model results detailed'!$AU$105:$AU$122,$B87)*(1-'Control Assumptions'!$C$16)</f>
        <v>9.2187238955164966E-2</v>
      </c>
      <c r="AM87" s="186">
        <f>SUMIFS('National model results detailed'!AM$153:AM$170,'National model results detailed'!$AW$153:$AW$170,$B87)/ SUMIFS('National model results detailed'!AM$105:AM$122,'National model results detailed'!$AU$105:$AU$122,$B87)*(1-'Control Assumptions'!$C$16)</f>
        <v>9.1643189422445551E-2</v>
      </c>
      <c r="AN87" s="186">
        <f>SUMIFS('National model results detailed'!AN$153:AN$170,'National model results detailed'!$AW$153:$AW$170,$B87)/ SUMIFS('National model results detailed'!AN$105:AN$122,'National model results detailed'!$AU$105:$AU$122,$B87)*(1-'Control Assumptions'!$C$16)</f>
        <v>9.1134618143608362E-2</v>
      </c>
      <c r="AO87" s="186">
        <f>SUMIFS('National model results detailed'!AO$153:AO$170,'National model results detailed'!$AW$153:$AW$170,$B87)/ SUMIFS('National model results detailed'!AO$105:AO$122,'National model results detailed'!$AU$105:$AU$122,$B87)*(1-'Control Assumptions'!$C$16)</f>
        <v>9.0662103172452199E-2</v>
      </c>
      <c r="AP87" s="186">
        <f>SUMIFS('National model results detailed'!AP$153:AP$170,'National model results detailed'!$AW$153:$AW$170,$B87)/ SUMIFS('National model results detailed'!AP$105:AP$122,'National model results detailed'!$AU$105:$AU$122,$B87)*(1-'Control Assumptions'!$C$16)</f>
        <v>9.0201213993670551E-2</v>
      </c>
      <c r="AQ87" s="186">
        <f>SUMIFS('National model results detailed'!AQ$153:AQ$170,'National model results detailed'!$AW$153:$AW$170,$B87)/ SUMIFS('National model results detailed'!AQ$105:AQ$122,'National model results detailed'!$AU$105:$AU$122,$B87)*(1-'Control Assumptions'!$C$16)</f>
        <v>8.9749658337630392E-2</v>
      </c>
      <c r="AR87" s="186">
        <f>SUMIFS('National model results detailed'!AR$153:AR$170,'National model results detailed'!$AW$153:$AW$170,$B87)/ SUMIFS('National model results detailed'!AR$105:AR$122,'National model results detailed'!$AU$105:$AU$122,$B87)*(1-'Control Assumptions'!$C$16)</f>
        <v>8.9314703299962245E-2</v>
      </c>
      <c r="AS87" s="186">
        <f>SUMIFS('National model results detailed'!AS$153:AS$170,'National model results detailed'!$AW$153:$AW$170,$B87)/ SUMIFS('National model results detailed'!AS$105:AS$122,'National model results detailed'!$AU$105:$AU$122,$B87)*(1-'Control Assumptions'!$C$16)</f>
        <v>8.8819731727720383E-2</v>
      </c>
    </row>
    <row r="88" spans="1:55">
      <c r="A88" s="19"/>
      <c r="B88" s="6" t="s">
        <v>104</v>
      </c>
      <c r="C88" s="186">
        <f>SUMIFS('National model results detailed'!C$153:C$170,'National model results detailed'!$AW$153:$AW$170,$B88)/ SUMIFS('National model results detailed'!C$105:C$122,'National model results detailed'!$AU$105:$AU$122,$B88)*(1-'Control Assumptions'!$C$16)</f>
        <v>0</v>
      </c>
      <c r="D88" s="186">
        <f>SUMIFS('National model results detailed'!D$153:D$170,'National model results detailed'!$AW$153:$AW$170,$B88)/ SUMIFS('National model results detailed'!D$105:D$122,'National model results detailed'!$AU$105:$AU$122,$B88)*(1-'Control Assumptions'!$C$16)</f>
        <v>0</v>
      </c>
      <c r="E88" s="186">
        <f>SUMIFS('National model results detailed'!E$153:E$170,'National model results detailed'!$AW$153:$AW$170,$B88)/ SUMIFS('National model results detailed'!E$105:E$122,'National model results detailed'!$AU$105:$AU$122,$B88)*(1-'Control Assumptions'!$C$16)</f>
        <v>0</v>
      </c>
      <c r="F88" s="186">
        <f>SUMIFS('National model results detailed'!F$153:F$170,'National model results detailed'!$AW$153:$AW$170,$B88)/ SUMIFS('National model results detailed'!F$105:F$122,'National model results detailed'!$AU$105:$AU$122,$B88)*(1-'Control Assumptions'!$C$16)</f>
        <v>0</v>
      </c>
      <c r="G88" s="186">
        <f>SUMIFS('National model results detailed'!G$153:G$170,'National model results detailed'!$AW$153:$AW$170,$B88)/ SUMIFS('National model results detailed'!G$105:G$122,'National model results detailed'!$AU$105:$AU$122,$B88)*(1-'Control Assumptions'!$C$16)</f>
        <v>-7.6841258560200756E-2</v>
      </c>
      <c r="H88" s="186">
        <f>SUMIFS('National model results detailed'!H$153:H$170,'National model results detailed'!$AW$153:$AW$170,$B88)/ SUMIFS('National model results detailed'!H$105:H$122,'National model results detailed'!$AU$105:$AU$122,$B88)*(1-'Control Assumptions'!$C$16)</f>
        <v>1.2507248823032727E-2</v>
      </c>
      <c r="I88" s="186">
        <f>SUMIFS('National model results detailed'!I$153:I$170,'National model results detailed'!$AW$153:$AW$170,$B88)/ SUMIFS('National model results detailed'!I$105:I$122,'National model results detailed'!$AU$105:$AU$122,$B88)*(1-'Control Assumptions'!$C$16)</f>
        <v>6.8785810170739453E-2</v>
      </c>
      <c r="J88" s="186">
        <f>SUMIFS('National model results detailed'!J$153:J$170,'National model results detailed'!$AW$153:$AW$170,$B88)/ SUMIFS('National model results detailed'!J$105:J$122,'National model results detailed'!$AU$105:$AU$122,$B88)*(1-'Control Assumptions'!$C$16)</f>
        <v>0.10423759479261724</v>
      </c>
      <c r="K88" s="186">
        <f>SUMIFS('National model results detailed'!K$153:K$170,'National model results detailed'!$AW$153:$AW$170,$B88)/ SUMIFS('National model results detailed'!K$105:K$122,'National model results detailed'!$AU$105:$AU$122,$B88)*(1-'Control Assumptions'!$C$16)</f>
        <v>0.12650164182702356</v>
      </c>
      <c r="L88" s="186">
        <f>SUMIFS('National model results detailed'!L$153:L$170,'National model results detailed'!$AW$153:$AW$170,$B88)/ SUMIFS('National model results detailed'!L$105:L$122,'National model results detailed'!$AU$105:$AU$122,$B88)*(1-'Control Assumptions'!$C$16)</f>
        <v>0.14053388478093781</v>
      </c>
      <c r="M88" s="186">
        <f>SUMIFS('National model results detailed'!M$153:M$170,'National model results detailed'!$AW$153:$AW$170,$B88)/ SUMIFS('National model results detailed'!M$105:M$122,'National model results detailed'!$AU$105:$AU$122,$B88)*(1-'Control Assumptions'!$C$16)</f>
        <v>0.14935773940557318</v>
      </c>
      <c r="N88" s="186">
        <f>SUMIFS('National model results detailed'!N$153:N$170,'National model results detailed'!$AW$153:$AW$170,$B88)/ SUMIFS('National model results detailed'!N$105:N$122,'National model results detailed'!$AU$105:$AU$122,$B88)*(1-'Control Assumptions'!$C$16)</f>
        <v>0.15451945806039416</v>
      </c>
      <c r="O88" s="186">
        <f>SUMIFS('National model results detailed'!O$153:O$170,'National model results detailed'!$AW$153:$AW$170,$B88)/ SUMIFS('National model results detailed'!O$105:O$122,'National model results detailed'!$AU$105:$AU$122,$B88)*(1-'Control Assumptions'!$C$16)</f>
        <v>0.15765643482644412</v>
      </c>
      <c r="P88" s="186">
        <f>SUMIFS('National model results detailed'!P$153:P$170,'National model results detailed'!$AW$153:$AW$170,$B88)/ SUMIFS('National model results detailed'!P$105:P$122,'National model results detailed'!$AU$105:$AU$122,$B88)*(1-'Control Assumptions'!$C$16)</f>
        <v>0.1596584409624118</v>
      </c>
      <c r="Q88" s="186">
        <f>SUMIFS('National model results detailed'!Q$153:Q$170,'National model results detailed'!$AW$153:$AW$170,$B88)/ SUMIFS('National model results detailed'!Q$105:Q$122,'National model results detailed'!$AU$105:$AU$122,$B88)*(1-'Control Assumptions'!$C$16)</f>
        <v>0.16100586828950533</v>
      </c>
      <c r="R88" s="186">
        <f>SUMIFS('National model results detailed'!R$153:R$170,'National model results detailed'!$AW$153:$AW$170,$B88)/ SUMIFS('National model results detailed'!R$105:R$122,'National model results detailed'!$AU$105:$AU$122,$B88)*(1-'Control Assumptions'!$C$16)</f>
        <v>0.16197269671157383</v>
      </c>
      <c r="S88" s="186">
        <f>SUMIFS('National model results detailed'!S$153:S$170,'National model results detailed'!$AW$153:$AW$170,$B88)/ SUMIFS('National model results detailed'!S$105:S$122,'National model results detailed'!$AU$105:$AU$122,$B88)*(1-'Control Assumptions'!$C$16)</f>
        <v>0.16262678541521577</v>
      </c>
      <c r="T88" s="186">
        <f>SUMIFS('National model results detailed'!T$153:T$170,'National model results detailed'!$AW$153:$AW$170,$B88)/ SUMIFS('National model results detailed'!T$105:T$122,'National model results detailed'!$AU$105:$AU$122,$B88)*(1-'Control Assumptions'!$C$16)</f>
        <v>0.16300481088634952</v>
      </c>
      <c r="U88" s="186">
        <f>SUMIFS('National model results detailed'!U$153:U$170,'National model results detailed'!$AW$153:$AW$170,$B88)/ SUMIFS('National model results detailed'!U$105:U$122,'National model results detailed'!$AU$105:$AU$122,$B88)*(1-'Control Assumptions'!$C$16)</f>
        <v>0.16320533944629745</v>
      </c>
      <c r="V88" s="186">
        <f>SUMIFS('National model results detailed'!V$153:V$170,'National model results detailed'!$AW$153:$AW$170,$B88)/ SUMIFS('National model results detailed'!V$105:V$122,'National model results detailed'!$AU$105:$AU$122,$B88)*(1-'Control Assumptions'!$C$16)</f>
        <v>0.16335431278939067</v>
      </c>
      <c r="W88" s="186">
        <f>SUMIFS('National model results detailed'!W$153:W$170,'National model results detailed'!$AW$153:$AW$170,$B88)/ SUMIFS('National model results detailed'!W$105:W$122,'National model results detailed'!$AU$105:$AU$122,$B88)*(1-'Control Assumptions'!$C$16)</f>
        <v>0.16345811726394616</v>
      </c>
      <c r="X88" s="186">
        <f>SUMIFS('National model results detailed'!X$153:X$170,'National model results detailed'!$AW$153:$AW$170,$B88)/ SUMIFS('National model results detailed'!X$105:X$122,'National model results detailed'!$AU$105:$AU$122,$B88)*(1-'Control Assumptions'!$C$16)</f>
        <v>0.16339064068133055</v>
      </c>
      <c r="Y88" s="186">
        <f>SUMIFS('National model results detailed'!Y$153:Y$170,'National model results detailed'!$AW$153:$AW$170,$B88)/ SUMIFS('National model results detailed'!Y$105:Y$122,'National model results detailed'!$AU$105:$AU$122,$B88)*(1-'Control Assumptions'!$C$16)</f>
        <v>0.16333751870080399</v>
      </c>
      <c r="Z88" s="186">
        <f>SUMIFS('National model results detailed'!Z$153:Z$170,'National model results detailed'!$AW$153:$AW$170,$B88)/ SUMIFS('National model results detailed'!Z$105:Z$122,'National model results detailed'!$AU$105:$AU$122,$B88)*(1-'Control Assumptions'!$C$16)</f>
        <v>0.16332382297031309</v>
      </c>
      <c r="AA88" s="186">
        <f>SUMIFS('National model results detailed'!AA$153:AA$170,'National model results detailed'!$AW$153:$AW$170,$B88)/ SUMIFS('National model results detailed'!AA$105:AA$122,'National model results detailed'!$AU$105:$AU$122,$B88)*(1-'Control Assumptions'!$C$16)</f>
        <v>0.16333582147875239</v>
      </c>
      <c r="AB88" s="186">
        <f>SUMIFS('National model results detailed'!AB$153:AB$170,'National model results detailed'!$AW$153:$AW$170,$B88)/ SUMIFS('National model results detailed'!AB$105:AB$122,'National model results detailed'!$AU$105:$AU$122,$B88)*(1-'Control Assumptions'!$C$16)</f>
        <v>0.1633062620161839</v>
      </c>
      <c r="AC88" s="186">
        <f>SUMIFS('National model results detailed'!AC$153:AC$170,'National model results detailed'!$AW$153:$AW$170,$B88)/ SUMIFS('National model results detailed'!AC$105:AC$122,'National model results detailed'!$AU$105:$AU$122,$B88)*(1-'Control Assumptions'!$C$16)</f>
        <v>0.16326039531192837</v>
      </c>
      <c r="AD88" s="186">
        <f>SUMIFS('National model results detailed'!AD$153:AD$170,'National model results detailed'!$AW$153:$AW$170,$B88)/ SUMIFS('National model results detailed'!AD$105:AD$122,'National model results detailed'!$AU$105:$AU$122,$B88)*(1-'Control Assumptions'!$C$16)</f>
        <v>0.16322296460416325</v>
      </c>
      <c r="AE88" s="186">
        <f>SUMIFS('National model results detailed'!AE$153:AE$170,'National model results detailed'!$AW$153:$AW$170,$B88)/ SUMIFS('National model results detailed'!AE$105:AE$122,'National model results detailed'!$AU$105:$AU$122,$B88)*(1-'Control Assumptions'!$C$16)</f>
        <v>0.16320343303537296</v>
      </c>
      <c r="AF88" s="186">
        <f>SUMIFS('National model results detailed'!AF$153:AF$170,'National model results detailed'!$AW$153:$AW$170,$B88)/ SUMIFS('National model results detailed'!AF$105:AF$122,'National model results detailed'!$AU$105:$AU$122,$B88)*(1-'Control Assumptions'!$C$16)</f>
        <v>0.16320770515790561</v>
      </c>
      <c r="AG88" s="186">
        <f>SUMIFS('National model results detailed'!AG$153:AG$170,'National model results detailed'!$AW$153:$AW$170,$B88)/ SUMIFS('National model results detailed'!AG$105:AG$122,'National model results detailed'!$AU$105:$AU$122,$B88)*(1-'Control Assumptions'!$C$16)</f>
        <v>0.16323649516816779</v>
      </c>
      <c r="AH88" s="186">
        <f>SUMIFS('National model results detailed'!AH$153:AH$170,'National model results detailed'!$AW$153:$AW$170,$B88)/ SUMIFS('National model results detailed'!AH$105:AH$122,'National model results detailed'!$AU$105:$AU$122,$B88)*(1-'Control Assumptions'!$C$16)</f>
        <v>0.16328769298977142</v>
      </c>
      <c r="AI88" s="186">
        <f>SUMIFS('National model results detailed'!AI$153:AI$170,'National model results detailed'!$AW$153:$AW$170,$B88)/ SUMIFS('National model results detailed'!AI$105:AI$122,'National model results detailed'!$AU$105:$AU$122,$B88)*(1-'Control Assumptions'!$C$16)</f>
        <v>0.16334086248013283</v>
      </c>
      <c r="AJ88" s="186">
        <f>SUMIFS('National model results detailed'!AJ$153:AJ$170,'National model results detailed'!$AW$153:$AW$170,$B88)/ SUMIFS('National model results detailed'!AJ$105:AJ$122,'National model results detailed'!$AU$105:$AU$122,$B88)*(1-'Control Assumptions'!$C$16)</f>
        <v>0.16334431620077267</v>
      </c>
      <c r="AK88" s="186">
        <f>SUMIFS('National model results detailed'!AK$153:AK$170,'National model results detailed'!$AW$153:$AW$170,$B88)/ SUMIFS('National model results detailed'!AK$105:AK$122,'National model results detailed'!$AU$105:$AU$122,$B88)*(1-'Control Assumptions'!$C$16)</f>
        <v>0.16330740032887411</v>
      </c>
      <c r="AL88" s="186">
        <f>SUMIFS('National model results detailed'!AL$153:AL$170,'National model results detailed'!$AW$153:$AW$170,$B88)/ SUMIFS('National model results detailed'!AL$105:AL$122,'National model results detailed'!$AU$105:$AU$122,$B88)*(1-'Control Assumptions'!$C$16)</f>
        <v>0.16322434058900676</v>
      </c>
      <c r="AM88" s="186">
        <f>SUMIFS('National model results detailed'!AM$153:AM$170,'National model results detailed'!$AW$153:$AW$170,$B88)/ SUMIFS('National model results detailed'!AM$105:AM$122,'National model results detailed'!$AU$105:$AU$122,$B88)*(1-'Control Assumptions'!$C$16)</f>
        <v>0.16315990662084753</v>
      </c>
      <c r="AN88" s="186">
        <f>SUMIFS('National model results detailed'!AN$153:AN$170,'National model results detailed'!$AW$153:$AW$170,$B88)/ SUMIFS('National model results detailed'!AN$105:AN$122,'National model results detailed'!$AU$105:$AU$122,$B88)*(1-'Control Assumptions'!$C$16)</f>
        <v>0.16314085402406689</v>
      </c>
      <c r="AO88" s="186">
        <f>SUMIFS('National model results detailed'!AO$153:AO$170,'National model results detailed'!$AW$153:$AW$170,$B88)/ SUMIFS('National model results detailed'!AO$105:AO$122,'National model results detailed'!$AU$105:$AU$122,$B88)*(1-'Control Assumptions'!$C$16)</f>
        <v>0.16317034677860653</v>
      </c>
      <c r="AP88" s="186">
        <f>SUMIFS('National model results detailed'!AP$153:AP$170,'National model results detailed'!$AW$153:$AW$170,$B88)/ SUMIFS('National model results detailed'!AP$105:AP$122,'National model results detailed'!$AU$105:$AU$122,$B88)*(1-'Control Assumptions'!$C$16)</f>
        <v>0.16321297324447392</v>
      </c>
      <c r="AQ88" s="186">
        <f>SUMIFS('National model results detailed'!AQ$153:AQ$170,'National model results detailed'!$AW$153:$AW$170,$B88)/ SUMIFS('National model results detailed'!AQ$105:AQ$122,'National model results detailed'!$AU$105:$AU$122,$B88)*(1-'Control Assumptions'!$C$16)</f>
        <v>0.16326032179735464</v>
      </c>
      <c r="AR88" s="186">
        <f>SUMIFS('National model results detailed'!AR$153:AR$170,'National model results detailed'!$AW$153:$AW$170,$B88)/ SUMIFS('National model results detailed'!AR$105:AR$122,'National model results detailed'!$AU$105:$AU$122,$B88)*(1-'Control Assumptions'!$C$16)</f>
        <v>0.16331737796871537</v>
      </c>
      <c r="AS88" s="186">
        <f>SUMIFS('National model results detailed'!AS$153:AS$170,'National model results detailed'!$AW$153:$AW$170,$B88)/ SUMIFS('National model results detailed'!AS$105:AS$122,'National model results detailed'!$AU$105:$AU$122,$B88)*(1-'Control Assumptions'!$C$16)</f>
        <v>0.1633099869466095</v>
      </c>
    </row>
    <row r="89" spans="1:55">
      <c r="A89" s="19"/>
      <c r="B89" s="6" t="s">
        <v>17</v>
      </c>
      <c r="C89" s="186">
        <f>SUMIFS('National model results detailed'!C$153:C$170,'National model results detailed'!$AW$153:$AW$170,$B89)/ SUMIFS('National model results detailed'!C$105:C$122,'National model results detailed'!$AU$105:$AU$122,$B89)*(1-'Control Assumptions'!$C$16)</f>
        <v>0</v>
      </c>
      <c r="D89" s="186">
        <f>SUMIFS('National model results detailed'!D$153:D$170,'National model results detailed'!$AW$153:$AW$170,$B89)/ SUMIFS('National model results detailed'!D$105:D$122,'National model results detailed'!$AU$105:$AU$122,$B89)*(1-'Control Assumptions'!$C$16)</f>
        <v>0</v>
      </c>
      <c r="E89" s="186">
        <f>SUMIFS('National model results detailed'!E$153:E$170,'National model results detailed'!$AW$153:$AW$170,$B89)/ SUMIFS('National model results detailed'!E$105:E$122,'National model results detailed'!$AU$105:$AU$122,$B89)*(1-'Control Assumptions'!$C$16)</f>
        <v>0</v>
      </c>
      <c r="F89" s="186">
        <f>SUMIFS('National model results detailed'!F$153:F$170,'National model results detailed'!$AW$153:$AW$170,$B89)/ SUMIFS('National model results detailed'!F$105:F$122,'National model results detailed'!$AU$105:$AU$122,$B89)*(1-'Control Assumptions'!$C$16)</f>
        <v>0</v>
      </c>
      <c r="G89" s="186">
        <f>SUMIFS('National model results detailed'!G$153:G$170,'National model results detailed'!$AW$153:$AW$170,$B89)/ SUMIFS('National model results detailed'!G$105:G$122,'National model results detailed'!$AU$105:$AU$122,$B89)*(1-'Control Assumptions'!$C$16)</f>
        <v>3.7252712168795894E-2</v>
      </c>
      <c r="H89" s="186">
        <f>SUMIFS('National model results detailed'!H$153:H$170,'National model results detailed'!$AW$153:$AW$170,$B89)/ SUMIFS('National model results detailed'!H$105:H$122,'National model results detailed'!$AU$105:$AU$122,$B89)*(1-'Control Assumptions'!$C$16)</f>
        <v>9.4082459081122227E-2</v>
      </c>
      <c r="I89" s="186">
        <f>SUMIFS('National model results detailed'!I$153:I$170,'National model results detailed'!$AW$153:$AW$170,$B89)/ SUMIFS('National model results detailed'!I$105:I$122,'National model results detailed'!$AU$105:$AU$122,$B89)*(1-'Control Assumptions'!$C$16)</f>
        <v>0.12724504892794616</v>
      </c>
      <c r="J89" s="186">
        <f>SUMIFS('National model results detailed'!J$153:J$170,'National model results detailed'!$AW$153:$AW$170,$B89)/ SUMIFS('National model results detailed'!J$105:J$122,'National model results detailed'!$AU$105:$AU$122,$B89)*(1-'Control Assumptions'!$C$16)</f>
        <v>0.14614815485344618</v>
      </c>
      <c r="K89" s="186">
        <f>SUMIFS('National model results detailed'!K$153:K$170,'National model results detailed'!$AW$153:$AW$170,$B89)/ SUMIFS('National model results detailed'!K$105:K$122,'National model results detailed'!$AU$105:$AU$122,$B89)*(1-'Control Assumptions'!$C$16)</f>
        <v>0.15650802081057236</v>
      </c>
      <c r="L89" s="186">
        <f>SUMIFS('National model results detailed'!L$153:L$170,'National model results detailed'!$AW$153:$AW$170,$B89)/ SUMIFS('National model results detailed'!L$105:L$122,'National model results detailed'!$AU$105:$AU$122,$B89)*(1-'Control Assumptions'!$C$16)</f>
        <v>0.16178497621398613</v>
      </c>
      <c r="M89" s="186">
        <f>SUMIFS('National model results detailed'!M$153:M$170,'National model results detailed'!$AW$153:$AW$170,$B89)/ SUMIFS('National model results detailed'!M$105:M$122,'National model results detailed'!$AU$105:$AU$122,$B89)*(1-'Control Assumptions'!$C$16)</f>
        <v>0.16400342917095687</v>
      </c>
      <c r="N89" s="186">
        <f>SUMIFS('National model results detailed'!N$153:N$170,'National model results detailed'!$AW$153:$AW$170,$B89)/ SUMIFS('National model results detailed'!N$105:N$122,'National model results detailed'!$AU$105:$AU$122,$B89)*(1-'Control Assumptions'!$C$16)</f>
        <v>0.16417563124693632</v>
      </c>
      <c r="O89" s="186">
        <f>SUMIFS('National model results detailed'!O$153:O$170,'National model results detailed'!$AW$153:$AW$170,$B89)/ SUMIFS('National model results detailed'!O$105:O$122,'National model results detailed'!$AU$105:$AU$122,$B89)*(1-'Control Assumptions'!$C$16)</f>
        <v>0.163308508790447</v>
      </c>
      <c r="P89" s="186">
        <f>SUMIFS('National model results detailed'!P$153:P$170,'National model results detailed'!$AW$153:$AW$170,$B89)/ SUMIFS('National model results detailed'!P$105:P$122,'National model results detailed'!$AU$105:$AU$122,$B89)*(1-'Control Assumptions'!$C$16)</f>
        <v>0.16193450133355219</v>
      </c>
      <c r="Q89" s="186">
        <f>SUMIFS('National model results detailed'!Q$153:Q$170,'National model results detailed'!$AW$153:$AW$170,$B89)/ SUMIFS('National model results detailed'!Q$105:Q$122,'National model results detailed'!$AU$105:$AU$122,$B89)*(1-'Control Assumptions'!$C$16)</f>
        <v>0.16033022393667529</v>
      </c>
      <c r="R89" s="186">
        <f>SUMIFS('National model results detailed'!R$153:R$170,'National model results detailed'!$AW$153:$AW$170,$B89)/ SUMIFS('National model results detailed'!R$105:R$122,'National model results detailed'!$AU$105:$AU$122,$B89)*(1-'Control Assumptions'!$C$16)</f>
        <v>0.15863428126913562</v>
      </c>
      <c r="S89" s="186">
        <f>SUMIFS('National model results detailed'!S$153:S$170,'National model results detailed'!$AW$153:$AW$170,$B89)/ SUMIFS('National model results detailed'!S$105:S$122,'National model results detailed'!$AU$105:$AU$122,$B89)*(1-'Control Assumptions'!$C$16)</f>
        <v>0.15685549975534271</v>
      </c>
      <c r="T89" s="186">
        <f>SUMIFS('National model results detailed'!T$153:T$170,'National model results detailed'!$AW$153:$AW$170,$B89)/ SUMIFS('National model results detailed'!T$105:T$122,'National model results detailed'!$AU$105:$AU$122,$B89)*(1-'Control Assumptions'!$C$16)</f>
        <v>0.1550066096402869</v>
      </c>
      <c r="U89" s="186">
        <f>SUMIFS('National model results detailed'!U$153:U$170,'National model results detailed'!$AW$153:$AW$170,$B89)/ SUMIFS('National model results detailed'!U$105:U$122,'National model results detailed'!$AU$105:$AU$122,$B89)*(1-'Control Assumptions'!$C$16)</f>
        <v>0.15316532584088349</v>
      </c>
      <c r="V89" s="186">
        <f>SUMIFS('National model results detailed'!V$153:V$170,'National model results detailed'!$AW$153:$AW$170,$B89)/ SUMIFS('National model results detailed'!V$105:V$122,'National model results detailed'!$AU$105:$AU$122,$B89)*(1-'Control Assumptions'!$C$16)</f>
        <v>0.15136497304534505</v>
      </c>
      <c r="W89" s="186">
        <f>SUMIFS('National model results detailed'!W$153:W$170,'National model results detailed'!$AW$153:$AW$170,$B89)/ SUMIFS('National model results detailed'!W$105:W$122,'National model results detailed'!$AU$105:$AU$122,$B89)*(1-'Control Assumptions'!$C$16)</f>
        <v>0.1495943087678645</v>
      </c>
      <c r="X89" s="186">
        <f>SUMIFS('National model results detailed'!X$153:X$170,'National model results detailed'!$AW$153:$AW$170,$B89)/ SUMIFS('National model results detailed'!X$105:X$122,'National model results detailed'!$AU$105:$AU$122,$B89)*(1-'Control Assumptions'!$C$16)</f>
        <v>0.14778207340735766</v>
      </c>
      <c r="Y89" s="186">
        <f>SUMIFS('National model results detailed'!Y$153:Y$170,'National model results detailed'!$AW$153:$AW$170,$B89)/ SUMIFS('National model results detailed'!Y$105:Y$122,'National model results detailed'!$AU$105:$AU$122,$B89)*(1-'Control Assumptions'!$C$16)</f>
        <v>0.14603595458359866</v>
      </c>
      <c r="Z89" s="186">
        <f>SUMIFS('National model results detailed'!Z$153:Z$170,'National model results detailed'!$AW$153:$AW$170,$B89)/ SUMIFS('National model results detailed'!Z$105:Z$122,'National model results detailed'!$AU$105:$AU$122,$B89)*(1-'Control Assumptions'!$C$16)</f>
        <v>0.14436023040883422</v>
      </c>
      <c r="AA89" s="186">
        <f>SUMIFS('National model results detailed'!AA$153:AA$170,'National model results detailed'!$AW$153:$AW$170,$B89)/ SUMIFS('National model results detailed'!AA$105:AA$122,'National model results detailed'!$AU$105:$AU$122,$B89)*(1-'Control Assumptions'!$C$16)</f>
        <v>0.14273805790831717</v>
      </c>
      <c r="AB89" s="186">
        <f>SUMIFS('National model results detailed'!AB$153:AB$170,'National model results detailed'!$AW$153:$AW$170,$B89)/ SUMIFS('National model results detailed'!AB$105:AB$122,'National model results detailed'!$AU$105:$AU$122,$B89)*(1-'Control Assumptions'!$C$16)</f>
        <v>0.14112893702188664</v>
      </c>
      <c r="AC89" s="186">
        <f>SUMIFS('National model results detailed'!AC$153:AC$170,'National model results detailed'!$AW$153:$AW$170,$B89)/ SUMIFS('National model results detailed'!AC$105:AC$122,'National model results detailed'!$AU$105:$AU$122,$B89)*(1-'Control Assumptions'!$C$16)</f>
        <v>0.13954088792812464</v>
      </c>
      <c r="AD89" s="186">
        <f>SUMIFS('National model results detailed'!AD$153:AD$170,'National model results detailed'!$AW$153:$AW$170,$B89)/ SUMIFS('National model results detailed'!AD$105:AD$122,'National model results detailed'!$AU$105:$AU$122,$B89)*(1-'Control Assumptions'!$C$16)</f>
        <v>0.13798213375621543</v>
      </c>
      <c r="AE89" s="186">
        <f>SUMIFS('National model results detailed'!AE$153:AE$170,'National model results detailed'!$AW$153:$AW$170,$B89)/ SUMIFS('National model results detailed'!AE$105:AE$122,'National model results detailed'!$AU$105:$AU$122,$B89)*(1-'Control Assumptions'!$C$16)</f>
        <v>0.13645331117987519</v>
      </c>
      <c r="AF89" s="186">
        <f>SUMIFS('National model results detailed'!AF$153:AF$170,'National model results detailed'!$AW$153:$AW$170,$B89)/ SUMIFS('National model results detailed'!AF$105:AF$122,'National model results detailed'!$AU$105:$AU$122,$B89)*(1-'Control Assumptions'!$C$16)</f>
        <v>0.13495801843819458</v>
      </c>
      <c r="AG89" s="186">
        <f>SUMIFS('National model results detailed'!AG$153:AG$170,'National model results detailed'!$AW$153:$AW$170,$B89)/ SUMIFS('National model results detailed'!AG$105:AG$122,'National model results detailed'!$AU$105:$AU$122,$B89)*(1-'Control Assumptions'!$C$16)</f>
        <v>0.13350582607570782</v>
      </c>
      <c r="AH89" s="186">
        <f>SUMIFS('National model results detailed'!AH$153:AH$170,'National model results detailed'!$AW$153:$AW$170,$B89)/ SUMIFS('National model results detailed'!AH$105:AH$122,'National model results detailed'!$AU$105:$AU$122,$B89)*(1-'Control Assumptions'!$C$16)</f>
        <v>0.13209483051260618</v>
      </c>
      <c r="AI89" s="186">
        <f>SUMIFS('National model results detailed'!AI$153:AI$170,'National model results detailed'!$AW$153:$AW$170,$B89)/ SUMIFS('National model results detailed'!AI$105:AI$122,'National model results detailed'!$AU$105:$AU$122,$B89)*(1-'Control Assumptions'!$C$16)</f>
        <v>0.13071764473232148</v>
      </c>
      <c r="AJ89" s="186">
        <f>SUMIFS('National model results detailed'!AJ$153:AJ$170,'National model results detailed'!$AW$153:$AW$170,$B89)/ SUMIFS('National model results detailed'!AJ$105:AJ$122,'National model results detailed'!$AU$105:$AU$122,$B89)*(1-'Control Assumptions'!$C$16)</f>
        <v>0.12933733002837611</v>
      </c>
      <c r="AK89" s="186">
        <f>SUMIFS('National model results detailed'!AK$153:AK$170,'National model results detailed'!$AW$153:$AW$170,$B89)/ SUMIFS('National model results detailed'!AK$105:AK$122,'National model results detailed'!$AU$105:$AU$122,$B89)*(1-'Control Assumptions'!$C$16)</f>
        <v>0.12794986195067079</v>
      </c>
      <c r="AL89" s="186">
        <f>SUMIFS('National model results detailed'!AL$153:AL$170,'National model results detailed'!$AW$153:$AW$170,$B89)/ SUMIFS('National model results detailed'!AL$105:AL$122,'National model results detailed'!$AU$105:$AU$122,$B89)*(1-'Control Assumptions'!$C$16)</f>
        <v>0.12654741696502908</v>
      </c>
      <c r="AM89" s="186">
        <f>SUMIFS('National model results detailed'!AM$153:AM$170,'National model results detailed'!$AW$153:$AW$170,$B89)/ SUMIFS('National model results detailed'!AM$105:AM$122,'National model results detailed'!$AU$105:$AU$122,$B89)*(1-'Control Assumptions'!$C$16)</f>
        <v>0.12516349566767426</v>
      </c>
      <c r="AN89" s="186">
        <f>SUMIFS('National model results detailed'!AN$153:AN$170,'National model results detailed'!$AW$153:$AW$170,$B89)/ SUMIFS('National model results detailed'!AN$105:AN$122,'National model results detailed'!$AU$105:$AU$122,$B89)*(1-'Control Assumptions'!$C$16)</f>
        <v>0.12380973026325576</v>
      </c>
      <c r="AO89" s="186">
        <f>SUMIFS('National model results detailed'!AO$153:AO$170,'National model results detailed'!$AW$153:$AW$170,$B89)/ SUMIFS('National model results detailed'!AO$105:AO$122,'National model results detailed'!$AU$105:$AU$122,$B89)*(1-'Control Assumptions'!$C$16)</f>
        <v>0.12248453827363912</v>
      </c>
      <c r="AP89" s="186">
        <f>SUMIFS('National model results detailed'!AP$153:AP$170,'National model results detailed'!$AW$153:$AW$170,$B89)/ SUMIFS('National model results detailed'!AP$105:AP$122,'National model results detailed'!$AU$105:$AU$122,$B89)*(1-'Control Assumptions'!$C$16)</f>
        <v>0.12118385974450735</v>
      </c>
      <c r="AQ89" s="186">
        <f>SUMIFS('National model results detailed'!AQ$153:AQ$170,'National model results detailed'!$AW$153:$AW$170,$B89)/ SUMIFS('National model results detailed'!AQ$105:AQ$122,'National model results detailed'!$AU$105:$AU$122,$B89)*(1-'Control Assumptions'!$C$16)</f>
        <v>0.11991702519476966</v>
      </c>
      <c r="AR89" s="186">
        <f>SUMIFS('National model results detailed'!AR$153:AR$170,'National model results detailed'!$AW$153:$AW$170,$B89)/ SUMIFS('National model results detailed'!AR$105:AR$122,'National model results detailed'!$AU$105:$AU$122,$B89)*(1-'Control Assumptions'!$C$16)</f>
        <v>0.11869568905226226</v>
      </c>
      <c r="AS89" s="186">
        <f>SUMIFS('National model results detailed'!AS$153:AS$170,'National model results detailed'!$AW$153:$AW$170,$B89)/ SUMIFS('National model results detailed'!AS$105:AS$122,'National model results detailed'!$AU$105:$AU$122,$B89)*(1-'Control Assumptions'!$C$16)</f>
        <v>0.11741608684158814</v>
      </c>
    </row>
    <row r="90" spans="1:55">
      <c r="A90" s="19"/>
      <c r="B90" s="6" t="s">
        <v>217</v>
      </c>
      <c r="C90" s="186">
        <f>SUMIFS('National model results detailed'!C$153:C$170,'National model results detailed'!$AW$153:$AW$170,$B90)/ SUMIFS('National model results detailed'!C$105:C$122,'National model results detailed'!$AU$105:$AU$122,$B90)*(1-'Control Assumptions'!$C$16)</f>
        <v>0</v>
      </c>
      <c r="D90" s="186">
        <f>SUMIFS('National model results detailed'!D$153:D$170,'National model results detailed'!$AW$153:$AW$170,$B90)/ SUMIFS('National model results detailed'!D$105:D$122,'National model results detailed'!$AU$105:$AU$122,$B90)*(1-'Control Assumptions'!$C$16)</f>
        <v>0</v>
      </c>
      <c r="E90" s="186">
        <f>SUMIFS('National model results detailed'!E$153:E$170,'National model results detailed'!$AW$153:$AW$170,$B90)/ SUMIFS('National model results detailed'!E$105:E$122,'National model results detailed'!$AU$105:$AU$122,$B90)*(1-'Control Assumptions'!$C$16)</f>
        <v>0</v>
      </c>
      <c r="F90" s="186">
        <f>SUMIFS('National model results detailed'!F$153:F$170,'National model results detailed'!$AW$153:$AW$170,$B90)/ SUMIFS('National model results detailed'!F$105:F$122,'National model results detailed'!$AU$105:$AU$122,$B90)*(1-'Control Assumptions'!$C$16)</f>
        <v>0</v>
      </c>
      <c r="G90" s="186">
        <f>SUMIFS('National model results detailed'!G$153:G$170,'National model results detailed'!$AW$153:$AW$170,$B90)/ SUMIFS('National model results detailed'!G$105:G$122,'National model results detailed'!$AU$105:$AU$122,$B90)*(1-'Control Assumptions'!$C$16)</f>
        <v>0.11782532566173642</v>
      </c>
      <c r="H90" s="186">
        <f>SUMIFS('National model results detailed'!H$153:H$170,'National model results detailed'!$AW$153:$AW$170,$B90)/ SUMIFS('National model results detailed'!H$105:H$122,'National model results detailed'!$AU$105:$AU$122,$B90)*(1-'Control Assumptions'!$C$16)</f>
        <v>0.18834020382285782</v>
      </c>
      <c r="I90" s="186">
        <f>SUMIFS('National model results detailed'!I$153:I$170,'National model results detailed'!$AW$153:$AW$170,$B90)/ SUMIFS('National model results detailed'!I$105:I$122,'National model results detailed'!$AU$105:$AU$122,$B90)*(1-'Control Assumptions'!$C$16)</f>
        <v>0.23253837457198709</v>
      </c>
      <c r="J90" s="186">
        <f>SUMIFS('National model results detailed'!J$153:J$170,'National model results detailed'!$AW$153:$AW$170,$B90)/ SUMIFS('National model results detailed'!J$105:J$122,'National model results detailed'!$AU$105:$AU$122,$B90)*(1-'Control Assumptions'!$C$16)</f>
        <v>0.26026302127203155</v>
      </c>
      <c r="K90" s="186">
        <f>SUMIFS('National model results detailed'!K$153:K$170,'National model results detailed'!$AW$153:$AW$170,$B90)/ SUMIFS('National model results detailed'!K$105:K$122,'National model results detailed'!$AU$105:$AU$122,$B90)*(1-'Control Assumptions'!$C$16)</f>
        <v>0.27761675899008326</v>
      </c>
      <c r="L90" s="186">
        <f>SUMIFS('National model results detailed'!L$153:L$170,'National model results detailed'!$AW$153:$AW$170,$B90)/ SUMIFS('National model results detailed'!L$105:L$122,'National model results detailed'!$AU$105:$AU$122,$B90)*(1-'Control Assumptions'!$C$16)</f>
        <v>0.28854358378304484</v>
      </c>
      <c r="M90" s="186">
        <f>SUMIFS('National model results detailed'!M$153:M$170,'National model results detailed'!$AW$153:$AW$170,$B90)/ SUMIFS('National model results detailed'!M$105:M$122,'National model results detailed'!$AU$105:$AU$122,$B90)*(1-'Control Assumptions'!$C$16)</f>
        <v>0.29543411196056557</v>
      </c>
      <c r="N90" s="186">
        <f>SUMIFS('National model results detailed'!N$153:N$170,'National model results detailed'!$AW$153:$AW$170,$B90)/ SUMIFS('National model results detailed'!N$105:N$122,'National model results detailed'!$AU$105:$AU$122,$B90)*(1-'Control Assumptions'!$C$16)</f>
        <v>0.29949818624182023</v>
      </c>
      <c r="O90" s="186">
        <f>SUMIFS('National model results detailed'!O$153:O$170,'National model results detailed'!$AW$153:$AW$170,$B90)/ SUMIFS('National model results detailed'!O$105:O$122,'National model results detailed'!$AU$105:$AU$122,$B90)*(1-'Control Assumptions'!$C$16)</f>
        <v>0.30202242356499387</v>
      </c>
      <c r="P90" s="186">
        <f>SUMIFS('National model results detailed'!P$153:P$170,'National model results detailed'!$AW$153:$AW$170,$B90)/ SUMIFS('National model results detailed'!P$105:P$122,'National model results detailed'!$AU$105:$AU$122,$B90)*(1-'Control Assumptions'!$C$16)</f>
        <v>0.30369583277344464</v>
      </c>
      <c r="Q90" s="186">
        <f>SUMIFS('National model results detailed'!Q$153:Q$170,'National model results detailed'!$AW$153:$AW$170,$B90)/ SUMIFS('National model results detailed'!Q$105:Q$122,'National model results detailed'!$AU$105:$AU$122,$B90)*(1-'Control Assumptions'!$C$16)</f>
        <v>0.30488422754893729</v>
      </c>
      <c r="R90" s="186">
        <f>SUMIFS('National model results detailed'!R$153:R$170,'National model results detailed'!$AW$153:$AW$170,$B90)/ SUMIFS('National model results detailed'!R$105:R$122,'National model results detailed'!$AU$105:$AU$122,$B90)*(1-'Control Assumptions'!$C$16)</f>
        <v>0.30579439268280445</v>
      </c>
      <c r="S90" s="186">
        <f>SUMIFS('National model results detailed'!S$153:S$170,'National model results detailed'!$AW$153:$AW$170,$B90)/ SUMIFS('National model results detailed'!S$105:S$122,'National model results detailed'!$AU$105:$AU$122,$B90)*(1-'Control Assumptions'!$C$16)</f>
        <v>0.30647340770794773</v>
      </c>
      <c r="T90" s="186">
        <f>SUMIFS('National model results detailed'!T$153:T$170,'National model results detailed'!$AW$153:$AW$170,$B90)/ SUMIFS('National model results detailed'!T$105:T$122,'National model results detailed'!$AU$105:$AU$122,$B90)*(1-'Control Assumptions'!$C$16)</f>
        <v>0.30694444287074529</v>
      </c>
      <c r="U90" s="186">
        <f>SUMIFS('National model results detailed'!U$153:U$170,'National model results detailed'!$AW$153:$AW$170,$B90)/ SUMIFS('National model results detailed'!U$105:U$122,'National model results detailed'!$AU$105:$AU$122,$B90)*(1-'Control Assumptions'!$C$16)</f>
        <v>0.30727884635589936</v>
      </c>
      <c r="V90" s="186">
        <f>SUMIFS('National model results detailed'!V$153:V$170,'National model results detailed'!$AW$153:$AW$170,$B90)/ SUMIFS('National model results detailed'!V$105:V$122,'National model results detailed'!$AU$105:$AU$122,$B90)*(1-'Control Assumptions'!$C$16)</f>
        <v>0.30757854832594289</v>
      </c>
      <c r="W90" s="186">
        <f>SUMIFS('National model results detailed'!W$153:W$170,'National model results detailed'!$AW$153:$AW$170,$B90)/ SUMIFS('National model results detailed'!W$105:W$122,'National model results detailed'!$AU$105:$AU$122,$B90)*(1-'Control Assumptions'!$C$16)</f>
        <v>0.30784721260944647</v>
      </c>
      <c r="X90" s="186">
        <f>SUMIFS('National model results detailed'!X$153:X$170,'National model results detailed'!$AW$153:$AW$170,$B90)/ SUMIFS('National model results detailed'!X$105:X$122,'National model results detailed'!$AU$105:$AU$122,$B90)*(1-'Control Assumptions'!$C$16)</f>
        <v>0.3079814606765362</v>
      </c>
      <c r="Y90" s="186">
        <f>SUMIFS('National model results detailed'!Y$153:Y$170,'National model results detailed'!$AW$153:$AW$170,$B90)/ SUMIFS('National model results detailed'!Y$105:Y$122,'National model results detailed'!$AU$105:$AU$122,$B90)*(1-'Control Assumptions'!$C$16)</f>
        <v>0.30812918497365316</v>
      </c>
      <c r="Z90" s="186">
        <f>SUMIFS('National model results detailed'!Z$153:Z$170,'National model results detailed'!$AW$153:$AW$170,$B90)/ SUMIFS('National model results detailed'!Z$105:Z$122,'National model results detailed'!$AU$105:$AU$122,$B90)*(1-'Control Assumptions'!$C$16)</f>
        <v>0.30831004799076434</v>
      </c>
      <c r="AA90" s="186">
        <f>SUMIFS('National model results detailed'!AA$153:AA$170,'National model results detailed'!$AW$153:$AW$170,$B90)/ SUMIFS('National model results detailed'!AA$105:AA$122,'National model results detailed'!$AU$105:$AU$122,$B90)*(1-'Control Assumptions'!$C$16)</f>
        <v>0.3085128849720431</v>
      </c>
      <c r="AB90" s="186">
        <f>SUMIFS('National model results detailed'!AB$153:AB$170,'National model results detailed'!$AW$153:$AW$170,$B90)/ SUMIFS('National model results detailed'!AB$105:AB$122,'National model results detailed'!$AU$105:$AU$122,$B90)*(1-'Control Assumptions'!$C$16)</f>
        <v>0.30868317514961779</v>
      </c>
      <c r="AC90" s="186">
        <f>SUMIFS('National model results detailed'!AC$153:AC$170,'National model results detailed'!$AW$153:$AW$170,$B90)/ SUMIFS('National model results detailed'!AC$105:AC$122,'National model results detailed'!$AU$105:$AU$122,$B90)*(1-'Control Assumptions'!$C$16)</f>
        <v>0.30884201022941665</v>
      </c>
      <c r="AD90" s="186">
        <f>SUMIFS('National model results detailed'!AD$153:AD$170,'National model results detailed'!$AW$153:$AW$170,$B90)/ SUMIFS('National model results detailed'!AD$105:AD$122,'National model results detailed'!$AU$105:$AU$122,$B90)*(1-'Control Assumptions'!$C$16)</f>
        <v>0.30900984788918923</v>
      </c>
      <c r="AE90" s="186">
        <f>SUMIFS('National model results detailed'!AE$153:AE$170,'National model results detailed'!$AW$153:$AW$170,$B90)/ SUMIFS('National model results detailed'!AE$105:AE$122,'National model results detailed'!$AU$105:$AU$122,$B90)*(1-'Control Assumptions'!$C$16)</f>
        <v>0.30919462443028628</v>
      </c>
      <c r="AF90" s="186">
        <f>SUMIFS('National model results detailed'!AF$153:AF$170,'National model results detailed'!$AW$153:$AW$170,$B90)/ SUMIFS('National model results detailed'!AF$105:AF$122,'National model results detailed'!$AU$105:$AU$122,$B90)*(1-'Control Assumptions'!$C$16)</f>
        <v>0.30940070803079373</v>
      </c>
      <c r="AG90" s="186">
        <f>SUMIFS('National model results detailed'!AG$153:AG$170,'National model results detailed'!$AW$153:$AW$170,$B90)/ SUMIFS('National model results detailed'!AG$105:AG$122,'National model results detailed'!$AU$105:$AU$122,$B90)*(1-'Control Assumptions'!$C$16)</f>
        <v>0.30962691809943715</v>
      </c>
      <c r="AH90" s="186">
        <f>SUMIFS('National model results detailed'!AH$153:AH$170,'National model results detailed'!$AW$153:$AW$170,$B90)/ SUMIFS('National model results detailed'!AH$105:AH$122,'National model results detailed'!$AU$105:$AU$122,$B90)*(1-'Control Assumptions'!$C$16)</f>
        <v>0.30987143188653898</v>
      </c>
      <c r="AI90" s="186">
        <f>SUMIFS('National model results detailed'!AI$153:AI$170,'National model results detailed'!$AW$153:$AW$170,$B90)/ SUMIFS('National model results detailed'!AI$105:AI$122,'National model results detailed'!$AU$105:$AU$122,$B90)*(1-'Control Assumptions'!$C$16)</f>
        <v>0.3101169193331384</v>
      </c>
      <c r="AJ90" s="186">
        <f>SUMIFS('National model results detailed'!AJ$153:AJ$170,'National model results detailed'!$AW$153:$AW$170,$B90)/ SUMIFS('National model results detailed'!AJ$105:AJ$122,'National model results detailed'!$AU$105:$AU$122,$B90)*(1-'Control Assumptions'!$C$16)</f>
        <v>0.31032305691509215</v>
      </c>
      <c r="AK90" s="186">
        <f>SUMIFS('National model results detailed'!AK$153:AK$170,'National model results detailed'!$AW$153:$AW$170,$B90)/ SUMIFS('National model results detailed'!AK$105:AK$122,'National model results detailed'!$AU$105:$AU$122,$B90)*(1-'Control Assumptions'!$C$16)</f>
        <v>0.31049936038672593</v>
      </c>
      <c r="AL90" s="186">
        <f>SUMIFS('National model results detailed'!AL$153:AL$170,'National model results detailed'!$AW$153:$AW$170,$B90)/ SUMIFS('National model results detailed'!AL$105:AL$122,'National model results detailed'!$AU$105:$AU$122,$B90)*(1-'Control Assumptions'!$C$16)</f>
        <v>0.31064217288622642</v>
      </c>
      <c r="AM90" s="186">
        <f>SUMIFS('National model results detailed'!AM$153:AM$170,'National model results detailed'!$AW$153:$AW$170,$B90)/ SUMIFS('National model results detailed'!AM$105:AM$122,'National model results detailed'!$AU$105:$AU$122,$B90)*(1-'Control Assumptions'!$C$16)</f>
        <v>0.31080443963406418</v>
      </c>
      <c r="AN90" s="186">
        <f>SUMIFS('National model results detailed'!AN$153:AN$170,'National model results detailed'!$AW$153:$AW$170,$B90)/ SUMIFS('National model results detailed'!AN$105:AN$122,'National model results detailed'!$AU$105:$AU$122,$B90)*(1-'Control Assumptions'!$C$16)</f>
        <v>0.31100801429455993</v>
      </c>
      <c r="AO90" s="186">
        <f>SUMIFS('National model results detailed'!AO$153:AO$170,'National model results detailed'!$AW$153:$AW$170,$B90)/ SUMIFS('National model results detailed'!AO$105:AO$122,'National model results detailed'!$AU$105:$AU$122,$B90)*(1-'Control Assumptions'!$C$16)</f>
        <v>0.31125567862532444</v>
      </c>
      <c r="AP90" s="186">
        <f>SUMIFS('National model results detailed'!AP$153:AP$170,'National model results detailed'!$AW$153:$AW$170,$B90)/ SUMIFS('National model results detailed'!AP$105:AP$122,'National model results detailed'!$AU$105:$AU$122,$B90)*(1-'Control Assumptions'!$C$16)</f>
        <v>0.3115155682102852</v>
      </c>
      <c r="AQ90" s="186">
        <f>SUMIFS('National model results detailed'!AQ$153:AQ$170,'National model results detailed'!$AW$153:$AW$170,$B90)/ SUMIFS('National model results detailed'!AQ$105:AQ$122,'National model results detailed'!$AU$105:$AU$122,$B90)*(1-'Control Assumptions'!$C$16)</f>
        <v>0.31177820032675124</v>
      </c>
      <c r="AR90" s="186">
        <f>SUMIFS('National model results detailed'!AR$153:AR$170,'National model results detailed'!$AW$153:$AW$170,$B90)/ SUMIFS('National model results detailed'!AR$105:AR$122,'National model results detailed'!$AU$105:$AU$122,$B90)*(1-'Control Assumptions'!$C$16)</f>
        <v>0.31204583123136093</v>
      </c>
      <c r="AS90" s="186">
        <f>SUMIFS('National model results detailed'!AS$153:AS$170,'National model results detailed'!$AW$153:$AW$170,$B90)/ SUMIFS('National model results detailed'!AS$105:AS$122,'National model results detailed'!$AU$105:$AU$122,$B90)*(1-'Control Assumptions'!$C$16)</f>
        <v>0.31227118623418082</v>
      </c>
    </row>
    <row r="91" spans="1:55" s="73" customFormat="1">
      <c r="A91" s="802"/>
      <c r="B91" s="26" t="s">
        <v>3714</v>
      </c>
      <c r="C91" s="186">
        <f>SUMIFS('National model results detailed'!C$153:C$170,'National model results detailed'!$AW$153:$AW$170,$B91)/ SUMIFS('National model results detailed'!C$105:C$122,'National model results detailed'!$AU$105:$AU$122,$B91)*(1-'Control Assumptions'!$C$16)</f>
        <v>0</v>
      </c>
      <c r="D91" s="186">
        <f>SUMIFS('National model results detailed'!D$153:D$170,'National model results detailed'!$AW$153:$AW$170,$B91)/ SUMIFS('National model results detailed'!D$105:D$122,'National model results detailed'!$AU$105:$AU$122,$B91)*(1-'Control Assumptions'!$C$16)</f>
        <v>0</v>
      </c>
      <c r="E91" s="186">
        <f>SUMIFS('National model results detailed'!E$153:E$170,'National model results detailed'!$AW$153:$AW$170,$B91)/ SUMIFS('National model results detailed'!E$105:E$122,'National model results detailed'!$AU$105:$AU$122,$B91)*(1-'Control Assumptions'!$C$16)</f>
        <v>0</v>
      </c>
      <c r="F91" s="186">
        <f>SUMIFS('National model results detailed'!F$153:F$170,'National model results detailed'!$AW$153:$AW$170,$B91)/ SUMIFS('National model results detailed'!F$105:F$122,'National model results detailed'!$AU$105:$AU$122,$B91)*(1-'Control Assumptions'!$C$16)</f>
        <v>0</v>
      </c>
      <c r="G91" s="186">
        <f>SUMIFS('National model results detailed'!G$153:G$170,'National model results detailed'!$AW$153:$AW$170,$B91)/ SUMIFS('National model results detailed'!G$105:G$122,'National model results detailed'!$AU$105:$AU$122,$B91)*(1-'Control Assumptions'!$C$16)</f>
        <v>0.21291829636474513</v>
      </c>
      <c r="H91" s="186">
        <f>SUMIFS('National model results detailed'!H$153:H$170,'National model results detailed'!$AW$153:$AW$170,$B91)/ SUMIFS('National model results detailed'!H$105:H$122,'National model results detailed'!$AU$105:$AU$122,$B91)*(1-'Control Assumptions'!$C$16)</f>
        <v>0.25121602489941836</v>
      </c>
      <c r="I91" s="186">
        <f>SUMIFS('National model results detailed'!I$153:I$170,'National model results detailed'!$AW$153:$AW$170,$B91)/ SUMIFS('National model results detailed'!I$105:I$122,'National model results detailed'!$AU$105:$AU$122,$B91)*(1-'Control Assumptions'!$C$16)</f>
        <v>0.27340685106446222</v>
      </c>
      <c r="J91" s="186">
        <f>SUMIFS('National model results detailed'!J$153:J$170,'National model results detailed'!$AW$153:$AW$170,$B91)/ SUMIFS('National model results detailed'!J$105:J$122,'National model results detailed'!$AU$105:$AU$122,$B91)*(1-'Control Assumptions'!$C$16)</f>
        <v>0.28566212764457866</v>
      </c>
      <c r="K91" s="186">
        <f>SUMIFS('National model results detailed'!K$153:K$170,'National model results detailed'!$AW$153:$AW$170,$B91)/ SUMIFS('National model results detailed'!K$105:K$122,'National model results detailed'!$AU$105:$AU$122,$B91)*(1-'Control Assumptions'!$C$16)</f>
        <v>0.29186175644411133</v>
      </c>
      <c r="L91" s="186">
        <f>SUMIFS('National model results detailed'!L$153:L$170,'National model results detailed'!$AW$153:$AW$170,$B91)/ SUMIFS('National model results detailed'!L$105:L$122,'National model results detailed'!$AU$105:$AU$122,$B91)*(1-'Control Assumptions'!$C$16)</f>
        <v>0.29435285196866784</v>
      </c>
      <c r="M91" s="186">
        <f>SUMIFS('National model results detailed'!M$153:M$170,'National model results detailed'!$AW$153:$AW$170,$B91)/ SUMIFS('National model results detailed'!M$105:M$122,'National model results detailed'!$AU$105:$AU$122,$B91)*(1-'Control Assumptions'!$C$16)</f>
        <v>0.29454774919044302</v>
      </c>
      <c r="N91" s="186">
        <f>SUMIFS('National model results detailed'!N$153:N$170,'National model results detailed'!$AW$153:$AW$170,$B91)/ SUMIFS('National model results detailed'!N$105:N$122,'National model results detailed'!$AU$105:$AU$122,$B91)*(1-'Control Assumptions'!$C$16)</f>
        <v>0.2931864935783372</v>
      </c>
      <c r="O91" s="186">
        <f>SUMIFS('National model results detailed'!O$153:O$170,'National model results detailed'!$AW$153:$AW$170,$B91)/ SUMIFS('National model results detailed'!O$105:O$122,'National model results detailed'!$AU$105:$AU$122,$B91)*(1-'Control Assumptions'!$C$16)</f>
        <v>0.29099045009363744</v>
      </c>
      <c r="P91" s="186">
        <f>SUMIFS('National model results detailed'!P$153:P$170,'National model results detailed'!$AW$153:$AW$170,$B91)/ SUMIFS('National model results detailed'!P$105:P$122,'National model results detailed'!$AU$105:$AU$122,$B91)*(1-'Control Assumptions'!$C$16)</f>
        <v>0.28837807069022858</v>
      </c>
      <c r="Q91" s="186">
        <f>SUMIFS('National model results detailed'!Q$153:Q$170,'National model results detailed'!$AW$153:$AW$170,$B91)/ SUMIFS('National model results detailed'!Q$105:Q$122,'National model results detailed'!$AU$105:$AU$122,$B91)*(1-'Control Assumptions'!$C$16)</f>
        <v>0.28558128126763677</v>
      </c>
      <c r="R91" s="186">
        <f>SUMIFS('National model results detailed'!R$153:R$170,'National model results detailed'!$AW$153:$AW$170,$B91)/ SUMIFS('National model results detailed'!R$105:R$122,'National model results detailed'!$AU$105:$AU$122,$B91)*(1-'Control Assumptions'!$C$16)</f>
        <v>0.28365953184925913</v>
      </c>
      <c r="S91" s="186">
        <f>SUMIFS('National model results detailed'!S$153:S$170,'National model results detailed'!$AW$153:$AW$170,$B91)/ SUMIFS('National model results detailed'!S$105:S$122,'National model results detailed'!$AU$105:$AU$122,$B91)*(1-'Control Assumptions'!$C$16)</f>
        <v>0.28153131535017434</v>
      </c>
      <c r="T91" s="186">
        <f>SUMIFS('National model results detailed'!T$153:T$170,'National model results detailed'!$AW$153:$AW$170,$B91)/ SUMIFS('National model results detailed'!T$105:T$122,'National model results detailed'!$AU$105:$AU$122,$B91)*(1-'Control Assumptions'!$C$16)</f>
        <v>0.27926090291029915</v>
      </c>
      <c r="U91" s="186">
        <f>SUMIFS('National model results detailed'!U$153:U$170,'National model results detailed'!$AW$153:$AW$170,$B91)/ SUMIFS('National model results detailed'!U$105:U$122,'National model results detailed'!$AU$105:$AU$122,$B91)*(1-'Control Assumptions'!$C$16)</f>
        <v>0.27696183152677284</v>
      </c>
      <c r="V91" s="186">
        <f>SUMIFS('National model results detailed'!V$153:V$170,'National model results detailed'!$AW$153:$AW$170,$B91)/ SUMIFS('National model results detailed'!V$105:V$122,'National model results detailed'!$AU$105:$AU$122,$B91)*(1-'Control Assumptions'!$C$16)</f>
        <v>0.27466499425554353</v>
      </c>
      <c r="W91" s="186">
        <f>SUMIFS('National model results detailed'!W$153:W$170,'National model results detailed'!$AW$153:$AW$170,$B91)/ SUMIFS('National model results detailed'!W$105:W$122,'National model results detailed'!$AU$105:$AU$122,$B91)*(1-'Control Assumptions'!$C$16)</f>
        <v>0.2723714031909521</v>
      </c>
      <c r="X91" s="186">
        <f>SUMIFS('National model results detailed'!X$153:X$170,'National model results detailed'!$AW$153:$AW$170,$B91)/ SUMIFS('National model results detailed'!X$105:X$122,'National model results detailed'!$AU$105:$AU$122,$B91)*(1-'Control Assumptions'!$C$16)</f>
        <v>0.27003260792691486</v>
      </c>
      <c r="Y91" s="186">
        <f>SUMIFS('National model results detailed'!Y$153:Y$170,'National model results detailed'!$AW$153:$AW$170,$B91)/ SUMIFS('National model results detailed'!Y$105:Y$122,'National model results detailed'!$AU$105:$AU$122,$B91)*(1-'Control Assumptions'!$C$16)</f>
        <v>0.2677466514181927</v>
      </c>
      <c r="Z91" s="186">
        <f>SUMIFS('National model results detailed'!Z$153:Z$170,'National model results detailed'!$AW$153:$AW$170,$B91)/ SUMIFS('National model results detailed'!Z$105:Z$122,'National model results detailed'!$AU$105:$AU$122,$B91)*(1-'Control Assumptions'!$C$16)</f>
        <v>0.26551894524261649</v>
      </c>
      <c r="AA91" s="186">
        <f>SUMIFS('National model results detailed'!AA$153:AA$170,'National model results detailed'!$AW$153:$AW$170,$B91)/ SUMIFS('National model results detailed'!AA$105:AA$122,'National model results detailed'!$AU$105:$AU$122,$B91)*(1-'Control Assumptions'!$C$16)</f>
        <v>0.2633352909642121</v>
      </c>
      <c r="AB91" s="186">
        <f>SUMIFS('National model results detailed'!AB$153:AB$170,'National model results detailed'!$AW$153:$AW$170,$B91)/ SUMIFS('National model results detailed'!AB$105:AB$122,'National model results detailed'!$AU$105:$AU$122,$B91)*(1-'Control Assumptions'!$C$16)</f>
        <v>0.2611621838866196</v>
      </c>
      <c r="AC91" s="186">
        <f>SUMIFS('National model results detailed'!AC$153:AC$170,'National model results detailed'!$AW$153:$AW$170,$B91)/ SUMIFS('National model results detailed'!AC$105:AC$122,'National model results detailed'!$AU$105:$AU$122,$B91)*(1-'Control Assumptions'!$C$16)</f>
        <v>0.25900391814433038</v>
      </c>
      <c r="AD91" s="186">
        <f>SUMIFS('National model results detailed'!AD$153:AD$170,'National model results detailed'!$AW$153:$AW$170,$B91)/ SUMIFS('National model results detailed'!AD$105:AD$122,'National model results detailed'!$AU$105:$AU$122,$B91)*(1-'Control Assumptions'!$C$16)</f>
        <v>0.25686587926965543</v>
      </c>
      <c r="AE91" s="186">
        <f>SUMIFS('National model results detailed'!AE$153:AE$170,'National model results detailed'!$AW$153:$AW$170,$B91)/ SUMIFS('National model results detailed'!AE$105:AE$122,'National model results detailed'!$AU$105:$AU$122,$B91)*(1-'Control Assumptions'!$C$16)</f>
        <v>0.25474778209971111</v>
      </c>
      <c r="AF91" s="186">
        <f>SUMIFS('National model results detailed'!AF$153:AF$170,'National model results detailed'!$AW$153:$AW$170,$B91)/ SUMIFS('National model results detailed'!AF$105:AF$122,'National model results detailed'!$AU$105:$AU$122,$B91)*(1-'Control Assumptions'!$C$16)</f>
        <v>0.25265525536719668</v>
      </c>
      <c r="AG91" s="186">
        <f>SUMIFS('National model results detailed'!AG$153:AG$170,'National model results detailed'!$AW$153:$AW$170,$B91)/ SUMIFS('National model results detailed'!AG$105:AG$122,'National model results detailed'!$AU$105:$AU$122,$B91)*(1-'Control Assumptions'!$C$16)</f>
        <v>0.2506042288521641</v>
      </c>
      <c r="AH91" s="186">
        <f>SUMIFS('National model results detailed'!AH$153:AH$170,'National model results detailed'!$AW$153:$AW$170,$B91)/ SUMIFS('National model results detailed'!AH$105:AH$122,'National model results detailed'!$AU$105:$AU$122,$B91)*(1-'Control Assumptions'!$C$16)</f>
        <v>0.24859395697412487</v>
      </c>
      <c r="AI91" s="186">
        <f>SUMIFS('National model results detailed'!AI$153:AI$170,'National model results detailed'!$AW$153:$AW$170,$B91)/ SUMIFS('National model results detailed'!AI$105:AI$122,'National model results detailed'!$AU$105:$AU$122,$B91)*(1-'Control Assumptions'!$C$16)</f>
        <v>0.24662120108568669</v>
      </c>
      <c r="AJ91" s="186">
        <f>SUMIFS('National model results detailed'!AJ$153:AJ$170,'National model results detailed'!$AW$153:$AW$170,$B91)/ SUMIFS('National model results detailed'!AJ$105:AJ$122,'National model results detailed'!$AU$105:$AU$122,$B91)*(1-'Control Assumptions'!$C$16)</f>
        <v>0.24464648033575348</v>
      </c>
      <c r="AK91" s="186">
        <f>SUMIFS('National model results detailed'!AK$153:AK$170,'National model results detailed'!$AW$153:$AW$170,$B91)/ SUMIFS('National model results detailed'!AK$105:AK$122,'National model results detailed'!$AU$105:$AU$122,$B91)*(1-'Control Assumptions'!$C$16)</f>
        <v>0.24265936580171998</v>
      </c>
      <c r="AL91" s="186">
        <f>SUMIFS('National model results detailed'!AL$153:AL$170,'National model results detailed'!$AW$153:$AW$170,$B91)/ SUMIFS('National model results detailed'!AL$105:AL$122,'National model results detailed'!$AU$105:$AU$122,$B91)*(1-'Control Assumptions'!$C$16)</f>
        <v>0.24064884838395215</v>
      </c>
      <c r="AM91" s="186">
        <f>SUMIFS('National model results detailed'!AM$153:AM$170,'National model results detailed'!$AW$153:$AW$170,$B91)/ SUMIFS('National model results detailed'!AM$105:AM$122,'National model results detailed'!$AU$105:$AU$122,$B91)*(1-'Control Assumptions'!$C$16)</f>
        <v>0.23864564245996733</v>
      </c>
      <c r="AN91" s="186">
        <f>SUMIFS('National model results detailed'!AN$153:AN$170,'National model results detailed'!$AW$153:$AW$170,$B91)/ SUMIFS('National model results detailed'!AN$105:AN$122,'National model results detailed'!$AU$105:$AU$122,$B91)*(1-'Control Assumptions'!$C$16)</f>
        <v>0.23666075745298243</v>
      </c>
      <c r="AO91" s="186">
        <f>SUMIFS('National model results detailed'!AO$153:AO$170,'National model results detailed'!$AW$153:$AW$170,$B91)/ SUMIFS('National model results detailed'!AO$105:AO$122,'National model results detailed'!$AU$105:$AU$122,$B91)*(1-'Control Assumptions'!$C$16)</f>
        <v>0.2346925130391698</v>
      </c>
      <c r="AP91" s="186">
        <f>SUMIFS('National model results detailed'!AP$153:AP$170,'National model results detailed'!$AW$153:$AW$170,$B91)/ SUMIFS('National model results detailed'!AP$105:AP$122,'National model results detailed'!$AU$105:$AU$122,$B91)*(1-'Control Assumptions'!$C$16)</f>
        <v>0.23274734278894607</v>
      </c>
      <c r="AQ91" s="186">
        <f>SUMIFS('National model results detailed'!AQ$153:AQ$170,'National model results detailed'!$AW$153:$AW$170,$B91)/ SUMIFS('National model results detailed'!AQ$105:AQ$122,'National model results detailed'!$AU$105:$AU$122,$B91)*(1-'Control Assumptions'!$C$16)</f>
        <v>0.23084321435075184</v>
      </c>
      <c r="AR91" s="186">
        <f>SUMIFS('National model results detailed'!AR$153:AR$170,'National model results detailed'!$AW$153:$AW$170,$B91)/ SUMIFS('National model results detailed'!AR$105:AR$122,'National model results detailed'!$AU$105:$AU$122,$B91)*(1-'Control Assumptions'!$C$16)</f>
        <v>0.2289976817781614</v>
      </c>
      <c r="AS91" s="186">
        <f>SUMIFS('National model results detailed'!AS$153:AS$170,'National model results detailed'!$AW$153:$AW$170,$B91)/ SUMIFS('National model results detailed'!AS$105:AS$122,'National model results detailed'!$AU$105:$AU$122,$B91)*(1-'Control Assumptions'!$C$16)</f>
        <v>0.22706806875558558</v>
      </c>
      <c r="AT91"/>
      <c r="AU91"/>
    </row>
    <row r="92" spans="1:55" s="73" customFormat="1">
      <c r="A92" s="802"/>
      <c r="B92" s="26" t="s">
        <v>102</v>
      </c>
      <c r="C92" s="186">
        <f>SUMIFS('National model results detailed'!C$153:C$170,'National model results detailed'!$AW$153:$AW$170,$B92)/ SUMIFS('National model results detailed'!C$105:C$122,'National model results detailed'!$AU$105:$AU$122,$B92)*(1-'Control Assumptions'!$C$16)</f>
        <v>0</v>
      </c>
      <c r="D92" s="186">
        <f>SUMIFS('National model results detailed'!D$153:D$170,'National model results detailed'!$AW$153:$AW$170,$B92)/ SUMIFS('National model results detailed'!D$105:D$122,'National model results detailed'!$AU$105:$AU$122,$B92)*(1-'Control Assumptions'!$C$16)</f>
        <v>0</v>
      </c>
      <c r="E92" s="186">
        <f>SUMIFS('National model results detailed'!E$153:E$170,'National model results detailed'!$AW$153:$AW$170,$B92)/ SUMIFS('National model results detailed'!E$105:E$122,'National model results detailed'!$AU$105:$AU$122,$B92)*(1-'Control Assumptions'!$C$16)</f>
        <v>0</v>
      </c>
      <c r="F92" s="186">
        <f>SUMIFS('National model results detailed'!F$153:F$170,'National model results detailed'!$AW$153:$AW$170,$B92)/ SUMIFS('National model results detailed'!F$105:F$122,'National model results detailed'!$AU$105:$AU$122,$B92)*(1-'Control Assumptions'!$C$16)</f>
        <v>0</v>
      </c>
      <c r="G92" s="186">
        <f>SUMIFS('National model results detailed'!G$153:G$170,'National model results detailed'!$AW$153:$AW$170,$B92)/ SUMIFS('National model results detailed'!G$105:G$122,'National model results detailed'!$AU$105:$AU$122,$B92)*(1-'Control Assumptions'!$C$16)</f>
        <v>-2.6174018975211775</v>
      </c>
      <c r="H92" s="186">
        <f>SUMIFS('National model results detailed'!H$153:H$170,'National model results detailed'!$AW$153:$AW$170,$B92)/ SUMIFS('National model results detailed'!H$105:H$122,'National model results detailed'!$AU$105:$AU$122,$B92)*(1-'Control Assumptions'!$C$16)</f>
        <v>-3.4328397707307241</v>
      </c>
      <c r="I92" s="186">
        <f>SUMIFS('National model results detailed'!I$153:I$170,'National model results detailed'!$AW$153:$AW$170,$B92)/ SUMIFS('National model results detailed'!I$105:I$122,'National model results detailed'!$AU$105:$AU$122,$B92)*(1-'Control Assumptions'!$C$16)</f>
        <v>-4.0413295961809199</v>
      </c>
      <c r="J92" s="186">
        <f>SUMIFS('National model results detailed'!J$153:J$170,'National model results detailed'!$AW$153:$AW$170,$B92)/ SUMIFS('National model results detailed'!J$105:J$122,'National model results detailed'!$AU$105:$AU$122,$B92)*(1-'Control Assumptions'!$C$16)</f>
        <v>-4.5130371245423078</v>
      </c>
      <c r="K92" s="186">
        <f>SUMIFS('National model results detailed'!K$153:K$170,'National model results detailed'!$AW$153:$AW$170,$B92)/ SUMIFS('National model results detailed'!K$105:K$122,'National model results detailed'!$AU$105:$AU$122,$B92)*(1-'Control Assumptions'!$C$16)</f>
        <v>-4.8895338700519613</v>
      </c>
      <c r="L92" s="186">
        <f>SUMIFS('National model results detailed'!L$153:L$170,'National model results detailed'!$AW$153:$AW$170,$B92)/ SUMIFS('National model results detailed'!L$105:L$122,'National model results detailed'!$AU$105:$AU$122,$B92)*(1-'Control Assumptions'!$C$16)</f>
        <v>-5.1984134223856344</v>
      </c>
      <c r="M92" s="186">
        <f>SUMIFS('National model results detailed'!M$153:M$170,'National model results detailed'!$AW$153:$AW$170,$B92)/ SUMIFS('National model results detailed'!M$105:M$122,'National model results detailed'!$AU$105:$AU$122,$B92)*(1-'Control Assumptions'!$C$16)</f>
        <v>-5.4577372044413623</v>
      </c>
      <c r="N92" s="186">
        <f>SUMIFS('National model results detailed'!N$153:N$170,'National model results detailed'!$AW$153:$AW$170,$B92)/ SUMIFS('National model results detailed'!N$105:N$122,'National model results detailed'!$AU$105:$AU$122,$B92)*(1-'Control Assumptions'!$C$16)</f>
        <v>-6.0094520022808107</v>
      </c>
      <c r="O92" s="186">
        <f>SUMIFS('National model results detailed'!O$153:O$170,'National model results detailed'!$AW$153:$AW$170,$B92)/ SUMIFS('National model results detailed'!O$105:O$122,'National model results detailed'!$AU$105:$AU$122,$B92)*(1-'Control Assumptions'!$C$16)</f>
        <v>-6.5533252516678679</v>
      </c>
      <c r="P92" s="186">
        <f>SUMIFS('National model results detailed'!P$153:P$170,'National model results detailed'!$AW$153:$AW$170,$B92)/ SUMIFS('National model results detailed'!P$105:P$122,'National model results detailed'!$AU$105:$AU$122,$B92)*(1-'Control Assumptions'!$C$16)</f>
        <v>-7.0894077394853339</v>
      </c>
      <c r="Q92" s="186">
        <f>SUMIFS('National model results detailed'!Q$153:Q$170,'National model results detailed'!$AW$153:$AW$170,$B92)/ SUMIFS('National model results detailed'!Q$105:Q$122,'National model results detailed'!$AU$105:$AU$122,$B92)*(1-'Control Assumptions'!$C$16)</f>
        <v>-7.6175113069665885</v>
      </c>
      <c r="R92" s="186">
        <f>SUMIFS('National model results detailed'!R$153:R$170,'National model results detailed'!$AW$153:$AW$170,$B92)/ SUMIFS('National model results detailed'!R$105:R$122,'National model results detailed'!$AU$105:$AU$122,$B92)*(1-'Control Assumptions'!$C$16)</f>
        <v>-7.3356656342848403</v>
      </c>
      <c r="S92" s="186">
        <f>SUMIFS('National model results detailed'!S$153:S$170,'National model results detailed'!$AW$153:$AW$170,$B92)/ SUMIFS('National model results detailed'!S$105:S$122,'National model results detailed'!$AU$105:$AU$122,$B92)*(1-'Control Assumptions'!$C$16)</f>
        <v>-7.1591963257524132</v>
      </c>
      <c r="T92" s="186">
        <f>SUMIFS('National model results detailed'!T$153:T$170,'National model results detailed'!$AW$153:$AW$170,$B92)/ SUMIFS('National model results detailed'!T$105:T$122,'National model results detailed'!$AU$105:$AU$122,$B92)*(1-'Control Assumptions'!$C$16)</f>
        <v>-7.0490687805217478</v>
      </c>
      <c r="U92" s="186">
        <f>SUMIFS('National model results detailed'!U$153:U$170,'National model results detailed'!$AW$153:$AW$170,$B92)/ SUMIFS('National model results detailed'!U$105:U$122,'National model results detailed'!$AU$105:$AU$122,$B92)*(1-'Control Assumptions'!$C$16)</f>
        <v>-6.9798258664265536</v>
      </c>
      <c r="V92" s="186">
        <f>SUMIFS('National model results detailed'!V$153:V$170,'National model results detailed'!$AW$153:$AW$170,$B92)/ SUMIFS('National model results detailed'!V$105:V$122,'National model results detailed'!$AU$105:$AU$122,$B92)*(1-'Control Assumptions'!$C$16)</f>
        <v>-6.936274208984968</v>
      </c>
      <c r="W92" s="186">
        <f>SUMIFS('National model results detailed'!W$153:W$170,'National model results detailed'!$AW$153:$AW$170,$B92)/ SUMIFS('National model results detailed'!W$105:W$122,'National model results detailed'!$AU$105:$AU$122,$B92)*(1-'Control Assumptions'!$C$16)</f>
        <v>-6.9089105038871192</v>
      </c>
      <c r="X92" s="186">
        <f>SUMIFS('National model results detailed'!X$153:X$170,'National model results detailed'!$AW$153:$AW$170,$B92)/ SUMIFS('National model results detailed'!X$105:X$122,'National model results detailed'!$AU$105:$AU$122,$B92)*(1-'Control Assumptions'!$C$16)</f>
        <v>-6.892052840875083</v>
      </c>
      <c r="Y92" s="186">
        <f>SUMIFS('National model results detailed'!Y$153:Y$170,'National model results detailed'!$AW$153:$AW$170,$B92)/ SUMIFS('National model results detailed'!Y$105:Y$122,'National model results detailed'!$AU$105:$AU$122,$B92)*(1-'Control Assumptions'!$C$16)</f>
        <v>-6.8808860060553734</v>
      </c>
      <c r="Z92" s="186">
        <f>SUMIFS('National model results detailed'!Z$153:Z$170,'National model results detailed'!$AW$153:$AW$170,$B92)/ SUMIFS('National model results detailed'!Z$105:Z$122,'National model results detailed'!$AU$105:$AU$122,$B92)*(1-'Control Assumptions'!$C$16)</f>
        <v>-6.873138215901327</v>
      </c>
      <c r="AA92" s="186">
        <f>SUMIFS('National model results detailed'!AA$153:AA$170,'National model results detailed'!$AW$153:$AW$170,$B92)/ SUMIFS('National model results detailed'!AA$105:AA$122,'National model results detailed'!$AU$105:$AU$122,$B92)*(1-'Control Assumptions'!$C$16)</f>
        <v>-6.8676493006874955</v>
      </c>
      <c r="AB92" s="186">
        <f>SUMIFS('National model results detailed'!AB$153:AB$170,'National model results detailed'!$AW$153:$AW$170,$B92)/ SUMIFS('National model results detailed'!AB$105:AB$122,'National model results detailed'!$AU$105:$AU$122,$B92)*(1-'Control Assumptions'!$C$16)</f>
        <v>-6.8638858762876236</v>
      </c>
      <c r="AC92" s="186">
        <f>SUMIFS('National model results detailed'!AC$153:AC$170,'National model results detailed'!$AW$153:$AW$170,$B92)/ SUMIFS('National model results detailed'!AC$105:AC$122,'National model results detailed'!$AU$105:$AU$122,$B92)*(1-'Control Assumptions'!$C$16)</f>
        <v>-6.8614570579465761</v>
      </c>
      <c r="AD92" s="186">
        <f>SUMIFS('National model results detailed'!AD$153:AD$170,'National model results detailed'!$AW$153:$AW$170,$B92)/ SUMIFS('National model results detailed'!AD$105:AD$122,'National model results detailed'!$AU$105:$AU$122,$B92)*(1-'Control Assumptions'!$C$16)</f>
        <v>-6.8600066328650025</v>
      </c>
      <c r="AE92" s="186">
        <f>SUMIFS('National model results detailed'!AE$153:AE$170,'National model results detailed'!$AW$153:$AW$170,$B92)/ SUMIFS('National model results detailed'!AE$105:AE$122,'National model results detailed'!$AU$105:$AU$122,$B92)*(1-'Control Assumptions'!$C$16)</f>
        <v>-6.8592025416725031</v>
      </c>
      <c r="AF92" s="186">
        <f>SUMIFS('National model results detailed'!AF$153:AF$170,'National model results detailed'!$AW$153:$AW$170,$B92)/ SUMIFS('National model results detailed'!AF$105:AF$122,'National model results detailed'!$AU$105:$AU$122,$B92)*(1-'Control Assumptions'!$C$16)</f>
        <v>-6.8586373834177996</v>
      </c>
      <c r="AG92" s="186">
        <f>SUMIFS('National model results detailed'!AG$153:AG$170,'National model results detailed'!$AW$153:$AW$170,$B92)/ SUMIFS('National model results detailed'!AG$105:AG$122,'National model results detailed'!$AU$105:$AU$122,$B92)*(1-'Control Assumptions'!$C$16)</f>
        <v>-6.8579371746053619</v>
      </c>
      <c r="AH92" s="186">
        <f>SUMIFS('National model results detailed'!AH$153:AH$170,'National model results detailed'!$AW$153:$AW$170,$B92)/ SUMIFS('National model results detailed'!AH$105:AH$122,'National model results detailed'!$AU$105:$AU$122,$B92)*(1-'Control Assumptions'!$C$16)</f>
        <v>-6.8570199071407165</v>
      </c>
      <c r="AI92" s="186">
        <f>SUMIFS('National model results detailed'!AI$153:AI$170,'National model results detailed'!$AW$153:$AW$170,$B92)/ SUMIFS('National model results detailed'!AI$105:AI$122,'National model results detailed'!$AU$105:$AU$122,$B92)*(1-'Control Assumptions'!$C$16)</f>
        <v>-6.8556359795568147</v>
      </c>
      <c r="AJ92" s="186">
        <f>SUMIFS('National model results detailed'!AJ$153:AJ$170,'National model results detailed'!$AW$153:$AW$170,$B92)/ SUMIFS('National model results detailed'!AJ$105:AJ$122,'National model results detailed'!$AU$105:$AU$122,$B92)*(1-'Control Assumptions'!$C$16)</f>
        <v>-6.8542219848448305</v>
      </c>
      <c r="AK92" s="186">
        <f>SUMIFS('National model results detailed'!AK$153:AK$170,'National model results detailed'!$AW$153:$AW$170,$B92)/ SUMIFS('National model results detailed'!AK$105:AK$122,'National model results detailed'!$AU$105:$AU$122,$B92)*(1-'Control Assumptions'!$C$16)</f>
        <v>-6.8530478811208235</v>
      </c>
      <c r="AL92" s="186">
        <f>SUMIFS('National model results detailed'!AL$153:AL$170,'National model results detailed'!$AW$153:$AW$170,$B92)/ SUMIFS('National model results detailed'!AL$105:AL$122,'National model results detailed'!$AU$105:$AU$122,$B92)*(1-'Control Assumptions'!$C$16)</f>
        <v>-6.8523063497828707</v>
      </c>
      <c r="AM92" s="186">
        <f>SUMIFS('National model results detailed'!AM$153:AM$170,'National model results detailed'!$AW$153:$AW$170,$B92)/ SUMIFS('National model results detailed'!AM$105:AM$122,'National model results detailed'!$AU$105:$AU$122,$B92)*(1-'Control Assumptions'!$C$16)</f>
        <v>-6.8516979523814241</v>
      </c>
      <c r="AN92" s="186">
        <f>SUMIFS('National model results detailed'!AN$153:AN$170,'National model results detailed'!$AW$153:$AW$170,$B92)/ SUMIFS('National model results detailed'!AN$105:AN$122,'National model results detailed'!$AU$105:$AU$122,$B92)*(1-'Control Assumptions'!$C$16)</f>
        <v>-6.8510582664859099</v>
      </c>
      <c r="AO92" s="186">
        <f>SUMIFS('National model results detailed'!AO$153:AO$170,'National model results detailed'!$AW$153:$AW$170,$B92)/ SUMIFS('National model results detailed'!AO$105:AO$122,'National model results detailed'!$AU$105:$AU$122,$B92)*(1-'Control Assumptions'!$C$16)</f>
        <v>-6.8503427676858308</v>
      </c>
      <c r="AP92" s="186">
        <f>SUMIFS('National model results detailed'!AP$153:AP$170,'National model results detailed'!$AW$153:$AW$170,$B92)/ SUMIFS('National model results detailed'!AP$105:AP$122,'National model results detailed'!$AU$105:$AU$122,$B92)*(1-'Control Assumptions'!$C$16)</f>
        <v>-6.8493042086068856</v>
      </c>
      <c r="AQ92" s="186">
        <f>SUMIFS('National model results detailed'!AQ$153:AQ$170,'National model results detailed'!$AW$153:$AW$170,$B92)/ SUMIFS('National model results detailed'!AQ$105:AQ$122,'National model results detailed'!$AU$105:$AU$122,$B92)*(1-'Control Assumptions'!$C$16)</f>
        <v>-6.8476856202853185</v>
      </c>
      <c r="AR92" s="186">
        <f>SUMIFS('National model results detailed'!AR$153:AR$170,'National model results detailed'!$AW$153:$AW$170,$B92)/ SUMIFS('National model results detailed'!AR$105:AR$122,'National model results detailed'!$AU$105:$AU$122,$B92)*(1-'Control Assumptions'!$C$16)</f>
        <v>-6.8452903774153455</v>
      </c>
      <c r="AS92" s="186">
        <f>SUMIFS('National model results detailed'!AS$153:AS$170,'National model results detailed'!$AW$153:$AW$170,$B92)/ SUMIFS('National model results detailed'!AS$105:AS$122,'National model results detailed'!$AU$105:$AU$122,$B92)*(1-'Control Assumptions'!$C$16)</f>
        <v>-6.8439793908242113</v>
      </c>
      <c r="AT92"/>
      <c r="AU92"/>
    </row>
    <row r="93" spans="1:55" s="73" customFormat="1">
      <c r="A93" s="802"/>
      <c r="B93" s="26" t="s">
        <v>2831</v>
      </c>
      <c r="C93" s="186">
        <f>SUMIFS('National model results detailed'!C$153:C$170,'National model results detailed'!$AW$153:$AW$170,$B93)/ SUMIFS('National model results detailed'!C$105:C$122,'National model results detailed'!$AU$105:$AU$122,$B93)*(1-'Control Assumptions'!$C$16)</f>
        <v>0</v>
      </c>
      <c r="D93" s="186">
        <f>SUMIFS('National model results detailed'!D$153:D$170,'National model results detailed'!$AW$153:$AW$170,$B93)/ SUMIFS('National model results detailed'!D$105:D$122,'National model results detailed'!$AU$105:$AU$122,$B93)*(1-'Control Assumptions'!$C$16)</f>
        <v>0</v>
      </c>
      <c r="E93" s="186">
        <f>SUMIFS('National model results detailed'!E$153:E$170,'National model results detailed'!$AW$153:$AW$170,$B93)/ SUMIFS('National model results detailed'!E$105:E$122,'National model results detailed'!$AU$105:$AU$122,$B93)*(1-'Control Assumptions'!$C$16)</f>
        <v>0</v>
      </c>
      <c r="F93" s="186">
        <f>SUMIFS('National model results detailed'!F$153:F$170,'National model results detailed'!$AW$153:$AW$170,$B93)/ SUMIFS('National model results detailed'!F$105:F$122,'National model results detailed'!$AU$105:$AU$122,$B93)*(1-'Control Assumptions'!$C$16)</f>
        <v>0</v>
      </c>
      <c r="G93" s="186">
        <f>SUMIFS('National model results detailed'!G$153:G$170,'National model results detailed'!$AW$153:$AW$170,$B93)/ SUMIFS('National model results detailed'!G$105:G$122,'National model results detailed'!$AU$105:$AU$122,$B93)*(1-'Control Assumptions'!$C$16)</f>
        <v>1.5779543835528229E-3</v>
      </c>
      <c r="H93" s="186">
        <f>SUMIFS('National model results detailed'!H$153:H$170,'National model results detailed'!$AW$153:$AW$170,$B93)/ SUMIFS('National model results detailed'!H$105:H$122,'National model results detailed'!$AU$105:$AU$122,$B93)*(1-'Control Assumptions'!$C$16)</f>
        <v>5.2608416446249411E-2</v>
      </c>
      <c r="I93" s="186">
        <f>SUMIFS('National model results detailed'!I$153:I$170,'National model results detailed'!$AW$153:$AW$170,$B93)/ SUMIFS('National model results detailed'!I$105:I$122,'National model results detailed'!$AU$105:$AU$122,$B93)*(1-'Control Assumptions'!$C$16)</f>
        <v>7.9297975313772362E-2</v>
      </c>
      <c r="J93" s="186">
        <f>SUMIFS('National model results detailed'!J$153:J$170,'National model results detailed'!$AW$153:$AW$170,$B93)/ SUMIFS('National model results detailed'!J$105:J$122,'National model results detailed'!$AU$105:$AU$122,$B93)*(1-'Control Assumptions'!$C$16)</f>
        <v>9.1104480215614903E-2</v>
      </c>
      <c r="K93" s="186">
        <f>SUMIFS('National model results detailed'!K$153:K$170,'National model results detailed'!$AW$153:$AW$170,$B93)/ SUMIFS('National model results detailed'!K$105:K$122,'National model results detailed'!$AU$105:$AU$122,$B93)*(1-'Control Assumptions'!$C$16)</f>
        <v>9.394080543337828E-2</v>
      </c>
      <c r="L93" s="186">
        <f>SUMIFS('National model results detailed'!L$153:L$170,'National model results detailed'!$AW$153:$AW$170,$B93)/ SUMIFS('National model results detailed'!L$105:L$122,'National model results detailed'!$AU$105:$AU$122,$B93)*(1-'Control Assumptions'!$C$16)</f>
        <v>9.1402868105199861E-2</v>
      </c>
      <c r="M93" s="186">
        <f>SUMIFS('National model results detailed'!M$153:M$170,'National model results detailed'!$AW$153:$AW$170,$B93)/ SUMIFS('National model results detailed'!M$105:M$122,'National model results detailed'!$AU$105:$AU$122,$B93)*(1-'Control Assumptions'!$C$16)</f>
        <v>8.5624450888720408E-2</v>
      </c>
      <c r="N93" s="186">
        <f>SUMIFS('National model results detailed'!N$153:N$170,'National model results detailed'!$AW$153:$AW$170,$B93)/ SUMIFS('National model results detailed'!N$105:N$122,'National model results detailed'!$AU$105:$AU$122,$B93)*(1-'Control Assumptions'!$C$16)</f>
        <v>7.7954268580747429E-2</v>
      </c>
      <c r="O93" s="186">
        <f>SUMIFS('National model results detailed'!O$153:O$170,'National model results detailed'!$AW$153:$AW$170,$B93)/ SUMIFS('National model results detailed'!O$105:O$122,'National model results detailed'!$AU$105:$AU$122,$B93)*(1-'Control Assumptions'!$C$16)</f>
        <v>6.9199370046354791E-2</v>
      </c>
      <c r="P93" s="186">
        <f>SUMIFS('National model results detailed'!P$153:P$170,'National model results detailed'!$AW$153:$AW$170,$B93)/ SUMIFS('National model results detailed'!P$105:P$122,'National model results detailed'!$AU$105:$AU$122,$B93)*(1-'Control Assumptions'!$C$16)</f>
        <v>5.998892029759343E-2</v>
      </c>
      <c r="Q93" s="186">
        <f>SUMIFS('National model results detailed'!Q$153:Q$170,'National model results detailed'!$AW$153:$AW$170,$B93)/ SUMIFS('National model results detailed'!Q$105:Q$122,'National model results detailed'!$AU$105:$AU$122,$B93)*(1-'Control Assumptions'!$C$16)</f>
        <v>5.0669627443243263E-2</v>
      </c>
      <c r="R93" s="186">
        <f>SUMIFS('National model results detailed'!R$153:R$170,'National model results detailed'!$AW$153:$AW$170,$B93)/ SUMIFS('National model results detailed'!R$105:R$122,'National model results detailed'!$AU$105:$AU$122,$B93)*(1-'Control Assumptions'!$C$16)</f>
        <v>5.579841976877975E-2</v>
      </c>
      <c r="S93" s="186">
        <f>SUMIFS('National model results detailed'!S$153:S$170,'National model results detailed'!$AW$153:$AW$170,$B93)/ SUMIFS('National model results detailed'!S$105:S$122,'National model results detailed'!$AU$105:$AU$122,$B93)*(1-'Control Assumptions'!$C$16)</f>
        <v>5.879581180057486E-2</v>
      </c>
      <c r="T93" s="186">
        <f>SUMIFS('National model results detailed'!T$153:T$170,'National model results detailed'!$AW$153:$AW$170,$B93)/ SUMIFS('National model results detailed'!T$105:T$122,'National model results detailed'!$AU$105:$AU$122,$B93)*(1-'Control Assumptions'!$C$16)</f>
        <v>6.0412045249334502E-2</v>
      </c>
      <c r="U93" s="186">
        <f>SUMIFS('National model results detailed'!U$153:U$170,'National model results detailed'!$AW$153:$AW$170,$B93)/ SUMIFS('National model results detailed'!U$105:U$122,'National model results detailed'!$AU$105:$AU$122,$B93)*(1-'Control Assumptions'!$C$16)</f>
        <v>6.1237239873263807E-2</v>
      </c>
      <c r="V93" s="186">
        <f>SUMIFS('National model results detailed'!V$153:V$170,'National model results detailed'!$AW$153:$AW$170,$B93)/ SUMIFS('National model results detailed'!V$105:V$122,'National model results detailed'!$AU$105:$AU$122,$B93)*(1-'Control Assumptions'!$C$16)</f>
        <v>6.1590194707224641E-2</v>
      </c>
      <c r="W93" s="186">
        <f>SUMIFS('National model results detailed'!W$153:W$170,'National model results detailed'!$AW$153:$AW$170,$B93)/ SUMIFS('National model results detailed'!W$105:W$122,'National model results detailed'!$AU$105:$AU$122,$B93)*(1-'Control Assumptions'!$C$16)</f>
        <v>6.1635695301853449E-2</v>
      </c>
      <c r="X93" s="186">
        <f>SUMIFS('National model results detailed'!X$153:X$170,'National model results detailed'!$AW$153:$AW$170,$B93)/ SUMIFS('National model results detailed'!X$105:X$122,'National model results detailed'!$AU$105:$AU$122,$B93)*(1-'Control Assumptions'!$C$16)</f>
        <v>6.1390949575879192E-2</v>
      </c>
      <c r="Y93" s="186">
        <f>SUMIFS('National model results detailed'!Y$153:Y$170,'National model results detailed'!$AW$153:$AW$170,$B93)/ SUMIFS('National model results detailed'!Y$105:Y$122,'National model results detailed'!$AU$105:$AU$122,$B93)*(1-'Control Assumptions'!$C$16)</f>
        <v>6.1083245223994574E-2</v>
      </c>
      <c r="Z93" s="186">
        <f>SUMIFS('National model results detailed'!Z$153:Z$170,'National model results detailed'!$AW$153:$AW$170,$B93)/ SUMIFS('National model results detailed'!Z$105:Z$122,'National model results detailed'!$AU$105:$AU$122,$B93)*(1-'Control Assumptions'!$C$16)</f>
        <v>6.0756907926194682E-2</v>
      </c>
      <c r="AA93" s="186">
        <f>SUMIFS('National model results detailed'!AA$153:AA$170,'National model results detailed'!$AW$153:$AW$170,$B93)/ SUMIFS('National model results detailed'!AA$105:AA$122,'National model results detailed'!$AU$105:$AU$122,$B93)*(1-'Control Assumptions'!$C$16)</f>
        <v>6.0411304672066943E-2</v>
      </c>
      <c r="AB93" s="186">
        <f>SUMIFS('National model results detailed'!AB$153:AB$170,'National model results detailed'!$AW$153:$AW$170,$B93)/ SUMIFS('National model results detailed'!AB$105:AB$122,'National model results detailed'!$AU$105:$AU$122,$B93)*(1-'Control Assumptions'!$C$16)</f>
        <v>6.0007245908069884E-2</v>
      </c>
      <c r="AC93" s="186">
        <f>SUMIFS('National model results detailed'!AC$153:AC$170,'National model results detailed'!$AW$153:$AW$170,$B93)/ SUMIFS('National model results detailed'!AC$105:AC$122,'National model results detailed'!$AU$105:$AU$122,$B93)*(1-'Control Assumptions'!$C$16)</f>
        <v>5.9564541623346262E-2</v>
      </c>
      <c r="AD93" s="186">
        <f>SUMIFS('National model results detailed'!AD$153:AD$170,'National model results detailed'!$AW$153:$AW$170,$B93)/ SUMIFS('National model results detailed'!AD$105:AD$122,'National model results detailed'!$AU$105:$AU$122,$B93)*(1-'Control Assumptions'!$C$16)</f>
        <v>5.9101865524624542E-2</v>
      </c>
      <c r="AE93" s="186">
        <f>SUMIFS('National model results detailed'!AE$153:AE$170,'National model results detailed'!$AW$153:$AW$170,$B93)/ SUMIFS('National model results detailed'!AE$105:AE$122,'National model results detailed'!$AU$105:$AU$122,$B93)*(1-'Control Assumptions'!$C$16)</f>
        <v>5.8628595645621319E-2</v>
      </c>
      <c r="AF93" s="186">
        <f>SUMIFS('National model results detailed'!AF$153:AF$170,'National model results detailed'!$AW$153:$AW$170,$B93)/ SUMIFS('National model results detailed'!AF$105:AF$122,'National model results detailed'!$AU$105:$AU$122,$B93)*(1-'Control Assumptions'!$C$16)</f>
        <v>5.8165222778593047E-2</v>
      </c>
      <c r="AG93" s="186">
        <f>SUMIFS('National model results detailed'!AG$153:AG$170,'National model results detailed'!$AW$153:$AW$170,$B93)/ SUMIFS('National model results detailed'!AG$105:AG$122,'National model results detailed'!$AU$105:$AU$122,$B93)*(1-'Control Assumptions'!$C$16)</f>
        <v>5.7737298064321589E-2</v>
      </c>
      <c r="AH93" s="186">
        <f>SUMIFS('National model results detailed'!AH$153:AH$170,'National model results detailed'!$AW$153:$AW$170,$B93)/ SUMIFS('National model results detailed'!AH$105:AH$122,'National model results detailed'!$AU$105:$AU$122,$B93)*(1-'Control Assumptions'!$C$16)</f>
        <v>5.7344621841883221E-2</v>
      </c>
      <c r="AI93" s="186">
        <f>SUMIFS('National model results detailed'!AI$153:AI$170,'National model results detailed'!$AW$153:$AW$170,$B93)/ SUMIFS('National model results detailed'!AI$105:AI$122,'National model results detailed'!$AU$105:$AU$122,$B93)*(1-'Control Assumptions'!$C$16)</f>
        <v>5.6982668916648667E-2</v>
      </c>
      <c r="AJ93" s="186">
        <f>SUMIFS('National model results detailed'!AJ$153:AJ$170,'National model results detailed'!$AW$153:$AW$170,$B93)/ SUMIFS('National model results detailed'!AJ$105:AJ$122,'National model results detailed'!$AU$105:$AU$122,$B93)*(1-'Control Assumptions'!$C$16)</f>
        <v>5.6593188725202116E-2</v>
      </c>
      <c r="AK93" s="186">
        <f>SUMIFS('National model results detailed'!AK$153:AK$170,'National model results detailed'!$AW$153:$AW$170,$B93)/ SUMIFS('National model results detailed'!AK$105:AK$122,'National model results detailed'!$AU$105:$AU$122,$B93)*(1-'Control Assumptions'!$C$16)</f>
        <v>5.6165827368601901E-2</v>
      </c>
      <c r="AL93" s="186">
        <f>SUMIFS('National model results detailed'!AL$153:AL$170,'National model results detailed'!$AW$153:$AW$170,$B93)/ SUMIFS('National model results detailed'!AL$105:AL$122,'National model results detailed'!$AU$105:$AU$122,$B93)*(1-'Control Assumptions'!$C$16)</f>
        <v>5.5688013100918782E-2</v>
      </c>
      <c r="AM93" s="186">
        <f>SUMIFS('National model results detailed'!AM$153:AM$170,'National model results detailed'!$AW$153:$AW$170,$B93)/ SUMIFS('National model results detailed'!AM$105:AM$122,'National model results detailed'!$AU$105:$AU$122,$B93)*(1-'Control Assumptions'!$C$16)</f>
        <v>5.5212906153494681E-2</v>
      </c>
      <c r="AN93" s="186">
        <f>SUMIFS('National model results detailed'!AN$153:AN$170,'National model results detailed'!$AW$153:$AW$170,$B93)/ SUMIFS('National model results detailed'!AN$105:AN$122,'National model results detailed'!$AU$105:$AU$122,$B93)*(1-'Control Assumptions'!$C$16)</f>
        <v>5.4761503639863505E-2</v>
      </c>
      <c r="AO93" s="186">
        <f>SUMIFS('National model results detailed'!AO$153:AO$170,'National model results detailed'!$AW$153:$AW$170,$B93)/ SUMIFS('National model results detailed'!AO$105:AO$122,'National model results detailed'!$AU$105:$AU$122,$B93)*(1-'Control Assumptions'!$C$16)</f>
        <v>5.4334297631631535E-2</v>
      </c>
      <c r="AP93" s="186">
        <f>SUMIFS('National model results detailed'!AP$153:AP$170,'National model results detailed'!$AW$153:$AW$170,$B93)/ SUMIFS('National model results detailed'!AP$105:AP$122,'National model results detailed'!$AU$105:$AU$122,$B93)*(1-'Control Assumptions'!$C$16)</f>
        <v>5.3933449795047286E-2</v>
      </c>
      <c r="AQ93" s="186">
        <f>SUMIFS('National model results detailed'!AQ$153:AQ$170,'National model results detailed'!$AW$153:$AW$170,$B93)/ SUMIFS('National model results detailed'!AQ$105:AQ$122,'National model results detailed'!$AU$105:$AU$122,$B93)*(1-'Control Assumptions'!$C$16)</f>
        <v>5.357746531961121E-2</v>
      </c>
      <c r="AR93" s="186">
        <f>SUMIFS('National model results detailed'!AR$153:AR$170,'National model results detailed'!$AW$153:$AW$170,$B93)/ SUMIFS('National model results detailed'!AR$105:AR$122,'National model results detailed'!$AU$105:$AU$122,$B93)*(1-'Control Assumptions'!$C$16)</f>
        <v>5.3286077189170077E-2</v>
      </c>
      <c r="AS93" s="186">
        <f>SUMIFS('National model results detailed'!AS$153:AS$170,'National model results detailed'!$AW$153:$AW$170,$B93)/ SUMIFS('National model results detailed'!AS$105:AS$122,'National model results detailed'!$AU$105:$AU$122,$B93)*(1-'Control Assumptions'!$C$16)</f>
        <v>5.2876783851742458E-2</v>
      </c>
      <c r="AT93"/>
      <c r="AU93"/>
    </row>
    <row r="94" spans="1:55" s="73" customFormat="1">
      <c r="A94" s="802"/>
      <c r="B94" s="26" t="s">
        <v>2832</v>
      </c>
      <c r="C94" s="186">
        <f>SUMIFS('National model results detailed'!C$153:C$170,'National model results detailed'!$AW$153:$AW$170,$B94)/ SUMIFS('National model results detailed'!C$105:C$122,'National model results detailed'!$AU$105:$AU$122,$B94)*(1-'Control Assumptions'!$C$16)</f>
        <v>0</v>
      </c>
      <c r="D94" s="186">
        <f>SUMIFS('National model results detailed'!D$153:D$170,'National model results detailed'!$AW$153:$AW$170,$B94)/ SUMIFS('National model results detailed'!D$105:D$122,'National model results detailed'!$AU$105:$AU$122,$B94)*(1-'Control Assumptions'!$C$16)</f>
        <v>0</v>
      </c>
      <c r="E94" s="186">
        <f>SUMIFS('National model results detailed'!E$153:E$170,'National model results detailed'!$AW$153:$AW$170,$B94)/ SUMIFS('National model results detailed'!E$105:E$122,'National model results detailed'!$AU$105:$AU$122,$B94)*(1-'Control Assumptions'!$C$16)</f>
        <v>0</v>
      </c>
      <c r="F94" s="186">
        <f>SUMIFS('National model results detailed'!F$153:F$170,'National model results detailed'!$AW$153:$AW$170,$B94)/ SUMIFS('National model results detailed'!F$105:F$122,'National model results detailed'!$AU$105:$AU$122,$B94)*(1-'Control Assumptions'!$C$16)</f>
        <v>0</v>
      </c>
      <c r="G94" s="186">
        <f>SUMIFS('National model results detailed'!G$153:G$170,'National model results detailed'!$AW$153:$AW$170,$B94)/ SUMIFS('National model results detailed'!G$105:G$122,'National model results detailed'!$AU$105:$AU$122,$B94)*(1-'Control Assumptions'!$C$16)</f>
        <v>0.46830454336526506</v>
      </c>
      <c r="H94" s="186">
        <f>SUMIFS('National model results detailed'!H$153:H$170,'National model results detailed'!$AW$153:$AW$170,$B94)/ SUMIFS('National model results detailed'!H$105:H$122,'National model results detailed'!$AU$105:$AU$122,$B94)*(1-'Control Assumptions'!$C$16)</f>
        <v>0.4740053629459951</v>
      </c>
      <c r="I94" s="186">
        <f>SUMIFS('National model results detailed'!I$153:I$170,'National model results detailed'!$AW$153:$AW$170,$B94)/ SUMIFS('National model results detailed'!I$105:I$122,'National model results detailed'!$AU$105:$AU$122,$B94)*(1-'Control Assumptions'!$C$16)</f>
        <v>0.47478748156222178</v>
      </c>
      <c r="J94" s="186">
        <f>SUMIFS('National model results detailed'!J$153:J$170,'National model results detailed'!$AW$153:$AW$170,$B94)/ SUMIFS('National model results detailed'!J$105:J$122,'National model results detailed'!$AU$105:$AU$122,$B94)*(1-'Control Assumptions'!$C$16)</f>
        <v>0.47261341915756538</v>
      </c>
      <c r="K94" s="186">
        <f>SUMIFS('National model results detailed'!K$153:K$170,'National model results detailed'!$AW$153:$AW$170,$B94)/ SUMIFS('National model results detailed'!K$105:K$122,'National model results detailed'!$AU$105:$AU$122,$B94)*(1-'Control Assumptions'!$C$16)</f>
        <v>0.46881160364193403</v>
      </c>
      <c r="L94" s="186">
        <f>SUMIFS('National model results detailed'!L$153:L$170,'National model results detailed'!$AW$153:$AW$170,$B94)/ SUMIFS('National model results detailed'!L$105:L$122,'National model results detailed'!$AU$105:$AU$122,$B94)*(1-'Control Assumptions'!$C$16)</f>
        <v>0.46404163818369665</v>
      </c>
      <c r="M94" s="186">
        <f>SUMIFS('National model results detailed'!M$153:M$170,'National model results detailed'!$AW$153:$AW$170,$B94)/ SUMIFS('National model results detailed'!M$105:M$122,'National model results detailed'!$AU$105:$AU$122,$B94)*(1-'Control Assumptions'!$C$16)</f>
        <v>0.45869994419350635</v>
      </c>
      <c r="N94" s="186">
        <f>SUMIFS('National model results detailed'!N$153:N$170,'National model results detailed'!$AW$153:$AW$170,$B94)/ SUMIFS('National model results detailed'!N$105:N$122,'National model results detailed'!$AU$105:$AU$122,$B94)*(1-'Control Assumptions'!$C$16)</f>
        <v>0.45289459612639127</v>
      </c>
      <c r="O94" s="186">
        <f>SUMIFS('National model results detailed'!O$153:O$170,'National model results detailed'!$AW$153:$AW$170,$B94)/ SUMIFS('National model results detailed'!O$105:O$122,'National model results detailed'!$AU$105:$AU$122,$B94)*(1-'Control Assumptions'!$C$16)</f>
        <v>0.44691686447541584</v>
      </c>
      <c r="P94" s="186">
        <f>SUMIFS('National model results detailed'!P$153:P$170,'National model results detailed'!$AW$153:$AW$170,$B94)/ SUMIFS('National model results detailed'!P$105:P$122,'National model results detailed'!$AU$105:$AU$122,$B94)*(1-'Control Assumptions'!$C$16)</f>
        <v>0.44091654732899638</v>
      </c>
      <c r="Q94" s="186">
        <f>SUMIFS('National model results detailed'!Q$153:Q$170,'National model results detailed'!$AW$153:$AW$170,$B94)/ SUMIFS('National model results detailed'!Q$105:Q$122,'National model results detailed'!$AU$105:$AU$122,$B94)*(1-'Control Assumptions'!$C$16)</f>
        <v>0.43498830817326695</v>
      </c>
      <c r="R94" s="186">
        <f>SUMIFS('National model results detailed'!R$153:R$170,'National model results detailed'!$AW$153:$AW$170,$B94)/ SUMIFS('National model results detailed'!R$105:R$122,'National model results detailed'!$AU$105:$AU$122,$B94)*(1-'Control Assumptions'!$C$16)</f>
        <v>0.4331065661530436</v>
      </c>
      <c r="S94" s="186">
        <f>SUMIFS('National model results detailed'!S$153:S$170,'National model results detailed'!$AW$153:$AW$170,$B94)/ SUMIFS('National model results detailed'!S$105:S$122,'National model results detailed'!$AU$105:$AU$122,$B94)*(1-'Control Assumptions'!$C$16)</f>
        <v>0.43070830955424882</v>
      </c>
      <c r="T94" s="186">
        <f>SUMIFS('National model results detailed'!T$153:T$170,'National model results detailed'!$AW$153:$AW$170,$B94)/ SUMIFS('National model results detailed'!T$105:T$122,'National model results detailed'!$AU$105:$AU$122,$B94)*(1-'Control Assumptions'!$C$16)</f>
        <v>0.42799717857500208</v>
      </c>
      <c r="U94" s="186">
        <f>SUMIFS('National model results detailed'!U$153:U$170,'National model results detailed'!$AW$153:$AW$170,$B94)/ SUMIFS('National model results detailed'!U$105:U$122,'National model results detailed'!$AU$105:$AU$122,$B94)*(1-'Control Assumptions'!$C$16)</f>
        <v>0.42517494495900965</v>
      </c>
      <c r="V94" s="186">
        <f>SUMIFS('National model results detailed'!V$153:V$170,'National model results detailed'!$AW$153:$AW$170,$B94)/ SUMIFS('National model results detailed'!V$105:V$122,'National model results detailed'!$AU$105:$AU$122,$B94)*(1-'Control Assumptions'!$C$16)</f>
        <v>0.42227870985544819</v>
      </c>
      <c r="W94" s="186">
        <f>SUMIFS('National model results detailed'!W$153:W$170,'National model results detailed'!$AW$153:$AW$170,$B94)/ SUMIFS('National model results detailed'!W$105:W$122,'National model results detailed'!$AU$105:$AU$122,$B94)*(1-'Control Assumptions'!$C$16)</f>
        <v>0.41933936855312515</v>
      </c>
      <c r="X94" s="186">
        <f>SUMIFS('National model results detailed'!X$153:X$170,'National model results detailed'!$AW$153:$AW$170,$B94)/ SUMIFS('National model results detailed'!X$105:X$122,'National model results detailed'!$AU$105:$AU$122,$B94)*(1-'Control Assumptions'!$C$16)</f>
        <v>0.41636320032974766</v>
      </c>
      <c r="Y94" s="186">
        <f>SUMIFS('National model results detailed'!Y$153:Y$170,'National model results detailed'!$AW$153:$AW$170,$B94)/ SUMIFS('National model results detailed'!Y$105:Y$122,'National model results detailed'!$AU$105:$AU$122,$B94)*(1-'Control Assumptions'!$C$16)</f>
        <v>0.41342270051045849</v>
      </c>
      <c r="Z94" s="186">
        <f>SUMIFS('National model results detailed'!Z$153:Z$170,'National model results detailed'!$AW$153:$AW$170,$B94)/ SUMIFS('National model results detailed'!Z$105:Z$122,'National model results detailed'!$AU$105:$AU$122,$B94)*(1-'Control Assumptions'!$C$16)</f>
        <v>0.41052232970936448</v>
      </c>
      <c r="AA94" s="186">
        <f>SUMIFS('National model results detailed'!AA$153:AA$170,'National model results detailed'!$AW$153:$AW$170,$B94)/ SUMIFS('National model results detailed'!AA$105:AA$122,'National model results detailed'!$AU$105:$AU$122,$B94)*(1-'Control Assumptions'!$C$16)</f>
        <v>0.40765237652466935</v>
      </c>
      <c r="AB94" s="186">
        <f>SUMIFS('National model results detailed'!AB$153:AB$170,'National model results detailed'!$AW$153:$AW$170,$B94)/ SUMIFS('National model results detailed'!AB$105:AB$122,'National model results detailed'!$AU$105:$AU$122,$B94)*(1-'Control Assumptions'!$C$16)</f>
        <v>0.40479687216181465</v>
      </c>
      <c r="AC94" s="186">
        <f>SUMIFS('National model results detailed'!AC$153:AC$170,'National model results detailed'!$AW$153:$AW$170,$B94)/ SUMIFS('National model results detailed'!AC$105:AC$122,'National model results detailed'!$AU$105:$AU$122,$B94)*(1-'Control Assumptions'!$C$16)</f>
        <v>0.40195252009700988</v>
      </c>
      <c r="AD94" s="186">
        <f>SUMIFS('National model results detailed'!AD$153:AD$170,'National model results detailed'!$AW$153:$AW$170,$B94)/ SUMIFS('National model results detailed'!AD$105:AD$122,'National model results detailed'!$AU$105:$AU$122,$B94)*(1-'Control Assumptions'!$C$16)</f>
        <v>0.39911779104566059</v>
      </c>
      <c r="AE94" s="186">
        <f>SUMIFS('National model results detailed'!AE$153:AE$170,'National model results detailed'!$AW$153:$AW$170,$B94)/ SUMIFS('National model results detailed'!AE$105:AE$122,'National model results detailed'!$AU$105:$AU$122,$B94)*(1-'Control Assumptions'!$C$16)</f>
        <v>0.39628984424482139</v>
      </c>
      <c r="AF94" s="186">
        <f>SUMIFS('National model results detailed'!AF$153:AF$170,'National model results detailed'!$AW$153:$AW$170,$B94)/ SUMIFS('National model results detailed'!AF$105:AF$122,'National model results detailed'!$AU$105:$AU$122,$B94)*(1-'Control Assumptions'!$C$16)</f>
        <v>0.39347707333658888</v>
      </c>
      <c r="AG94" s="186">
        <f>SUMIFS('National model results detailed'!AG$153:AG$170,'National model results detailed'!$AW$153:$AW$170,$B94)/ SUMIFS('National model results detailed'!AG$105:AG$122,'National model results detailed'!$AU$105:$AU$122,$B94)*(1-'Control Assumptions'!$C$16)</f>
        <v>0.39070462649569937</v>
      </c>
      <c r="AH94" s="186">
        <f>SUMIFS('National model results detailed'!AH$153:AH$170,'National model results detailed'!$AW$153:$AW$170,$B94)/ SUMIFS('National model results detailed'!AH$105:AH$122,'National model results detailed'!$AU$105:$AU$122,$B94)*(1-'Control Assumptions'!$C$16)</f>
        <v>0.3879731604915938</v>
      </c>
      <c r="AI94" s="186">
        <f>SUMIFS('National model results detailed'!AI$153:AI$170,'National model results detailed'!$AW$153:$AW$170,$B94)/ SUMIFS('National model results detailed'!AI$105:AI$122,'National model results detailed'!$AU$105:$AU$122,$B94)*(1-'Control Assumptions'!$C$16)</f>
        <v>0.38528791846550686</v>
      </c>
      <c r="AJ94" s="186">
        <f>SUMIFS('National model results detailed'!AJ$153:AJ$170,'National model results detailed'!$AW$153:$AW$170,$B94)/ SUMIFS('National model results detailed'!AJ$105:AJ$122,'National model results detailed'!$AU$105:$AU$122,$B94)*(1-'Control Assumptions'!$C$16)</f>
        <v>0.38261180156147534</v>
      </c>
      <c r="AK94" s="186">
        <f>SUMIFS('National model results detailed'!AK$153:AK$170,'National model results detailed'!$AW$153:$AW$170,$B94)/ SUMIFS('National model results detailed'!AK$105:AK$122,'National model results detailed'!$AU$105:$AU$122,$B94)*(1-'Control Assumptions'!$C$16)</f>
        <v>0.37992445333240116</v>
      </c>
      <c r="AL94" s="186">
        <f>SUMIFS('National model results detailed'!AL$153:AL$170,'National model results detailed'!$AW$153:$AW$170,$B94)/ SUMIFS('National model results detailed'!AL$105:AL$122,'National model results detailed'!$AU$105:$AU$122,$B94)*(1-'Control Assumptions'!$C$16)</f>
        <v>0.37721135128192751</v>
      </c>
      <c r="AM94" s="186">
        <f>SUMIFS('National model results detailed'!AM$153:AM$170,'National model results detailed'!$AW$153:$AW$170,$B94)/ SUMIFS('National model results detailed'!AM$105:AM$122,'National model results detailed'!$AU$105:$AU$122,$B94)*(1-'Control Assumptions'!$C$16)</f>
        <v>0.37449152075972025</v>
      </c>
      <c r="AN94" s="186">
        <f>SUMIFS('National model results detailed'!AN$153:AN$170,'National model results detailed'!$AW$153:$AW$170,$B94)/ SUMIFS('National model results detailed'!AN$105:AN$122,'National model results detailed'!$AU$105:$AU$122,$B94)*(1-'Control Assumptions'!$C$16)</f>
        <v>0.37177107884252297</v>
      </c>
      <c r="AO94" s="186">
        <f>SUMIFS('National model results detailed'!AO$153:AO$170,'National model results detailed'!$AW$153:$AW$170,$B94)/ SUMIFS('National model results detailed'!AO$105:AO$122,'National model results detailed'!$AU$105:$AU$122,$B94)*(1-'Control Assumptions'!$C$16)</f>
        <v>0.36904701103767418</v>
      </c>
      <c r="AP94" s="186">
        <f>SUMIFS('National model results detailed'!AP$153:AP$170,'National model results detailed'!$AW$153:$AW$170,$B94)/ SUMIFS('National model results detailed'!AP$105:AP$122,'National model results detailed'!$AU$105:$AU$122,$B94)*(1-'Control Assumptions'!$C$16)</f>
        <v>0.3663448979422379</v>
      </c>
      <c r="AQ94" s="186">
        <f>SUMIFS('National model results detailed'!AQ$153:AQ$170,'National model results detailed'!$AW$153:$AW$170,$B94)/ SUMIFS('National model results detailed'!AQ$105:AQ$122,'National model results detailed'!$AU$105:$AU$122,$B94)*(1-'Control Assumptions'!$C$16)</f>
        <v>0.36369597322452019</v>
      </c>
      <c r="AR94" s="186">
        <f>SUMIFS('National model results detailed'!AR$153:AR$170,'National model results detailed'!$AW$153:$AW$170,$B94)/ SUMIFS('National model results detailed'!AR$105:AR$122,'National model results detailed'!$AU$105:$AU$122,$B94)*(1-'Control Assumptions'!$C$16)</f>
        <v>0.36112528400109145</v>
      </c>
      <c r="AS94" s="186">
        <f>SUMIFS('National model results detailed'!AS$153:AS$170,'National model results detailed'!$AW$153:$AW$170,$B94)/ SUMIFS('National model results detailed'!AS$105:AS$122,'National model results detailed'!$AU$105:$AU$122,$B94)*(1-'Control Assumptions'!$C$16)</f>
        <v>0.35844445650083434</v>
      </c>
      <c r="AT94"/>
      <c r="AU94"/>
    </row>
    <row r="95" spans="1:55" s="73" customFormat="1">
      <c r="A95" s="802"/>
      <c r="B95" s="887"/>
      <c r="C95" s="904"/>
      <c r="D95" s="904"/>
      <c r="E95" s="904"/>
      <c r="F95" s="904"/>
      <c r="G95" s="904"/>
      <c r="H95" s="904"/>
      <c r="I95" s="904"/>
      <c r="J95" s="904"/>
      <c r="K95" s="904"/>
      <c r="L95" s="904"/>
      <c r="M95" s="904"/>
      <c r="N95" s="904"/>
      <c r="O95" s="904"/>
      <c r="P95" s="904"/>
      <c r="Q95" s="904"/>
      <c r="R95" s="904"/>
      <c r="S95" s="904"/>
      <c r="T95" s="904"/>
      <c r="U95" s="904"/>
      <c r="V95" s="904"/>
      <c r="W95" s="904"/>
      <c r="X95" s="904"/>
      <c r="Y95" s="904"/>
      <c r="Z95" s="904"/>
      <c r="AA95" s="904"/>
      <c r="AB95" s="904"/>
      <c r="AC95" s="904"/>
      <c r="AD95" s="904"/>
      <c r="AE95" s="904"/>
      <c r="AF95" s="904"/>
      <c r="AG95" s="904"/>
      <c r="AH95" s="904"/>
      <c r="AI95" s="904"/>
      <c r="AJ95" s="904"/>
      <c r="AK95" s="904"/>
      <c r="AL95" s="904"/>
      <c r="AM95" s="904"/>
      <c r="AN95" s="904"/>
      <c r="AO95" s="904"/>
      <c r="AQ95"/>
      <c r="AT95"/>
      <c r="AU95"/>
    </row>
    <row r="97" spans="1:55" ht="17.399999999999999" customHeight="1">
      <c r="A97" s="9" t="s">
        <v>10</v>
      </c>
      <c r="B97" s="9" t="s">
        <v>3733</v>
      </c>
      <c r="H97" s="151"/>
      <c r="K97" s="762"/>
      <c r="L97" s="181"/>
      <c r="M97" s="201"/>
      <c r="N97" s="201"/>
      <c r="O97" s="809"/>
      <c r="P97" s="181"/>
      <c r="Q97" s="201"/>
    </row>
    <row r="98" spans="1:55">
      <c r="A98" s="9"/>
      <c r="B98" s="9"/>
      <c r="H98" s="151"/>
      <c r="K98" s="762"/>
      <c r="L98" s="181"/>
      <c r="M98" s="201"/>
      <c r="N98" s="201"/>
      <c r="O98" s="809"/>
      <c r="P98" s="181"/>
      <c r="Q98" s="201"/>
    </row>
    <row r="100" spans="1:55">
      <c r="B100" s="84" t="s">
        <v>125</v>
      </c>
      <c r="C100" s="34">
        <f>C61</f>
        <v>2020</v>
      </c>
      <c r="D100" s="34">
        <f t="shared" ref="D100:AG100" si="29">D61</f>
        <v>2021</v>
      </c>
      <c r="E100" s="34">
        <f t="shared" si="29"/>
        <v>2022</v>
      </c>
      <c r="F100" s="34">
        <f t="shared" si="29"/>
        <v>2023</v>
      </c>
      <c r="G100" s="34">
        <f t="shared" si="29"/>
        <v>2024</v>
      </c>
      <c r="H100" s="34">
        <f t="shared" si="29"/>
        <v>2025</v>
      </c>
      <c r="I100" s="34">
        <f t="shared" si="29"/>
        <v>2026</v>
      </c>
      <c r="J100" s="34">
        <f t="shared" si="29"/>
        <v>2027</v>
      </c>
      <c r="K100" s="34">
        <f t="shared" si="29"/>
        <v>2028</v>
      </c>
      <c r="L100" s="34">
        <f t="shared" si="29"/>
        <v>2029</v>
      </c>
      <c r="M100" s="34">
        <f t="shared" si="29"/>
        <v>2030</v>
      </c>
      <c r="N100" s="34">
        <f t="shared" si="29"/>
        <v>2031</v>
      </c>
      <c r="O100" s="34">
        <f t="shared" si="29"/>
        <v>2032</v>
      </c>
      <c r="P100" s="34">
        <f t="shared" si="29"/>
        <v>2033</v>
      </c>
      <c r="Q100" s="34">
        <f t="shared" si="29"/>
        <v>2034</v>
      </c>
      <c r="R100" s="34">
        <f t="shared" si="29"/>
        <v>2035</v>
      </c>
      <c r="S100" s="34">
        <f t="shared" si="29"/>
        <v>2036</v>
      </c>
      <c r="T100" s="34">
        <f t="shared" si="29"/>
        <v>2037</v>
      </c>
      <c r="U100" s="34">
        <f t="shared" si="29"/>
        <v>2038</v>
      </c>
      <c r="V100" s="34">
        <f t="shared" si="29"/>
        <v>2039</v>
      </c>
      <c r="W100" s="34">
        <f t="shared" si="29"/>
        <v>2040</v>
      </c>
      <c r="X100" s="34">
        <f t="shared" si="29"/>
        <v>2041</v>
      </c>
      <c r="Y100" s="34">
        <f t="shared" si="29"/>
        <v>2042</v>
      </c>
      <c r="Z100" s="34">
        <f t="shared" si="29"/>
        <v>2043</v>
      </c>
      <c r="AA100" s="34">
        <f t="shared" si="29"/>
        <v>2044</v>
      </c>
      <c r="AB100" s="34">
        <f t="shared" si="29"/>
        <v>2045</v>
      </c>
      <c r="AC100" s="34">
        <f t="shared" si="29"/>
        <v>2046</v>
      </c>
      <c r="AD100" s="34">
        <f t="shared" si="29"/>
        <v>2047</v>
      </c>
      <c r="AE100" s="34">
        <f t="shared" si="29"/>
        <v>2048</v>
      </c>
      <c r="AF100" s="34">
        <f t="shared" si="29"/>
        <v>2049</v>
      </c>
      <c r="AG100" s="34">
        <f t="shared" si="29"/>
        <v>2050</v>
      </c>
      <c r="AH100" s="34">
        <f t="shared" ref="AH100:AK100" si="30">AH61</f>
        <v>2051</v>
      </c>
      <c r="AI100" s="34">
        <f t="shared" si="30"/>
        <v>2052</v>
      </c>
      <c r="AJ100" s="34">
        <f t="shared" si="30"/>
        <v>2053</v>
      </c>
      <c r="AK100" s="34">
        <f t="shared" si="30"/>
        <v>2054</v>
      </c>
      <c r="AM100" s="84" t="s">
        <v>2493</v>
      </c>
      <c r="BC100" s="81"/>
    </row>
    <row r="101" spans="1:55">
      <c r="A101" s="19"/>
      <c r="B101" s="6" t="s">
        <v>11</v>
      </c>
      <c r="C101" s="888">
        <f>C62*INDEX($C83:$AS83,MATCH(C$100,$C$82:$AS$82,0))</f>
        <v>0</v>
      </c>
      <c r="D101" s="888">
        <f t="shared" ref="D101:AK101" si="31">D62*INDEX($C83:$AS83,MATCH(D$100,$C$82:$AS$82,0))</f>
        <v>0</v>
      </c>
      <c r="E101" s="888">
        <f t="shared" si="31"/>
        <v>0</v>
      </c>
      <c r="F101" s="888">
        <f t="shared" si="31"/>
        <v>0</v>
      </c>
      <c r="G101" s="888">
        <f t="shared" si="31"/>
        <v>16971.578835269476</v>
      </c>
      <c r="H101" s="888">
        <f t="shared" si="31"/>
        <v>32210.493480830108</v>
      </c>
      <c r="I101" s="888">
        <f t="shared" si="31"/>
        <v>43110.688405047869</v>
      </c>
      <c r="J101" s="888">
        <f t="shared" si="31"/>
        <v>51171.684414513169</v>
      </c>
      <c r="K101" s="888">
        <f t="shared" si="31"/>
        <v>57470.763290758601</v>
      </c>
      <c r="L101" s="888">
        <f t="shared" si="31"/>
        <v>62628.637416455334</v>
      </c>
      <c r="M101" s="888">
        <f t="shared" si="31"/>
        <v>67035.012390415402</v>
      </c>
      <c r="N101" s="888">
        <f t="shared" si="31"/>
        <v>70874.855816539639</v>
      </c>
      <c r="O101" s="888">
        <f t="shared" si="31"/>
        <v>74405.662645173492</v>
      </c>
      <c r="P101" s="888">
        <f t="shared" si="31"/>
        <v>77799.07712060443</v>
      </c>
      <c r="Q101" s="888">
        <f t="shared" si="31"/>
        <v>81165.486914884881</v>
      </c>
      <c r="R101" s="888">
        <f t="shared" si="31"/>
        <v>84560.210624571089</v>
      </c>
      <c r="S101" s="888">
        <f t="shared" si="31"/>
        <v>87970.289118994042</v>
      </c>
      <c r="T101" s="888">
        <f t="shared" si="31"/>
        <v>91401.111746434544</v>
      </c>
      <c r="U101" s="888">
        <f t="shared" si="31"/>
        <v>94927.589492676459</v>
      </c>
      <c r="V101" s="888">
        <f t="shared" si="31"/>
        <v>98538.254658346981</v>
      </c>
      <c r="W101" s="888">
        <f t="shared" si="31"/>
        <v>102221.77384907196</v>
      </c>
      <c r="X101" s="888">
        <f t="shared" si="31"/>
        <v>105936.83242628074</v>
      </c>
      <c r="Y101" s="888">
        <f t="shared" si="31"/>
        <v>109762.32994668154</v>
      </c>
      <c r="Z101" s="888">
        <f t="shared" si="31"/>
        <v>113703.87899182887</v>
      </c>
      <c r="AA101" s="888">
        <f t="shared" si="31"/>
        <v>117749.95725272787</v>
      </c>
      <c r="AB101" s="888">
        <f t="shared" si="31"/>
        <v>121871.02581886578</v>
      </c>
      <c r="AC101" s="888">
        <f t="shared" si="31"/>
        <v>126067.81314742428</v>
      </c>
      <c r="AD101" s="888">
        <f t="shared" si="31"/>
        <v>130343.58398249424</v>
      </c>
      <c r="AE101" s="888">
        <f t="shared" si="31"/>
        <v>134696.82458950911</v>
      </c>
      <c r="AF101" s="888">
        <f t="shared" si="31"/>
        <v>139135.63368770303</v>
      </c>
      <c r="AG101" s="888">
        <f t="shared" si="31"/>
        <v>143687.96529993616</v>
      </c>
      <c r="AH101" s="888">
        <f t="shared" si="31"/>
        <v>148358.39834741631</v>
      </c>
      <c r="AI101" s="888">
        <f t="shared" si="31"/>
        <v>153150.81210429737</v>
      </c>
      <c r="AJ101" s="888">
        <f t="shared" si="31"/>
        <v>158011.73903647973</v>
      </c>
      <c r="AK101" s="888">
        <f t="shared" si="31"/>
        <v>162919.31662800489</v>
      </c>
      <c r="AM101" s="737" t="s">
        <v>3458</v>
      </c>
      <c r="BC101" s="568"/>
    </row>
    <row r="102" spans="1:55">
      <c r="A102" s="19"/>
      <c r="B102" s="6" t="s">
        <v>14</v>
      </c>
      <c r="C102" s="888">
        <f t="shared" ref="C102:AK102" si="32">C63*INDEX($C84:$AS84,MATCH(C$100,$C$82:$AS$82,0))</f>
        <v>0</v>
      </c>
      <c r="D102" s="888">
        <f t="shared" si="32"/>
        <v>0</v>
      </c>
      <c r="E102" s="888">
        <f t="shared" si="32"/>
        <v>0</v>
      </c>
      <c r="F102" s="888">
        <f t="shared" si="32"/>
        <v>0</v>
      </c>
      <c r="G102" s="888">
        <f t="shared" si="32"/>
        <v>-187.3579168816604</v>
      </c>
      <c r="H102" s="888">
        <f t="shared" si="32"/>
        <v>2023.3761240252081</v>
      </c>
      <c r="I102" s="888">
        <f t="shared" si="32"/>
        <v>3526.4957577967866</v>
      </c>
      <c r="J102" s="888">
        <f t="shared" si="32"/>
        <v>4576.3861819581834</v>
      </c>
      <c r="K102" s="888">
        <f t="shared" si="32"/>
        <v>5345.5139914024294</v>
      </c>
      <c r="L102" s="888">
        <f t="shared" si="32"/>
        <v>5938.4227639087558</v>
      </c>
      <c r="M102" s="888">
        <f t="shared" si="32"/>
        <v>6418.779302068353</v>
      </c>
      <c r="N102" s="888">
        <f t="shared" si="32"/>
        <v>6816.1265592147911</v>
      </c>
      <c r="O102" s="888">
        <f t="shared" si="32"/>
        <v>7170.254617878988</v>
      </c>
      <c r="P102" s="888">
        <f t="shared" si="32"/>
        <v>7505.2920371825576</v>
      </c>
      <c r="Q102" s="888">
        <f t="shared" si="32"/>
        <v>7835.5126414468332</v>
      </c>
      <c r="R102" s="888">
        <f t="shared" si="32"/>
        <v>8167.9885186846468</v>
      </c>
      <c r="S102" s="888">
        <f t="shared" si="32"/>
        <v>8500.9425203847641</v>
      </c>
      <c r="T102" s="888">
        <f t="shared" si="32"/>
        <v>8834.4264256645183</v>
      </c>
      <c r="U102" s="888">
        <f t="shared" si="32"/>
        <v>9176.5562444311872</v>
      </c>
      <c r="V102" s="888">
        <f t="shared" si="32"/>
        <v>9527.4404776995634</v>
      </c>
      <c r="W102" s="888">
        <f t="shared" si="32"/>
        <v>9885.6608985094754</v>
      </c>
      <c r="X102" s="888">
        <f t="shared" si="32"/>
        <v>10244.844643968394</v>
      </c>
      <c r="Y102" s="888">
        <f t="shared" si="32"/>
        <v>10615.663248473253</v>
      </c>
      <c r="Z102" s="888">
        <f t="shared" si="32"/>
        <v>10998.922459593556</v>
      </c>
      <c r="AA102" s="888">
        <f t="shared" si="32"/>
        <v>11393.133242162643</v>
      </c>
      <c r="AB102" s="888">
        <f t="shared" si="32"/>
        <v>11794.08232118906</v>
      </c>
      <c r="AC102" s="888">
        <f t="shared" si="32"/>
        <v>12202.289333640478</v>
      </c>
      <c r="AD102" s="888">
        <f t="shared" si="32"/>
        <v>12618.543205018088</v>
      </c>
      <c r="AE102" s="888">
        <f t="shared" si="32"/>
        <v>13042.881264612424</v>
      </c>
      <c r="AF102" s="888">
        <f t="shared" si="32"/>
        <v>13476.24660184586</v>
      </c>
      <c r="AG102" s="888">
        <f t="shared" si="32"/>
        <v>13921.455024240302</v>
      </c>
      <c r="AH102" s="888">
        <f t="shared" si="32"/>
        <v>14378.924636537255</v>
      </c>
      <c r="AI102" s="888">
        <f t="shared" si="32"/>
        <v>14848.587139130264</v>
      </c>
      <c r="AJ102" s="888">
        <f t="shared" si="32"/>
        <v>15323.905749434029</v>
      </c>
      <c r="AK102" s="888">
        <f t="shared" si="32"/>
        <v>15802.963053109754</v>
      </c>
      <c r="AM102" s="737" t="s">
        <v>3458</v>
      </c>
      <c r="BC102" s="791"/>
    </row>
    <row r="103" spans="1:55">
      <c r="A103" s="19"/>
      <c r="B103" s="6" t="s">
        <v>15</v>
      </c>
      <c r="C103" s="888">
        <f t="shared" ref="C103:AK103" si="33">C64*INDEX($C85:$AS85,MATCH(C$100,$C$82:$AS$82,0))</f>
        <v>0</v>
      </c>
      <c r="D103" s="888">
        <f t="shared" si="33"/>
        <v>0</v>
      </c>
      <c r="E103" s="888">
        <f t="shared" si="33"/>
        <v>0</v>
      </c>
      <c r="F103" s="888">
        <f t="shared" si="33"/>
        <v>0</v>
      </c>
      <c r="G103" s="888">
        <f t="shared" si="33"/>
        <v>374.37693338619488</v>
      </c>
      <c r="H103" s="888">
        <f t="shared" si="33"/>
        <v>857.18060316647939</v>
      </c>
      <c r="I103" s="888">
        <f t="shared" si="33"/>
        <v>1196.8561236394255</v>
      </c>
      <c r="J103" s="888">
        <f t="shared" si="33"/>
        <v>1443.7021200963661</v>
      </c>
      <c r="K103" s="888">
        <f t="shared" si="33"/>
        <v>1633.1315061119519</v>
      </c>
      <c r="L103" s="888">
        <f t="shared" si="33"/>
        <v>1785.8135990352905</v>
      </c>
      <c r="M103" s="888">
        <f t="shared" si="33"/>
        <v>1914.5759956427135</v>
      </c>
      <c r="N103" s="888">
        <f t="shared" si="33"/>
        <v>2025.4535499493327</v>
      </c>
      <c r="O103" s="888">
        <f t="shared" si="33"/>
        <v>2126.7522215708836</v>
      </c>
      <c r="P103" s="888">
        <f t="shared" si="33"/>
        <v>2223.8460453596117</v>
      </c>
      <c r="Q103" s="888">
        <f t="shared" si="33"/>
        <v>2320.1040428002821</v>
      </c>
      <c r="R103" s="888">
        <f t="shared" si="33"/>
        <v>2417.1978823430804</v>
      </c>
      <c r="S103" s="888">
        <f t="shared" si="33"/>
        <v>2514.7034530942974</v>
      </c>
      <c r="T103" s="888">
        <f t="shared" si="33"/>
        <v>2612.7361670696946</v>
      </c>
      <c r="U103" s="888">
        <f t="shared" si="33"/>
        <v>2713.4973570684838</v>
      </c>
      <c r="V103" s="888">
        <f t="shared" si="33"/>
        <v>2816.7191335572734</v>
      </c>
      <c r="W103" s="888">
        <f t="shared" si="33"/>
        <v>2922.0488965475802</v>
      </c>
      <c r="X103" s="888">
        <f t="shared" si="33"/>
        <v>3028.1520794178059</v>
      </c>
      <c r="Y103" s="888">
        <f t="shared" si="33"/>
        <v>3137.4819811056382</v>
      </c>
      <c r="Z103" s="888">
        <f t="shared" si="33"/>
        <v>3250.2104622643351</v>
      </c>
      <c r="AA103" s="888">
        <f t="shared" si="33"/>
        <v>3365.9791458584787</v>
      </c>
      <c r="AB103" s="888">
        <f t="shared" si="33"/>
        <v>3483.8547945386026</v>
      </c>
      <c r="AC103" s="888">
        <f t="shared" si="33"/>
        <v>3603.8858167789808</v>
      </c>
      <c r="AD103" s="888">
        <f t="shared" si="33"/>
        <v>3726.1945230813167</v>
      </c>
      <c r="AE103" s="888">
        <f t="shared" si="33"/>
        <v>3850.7479402219387</v>
      </c>
      <c r="AF103" s="888">
        <f t="shared" si="33"/>
        <v>3977.788553040637</v>
      </c>
      <c r="AG103" s="888">
        <f t="shared" si="33"/>
        <v>4108.1273925300729</v>
      </c>
      <c r="AH103" s="888">
        <f t="shared" si="33"/>
        <v>4241.8929291059258</v>
      </c>
      <c r="AI103" s="888">
        <f t="shared" si="33"/>
        <v>4379.168942703408</v>
      </c>
      <c r="AJ103" s="888">
        <f t="shared" si="33"/>
        <v>4518.3337802082269</v>
      </c>
      <c r="AK103" s="888">
        <f t="shared" si="33"/>
        <v>4658.7723217080056</v>
      </c>
      <c r="AM103" s="737" t="s">
        <v>3458</v>
      </c>
    </row>
    <row r="104" spans="1:55">
      <c r="A104" s="19"/>
      <c r="B104" s="6" t="s">
        <v>16</v>
      </c>
      <c r="C104" s="888">
        <f t="shared" ref="C104:AK104" si="34">C65*INDEX($C86:$AS86,MATCH(C$100,$C$82:$AS$82,0))</f>
        <v>0</v>
      </c>
      <c r="D104" s="888">
        <f t="shared" si="34"/>
        <v>0</v>
      </c>
      <c r="E104" s="888">
        <f t="shared" si="34"/>
        <v>0</v>
      </c>
      <c r="F104" s="888">
        <f t="shared" si="34"/>
        <v>0</v>
      </c>
      <c r="G104" s="888">
        <f t="shared" si="34"/>
        <v>15628.006206738768</v>
      </c>
      <c r="H104" s="888">
        <f t="shared" si="34"/>
        <v>23683.656234747377</v>
      </c>
      <c r="I104" s="888">
        <f t="shared" si="34"/>
        <v>29441.686043122441</v>
      </c>
      <c r="J104" s="888">
        <f t="shared" si="34"/>
        <v>33725.617054521776</v>
      </c>
      <c r="K104" s="888">
        <f t="shared" si="34"/>
        <v>37129.679304990219</v>
      </c>
      <c r="L104" s="888">
        <f t="shared" si="34"/>
        <v>39973.6025760622</v>
      </c>
      <c r="M104" s="888">
        <f t="shared" si="34"/>
        <v>42455.924704333978</v>
      </c>
      <c r="N104" s="888">
        <f t="shared" si="34"/>
        <v>44669.623983434154</v>
      </c>
      <c r="O104" s="888">
        <f t="shared" si="34"/>
        <v>46743.984962522329</v>
      </c>
      <c r="P104" s="888">
        <f t="shared" si="34"/>
        <v>48766.970870027217</v>
      </c>
      <c r="Q104" s="888">
        <f t="shared" si="34"/>
        <v>50795.611771057251</v>
      </c>
      <c r="R104" s="888">
        <f t="shared" si="34"/>
        <v>52856.207493661612</v>
      </c>
      <c r="S104" s="888">
        <f t="shared" si="34"/>
        <v>54937.470039497304</v>
      </c>
      <c r="T104" s="888">
        <f t="shared" si="34"/>
        <v>57041.545304690873</v>
      </c>
      <c r="U104" s="888">
        <f t="shared" si="34"/>
        <v>59213.216215256623</v>
      </c>
      <c r="V104" s="888">
        <f t="shared" si="34"/>
        <v>61439.854106017723</v>
      </c>
      <c r="W104" s="888">
        <f t="shared" si="34"/>
        <v>63713.398707697037</v>
      </c>
      <c r="X104" s="888">
        <f t="shared" si="34"/>
        <v>66012.488343358564</v>
      </c>
      <c r="Y104" s="888">
        <f t="shared" si="34"/>
        <v>68380.452503568318</v>
      </c>
      <c r="Z104" s="888">
        <f t="shared" si="34"/>
        <v>70819.140881437488</v>
      </c>
      <c r="AA104" s="888">
        <f t="shared" si="34"/>
        <v>73321.157375415438</v>
      </c>
      <c r="AB104" s="888">
        <f t="shared" si="34"/>
        <v>75870.463490602531</v>
      </c>
      <c r="AC104" s="888">
        <f t="shared" si="34"/>
        <v>78466.476070241406</v>
      </c>
      <c r="AD104" s="888">
        <f t="shared" si="34"/>
        <v>81110.039612081833</v>
      </c>
      <c r="AE104" s="888">
        <f t="shared" si="34"/>
        <v>83799.536406444022</v>
      </c>
      <c r="AF104" s="888">
        <f t="shared" si="34"/>
        <v>86539.670852500567</v>
      </c>
      <c r="AG104" s="888">
        <f t="shared" si="34"/>
        <v>89348.151429609992</v>
      </c>
      <c r="AH104" s="888">
        <f t="shared" si="34"/>
        <v>92227.693548720752</v>
      </c>
      <c r="AI104" s="888">
        <f t="shared" si="34"/>
        <v>95181.752668925867</v>
      </c>
      <c r="AJ104" s="888">
        <f t="shared" si="34"/>
        <v>98179.137525316779</v>
      </c>
      <c r="AK104" s="888">
        <f t="shared" si="34"/>
        <v>101205.66624544194</v>
      </c>
      <c r="AM104" s="738" t="s">
        <v>3459</v>
      </c>
    </row>
    <row r="105" spans="1:55">
      <c r="A105" s="19"/>
      <c r="B105" s="6" t="s">
        <v>103</v>
      </c>
      <c r="C105" s="888">
        <f t="shared" ref="C105:AK105" si="35">C66*INDEX($C87:$AS87,MATCH(C$100,$C$82:$AS$82,0))</f>
        <v>0</v>
      </c>
      <c r="D105" s="888">
        <f t="shared" si="35"/>
        <v>0</v>
      </c>
      <c r="E105" s="888">
        <f t="shared" si="35"/>
        <v>0</v>
      </c>
      <c r="F105" s="888">
        <f t="shared" si="35"/>
        <v>0</v>
      </c>
      <c r="G105" s="888">
        <f t="shared" si="35"/>
        <v>-95781.734484840927</v>
      </c>
      <c r="H105" s="888">
        <f t="shared" si="35"/>
        <v>-24750.726309233785</v>
      </c>
      <c r="I105" s="888">
        <f t="shared" si="35"/>
        <v>22849.407140302912</v>
      </c>
      <c r="J105" s="888">
        <f t="shared" si="35"/>
        <v>55196.679254950759</v>
      </c>
      <c r="K105" s="888">
        <f t="shared" si="35"/>
        <v>77717.01841663073</v>
      </c>
      <c r="L105" s="888">
        <f t="shared" si="35"/>
        <v>93982.732167362439</v>
      </c>
      <c r="M105" s="888">
        <f t="shared" si="35"/>
        <v>106181.28735796803</v>
      </c>
      <c r="N105" s="888">
        <f t="shared" si="35"/>
        <v>115348.35107223545</v>
      </c>
      <c r="O105" s="888">
        <f t="shared" si="35"/>
        <v>122844.31199111571</v>
      </c>
      <c r="P105" s="888">
        <f t="shared" si="35"/>
        <v>129461.82413057722</v>
      </c>
      <c r="Q105" s="888">
        <f t="shared" si="35"/>
        <v>135656.50559762705</v>
      </c>
      <c r="R105" s="888">
        <f t="shared" si="35"/>
        <v>141677.78452254334</v>
      </c>
      <c r="S105" s="888">
        <f t="shared" si="35"/>
        <v>147522.09388710951</v>
      </c>
      <c r="T105" s="888">
        <f t="shared" si="35"/>
        <v>153196.55748888993</v>
      </c>
      <c r="U105" s="888">
        <f t="shared" si="35"/>
        <v>158879.04305470453</v>
      </c>
      <c r="V105" s="888">
        <f t="shared" si="35"/>
        <v>164653.17227153416</v>
      </c>
      <c r="W105" s="888">
        <f t="shared" si="35"/>
        <v>170498.36115834196</v>
      </c>
      <c r="X105" s="888">
        <f t="shared" si="35"/>
        <v>176214.67366481377</v>
      </c>
      <c r="Y105" s="888">
        <f t="shared" si="35"/>
        <v>182101.81844288294</v>
      </c>
      <c r="Z105" s="888">
        <f t="shared" si="35"/>
        <v>188193.67359988124</v>
      </c>
      <c r="AA105" s="888">
        <f t="shared" si="35"/>
        <v>194458.25717248706</v>
      </c>
      <c r="AB105" s="888">
        <f t="shared" si="35"/>
        <v>200773.33930390744</v>
      </c>
      <c r="AC105" s="888">
        <f t="shared" si="35"/>
        <v>207165.73496644065</v>
      </c>
      <c r="AD105" s="888">
        <f t="shared" si="35"/>
        <v>213668.32826318953</v>
      </c>
      <c r="AE105" s="888">
        <f t="shared" si="35"/>
        <v>220290.48994881273</v>
      </c>
      <c r="AF105" s="888">
        <f t="shared" si="35"/>
        <v>227052.47841678016</v>
      </c>
      <c r="AG105" s="888">
        <f t="shared" si="35"/>
        <v>233997.65481375079</v>
      </c>
      <c r="AH105" s="888">
        <f t="shared" si="35"/>
        <v>241131.61660747457</v>
      </c>
      <c r="AI105" s="888">
        <f t="shared" si="35"/>
        <v>248432.45001247397</v>
      </c>
      <c r="AJ105" s="888">
        <f t="shared" si="35"/>
        <v>255746.16344232112</v>
      </c>
      <c r="AK105" s="888">
        <f t="shared" si="35"/>
        <v>263050.37253468652</v>
      </c>
      <c r="AM105" s="738" t="s">
        <v>3459</v>
      </c>
    </row>
    <row r="106" spans="1:55">
      <c r="A106" s="19"/>
      <c r="B106" s="6" t="s">
        <v>104</v>
      </c>
      <c r="C106" s="888">
        <f t="shared" ref="C106:AK106" si="36">C67*INDEX($C88:$AS88,MATCH(C$100,$C$82:$AS$82,0))</f>
        <v>0</v>
      </c>
      <c r="D106" s="888">
        <f t="shared" si="36"/>
        <v>0</v>
      </c>
      <c r="E106" s="888">
        <f t="shared" si="36"/>
        <v>0</v>
      </c>
      <c r="F106" s="888">
        <f t="shared" si="36"/>
        <v>0</v>
      </c>
      <c r="G106" s="888">
        <f t="shared" si="36"/>
        <v>-7203.4715931445926</v>
      </c>
      <c r="H106" s="888">
        <f t="shared" si="36"/>
        <v>1222.8140979882824</v>
      </c>
      <c r="I106" s="888">
        <f t="shared" si="36"/>
        <v>7003.4949703295952</v>
      </c>
      <c r="J106" s="888">
        <f t="shared" si="36"/>
        <v>11040.771492735757</v>
      </c>
      <c r="K106" s="888">
        <f t="shared" si="36"/>
        <v>13949.697370000426</v>
      </c>
      <c r="L106" s="888">
        <f t="shared" si="36"/>
        <v>16128.082876729333</v>
      </c>
      <c r="M106" s="888">
        <f t="shared" si="36"/>
        <v>17823.344691521565</v>
      </c>
      <c r="N106" s="888">
        <f t="shared" si="36"/>
        <v>19154.071021113785</v>
      </c>
      <c r="O106" s="888">
        <f t="shared" si="36"/>
        <v>20278.465895748945</v>
      </c>
      <c r="P106" s="888">
        <f t="shared" si="36"/>
        <v>21293.007292716713</v>
      </c>
      <c r="Q106" s="888">
        <f t="shared" si="36"/>
        <v>22255.556696262611</v>
      </c>
      <c r="R106" s="888">
        <f t="shared" si="36"/>
        <v>23197.704438930348</v>
      </c>
      <c r="S106" s="888">
        <f t="shared" si="36"/>
        <v>24118.790004308667</v>
      </c>
      <c r="T106" s="888">
        <f t="shared" si="36"/>
        <v>25021.021329714717</v>
      </c>
      <c r="U106" s="888">
        <f t="shared" si="36"/>
        <v>25930.657022753221</v>
      </c>
      <c r="V106" s="888">
        <f t="shared" si="36"/>
        <v>26854.19862034751</v>
      </c>
      <c r="W106" s="888">
        <f t="shared" si="36"/>
        <v>27788.738714146039</v>
      </c>
      <c r="X106" s="888">
        <f t="shared" si="36"/>
        <v>28711.033231027162</v>
      </c>
      <c r="Y106" s="888">
        <f t="shared" si="36"/>
        <v>29658.306292728765</v>
      </c>
      <c r="Z106" s="888">
        <f t="shared" si="36"/>
        <v>30634.511948431682</v>
      </c>
      <c r="AA106" s="888">
        <f t="shared" si="36"/>
        <v>31635.409185653309</v>
      </c>
      <c r="AB106" s="888">
        <f t="shared" si="36"/>
        <v>32646.188816786555</v>
      </c>
      <c r="AC106" s="888">
        <f t="shared" si="36"/>
        <v>33669.289767392293</v>
      </c>
      <c r="AD106" s="888">
        <f t="shared" si="36"/>
        <v>34708.092163641901</v>
      </c>
      <c r="AE106" s="888">
        <f t="shared" si="36"/>
        <v>35763.289840223857</v>
      </c>
      <c r="AF106" s="888">
        <f t="shared" si="36"/>
        <v>36837.749441910739</v>
      </c>
      <c r="AG106" s="888">
        <f t="shared" si="36"/>
        <v>37938.816120334654</v>
      </c>
      <c r="AH106" s="888">
        <f t="shared" si="36"/>
        <v>39067.45518604308</v>
      </c>
      <c r="AI106" s="888">
        <f t="shared" si="36"/>
        <v>40221.996663108228</v>
      </c>
      <c r="AJ106" s="888">
        <f t="shared" si="36"/>
        <v>41381.730077470413</v>
      </c>
      <c r="AK106" s="888">
        <f t="shared" si="36"/>
        <v>42541.791338758754</v>
      </c>
      <c r="AM106" s="738" t="s">
        <v>3459</v>
      </c>
    </row>
    <row r="107" spans="1:55">
      <c r="A107" s="19"/>
      <c r="B107" s="6" t="s">
        <v>17</v>
      </c>
      <c r="C107" s="888">
        <f t="shared" ref="C107:AK107" si="37">C68*INDEX($C89:$AS89,MATCH(C$100,$C$82:$AS$82,0))</f>
        <v>0</v>
      </c>
      <c r="D107" s="888">
        <f t="shared" si="37"/>
        <v>0</v>
      </c>
      <c r="E107" s="888">
        <f t="shared" si="37"/>
        <v>0</v>
      </c>
      <c r="F107" s="888">
        <f t="shared" si="37"/>
        <v>0</v>
      </c>
      <c r="G107" s="888">
        <f t="shared" si="37"/>
        <v>1835.20691538305</v>
      </c>
      <c r="H107" s="888">
        <f t="shared" si="37"/>
        <v>4907.2203147301643</v>
      </c>
      <c r="I107" s="888">
        <f t="shared" si="37"/>
        <v>7015.1801580700685</v>
      </c>
      <c r="J107" s="888">
        <f t="shared" si="37"/>
        <v>8505.2591541650036</v>
      </c>
      <c r="K107" s="888">
        <f t="shared" si="37"/>
        <v>9615.9458464978234</v>
      </c>
      <c r="L107" s="888">
        <f t="shared" si="37"/>
        <v>10486.416863402937</v>
      </c>
      <c r="M107" s="888">
        <f t="shared" si="37"/>
        <v>11201.866715912587</v>
      </c>
      <c r="N107" s="888">
        <f t="shared" si="37"/>
        <v>11802.331975956224</v>
      </c>
      <c r="O107" s="888">
        <f t="shared" si="37"/>
        <v>12341.115032059473</v>
      </c>
      <c r="P107" s="888">
        <f t="shared" si="37"/>
        <v>12851.629588977703</v>
      </c>
      <c r="Q107" s="888">
        <f t="shared" si="37"/>
        <v>13354.162231058726</v>
      </c>
      <c r="R107" s="888">
        <f t="shared" si="37"/>
        <v>13858.459733692836</v>
      </c>
      <c r="S107" s="888">
        <f t="shared" si="37"/>
        <v>14361.596914579046</v>
      </c>
      <c r="T107" s="888">
        <f t="shared" si="37"/>
        <v>14863.9340567992</v>
      </c>
      <c r="U107" s="888">
        <f t="shared" si="37"/>
        <v>15378.150641781365</v>
      </c>
      <c r="V107" s="888">
        <f t="shared" si="37"/>
        <v>15902.673283424136</v>
      </c>
      <c r="W107" s="888">
        <f t="shared" si="37"/>
        <v>16435.174537260744</v>
      </c>
      <c r="X107" s="888">
        <f t="shared" si="37"/>
        <v>16967.414668420344</v>
      </c>
      <c r="Y107" s="888">
        <f t="shared" si="37"/>
        <v>17513.880913848272</v>
      </c>
      <c r="Z107" s="888">
        <f t="shared" si="37"/>
        <v>18075.333122574084</v>
      </c>
      <c r="AA107" s="888">
        <f t="shared" si="37"/>
        <v>18649.426847806939</v>
      </c>
      <c r="AB107" s="888">
        <f t="shared" si="37"/>
        <v>19230.469799809278</v>
      </c>
      <c r="AC107" s="888">
        <f t="shared" si="37"/>
        <v>19818.731435191599</v>
      </c>
      <c r="AD107" s="888">
        <f t="shared" si="37"/>
        <v>20414.87995646823</v>
      </c>
      <c r="AE107" s="888">
        <f t="shared" si="37"/>
        <v>21018.646714999308</v>
      </c>
      <c r="AF107" s="888">
        <f t="shared" si="37"/>
        <v>21631.278916160772</v>
      </c>
      <c r="AG107" s="888">
        <f t="shared" si="37"/>
        <v>22257.111774988807</v>
      </c>
      <c r="AH107" s="888">
        <f t="shared" si="37"/>
        <v>22896.645584873244</v>
      </c>
      <c r="AI107" s="888">
        <f t="shared" si="37"/>
        <v>23550.050511093392</v>
      </c>
      <c r="AJ107" s="888">
        <f t="shared" si="37"/>
        <v>24208.069581187887</v>
      </c>
      <c r="AK107" s="888">
        <f t="shared" si="37"/>
        <v>24867.376807474022</v>
      </c>
      <c r="AM107" s="738" t="s">
        <v>3459</v>
      </c>
    </row>
    <row r="108" spans="1:55">
      <c r="A108" s="19"/>
      <c r="B108" s="6" t="s">
        <v>217</v>
      </c>
      <c r="C108" s="888">
        <f t="shared" ref="C108:AK108" si="38">C69*INDEX($C90:$AS90,MATCH(C$100,$C$82:$AS$82,0))</f>
        <v>0</v>
      </c>
      <c r="D108" s="888">
        <f t="shared" si="38"/>
        <v>0</v>
      </c>
      <c r="E108" s="888">
        <f t="shared" si="38"/>
        <v>0</v>
      </c>
      <c r="F108" s="888">
        <f t="shared" si="38"/>
        <v>0</v>
      </c>
      <c r="G108" s="888">
        <f t="shared" si="38"/>
        <v>37383.166848618966</v>
      </c>
      <c r="H108" s="888">
        <f t="shared" si="38"/>
        <v>63590.79552366885</v>
      </c>
      <c r="I108" s="888">
        <f t="shared" si="38"/>
        <v>83433.736545341002</v>
      </c>
      <c r="J108" s="888">
        <f t="shared" si="38"/>
        <v>99131.912052063766</v>
      </c>
      <c r="K108" s="888">
        <f t="shared" si="38"/>
        <v>112350.70986266839</v>
      </c>
      <c r="L108" s="888">
        <f t="shared" si="38"/>
        <v>124030.60812620439</v>
      </c>
      <c r="M108" s="888">
        <f t="shared" si="38"/>
        <v>134772.01821231557</v>
      </c>
      <c r="N108" s="888">
        <f t="shared" si="38"/>
        <v>144848.51259855102</v>
      </c>
      <c r="O108" s="888">
        <f t="shared" si="38"/>
        <v>154692.05801367678</v>
      </c>
      <c r="P108" s="888">
        <f t="shared" si="38"/>
        <v>164610.246929018</v>
      </c>
      <c r="Q108" s="888">
        <f t="shared" si="38"/>
        <v>174816.18645309674</v>
      </c>
      <c r="R108" s="888">
        <f t="shared" si="38"/>
        <v>185425.29715599644</v>
      </c>
      <c r="S108" s="888">
        <f t="shared" si="38"/>
        <v>196418.25857050857</v>
      </c>
      <c r="T108" s="888">
        <f t="shared" si="38"/>
        <v>207817.77680605324</v>
      </c>
      <c r="U108" s="888">
        <f t="shared" si="38"/>
        <v>219805.62509546286</v>
      </c>
      <c r="V108" s="888">
        <f t="shared" si="38"/>
        <v>232368.36588652388</v>
      </c>
      <c r="W108" s="888">
        <f t="shared" si="38"/>
        <v>245498.86224962008</v>
      </c>
      <c r="X108" s="888">
        <f t="shared" si="38"/>
        <v>259125.50330938213</v>
      </c>
      <c r="Y108" s="888">
        <f t="shared" si="38"/>
        <v>273447.59805714025</v>
      </c>
      <c r="Z108" s="888">
        <f t="shared" si="38"/>
        <v>288502.87491032341</v>
      </c>
      <c r="AA108" s="888">
        <f t="shared" si="38"/>
        <v>304289.53643206274</v>
      </c>
      <c r="AB108" s="888">
        <f t="shared" si="38"/>
        <v>320762.37258882343</v>
      </c>
      <c r="AC108" s="888">
        <f t="shared" si="38"/>
        <v>337944.86434885784</v>
      </c>
      <c r="AD108" s="888">
        <f t="shared" si="38"/>
        <v>355867.8045124124</v>
      </c>
      <c r="AE108" s="888">
        <f t="shared" si="38"/>
        <v>374551.15865742916</v>
      </c>
      <c r="AF108" s="888">
        <f t="shared" si="38"/>
        <v>394042.96585852315</v>
      </c>
      <c r="AG108" s="888">
        <f t="shared" si="38"/>
        <v>414451.94377236534</v>
      </c>
      <c r="AH108" s="888">
        <f t="shared" si="38"/>
        <v>435824.69918679848</v>
      </c>
      <c r="AI108" s="888">
        <f t="shared" si="38"/>
        <v>458210.42266595387</v>
      </c>
      <c r="AJ108" s="888">
        <f t="shared" si="38"/>
        <v>481489.41632708616</v>
      </c>
      <c r="AK108" s="888">
        <f t="shared" si="38"/>
        <v>505622.04679161147</v>
      </c>
      <c r="AM108" s="738" t="s">
        <v>3459</v>
      </c>
    </row>
    <row r="109" spans="1:55" s="73" customFormat="1">
      <c r="A109" s="802"/>
      <c r="B109" s="26" t="s">
        <v>3714</v>
      </c>
      <c r="C109" s="888">
        <f t="shared" ref="C109:AK109" si="39">C70*INDEX($C91:$AS91,MATCH(C$100,$C$82:$AS$82,0))</f>
        <v>0</v>
      </c>
      <c r="D109" s="888">
        <f t="shared" si="39"/>
        <v>0</v>
      </c>
      <c r="E109" s="888">
        <f t="shared" si="39"/>
        <v>0</v>
      </c>
      <c r="F109" s="888">
        <f t="shared" si="39"/>
        <v>0</v>
      </c>
      <c r="G109" s="888">
        <f t="shared" si="39"/>
        <v>47010.944887128047</v>
      </c>
      <c r="H109" s="888">
        <f t="shared" si="39"/>
        <v>58393.867538004844</v>
      </c>
      <c r="I109" s="888">
        <f t="shared" si="39"/>
        <v>66801.412441991852</v>
      </c>
      <c r="J109" s="888">
        <f t="shared" si="39"/>
        <v>73277.400339375003</v>
      </c>
      <c r="K109" s="888">
        <f t="shared" si="39"/>
        <v>78634.722531182531</v>
      </c>
      <c r="L109" s="888">
        <f t="shared" si="39"/>
        <v>83248.180673848299</v>
      </c>
      <c r="M109" s="888">
        <f t="shared" si="39"/>
        <v>87358.205152123235</v>
      </c>
      <c r="N109" s="888">
        <f t="shared" si="39"/>
        <v>91079.944645165728</v>
      </c>
      <c r="O109" s="888">
        <f t="shared" si="39"/>
        <v>94578.61846403456</v>
      </c>
      <c r="P109" s="888">
        <f t="shared" si="39"/>
        <v>97982.062317030723</v>
      </c>
      <c r="Q109" s="888">
        <f t="shared" si="39"/>
        <v>101379.77062778531</v>
      </c>
      <c r="R109" s="888">
        <f t="shared" si="39"/>
        <v>105159.24960049511</v>
      </c>
      <c r="S109" s="888">
        <f t="shared" si="39"/>
        <v>108922.64273284932</v>
      </c>
      <c r="T109" s="888">
        <f t="shared" si="39"/>
        <v>112689.17011930901</v>
      </c>
      <c r="U109" s="888">
        <f t="shared" si="39"/>
        <v>116551.46873133324</v>
      </c>
      <c r="V109" s="888">
        <f t="shared" si="39"/>
        <v>120478.78160192398</v>
      </c>
      <c r="W109" s="888">
        <f t="shared" si="39"/>
        <v>124458.99442005901</v>
      </c>
      <c r="X109" s="888">
        <f t="shared" si="39"/>
        <v>128466.71731468913</v>
      </c>
      <c r="Y109" s="888">
        <f t="shared" si="39"/>
        <v>132569.08080117928</v>
      </c>
      <c r="Z109" s="888">
        <f t="shared" si="39"/>
        <v>136766.92372426941</v>
      </c>
      <c r="AA109" s="888">
        <f t="shared" si="39"/>
        <v>141046.79730605951</v>
      </c>
      <c r="AB109" s="888">
        <f t="shared" si="39"/>
        <v>145385.14890628291</v>
      </c>
      <c r="AC109" s="888">
        <f t="shared" si="39"/>
        <v>149777.15027788482</v>
      </c>
      <c r="AD109" s="888">
        <f t="shared" si="39"/>
        <v>154220.5641557831</v>
      </c>
      <c r="AE109" s="888">
        <f t="shared" si="39"/>
        <v>158710.31091162196</v>
      </c>
      <c r="AF109" s="888">
        <f t="shared" si="39"/>
        <v>163254.1543201867</v>
      </c>
      <c r="AG109" s="888">
        <f t="shared" si="39"/>
        <v>167885.17135549756</v>
      </c>
      <c r="AH109" s="888">
        <f t="shared" si="39"/>
        <v>172607.4645514584</v>
      </c>
      <c r="AI109" s="888">
        <f t="shared" si="39"/>
        <v>177429.46129320422</v>
      </c>
      <c r="AJ109" s="888">
        <f t="shared" si="39"/>
        <v>182298.68012103671</v>
      </c>
      <c r="AK109" s="888">
        <f t="shared" si="39"/>
        <v>187186.04769010106</v>
      </c>
      <c r="AL109"/>
      <c r="AM109" s="804" t="s">
        <v>3459</v>
      </c>
      <c r="AN109"/>
      <c r="AO109"/>
      <c r="AQ109"/>
    </row>
    <row r="110" spans="1:55" s="73" customFormat="1">
      <c r="A110" s="802"/>
      <c r="B110" s="26" t="s">
        <v>102</v>
      </c>
      <c r="C110" s="888">
        <f t="shared" ref="C110:AK110" si="40">C71*INDEX($C92:$AS92,MATCH(C$100,$C$82:$AS$82,0))</f>
        <v>0</v>
      </c>
      <c r="D110" s="888">
        <f t="shared" si="40"/>
        <v>0</v>
      </c>
      <c r="E110" s="888">
        <f t="shared" si="40"/>
        <v>0</v>
      </c>
      <c r="F110" s="888">
        <f t="shared" si="40"/>
        <v>0</v>
      </c>
      <c r="G110" s="888">
        <f t="shared" si="40"/>
        <v>-15488.640392827652</v>
      </c>
      <c r="H110" s="888">
        <f t="shared" si="40"/>
        <v>-23431.788583986399</v>
      </c>
      <c r="I110" s="888">
        <f t="shared" si="40"/>
        <v>-31437.157162034648</v>
      </c>
      <c r="J110" s="888">
        <f t="shared" si="40"/>
        <v>-39620.074916843019</v>
      </c>
      <c r="K110" s="888">
        <f t="shared" si="40"/>
        <v>-48085.57129903687</v>
      </c>
      <c r="L110" s="888">
        <f t="shared" si="40"/>
        <v>-56888.691410262589</v>
      </c>
      <c r="M110" s="888">
        <f t="shared" si="40"/>
        <v>-66071.673581578114</v>
      </c>
      <c r="N110" s="888">
        <f t="shared" si="40"/>
        <v>-75678.801901810526</v>
      </c>
      <c r="O110" s="888">
        <f t="shared" si="40"/>
        <v>-85727.27034607617</v>
      </c>
      <c r="P110" s="888">
        <f t="shared" si="40"/>
        <v>-96236.423823757184</v>
      </c>
      <c r="Q110" s="888">
        <f t="shared" si="40"/>
        <v>-107227.60586457032</v>
      </c>
      <c r="R110" s="888">
        <f t="shared" si="40"/>
        <v>-107016.3200741117</v>
      </c>
      <c r="S110" s="888">
        <f t="shared" si="40"/>
        <v>-108178.2448261056</v>
      </c>
      <c r="T110" s="888">
        <f t="shared" si="40"/>
        <v>-110268.50481609321</v>
      </c>
      <c r="U110" s="888">
        <f t="shared" si="40"/>
        <v>-113003.11558820252</v>
      </c>
      <c r="V110" s="888">
        <f t="shared" si="40"/>
        <v>-116167.93412212115</v>
      </c>
      <c r="W110" s="888">
        <f t="shared" si="40"/>
        <v>-119633.19332700783</v>
      </c>
      <c r="X110" s="888">
        <f t="shared" si="40"/>
        <v>-123324.41571759804</v>
      </c>
      <c r="Y110" s="888">
        <f t="shared" si="40"/>
        <v>-127182.89745793358</v>
      </c>
      <c r="Z110" s="888">
        <f t="shared" si="40"/>
        <v>-131179.17900689738</v>
      </c>
      <c r="AA110" s="888">
        <f t="shared" si="40"/>
        <v>-135295.85166354192</v>
      </c>
      <c r="AB110" s="888">
        <f t="shared" si="40"/>
        <v>-139522.63522956547</v>
      </c>
      <c r="AC110" s="888">
        <f t="shared" si="40"/>
        <v>-143849.67001516567</v>
      </c>
      <c r="AD110" s="888">
        <f t="shared" si="40"/>
        <v>-148269.19442649471</v>
      </c>
      <c r="AE110" s="888">
        <f t="shared" si="40"/>
        <v>-152772.19744217265</v>
      </c>
      <c r="AF110" s="888">
        <f t="shared" si="40"/>
        <v>-157344.73190061786</v>
      </c>
      <c r="AG110" s="888">
        <f t="shared" si="40"/>
        <v>-161986.06064275617</v>
      </c>
      <c r="AH110" s="888">
        <f t="shared" si="40"/>
        <v>-166696.0855302905</v>
      </c>
      <c r="AI110" s="888">
        <f t="shared" si="40"/>
        <v>-171473.69693824762</v>
      </c>
      <c r="AJ110" s="888">
        <f t="shared" si="40"/>
        <v>-176316.74244314549</v>
      </c>
      <c r="AK110" s="888">
        <f t="shared" si="40"/>
        <v>-181220.07963981462</v>
      </c>
      <c r="AL110"/>
      <c r="AM110" s="804" t="s">
        <v>3459</v>
      </c>
      <c r="AN110"/>
      <c r="AO110"/>
      <c r="AQ110"/>
    </row>
    <row r="111" spans="1:55" s="73" customFormat="1">
      <c r="A111" s="802"/>
      <c r="B111" s="26" t="s">
        <v>2831</v>
      </c>
      <c r="C111" s="888">
        <f t="shared" ref="C111:AK111" si="41">C72*INDEX($C93:$AS93,MATCH(C$100,$C$82:$AS$82,0))</f>
        <v>0</v>
      </c>
      <c r="D111" s="888">
        <f t="shared" si="41"/>
        <v>0</v>
      </c>
      <c r="E111" s="888">
        <f t="shared" si="41"/>
        <v>0</v>
      </c>
      <c r="F111" s="888">
        <f t="shared" si="41"/>
        <v>0</v>
      </c>
      <c r="G111" s="888">
        <f t="shared" si="41"/>
        <v>776.2905390044109</v>
      </c>
      <c r="H111" s="888">
        <f t="shared" si="41"/>
        <v>27321.547706356156</v>
      </c>
      <c r="I111" s="888">
        <f t="shared" si="41"/>
        <v>43407.46210896672</v>
      </c>
      <c r="J111" s="888">
        <f t="shared" si="41"/>
        <v>52503.716641000508</v>
      </c>
      <c r="K111" s="888">
        <f t="shared" si="41"/>
        <v>57023.972341917492</v>
      </c>
      <c r="L111" s="888">
        <f t="shared" si="41"/>
        <v>58408.904256322399</v>
      </c>
      <c r="M111" s="888">
        <f t="shared" si="41"/>
        <v>57545.681596188384</v>
      </c>
      <c r="N111" s="888">
        <f t="shared" si="41"/>
        <v>55000.558943525393</v>
      </c>
      <c r="O111" s="888">
        <f t="shared" si="41"/>
        <v>51198.089605683657</v>
      </c>
      <c r="P111" s="888">
        <f t="shared" si="41"/>
        <v>46504.271728731692</v>
      </c>
      <c r="Q111" s="888">
        <f t="shared" si="41"/>
        <v>41135.950200891311</v>
      </c>
      <c r="R111" s="888">
        <f t="shared" si="41"/>
        <v>47419.156427366026</v>
      </c>
      <c r="S111" s="888">
        <f t="shared" si="41"/>
        <v>52270.948121812376</v>
      </c>
      <c r="T111" s="888">
        <f t="shared" si="41"/>
        <v>56152.608142142977</v>
      </c>
      <c r="U111" s="888">
        <f t="shared" si="41"/>
        <v>59505.563345830502</v>
      </c>
      <c r="V111" s="888">
        <f t="shared" si="41"/>
        <v>62537.893183664957</v>
      </c>
      <c r="W111" s="888">
        <f t="shared" si="41"/>
        <v>65359.676263365094</v>
      </c>
      <c r="X111" s="888">
        <f t="shared" si="41"/>
        <v>67949.688831519947</v>
      </c>
      <c r="Y111" s="888">
        <f t="shared" si="41"/>
        <v>70543.208600248967</v>
      </c>
      <c r="Z111" s="888">
        <f t="shared" si="41"/>
        <v>73183.241848568141</v>
      </c>
      <c r="AA111" s="888">
        <f t="shared" si="41"/>
        <v>75862.29403957566</v>
      </c>
      <c r="AB111" s="888">
        <f t="shared" si="41"/>
        <v>78522.933561557627</v>
      </c>
      <c r="AC111" s="888">
        <f t="shared" si="41"/>
        <v>81179.158043822579</v>
      </c>
      <c r="AD111" s="888">
        <f t="shared" si="41"/>
        <v>83848.061053997502</v>
      </c>
      <c r="AE111" s="888">
        <f t="shared" si="41"/>
        <v>86536.990163074981</v>
      </c>
      <c r="AF111" s="888">
        <f t="shared" si="41"/>
        <v>89277.465118082735</v>
      </c>
      <c r="AG111" s="888">
        <f t="shared" si="41"/>
        <v>92124.277056280785</v>
      </c>
      <c r="AH111" s="888">
        <f t="shared" si="41"/>
        <v>95085.161808869248</v>
      </c>
      <c r="AI111" s="888">
        <f t="shared" si="41"/>
        <v>98164.306165045113</v>
      </c>
      <c r="AJ111" s="888">
        <f t="shared" si="41"/>
        <v>101249.29667603754</v>
      </c>
      <c r="AK111" s="888">
        <f t="shared" si="41"/>
        <v>104303.83944076716</v>
      </c>
      <c r="AL111"/>
      <c r="AM111" s="804" t="s">
        <v>3458</v>
      </c>
      <c r="AN111"/>
      <c r="AO111"/>
      <c r="AQ111"/>
    </row>
    <row r="112" spans="1:55" s="73" customFormat="1">
      <c r="A112" s="802"/>
      <c r="B112" s="26" t="s">
        <v>2832</v>
      </c>
      <c r="C112" s="888">
        <f t="shared" ref="C112:AK112" si="42">C73*INDEX($C94:$AS94,MATCH(C$100,$C$82:$AS$82,0))</f>
        <v>0</v>
      </c>
      <c r="D112" s="888">
        <f t="shared" si="42"/>
        <v>0</v>
      </c>
      <c r="E112" s="888">
        <f t="shared" si="42"/>
        <v>0</v>
      </c>
      <c r="F112" s="888">
        <f t="shared" si="42"/>
        <v>0</v>
      </c>
      <c r="G112" s="888">
        <f t="shared" si="42"/>
        <v>0</v>
      </c>
      <c r="H112" s="888">
        <f t="shared" si="42"/>
        <v>0</v>
      </c>
      <c r="I112" s="888">
        <f t="shared" si="42"/>
        <v>0</v>
      </c>
      <c r="J112" s="888">
        <f t="shared" si="42"/>
        <v>0</v>
      </c>
      <c r="K112" s="888">
        <f t="shared" si="42"/>
        <v>0</v>
      </c>
      <c r="L112" s="888">
        <f t="shared" si="42"/>
        <v>0</v>
      </c>
      <c r="M112" s="888">
        <f t="shared" si="42"/>
        <v>0</v>
      </c>
      <c r="N112" s="888">
        <f t="shared" si="42"/>
        <v>0</v>
      </c>
      <c r="O112" s="888">
        <f t="shared" si="42"/>
        <v>0</v>
      </c>
      <c r="P112" s="888">
        <f t="shared" si="42"/>
        <v>0</v>
      </c>
      <c r="Q112" s="888">
        <f t="shared" si="42"/>
        <v>0</v>
      </c>
      <c r="R112" s="888">
        <f t="shared" si="42"/>
        <v>0</v>
      </c>
      <c r="S112" s="888">
        <f t="shared" si="42"/>
        <v>0</v>
      </c>
      <c r="T112" s="888">
        <f t="shared" si="42"/>
        <v>0</v>
      </c>
      <c r="U112" s="888">
        <f t="shared" si="42"/>
        <v>0</v>
      </c>
      <c r="V112" s="888">
        <f t="shared" si="42"/>
        <v>0</v>
      </c>
      <c r="W112" s="888">
        <f t="shared" si="42"/>
        <v>0</v>
      </c>
      <c r="X112" s="888">
        <f t="shared" si="42"/>
        <v>0</v>
      </c>
      <c r="Y112" s="888">
        <f t="shared" si="42"/>
        <v>0</v>
      </c>
      <c r="Z112" s="888">
        <f t="shared" si="42"/>
        <v>0</v>
      </c>
      <c r="AA112" s="888">
        <f t="shared" si="42"/>
        <v>0</v>
      </c>
      <c r="AB112" s="888">
        <f t="shared" si="42"/>
        <v>0</v>
      </c>
      <c r="AC112" s="888">
        <f t="shared" si="42"/>
        <v>0</v>
      </c>
      <c r="AD112" s="888">
        <f t="shared" si="42"/>
        <v>0</v>
      </c>
      <c r="AE112" s="888">
        <f t="shared" si="42"/>
        <v>0</v>
      </c>
      <c r="AF112" s="888">
        <f t="shared" si="42"/>
        <v>0</v>
      </c>
      <c r="AG112" s="888">
        <f t="shared" si="42"/>
        <v>0</v>
      </c>
      <c r="AH112" s="888">
        <f t="shared" si="42"/>
        <v>0</v>
      </c>
      <c r="AI112" s="888">
        <f t="shared" si="42"/>
        <v>0</v>
      </c>
      <c r="AJ112" s="888">
        <f t="shared" si="42"/>
        <v>0</v>
      </c>
      <c r="AK112" s="888">
        <f t="shared" si="42"/>
        <v>0</v>
      </c>
      <c r="AL112"/>
      <c r="AM112" s="804" t="s">
        <v>3458</v>
      </c>
      <c r="AN112"/>
      <c r="AO112"/>
      <c r="AQ112"/>
    </row>
    <row r="113" spans="1:55" s="443" customFormat="1">
      <c r="A113" s="889"/>
      <c r="B113" s="890" t="s">
        <v>22</v>
      </c>
      <c r="C113" s="891">
        <f t="shared" ref="C113:AF113" si="43">SUM(C101:C112)</f>
        <v>0</v>
      </c>
      <c r="D113" s="891">
        <f t="shared" si="43"/>
        <v>0</v>
      </c>
      <c r="E113" s="891">
        <f t="shared" si="43"/>
        <v>0</v>
      </c>
      <c r="F113" s="891">
        <f t="shared" si="43"/>
        <v>0</v>
      </c>
      <c r="G113" s="891">
        <f t="shared" si="43"/>
        <v>1318.3667778340789</v>
      </c>
      <c r="H113" s="891">
        <f t="shared" si="43"/>
        <v>166028.43673029728</v>
      </c>
      <c r="I113" s="891">
        <f t="shared" si="43"/>
        <v>276349.26253257401</v>
      </c>
      <c r="J113" s="891">
        <f t="shared" si="43"/>
        <v>350953.05378853728</v>
      </c>
      <c r="K113" s="891">
        <f t="shared" si="43"/>
        <v>402785.58316312369</v>
      </c>
      <c r="L113" s="891">
        <f t="shared" si="43"/>
        <v>439722.70990906883</v>
      </c>
      <c r="M113" s="891">
        <f t="shared" si="43"/>
        <v>466635.02253691177</v>
      </c>
      <c r="N113" s="891">
        <f t="shared" si="43"/>
        <v>485941.02826387493</v>
      </c>
      <c r="O113" s="891">
        <f t="shared" si="43"/>
        <v>500652.04310338863</v>
      </c>
      <c r="P113" s="891">
        <f t="shared" si="43"/>
        <v>512761.80423646863</v>
      </c>
      <c r="Q113" s="891">
        <f t="shared" si="43"/>
        <v>523487.24131234072</v>
      </c>
      <c r="R113" s="891">
        <f t="shared" si="43"/>
        <v>557722.93632417289</v>
      </c>
      <c r="S113" s="891">
        <f t="shared" si="43"/>
        <v>589359.49053703249</v>
      </c>
      <c r="T113" s="891">
        <f t="shared" si="43"/>
        <v>619362.38277067547</v>
      </c>
      <c r="U113" s="891">
        <f t="shared" si="43"/>
        <v>649078.25161309598</v>
      </c>
      <c r="V113" s="891">
        <f t="shared" si="43"/>
        <v>678949.41910091892</v>
      </c>
      <c r="W113" s="891">
        <f t="shared" si="43"/>
        <v>709149.49636761111</v>
      </c>
      <c r="X113" s="891">
        <f t="shared" si="43"/>
        <v>739332.93279528001</v>
      </c>
      <c r="Y113" s="891">
        <f t="shared" si="43"/>
        <v>770546.92332992353</v>
      </c>
      <c r="Z113" s="891">
        <f t="shared" si="43"/>
        <v>802949.53294227482</v>
      </c>
      <c r="AA113" s="891">
        <f t="shared" si="43"/>
        <v>836476.09633626766</v>
      </c>
      <c r="AB113" s="891">
        <f t="shared" si="43"/>
        <v>870817.24417279777</v>
      </c>
      <c r="AC113" s="891">
        <f t="shared" si="43"/>
        <v>906045.72319250915</v>
      </c>
      <c r="AD113" s="891">
        <f t="shared" si="43"/>
        <v>942256.89700167335</v>
      </c>
      <c r="AE113" s="891">
        <f t="shared" si="43"/>
        <v>979488.67899477668</v>
      </c>
      <c r="AF113" s="891">
        <f t="shared" si="43"/>
        <v>1017880.6998661166</v>
      </c>
      <c r="AG113" s="891">
        <f>SUM(AG101:AG112)</f>
        <v>1057734.6133967785</v>
      </c>
      <c r="AH113" s="891">
        <f t="shared" ref="AH113:AK113" si="44">SUM(AH101:AH112)</f>
        <v>1099123.8668570067</v>
      </c>
      <c r="AI113" s="891">
        <f t="shared" si="44"/>
        <v>1142095.3112276879</v>
      </c>
      <c r="AJ113" s="891">
        <f t="shared" si="44"/>
        <v>1186089.7298734332</v>
      </c>
      <c r="AK113" s="891">
        <f t="shared" si="44"/>
        <v>1230938.113211849</v>
      </c>
      <c r="AL113" s="9"/>
      <c r="AM113" s="9"/>
      <c r="AN113" s="9"/>
      <c r="AO113" s="9"/>
      <c r="AQ113" s="9"/>
    </row>
    <row r="114" spans="1:55" s="443" customFormat="1">
      <c r="A114" s="889"/>
      <c r="B114" s="902"/>
      <c r="C114" s="903"/>
      <c r="D114" s="903"/>
      <c r="E114" s="903"/>
      <c r="F114" s="903"/>
      <c r="G114" s="903"/>
      <c r="H114" s="903"/>
      <c r="I114" s="903"/>
      <c r="J114" s="903"/>
      <c r="K114" s="903"/>
      <c r="L114" s="903"/>
      <c r="M114" s="903"/>
      <c r="N114" s="903"/>
      <c r="O114" s="903"/>
      <c r="P114" s="903"/>
      <c r="Q114" s="903"/>
      <c r="R114" s="903"/>
      <c r="S114" s="903"/>
      <c r="T114" s="903"/>
      <c r="U114" s="903"/>
      <c r="V114" s="903"/>
      <c r="W114" s="903"/>
      <c r="X114" s="903"/>
      <c r="Y114" s="903"/>
      <c r="Z114" s="903"/>
      <c r="AA114" s="903"/>
      <c r="AB114" s="903"/>
      <c r="AC114" s="903"/>
      <c r="AD114" s="903"/>
      <c r="AE114" s="903"/>
      <c r="AF114" s="903"/>
      <c r="AG114" s="903"/>
      <c r="AH114" s="903"/>
      <c r="AI114" s="892"/>
      <c r="AJ114" s="892"/>
      <c r="AK114" s="892"/>
      <c r="AL114" s="9"/>
      <c r="AM114" s="9"/>
      <c r="AN114" s="9"/>
      <c r="AO114" s="9"/>
      <c r="AQ114" s="9"/>
    </row>
    <row r="116" spans="1:55">
      <c r="A116" s="9" t="s">
        <v>10</v>
      </c>
      <c r="B116" s="894" t="s">
        <v>3734</v>
      </c>
    </row>
    <row r="118" spans="1:55">
      <c r="B118" s="84" t="str">
        <f>'Implementation costs'!B16</f>
        <v>Cost (£m)</v>
      </c>
      <c r="C118" s="34">
        <f>C100</f>
        <v>2020</v>
      </c>
      <c r="D118" s="34">
        <f t="shared" ref="D118:AH118" si="45">D100</f>
        <v>2021</v>
      </c>
      <c r="E118" s="34">
        <f t="shared" si="45"/>
        <v>2022</v>
      </c>
      <c r="F118" s="34">
        <f t="shared" si="45"/>
        <v>2023</v>
      </c>
      <c r="G118" s="34">
        <f t="shared" si="45"/>
        <v>2024</v>
      </c>
      <c r="H118" s="34">
        <f t="shared" si="45"/>
        <v>2025</v>
      </c>
      <c r="I118" s="34">
        <f t="shared" si="45"/>
        <v>2026</v>
      </c>
      <c r="J118" s="34">
        <f t="shared" si="45"/>
        <v>2027</v>
      </c>
      <c r="K118" s="34">
        <f t="shared" si="45"/>
        <v>2028</v>
      </c>
      <c r="L118" s="34">
        <f t="shared" si="45"/>
        <v>2029</v>
      </c>
      <c r="M118" s="34">
        <f t="shared" si="45"/>
        <v>2030</v>
      </c>
      <c r="N118" s="34">
        <f t="shared" si="45"/>
        <v>2031</v>
      </c>
      <c r="O118" s="34">
        <f t="shared" si="45"/>
        <v>2032</v>
      </c>
      <c r="P118" s="34">
        <f t="shared" si="45"/>
        <v>2033</v>
      </c>
      <c r="Q118" s="34">
        <f t="shared" si="45"/>
        <v>2034</v>
      </c>
      <c r="R118" s="34">
        <f t="shared" si="45"/>
        <v>2035</v>
      </c>
      <c r="S118" s="34">
        <f t="shared" si="45"/>
        <v>2036</v>
      </c>
      <c r="T118" s="34">
        <f t="shared" si="45"/>
        <v>2037</v>
      </c>
      <c r="U118" s="34">
        <f t="shared" si="45"/>
        <v>2038</v>
      </c>
      <c r="V118" s="34">
        <f t="shared" si="45"/>
        <v>2039</v>
      </c>
      <c r="W118" s="34">
        <f t="shared" si="45"/>
        <v>2040</v>
      </c>
      <c r="X118" s="34">
        <f t="shared" si="45"/>
        <v>2041</v>
      </c>
      <c r="Y118" s="34">
        <f t="shared" si="45"/>
        <v>2042</v>
      </c>
      <c r="Z118" s="34">
        <f t="shared" si="45"/>
        <v>2043</v>
      </c>
      <c r="AA118" s="34">
        <f t="shared" si="45"/>
        <v>2044</v>
      </c>
      <c r="AB118" s="34">
        <f t="shared" si="45"/>
        <v>2045</v>
      </c>
      <c r="AC118" s="34">
        <f t="shared" si="45"/>
        <v>2046</v>
      </c>
      <c r="AD118" s="34">
        <f t="shared" si="45"/>
        <v>2047</v>
      </c>
      <c r="AE118" s="34">
        <f t="shared" si="45"/>
        <v>2048</v>
      </c>
      <c r="AF118" s="34">
        <f t="shared" si="45"/>
        <v>2049</v>
      </c>
      <c r="AG118" s="34">
        <f t="shared" si="45"/>
        <v>2050</v>
      </c>
      <c r="AH118" s="34">
        <f t="shared" si="45"/>
        <v>2051</v>
      </c>
      <c r="AI118" s="34">
        <f t="shared" ref="AI118:AK118" si="46">AI100</f>
        <v>2052</v>
      </c>
      <c r="AJ118" s="34">
        <f t="shared" si="46"/>
        <v>2053</v>
      </c>
      <c r="AK118" s="34">
        <f t="shared" si="46"/>
        <v>2054</v>
      </c>
    </row>
    <row r="119" spans="1:55">
      <c r="B119" s="431" t="str">
        <f>'Implementation costs'!B17</f>
        <v>Clinic set-up costs</v>
      </c>
      <c r="C119" s="553">
        <f>INDEX('Implementation costs'!$C17:$AZ17, MATCH(C$118, 'Implementation costs'!$C$16:$AZ$16,0))*10^6</f>
        <v>0</v>
      </c>
      <c r="D119" s="553">
        <f>INDEX('Implementation costs'!$C17:$AZ17, MATCH(D$118, 'Implementation costs'!$C$16:$AZ$16,0))*10^6</f>
        <v>277.04640468649472</v>
      </c>
      <c r="E119" s="553">
        <f>INDEX('Implementation costs'!$C17:$AZ17, MATCH(E$118, 'Implementation costs'!$C$16:$AZ$16,0))*10^6</f>
        <v>0</v>
      </c>
      <c r="F119" s="553">
        <f>INDEX('Implementation costs'!$C17:$AZ17, MATCH(F$118, 'Implementation costs'!$C$16:$AZ$16,0))*10^6</f>
        <v>0</v>
      </c>
      <c r="G119" s="553">
        <f>INDEX('Implementation costs'!$C17:$AZ17, MATCH(G$118, 'Implementation costs'!$C$16:$AZ$16,0))*10^6</f>
        <v>0</v>
      </c>
      <c r="H119" s="553">
        <f>INDEX('Implementation costs'!$C17:$AZ17, MATCH(H$118, 'Implementation costs'!$C$16:$AZ$16,0))*10^6</f>
        <v>0</v>
      </c>
      <c r="I119" s="553">
        <f>INDEX('Implementation costs'!$C17:$AZ17, MATCH(I$118, 'Implementation costs'!$C$16:$AZ$16,0))*10^6</f>
        <v>0</v>
      </c>
      <c r="J119" s="553">
        <f>INDEX('Implementation costs'!$C17:$AZ17, MATCH(J$118, 'Implementation costs'!$C$16:$AZ$16,0))*10^6</f>
        <v>0</v>
      </c>
      <c r="K119" s="553">
        <f>INDEX('Implementation costs'!$C17:$AZ17, MATCH(K$118, 'Implementation costs'!$C$16:$AZ$16,0))*10^6</f>
        <v>0</v>
      </c>
      <c r="L119" s="553">
        <f>INDEX('Implementation costs'!$C17:$AZ17, MATCH(L$118, 'Implementation costs'!$C$16:$AZ$16,0))*10^6</f>
        <v>0</v>
      </c>
      <c r="M119" s="553">
        <f>INDEX('Implementation costs'!$C17:$AZ17, MATCH(M$118, 'Implementation costs'!$C$16:$AZ$16,0))*10^6</f>
        <v>0</v>
      </c>
      <c r="N119" s="553">
        <f>INDEX('Implementation costs'!$C17:$AZ17, MATCH(N$118, 'Implementation costs'!$C$16:$AZ$16,0))*10^6</f>
        <v>0</v>
      </c>
      <c r="O119" s="553">
        <f>INDEX('Implementation costs'!$C17:$AZ17, MATCH(O$118, 'Implementation costs'!$C$16:$AZ$16,0))*10^6</f>
        <v>0</v>
      </c>
      <c r="P119" s="553">
        <f>INDEX('Implementation costs'!$C17:$AZ17, MATCH(P$118, 'Implementation costs'!$C$16:$AZ$16,0))*10^6</f>
        <v>0</v>
      </c>
      <c r="Q119" s="553">
        <f>INDEX('Implementation costs'!$C17:$AZ17, MATCH(Q$118, 'Implementation costs'!$C$16:$AZ$16,0))*10^6</f>
        <v>0</v>
      </c>
      <c r="R119" s="553">
        <f>INDEX('Implementation costs'!$C17:$AZ17, MATCH(R$118, 'Implementation costs'!$C$16:$AZ$16,0))*10^6</f>
        <v>0</v>
      </c>
      <c r="S119" s="553">
        <f>INDEX('Implementation costs'!$C17:$AZ17, MATCH(S$118, 'Implementation costs'!$C$16:$AZ$16,0))*10^6</f>
        <v>0</v>
      </c>
      <c r="T119" s="553">
        <f>INDEX('Implementation costs'!$C17:$AZ17, MATCH(T$118, 'Implementation costs'!$C$16:$AZ$16,0))*10^6</f>
        <v>0</v>
      </c>
      <c r="U119" s="553">
        <f>INDEX('Implementation costs'!$C17:$AZ17, MATCH(U$118, 'Implementation costs'!$C$16:$AZ$16,0))*10^6</f>
        <v>0</v>
      </c>
      <c r="V119" s="553">
        <f>INDEX('Implementation costs'!$C17:$AZ17, MATCH(V$118, 'Implementation costs'!$C$16:$AZ$16,0))*10^6</f>
        <v>0</v>
      </c>
      <c r="W119" s="553">
        <f>INDEX('Implementation costs'!$C17:$AZ17, MATCH(W$118, 'Implementation costs'!$C$16:$AZ$16,0))*10^6</f>
        <v>0</v>
      </c>
      <c r="X119" s="553">
        <f>INDEX('Implementation costs'!$C17:$AZ17, MATCH(X$118, 'Implementation costs'!$C$16:$AZ$16,0))*10^6</f>
        <v>0</v>
      </c>
      <c r="Y119" s="553">
        <f>INDEX('Implementation costs'!$C17:$AZ17, MATCH(Y$118, 'Implementation costs'!$C$16:$AZ$16,0))*10^6</f>
        <v>0</v>
      </c>
      <c r="Z119" s="553">
        <f>INDEX('Implementation costs'!$C17:$AZ17, MATCH(Z$118, 'Implementation costs'!$C$16:$AZ$16,0))*10^6</f>
        <v>0</v>
      </c>
      <c r="AA119" s="553">
        <f>INDEX('Implementation costs'!$C17:$AZ17, MATCH(AA$118, 'Implementation costs'!$C$16:$AZ$16,0))*10^6</f>
        <v>0</v>
      </c>
      <c r="AB119" s="553">
        <f>INDEX('Implementation costs'!$C17:$AZ17, MATCH(AB$118, 'Implementation costs'!$C$16:$AZ$16,0))*10^6</f>
        <v>0</v>
      </c>
      <c r="AC119" s="553">
        <f>INDEX('Implementation costs'!$C17:$AZ17, MATCH(AC$118, 'Implementation costs'!$C$16:$AZ$16,0))*10^6</f>
        <v>0</v>
      </c>
      <c r="AD119" s="553">
        <f>INDEX('Implementation costs'!$C17:$AZ17, MATCH(AD$118, 'Implementation costs'!$C$16:$AZ$16,0))*10^6</f>
        <v>0</v>
      </c>
      <c r="AE119" s="553">
        <f>INDEX('Implementation costs'!$C17:$AZ17, MATCH(AE$118, 'Implementation costs'!$C$16:$AZ$16,0))*10^6</f>
        <v>0</v>
      </c>
      <c r="AF119" s="553">
        <f>INDEX('Implementation costs'!$C17:$AZ17, MATCH(AF$118, 'Implementation costs'!$C$16:$AZ$16,0))*10^6</f>
        <v>0</v>
      </c>
      <c r="AG119" s="553">
        <f>INDEX('Implementation costs'!$C17:$AZ17, MATCH(AG$118, 'Implementation costs'!$C$16:$AZ$16,0))*10^6</f>
        <v>0</v>
      </c>
      <c r="AH119" s="553">
        <f>INDEX('Implementation costs'!$C17:$AZ17, MATCH(AH$118, 'Implementation costs'!$C$16:$AZ$16,0))*10^6</f>
        <v>0</v>
      </c>
      <c r="AI119" s="553">
        <f>INDEX('Implementation costs'!$C17:$AZ17, MATCH(AI$118, 'Implementation costs'!$C$16:$AZ$16,0))*10^6</f>
        <v>0</v>
      </c>
      <c r="AJ119" s="553">
        <f>INDEX('Implementation costs'!$C17:$AZ17, MATCH(AJ$118, 'Implementation costs'!$C$16:$AZ$16,0))*10^6</f>
        <v>0</v>
      </c>
      <c r="AK119" s="553">
        <f>INDEX('Implementation costs'!$C17:$AZ17, MATCH(AK$118, 'Implementation costs'!$C$16:$AZ$16,0))*10^6</f>
        <v>0</v>
      </c>
      <c r="BC119" s="151"/>
    </row>
    <row r="120" spans="1:55">
      <c r="B120" s="431" t="str">
        <f>'Implementation costs'!B18</f>
        <v>Clinic running costs</v>
      </c>
      <c r="C120" s="553">
        <f>INDEX('Implementation costs'!$C18:$AZ18, MATCH(C$118, 'Implementation costs'!$C$16:$AZ$16,0))*10^6</f>
        <v>0</v>
      </c>
      <c r="D120" s="553">
        <f>INDEX('Implementation costs'!$C18:$AZ18, MATCH(D$118, 'Implementation costs'!$C$16:$AZ$16,0))*10^6</f>
        <v>10451.357477557769</v>
      </c>
      <c r="E120" s="553">
        <f>INDEX('Implementation costs'!$C18:$AZ18, MATCH(E$118, 'Implementation costs'!$C$16:$AZ$16,0))*10^6</f>
        <v>22149.589795299267</v>
      </c>
      <c r="F120" s="553">
        <f>INDEX('Implementation costs'!$C18:$AZ18, MATCH(F$118, 'Implementation costs'!$C$16:$AZ$16,0))*10^6</f>
        <v>35069.929141069486</v>
      </c>
      <c r="G120" s="553">
        <f>INDEX('Implementation costs'!$C18:$AZ18, MATCH(G$118, 'Implementation costs'!$C$16:$AZ$16,0))*10^6</f>
        <v>36924.698986661562</v>
      </c>
      <c r="H120" s="553">
        <f>INDEX('Implementation costs'!$C18:$AZ18, MATCH(H$118, 'Implementation costs'!$C$16:$AZ$16,0))*10^6</f>
        <v>34558.984022198369</v>
      </c>
      <c r="I120" s="553">
        <f>INDEX('Implementation costs'!$C18:$AZ18, MATCH(I$118, 'Implementation costs'!$C$16:$AZ$16,0))*10^6</f>
        <v>33542.819559036237</v>
      </c>
      <c r="J120" s="553">
        <f>INDEX('Implementation costs'!$C18:$AZ18, MATCH(J$118, 'Implementation costs'!$C$16:$AZ$16,0))*10^6</f>
        <v>33429.223772808858</v>
      </c>
      <c r="K120" s="553">
        <f>INDEX('Implementation costs'!$C18:$AZ18, MATCH(K$118, 'Implementation costs'!$C$16:$AZ$16,0))*10^6</f>
        <v>33974.477308114991</v>
      </c>
      <c r="L120" s="553">
        <f>INDEX('Implementation costs'!$C18:$AZ18, MATCH(L$118, 'Implementation costs'!$C$16:$AZ$16,0))*10^6</f>
        <v>34943.577600756827</v>
      </c>
      <c r="M120" s="553">
        <f>INDEX('Implementation costs'!$C18:$AZ18, MATCH(M$118, 'Implementation costs'!$C$16:$AZ$16,0))*10^6</f>
        <v>36197.353322011222</v>
      </c>
      <c r="N120" s="553">
        <f>INDEX('Implementation costs'!$C18:$AZ18, MATCH(N$118, 'Implementation costs'!$C$16:$AZ$16,0))*10^6</f>
        <v>37674.442532610898</v>
      </c>
      <c r="O120" s="553">
        <f>INDEX('Implementation costs'!$C18:$AZ18, MATCH(O$118, 'Implementation costs'!$C$16:$AZ$16,0))*10^6</f>
        <v>39292.407223439346</v>
      </c>
      <c r="P120" s="553">
        <f>INDEX('Implementation costs'!$C18:$AZ18, MATCH(P$118, 'Implementation costs'!$C$16:$AZ$16,0))*10^6</f>
        <v>41017.781541400851</v>
      </c>
      <c r="Q120" s="553">
        <f>INDEX('Implementation costs'!$C18:$AZ18, MATCH(Q$118, 'Implementation costs'!$C$16:$AZ$16,0))*10^6</f>
        <v>42839.233740704709</v>
      </c>
      <c r="R120" s="553">
        <f>INDEX('Implementation costs'!$C18:$AZ18, MATCH(R$118, 'Implementation costs'!$C$16:$AZ$16,0))*10^6</f>
        <v>44746.133338369225</v>
      </c>
      <c r="S120" s="553">
        <f>INDEX('Implementation costs'!$C18:$AZ18, MATCH(S$118, 'Implementation costs'!$C$16:$AZ$16,0))*10^6</f>
        <v>46730.163385336877</v>
      </c>
      <c r="T120" s="553">
        <f>INDEX('Implementation costs'!$C18:$AZ18, MATCH(T$118, 'Implementation costs'!$C$16:$AZ$16,0))*10^6</f>
        <v>48795.339401897414</v>
      </c>
      <c r="U120" s="553">
        <f>INDEX('Implementation costs'!$C18:$AZ18, MATCH(U$118, 'Implementation costs'!$C$16:$AZ$16,0))*10^6</f>
        <v>50961.683049174033</v>
      </c>
      <c r="V120" s="553">
        <f>INDEX('Implementation costs'!$C18:$AZ18, MATCH(V$118, 'Implementation costs'!$C$16:$AZ$16,0))*10^6</f>
        <v>53202.973871521514</v>
      </c>
      <c r="W120" s="553">
        <f>INDEX('Implementation costs'!$C18:$AZ18, MATCH(W$118, 'Implementation costs'!$C$16:$AZ$16,0))*10^6</f>
        <v>55515.771228404206</v>
      </c>
      <c r="X120" s="553">
        <f>INDEX('Implementation costs'!$C18:$AZ18, MATCH(X$118, 'Implementation costs'!$C$16:$AZ$16,0))*10^6</f>
        <v>57914.424564287787</v>
      </c>
      <c r="Y120" s="553">
        <f>INDEX('Implementation costs'!$C18:$AZ18, MATCH(Y$118, 'Implementation costs'!$C$16:$AZ$16,0))*10^6</f>
        <v>60394.443269465533</v>
      </c>
      <c r="Z120" s="553">
        <f>INDEX('Implementation costs'!$C18:$AZ18, MATCH(Z$118, 'Implementation costs'!$C$16:$AZ$16,0))*10^6</f>
        <v>62953.149769624797</v>
      </c>
      <c r="AA120" s="553">
        <f>INDEX('Implementation costs'!$C18:$AZ18, MATCH(AA$118, 'Implementation costs'!$C$16:$AZ$16,0))*10^6</f>
        <v>65589.471449853925</v>
      </c>
      <c r="AB120" s="553">
        <f>INDEX('Implementation costs'!$C18:$AZ18, MATCH(AB$118, 'Implementation costs'!$C$16:$AZ$16,0))*10^6</f>
        <v>68309.447983367369</v>
      </c>
      <c r="AC120" s="553">
        <f>INDEX('Implementation costs'!$C18:$AZ18, MATCH(AC$118, 'Implementation costs'!$C$16:$AZ$16,0))*10^6</f>
        <v>71109.160002698205</v>
      </c>
      <c r="AD120" s="553">
        <f>INDEX('Implementation costs'!$C18:$AZ18, MATCH(AD$118, 'Implementation costs'!$C$16:$AZ$16,0))*10^6</f>
        <v>73984.986627465492</v>
      </c>
      <c r="AE120" s="553">
        <f>INDEX('Implementation costs'!$C18:$AZ18, MATCH(AE$118, 'Implementation costs'!$C$16:$AZ$16,0))*10^6</f>
        <v>76934.7791906614</v>
      </c>
      <c r="AF120" s="553">
        <f>INDEX('Implementation costs'!$C18:$AZ18, MATCH(AF$118, 'Implementation costs'!$C$16:$AZ$16,0))*10^6</f>
        <v>79961.17482479295</v>
      </c>
      <c r="AG120" s="553">
        <f>INDEX('Implementation costs'!$C18:$AZ18, MATCH(AG$118, 'Implementation costs'!$C$16:$AZ$16,0))*10^6</f>
        <v>83076.650854007385</v>
      </c>
      <c r="AH120" s="553">
        <f>INDEX('Implementation costs'!$C18:$AZ18, MATCH(AH$118, 'Implementation costs'!$C$16:$AZ$16,0))*10^6</f>
        <v>86284.373907913017</v>
      </c>
      <c r="AI120" s="553">
        <f>INDEX('Implementation costs'!$C18:$AZ18, MATCH(AI$118, 'Implementation costs'!$C$16:$AZ$16,0))*10^6</f>
        <v>89593.469427445511</v>
      </c>
      <c r="AJ120" s="553">
        <f>INDEX('Implementation costs'!$C18:$AZ18, MATCH(AJ$118, 'Implementation costs'!$C$16:$AZ$16,0))*10^6</f>
        <v>93000.346743021364</v>
      </c>
      <c r="AK120" s="553">
        <f>INDEX('Implementation costs'!$C18:$AZ18, MATCH(AK$118, 'Implementation costs'!$C$16:$AZ$16,0))*10^6</f>
        <v>96495.644019961357</v>
      </c>
      <c r="BC120" s="151"/>
    </row>
    <row r="121" spans="1:55">
      <c r="B121" s="431" t="str">
        <f>'Implementation costs'!B19</f>
        <v>Leg club running costs</v>
      </c>
      <c r="C121" s="553">
        <f>INDEX('Implementation costs'!$C19:$AZ19, MATCH(C$118, 'Implementation costs'!$C$16:$AZ$16,0))*10^6</f>
        <v>0</v>
      </c>
      <c r="D121" s="553">
        <f>INDEX('Implementation costs'!$C19:$AZ19, MATCH(D$118, 'Implementation costs'!$C$16:$AZ$16,0))*10^6</f>
        <v>2308.0448117885617</v>
      </c>
      <c r="E121" s="553">
        <f>INDEX('Implementation costs'!$C19:$AZ19, MATCH(E$118, 'Implementation costs'!$C$16:$AZ$16,0))*10^6</f>
        <v>4891.4455294501495</v>
      </c>
      <c r="F121" s="553">
        <f>INDEX('Implementation costs'!$C19:$AZ19, MATCH(F$118, 'Implementation costs'!$C$16:$AZ$16,0))*10^6</f>
        <v>7744.7325074897708</v>
      </c>
      <c r="G121" s="553">
        <f>INDEX('Implementation costs'!$C19:$AZ19, MATCH(G$118, 'Implementation costs'!$C$16:$AZ$16,0))*10^6</f>
        <v>8154.334028476208</v>
      </c>
      <c r="H121" s="553">
        <f>INDEX('Implementation costs'!$C19:$AZ19, MATCH(H$118, 'Implementation costs'!$C$16:$AZ$16,0))*10^6</f>
        <v>7631.8969994467743</v>
      </c>
      <c r="I121" s="553">
        <f>INDEX('Implementation costs'!$C19:$AZ19, MATCH(I$118, 'Implementation costs'!$C$16:$AZ$16,0))*10^6</f>
        <v>7407.4904453544978</v>
      </c>
      <c r="J121" s="553">
        <f>INDEX('Implementation costs'!$C19:$AZ19, MATCH(J$118, 'Implementation costs'!$C$16:$AZ$16,0))*10^6</f>
        <v>7382.4043103135591</v>
      </c>
      <c r="K121" s="553">
        <f>INDEX('Implementation costs'!$C19:$AZ19, MATCH(K$118, 'Implementation costs'!$C$16:$AZ$16,0))*10^6</f>
        <v>7502.8163808005729</v>
      </c>
      <c r="L121" s="553">
        <f>INDEX('Implementation costs'!$C19:$AZ19, MATCH(L$118, 'Implementation costs'!$C$16:$AZ$16,0))*10^6</f>
        <v>7716.8294319604565</v>
      </c>
      <c r="M121" s="553">
        <f>INDEX('Implementation costs'!$C19:$AZ19, MATCH(M$118, 'Implementation costs'!$C$16:$AZ$16,0))*10^6</f>
        <v>7993.7093066371635</v>
      </c>
      <c r="N121" s="553">
        <f>INDEX('Implementation costs'!$C19:$AZ19, MATCH(N$118, 'Implementation costs'!$C$16:$AZ$16,0))*10^6</f>
        <v>8319.9050277570277</v>
      </c>
      <c r="O121" s="553">
        <f>INDEX('Implementation costs'!$C19:$AZ19, MATCH(O$118, 'Implementation costs'!$C$16:$AZ$16,0))*10^6</f>
        <v>8677.2112454749094</v>
      </c>
      <c r="P121" s="553">
        <f>INDEX('Implementation costs'!$C19:$AZ19, MATCH(P$118, 'Implementation costs'!$C$16:$AZ$16,0))*10^6</f>
        <v>9058.2374663763931</v>
      </c>
      <c r="Q121" s="553">
        <f>INDEX('Implementation costs'!$C19:$AZ19, MATCH(Q$118, 'Implementation costs'!$C$16:$AZ$16,0))*10^6</f>
        <v>9460.4812234721976</v>
      </c>
      <c r="R121" s="553">
        <f>INDEX('Implementation costs'!$C19:$AZ19, MATCH(R$118, 'Implementation costs'!$C$16:$AZ$16,0))*10^6</f>
        <v>9881.5949144393271</v>
      </c>
      <c r="S121" s="553">
        <f>INDEX('Implementation costs'!$C19:$AZ19, MATCH(S$118, 'Implementation costs'!$C$16:$AZ$16,0))*10^6</f>
        <v>10319.741850487519</v>
      </c>
      <c r="T121" s="553">
        <f>INDEX('Implementation costs'!$C19:$AZ19, MATCH(T$118, 'Implementation costs'!$C$16:$AZ$16,0))*10^6</f>
        <v>10775.808806448778</v>
      </c>
      <c r="U121" s="553">
        <f>INDEX('Implementation costs'!$C19:$AZ19, MATCH(U$118, 'Implementation costs'!$C$16:$AZ$16,0))*10^6</f>
        <v>11254.217302798123</v>
      </c>
      <c r="V121" s="553">
        <f>INDEX('Implementation costs'!$C19:$AZ19, MATCH(V$118, 'Implementation costs'!$C$16:$AZ$16,0))*10^6</f>
        <v>11749.176896835208</v>
      </c>
      <c r="W121" s="553">
        <f>INDEX('Implementation costs'!$C19:$AZ19, MATCH(W$118, 'Implementation costs'!$C$16:$AZ$16,0))*10^6</f>
        <v>12259.927768359197</v>
      </c>
      <c r="X121" s="553">
        <f>INDEX('Implementation costs'!$C19:$AZ19, MATCH(X$118, 'Implementation costs'!$C$16:$AZ$16,0))*10^6</f>
        <v>12789.638803414051</v>
      </c>
      <c r="Y121" s="553">
        <f>INDEX('Implementation costs'!$C19:$AZ19, MATCH(Y$118, 'Implementation costs'!$C$16:$AZ$16,0))*10^6</f>
        <v>13337.318309919809</v>
      </c>
      <c r="Z121" s="553">
        <f>INDEX('Implementation costs'!$C19:$AZ19, MATCH(Z$118, 'Implementation costs'!$C$16:$AZ$16,0))*10^6</f>
        <v>13902.374980812887</v>
      </c>
      <c r="AA121" s="553">
        <f>INDEX('Implementation costs'!$C19:$AZ19, MATCH(AA$118, 'Implementation costs'!$C$16:$AZ$16,0))*10^6</f>
        <v>14484.571943200248</v>
      </c>
      <c r="AB121" s="553">
        <f>INDEX('Implementation costs'!$C19:$AZ19, MATCH(AB$118, 'Implementation costs'!$C$16:$AZ$16,0))*10^6</f>
        <v>15085.242979459672</v>
      </c>
      <c r="AC121" s="553">
        <f>INDEX('Implementation costs'!$C19:$AZ19, MATCH(AC$118, 'Implementation costs'!$C$16:$AZ$16,0))*10^6</f>
        <v>15703.5225488452</v>
      </c>
      <c r="AD121" s="553">
        <f>INDEX('Implementation costs'!$C19:$AZ19, MATCH(AD$118, 'Implementation costs'!$C$16:$AZ$16,0))*10^6</f>
        <v>16338.611027557206</v>
      </c>
      <c r="AE121" s="553">
        <f>INDEX('Implementation costs'!$C19:$AZ19, MATCH(AE$118, 'Implementation costs'!$C$16:$AZ$16,0))*10^6</f>
        <v>16990.033910752634</v>
      </c>
      <c r="AF121" s="553">
        <f>INDEX('Implementation costs'!$C19:$AZ19, MATCH(AF$118, 'Implementation costs'!$C$16:$AZ$16,0))*10^6</f>
        <v>17658.373574454305</v>
      </c>
      <c r="AG121" s="553">
        <f>INDEX('Implementation costs'!$C19:$AZ19, MATCH(AG$118, 'Implementation costs'!$C$16:$AZ$16,0))*10^6</f>
        <v>18346.385471561502</v>
      </c>
      <c r="AH121" s="553">
        <f>INDEX('Implementation costs'!$C19:$AZ19, MATCH(AH$118, 'Implementation costs'!$C$16:$AZ$16,0))*10^6</f>
        <v>19054.768910566356</v>
      </c>
      <c r="AI121" s="553">
        <f>INDEX('Implementation costs'!$C19:$AZ19, MATCH(AI$118, 'Implementation costs'!$C$16:$AZ$16,0))*10^6</f>
        <v>19785.539125054751</v>
      </c>
      <c r="AJ121" s="553">
        <f>INDEX('Implementation costs'!$C19:$AZ19, MATCH(AJ$118, 'Implementation costs'!$C$16:$AZ$16,0))*10^6</f>
        <v>20537.903162884257</v>
      </c>
      <c r="AK121" s="553">
        <f>INDEX('Implementation costs'!$C19:$AZ19, MATCH(AK$118, 'Implementation costs'!$C$16:$AZ$16,0))*10^6</f>
        <v>21309.793586020482</v>
      </c>
      <c r="BC121" s="151"/>
    </row>
    <row r="122" spans="1:55">
      <c r="B122" s="431" t="str">
        <f>'Implementation costs'!B20</f>
        <v>One-off training cost</v>
      </c>
      <c r="C122" s="553">
        <f>INDEX('Implementation costs'!$C20:$AZ20, MATCH(C$118, 'Implementation costs'!$C$16:$AZ$16,0))*10^6</f>
        <v>0</v>
      </c>
      <c r="D122" s="553">
        <f>INDEX('Implementation costs'!$C20:$AZ20, MATCH(D$118, 'Implementation costs'!$C$16:$AZ$16,0))*10^6</f>
        <v>1461.8702697872827</v>
      </c>
      <c r="E122" s="553">
        <f>INDEX('Implementation costs'!$C20:$AZ20, MATCH(E$118, 'Implementation costs'!$C$16:$AZ$16,0))*10^6</f>
        <v>1495.2009119384325</v>
      </c>
      <c r="F122" s="553">
        <f>INDEX('Implementation costs'!$C20:$AZ20, MATCH(F$118, 'Implementation costs'!$C$16:$AZ$16,0))*10^6</f>
        <v>1529.2914927306288</v>
      </c>
      <c r="G122" s="553">
        <f>INDEX('Implementation costs'!$C20:$AZ20, MATCH(G$118, 'Implementation costs'!$C$16:$AZ$16,0))*10^6</f>
        <v>0</v>
      </c>
      <c r="H122" s="553">
        <f>INDEX('Implementation costs'!$C20:$AZ20, MATCH(H$118, 'Implementation costs'!$C$16:$AZ$16,0))*10^6</f>
        <v>0</v>
      </c>
      <c r="I122" s="553">
        <f>INDEX('Implementation costs'!$C20:$AZ20, MATCH(I$118, 'Implementation costs'!$C$16:$AZ$16,0))*10^6</f>
        <v>0</v>
      </c>
      <c r="J122" s="553">
        <f>INDEX('Implementation costs'!$C20:$AZ20, MATCH(J$118, 'Implementation costs'!$C$16:$AZ$16,0))*10^6</f>
        <v>0</v>
      </c>
      <c r="K122" s="553">
        <f>INDEX('Implementation costs'!$C20:$AZ20, MATCH(K$118, 'Implementation costs'!$C$16:$AZ$16,0))*10^6</f>
        <v>0</v>
      </c>
      <c r="L122" s="553">
        <f>INDEX('Implementation costs'!$C20:$AZ20, MATCH(L$118, 'Implementation costs'!$C$16:$AZ$16,0))*10^6</f>
        <v>0</v>
      </c>
      <c r="M122" s="553">
        <f>INDEX('Implementation costs'!$C20:$AZ20, MATCH(M$118, 'Implementation costs'!$C$16:$AZ$16,0))*10^6</f>
        <v>0</v>
      </c>
      <c r="N122" s="553">
        <f>INDEX('Implementation costs'!$C20:$AZ20, MATCH(N$118, 'Implementation costs'!$C$16:$AZ$16,0))*10^6</f>
        <v>0</v>
      </c>
      <c r="O122" s="553">
        <f>INDEX('Implementation costs'!$C20:$AZ20, MATCH(O$118, 'Implementation costs'!$C$16:$AZ$16,0))*10^6</f>
        <v>0</v>
      </c>
      <c r="P122" s="553">
        <f>INDEX('Implementation costs'!$C20:$AZ20, MATCH(P$118, 'Implementation costs'!$C$16:$AZ$16,0))*10^6</f>
        <v>0</v>
      </c>
      <c r="Q122" s="553">
        <f>INDEX('Implementation costs'!$C20:$AZ20, MATCH(Q$118, 'Implementation costs'!$C$16:$AZ$16,0))*10^6</f>
        <v>0</v>
      </c>
      <c r="R122" s="553">
        <f>INDEX('Implementation costs'!$C20:$AZ20, MATCH(R$118, 'Implementation costs'!$C$16:$AZ$16,0))*10^6</f>
        <v>0</v>
      </c>
      <c r="S122" s="553">
        <f>INDEX('Implementation costs'!$C20:$AZ20, MATCH(S$118, 'Implementation costs'!$C$16:$AZ$16,0))*10^6</f>
        <v>0</v>
      </c>
      <c r="T122" s="553">
        <f>INDEX('Implementation costs'!$C20:$AZ20, MATCH(T$118, 'Implementation costs'!$C$16:$AZ$16,0))*10^6</f>
        <v>0</v>
      </c>
      <c r="U122" s="553">
        <f>INDEX('Implementation costs'!$C20:$AZ20, MATCH(U$118, 'Implementation costs'!$C$16:$AZ$16,0))*10^6</f>
        <v>0</v>
      </c>
      <c r="V122" s="553">
        <f>INDEX('Implementation costs'!$C20:$AZ20, MATCH(V$118, 'Implementation costs'!$C$16:$AZ$16,0))*10^6</f>
        <v>0</v>
      </c>
      <c r="W122" s="553">
        <f>INDEX('Implementation costs'!$C20:$AZ20, MATCH(W$118, 'Implementation costs'!$C$16:$AZ$16,0))*10^6</f>
        <v>0</v>
      </c>
      <c r="X122" s="553">
        <f>INDEX('Implementation costs'!$C20:$AZ20, MATCH(X$118, 'Implementation costs'!$C$16:$AZ$16,0))*10^6</f>
        <v>0</v>
      </c>
      <c r="Y122" s="553">
        <f>INDEX('Implementation costs'!$C20:$AZ20, MATCH(Y$118, 'Implementation costs'!$C$16:$AZ$16,0))*10^6</f>
        <v>0</v>
      </c>
      <c r="Z122" s="553">
        <f>INDEX('Implementation costs'!$C20:$AZ20, MATCH(Z$118, 'Implementation costs'!$C$16:$AZ$16,0))*10^6</f>
        <v>0</v>
      </c>
      <c r="AA122" s="553">
        <f>INDEX('Implementation costs'!$C20:$AZ20, MATCH(AA$118, 'Implementation costs'!$C$16:$AZ$16,0))*10^6</f>
        <v>0</v>
      </c>
      <c r="AB122" s="553">
        <f>INDEX('Implementation costs'!$C20:$AZ20, MATCH(AB$118, 'Implementation costs'!$C$16:$AZ$16,0))*10^6</f>
        <v>0</v>
      </c>
      <c r="AC122" s="553">
        <f>INDEX('Implementation costs'!$C20:$AZ20, MATCH(AC$118, 'Implementation costs'!$C$16:$AZ$16,0))*10^6</f>
        <v>0</v>
      </c>
      <c r="AD122" s="553">
        <f>INDEX('Implementation costs'!$C20:$AZ20, MATCH(AD$118, 'Implementation costs'!$C$16:$AZ$16,0))*10^6</f>
        <v>0</v>
      </c>
      <c r="AE122" s="553">
        <f>INDEX('Implementation costs'!$C20:$AZ20, MATCH(AE$118, 'Implementation costs'!$C$16:$AZ$16,0))*10^6</f>
        <v>0</v>
      </c>
      <c r="AF122" s="553">
        <f>INDEX('Implementation costs'!$C20:$AZ20, MATCH(AF$118, 'Implementation costs'!$C$16:$AZ$16,0))*10^6</f>
        <v>0</v>
      </c>
      <c r="AG122" s="553">
        <f>INDEX('Implementation costs'!$C20:$AZ20, MATCH(AG$118, 'Implementation costs'!$C$16:$AZ$16,0))*10^6</f>
        <v>0</v>
      </c>
      <c r="AH122" s="553">
        <f>INDEX('Implementation costs'!$C20:$AZ20, MATCH(AH$118, 'Implementation costs'!$C$16:$AZ$16,0))*10^6</f>
        <v>0</v>
      </c>
      <c r="AI122" s="553">
        <f>INDEX('Implementation costs'!$C20:$AZ20, MATCH(AI$118, 'Implementation costs'!$C$16:$AZ$16,0))*10^6</f>
        <v>0</v>
      </c>
      <c r="AJ122" s="553">
        <f>INDEX('Implementation costs'!$C20:$AZ20, MATCH(AJ$118, 'Implementation costs'!$C$16:$AZ$16,0))*10^6</f>
        <v>0</v>
      </c>
      <c r="AK122" s="553">
        <f>INDEX('Implementation costs'!$C20:$AZ20, MATCH(AK$118, 'Implementation costs'!$C$16:$AZ$16,0))*10^6</f>
        <v>0</v>
      </c>
      <c r="BC122" s="151"/>
    </row>
    <row r="123" spans="1:55">
      <c r="B123" s="431" t="str">
        <f>'Implementation costs'!B21</f>
        <v>Annual training cost</v>
      </c>
      <c r="C123" s="553">
        <f>INDEX('Implementation costs'!$C21:$AZ21, MATCH(C$118, 'Implementation costs'!$C$16:$AZ$16,0))*10^6</f>
        <v>0</v>
      </c>
      <c r="D123" s="553">
        <f>INDEX('Implementation costs'!$C21:$AZ21, MATCH(D$118, 'Implementation costs'!$C$16:$AZ$16,0))*10^6</f>
        <v>0</v>
      </c>
      <c r="E123" s="553">
        <f>INDEX('Implementation costs'!$C21:$AZ21, MATCH(E$118, 'Implementation costs'!$C$16:$AZ$16,0))*10^6</f>
        <v>0</v>
      </c>
      <c r="F123" s="553">
        <f>INDEX('Implementation costs'!$C21:$AZ21, MATCH(F$118, 'Implementation costs'!$C$16:$AZ$16,0))*10^6</f>
        <v>0</v>
      </c>
      <c r="G123" s="553">
        <f>INDEX('Implementation costs'!$C21:$AZ21, MATCH(G$118, 'Implementation costs'!$C$16:$AZ$16,0))*10^6</f>
        <v>175.96792561104979</v>
      </c>
      <c r="H123" s="553">
        <f>INDEX('Implementation costs'!$C21:$AZ21, MATCH(H$118, 'Implementation costs'!$C$16:$AZ$16,0))*10^6</f>
        <v>179.97999431498167</v>
      </c>
      <c r="I123" s="553">
        <f>INDEX('Implementation costs'!$C21:$AZ21, MATCH(I$118, 'Implementation costs'!$C$16:$AZ$16,0))*10^6</f>
        <v>184.08353818536321</v>
      </c>
      <c r="J123" s="553">
        <f>INDEX('Implementation costs'!$C21:$AZ21, MATCH(J$118, 'Implementation costs'!$C$16:$AZ$16,0))*10^6</f>
        <v>188.28064285598953</v>
      </c>
      <c r="K123" s="553">
        <f>INDEX('Implementation costs'!$C21:$AZ21, MATCH(K$118, 'Implementation costs'!$C$16:$AZ$16,0))*10^6</f>
        <v>192.57344151310608</v>
      </c>
      <c r="L123" s="553">
        <f>INDEX('Implementation costs'!$C21:$AZ21, MATCH(L$118, 'Implementation costs'!$C$16:$AZ$16,0))*10^6</f>
        <v>196.96411597960494</v>
      </c>
      <c r="M123" s="553">
        <f>INDEX('Implementation costs'!$C21:$AZ21, MATCH(M$118, 'Implementation costs'!$C$16:$AZ$16,0))*10^6</f>
        <v>201.45489782393989</v>
      </c>
      <c r="N123" s="553">
        <f>INDEX('Implementation costs'!$C21:$AZ21, MATCH(N$118, 'Implementation costs'!$C$16:$AZ$16,0))*10^6</f>
        <v>206.04806949432572</v>
      </c>
      <c r="O123" s="553">
        <f>INDEX('Implementation costs'!$C21:$AZ21, MATCH(O$118, 'Implementation costs'!$C$16:$AZ$16,0))*10^6</f>
        <v>210.74596547879631</v>
      </c>
      <c r="P123" s="553">
        <f>INDEX('Implementation costs'!$C21:$AZ21, MATCH(P$118, 'Implementation costs'!$C$16:$AZ$16,0))*10^6</f>
        <v>215.55097349171288</v>
      </c>
      <c r="Q123" s="553">
        <f>INDEX('Implementation costs'!$C21:$AZ21, MATCH(Q$118, 'Implementation costs'!$C$16:$AZ$16,0))*10^6</f>
        <v>220.46553568732395</v>
      </c>
      <c r="R123" s="553">
        <f>INDEX('Implementation costs'!$C21:$AZ21, MATCH(R$118, 'Implementation costs'!$C$16:$AZ$16,0))*10^6</f>
        <v>225.49214990099492</v>
      </c>
      <c r="S123" s="553">
        <f>INDEX('Implementation costs'!$C21:$AZ21, MATCH(S$118, 'Implementation costs'!$C$16:$AZ$16,0))*10^6</f>
        <v>230.63337091873757</v>
      </c>
      <c r="T123" s="553">
        <f>INDEX('Implementation costs'!$C21:$AZ21, MATCH(T$118, 'Implementation costs'!$C$16:$AZ$16,0))*10^6</f>
        <v>235.8918117756848</v>
      </c>
      <c r="U123" s="553">
        <f>INDEX('Implementation costs'!$C21:$AZ21, MATCH(U$118, 'Implementation costs'!$C$16:$AZ$16,0))*10^6</f>
        <v>241.27014508417039</v>
      </c>
      <c r="V123" s="553">
        <f>INDEX('Implementation costs'!$C21:$AZ21, MATCH(V$118, 'Implementation costs'!$C$16:$AZ$16,0))*10^6</f>
        <v>246.77110439208943</v>
      </c>
      <c r="W123" s="553">
        <f>INDEX('Implementation costs'!$C21:$AZ21, MATCH(W$118, 'Implementation costs'!$C$16:$AZ$16,0))*10^6</f>
        <v>252.3974855722291</v>
      </c>
      <c r="X123" s="553">
        <f>INDEX('Implementation costs'!$C21:$AZ21, MATCH(X$118, 'Implementation costs'!$C$16:$AZ$16,0))*10^6</f>
        <v>258.15214824327586</v>
      </c>
      <c r="Y123" s="553">
        <f>INDEX('Implementation costs'!$C21:$AZ21, MATCH(Y$118, 'Implementation costs'!$C$16:$AZ$16,0))*10^6</f>
        <v>264.03801722322254</v>
      </c>
      <c r="Z123" s="553">
        <f>INDEX('Implementation costs'!$C21:$AZ21, MATCH(Z$118, 'Implementation costs'!$C$16:$AZ$16,0))*10^6</f>
        <v>270.05808401591202</v>
      </c>
      <c r="AA123" s="553">
        <f>INDEX('Implementation costs'!$C21:$AZ21, MATCH(AA$118, 'Implementation costs'!$C$16:$AZ$16,0))*10^6</f>
        <v>276.2154083314748</v>
      </c>
      <c r="AB123" s="553">
        <f>INDEX('Implementation costs'!$C21:$AZ21, MATCH(AB$118, 'Implementation costs'!$C$16:$AZ$16,0))*10^6</f>
        <v>282.51311964143241</v>
      </c>
      <c r="AC123" s="553">
        <f>INDEX('Implementation costs'!$C21:$AZ21, MATCH(AC$118, 'Implementation costs'!$C$16:$AZ$16,0))*10^6</f>
        <v>288.95441876925702</v>
      </c>
      <c r="AD123" s="553">
        <f>INDEX('Implementation costs'!$C21:$AZ21, MATCH(AD$118, 'Implementation costs'!$C$16:$AZ$16,0))*10^6</f>
        <v>295.54257951719603</v>
      </c>
      <c r="AE123" s="553">
        <f>INDEX('Implementation costs'!$C21:$AZ21, MATCH(AE$118, 'Implementation costs'!$C$16:$AZ$16,0))*10^6</f>
        <v>302.28095033018809</v>
      </c>
      <c r="AF123" s="553">
        <f>INDEX('Implementation costs'!$C21:$AZ21, MATCH(AF$118, 'Implementation costs'!$C$16:$AZ$16,0))*10^6</f>
        <v>309.17295599771643</v>
      </c>
      <c r="AG123" s="553">
        <f>INDEX('Implementation costs'!$C21:$AZ21, MATCH(AG$118, 'Implementation costs'!$C$16:$AZ$16,0))*10^6</f>
        <v>316.22209939446429</v>
      </c>
      <c r="AH123" s="553">
        <f>INDEX('Implementation costs'!$C21:$AZ21, MATCH(AH$118, 'Implementation costs'!$C$16:$AZ$16,0))*10^6</f>
        <v>323.43196326065811</v>
      </c>
      <c r="AI123" s="553">
        <f>INDEX('Implementation costs'!$C21:$AZ21, MATCH(AI$118, 'Implementation costs'!$C$16:$AZ$16,0))*10^6</f>
        <v>330.80621202300102</v>
      </c>
      <c r="AJ123" s="553">
        <f>INDEX('Implementation costs'!$C21:$AZ21, MATCH(AJ$118, 'Implementation costs'!$C$16:$AZ$16,0))*10^6</f>
        <v>338.34859365712543</v>
      </c>
      <c r="AK123" s="553">
        <f>INDEX('Implementation costs'!$C21:$AZ21, MATCH(AK$118, 'Implementation costs'!$C$16:$AZ$16,0))*10^6</f>
        <v>346.06294159250791</v>
      </c>
      <c r="BC123" s="151"/>
    </row>
    <row r="124" spans="1:55">
      <c r="B124" s="431" t="str">
        <f>'Implementation costs'!B22</f>
        <v>Programme management costs</v>
      </c>
      <c r="C124" s="553">
        <f>INDEX('Implementation costs'!$C22:$AZ22, MATCH(C$118, 'Implementation costs'!$C$16:$AZ$16,0))*10^6</f>
        <v>0</v>
      </c>
      <c r="D124" s="553">
        <f>INDEX('Implementation costs'!$C22:$AZ22, MATCH(D$118, 'Implementation costs'!$C$16:$AZ$16,0))*10^6</f>
        <v>128768.27671894367</v>
      </c>
      <c r="E124" s="553">
        <f>INDEX('Implementation costs'!$C22:$AZ22, MATCH(E$118, 'Implementation costs'!$C$16:$AZ$16,0))*10^6</f>
        <v>131704.19342813559</v>
      </c>
      <c r="F124" s="553">
        <f>INDEX('Implementation costs'!$C22:$AZ22, MATCH(F$118, 'Implementation costs'!$C$16:$AZ$16,0))*10^6</f>
        <v>134707.04903829706</v>
      </c>
      <c r="G124" s="553">
        <f>INDEX('Implementation costs'!$C22:$AZ22, MATCH(G$118, 'Implementation costs'!$C$16:$AZ$16,0))*10^6</f>
        <v>0</v>
      </c>
      <c r="H124" s="553">
        <f>INDEX('Implementation costs'!$C22:$AZ22, MATCH(H$118, 'Implementation costs'!$C$16:$AZ$16,0))*10^6</f>
        <v>0</v>
      </c>
      <c r="I124" s="553">
        <f>INDEX('Implementation costs'!$C22:$AZ22, MATCH(I$118, 'Implementation costs'!$C$16:$AZ$16,0))*10^6</f>
        <v>0</v>
      </c>
      <c r="J124" s="553">
        <f>INDEX('Implementation costs'!$C22:$AZ22, MATCH(J$118, 'Implementation costs'!$C$16:$AZ$16,0))*10^6</f>
        <v>0</v>
      </c>
      <c r="K124" s="553">
        <f>INDEX('Implementation costs'!$C22:$AZ22, MATCH(K$118, 'Implementation costs'!$C$16:$AZ$16,0))*10^6</f>
        <v>0</v>
      </c>
      <c r="L124" s="553">
        <f>INDEX('Implementation costs'!$C22:$AZ22, MATCH(L$118, 'Implementation costs'!$C$16:$AZ$16,0))*10^6</f>
        <v>0</v>
      </c>
      <c r="M124" s="553">
        <f>INDEX('Implementation costs'!$C22:$AZ22, MATCH(M$118, 'Implementation costs'!$C$16:$AZ$16,0))*10^6</f>
        <v>0</v>
      </c>
      <c r="N124" s="553">
        <f>INDEX('Implementation costs'!$C22:$AZ22, MATCH(N$118, 'Implementation costs'!$C$16:$AZ$16,0))*10^6</f>
        <v>0</v>
      </c>
      <c r="O124" s="553">
        <f>INDEX('Implementation costs'!$C22:$AZ22, MATCH(O$118, 'Implementation costs'!$C$16:$AZ$16,0))*10^6</f>
        <v>0</v>
      </c>
      <c r="P124" s="553">
        <f>INDEX('Implementation costs'!$C22:$AZ22, MATCH(P$118, 'Implementation costs'!$C$16:$AZ$16,0))*10^6</f>
        <v>0</v>
      </c>
      <c r="Q124" s="553">
        <f>INDEX('Implementation costs'!$C22:$AZ22, MATCH(Q$118, 'Implementation costs'!$C$16:$AZ$16,0))*10^6</f>
        <v>0</v>
      </c>
      <c r="R124" s="553">
        <f>INDEX('Implementation costs'!$C22:$AZ22, MATCH(R$118, 'Implementation costs'!$C$16:$AZ$16,0))*10^6</f>
        <v>0</v>
      </c>
      <c r="S124" s="553">
        <f>INDEX('Implementation costs'!$C22:$AZ22, MATCH(S$118, 'Implementation costs'!$C$16:$AZ$16,0))*10^6</f>
        <v>0</v>
      </c>
      <c r="T124" s="553">
        <f>INDEX('Implementation costs'!$C22:$AZ22, MATCH(T$118, 'Implementation costs'!$C$16:$AZ$16,0))*10^6</f>
        <v>0</v>
      </c>
      <c r="U124" s="553">
        <f>INDEX('Implementation costs'!$C22:$AZ22, MATCH(U$118, 'Implementation costs'!$C$16:$AZ$16,0))*10^6</f>
        <v>0</v>
      </c>
      <c r="V124" s="553">
        <f>INDEX('Implementation costs'!$C22:$AZ22, MATCH(V$118, 'Implementation costs'!$C$16:$AZ$16,0))*10^6</f>
        <v>0</v>
      </c>
      <c r="W124" s="553">
        <f>INDEX('Implementation costs'!$C22:$AZ22, MATCH(W$118, 'Implementation costs'!$C$16:$AZ$16,0))*10^6</f>
        <v>0</v>
      </c>
      <c r="X124" s="553">
        <f>INDEX('Implementation costs'!$C22:$AZ22, MATCH(X$118, 'Implementation costs'!$C$16:$AZ$16,0))*10^6</f>
        <v>0</v>
      </c>
      <c r="Y124" s="553">
        <f>INDEX('Implementation costs'!$C22:$AZ22, MATCH(Y$118, 'Implementation costs'!$C$16:$AZ$16,0))*10^6</f>
        <v>0</v>
      </c>
      <c r="Z124" s="553">
        <f>INDEX('Implementation costs'!$C22:$AZ22, MATCH(Z$118, 'Implementation costs'!$C$16:$AZ$16,0))*10^6</f>
        <v>0</v>
      </c>
      <c r="AA124" s="553">
        <f>INDEX('Implementation costs'!$C22:$AZ22, MATCH(AA$118, 'Implementation costs'!$C$16:$AZ$16,0))*10^6</f>
        <v>0</v>
      </c>
      <c r="AB124" s="553">
        <f>INDEX('Implementation costs'!$C22:$AZ22, MATCH(AB$118, 'Implementation costs'!$C$16:$AZ$16,0))*10^6</f>
        <v>0</v>
      </c>
      <c r="AC124" s="553">
        <f>INDEX('Implementation costs'!$C22:$AZ22, MATCH(AC$118, 'Implementation costs'!$C$16:$AZ$16,0))*10^6</f>
        <v>0</v>
      </c>
      <c r="AD124" s="553">
        <f>INDEX('Implementation costs'!$C22:$AZ22, MATCH(AD$118, 'Implementation costs'!$C$16:$AZ$16,0))*10^6</f>
        <v>0</v>
      </c>
      <c r="AE124" s="553">
        <f>INDEX('Implementation costs'!$C22:$AZ22, MATCH(AE$118, 'Implementation costs'!$C$16:$AZ$16,0))*10^6</f>
        <v>0</v>
      </c>
      <c r="AF124" s="553">
        <f>INDEX('Implementation costs'!$C22:$AZ22, MATCH(AF$118, 'Implementation costs'!$C$16:$AZ$16,0))*10^6</f>
        <v>0</v>
      </c>
      <c r="AG124" s="553">
        <f>INDEX('Implementation costs'!$C22:$AZ22, MATCH(AG$118, 'Implementation costs'!$C$16:$AZ$16,0))*10^6</f>
        <v>0</v>
      </c>
      <c r="AH124" s="553">
        <f>INDEX('Implementation costs'!$C22:$AZ22, MATCH(AH$118, 'Implementation costs'!$C$16:$AZ$16,0))*10^6</f>
        <v>0</v>
      </c>
      <c r="AI124" s="553">
        <f>INDEX('Implementation costs'!$C22:$AZ22, MATCH(AI$118, 'Implementation costs'!$C$16:$AZ$16,0))*10^6</f>
        <v>0</v>
      </c>
      <c r="AJ124" s="553">
        <f>INDEX('Implementation costs'!$C22:$AZ22, MATCH(AJ$118, 'Implementation costs'!$C$16:$AZ$16,0))*10^6</f>
        <v>0</v>
      </c>
      <c r="AK124" s="553">
        <f>INDEX('Implementation costs'!$C22:$AZ22, MATCH(AK$118, 'Implementation costs'!$C$16:$AZ$16,0))*10^6</f>
        <v>0</v>
      </c>
      <c r="BC124" s="151"/>
    </row>
    <row r="125" spans="1:55">
      <c r="B125" s="431" t="str">
        <f>'Implementation costs'!B23</f>
        <v>Monitor and evaluation costs</v>
      </c>
      <c r="C125" s="553">
        <f>INDEX('Implementation costs'!$C23:$AZ23, MATCH(C$118, 'Implementation costs'!$C$16:$AZ$16,0))*10^6</f>
        <v>0</v>
      </c>
      <c r="D125" s="553">
        <f>INDEX('Implementation costs'!$C23:$AZ23, MATCH(D$118, 'Implementation costs'!$C$16:$AZ$16,0))*10^6</f>
        <v>0</v>
      </c>
      <c r="E125" s="553">
        <f>INDEX('Implementation costs'!$C23:$AZ23, MATCH(E$118, 'Implementation costs'!$C$16:$AZ$16,0))*10^6</f>
        <v>0</v>
      </c>
      <c r="F125" s="553">
        <f>INDEX('Implementation costs'!$C23:$AZ23, MATCH(F$118, 'Implementation costs'!$C$16:$AZ$16,0))*10^6</f>
        <v>0</v>
      </c>
      <c r="G125" s="553">
        <f>INDEX('Implementation costs'!$C23:$AZ23, MATCH(G$118, 'Implementation costs'!$C$16:$AZ$16,0))*10^6</f>
        <v>0</v>
      </c>
      <c r="H125" s="553">
        <f>INDEX('Implementation costs'!$C23:$AZ23, MATCH(H$118, 'Implementation costs'!$C$16:$AZ$16,0))*10^6</f>
        <v>0</v>
      </c>
      <c r="I125" s="553">
        <f>INDEX('Implementation costs'!$C23:$AZ23, MATCH(I$118, 'Implementation costs'!$C$16:$AZ$16,0))*10^6</f>
        <v>0</v>
      </c>
      <c r="J125" s="553">
        <f>INDEX('Implementation costs'!$C23:$AZ23, MATCH(J$118, 'Implementation costs'!$C$16:$AZ$16,0))*10^6</f>
        <v>0</v>
      </c>
      <c r="K125" s="553">
        <f>INDEX('Implementation costs'!$C23:$AZ23, MATCH(K$118, 'Implementation costs'!$C$16:$AZ$16,0))*10^6</f>
        <v>0</v>
      </c>
      <c r="L125" s="553">
        <f>INDEX('Implementation costs'!$C23:$AZ23, MATCH(L$118, 'Implementation costs'!$C$16:$AZ$16,0))*10^6</f>
        <v>0</v>
      </c>
      <c r="M125" s="553">
        <f>INDEX('Implementation costs'!$C23:$AZ23, MATCH(M$118, 'Implementation costs'!$C$16:$AZ$16,0))*10^6</f>
        <v>0</v>
      </c>
      <c r="N125" s="553">
        <f>INDEX('Implementation costs'!$C23:$AZ23, MATCH(N$118, 'Implementation costs'!$C$16:$AZ$16,0))*10^6</f>
        <v>11080.069208305671</v>
      </c>
      <c r="O125" s="553">
        <f>INDEX('Implementation costs'!$C23:$AZ23, MATCH(O$118, 'Implementation costs'!$C$16:$AZ$16,0))*10^6</f>
        <v>11290.590523263478</v>
      </c>
      <c r="P125" s="553">
        <f>INDEX('Implementation costs'!$C23:$AZ23, MATCH(P$118, 'Implementation costs'!$C$16:$AZ$16,0))*10^6</f>
        <v>11505.111743205482</v>
      </c>
      <c r="Q125" s="553">
        <f>INDEX('Implementation costs'!$C23:$AZ23, MATCH(Q$118, 'Implementation costs'!$C$16:$AZ$16,0))*10^6</f>
        <v>0</v>
      </c>
      <c r="R125" s="553">
        <f>INDEX('Implementation costs'!$C23:$AZ23, MATCH(R$118, 'Implementation costs'!$C$16:$AZ$16,0))*10^6</f>
        <v>0</v>
      </c>
      <c r="S125" s="553">
        <f>INDEX('Implementation costs'!$C23:$AZ23, MATCH(S$118, 'Implementation costs'!$C$16:$AZ$16,0))*10^6</f>
        <v>0</v>
      </c>
      <c r="T125" s="553">
        <f>INDEX('Implementation costs'!$C23:$AZ23, MATCH(T$118, 'Implementation costs'!$C$16:$AZ$16,0))*10^6</f>
        <v>0</v>
      </c>
      <c r="U125" s="553">
        <f>INDEX('Implementation costs'!$C23:$AZ23, MATCH(U$118, 'Implementation costs'!$C$16:$AZ$16,0))*10^6</f>
        <v>0</v>
      </c>
      <c r="V125" s="553">
        <f>INDEX('Implementation costs'!$C23:$AZ23, MATCH(V$118, 'Implementation costs'!$C$16:$AZ$16,0))*10^6</f>
        <v>0</v>
      </c>
      <c r="W125" s="553">
        <f>INDEX('Implementation costs'!$C23:$AZ23, MATCH(W$118, 'Implementation costs'!$C$16:$AZ$16,0))*10^6</f>
        <v>0</v>
      </c>
      <c r="X125" s="553">
        <f>INDEX('Implementation costs'!$C23:$AZ23, MATCH(X$118, 'Implementation costs'!$C$16:$AZ$16,0))*10^6</f>
        <v>0</v>
      </c>
      <c r="Y125" s="553">
        <f>INDEX('Implementation costs'!$C23:$AZ23, MATCH(Y$118, 'Implementation costs'!$C$16:$AZ$16,0))*10^6</f>
        <v>0</v>
      </c>
      <c r="Z125" s="553">
        <f>INDEX('Implementation costs'!$C23:$AZ23, MATCH(Z$118, 'Implementation costs'!$C$16:$AZ$16,0))*10^6</f>
        <v>0</v>
      </c>
      <c r="AA125" s="553">
        <f>INDEX('Implementation costs'!$C23:$AZ23, MATCH(AA$118, 'Implementation costs'!$C$16:$AZ$16,0))*10^6</f>
        <v>0</v>
      </c>
      <c r="AB125" s="553">
        <f>INDEX('Implementation costs'!$C23:$AZ23, MATCH(AB$118, 'Implementation costs'!$C$16:$AZ$16,0))*10^6</f>
        <v>0</v>
      </c>
      <c r="AC125" s="553">
        <f>INDEX('Implementation costs'!$C23:$AZ23, MATCH(AC$118, 'Implementation costs'!$C$16:$AZ$16,0))*10^6</f>
        <v>0</v>
      </c>
      <c r="AD125" s="553">
        <f>INDEX('Implementation costs'!$C23:$AZ23, MATCH(AD$118, 'Implementation costs'!$C$16:$AZ$16,0))*10^6</f>
        <v>0</v>
      </c>
      <c r="AE125" s="553">
        <f>INDEX('Implementation costs'!$C23:$AZ23, MATCH(AE$118, 'Implementation costs'!$C$16:$AZ$16,0))*10^6</f>
        <v>0</v>
      </c>
      <c r="AF125" s="553">
        <f>INDEX('Implementation costs'!$C23:$AZ23, MATCH(AF$118, 'Implementation costs'!$C$16:$AZ$16,0))*10^6</f>
        <v>0</v>
      </c>
      <c r="AG125" s="553">
        <f>INDEX('Implementation costs'!$C23:$AZ23, MATCH(AG$118, 'Implementation costs'!$C$16:$AZ$16,0))*10^6</f>
        <v>0</v>
      </c>
      <c r="AH125" s="553">
        <f>INDEX('Implementation costs'!$C23:$AZ23, MATCH(AH$118, 'Implementation costs'!$C$16:$AZ$16,0))*10^6</f>
        <v>0</v>
      </c>
      <c r="AI125" s="553">
        <f>INDEX('Implementation costs'!$C23:$AZ23, MATCH(AI$118, 'Implementation costs'!$C$16:$AZ$16,0))*10^6</f>
        <v>0</v>
      </c>
      <c r="AJ125" s="553">
        <f>INDEX('Implementation costs'!$C23:$AZ23, MATCH(AJ$118, 'Implementation costs'!$C$16:$AZ$16,0))*10^6</f>
        <v>0</v>
      </c>
      <c r="AK125" s="553">
        <f>INDEX('Implementation costs'!$C23:$AZ23, MATCH(AK$118, 'Implementation costs'!$C$16:$AZ$16,0))*10^6</f>
        <v>0</v>
      </c>
      <c r="BC125" s="151"/>
    </row>
    <row r="126" spans="1:55">
      <c r="B126" s="431" t="str">
        <f>'Implementation costs'!B24</f>
        <v>Annual Data capture costs (software)</v>
      </c>
      <c r="C126" s="553">
        <f>INDEX('Implementation costs'!$C24:$AZ24, MATCH(C$118, 'Implementation costs'!$C$16:$AZ$16,0))*10^6</f>
        <v>0</v>
      </c>
      <c r="D126" s="553">
        <f>INDEX('Implementation costs'!$C24:$AZ24, MATCH(D$118, 'Implementation costs'!$C$16:$AZ$16,0))*10^6</f>
        <v>11473.889049999996</v>
      </c>
      <c r="E126" s="553">
        <f>INDEX('Implementation costs'!$C24:$AZ24, MATCH(E$118, 'Implementation costs'!$C$16:$AZ$16,0))*10^6</f>
        <v>23383.785883899989</v>
      </c>
      <c r="F126" s="553">
        <f>INDEX('Implementation costs'!$C24:$AZ24, MATCH(F$118, 'Implementation costs'!$C$16:$AZ$16,0))*10^6</f>
        <v>35742.116723541134</v>
      </c>
      <c r="G126" s="553">
        <f>INDEX('Implementation costs'!$C24:$AZ24, MATCH(G$118, 'Implementation costs'!$C$16:$AZ$16,0))*10^6</f>
        <v>36421.216941288418</v>
      </c>
      <c r="H126" s="553">
        <f>INDEX('Implementation costs'!$C24:$AZ24, MATCH(H$118, 'Implementation costs'!$C$16:$AZ$16,0))*10^6</f>
        <v>37113.220063172892</v>
      </c>
      <c r="I126" s="553">
        <f>INDEX('Implementation costs'!$C24:$AZ24, MATCH(I$118, 'Implementation costs'!$C$16:$AZ$16,0))*10^6</f>
        <v>37818.371244373171</v>
      </c>
      <c r="J126" s="553">
        <f>INDEX('Implementation costs'!$C24:$AZ24, MATCH(J$118, 'Implementation costs'!$C$16:$AZ$16,0))*10^6</f>
        <v>38536.920298016252</v>
      </c>
      <c r="K126" s="553">
        <f>INDEX('Implementation costs'!$C24:$AZ24, MATCH(K$118, 'Implementation costs'!$C$16:$AZ$16,0))*10^6</f>
        <v>39269.121783678558</v>
      </c>
      <c r="L126" s="553">
        <f>INDEX('Implementation costs'!$C24:$AZ24, MATCH(L$118, 'Implementation costs'!$C$16:$AZ$16,0))*10^6</f>
        <v>40015.235097568453</v>
      </c>
      <c r="M126" s="553">
        <f>INDEX('Implementation costs'!$C24:$AZ24, MATCH(M$118, 'Implementation costs'!$C$16:$AZ$16,0))*10^6</f>
        <v>40775.524564422238</v>
      </c>
      <c r="N126" s="553">
        <f>INDEX('Implementation costs'!$C24:$AZ24, MATCH(N$118, 'Implementation costs'!$C$16:$AZ$16,0))*10^6</f>
        <v>41550.259531146272</v>
      </c>
      <c r="O126" s="553">
        <f>INDEX('Implementation costs'!$C24:$AZ24, MATCH(O$118, 'Implementation costs'!$C$16:$AZ$16,0))*10^6</f>
        <v>42339.714462238037</v>
      </c>
      <c r="P126" s="553">
        <f>INDEX('Implementation costs'!$C24:$AZ24, MATCH(P$118, 'Implementation costs'!$C$16:$AZ$16,0))*10^6</f>
        <v>43144.169037020562</v>
      </c>
      <c r="Q126" s="553">
        <f>INDEX('Implementation costs'!$C24:$AZ24, MATCH(Q$118, 'Implementation costs'!$C$16:$AZ$16,0))*10^6</f>
        <v>43963.908248723943</v>
      </c>
      <c r="R126" s="553">
        <f>INDEX('Implementation costs'!$C24:$AZ24, MATCH(R$118, 'Implementation costs'!$C$16:$AZ$16,0))*10^6</f>
        <v>44799.222505449688</v>
      </c>
      <c r="S126" s="553">
        <f>INDEX('Implementation costs'!$C24:$AZ24, MATCH(S$118, 'Implementation costs'!$C$16:$AZ$16,0))*10^6</f>
        <v>45650.407733053231</v>
      </c>
      <c r="T126" s="553">
        <f>INDEX('Implementation costs'!$C24:$AZ24, MATCH(T$118, 'Implementation costs'!$C$16:$AZ$16,0))*10^6</f>
        <v>46517.765479981237</v>
      </c>
      <c r="U126" s="553">
        <f>INDEX('Implementation costs'!$C24:$AZ24, MATCH(U$118, 'Implementation costs'!$C$16:$AZ$16,0))*10^6</f>
        <v>47401.603024100878</v>
      </c>
      <c r="V126" s="553">
        <f>INDEX('Implementation costs'!$C24:$AZ24, MATCH(V$118, 'Implementation costs'!$C$16:$AZ$16,0))*10^6</f>
        <v>48302.233481558789</v>
      </c>
      <c r="W126" s="553">
        <f>INDEX('Implementation costs'!$C24:$AZ24, MATCH(W$118, 'Implementation costs'!$C$16:$AZ$16,0))*10^6</f>
        <v>49219.975917708398</v>
      </c>
      <c r="X126" s="553">
        <f>INDEX('Implementation costs'!$C24:$AZ24, MATCH(X$118, 'Implementation costs'!$C$16:$AZ$16,0))*10^6</f>
        <v>50155.155460144852</v>
      </c>
      <c r="Y126" s="553">
        <f>INDEX('Implementation costs'!$C24:$AZ24, MATCH(Y$118, 'Implementation costs'!$C$16:$AZ$16,0))*10^6</f>
        <v>51108.103413887606</v>
      </c>
      <c r="Z126" s="553">
        <f>INDEX('Implementation costs'!$C24:$AZ24, MATCH(Z$118, 'Implementation costs'!$C$16:$AZ$16,0))*10^6</f>
        <v>52079.15737875145</v>
      </c>
      <c r="AA126" s="553">
        <f>INDEX('Implementation costs'!$C24:$AZ24, MATCH(AA$118, 'Implementation costs'!$C$16:$AZ$16,0))*10^6</f>
        <v>53068.661368947731</v>
      </c>
      <c r="AB126" s="553">
        <f>INDEX('Implementation costs'!$C24:$AZ24, MATCH(AB$118, 'Implementation costs'!$C$16:$AZ$16,0))*10^6</f>
        <v>54076.965934957727</v>
      </c>
      <c r="AC126" s="553">
        <f>INDEX('Implementation costs'!$C24:$AZ24, MATCH(AC$118, 'Implementation costs'!$C$16:$AZ$16,0))*10^6</f>
        <v>55104.428287721923</v>
      </c>
      <c r="AD126" s="553">
        <f>INDEX('Implementation costs'!$C24:$AZ24, MATCH(AD$118, 'Implementation costs'!$C$16:$AZ$16,0))*10^6</f>
        <v>56151.412425188631</v>
      </c>
      <c r="AE126" s="553">
        <f>INDEX('Implementation costs'!$C24:$AZ24, MATCH(AE$118, 'Implementation costs'!$C$16:$AZ$16,0))*10^6</f>
        <v>57218.289261267208</v>
      </c>
      <c r="AF126" s="553">
        <f>INDEX('Implementation costs'!$C24:$AZ24, MATCH(AF$118, 'Implementation costs'!$C$16:$AZ$16,0))*10^6</f>
        <v>58305.436757231277</v>
      </c>
      <c r="AG126" s="553">
        <f>INDEX('Implementation costs'!$C24:$AZ24, MATCH(AG$118, 'Implementation costs'!$C$16:$AZ$16,0))*10^6</f>
        <v>59413.240055618669</v>
      </c>
      <c r="AH126" s="553">
        <f>INDEX('Implementation costs'!$C24:$AZ24, MATCH(AH$118, 'Implementation costs'!$C$16:$AZ$16,0))*10^6</f>
        <v>60542.091616675425</v>
      </c>
      <c r="AI126" s="553">
        <f>INDEX('Implementation costs'!$C24:$AZ24, MATCH(AI$118, 'Implementation costs'!$C$16:$AZ$16,0))*10^6</f>
        <v>61692.391357392255</v>
      </c>
      <c r="AJ126" s="553">
        <f>INDEX('Implementation costs'!$C24:$AZ24, MATCH(AJ$118, 'Implementation costs'!$C$16:$AZ$16,0))*10^6</f>
        <v>62864.546793182693</v>
      </c>
      <c r="AK126" s="553">
        <f>INDEX('Implementation costs'!$C24:$AZ24, MATCH(AK$118, 'Implementation costs'!$C$16:$AZ$16,0))*10^6</f>
        <v>64058.973182253161</v>
      </c>
      <c r="BC126" s="151"/>
    </row>
    <row r="127" spans="1:55">
      <c r="B127" s="431" t="str">
        <f>'Implementation costs'!B25</f>
        <v>One-off Data capture costs (hardware)</v>
      </c>
      <c r="C127" s="553">
        <f>INDEX('Implementation costs'!$C25:$AZ25, MATCH(C$118, 'Implementation costs'!$C$16:$AZ$16,0))*10^6</f>
        <v>0</v>
      </c>
      <c r="D127" s="553">
        <f>INDEX('Implementation costs'!$C25:$AZ25, MATCH(D$118, 'Implementation costs'!$C$16:$AZ$16,0))*10^6</f>
        <v>405.46699098749986</v>
      </c>
      <c r="E127" s="553">
        <f>INDEX('Implementation costs'!$C25:$AZ25, MATCH(E$118, 'Implementation costs'!$C$16:$AZ$16,0))*10^6</f>
        <v>413.17086381626223</v>
      </c>
      <c r="F127" s="553">
        <f>INDEX('Implementation costs'!$C25:$AZ25, MATCH(F$118, 'Implementation costs'!$C$16:$AZ$16,0))*10^6</f>
        <v>421.02111022877119</v>
      </c>
      <c r="G127" s="553">
        <f>INDEX('Implementation costs'!$C25:$AZ25, MATCH(G$118, 'Implementation costs'!$C$16:$AZ$16,0))*10^6</f>
        <v>0</v>
      </c>
      <c r="H127" s="553">
        <f>INDEX('Implementation costs'!$C25:$AZ25, MATCH(H$118, 'Implementation costs'!$C$16:$AZ$16,0))*10^6</f>
        <v>0</v>
      </c>
      <c r="I127" s="553">
        <f>INDEX('Implementation costs'!$C25:$AZ25, MATCH(I$118, 'Implementation costs'!$C$16:$AZ$16,0))*10^6</f>
        <v>0</v>
      </c>
      <c r="J127" s="553">
        <f>INDEX('Implementation costs'!$C25:$AZ25, MATCH(J$118, 'Implementation costs'!$C$16:$AZ$16,0))*10^6</f>
        <v>0</v>
      </c>
      <c r="K127" s="553">
        <f>INDEX('Implementation costs'!$C25:$AZ25, MATCH(K$118, 'Implementation costs'!$C$16:$AZ$16,0))*10^6</f>
        <v>0</v>
      </c>
      <c r="L127" s="553">
        <f>INDEX('Implementation costs'!$C25:$AZ25, MATCH(L$118, 'Implementation costs'!$C$16:$AZ$16,0))*10^6</f>
        <v>0</v>
      </c>
      <c r="M127" s="553">
        <f>INDEX('Implementation costs'!$C25:$AZ25, MATCH(M$118, 'Implementation costs'!$C$16:$AZ$16,0))*10^6</f>
        <v>0</v>
      </c>
      <c r="N127" s="553">
        <f>INDEX('Implementation costs'!$C25:$AZ25, MATCH(N$118, 'Implementation costs'!$C$16:$AZ$16,0))*10^6</f>
        <v>0</v>
      </c>
      <c r="O127" s="553">
        <f>INDEX('Implementation costs'!$C25:$AZ25, MATCH(O$118, 'Implementation costs'!$C$16:$AZ$16,0))*10^6</f>
        <v>0</v>
      </c>
      <c r="P127" s="553">
        <f>INDEX('Implementation costs'!$C25:$AZ25, MATCH(P$118, 'Implementation costs'!$C$16:$AZ$16,0))*10^6</f>
        <v>0</v>
      </c>
      <c r="Q127" s="553">
        <f>INDEX('Implementation costs'!$C25:$AZ25, MATCH(Q$118, 'Implementation costs'!$C$16:$AZ$16,0))*10^6</f>
        <v>0</v>
      </c>
      <c r="R127" s="553">
        <f>INDEX('Implementation costs'!$C25:$AZ25, MATCH(R$118, 'Implementation costs'!$C$16:$AZ$16,0))*10^6</f>
        <v>0</v>
      </c>
      <c r="S127" s="553">
        <f>INDEX('Implementation costs'!$C25:$AZ25, MATCH(S$118, 'Implementation costs'!$C$16:$AZ$16,0))*10^6</f>
        <v>0</v>
      </c>
      <c r="T127" s="553">
        <f>INDEX('Implementation costs'!$C25:$AZ25, MATCH(T$118, 'Implementation costs'!$C$16:$AZ$16,0))*10^6</f>
        <v>0</v>
      </c>
      <c r="U127" s="553">
        <f>INDEX('Implementation costs'!$C25:$AZ25, MATCH(U$118, 'Implementation costs'!$C$16:$AZ$16,0))*10^6</f>
        <v>0</v>
      </c>
      <c r="V127" s="553">
        <f>INDEX('Implementation costs'!$C25:$AZ25, MATCH(V$118, 'Implementation costs'!$C$16:$AZ$16,0))*10^6</f>
        <v>0</v>
      </c>
      <c r="W127" s="553">
        <f>INDEX('Implementation costs'!$C25:$AZ25, MATCH(W$118, 'Implementation costs'!$C$16:$AZ$16,0))*10^6</f>
        <v>0</v>
      </c>
      <c r="X127" s="553">
        <f>INDEX('Implementation costs'!$C25:$AZ25, MATCH(X$118, 'Implementation costs'!$C$16:$AZ$16,0))*10^6</f>
        <v>0</v>
      </c>
      <c r="Y127" s="553">
        <f>INDEX('Implementation costs'!$C25:$AZ25, MATCH(Y$118, 'Implementation costs'!$C$16:$AZ$16,0))*10^6</f>
        <v>0</v>
      </c>
      <c r="Z127" s="553">
        <f>INDEX('Implementation costs'!$C25:$AZ25, MATCH(Z$118, 'Implementation costs'!$C$16:$AZ$16,0))*10^6</f>
        <v>0</v>
      </c>
      <c r="AA127" s="553">
        <f>INDEX('Implementation costs'!$C25:$AZ25, MATCH(AA$118, 'Implementation costs'!$C$16:$AZ$16,0))*10^6</f>
        <v>0</v>
      </c>
      <c r="AB127" s="553">
        <f>INDEX('Implementation costs'!$C25:$AZ25, MATCH(AB$118, 'Implementation costs'!$C$16:$AZ$16,0))*10^6</f>
        <v>0</v>
      </c>
      <c r="AC127" s="553">
        <f>INDEX('Implementation costs'!$C25:$AZ25, MATCH(AC$118, 'Implementation costs'!$C$16:$AZ$16,0))*10^6</f>
        <v>0</v>
      </c>
      <c r="AD127" s="553">
        <f>INDEX('Implementation costs'!$C25:$AZ25, MATCH(AD$118, 'Implementation costs'!$C$16:$AZ$16,0))*10^6</f>
        <v>0</v>
      </c>
      <c r="AE127" s="553">
        <f>INDEX('Implementation costs'!$C25:$AZ25, MATCH(AE$118, 'Implementation costs'!$C$16:$AZ$16,0))*10^6</f>
        <v>0</v>
      </c>
      <c r="AF127" s="553">
        <f>INDEX('Implementation costs'!$C25:$AZ25, MATCH(AF$118, 'Implementation costs'!$C$16:$AZ$16,0))*10^6</f>
        <v>0</v>
      </c>
      <c r="AG127" s="553">
        <f>INDEX('Implementation costs'!$C25:$AZ25, MATCH(AG$118, 'Implementation costs'!$C$16:$AZ$16,0))*10^6</f>
        <v>0</v>
      </c>
      <c r="AH127" s="553">
        <f>INDEX('Implementation costs'!$C25:$AZ25, MATCH(AH$118, 'Implementation costs'!$C$16:$AZ$16,0))*10^6</f>
        <v>0</v>
      </c>
      <c r="AI127" s="553">
        <f>INDEX('Implementation costs'!$C25:$AZ25, MATCH(AI$118, 'Implementation costs'!$C$16:$AZ$16,0))*10^6</f>
        <v>0</v>
      </c>
      <c r="AJ127" s="553">
        <f>INDEX('Implementation costs'!$C25:$AZ25, MATCH(AJ$118, 'Implementation costs'!$C$16:$AZ$16,0))*10^6</f>
        <v>0</v>
      </c>
      <c r="AK127" s="553">
        <f>INDEX('Implementation costs'!$C25:$AZ25, MATCH(AK$118, 'Implementation costs'!$C$16:$AZ$16,0))*10^6</f>
        <v>0</v>
      </c>
      <c r="BC127" s="151"/>
    </row>
    <row r="128" spans="1:55" s="9" customFormat="1">
      <c r="B128" s="458" t="s">
        <v>22</v>
      </c>
      <c r="C128" s="554">
        <f>SUM(C119:C127)</f>
        <v>0</v>
      </c>
      <c r="D128" s="554">
        <f t="shared" ref="D128:AH128" si="47">SUM(D119:D127)</f>
        <v>155145.95172375129</v>
      </c>
      <c r="E128" s="554">
        <f t="shared" si="47"/>
        <v>184037.38641253966</v>
      </c>
      <c r="F128" s="554">
        <f t="shared" si="47"/>
        <v>215214.14001335684</v>
      </c>
      <c r="G128" s="554">
        <f t="shared" si="47"/>
        <v>81676.217882037236</v>
      </c>
      <c r="H128" s="554">
        <f t="shared" si="47"/>
        <v>79484.08107913303</v>
      </c>
      <c r="I128" s="554">
        <f t="shared" si="47"/>
        <v>78952.764786949265</v>
      </c>
      <c r="J128" s="554">
        <f t="shared" si="47"/>
        <v>79536.829023994651</v>
      </c>
      <c r="K128" s="560">
        <f t="shared" si="47"/>
        <v>80938.988914107234</v>
      </c>
      <c r="L128" s="560">
        <f t="shared" si="47"/>
        <v>82872.60624626535</v>
      </c>
      <c r="M128" s="560">
        <f t="shared" si="47"/>
        <v>85168.042090894567</v>
      </c>
      <c r="N128" s="554">
        <f t="shared" si="47"/>
        <v>98830.724369314194</v>
      </c>
      <c r="O128" s="554">
        <f t="shared" si="47"/>
        <v>101810.66941989456</v>
      </c>
      <c r="P128" s="554">
        <f t="shared" si="47"/>
        <v>104940.85076149501</v>
      </c>
      <c r="Q128" s="554">
        <f t="shared" si="47"/>
        <v>96484.088748588169</v>
      </c>
      <c r="R128" s="554">
        <f t="shared" si="47"/>
        <v>99652.442908159224</v>
      </c>
      <c r="S128" s="554">
        <f t="shared" si="47"/>
        <v>102930.94633979636</v>
      </c>
      <c r="T128" s="554">
        <f t="shared" si="47"/>
        <v>106324.8055001031</v>
      </c>
      <c r="U128" s="554">
        <f t="shared" si="47"/>
        <v>109858.77352115721</v>
      </c>
      <c r="V128" s="554">
        <f t="shared" si="47"/>
        <v>113501.15535430759</v>
      </c>
      <c r="W128" s="554">
        <f t="shared" si="47"/>
        <v>117248.07240004404</v>
      </c>
      <c r="X128" s="554">
        <f t="shared" si="47"/>
        <v>121117.37097608997</v>
      </c>
      <c r="Y128" s="554">
        <f t="shared" si="47"/>
        <v>125103.90301049617</v>
      </c>
      <c r="Z128" s="554">
        <f t="shared" si="47"/>
        <v>129204.74021320505</v>
      </c>
      <c r="AA128" s="554">
        <f t="shared" si="47"/>
        <v>133418.92017033338</v>
      </c>
      <c r="AB128" s="554">
        <f t="shared" si="47"/>
        <v>137754.17001742619</v>
      </c>
      <c r="AC128" s="554">
        <f t="shared" si="47"/>
        <v>142206.06525803456</v>
      </c>
      <c r="AD128" s="554">
        <f t="shared" si="47"/>
        <v>146770.55265972851</v>
      </c>
      <c r="AE128" s="554">
        <f t="shared" si="47"/>
        <v>151445.38331301144</v>
      </c>
      <c r="AF128" s="554">
        <f t="shared" si="47"/>
        <v>156234.15811247623</v>
      </c>
      <c r="AG128" s="554">
        <f t="shared" si="47"/>
        <v>161152.49848058203</v>
      </c>
      <c r="AH128" s="554">
        <f t="shared" si="47"/>
        <v>166204.66639841546</v>
      </c>
      <c r="AI128" s="554">
        <f t="shared" ref="AI128:AK128" si="48">SUM(AI119:AI127)</f>
        <v>171402.20612191551</v>
      </c>
      <c r="AJ128" s="554">
        <f t="shared" si="48"/>
        <v>176741.14529274544</v>
      </c>
      <c r="AK128" s="554">
        <f t="shared" si="48"/>
        <v>182210.4737298275</v>
      </c>
      <c r="AL128"/>
      <c r="AM128"/>
      <c r="AN128"/>
      <c r="AO128"/>
      <c r="AP128"/>
      <c r="AQ128"/>
      <c r="AR128"/>
      <c r="AS128"/>
      <c r="AT128"/>
      <c r="AU128"/>
      <c r="AV128"/>
      <c r="AW128"/>
      <c r="AX128"/>
      <c r="AY128"/>
      <c r="AZ128"/>
      <c r="BC128" s="191"/>
    </row>
    <row r="131" spans="1:55">
      <c r="A131" s="9" t="s">
        <v>10</v>
      </c>
      <c r="B131" s="9" t="s">
        <v>3735</v>
      </c>
    </row>
    <row r="132" spans="1:55">
      <c r="B132" s="151" t="s">
        <v>3737</v>
      </c>
    </row>
    <row r="134" spans="1:55">
      <c r="B134" s="84" t="s">
        <v>3023</v>
      </c>
      <c r="C134" s="34">
        <f>C118</f>
        <v>2020</v>
      </c>
      <c r="D134" s="34">
        <f t="shared" ref="D134:AH134" si="49">D118</f>
        <v>2021</v>
      </c>
      <c r="E134" s="34">
        <f t="shared" si="49"/>
        <v>2022</v>
      </c>
      <c r="F134" s="34">
        <f t="shared" si="49"/>
        <v>2023</v>
      </c>
      <c r="G134" s="34">
        <f t="shared" si="49"/>
        <v>2024</v>
      </c>
      <c r="H134" s="34">
        <f t="shared" si="49"/>
        <v>2025</v>
      </c>
      <c r="I134" s="34">
        <f t="shared" si="49"/>
        <v>2026</v>
      </c>
      <c r="J134" s="34">
        <f t="shared" si="49"/>
        <v>2027</v>
      </c>
      <c r="K134" s="34">
        <f t="shared" si="49"/>
        <v>2028</v>
      </c>
      <c r="L134" s="34">
        <f t="shared" si="49"/>
        <v>2029</v>
      </c>
      <c r="M134" s="34">
        <f t="shared" si="49"/>
        <v>2030</v>
      </c>
      <c r="N134" s="34">
        <f t="shared" si="49"/>
        <v>2031</v>
      </c>
      <c r="O134" s="34">
        <f t="shared" si="49"/>
        <v>2032</v>
      </c>
      <c r="P134" s="34">
        <f t="shared" si="49"/>
        <v>2033</v>
      </c>
      <c r="Q134" s="34">
        <f t="shared" si="49"/>
        <v>2034</v>
      </c>
      <c r="R134" s="34">
        <f t="shared" si="49"/>
        <v>2035</v>
      </c>
      <c r="S134" s="34">
        <f t="shared" si="49"/>
        <v>2036</v>
      </c>
      <c r="T134" s="34">
        <f t="shared" si="49"/>
        <v>2037</v>
      </c>
      <c r="U134" s="34">
        <f t="shared" si="49"/>
        <v>2038</v>
      </c>
      <c r="V134" s="34">
        <f t="shared" si="49"/>
        <v>2039</v>
      </c>
      <c r="W134" s="34">
        <f t="shared" si="49"/>
        <v>2040</v>
      </c>
      <c r="X134" s="34">
        <f t="shared" si="49"/>
        <v>2041</v>
      </c>
      <c r="Y134" s="34">
        <f t="shared" si="49"/>
        <v>2042</v>
      </c>
      <c r="Z134" s="34">
        <f t="shared" si="49"/>
        <v>2043</v>
      </c>
      <c r="AA134" s="34">
        <f t="shared" si="49"/>
        <v>2044</v>
      </c>
      <c r="AB134" s="34">
        <f t="shared" si="49"/>
        <v>2045</v>
      </c>
      <c r="AC134" s="34">
        <f t="shared" si="49"/>
        <v>2046</v>
      </c>
      <c r="AD134" s="34">
        <f t="shared" si="49"/>
        <v>2047</v>
      </c>
      <c r="AE134" s="34">
        <f t="shared" si="49"/>
        <v>2048</v>
      </c>
      <c r="AF134" s="34">
        <f t="shared" si="49"/>
        <v>2049</v>
      </c>
      <c r="AG134" s="34">
        <f t="shared" si="49"/>
        <v>2050</v>
      </c>
      <c r="AH134" s="34">
        <f t="shared" si="49"/>
        <v>2051</v>
      </c>
      <c r="AI134" s="34">
        <f t="shared" ref="AI134:AK134" si="50">AI118</f>
        <v>2052</v>
      </c>
      <c r="AJ134" s="34">
        <f t="shared" si="50"/>
        <v>2053</v>
      </c>
      <c r="AK134" s="34">
        <f t="shared" si="50"/>
        <v>2054</v>
      </c>
    </row>
    <row r="135" spans="1:55" s="895" customFormat="1">
      <c r="B135" s="558" t="s">
        <v>3459</v>
      </c>
      <c r="C135" s="558">
        <f t="shared" ref="C135:L136" si="51">SUMIFS(C$101:C$112, $AM$101:$AM$112, $B135)</f>
        <v>0</v>
      </c>
      <c r="D135" s="558">
        <f t="shared" si="51"/>
        <v>0</v>
      </c>
      <c r="E135" s="558">
        <f t="shared" si="51"/>
        <v>0</v>
      </c>
      <c r="F135" s="558">
        <f t="shared" si="51"/>
        <v>0</v>
      </c>
      <c r="G135" s="558">
        <f t="shared" si="51"/>
        <v>-16616.521612944347</v>
      </c>
      <c r="H135" s="558">
        <f t="shared" si="51"/>
        <v>103615.83881591933</v>
      </c>
      <c r="I135" s="558">
        <f t="shared" si="51"/>
        <v>185107.76013712323</v>
      </c>
      <c r="J135" s="558">
        <f t="shared" si="51"/>
        <v>241257.56443096901</v>
      </c>
      <c r="K135" s="558">
        <f t="shared" si="51"/>
        <v>281312.2020329333</v>
      </c>
      <c r="L135" s="558">
        <f t="shared" si="51"/>
        <v>310960.93187334703</v>
      </c>
      <c r="M135" s="558">
        <f t="shared" ref="M135:V136" si="52">SUMIFS(M$101:M$112, $AM$101:$AM$112, $B135)</f>
        <v>333720.97325259686</v>
      </c>
      <c r="N135" s="558">
        <f t="shared" si="52"/>
        <v>351224.03339464584</v>
      </c>
      <c r="O135" s="558">
        <f t="shared" si="52"/>
        <v>365751.28401308157</v>
      </c>
      <c r="P135" s="558">
        <f t="shared" si="52"/>
        <v>378729.31730459037</v>
      </c>
      <c r="Q135" s="558">
        <f t="shared" si="52"/>
        <v>391030.18751231738</v>
      </c>
      <c r="R135" s="558">
        <f t="shared" si="52"/>
        <v>415158.38287120801</v>
      </c>
      <c r="S135" s="558">
        <f t="shared" si="52"/>
        <v>438102.60732274683</v>
      </c>
      <c r="T135" s="558">
        <f t="shared" si="52"/>
        <v>460361.50028936373</v>
      </c>
      <c r="U135" s="558">
        <f t="shared" si="52"/>
        <v>482755.04517308937</v>
      </c>
      <c r="V135" s="558">
        <f t="shared" si="52"/>
        <v>505529.11164765031</v>
      </c>
      <c r="W135" s="558">
        <f t="shared" ref="W135:AH136" si="53">SUMIFS(W$101:W$112, $AM$101:$AM$112, $B135)</f>
        <v>528760.33646011702</v>
      </c>
      <c r="X135" s="558">
        <f t="shared" si="53"/>
        <v>552173.41481409315</v>
      </c>
      <c r="Y135" s="558">
        <f t="shared" si="53"/>
        <v>576488.23955341429</v>
      </c>
      <c r="Z135" s="558">
        <f t="shared" si="53"/>
        <v>601813.27918001998</v>
      </c>
      <c r="AA135" s="558">
        <f t="shared" si="53"/>
        <v>628104.73265594314</v>
      </c>
      <c r="AB135" s="558">
        <f t="shared" si="53"/>
        <v>655145.34767664666</v>
      </c>
      <c r="AC135" s="558">
        <f t="shared" si="53"/>
        <v>682992.57685084292</v>
      </c>
      <c r="AD135" s="558">
        <f t="shared" si="53"/>
        <v>711720.51423708233</v>
      </c>
      <c r="AE135" s="558">
        <f t="shared" si="53"/>
        <v>741361.23503735836</v>
      </c>
      <c r="AF135" s="558">
        <f t="shared" si="53"/>
        <v>772013.56590544421</v>
      </c>
      <c r="AG135" s="558">
        <f t="shared" si="53"/>
        <v>803892.78862379107</v>
      </c>
      <c r="AH135" s="558">
        <f t="shared" si="53"/>
        <v>837059.48913507804</v>
      </c>
      <c r="AI135" s="558">
        <f t="shared" ref="AI135:AK136" si="54">SUMIFS(AI$101:AI$112, $AM$101:$AM$112, $B135)</f>
        <v>871552.4368765119</v>
      </c>
      <c r="AJ135" s="558">
        <f t="shared" si="54"/>
        <v>906986.45463127363</v>
      </c>
      <c r="AK135" s="558">
        <f t="shared" si="54"/>
        <v>943253.22176825907</v>
      </c>
      <c r="AL135"/>
      <c r="AM135"/>
      <c r="AN135"/>
      <c r="AO135"/>
      <c r="BC135" s="896"/>
    </row>
    <row r="136" spans="1:55" s="895" customFormat="1">
      <c r="B136" s="558" t="s">
        <v>3458</v>
      </c>
      <c r="C136" s="558">
        <f t="shared" si="51"/>
        <v>0</v>
      </c>
      <c r="D136" s="558">
        <f t="shared" si="51"/>
        <v>0</v>
      </c>
      <c r="E136" s="558">
        <f t="shared" si="51"/>
        <v>0</v>
      </c>
      <c r="F136" s="558">
        <f t="shared" si="51"/>
        <v>0</v>
      </c>
      <c r="G136" s="558">
        <f t="shared" si="51"/>
        <v>17934.888390778422</v>
      </c>
      <c r="H136" s="558">
        <f t="shared" si="51"/>
        <v>62412.597914377955</v>
      </c>
      <c r="I136" s="558">
        <f t="shared" si="51"/>
        <v>91241.502395450807</v>
      </c>
      <c r="J136" s="558">
        <f t="shared" si="51"/>
        <v>109695.48935756824</v>
      </c>
      <c r="K136" s="558">
        <f t="shared" si="51"/>
        <v>121473.38113019048</v>
      </c>
      <c r="L136" s="558">
        <f t="shared" si="51"/>
        <v>128761.77803572177</v>
      </c>
      <c r="M136" s="558">
        <f t="shared" si="52"/>
        <v>132914.04928431485</v>
      </c>
      <c r="N136" s="558">
        <f t="shared" si="52"/>
        <v>134716.99486922915</v>
      </c>
      <c r="O136" s="558">
        <f t="shared" si="52"/>
        <v>134900.75909030702</v>
      </c>
      <c r="P136" s="558">
        <f t="shared" si="52"/>
        <v>134032.48693187829</v>
      </c>
      <c r="Q136" s="558">
        <f t="shared" si="52"/>
        <v>132457.05380002334</v>
      </c>
      <c r="R136" s="558">
        <f t="shared" si="52"/>
        <v>142564.55345296484</v>
      </c>
      <c r="S136" s="558">
        <f t="shared" si="52"/>
        <v>151256.88321428548</v>
      </c>
      <c r="T136" s="558">
        <f t="shared" si="52"/>
        <v>159000.88248131174</v>
      </c>
      <c r="U136" s="558">
        <f t="shared" si="52"/>
        <v>166323.20644000662</v>
      </c>
      <c r="V136" s="558">
        <f t="shared" si="52"/>
        <v>173420.30745326879</v>
      </c>
      <c r="W136" s="558">
        <f t="shared" si="53"/>
        <v>180389.15990749412</v>
      </c>
      <c r="X136" s="558">
        <f t="shared" si="53"/>
        <v>187159.51798118689</v>
      </c>
      <c r="Y136" s="558">
        <f t="shared" si="53"/>
        <v>194058.6837765094</v>
      </c>
      <c r="Z136" s="558">
        <f t="shared" si="53"/>
        <v>201136.2537622549</v>
      </c>
      <c r="AA136" s="558">
        <f t="shared" si="53"/>
        <v>208371.36368032463</v>
      </c>
      <c r="AB136" s="558">
        <f t="shared" si="53"/>
        <v>215671.89649615105</v>
      </c>
      <c r="AC136" s="558">
        <f t="shared" si="53"/>
        <v>223053.14634166635</v>
      </c>
      <c r="AD136" s="558">
        <f t="shared" si="53"/>
        <v>230536.38276459114</v>
      </c>
      <c r="AE136" s="558">
        <f t="shared" si="53"/>
        <v>238127.44395741847</v>
      </c>
      <c r="AF136" s="558">
        <f t="shared" si="53"/>
        <v>245867.13396067228</v>
      </c>
      <c r="AG136" s="558">
        <f t="shared" si="53"/>
        <v>253841.82477298731</v>
      </c>
      <c r="AH136" s="558">
        <f t="shared" si="53"/>
        <v>262064.37772192876</v>
      </c>
      <c r="AI136" s="558">
        <f t="shared" si="54"/>
        <v>270542.87435117614</v>
      </c>
      <c r="AJ136" s="558">
        <f t="shared" si="54"/>
        <v>279103.27524215949</v>
      </c>
      <c r="AK136" s="558">
        <f t="shared" si="54"/>
        <v>287684.89144358982</v>
      </c>
      <c r="AL136"/>
      <c r="AM136"/>
      <c r="AN136"/>
      <c r="AO136"/>
      <c r="BC136" s="896"/>
    </row>
    <row r="137" spans="1:55" s="895" customFormat="1">
      <c r="B137" s="558" t="s">
        <v>3725</v>
      </c>
      <c r="C137" s="558">
        <f>-C128</f>
        <v>0</v>
      </c>
      <c r="D137" s="558">
        <f t="shared" ref="D137:AH137" si="55">-D128</f>
        <v>-155145.95172375129</v>
      </c>
      <c r="E137" s="558">
        <f t="shared" si="55"/>
        <v>-184037.38641253966</v>
      </c>
      <c r="F137" s="558">
        <f t="shared" si="55"/>
        <v>-215214.14001335684</v>
      </c>
      <c r="G137" s="558">
        <f t="shared" si="55"/>
        <v>-81676.217882037236</v>
      </c>
      <c r="H137" s="558">
        <f t="shared" si="55"/>
        <v>-79484.08107913303</v>
      </c>
      <c r="I137" s="558">
        <f t="shared" si="55"/>
        <v>-78952.764786949265</v>
      </c>
      <c r="J137" s="558">
        <f t="shared" si="55"/>
        <v>-79536.829023994651</v>
      </c>
      <c r="K137" s="558">
        <f t="shared" si="55"/>
        <v>-80938.988914107234</v>
      </c>
      <c r="L137" s="558">
        <f t="shared" si="55"/>
        <v>-82872.60624626535</v>
      </c>
      <c r="M137" s="558">
        <f t="shared" si="55"/>
        <v>-85168.042090894567</v>
      </c>
      <c r="N137" s="558">
        <f t="shared" si="55"/>
        <v>-98830.724369314194</v>
      </c>
      <c r="O137" s="558">
        <f t="shared" si="55"/>
        <v>-101810.66941989456</v>
      </c>
      <c r="P137" s="558">
        <f t="shared" si="55"/>
        <v>-104940.85076149501</v>
      </c>
      <c r="Q137" s="558">
        <f t="shared" si="55"/>
        <v>-96484.088748588169</v>
      </c>
      <c r="R137" s="558">
        <f t="shared" si="55"/>
        <v>-99652.442908159224</v>
      </c>
      <c r="S137" s="558">
        <f t="shared" si="55"/>
        <v>-102930.94633979636</v>
      </c>
      <c r="T137" s="558">
        <f t="shared" si="55"/>
        <v>-106324.8055001031</v>
      </c>
      <c r="U137" s="558">
        <f t="shared" si="55"/>
        <v>-109858.77352115721</v>
      </c>
      <c r="V137" s="558">
        <f t="shared" si="55"/>
        <v>-113501.15535430759</v>
      </c>
      <c r="W137" s="558">
        <f t="shared" si="55"/>
        <v>-117248.07240004404</v>
      </c>
      <c r="X137" s="558">
        <f t="shared" si="55"/>
        <v>-121117.37097608997</v>
      </c>
      <c r="Y137" s="558">
        <f t="shared" si="55"/>
        <v>-125103.90301049617</v>
      </c>
      <c r="Z137" s="558">
        <f t="shared" si="55"/>
        <v>-129204.74021320505</v>
      </c>
      <c r="AA137" s="558">
        <f t="shared" si="55"/>
        <v>-133418.92017033338</v>
      </c>
      <c r="AB137" s="558">
        <f t="shared" si="55"/>
        <v>-137754.17001742619</v>
      </c>
      <c r="AC137" s="558">
        <f t="shared" si="55"/>
        <v>-142206.06525803456</v>
      </c>
      <c r="AD137" s="558">
        <f t="shared" si="55"/>
        <v>-146770.55265972851</v>
      </c>
      <c r="AE137" s="558">
        <f t="shared" si="55"/>
        <v>-151445.38331301144</v>
      </c>
      <c r="AF137" s="558">
        <f t="shared" si="55"/>
        <v>-156234.15811247623</v>
      </c>
      <c r="AG137" s="558">
        <f t="shared" si="55"/>
        <v>-161152.49848058203</v>
      </c>
      <c r="AH137" s="558">
        <f t="shared" si="55"/>
        <v>-166204.66639841546</v>
      </c>
      <c r="AI137" s="558">
        <f t="shared" ref="AI137:AK137" si="56">-AI128</f>
        <v>-171402.20612191551</v>
      </c>
      <c r="AJ137" s="558">
        <f t="shared" si="56"/>
        <v>-176741.14529274544</v>
      </c>
      <c r="AK137" s="558">
        <f t="shared" si="56"/>
        <v>-182210.4737298275</v>
      </c>
      <c r="AL137"/>
      <c r="AM137"/>
      <c r="AN137"/>
      <c r="AO137"/>
      <c r="BC137" s="896"/>
    </row>
    <row r="138" spans="1:55" s="895" customFormat="1">
      <c r="AL138"/>
      <c r="AM138"/>
      <c r="AN138"/>
      <c r="AO138"/>
    </row>
    <row r="139" spans="1:55" s="897" customFormat="1">
      <c r="B139" s="805" t="s">
        <v>3726</v>
      </c>
      <c r="C139" s="805">
        <f>SUM(C135:C137)</f>
        <v>0</v>
      </c>
      <c r="D139" s="805">
        <f t="shared" ref="D139:AH139" si="57">SUM(D135:D137)</f>
        <v>-155145.95172375129</v>
      </c>
      <c r="E139" s="805">
        <f t="shared" si="57"/>
        <v>-184037.38641253966</v>
      </c>
      <c r="F139" s="805">
        <f t="shared" si="57"/>
        <v>-215214.14001335684</v>
      </c>
      <c r="G139" s="805">
        <f t="shared" si="57"/>
        <v>-80357.851104203161</v>
      </c>
      <c r="H139" s="805">
        <f t="shared" si="57"/>
        <v>86544.355651164253</v>
      </c>
      <c r="I139" s="805">
        <f t="shared" si="57"/>
        <v>197396.49774562474</v>
      </c>
      <c r="J139" s="805">
        <f t="shared" si="57"/>
        <v>271416.22476454265</v>
      </c>
      <c r="K139" s="805">
        <f t="shared" si="57"/>
        <v>321846.59424901661</v>
      </c>
      <c r="L139" s="805">
        <f t="shared" si="57"/>
        <v>356850.10366280342</v>
      </c>
      <c r="M139" s="805">
        <f t="shared" si="57"/>
        <v>381466.98044601711</v>
      </c>
      <c r="N139" s="805">
        <f t="shared" si="57"/>
        <v>387110.30389456078</v>
      </c>
      <c r="O139" s="805">
        <f t="shared" si="57"/>
        <v>398841.37368349405</v>
      </c>
      <c r="P139" s="805">
        <f t="shared" si="57"/>
        <v>407820.95347497362</v>
      </c>
      <c r="Q139" s="805">
        <f t="shared" si="57"/>
        <v>427003.15256375255</v>
      </c>
      <c r="R139" s="805">
        <f t="shared" si="57"/>
        <v>458070.49341601366</v>
      </c>
      <c r="S139" s="805">
        <f t="shared" si="57"/>
        <v>486428.5441972359</v>
      </c>
      <c r="T139" s="805">
        <f t="shared" si="57"/>
        <v>513037.57727057236</v>
      </c>
      <c r="U139" s="805">
        <f t="shared" si="57"/>
        <v>539219.47809193877</v>
      </c>
      <c r="V139" s="805">
        <f t="shared" si="57"/>
        <v>565448.26374661142</v>
      </c>
      <c r="W139" s="805">
        <f t="shared" si="57"/>
        <v>591901.42396756704</v>
      </c>
      <c r="X139" s="805">
        <f t="shared" si="57"/>
        <v>618215.56181919004</v>
      </c>
      <c r="Y139" s="805">
        <f t="shared" si="57"/>
        <v>645443.02031942748</v>
      </c>
      <c r="Z139" s="805">
        <f t="shared" si="57"/>
        <v>673744.79272906971</v>
      </c>
      <c r="AA139" s="805">
        <f t="shared" si="57"/>
        <v>703057.17616593442</v>
      </c>
      <c r="AB139" s="805">
        <f t="shared" si="57"/>
        <v>733063.07415537164</v>
      </c>
      <c r="AC139" s="805">
        <f t="shared" si="57"/>
        <v>763839.65793447476</v>
      </c>
      <c r="AD139" s="805">
        <f t="shared" si="57"/>
        <v>795486.3443419449</v>
      </c>
      <c r="AE139" s="805">
        <f t="shared" si="57"/>
        <v>828043.2956817653</v>
      </c>
      <c r="AF139" s="805">
        <f t="shared" si="57"/>
        <v>861646.54175364028</v>
      </c>
      <c r="AG139" s="805">
        <f t="shared" si="57"/>
        <v>896582.11491619644</v>
      </c>
      <c r="AH139" s="805">
        <f t="shared" si="57"/>
        <v>932919.20045859122</v>
      </c>
      <c r="AI139" s="805">
        <f t="shared" ref="AI139:AK139" si="58">SUM(AI135:AI137)</f>
        <v>970693.10510577261</v>
      </c>
      <c r="AJ139" s="805">
        <f t="shared" si="58"/>
        <v>1009348.5845806878</v>
      </c>
      <c r="AK139" s="805">
        <f t="shared" si="58"/>
        <v>1048727.6394820213</v>
      </c>
      <c r="AL139"/>
      <c r="AM139"/>
      <c r="AN139"/>
      <c r="AO139"/>
      <c r="BC139" s="898"/>
    </row>
    <row r="142" spans="1:55" s="568" customFormat="1" ht="29">
      <c r="B142" s="893" t="s">
        <v>3727</v>
      </c>
      <c r="C142" s="203">
        <f>(C113-C128)/SUM(C62:C73)</f>
        <v>0</v>
      </c>
      <c r="D142" s="203">
        <f t="shared" ref="D142:AH142" si="59">(D113-D128)/SUM(D62:D73)</f>
        <v>-7.8110910823554522E-2</v>
      </c>
      <c r="E142" s="203">
        <f t="shared" si="59"/>
        <v>-8.7228876864731311E-2</v>
      </c>
      <c r="F142" s="203">
        <f t="shared" si="59"/>
        <v>-9.6409813785355014E-2</v>
      </c>
      <c r="G142" s="203">
        <f t="shared" si="59"/>
        <v>-3.4106880193549322E-2</v>
      </c>
      <c r="H142" s="203">
        <f t="shared" si="59"/>
        <v>3.4860040521299214E-2</v>
      </c>
      <c r="I142" s="203">
        <f t="shared" si="59"/>
        <v>7.5570592356549074E-2</v>
      </c>
      <c r="J142" s="203">
        <f t="shared" si="59"/>
        <v>9.8867842261986902E-2</v>
      </c>
      <c r="K142" s="203">
        <f t="shared" si="59"/>
        <v>0.11148659259949679</v>
      </c>
      <c r="L142" s="203">
        <f t="shared" si="59"/>
        <v>0.11760320148144982</v>
      </c>
      <c r="M142" s="203">
        <f t="shared" si="59"/>
        <v>0.11971448464548452</v>
      </c>
      <c r="N142" s="203">
        <f t="shared" si="59"/>
        <v>0.11585098061025627</v>
      </c>
      <c r="O142" s="203">
        <f t="shared" si="59"/>
        <v>0.11394988456194299</v>
      </c>
      <c r="P142" s="203">
        <f t="shared" si="59"/>
        <v>0.11131862926664111</v>
      </c>
      <c r="Q142" s="203">
        <f t="shared" si="59"/>
        <v>0.11140601104524918</v>
      </c>
      <c r="R142" s="203">
        <f t="shared" si="59"/>
        <v>0.11427705398092138</v>
      </c>
      <c r="S142" s="203">
        <f t="shared" si="59"/>
        <v>0.11610538642509066</v>
      </c>
      <c r="T142" s="203">
        <f t="shared" si="59"/>
        <v>0.11722485045389219</v>
      </c>
      <c r="U142" s="203">
        <f t="shared" si="59"/>
        <v>0.11794481766485952</v>
      </c>
      <c r="V142" s="203">
        <f t="shared" si="59"/>
        <v>0.11844974253740934</v>
      </c>
      <c r="W142" s="203">
        <f t="shared" si="59"/>
        <v>0.11880779569175801</v>
      </c>
      <c r="X142" s="203">
        <f t="shared" si="59"/>
        <v>0.11896343867408957</v>
      </c>
      <c r="Y142" s="203">
        <f t="shared" si="59"/>
        <v>0.11910862569045472</v>
      </c>
      <c r="Z142" s="203">
        <f t="shared" si="59"/>
        <v>0.11927219473209225</v>
      </c>
      <c r="AA142" s="203">
        <f t="shared" si="59"/>
        <v>0.11944449819788173</v>
      </c>
      <c r="AB142" s="203">
        <f t="shared" si="59"/>
        <v>0.11957471428004468</v>
      </c>
      <c r="AC142" s="203">
        <f t="shared" si="59"/>
        <v>0.11968229251221357</v>
      </c>
      <c r="AD142" s="203">
        <f t="shared" si="59"/>
        <v>0.11978612322193911</v>
      </c>
      <c r="AE142" s="203">
        <f t="shared" si="59"/>
        <v>0.1198937508941072</v>
      </c>
      <c r="AF142" s="203">
        <f t="shared" si="59"/>
        <v>0.12001751134687418</v>
      </c>
      <c r="AG142" s="203">
        <f t="shared" si="59"/>
        <v>0.12017296730413456</v>
      </c>
      <c r="AH142" s="203">
        <f t="shared" si="59"/>
        <v>0.12035954453174423</v>
      </c>
      <c r="AI142" s="203">
        <f t="shared" ref="AI142:AK142" si="60">(AI113-AI128)/SUM(AI62:AI73)</f>
        <v>0.12056731119542281</v>
      </c>
      <c r="AJ142" s="203">
        <f t="shared" si="60"/>
        <v>0.12074250975523666</v>
      </c>
      <c r="AK142" s="203">
        <f t="shared" si="60"/>
        <v>0.12088204443062706</v>
      </c>
      <c r="AL142"/>
      <c r="AM142"/>
      <c r="AN142"/>
      <c r="AO142"/>
    </row>
    <row r="143" spans="1:55">
      <c r="C143" s="151" t="b">
        <f>C139/SUM(C62:C73)=C142</f>
        <v>1</v>
      </c>
      <c r="D143" s="151" t="b">
        <f t="shared" ref="D143:AH143" si="61">D139/SUM(D62:D73)=D142</f>
        <v>1</v>
      </c>
      <c r="E143" s="151" t="b">
        <f t="shared" si="61"/>
        <v>1</v>
      </c>
      <c r="F143" s="151" t="b">
        <f t="shared" si="61"/>
        <v>1</v>
      </c>
      <c r="G143" s="151" t="b">
        <f t="shared" si="61"/>
        <v>1</v>
      </c>
      <c r="H143" s="151" t="b">
        <f t="shared" si="61"/>
        <v>1</v>
      </c>
      <c r="I143" s="151" t="b">
        <f t="shared" si="61"/>
        <v>1</v>
      </c>
      <c r="J143" s="151" t="b">
        <f t="shared" si="61"/>
        <v>1</v>
      </c>
      <c r="K143" s="151" t="b">
        <f t="shared" si="61"/>
        <v>1</v>
      </c>
      <c r="L143" s="151" t="b">
        <f t="shared" si="61"/>
        <v>1</v>
      </c>
      <c r="M143" s="151" t="b">
        <f t="shared" si="61"/>
        <v>0</v>
      </c>
      <c r="N143" s="151" t="b">
        <f t="shared" si="61"/>
        <v>1</v>
      </c>
      <c r="O143" s="151" t="b">
        <f t="shared" si="61"/>
        <v>1</v>
      </c>
      <c r="P143" s="151" t="b">
        <f t="shared" si="61"/>
        <v>1</v>
      </c>
      <c r="Q143" s="151" t="b">
        <f t="shared" si="61"/>
        <v>1</v>
      </c>
      <c r="R143" s="151" t="b">
        <f t="shared" si="61"/>
        <v>1</v>
      </c>
      <c r="S143" s="151" t="b">
        <f t="shared" si="61"/>
        <v>1</v>
      </c>
      <c r="T143" s="151" t="b">
        <f t="shared" si="61"/>
        <v>1</v>
      </c>
      <c r="U143" s="151" t="b">
        <f t="shared" si="61"/>
        <v>1</v>
      </c>
      <c r="V143" s="151" t="b">
        <f t="shared" si="61"/>
        <v>1</v>
      </c>
      <c r="W143" s="151" t="b">
        <f t="shared" si="61"/>
        <v>1</v>
      </c>
      <c r="X143" s="151" t="b">
        <f t="shared" si="61"/>
        <v>1</v>
      </c>
      <c r="Y143" s="151" t="b">
        <f t="shared" si="61"/>
        <v>1</v>
      </c>
      <c r="Z143" s="151" t="b">
        <f t="shared" si="61"/>
        <v>1</v>
      </c>
      <c r="AA143" s="151" t="b">
        <f t="shared" si="61"/>
        <v>1</v>
      </c>
      <c r="AB143" s="151" t="b">
        <f t="shared" si="61"/>
        <v>1</v>
      </c>
      <c r="AC143" s="151" t="b">
        <f t="shared" si="61"/>
        <v>1</v>
      </c>
      <c r="AD143" s="151" t="b">
        <f t="shared" si="61"/>
        <v>1</v>
      </c>
      <c r="AE143" s="151" t="b">
        <f t="shared" si="61"/>
        <v>1</v>
      </c>
      <c r="AF143" s="151" t="b">
        <f t="shared" si="61"/>
        <v>1</v>
      </c>
      <c r="AG143" s="151" t="b">
        <f t="shared" si="61"/>
        <v>1</v>
      </c>
      <c r="AH143" s="151" t="b">
        <f t="shared" si="61"/>
        <v>1</v>
      </c>
      <c r="AI143" s="151" t="b">
        <f t="shared" ref="AI143:AK143" si="62">AI139/SUM(AI62:AI73)=AI142</f>
        <v>1</v>
      </c>
      <c r="AJ143" s="151" t="b">
        <f t="shared" si="62"/>
        <v>1</v>
      </c>
      <c r="AK143" s="151" t="b">
        <f t="shared" si="62"/>
        <v>1</v>
      </c>
    </row>
    <row r="147" spans="1:3" s="588" customFormat="1">
      <c r="A147" s="593" t="s">
        <v>10</v>
      </c>
      <c r="B147" s="593" t="s">
        <v>3728</v>
      </c>
    </row>
    <row r="148" spans="1:3" s="3" customFormat="1">
      <c r="A148" s="595"/>
      <c r="B148" s="595"/>
    </row>
    <row r="150" spans="1:3">
      <c r="B150" s="84" t="s">
        <v>3023</v>
      </c>
      <c r="C150" s="34" t="s">
        <v>3738</v>
      </c>
    </row>
    <row r="151" spans="1:3">
      <c r="B151" s="558" t="s">
        <v>3459</v>
      </c>
      <c r="C151" s="558">
        <f>SUMPRODUCT(C135:AH135, $C$184:$AH$184)/10^6</f>
        <v>6.6694831961324832</v>
      </c>
    </row>
    <row r="152" spans="1:3">
      <c r="B152" s="558" t="s">
        <v>3458</v>
      </c>
      <c r="C152" s="558">
        <f>SUMPRODUCT(C136:AH136, $C$184:$AH$184)/10^6</f>
        <v>2.3900444103047551</v>
      </c>
    </row>
    <row r="153" spans="1:3">
      <c r="B153" s="558" t="s">
        <v>3725</v>
      </c>
      <c r="C153" s="558">
        <f>SUMPRODUCT(C137:AH137, $C$184:$AH$184)/10^6</f>
        <v>-2.2192198319726484</v>
      </c>
    </row>
    <row r="154" spans="1:3">
      <c r="B154" s="895"/>
      <c r="C154" s="895"/>
    </row>
    <row r="155" spans="1:3">
      <c r="B155" s="805" t="s">
        <v>3730</v>
      </c>
      <c r="C155" s="805">
        <f>SUMPRODUCT(C139:AH139, $C$184:$AH$184)/10^6</f>
        <v>6.8403077744645904</v>
      </c>
    </row>
    <row r="156" spans="1:3">
      <c r="C156" s="899" t="b">
        <f>SUM(C151:C153)=C155</f>
        <v>1</v>
      </c>
    </row>
    <row r="159" spans="1:3" s="588" customFormat="1">
      <c r="A159" s="593" t="s">
        <v>10</v>
      </c>
      <c r="B159" s="593" t="s">
        <v>3465</v>
      </c>
    </row>
    <row r="160" spans="1:3" s="3" customFormat="1">
      <c r="A160" s="595"/>
      <c r="B160" s="595"/>
    </row>
    <row r="162" spans="1:55">
      <c r="B162" s="84" t="s">
        <v>3023</v>
      </c>
      <c r="C162" s="34">
        <f>C134</f>
        <v>2020</v>
      </c>
      <c r="D162" s="34">
        <f>D134</f>
        <v>2021</v>
      </c>
      <c r="E162" s="34">
        <f t="shared" ref="E162:AH162" si="63">E134</f>
        <v>2022</v>
      </c>
      <c r="F162" s="34">
        <f t="shared" si="63"/>
        <v>2023</v>
      </c>
      <c r="G162" s="34">
        <f t="shared" si="63"/>
        <v>2024</v>
      </c>
      <c r="H162" s="34">
        <f t="shared" si="63"/>
        <v>2025</v>
      </c>
      <c r="I162" s="34">
        <f t="shared" si="63"/>
        <v>2026</v>
      </c>
      <c r="J162" s="34">
        <f t="shared" si="63"/>
        <v>2027</v>
      </c>
      <c r="K162" s="34">
        <f t="shared" si="63"/>
        <v>2028</v>
      </c>
      <c r="L162" s="34">
        <f t="shared" si="63"/>
        <v>2029</v>
      </c>
      <c r="M162" s="34">
        <f t="shared" si="63"/>
        <v>2030</v>
      </c>
      <c r="N162" s="34">
        <f t="shared" si="63"/>
        <v>2031</v>
      </c>
      <c r="O162" s="34">
        <f t="shared" si="63"/>
        <v>2032</v>
      </c>
      <c r="P162" s="34">
        <f t="shared" si="63"/>
        <v>2033</v>
      </c>
      <c r="Q162" s="34">
        <f t="shared" si="63"/>
        <v>2034</v>
      </c>
      <c r="R162" s="34">
        <f t="shared" si="63"/>
        <v>2035</v>
      </c>
      <c r="S162" s="34">
        <f t="shared" si="63"/>
        <v>2036</v>
      </c>
      <c r="T162" s="34">
        <f t="shared" si="63"/>
        <v>2037</v>
      </c>
      <c r="U162" s="34">
        <f t="shared" si="63"/>
        <v>2038</v>
      </c>
      <c r="V162" s="34">
        <f t="shared" si="63"/>
        <v>2039</v>
      </c>
      <c r="W162" s="34">
        <f t="shared" si="63"/>
        <v>2040</v>
      </c>
      <c r="X162" s="34">
        <f t="shared" si="63"/>
        <v>2041</v>
      </c>
      <c r="Y162" s="34">
        <f t="shared" si="63"/>
        <v>2042</v>
      </c>
      <c r="Z162" s="34">
        <f t="shared" si="63"/>
        <v>2043</v>
      </c>
      <c r="AA162" s="34">
        <f t="shared" si="63"/>
        <v>2044</v>
      </c>
      <c r="AB162" s="34">
        <f t="shared" si="63"/>
        <v>2045</v>
      </c>
      <c r="AC162" s="34">
        <f t="shared" si="63"/>
        <v>2046</v>
      </c>
      <c r="AD162" s="34">
        <f t="shared" si="63"/>
        <v>2047</v>
      </c>
      <c r="AE162" s="34">
        <f t="shared" si="63"/>
        <v>2048</v>
      </c>
      <c r="AF162" s="34">
        <f t="shared" si="63"/>
        <v>2049</v>
      </c>
      <c r="AG162" s="34">
        <f t="shared" si="63"/>
        <v>2050</v>
      </c>
      <c r="AH162" s="34">
        <f t="shared" si="63"/>
        <v>2051</v>
      </c>
    </row>
    <row r="163" spans="1:55" s="895" customFormat="1">
      <c r="B163" s="558" t="s">
        <v>3729</v>
      </c>
      <c r="C163" s="558">
        <f>C135+C137</f>
        <v>0</v>
      </c>
      <c r="D163" s="558">
        <f>C163+(D135+D137)</f>
        <v>-155145.95172375129</v>
      </c>
      <c r="E163" s="558">
        <f t="shared" ref="E163:AH163" si="64">D163+(E135+E137)</f>
        <v>-339183.33813629096</v>
      </c>
      <c r="F163" s="558">
        <f t="shared" si="64"/>
        <v>-554397.47814964782</v>
      </c>
      <c r="G163" s="558">
        <f t="shared" si="64"/>
        <v>-652690.21764462942</v>
      </c>
      <c r="H163" s="558">
        <f t="shared" si="64"/>
        <v>-628558.45990784315</v>
      </c>
      <c r="I163" s="558">
        <f t="shared" si="64"/>
        <v>-522403.46455766918</v>
      </c>
      <c r="J163" s="558">
        <f t="shared" si="64"/>
        <v>-360682.72915069479</v>
      </c>
      <c r="K163" s="558">
        <f t="shared" si="64"/>
        <v>-160309.51603186873</v>
      </c>
      <c r="L163" s="558">
        <f t="shared" si="64"/>
        <v>67778.809595212952</v>
      </c>
      <c r="M163" s="558">
        <f t="shared" si="64"/>
        <v>316331.74075691524</v>
      </c>
      <c r="N163" s="558">
        <f t="shared" si="64"/>
        <v>568725.04978224682</v>
      </c>
      <c r="O163" s="558">
        <f t="shared" si="64"/>
        <v>832665.66437543381</v>
      </c>
      <c r="P163" s="558">
        <f t="shared" si="64"/>
        <v>1106454.1309185291</v>
      </c>
      <c r="Q163" s="558">
        <f t="shared" si="64"/>
        <v>1401000.2296822583</v>
      </c>
      <c r="R163" s="558">
        <f t="shared" si="64"/>
        <v>1716506.1696453071</v>
      </c>
      <c r="S163" s="558">
        <f t="shared" si="64"/>
        <v>2051677.8306282577</v>
      </c>
      <c r="T163" s="558">
        <f t="shared" si="64"/>
        <v>2405714.5254175183</v>
      </c>
      <c r="U163" s="558">
        <f t="shared" si="64"/>
        <v>2778610.7970694504</v>
      </c>
      <c r="V163" s="558">
        <f t="shared" si="64"/>
        <v>3170638.753362793</v>
      </c>
      <c r="W163" s="558">
        <f t="shared" si="64"/>
        <v>3582151.0174228661</v>
      </c>
      <c r="X163" s="558">
        <f t="shared" si="64"/>
        <v>4013207.0612608693</v>
      </c>
      <c r="Y163" s="558">
        <f t="shared" si="64"/>
        <v>4464591.3978037871</v>
      </c>
      <c r="Z163" s="558">
        <f t="shared" si="64"/>
        <v>4937199.9367706021</v>
      </c>
      <c r="AA163" s="558">
        <f t="shared" si="64"/>
        <v>5431885.7492562123</v>
      </c>
      <c r="AB163" s="558">
        <f t="shared" si="64"/>
        <v>5949276.9269154323</v>
      </c>
      <c r="AC163" s="558">
        <f t="shared" si="64"/>
        <v>6490063.4385082405</v>
      </c>
      <c r="AD163" s="558">
        <f t="shared" si="64"/>
        <v>7055013.4000855945</v>
      </c>
      <c r="AE163" s="558">
        <f t="shared" si="64"/>
        <v>7644929.2518099416</v>
      </c>
      <c r="AF163" s="558">
        <f t="shared" si="64"/>
        <v>8260708.6596029093</v>
      </c>
      <c r="AG163" s="558">
        <f t="shared" si="64"/>
        <v>8903448.9497461189</v>
      </c>
      <c r="AH163" s="558">
        <f t="shared" si="64"/>
        <v>9574303.7724827807</v>
      </c>
      <c r="BC163" s="896"/>
    </row>
    <row r="165" spans="1:55">
      <c r="B165" s="900" t="s">
        <v>3499</v>
      </c>
      <c r="C165" s="901">
        <f>COUNTIFS(C163:AO163, "&lt;0")</f>
        <v>8</v>
      </c>
    </row>
    <row r="170" spans="1:55" s="588" customFormat="1">
      <c r="A170" s="593" t="s">
        <v>10</v>
      </c>
      <c r="B170" s="593" t="s">
        <v>3731</v>
      </c>
    </row>
    <row r="171" spans="1:55">
      <c r="A171" s="9"/>
      <c r="B171" s="9"/>
    </row>
    <row r="173" spans="1:55" ht="29">
      <c r="C173" s="57" t="s">
        <v>3360</v>
      </c>
      <c r="D173" s="57" t="s">
        <v>3359</v>
      </c>
    </row>
    <row r="174" spans="1:55" ht="29">
      <c r="B174" s="92" t="s">
        <v>3353</v>
      </c>
      <c r="C174" s="92">
        <f>'National model results detailed'!C293</f>
        <v>8.969025744282149</v>
      </c>
      <c r="D174" s="92">
        <f>'National model results detailed'!D293</f>
        <v>2.7127302464129071</v>
      </c>
      <c r="E174" s="73"/>
    </row>
    <row r="181" spans="1:38" s="588" customFormat="1">
      <c r="A181" s="593" t="s">
        <v>10</v>
      </c>
      <c r="B181" s="593" t="s">
        <v>3248</v>
      </c>
    </row>
    <row r="183" spans="1:38">
      <c r="B183" s="34"/>
      <c r="C183" s="34">
        <f t="shared" ref="C183:AG183" si="65">C134</f>
        <v>2020</v>
      </c>
      <c r="D183" s="34">
        <f t="shared" si="65"/>
        <v>2021</v>
      </c>
      <c r="E183" s="34">
        <f t="shared" si="65"/>
        <v>2022</v>
      </c>
      <c r="F183" s="34">
        <f t="shared" si="65"/>
        <v>2023</v>
      </c>
      <c r="G183" s="34">
        <f t="shared" si="65"/>
        <v>2024</v>
      </c>
      <c r="H183" s="34">
        <f t="shared" si="65"/>
        <v>2025</v>
      </c>
      <c r="I183" s="34">
        <f t="shared" si="65"/>
        <v>2026</v>
      </c>
      <c r="J183" s="34">
        <f t="shared" si="65"/>
        <v>2027</v>
      </c>
      <c r="K183" s="34">
        <f t="shared" si="65"/>
        <v>2028</v>
      </c>
      <c r="L183" s="34">
        <f t="shared" si="65"/>
        <v>2029</v>
      </c>
      <c r="M183" s="34">
        <f t="shared" si="65"/>
        <v>2030</v>
      </c>
      <c r="N183" s="34">
        <f t="shared" si="65"/>
        <v>2031</v>
      </c>
      <c r="O183" s="34">
        <f t="shared" si="65"/>
        <v>2032</v>
      </c>
      <c r="P183" s="34">
        <f t="shared" si="65"/>
        <v>2033</v>
      </c>
      <c r="Q183" s="34">
        <f t="shared" si="65"/>
        <v>2034</v>
      </c>
      <c r="R183" s="34">
        <f t="shared" si="65"/>
        <v>2035</v>
      </c>
      <c r="S183" s="34">
        <f t="shared" si="65"/>
        <v>2036</v>
      </c>
      <c r="T183" s="34">
        <f t="shared" si="65"/>
        <v>2037</v>
      </c>
      <c r="U183" s="34">
        <f t="shared" si="65"/>
        <v>2038</v>
      </c>
      <c r="V183" s="34">
        <f t="shared" si="65"/>
        <v>2039</v>
      </c>
      <c r="W183" s="34">
        <f t="shared" si="65"/>
        <v>2040</v>
      </c>
      <c r="X183" s="34">
        <f t="shared" si="65"/>
        <v>2041</v>
      </c>
      <c r="Y183" s="34">
        <f t="shared" si="65"/>
        <v>2042</v>
      </c>
      <c r="Z183" s="34">
        <f t="shared" si="65"/>
        <v>2043</v>
      </c>
      <c r="AA183" s="34">
        <f t="shared" si="65"/>
        <v>2044</v>
      </c>
      <c r="AB183" s="34">
        <f t="shared" si="65"/>
        <v>2045</v>
      </c>
      <c r="AC183" s="34">
        <f t="shared" si="65"/>
        <v>2046</v>
      </c>
      <c r="AD183" s="34">
        <f t="shared" si="65"/>
        <v>2047</v>
      </c>
      <c r="AE183" s="34">
        <f t="shared" si="65"/>
        <v>2048</v>
      </c>
      <c r="AF183" s="34">
        <f t="shared" si="65"/>
        <v>2049</v>
      </c>
      <c r="AG183" s="34">
        <f t="shared" si="65"/>
        <v>2050</v>
      </c>
      <c r="AH183" s="34">
        <f t="shared" ref="AH183:AL183" si="66">AH134</f>
        <v>2051</v>
      </c>
      <c r="AI183" s="34">
        <f t="shared" si="66"/>
        <v>2052</v>
      </c>
      <c r="AJ183" s="34">
        <f t="shared" si="66"/>
        <v>2053</v>
      </c>
      <c r="AK183" s="34">
        <f t="shared" si="66"/>
        <v>2054</v>
      </c>
      <c r="AL183" s="34">
        <f t="shared" si="66"/>
        <v>0</v>
      </c>
    </row>
    <row r="184" spans="1:38">
      <c r="B184" s="90" t="s">
        <v>3250</v>
      </c>
      <c r="C184" s="82">
        <f>INDEX('National model results detailed'!$C$307:$AS$307, MATCH(C183, 'National model results detailed'!$C$305:$AS$305,0))</f>
        <v>1</v>
      </c>
      <c r="D184" s="82">
        <f>INDEX('National model results detailed'!$C$307:$AS$307, MATCH(D183, 'National model results detailed'!$C$305:$AS$305,0))</f>
        <v>0.96618357487922713</v>
      </c>
      <c r="E184" s="82">
        <f>INDEX('National model results detailed'!$C$307:$AS$307, MATCH(E183, 'National model results detailed'!$C$305:$AS$305,0))</f>
        <v>0.93351070036640305</v>
      </c>
      <c r="F184" s="82">
        <f>INDEX('National model results detailed'!$C$307:$AS$307, MATCH(F183, 'National model results detailed'!$C$305:$AS$305,0))</f>
        <v>0.90194270566802237</v>
      </c>
      <c r="G184" s="82">
        <f>INDEX('National model results detailed'!$C$307:$AS$307, MATCH(G183, 'National model results detailed'!$C$305:$AS$305,0))</f>
        <v>0.87144222769857238</v>
      </c>
      <c r="H184" s="82">
        <f>INDEX('National model results detailed'!$C$307:$AS$307, MATCH(H183, 'National model results detailed'!$C$305:$AS$305,0))</f>
        <v>0.84197316685852419</v>
      </c>
      <c r="I184" s="82">
        <f>INDEX('National model results detailed'!$C$307:$AS$307, MATCH(I183, 'National model results detailed'!$C$305:$AS$305,0))</f>
        <v>0.81350064430775282</v>
      </c>
      <c r="J184" s="82">
        <f>INDEX('National model results detailed'!$C$307:$AS$307, MATCH(J183, 'National model results detailed'!$C$305:$AS$305,0))</f>
        <v>0.78599096068381913</v>
      </c>
      <c r="K184" s="82">
        <f>INDEX('National model results detailed'!$C$307:$AS$307, MATCH(K183, 'National model results detailed'!$C$305:$AS$305,0))</f>
        <v>0.75941155621625056</v>
      </c>
      <c r="L184" s="82">
        <f>INDEX('National model results detailed'!$C$307:$AS$307, MATCH(L183, 'National model results detailed'!$C$305:$AS$305,0))</f>
        <v>0.73373097218961414</v>
      </c>
      <c r="M184" s="82">
        <f>INDEX('National model results detailed'!$C$307:$AS$307, MATCH(M183, 'National model results detailed'!$C$305:$AS$305,0))</f>
        <v>0.70891881370977217</v>
      </c>
      <c r="N184" s="82">
        <f>INDEX('National model results detailed'!$C$307:$AS$307, MATCH(N183, 'National model results detailed'!$C$305:$AS$305,0))</f>
        <v>0.68494571372924851</v>
      </c>
      <c r="O184" s="82">
        <f>INDEX('National model results detailed'!$C$307:$AS$307, MATCH(O183, 'National model results detailed'!$C$305:$AS$305,0))</f>
        <v>0.66178329828912896</v>
      </c>
      <c r="P184" s="82">
        <f>INDEX('National model results detailed'!$C$307:$AS$307, MATCH(P183, 'National model results detailed'!$C$305:$AS$305,0))</f>
        <v>0.63940415293635666</v>
      </c>
      <c r="Q184" s="82">
        <f>INDEX('National model results detailed'!$C$307:$AS$307, MATCH(Q183, 'National model results detailed'!$C$305:$AS$305,0))</f>
        <v>0.61778179027667302</v>
      </c>
      <c r="R184" s="82">
        <f>INDEX('National model results detailed'!$C$307:$AS$307, MATCH(R183, 'National model results detailed'!$C$305:$AS$305,0))</f>
        <v>0.59689061862480497</v>
      </c>
      <c r="S184" s="82">
        <f>INDEX('National model results detailed'!$C$307:$AS$307, MATCH(S183, 'National model results detailed'!$C$305:$AS$305,0))</f>
        <v>0.57670591171478747</v>
      </c>
      <c r="T184" s="82">
        <f>INDEX('National model results detailed'!$C$307:$AS$307, MATCH(T183, 'National model results detailed'!$C$305:$AS$305,0))</f>
        <v>0.55720377943457733</v>
      </c>
      <c r="U184" s="82">
        <f>INDEX('National model results detailed'!$C$307:$AS$307, MATCH(U183, 'National model results detailed'!$C$305:$AS$305,0))</f>
        <v>0.53836113955031628</v>
      </c>
      <c r="V184" s="82">
        <f>INDEX('National model results detailed'!$C$307:$AS$307, MATCH(V183, 'National model results detailed'!$C$305:$AS$305,0))</f>
        <v>0.52015569038677911</v>
      </c>
      <c r="W184" s="82">
        <f>INDEX('National model results detailed'!$C$307:$AS$307, MATCH(W183, 'National model results detailed'!$C$305:$AS$305,0))</f>
        <v>0.50256588443167061</v>
      </c>
      <c r="X184" s="82">
        <f>INDEX('National model results detailed'!$C$307:$AS$307, MATCH(X183, 'National model results detailed'!$C$305:$AS$305,0))</f>
        <v>0.48557090283253213</v>
      </c>
      <c r="Y184" s="82">
        <f>INDEX('National model results detailed'!$C$307:$AS$307, MATCH(Y183, 'National model results detailed'!$C$305:$AS$305,0))</f>
        <v>0.46915063075606966</v>
      </c>
      <c r="Z184" s="82">
        <f>INDEX('National model results detailed'!$C$307:$AS$307, MATCH(Z183, 'National model results detailed'!$C$305:$AS$305,0))</f>
        <v>0.45328563358074364</v>
      </c>
      <c r="AA184" s="82">
        <f>INDEX('National model results detailed'!$C$307:$AS$307, MATCH(AA183, 'National model results detailed'!$C$305:$AS$305,0))</f>
        <v>0.43795713389443841</v>
      </c>
      <c r="AB184" s="82">
        <f>INDEX('National model results detailed'!$C$307:$AS$307, MATCH(AB183, 'National model results detailed'!$C$305:$AS$305,0))</f>
        <v>0.42314698926998884</v>
      </c>
      <c r="AC184" s="82">
        <f>INDEX('National model results detailed'!$C$307:$AS$307, MATCH(AC183, 'National model results detailed'!$C$305:$AS$305,0))</f>
        <v>0.40883767079225974</v>
      </c>
      <c r="AD184" s="82">
        <f>INDEX('National model results detailed'!$C$307:$AS$307, MATCH(AD183, 'National model results detailed'!$C$305:$AS$305,0))</f>
        <v>0.39501224231136206</v>
      </c>
      <c r="AE184" s="82">
        <f>INDEX('National model results detailed'!$C$307:$AS$307, MATCH(AE183, 'National model results detailed'!$C$305:$AS$305,0))</f>
        <v>0.38165434039745127</v>
      </c>
      <c r="AF184" s="82">
        <f>INDEX('National model results detailed'!$C$307:$AS$307, MATCH(AF183, 'National model results detailed'!$C$305:$AS$305,0))</f>
        <v>0.36874815497338298</v>
      </c>
      <c r="AG184" s="82">
        <f>INDEX('National model results detailed'!$C$307:$AS$307, MATCH(AG183, 'National model results detailed'!$C$305:$AS$305,0))</f>
        <v>0.35627841060230236</v>
      </c>
      <c r="AH184" s="82">
        <f>INDEX('National model results detailed'!$C$307:$AS$307, MATCH(AH183, 'National model results detailed'!$C$305:$AS$305,0))</f>
        <v>0.34423034840802164</v>
      </c>
      <c r="AI184" s="82">
        <f>INDEX('National model results detailed'!$C$307:$AS$307, MATCH(AI183, 'National model results detailed'!$C$305:$AS$305,0))</f>
        <v>0.33258970860678427</v>
      </c>
      <c r="AJ184" s="82">
        <f>INDEX('National model results detailed'!$C$307:$AS$307, MATCH(AJ183, 'National model results detailed'!$C$305:$AS$305,0))</f>
        <v>0.32134271362974326</v>
      </c>
      <c r="AK184" s="82">
        <f>INDEX('National model results detailed'!$C$307:$AS$307, MATCH(AK183, 'National model results detailed'!$C$305:$AS$305,0))</f>
        <v>0.3104760518161771</v>
      </c>
      <c r="AL184" s="82" t="e">
        <f>INDEX('National model results detailed'!$C$307:$AS$307, MATCH(AL183, 'National model results detailed'!$C$305:$AS$305,0))</f>
        <v>#N/A</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1"/>
  </sheetPr>
  <dimension ref="B3"/>
  <sheetViews>
    <sheetView showGridLines="0" workbookViewId="0"/>
  </sheetViews>
  <sheetFormatPr defaultRowHeight="14.5"/>
  <sheetData>
    <row r="3" spans="2:2">
      <c r="B3" s="9" t="s">
        <v>3749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8989"/>
  </sheetPr>
  <dimension ref="A1:BC181"/>
  <sheetViews>
    <sheetView showGridLines="0" topLeftCell="A6" workbookViewId="0">
      <selection activeCell="B22" sqref="B22"/>
    </sheetView>
  </sheetViews>
  <sheetFormatPr defaultRowHeight="14.5"/>
  <cols>
    <col min="2" max="2" width="19.90625" customWidth="1"/>
    <col min="3" max="3" width="16.90625" customWidth="1"/>
    <col min="4" max="6" width="17" customWidth="1"/>
    <col min="7" max="7" width="19.453125" hidden="1" customWidth="1"/>
    <col min="8" max="10" width="17" hidden="1" customWidth="1"/>
    <col min="11" max="11" width="17" style="658" hidden="1" customWidth="1"/>
    <col min="12" max="12" width="17" style="181" hidden="1" customWidth="1"/>
    <col min="13" max="14" width="17" style="181" customWidth="1"/>
    <col min="15" max="15" width="17" style="810" customWidth="1"/>
    <col min="16" max="17" width="17" style="181" customWidth="1"/>
    <col min="18" max="42" width="17" customWidth="1"/>
  </cols>
  <sheetData>
    <row r="1" spans="1:17" s="782" customFormat="1" ht="18.5">
      <c r="A1" s="780" t="s">
        <v>3742</v>
      </c>
      <c r="O1" s="806"/>
    </row>
    <row r="2" spans="1:17" s="782" customFormat="1">
      <c r="A2" s="782" t="s">
        <v>3551</v>
      </c>
      <c r="O2" s="806"/>
    </row>
    <row r="3" spans="1:17" s="782" customFormat="1">
      <c r="A3" s="782" t="s">
        <v>3708</v>
      </c>
      <c r="O3" s="806"/>
    </row>
    <row r="4" spans="1:17" s="783" customFormat="1">
      <c r="O4" s="807"/>
    </row>
    <row r="6" spans="1:17" s="588" customFormat="1">
      <c r="A6" s="593" t="s">
        <v>10</v>
      </c>
      <c r="B6" s="593" t="s">
        <v>3579</v>
      </c>
      <c r="H6" s="764"/>
      <c r="K6" s="765"/>
      <c r="L6" s="766"/>
      <c r="M6" s="767"/>
      <c r="N6" s="767"/>
      <c r="O6" s="808"/>
      <c r="P6" s="766"/>
      <c r="Q6" s="767"/>
    </row>
    <row r="7" spans="1:17">
      <c r="B7" s="151" t="s">
        <v>3498</v>
      </c>
      <c r="H7" s="151"/>
      <c r="K7" s="762"/>
      <c r="M7" s="201"/>
      <c r="N7" s="201"/>
      <c r="O7" s="809"/>
      <c r="Q7" s="201"/>
    </row>
    <row r="8" spans="1:17">
      <c r="B8" s="151"/>
      <c r="H8" s="151"/>
      <c r="K8" s="762"/>
      <c r="M8" s="201"/>
      <c r="N8" s="201"/>
      <c r="O8" s="809"/>
      <c r="Q8" s="201"/>
    </row>
    <row r="9" spans="1:17">
      <c r="B9" s="151"/>
      <c r="H9" s="151"/>
      <c r="K9" s="762"/>
      <c r="M9" s="201"/>
      <c r="N9" s="201"/>
      <c r="O9" s="809"/>
      <c r="Q9" s="201"/>
    </row>
    <row r="10" spans="1:17" ht="29">
      <c r="B10" s="181"/>
      <c r="C10" s="820" t="s">
        <v>3466</v>
      </c>
      <c r="D10" s="820" t="s">
        <v>3483</v>
      </c>
      <c r="E10" s="820" t="s">
        <v>3477</v>
      </c>
      <c r="F10" s="821"/>
      <c r="G10" s="822" t="s">
        <v>3499</v>
      </c>
      <c r="H10" s="151"/>
      <c r="K10" s="762"/>
      <c r="M10" s="201"/>
      <c r="N10" s="201"/>
      <c r="O10" s="809"/>
      <c r="Q10" s="201"/>
    </row>
    <row r="11" spans="1:17" ht="29.4" customHeight="1">
      <c r="B11" s="823" t="s">
        <v>3490</v>
      </c>
      <c r="C11" s="818">
        <f>SUM(M23:M61)</f>
        <v>4.450263364159837</v>
      </c>
      <c r="D11" s="818">
        <f>SUM(N23:N61)</f>
        <v>3.8662705506952024</v>
      </c>
      <c r="E11" s="816">
        <f>SUM(O23:O61)</f>
        <v>8.3165339148550377</v>
      </c>
      <c r="F11" s="819"/>
      <c r="G11" s="817">
        <f>COUNTIFS(Q23:Q61, "&lt;0")</f>
        <v>9</v>
      </c>
      <c r="H11" s="151"/>
      <c r="K11" s="762"/>
      <c r="M11" s="201"/>
      <c r="N11" s="201"/>
      <c r="O11" s="809"/>
      <c r="Q11" s="201"/>
    </row>
    <row r="12" spans="1:17">
      <c r="B12" s="181"/>
      <c r="C12" s="201" t="b">
        <f>C11=SUM('National model results detailed'!C208,'National model results detailed'!C210)/10^6</f>
        <v>1</v>
      </c>
      <c r="D12" s="201" t="b">
        <f>D11='National model results detailed'!C207/10^6</f>
        <v>1</v>
      </c>
      <c r="E12" s="201" t="b">
        <f>SUM(C11:D11)=E11</f>
        <v>1</v>
      </c>
      <c r="F12" s="181"/>
      <c r="G12" s="201"/>
      <c r="H12" s="151"/>
      <c r="K12" s="762"/>
      <c r="M12" s="201"/>
      <c r="N12" s="201"/>
      <c r="O12" s="809"/>
      <c r="Q12" s="201"/>
    </row>
    <row r="13" spans="1:17">
      <c r="D13" s="181"/>
      <c r="E13" s="810"/>
      <c r="F13" s="861"/>
      <c r="G13" s="181"/>
      <c r="H13" s="151"/>
      <c r="K13" s="762"/>
      <c r="M13" s="201"/>
      <c r="N13" s="201"/>
      <c r="O13" s="809"/>
      <c r="Q13" s="201"/>
    </row>
    <row r="14" spans="1:17">
      <c r="B14" s="775"/>
      <c r="C14" s="181"/>
      <c r="D14" s="181"/>
      <c r="E14" s="810"/>
      <c r="F14" s="181"/>
      <c r="G14" s="181"/>
      <c r="H14" s="151"/>
      <c r="K14" s="762"/>
      <c r="M14" s="201"/>
      <c r="N14" s="201"/>
      <c r="O14" s="809"/>
      <c r="Q14" s="201"/>
    </row>
    <row r="15" spans="1:17">
      <c r="B15" s="775"/>
      <c r="C15" s="181"/>
      <c r="D15" s="181"/>
      <c r="E15" s="810"/>
      <c r="F15" s="181"/>
      <c r="G15" s="181"/>
      <c r="H15" s="151"/>
      <c r="K15" s="762"/>
      <c r="M15" s="201"/>
      <c r="N15" s="201"/>
      <c r="O15" s="809"/>
      <c r="Q15" s="201"/>
    </row>
    <row r="16" spans="1:17">
      <c r="B16" s="181"/>
      <c r="C16" s="775" t="s">
        <v>3510</v>
      </c>
      <c r="D16" s="181"/>
      <c r="E16" s="810"/>
      <c r="F16" s="181"/>
      <c r="G16" s="181"/>
      <c r="H16" s="151"/>
      <c r="K16" s="762"/>
      <c r="M16" s="201"/>
      <c r="N16" s="201"/>
      <c r="O16" s="809"/>
      <c r="Q16" s="201"/>
    </row>
    <row r="17" spans="1:17" s="588" customFormat="1">
      <c r="A17" s="593" t="s">
        <v>10</v>
      </c>
      <c r="B17" s="593" t="s">
        <v>3580</v>
      </c>
      <c r="H17" s="764"/>
      <c r="K17" s="765"/>
      <c r="L17" s="766"/>
      <c r="M17" s="767"/>
      <c r="N17" s="767"/>
      <c r="O17" s="808"/>
      <c r="P17" s="766"/>
      <c r="Q17" s="767"/>
    </row>
    <row r="18" spans="1:17" s="3" customFormat="1">
      <c r="A18" s="595"/>
      <c r="B18" s="151" t="s">
        <v>3498</v>
      </c>
      <c r="H18" s="768"/>
      <c r="K18" s="769"/>
      <c r="L18" s="813"/>
      <c r="M18" s="814"/>
      <c r="N18" s="814"/>
      <c r="O18" s="815"/>
      <c r="P18" s="813"/>
      <c r="Q18" s="814"/>
    </row>
    <row r="19" spans="1:17" s="3" customFormat="1">
      <c r="A19" s="595"/>
      <c r="B19" s="151"/>
      <c r="H19" s="768"/>
      <c r="K19" s="769"/>
      <c r="L19" s="813"/>
      <c r="M19" s="814"/>
      <c r="N19" s="814"/>
      <c r="O19" s="815"/>
      <c r="P19" s="813"/>
      <c r="Q19" s="814"/>
    </row>
    <row r="20" spans="1:17">
      <c r="M20" s="201"/>
      <c r="N20" s="201"/>
      <c r="O20" s="809"/>
      <c r="Q20" s="201"/>
    </row>
    <row r="21" spans="1:17">
      <c r="C21" s="135" t="s">
        <v>3491</v>
      </c>
      <c r="D21" s="760"/>
      <c r="E21" s="135" t="s">
        <v>3492</v>
      </c>
      <c r="F21" s="756"/>
      <c r="H21" s="919" t="s">
        <v>3496</v>
      </c>
      <c r="I21" s="917" t="s">
        <v>3495</v>
      </c>
      <c r="K21" s="921" t="s">
        <v>3489</v>
      </c>
      <c r="M21" s="915" t="s">
        <v>3493</v>
      </c>
      <c r="N21" s="915" t="s">
        <v>3494</v>
      </c>
      <c r="O21" s="923" t="s">
        <v>3497</v>
      </c>
      <c r="Q21" s="915" t="s">
        <v>3500</v>
      </c>
    </row>
    <row r="22" spans="1:17">
      <c r="C22" s="755" t="s">
        <v>3458</v>
      </c>
      <c r="D22" s="755" t="s">
        <v>3459</v>
      </c>
      <c r="E22" s="32" t="s">
        <v>3484</v>
      </c>
      <c r="F22" s="32" t="s">
        <v>3482</v>
      </c>
      <c r="H22" s="920"/>
      <c r="I22" s="918"/>
      <c r="K22" s="922"/>
      <c r="M22" s="916"/>
      <c r="N22" s="916"/>
      <c r="O22" s="924"/>
      <c r="Q22" s="916"/>
    </row>
    <row r="23" spans="1:17">
      <c r="B23" s="34">
        <f>'National model results detailed'!C189</f>
        <v>2020</v>
      </c>
      <c r="C23" s="759">
        <f>INDEX('National model results detailed'!$C$190:$AO$191,  MATCH(C$22, 'National model results detailed'!$B$190:$B$191,0), MATCH($B23, 'National model results detailed'!$C$189:$AO$189,0))/10^6</f>
        <v>0</v>
      </c>
      <c r="D23" s="759">
        <f>INDEX('National model results detailed'!$C$190:$AO$191,  MATCH(D$22, 'National model results detailed'!$B$190:$B$191,0), MATCH($B23, 'National model results detailed'!$C$189:$AO$189,0))/10^6</f>
        <v>0</v>
      </c>
      <c r="E23" s="759">
        <f>IF(B23&lt;=$C$66, -INDEX('Implementation costs'!$C$27:$AO$28, MATCH(E$22, 'Implementation costs'!$B$27:$B$28,0), MATCH($B23, 'Implementation costs'!$C$16:$AO$16,0)),0)</f>
        <v>0</v>
      </c>
      <c r="F23" s="759">
        <f>-INDEX('Implementation costs'!$C$27:$AO$28, MATCH(F$22, 'Implementation costs'!$B$27:$B$28,0), MATCH($B23, 'Implementation costs'!$C$16:$AO$16,0))</f>
        <v>0</v>
      </c>
      <c r="H23" s="759">
        <f>D23+E23+F23</f>
        <v>0</v>
      </c>
      <c r="I23" s="759">
        <f>C23</f>
        <v>0</v>
      </c>
      <c r="J23" s="151"/>
      <c r="K23" s="763">
        <f>INDEX('National model results detailed'!$C$307:$AO$307, MATCH(B23, 'National model results detailed'!$C$305:$AO$305,0))</f>
        <v>1</v>
      </c>
      <c r="M23" s="761">
        <f>H23*K23</f>
        <v>0</v>
      </c>
      <c r="N23" s="761">
        <f>I23*K23</f>
        <v>0</v>
      </c>
      <c r="O23" s="560">
        <f>SUM(M23:N23)</f>
        <v>0</v>
      </c>
      <c r="Q23" s="761">
        <f>M23</f>
        <v>0</v>
      </c>
    </row>
    <row r="24" spans="1:17">
      <c r="B24" s="34">
        <f>B23+1</f>
        <v>2021</v>
      </c>
      <c r="C24" s="759">
        <f>INDEX('National model results detailed'!$C$190:$AO$191,  MATCH(C$22, 'National model results detailed'!$B$190:$B$191,0), MATCH($B24, 'National model results detailed'!$C$189:$AO$189,0))/10^6</f>
        <v>0</v>
      </c>
      <c r="D24" s="759">
        <f>INDEX('National model results detailed'!$C$190:$AO$191,  MATCH(D$22, 'National model results detailed'!$B$190:$B$191,0), MATCH($B24, 'National model results detailed'!$C$189:$AO$189,0))/10^6</f>
        <v>0</v>
      </c>
      <c r="E24" s="759">
        <f>IF(B24&lt;=$C$66, -INDEX('Implementation costs'!$C$27:$AO$28, MATCH(E$22, 'Implementation costs'!$B$27:$B$28,0), MATCH($B24, 'Implementation costs'!$C$16:$AO$16,0)),0)</f>
        <v>-2.4233291339346326E-2</v>
      </c>
      <c r="F24" s="759">
        <f>-INDEX('Implementation costs'!$C$27:$AO$28, MATCH(F$22, 'Implementation costs'!$B$27:$B$28,0), MATCH($B24, 'Implementation costs'!$C$16:$AO$16,0))</f>
        <v>-0.13091266038440497</v>
      </c>
      <c r="H24" s="759">
        <f t="shared" ref="H24:H61" si="0">D24+E24+F24</f>
        <v>-0.15514595172375129</v>
      </c>
      <c r="I24" s="759">
        <f t="shared" ref="I24:I61" si="1">C24</f>
        <v>0</v>
      </c>
      <c r="J24" s="151"/>
      <c r="K24" s="763">
        <f>INDEX('National model results detailed'!$C$307:$AO$307, MATCH(B24, 'National model results detailed'!$C$305:$AO$305,0))</f>
        <v>0.96618357487922713</v>
      </c>
      <c r="M24" s="761">
        <f t="shared" ref="M24:M61" si="2">H24*K24</f>
        <v>-0.14989947026449402</v>
      </c>
      <c r="N24" s="761">
        <f t="shared" ref="N24:N61" si="3">I24*K24</f>
        <v>0</v>
      </c>
      <c r="O24" s="560">
        <f t="shared" ref="O24:O61" si="4">SUM(M24:N24)</f>
        <v>-0.14989947026449402</v>
      </c>
      <c r="Q24" s="761">
        <f>Q23+M24</f>
        <v>-0.14989947026449402</v>
      </c>
    </row>
    <row r="25" spans="1:17">
      <c r="B25" s="34">
        <f t="shared" ref="B25:B61" si="5">B24+1</f>
        <v>2022</v>
      </c>
      <c r="C25" s="759">
        <f>INDEX('National model results detailed'!$C$190:$AO$191,  MATCH(C$22, 'National model results detailed'!$B$190:$B$191,0), MATCH($B25, 'National model results detailed'!$C$189:$AO$189,0))/10^6</f>
        <v>0</v>
      </c>
      <c r="D25" s="759">
        <f>INDEX('National model results detailed'!$C$190:$AO$191,  MATCH(D$22, 'National model results detailed'!$B$190:$B$191,0), MATCH($B25, 'National model results detailed'!$C$189:$AO$189,0))/10^6</f>
        <v>0</v>
      </c>
      <c r="E25" s="759">
        <f>IF(B25&lt;=$C$66, -INDEX('Implementation costs'!$C$27:$AO$28, MATCH(E$22, 'Implementation costs'!$B$27:$B$28,0), MATCH($B25, 'Implementation costs'!$C$16:$AO$16,0)),0)</f>
        <v>-5.0424821208649412E-2</v>
      </c>
      <c r="F25" s="759">
        <f>-INDEX('Implementation costs'!$C$27:$AO$28, MATCH(F$22, 'Implementation costs'!$B$27:$B$28,0), MATCH($B25, 'Implementation costs'!$C$16:$AO$16,0))</f>
        <v>-0.13361256520389028</v>
      </c>
      <c r="H25" s="759">
        <f t="shared" si="0"/>
        <v>-0.18403738641253969</v>
      </c>
      <c r="I25" s="759">
        <f t="shared" si="1"/>
        <v>0</v>
      </c>
      <c r="J25" s="151"/>
      <c r="K25" s="763">
        <f>INDEX('National model results detailed'!$C$307:$AO$307, MATCH(B25, 'National model results detailed'!$C$305:$AO$305,0))</f>
        <v>0.93351070036640305</v>
      </c>
      <c r="M25" s="761">
        <f t="shared" si="2"/>
        <v>-0.17180086948357229</v>
      </c>
      <c r="N25" s="761">
        <f t="shared" si="3"/>
        <v>0</v>
      </c>
      <c r="O25" s="560">
        <f t="shared" si="4"/>
        <v>-0.17180086948357229</v>
      </c>
      <c r="Q25" s="761">
        <f t="shared" ref="Q25:Q61" si="6">Q24+M25</f>
        <v>-0.32170033974806633</v>
      </c>
    </row>
    <row r="26" spans="1:17">
      <c r="B26" s="34">
        <f t="shared" si="5"/>
        <v>2023</v>
      </c>
      <c r="C26" s="759">
        <f>INDEX('National model results detailed'!$C$190:$AO$191,  MATCH(C$22, 'National model results detailed'!$B$190:$B$191,0), MATCH($B26, 'National model results detailed'!$C$189:$AO$189,0))/10^6</f>
        <v>0</v>
      </c>
      <c r="D26" s="759">
        <f>INDEX('National model results detailed'!$C$190:$AO$191,  MATCH(D$22, 'National model results detailed'!$B$190:$B$191,0), MATCH($B26, 'National model results detailed'!$C$189:$AO$189,0))/10^6</f>
        <v>0</v>
      </c>
      <c r="E26" s="759">
        <f>IF(B26&lt;=$C$66, -INDEX('Implementation costs'!$C$27:$AO$28, MATCH(E$22, 'Implementation costs'!$B$27:$B$28,0), MATCH($B26, 'Implementation costs'!$C$16:$AO$16,0)),0)</f>
        <v>-7.85567783721004E-2</v>
      </c>
      <c r="F26" s="759">
        <f>-INDEX('Implementation costs'!$C$27:$AO$28, MATCH(F$22, 'Implementation costs'!$B$27:$B$28,0), MATCH($B26, 'Implementation costs'!$C$16:$AO$16,0))</f>
        <v>-0.13665736164125644</v>
      </c>
      <c r="H26" s="759">
        <f t="shared" si="0"/>
        <v>-0.21521414001335684</v>
      </c>
      <c r="I26" s="759">
        <f t="shared" si="1"/>
        <v>0</v>
      </c>
      <c r="J26" s="151"/>
      <c r="K26" s="763">
        <f>INDEX('National model results detailed'!$C$307:$AO$307, MATCH(B26, 'National model results detailed'!$C$305:$AO$305,0))</f>
        <v>0.90194270566802237</v>
      </c>
      <c r="M26" s="761">
        <f t="shared" si="2"/>
        <v>-0.19411082374166366</v>
      </c>
      <c r="N26" s="761">
        <f t="shared" si="3"/>
        <v>0</v>
      </c>
      <c r="O26" s="560">
        <f t="shared" si="4"/>
        <v>-0.19411082374166366</v>
      </c>
      <c r="Q26" s="761">
        <f t="shared" si="6"/>
        <v>-0.51581116348973</v>
      </c>
    </row>
    <row r="27" spans="1:17">
      <c r="B27" s="34">
        <f t="shared" si="5"/>
        <v>2024</v>
      </c>
      <c r="C27" s="759">
        <f>INDEX('National model results detailed'!$C$190:$AO$191,  MATCH(C$22, 'National model results detailed'!$B$190:$B$191,0), MATCH($B27, 'National model results detailed'!$C$189:$AO$189,0))/10^6</f>
        <v>8.6716375969201773E-2</v>
      </c>
      <c r="D27" s="759">
        <f>INDEX('National model results detailed'!$C$190:$AO$191,  MATCH(D$22, 'National model results detailed'!$B$190:$B$191,0), MATCH($B27, 'National model results detailed'!$C$189:$AO$189,0))/10^6</f>
        <v>-1.6616521612944319E-2</v>
      </c>
      <c r="E27" s="759">
        <f>IF(B27&lt;=$C$66, -INDEX('Implementation costs'!$C$27:$AO$28, MATCH(E$22, 'Implementation costs'!$B$27:$B$28,0), MATCH($B27, 'Implementation costs'!$C$16:$AO$16,0)),0)</f>
        <v>-8.1676217882037244E-2</v>
      </c>
      <c r="F27" s="759">
        <f>-INDEX('Implementation costs'!$C$27:$AO$28, MATCH(F$22, 'Implementation costs'!$B$27:$B$28,0), MATCH($B27, 'Implementation costs'!$C$16:$AO$16,0))</f>
        <v>0</v>
      </c>
      <c r="H27" s="759">
        <f t="shared" si="0"/>
        <v>-9.829273949498156E-2</v>
      </c>
      <c r="I27" s="759">
        <f t="shared" si="1"/>
        <v>8.6716375969201773E-2</v>
      </c>
      <c r="J27" s="151"/>
      <c r="K27" s="763">
        <f>INDEX('National model results detailed'!$C$307:$AO$307, MATCH(B27, 'National model results detailed'!$C$305:$AO$305,0))</f>
        <v>0.87144222769857238</v>
      </c>
      <c r="M27" s="761">
        <f t="shared" si="2"/>
        <v>-8.5656443872102181E-2</v>
      </c>
      <c r="N27" s="761">
        <f t="shared" si="3"/>
        <v>7.5568311852548142E-2</v>
      </c>
      <c r="O27" s="560">
        <f t="shared" si="4"/>
        <v>-1.0088132019554039E-2</v>
      </c>
      <c r="Q27" s="761">
        <f t="shared" si="6"/>
        <v>-0.60146760736183214</v>
      </c>
    </row>
    <row r="28" spans="1:17">
      <c r="B28" s="34">
        <f t="shared" si="5"/>
        <v>2025</v>
      </c>
      <c r="C28" s="759">
        <f>INDEX('National model results detailed'!$C$190:$AO$191,  MATCH(C$22, 'National model results detailed'!$B$190:$B$191,0), MATCH($B28, 'National model results detailed'!$C$189:$AO$189,0))/10^6</f>
        <v>0.12698816533141741</v>
      </c>
      <c r="D28" s="759">
        <f>INDEX('National model results detailed'!$C$190:$AO$191,  MATCH(D$22, 'National model results detailed'!$B$190:$B$191,0), MATCH($B28, 'National model results detailed'!$C$189:$AO$189,0))/10^6</f>
        <v>0.10361583881591936</v>
      </c>
      <c r="E28" s="759">
        <f>IF(B28&lt;=$C$66, -INDEX('Implementation costs'!$C$27:$AO$28, MATCH(E$22, 'Implementation costs'!$B$27:$B$28,0), MATCH($B28, 'Implementation costs'!$C$16:$AO$16,0)),0)</f>
        <v>-7.9484081079133018E-2</v>
      </c>
      <c r="F28" s="759">
        <f>-INDEX('Implementation costs'!$C$27:$AO$28, MATCH(F$22, 'Implementation costs'!$B$27:$B$28,0), MATCH($B28, 'Implementation costs'!$C$16:$AO$16,0))</f>
        <v>0</v>
      </c>
      <c r="H28" s="759">
        <f t="shared" si="0"/>
        <v>2.4131757736786344E-2</v>
      </c>
      <c r="I28" s="759">
        <f t="shared" si="1"/>
        <v>0.12698816533141741</v>
      </c>
      <c r="J28" s="151"/>
      <c r="K28" s="763">
        <f>INDEX('National model results detailed'!$C$307:$AO$307, MATCH(B28, 'National model results detailed'!$C$305:$AO$305,0))</f>
        <v>0.84197316685852419</v>
      </c>
      <c r="M28" s="761">
        <f t="shared" si="2"/>
        <v>2.0318292483504689E-2</v>
      </c>
      <c r="N28" s="761">
        <f t="shared" si="3"/>
        <v>0.10692062771764736</v>
      </c>
      <c r="O28" s="560">
        <f t="shared" si="4"/>
        <v>0.12723892020115204</v>
      </c>
      <c r="Q28" s="761">
        <f t="shared" si="6"/>
        <v>-0.58114931487832744</v>
      </c>
    </row>
    <row r="29" spans="1:17">
      <c r="B29" s="34">
        <f t="shared" si="5"/>
        <v>2026</v>
      </c>
      <c r="C29" s="759">
        <f>INDEX('National model results detailed'!$C$190:$AO$191,  MATCH(C$22, 'National model results detailed'!$B$190:$B$191,0), MATCH($B29, 'National model results detailed'!$C$189:$AO$189,0))/10^6</f>
        <v>0.15434846764425006</v>
      </c>
      <c r="D29" s="759">
        <f>INDEX('National model results detailed'!$C$190:$AO$191,  MATCH(D$22, 'National model results detailed'!$B$190:$B$191,0), MATCH($B29, 'National model results detailed'!$C$189:$AO$189,0))/10^6</f>
        <v>0.18510776013712327</v>
      </c>
      <c r="E29" s="759">
        <f>IF(B29&lt;=$C$66, -INDEX('Implementation costs'!$C$27:$AO$28, MATCH(E$22, 'Implementation costs'!$B$27:$B$28,0), MATCH($B29, 'Implementation costs'!$C$16:$AO$16,0)),0)</f>
        <v>-7.8952764786949264E-2</v>
      </c>
      <c r="F29" s="759">
        <f>-INDEX('Implementation costs'!$C$27:$AO$28, MATCH(F$22, 'Implementation costs'!$B$27:$B$28,0), MATCH($B29, 'Implementation costs'!$C$16:$AO$16,0))</f>
        <v>0</v>
      </c>
      <c r="H29" s="759">
        <f t="shared" si="0"/>
        <v>0.106154995350174</v>
      </c>
      <c r="I29" s="759">
        <f t="shared" si="1"/>
        <v>0.15434846764425006</v>
      </c>
      <c r="J29" s="151"/>
      <c r="K29" s="763">
        <f>INDEX('National model results detailed'!$C$307:$AO$307, MATCH(B29, 'National model results detailed'!$C$305:$AO$305,0))</f>
        <v>0.81350064430775282</v>
      </c>
      <c r="M29" s="761">
        <f t="shared" si="2"/>
        <v>8.6357157113853056E-2</v>
      </c>
      <c r="N29" s="761">
        <f t="shared" si="3"/>
        <v>0.12556257787651176</v>
      </c>
      <c r="O29" s="560">
        <f t="shared" si="4"/>
        <v>0.21191973499036482</v>
      </c>
      <c r="Q29" s="761">
        <f t="shared" si="6"/>
        <v>-0.49479215776447438</v>
      </c>
    </row>
    <row r="30" spans="1:17">
      <c r="B30" s="34">
        <f t="shared" si="5"/>
        <v>2027</v>
      </c>
      <c r="C30" s="759">
        <f>INDEX('National model results detailed'!$C$190:$AO$191,  MATCH(C$22, 'National model results detailed'!$B$190:$B$191,0), MATCH($B30, 'National model results detailed'!$C$189:$AO$189,0))/10^6</f>
        <v>0.17317814459215322</v>
      </c>
      <c r="D30" s="759">
        <f>INDEX('National model results detailed'!$C$190:$AO$191,  MATCH(D$22, 'National model results detailed'!$B$190:$B$191,0), MATCH($B30, 'National model results detailed'!$C$189:$AO$189,0))/10^6</f>
        <v>0.2412575644309691</v>
      </c>
      <c r="E30" s="759">
        <f>IF(B30&lt;=$C$66, -INDEX('Implementation costs'!$C$27:$AO$28, MATCH(E$22, 'Implementation costs'!$B$27:$B$28,0), MATCH($B30, 'Implementation costs'!$C$16:$AO$16,0)),0)</f>
        <v>-7.9536829023994671E-2</v>
      </c>
      <c r="F30" s="759">
        <f>-INDEX('Implementation costs'!$C$27:$AO$28, MATCH(F$22, 'Implementation costs'!$B$27:$B$28,0), MATCH($B30, 'Implementation costs'!$C$16:$AO$16,0))</f>
        <v>0</v>
      </c>
      <c r="H30" s="759">
        <f t="shared" si="0"/>
        <v>0.16172073540697443</v>
      </c>
      <c r="I30" s="759">
        <f t="shared" si="1"/>
        <v>0.17317814459215322</v>
      </c>
      <c r="J30" s="151"/>
      <c r="K30" s="763">
        <f>INDEX('National model results detailed'!$C$307:$AO$307, MATCH(B30, 'National model results detailed'!$C$305:$AO$305,0))</f>
        <v>0.78599096068381913</v>
      </c>
      <c r="M30" s="761">
        <f t="shared" si="2"/>
        <v>0.12711103618502156</v>
      </c>
      <c r="N30" s="761">
        <f t="shared" si="3"/>
        <v>0.13611645623742785</v>
      </c>
      <c r="O30" s="560">
        <f t="shared" si="4"/>
        <v>0.26322749242244942</v>
      </c>
      <c r="Q30" s="761">
        <f t="shared" si="6"/>
        <v>-0.36768112157945282</v>
      </c>
    </row>
    <row r="31" spans="1:17">
      <c r="B31" s="34">
        <f t="shared" si="5"/>
        <v>2028</v>
      </c>
      <c r="C31" s="759">
        <f>INDEX('National model results detailed'!$C$190:$AO$191,  MATCH(C$22, 'National model results detailed'!$B$190:$B$191,0), MATCH($B31, 'National model results detailed'!$C$189:$AO$189,0))/10^6</f>
        <v>0.18669187363371134</v>
      </c>
      <c r="D31" s="759">
        <f>INDEX('National model results detailed'!$C$190:$AO$191,  MATCH(D$22, 'National model results detailed'!$B$190:$B$191,0), MATCH($B31, 'National model results detailed'!$C$189:$AO$189,0))/10^6</f>
        <v>0.28131220203293328</v>
      </c>
      <c r="E31" s="759">
        <f>IF(B31&lt;=$C$66, -INDEX('Implementation costs'!$C$27:$AO$28, MATCH(E$22, 'Implementation costs'!$B$27:$B$28,0), MATCH($B31, 'Implementation costs'!$C$16:$AO$16,0)),0)</f>
        <v>-8.0938988914107224E-2</v>
      </c>
      <c r="F31" s="759">
        <f>-INDEX('Implementation costs'!$C$27:$AO$28, MATCH(F$22, 'Implementation costs'!$B$27:$B$28,0), MATCH($B31, 'Implementation costs'!$C$16:$AO$16,0))</f>
        <v>0</v>
      </c>
      <c r="H31" s="759">
        <f t="shared" si="0"/>
        <v>0.20037321311882605</v>
      </c>
      <c r="I31" s="759">
        <f t="shared" si="1"/>
        <v>0.18669187363371134</v>
      </c>
      <c r="J31" s="151"/>
      <c r="K31" s="763">
        <f>INDEX('National model results detailed'!$C$307:$AO$307, MATCH(B31, 'National model results detailed'!$C$305:$AO$305,0))</f>
        <v>0.75941155621625056</v>
      </c>
      <c r="M31" s="761">
        <f t="shared" si="2"/>
        <v>0.15216573359861812</v>
      </c>
      <c r="N31" s="761">
        <f t="shared" si="3"/>
        <v>0.14177596628910433</v>
      </c>
      <c r="O31" s="560">
        <f t="shared" si="4"/>
        <v>0.29394169988772245</v>
      </c>
      <c r="Q31" s="761">
        <f t="shared" si="6"/>
        <v>-0.21551538798083469</v>
      </c>
    </row>
    <row r="32" spans="1:17">
      <c r="B32" s="34">
        <f t="shared" si="5"/>
        <v>2029</v>
      </c>
      <c r="C32" s="759">
        <f>INDEX('National model results detailed'!$C$190:$AO$191,  MATCH(C$22, 'National model results detailed'!$B$190:$B$191,0), MATCH($B32, 'National model results detailed'!$C$189:$AO$189,0))/10^6</f>
        <v>0.19660959902389769</v>
      </c>
      <c r="D32" s="759">
        <f>INDEX('National model results detailed'!$C$190:$AO$191,  MATCH(D$22, 'National model results detailed'!$B$190:$B$191,0), MATCH($B32, 'National model results detailed'!$C$189:$AO$189,0))/10^6</f>
        <v>0.31096093187334717</v>
      </c>
      <c r="E32" s="759">
        <f>IF(B32&lt;=$C$66, -INDEX('Implementation costs'!$C$27:$AO$28, MATCH(E$22, 'Implementation costs'!$B$27:$B$28,0), MATCH($B32, 'Implementation costs'!$C$16:$AO$16,0)),0)</f>
        <v>-8.2872606246265329E-2</v>
      </c>
      <c r="F32" s="759">
        <f>-INDEX('Implementation costs'!$C$27:$AO$28, MATCH(F$22, 'Implementation costs'!$B$27:$B$28,0), MATCH($B32, 'Implementation costs'!$C$16:$AO$16,0))</f>
        <v>0</v>
      </c>
      <c r="H32" s="759">
        <f t="shared" si="0"/>
        <v>0.22808832562708184</v>
      </c>
      <c r="I32" s="759">
        <f t="shared" si="1"/>
        <v>0.19660959902389769</v>
      </c>
      <c r="J32" s="151"/>
      <c r="K32" s="763">
        <f>INDEX('National model results detailed'!$C$307:$AO$307, MATCH(B32, 'National model results detailed'!$C$305:$AO$305,0))</f>
        <v>0.73373097218961414</v>
      </c>
      <c r="M32" s="761">
        <f t="shared" si="2"/>
        <v>0.16735546890746003</v>
      </c>
      <c r="N32" s="761">
        <f t="shared" si="3"/>
        <v>0.14425855223361467</v>
      </c>
      <c r="O32" s="560">
        <f t="shared" si="4"/>
        <v>0.31161402114107473</v>
      </c>
      <c r="Q32" s="761">
        <f t="shared" si="6"/>
        <v>-4.8159919073374663E-2</v>
      </c>
    </row>
    <row r="33" spans="2:17">
      <c r="B33" s="34">
        <f t="shared" si="5"/>
        <v>2030</v>
      </c>
      <c r="C33" s="759">
        <f>INDEX('National model results detailed'!$C$190:$AO$191,  MATCH(C$22, 'National model results detailed'!$B$190:$B$191,0), MATCH($B33, 'National model results detailed'!$C$189:$AO$189,0))/10^6</f>
        <v>0.2040084126769674</v>
      </c>
      <c r="D33" s="759">
        <f>INDEX('National model results detailed'!$C$190:$AO$191,  MATCH(D$22, 'National model results detailed'!$B$190:$B$191,0), MATCH($B33, 'National model results detailed'!$C$189:$AO$189,0))/10^6</f>
        <v>0.33372097325259698</v>
      </c>
      <c r="E33" s="759">
        <f>IF(B33&lt;=$C$66, -INDEX('Implementation costs'!$C$27:$AO$28, MATCH(E$22, 'Implementation costs'!$B$27:$B$28,0), MATCH($B33, 'Implementation costs'!$C$16:$AO$16,0)),0)</f>
        <v>-8.5168042090894569E-2</v>
      </c>
      <c r="F33" s="759">
        <f>-INDEX('Implementation costs'!$C$27:$AO$28, MATCH(F$22, 'Implementation costs'!$B$27:$B$28,0), MATCH($B33, 'Implementation costs'!$C$16:$AO$16,0))</f>
        <v>0</v>
      </c>
      <c r="H33" s="759">
        <f t="shared" si="0"/>
        <v>0.24855293116170241</v>
      </c>
      <c r="I33" s="759">
        <f t="shared" si="1"/>
        <v>0.2040084126769674</v>
      </c>
      <c r="J33" s="151"/>
      <c r="K33" s="763">
        <f>INDEX('National model results detailed'!$C$307:$AO$307, MATCH(B33, 'National model results detailed'!$C$305:$AO$305,0))</f>
        <v>0.70891881370977217</v>
      </c>
      <c r="M33" s="761">
        <f t="shared" si="2"/>
        <v>0.17620384910324075</v>
      </c>
      <c r="N33" s="761">
        <f t="shared" si="3"/>
        <v>0.14462540190176937</v>
      </c>
      <c r="O33" s="560">
        <f t="shared" si="4"/>
        <v>0.32082925100501014</v>
      </c>
      <c r="Q33" s="761">
        <f t="shared" si="6"/>
        <v>0.12804393002986608</v>
      </c>
    </row>
    <row r="34" spans="2:17">
      <c r="B34" s="34">
        <f t="shared" si="5"/>
        <v>2031</v>
      </c>
      <c r="C34" s="759">
        <f>INDEX('National model results detailed'!$C$190:$AO$191,  MATCH(C$22, 'National model results detailed'!$B$190:$B$191,0), MATCH($B34, 'National model results detailed'!$C$189:$AO$189,0))/10^6</f>
        <v>0.20937846966072951</v>
      </c>
      <c r="D34" s="759">
        <f>INDEX('National model results detailed'!$C$190:$AO$191,  MATCH(D$22, 'National model results detailed'!$B$190:$B$191,0), MATCH($B34, 'National model results detailed'!$C$189:$AO$189,0))/10^6</f>
        <v>0.35122403339464603</v>
      </c>
      <c r="E34" s="759">
        <f>IF(B34&lt;=$C$66, -INDEX('Implementation costs'!$C$27:$AO$28, MATCH(E$22, 'Implementation costs'!$B$27:$B$28,0), MATCH($B34, 'Implementation costs'!$C$16:$AO$16,0)),0)</f>
        <v>-8.7750655161008523E-2</v>
      </c>
      <c r="F34" s="759">
        <f>-INDEX('Implementation costs'!$C$27:$AO$28, MATCH(F$22, 'Implementation costs'!$B$27:$B$28,0), MATCH($B34, 'Implementation costs'!$C$16:$AO$16,0))</f>
        <v>-1.1080069208305671E-2</v>
      </c>
      <c r="H34" s="759">
        <f t="shared" si="0"/>
        <v>0.2523933090253318</v>
      </c>
      <c r="I34" s="759">
        <f t="shared" si="1"/>
        <v>0.20937846966072951</v>
      </c>
      <c r="J34" s="151"/>
      <c r="K34" s="763">
        <f>INDEX('National model results detailed'!$C$307:$AO$307, MATCH(B34, 'National model results detailed'!$C$305:$AO$305,0))</f>
        <v>0.68494571372924851</v>
      </c>
      <c r="M34" s="761">
        <f t="shared" si="2"/>
        <v>0.17287571519084266</v>
      </c>
      <c r="N34" s="761">
        <f t="shared" si="3"/>
        <v>0.14341288534130617</v>
      </c>
      <c r="O34" s="560">
        <f t="shared" si="4"/>
        <v>0.3162886005321488</v>
      </c>
      <c r="Q34" s="761">
        <f t="shared" si="6"/>
        <v>0.30091964522070874</v>
      </c>
    </row>
    <row r="35" spans="2:17">
      <c r="B35" s="34">
        <f t="shared" si="5"/>
        <v>2032</v>
      </c>
      <c r="C35" s="759">
        <f>INDEX('National model results detailed'!$C$190:$AO$191,  MATCH(C$22, 'National model results detailed'!$B$190:$B$191,0), MATCH($B35, 'National model results detailed'!$C$189:$AO$189,0))/10^6</f>
        <v>0.21344552040614168</v>
      </c>
      <c r="D35" s="759">
        <f>INDEX('National model results detailed'!$C$190:$AO$191,  MATCH(D$22, 'National model results detailed'!$B$190:$B$191,0), MATCH($B35, 'National model results detailed'!$C$189:$AO$189,0))/10^6</f>
        <v>0.36575128401308182</v>
      </c>
      <c r="E35" s="759">
        <f>IF(B35&lt;=$C$66, -INDEX('Implementation costs'!$C$27:$AO$28, MATCH(E$22, 'Implementation costs'!$B$27:$B$28,0), MATCH($B35, 'Implementation costs'!$C$16:$AO$16,0)),0)</f>
        <v>-9.0520078896631093E-2</v>
      </c>
      <c r="F35" s="759">
        <f>-INDEX('Implementation costs'!$C$27:$AO$28, MATCH(F$22, 'Implementation costs'!$B$27:$B$28,0), MATCH($B35, 'Implementation costs'!$C$16:$AO$16,0))</f>
        <v>-1.1290590523263477E-2</v>
      </c>
      <c r="H35" s="759">
        <f t="shared" si="0"/>
        <v>0.26394061459318724</v>
      </c>
      <c r="I35" s="759">
        <f t="shared" si="1"/>
        <v>0.21344552040614168</v>
      </c>
      <c r="J35" s="151"/>
      <c r="K35" s="763">
        <f>INDEX('National model results detailed'!$C$307:$AO$307, MATCH(B35, 'National model results detailed'!$C$305:$AO$305,0))</f>
        <v>0.66178329828912896</v>
      </c>
      <c r="M35" s="761">
        <f t="shared" si="2"/>
        <v>0.17467149047793926</v>
      </c>
      <c r="N35" s="761">
        <f t="shared" si="3"/>
        <v>0.14125468049941603</v>
      </c>
      <c r="O35" s="560">
        <f t="shared" si="4"/>
        <v>0.31592617097735531</v>
      </c>
      <c r="Q35" s="761">
        <f t="shared" si="6"/>
        <v>0.47559113569864797</v>
      </c>
    </row>
    <row r="36" spans="2:17">
      <c r="B36" s="34">
        <f t="shared" si="5"/>
        <v>2033</v>
      </c>
      <c r="C36" s="759">
        <f>INDEX('National model results detailed'!$C$190:$AO$191,  MATCH(C$22, 'National model results detailed'!$B$190:$B$191,0), MATCH($B36, 'National model results detailed'!$C$189:$AO$189,0))/10^6</f>
        <v>0.21671164134893917</v>
      </c>
      <c r="D36" s="759">
        <f>INDEX('National model results detailed'!$C$190:$AO$191,  MATCH(D$22, 'National model results detailed'!$B$190:$B$191,0), MATCH($B36, 'National model results detailed'!$C$189:$AO$189,0))/10^6</f>
        <v>0.37872931730459053</v>
      </c>
      <c r="E36" s="759">
        <f>IF(B36&lt;=$C$66, -INDEX('Implementation costs'!$C$27:$AO$28, MATCH(E$22, 'Implementation costs'!$B$27:$B$28,0), MATCH($B36, 'Implementation costs'!$C$16:$AO$16,0)),0)</f>
        <v>-9.3435739018289526E-2</v>
      </c>
      <c r="F36" s="759">
        <f>-INDEX('Implementation costs'!$C$27:$AO$28, MATCH(F$22, 'Implementation costs'!$B$27:$B$28,0), MATCH($B36, 'Implementation costs'!$C$16:$AO$16,0))</f>
        <v>-1.1505111743205482E-2</v>
      </c>
      <c r="H36" s="759">
        <f t="shared" si="0"/>
        <v>0.27378846654309552</v>
      </c>
      <c r="I36" s="759">
        <f t="shared" si="1"/>
        <v>0.21671164134893917</v>
      </c>
      <c r="J36" s="151"/>
      <c r="K36" s="763">
        <f>INDEX('National model results detailed'!$C$307:$AO$307, MATCH(B36, 'National model results detailed'!$C$305:$AO$305,0))</f>
        <v>0.63940415293635666</v>
      </c>
      <c r="M36" s="761">
        <f t="shared" si="2"/>
        <v>0.17506148253373202</v>
      </c>
      <c r="N36" s="761">
        <f t="shared" si="3"/>
        <v>0.13856632346816597</v>
      </c>
      <c r="O36" s="560">
        <f t="shared" si="4"/>
        <v>0.31362780600189799</v>
      </c>
      <c r="Q36" s="761">
        <f t="shared" si="6"/>
        <v>0.65065261823237996</v>
      </c>
    </row>
    <row r="37" spans="2:17">
      <c r="B37" s="34">
        <f t="shared" si="5"/>
        <v>2034</v>
      </c>
      <c r="C37" s="759">
        <f>INDEX('National model results detailed'!$C$190:$AO$191,  MATCH(C$22, 'National model results detailed'!$B$190:$B$191,0), MATCH($B37, 'National model results detailed'!$C$189:$AO$189,0))/10^6</f>
        <v>0.21950131408029319</v>
      </c>
      <c r="D37" s="759">
        <f>INDEX('National model results detailed'!$C$190:$AO$191,  MATCH(D$22, 'National model results detailed'!$B$190:$B$191,0), MATCH($B37, 'National model results detailed'!$C$189:$AO$189,0))/10^6</f>
        <v>0.39103018751231761</v>
      </c>
      <c r="E37" s="759">
        <f>IF(B37&lt;=$C$66, -INDEX('Implementation costs'!$C$27:$AO$28, MATCH(E$22, 'Implementation costs'!$B$27:$B$28,0), MATCH($B37, 'Implementation costs'!$C$16:$AO$16,0)),0)</f>
        <v>-9.6484088748588173E-2</v>
      </c>
      <c r="F37" s="759">
        <f>-INDEX('Implementation costs'!$C$27:$AO$28, MATCH(F$22, 'Implementation costs'!$B$27:$B$28,0), MATCH($B37, 'Implementation costs'!$C$16:$AO$16,0))</f>
        <v>0</v>
      </c>
      <c r="H37" s="759">
        <f t="shared" si="0"/>
        <v>0.29454609876372945</v>
      </c>
      <c r="I37" s="759">
        <f t="shared" si="1"/>
        <v>0.21950131408029319</v>
      </c>
      <c r="J37" s="151"/>
      <c r="K37" s="763">
        <f>INDEX('National model results detailed'!$C$307:$AO$307, MATCH(B37, 'National model results detailed'!$C$305:$AO$305,0))</f>
        <v>0.61778179027667302</v>
      </c>
      <c r="M37" s="761">
        <f t="shared" si="2"/>
        <v>0.18196521621326653</v>
      </c>
      <c r="N37" s="761">
        <f t="shared" si="3"/>
        <v>0.13560391478060582</v>
      </c>
      <c r="O37" s="560">
        <f t="shared" si="4"/>
        <v>0.31756913099387235</v>
      </c>
      <c r="Q37" s="761">
        <f t="shared" si="6"/>
        <v>0.83261783444564652</v>
      </c>
    </row>
    <row r="38" spans="2:17">
      <c r="B38" s="34">
        <f t="shared" si="5"/>
        <v>2035</v>
      </c>
      <c r="C38" s="759">
        <f>INDEX('National model results detailed'!$C$190:$AO$191,  MATCH(C$22, 'National model results detailed'!$B$190:$B$191,0), MATCH($B38, 'National model results detailed'!$C$189:$AO$189,0))/10^6</f>
        <v>0.23207781653183016</v>
      </c>
      <c r="D38" s="759">
        <f>INDEX('National model results detailed'!$C$190:$AO$191,  MATCH(D$22, 'National model results detailed'!$B$190:$B$191,0), MATCH($B38, 'National model results detailed'!$C$189:$AO$189,0))/10^6</f>
        <v>0.41515838287120821</v>
      </c>
      <c r="E38" s="759">
        <f>IF(B38&lt;=$C$66, -INDEX('Implementation costs'!$C$27:$AO$28, MATCH(E$22, 'Implementation costs'!$B$27:$B$28,0), MATCH($B38, 'Implementation costs'!$C$16:$AO$16,0)),0)</f>
        <v>-9.9652442908159236E-2</v>
      </c>
      <c r="F38" s="759">
        <f>-INDEX('Implementation costs'!$C$27:$AO$28, MATCH(F$22, 'Implementation costs'!$B$27:$B$28,0), MATCH($B38, 'Implementation costs'!$C$16:$AO$16,0))</f>
        <v>0</v>
      </c>
      <c r="H38" s="759">
        <f t="shared" si="0"/>
        <v>0.31550593996304899</v>
      </c>
      <c r="I38" s="759">
        <f t="shared" si="1"/>
        <v>0.23207781653183016</v>
      </c>
      <c r="J38" s="151"/>
      <c r="K38" s="763">
        <f>INDEX('National model results detailed'!$C$307:$AO$307, MATCH(B38, 'National model results detailed'!$C$305:$AO$305,0))</f>
        <v>0.59689061862480497</v>
      </c>
      <c r="M38" s="761">
        <f t="shared" si="2"/>
        <v>0.1883225356843449</v>
      </c>
      <c r="N38" s="761">
        <f t="shared" si="3"/>
        <v>0.1385250714787781</v>
      </c>
      <c r="O38" s="560">
        <f t="shared" si="4"/>
        <v>0.326847607163123</v>
      </c>
      <c r="Q38" s="761">
        <f t="shared" si="6"/>
        <v>1.0209403701299915</v>
      </c>
    </row>
    <row r="39" spans="2:17">
      <c r="B39" s="34">
        <f t="shared" si="5"/>
        <v>2036</v>
      </c>
      <c r="C39" s="759">
        <f>INDEX('National model results detailed'!$C$190:$AO$191,  MATCH(C$22, 'National model results detailed'!$B$190:$B$191,0), MATCH($B39, 'National model results detailed'!$C$189:$AO$189,0))/10^6</f>
        <v>0.24357510477899572</v>
      </c>
      <c r="D39" s="759">
        <f>INDEX('National model results detailed'!$C$190:$AO$191,  MATCH(D$22, 'National model results detailed'!$B$190:$B$191,0), MATCH($B39, 'National model results detailed'!$C$189:$AO$189,0))/10^6</f>
        <v>0.43810260732274703</v>
      </c>
      <c r="E39" s="759">
        <f>IF(B39&lt;=$C$66, -INDEX('Implementation costs'!$C$27:$AO$28, MATCH(E$22, 'Implementation costs'!$B$27:$B$28,0), MATCH($B39, 'Implementation costs'!$C$16:$AO$16,0)),0)</f>
        <v>-0.10293094633979637</v>
      </c>
      <c r="F39" s="759">
        <f>-INDEX('Implementation costs'!$C$27:$AO$28, MATCH(F$22, 'Implementation costs'!$B$27:$B$28,0), MATCH($B39, 'Implementation costs'!$C$16:$AO$16,0))</f>
        <v>0</v>
      </c>
      <c r="H39" s="759">
        <f t="shared" si="0"/>
        <v>0.33517166098295065</v>
      </c>
      <c r="I39" s="759">
        <f t="shared" si="1"/>
        <v>0.24357510477899572</v>
      </c>
      <c r="J39" s="151"/>
      <c r="K39" s="763">
        <f>INDEX('National model results detailed'!$C$307:$AO$307, MATCH(B39, 'National model results detailed'!$C$305:$AO$305,0))</f>
        <v>0.57670591171478747</v>
      </c>
      <c r="M39" s="761">
        <f t="shared" si="2"/>
        <v>0.19329547832813221</v>
      </c>
      <c r="N39" s="761">
        <f t="shared" si="3"/>
        <v>0.1404712028725956</v>
      </c>
      <c r="O39" s="560">
        <f t="shared" si="4"/>
        <v>0.33376668120072783</v>
      </c>
      <c r="Q39" s="761">
        <f t="shared" si="6"/>
        <v>1.2142358484581237</v>
      </c>
    </row>
    <row r="40" spans="2:17">
      <c r="B40" s="34">
        <f t="shared" si="5"/>
        <v>2037</v>
      </c>
      <c r="C40" s="759">
        <f>INDEX('National model results detailed'!$C$190:$AO$191,  MATCH(C$22, 'National model results detailed'!$B$190:$B$191,0), MATCH($B40, 'National model results detailed'!$C$189:$AO$189,0))/10^6</f>
        <v>0.25438643911632647</v>
      </c>
      <c r="D40" s="759">
        <f>INDEX('National model results detailed'!$C$190:$AO$191,  MATCH(D$22, 'National model results detailed'!$B$190:$B$191,0), MATCH($B40, 'National model results detailed'!$C$189:$AO$189,0))/10^6</f>
        <v>0.46036150028936396</v>
      </c>
      <c r="E40" s="759">
        <f>IF(B40&lt;=$C$66, -INDEX('Implementation costs'!$C$27:$AO$28, MATCH(E$22, 'Implementation costs'!$B$27:$B$28,0), MATCH($B40, 'Implementation costs'!$C$16:$AO$16,0)),0)</f>
        <v>-0.10632480550010312</v>
      </c>
      <c r="F40" s="759">
        <f>-INDEX('Implementation costs'!$C$27:$AO$28, MATCH(F$22, 'Implementation costs'!$B$27:$B$28,0), MATCH($B40, 'Implementation costs'!$C$16:$AO$16,0))</f>
        <v>0</v>
      </c>
      <c r="H40" s="759">
        <f t="shared" si="0"/>
        <v>0.35403669478926081</v>
      </c>
      <c r="I40" s="759">
        <f t="shared" si="1"/>
        <v>0.25438643911632647</v>
      </c>
      <c r="J40" s="151"/>
      <c r="K40" s="763">
        <f>INDEX('National model results detailed'!$C$307:$AO$307, MATCH(B40, 'National model results detailed'!$C$305:$AO$305,0))</f>
        <v>0.55720377943457733</v>
      </c>
      <c r="M40" s="761">
        <f t="shared" si="2"/>
        <v>0.19727058439510206</v>
      </c>
      <c r="N40" s="761">
        <f t="shared" si="3"/>
        <v>0.14174508531252111</v>
      </c>
      <c r="O40" s="560">
        <f t="shared" si="4"/>
        <v>0.3390156697076232</v>
      </c>
      <c r="Q40" s="761">
        <f t="shared" si="6"/>
        <v>1.4115064328532259</v>
      </c>
    </row>
    <row r="41" spans="2:17">
      <c r="B41" s="34">
        <f t="shared" si="5"/>
        <v>2038</v>
      </c>
      <c r="C41" s="759">
        <f>INDEX('National model results detailed'!$C$190:$AO$191,  MATCH(C$22, 'National model results detailed'!$B$190:$B$191,0), MATCH($B41, 'National model results detailed'!$C$189:$AO$189,0))/10^6</f>
        <v>0.26502440638080832</v>
      </c>
      <c r="D41" s="759">
        <f>INDEX('National model results detailed'!$C$190:$AO$191,  MATCH(D$22, 'National model results detailed'!$B$190:$B$191,0), MATCH($B41, 'National model results detailed'!$C$189:$AO$189,0))/10^6</f>
        <v>0.48275504517308943</v>
      </c>
      <c r="E41" s="759">
        <f>IF(B41&lt;=$C$66, -INDEX('Implementation costs'!$C$27:$AO$28, MATCH(E$22, 'Implementation costs'!$B$27:$B$28,0), MATCH($B41, 'Implementation costs'!$C$16:$AO$16,0)),0)</f>
        <v>-0.10985877352115719</v>
      </c>
      <c r="F41" s="759">
        <f>-INDEX('Implementation costs'!$C$27:$AO$28, MATCH(F$22, 'Implementation costs'!$B$27:$B$28,0), MATCH($B41, 'Implementation costs'!$C$16:$AO$16,0))</f>
        <v>0</v>
      </c>
      <c r="H41" s="759">
        <f t="shared" si="0"/>
        <v>0.37289627165193223</v>
      </c>
      <c r="I41" s="759">
        <f t="shared" si="1"/>
        <v>0.26502440638080832</v>
      </c>
      <c r="J41" s="151"/>
      <c r="K41" s="763">
        <f>INDEX('National model results detailed'!$C$307:$AO$307, MATCH(B41, 'National model results detailed'!$C$305:$AO$305,0))</f>
        <v>0.53836113955031628</v>
      </c>
      <c r="M41" s="761">
        <f t="shared" si="2"/>
        <v>0.20075286174059853</v>
      </c>
      <c r="N41" s="761">
        <f t="shared" si="3"/>
        <v>0.14267884142781809</v>
      </c>
      <c r="O41" s="560">
        <f t="shared" si="4"/>
        <v>0.34343170316841665</v>
      </c>
      <c r="Q41" s="761">
        <f t="shared" si="6"/>
        <v>1.6122592945938243</v>
      </c>
    </row>
    <row r="42" spans="2:17">
      <c r="B42" s="34">
        <f t="shared" si="5"/>
        <v>2039</v>
      </c>
      <c r="C42" s="759">
        <f>INDEX('National model results detailed'!$C$190:$AO$191,  MATCH(C$22, 'National model results detailed'!$B$190:$B$191,0), MATCH($B42, 'National model results detailed'!$C$189:$AO$189,0))/10^6</f>
        <v>0.27559397038849642</v>
      </c>
      <c r="D42" s="759">
        <f>INDEX('National model results detailed'!$C$190:$AO$191,  MATCH(D$22, 'National model results detailed'!$B$190:$B$191,0), MATCH($B42, 'National model results detailed'!$C$189:$AO$189,0))/10^6</f>
        <v>0.50552911164765035</v>
      </c>
      <c r="E42" s="759">
        <f>IF(B42&lt;=$C$66, -INDEX('Implementation costs'!$C$27:$AO$28, MATCH(E$22, 'Implementation costs'!$B$27:$B$28,0), MATCH($B42, 'Implementation costs'!$C$16:$AO$16,0)),0)</f>
        <v>-0.1135011553543076</v>
      </c>
      <c r="F42" s="759">
        <f>-INDEX('Implementation costs'!$C$27:$AO$28, MATCH(F$22, 'Implementation costs'!$B$27:$B$28,0), MATCH($B42, 'Implementation costs'!$C$16:$AO$16,0))</f>
        <v>0</v>
      </c>
      <c r="H42" s="759">
        <f t="shared" si="0"/>
        <v>0.39202795629334275</v>
      </c>
      <c r="I42" s="759">
        <f t="shared" si="1"/>
        <v>0.27559397038849642</v>
      </c>
      <c r="J42" s="151"/>
      <c r="K42" s="763">
        <f>INDEX('National model results detailed'!$C$307:$AO$307, MATCH(B42, 'National model results detailed'!$C$305:$AO$305,0))</f>
        <v>0.52015569038677911</v>
      </c>
      <c r="M42" s="761">
        <f t="shared" si="2"/>
        <v>0.20391557225668178</v>
      </c>
      <c r="N42" s="761">
        <f t="shared" si="3"/>
        <v>0.14335177193386192</v>
      </c>
      <c r="O42" s="560">
        <f t="shared" si="4"/>
        <v>0.34726734419054373</v>
      </c>
      <c r="Q42" s="761">
        <f t="shared" si="6"/>
        <v>1.8161748668505062</v>
      </c>
    </row>
    <row r="43" spans="2:17">
      <c r="B43" s="34">
        <f t="shared" si="5"/>
        <v>2040</v>
      </c>
      <c r="C43" s="759">
        <f>INDEX('National model results detailed'!$C$190:$AO$191,  MATCH(C$22, 'National model results detailed'!$B$190:$B$191,0), MATCH($B43, 'National model results detailed'!$C$189:$AO$189,0))/10^6</f>
        <v>0.28615969827122967</v>
      </c>
      <c r="D43" s="759">
        <f>INDEX('National model results detailed'!$C$190:$AO$191,  MATCH(D$22, 'National model results detailed'!$B$190:$B$191,0), MATCH($B43, 'National model results detailed'!$C$189:$AO$189,0))/10^6</f>
        <v>0.52876033646011711</v>
      </c>
      <c r="E43" s="759">
        <f>IF(B43&lt;=$C$66, -INDEX('Implementation costs'!$C$27:$AO$28, MATCH(E$22, 'Implementation costs'!$B$27:$B$28,0), MATCH($B43, 'Implementation costs'!$C$16:$AO$16,0)),0)</f>
        <v>-0.11724807240004402</v>
      </c>
      <c r="F43" s="759">
        <f>-INDEX('Implementation costs'!$C$27:$AO$28, MATCH(F$22, 'Implementation costs'!$B$27:$B$28,0), MATCH($B43, 'Implementation costs'!$C$16:$AO$16,0))</f>
        <v>0</v>
      </c>
      <c r="H43" s="759">
        <f t="shared" si="0"/>
        <v>0.41151226406007307</v>
      </c>
      <c r="I43" s="759">
        <f t="shared" si="1"/>
        <v>0.28615969827122967</v>
      </c>
      <c r="J43" s="151"/>
      <c r="K43" s="763">
        <f>INDEX('National model results detailed'!$C$307:$AO$307, MATCH(B43, 'National model results detailed'!$C$305:$AO$305,0))</f>
        <v>0.50256588443167061</v>
      </c>
      <c r="M43" s="761">
        <f t="shared" si="2"/>
        <v>0.20681202494182979</v>
      </c>
      <c r="N43" s="761">
        <f t="shared" si="3"/>
        <v>0.14381410185038054</v>
      </c>
      <c r="O43" s="560">
        <f t="shared" si="4"/>
        <v>0.35062612679221034</v>
      </c>
      <c r="Q43" s="761">
        <f t="shared" si="6"/>
        <v>2.0229868917923359</v>
      </c>
    </row>
    <row r="44" spans="2:17">
      <c r="B44" s="34">
        <f t="shared" si="5"/>
        <v>2041</v>
      </c>
      <c r="C44" s="759">
        <f>INDEX('National model results detailed'!$C$190:$AO$191,  MATCH(C$22, 'National model results detailed'!$B$190:$B$191,0), MATCH($B44, 'National model results detailed'!$C$189:$AO$189,0))/10^6</f>
        <v>0.2966618444115533</v>
      </c>
      <c r="D44" s="759">
        <f>INDEX('National model results detailed'!$C$190:$AO$191,  MATCH(D$22, 'National model results detailed'!$B$190:$B$191,0), MATCH($B44, 'National model results detailed'!$C$189:$AO$189,0))/10^6</f>
        <v>0.55217341481409299</v>
      </c>
      <c r="E44" s="759">
        <f>IF(B44&lt;=$C$66, -INDEX('Implementation costs'!$C$27:$AO$28, MATCH(E$22, 'Implementation costs'!$B$27:$B$28,0), MATCH($B44, 'Implementation costs'!$C$16:$AO$16,0)),0)</f>
        <v>-0.12111737097608996</v>
      </c>
      <c r="F44" s="759">
        <f>-INDEX('Implementation costs'!$C$27:$AO$28, MATCH(F$22, 'Implementation costs'!$B$27:$B$28,0), MATCH($B44, 'Implementation costs'!$C$16:$AO$16,0))</f>
        <v>0</v>
      </c>
      <c r="H44" s="759">
        <f t="shared" si="0"/>
        <v>0.431056043838003</v>
      </c>
      <c r="I44" s="759">
        <f t="shared" si="1"/>
        <v>0.2966618444115533</v>
      </c>
      <c r="J44" s="151"/>
      <c r="K44" s="763">
        <f>INDEX('National model results detailed'!$C$307:$AO$307, MATCH(B44, 'National model results detailed'!$C$305:$AO$305,0))</f>
        <v>0.48557090283253213</v>
      </c>
      <c r="M44" s="761">
        <f t="shared" si="2"/>
        <v>0.20930827237783867</v>
      </c>
      <c r="N44" s="761">
        <f t="shared" si="3"/>
        <v>0.14405035962688212</v>
      </c>
      <c r="O44" s="560">
        <f t="shared" si="4"/>
        <v>0.35335863200472079</v>
      </c>
      <c r="Q44" s="761">
        <f t="shared" si="6"/>
        <v>2.2322951641701745</v>
      </c>
    </row>
    <row r="45" spans="2:17">
      <c r="B45" s="34">
        <f t="shared" si="5"/>
        <v>2042</v>
      </c>
      <c r="C45" s="759">
        <f>INDEX('National model results detailed'!$C$190:$AO$191,  MATCH(C$22, 'National model results detailed'!$B$190:$B$191,0), MATCH($B45, 'National model results detailed'!$C$189:$AO$189,0))/10^6</f>
        <v>0.30740605399298254</v>
      </c>
      <c r="D45" s="759">
        <f>INDEX('National model results detailed'!$C$190:$AO$191,  MATCH(D$22, 'National model results detailed'!$B$190:$B$191,0), MATCH($B45, 'National model results detailed'!$C$189:$AO$189,0))/10^6</f>
        <v>0.57648823955341433</v>
      </c>
      <c r="E45" s="759">
        <f>IF(B45&lt;=$C$66, -INDEX('Implementation costs'!$C$27:$AO$28, MATCH(E$22, 'Implementation costs'!$B$27:$B$28,0), MATCH($B45, 'Implementation costs'!$C$16:$AO$16,0)),0)</f>
        <v>-0.12510390301049618</v>
      </c>
      <c r="F45" s="759">
        <f>-INDEX('Implementation costs'!$C$27:$AO$28, MATCH(F$22, 'Implementation costs'!$B$27:$B$28,0), MATCH($B45, 'Implementation costs'!$C$16:$AO$16,0))</f>
        <v>0</v>
      </c>
      <c r="H45" s="759">
        <f t="shared" si="0"/>
        <v>0.45138433654291815</v>
      </c>
      <c r="I45" s="759">
        <f t="shared" si="1"/>
        <v>0.30740605399298254</v>
      </c>
      <c r="J45" s="151"/>
      <c r="K45" s="763">
        <f>INDEX('National model results detailed'!$C$307:$AO$307, MATCH(B45, 'National model results detailed'!$C$305:$AO$305,0))</f>
        <v>0.46915063075606966</v>
      </c>
      <c r="M45" s="761">
        <f t="shared" si="2"/>
        <v>0.21176724620252008</v>
      </c>
      <c r="N45" s="761">
        <f t="shared" si="3"/>
        <v>0.14421974412904218</v>
      </c>
      <c r="O45" s="560">
        <f t="shared" si="4"/>
        <v>0.35598699033156223</v>
      </c>
      <c r="Q45" s="761">
        <f t="shared" si="6"/>
        <v>2.4440624103726947</v>
      </c>
    </row>
    <row r="46" spans="2:17">
      <c r="B46" s="34">
        <f t="shared" si="5"/>
        <v>2043</v>
      </c>
      <c r="C46" s="759">
        <f>INDEX('National model results detailed'!$C$190:$AO$191,  MATCH(C$22, 'National model results detailed'!$B$190:$B$191,0), MATCH($B46, 'National model results detailed'!$C$189:$AO$189,0))/10^6</f>
        <v>0.318429328320327</v>
      </c>
      <c r="D46" s="759">
        <f>INDEX('National model results detailed'!$C$190:$AO$191,  MATCH(D$22, 'National model results detailed'!$B$190:$B$191,0), MATCH($B46, 'National model results detailed'!$C$189:$AO$189,0))/10^6</f>
        <v>0.60181327918001992</v>
      </c>
      <c r="E46" s="759">
        <f>IF(B46&lt;=$C$66, -INDEX('Implementation costs'!$C$27:$AO$28, MATCH(E$22, 'Implementation costs'!$B$27:$B$28,0), MATCH($B46, 'Implementation costs'!$C$16:$AO$16,0)),0)</f>
        <v>-0.12920474021320505</v>
      </c>
      <c r="F46" s="759">
        <f>-INDEX('Implementation costs'!$C$27:$AO$28, MATCH(F$22, 'Implementation costs'!$B$27:$B$28,0), MATCH($B46, 'Implementation costs'!$C$16:$AO$16,0))</f>
        <v>0</v>
      </c>
      <c r="H46" s="759">
        <f t="shared" si="0"/>
        <v>0.47260853896681487</v>
      </c>
      <c r="I46" s="759">
        <f t="shared" si="1"/>
        <v>0.318429328320327</v>
      </c>
      <c r="J46" s="151"/>
      <c r="K46" s="763">
        <f>INDEX('National model results detailed'!$C$307:$AO$307, MATCH(B46, 'National model results detailed'!$C$305:$AO$305,0))</f>
        <v>0.45328563358074364</v>
      </c>
      <c r="M46" s="761">
        <f t="shared" si="2"/>
        <v>0.21422666102124224</v>
      </c>
      <c r="N46" s="761">
        <f t="shared" si="3"/>
        <v>0.14433943983837005</v>
      </c>
      <c r="O46" s="560">
        <f t="shared" si="4"/>
        <v>0.35856610085961227</v>
      </c>
      <c r="Q46" s="761">
        <f t="shared" si="6"/>
        <v>2.6582890713939369</v>
      </c>
    </row>
    <row r="47" spans="2:17">
      <c r="B47" s="34">
        <f t="shared" si="5"/>
        <v>2044</v>
      </c>
      <c r="C47" s="759">
        <f>INDEX('National model results detailed'!$C$190:$AO$191,  MATCH(C$22, 'National model results detailed'!$B$190:$B$191,0), MATCH($B47, 'National model results detailed'!$C$189:$AO$189,0))/10^6</f>
        <v>0.32970325101352088</v>
      </c>
      <c r="D47" s="759">
        <f>INDEX('National model results detailed'!$C$190:$AO$191,  MATCH(D$22, 'National model results detailed'!$B$190:$B$191,0), MATCH($B47, 'National model results detailed'!$C$189:$AO$189,0))/10^6</f>
        <v>0.62810473265594313</v>
      </c>
      <c r="E47" s="759">
        <f>IF(B47&lt;=$C$66, -INDEX('Implementation costs'!$C$27:$AO$28, MATCH(E$22, 'Implementation costs'!$B$27:$B$28,0), MATCH($B47, 'Implementation costs'!$C$16:$AO$16,0)),0)</f>
        <v>-0.13341892017033338</v>
      </c>
      <c r="F47" s="759">
        <f>-INDEX('Implementation costs'!$C$27:$AO$28, MATCH(F$22, 'Implementation costs'!$B$27:$B$28,0), MATCH($B47, 'Implementation costs'!$C$16:$AO$16,0))</f>
        <v>0</v>
      </c>
      <c r="H47" s="759">
        <f t="shared" si="0"/>
        <v>0.49468581248560972</v>
      </c>
      <c r="I47" s="759">
        <f t="shared" si="1"/>
        <v>0.32970325101352088</v>
      </c>
      <c r="J47" s="151"/>
      <c r="K47" s="763">
        <f>INDEX('National model results detailed'!$C$307:$AO$307, MATCH(B47, 'National model results detailed'!$C$305:$AO$305,0))</f>
        <v>0.43795713389443841</v>
      </c>
      <c r="M47" s="761">
        <f t="shared" si="2"/>
        <v>0.21665118061443922</v>
      </c>
      <c r="N47" s="761">
        <f t="shared" si="3"/>
        <v>0.1443958908495602</v>
      </c>
      <c r="O47" s="560">
        <f t="shared" si="4"/>
        <v>0.36104707146399939</v>
      </c>
      <c r="Q47" s="761">
        <f t="shared" si="6"/>
        <v>2.874940252008376</v>
      </c>
    </row>
    <row r="48" spans="2:17">
      <c r="B48" s="34">
        <f t="shared" si="5"/>
        <v>2045</v>
      </c>
      <c r="C48" s="759">
        <f>INDEX('National model results detailed'!$C$190:$AO$191,  MATCH(C$22, 'National model results detailed'!$B$190:$B$191,0), MATCH($B48, 'National model results detailed'!$C$189:$AO$189,0))/10^6</f>
        <v>0.34114227634254324</v>
      </c>
      <c r="D48" s="759">
        <f>INDEX('National model results detailed'!$C$190:$AO$191,  MATCH(D$22, 'National model results detailed'!$B$190:$B$191,0), MATCH($B48, 'National model results detailed'!$C$189:$AO$189,0))/10^6</f>
        <v>0.65514534767664678</v>
      </c>
      <c r="E48" s="759">
        <f>IF(B48&lt;=$C$66, -INDEX('Implementation costs'!$C$27:$AO$28, MATCH(E$22, 'Implementation costs'!$B$27:$B$28,0), MATCH($B48, 'Implementation costs'!$C$16:$AO$16,0)),0)</f>
        <v>-0.13775417001742618</v>
      </c>
      <c r="F48" s="759">
        <f>-INDEX('Implementation costs'!$C$27:$AO$28, MATCH(F$22, 'Implementation costs'!$B$27:$B$28,0), MATCH($B48, 'Implementation costs'!$C$16:$AO$16,0))</f>
        <v>0</v>
      </c>
      <c r="H48" s="759">
        <f t="shared" si="0"/>
        <v>0.5173911776592206</v>
      </c>
      <c r="I48" s="759">
        <f t="shared" si="1"/>
        <v>0.34114227634254324</v>
      </c>
      <c r="J48" s="151"/>
      <c r="K48" s="763">
        <f>INDEX('National model results detailed'!$C$307:$AO$307, MATCH(B48, 'National model results detailed'!$C$305:$AO$305,0))</f>
        <v>0.42314698926998884</v>
      </c>
      <c r="M48" s="761">
        <f t="shared" si="2"/>
        <v>0.21893251910135311</v>
      </c>
      <c r="N48" s="761">
        <f t="shared" si="3"/>
        <v>0.1443533271470577</v>
      </c>
      <c r="O48" s="560">
        <f t="shared" si="4"/>
        <v>0.36328584624841082</v>
      </c>
      <c r="Q48" s="761">
        <f t="shared" si="6"/>
        <v>3.0938727711097291</v>
      </c>
    </row>
    <row r="49" spans="2:17">
      <c r="B49" s="34">
        <f t="shared" si="5"/>
        <v>2046</v>
      </c>
      <c r="C49" s="759">
        <f>INDEX('National model results detailed'!$C$190:$AO$191,  MATCH(C$22, 'National model results detailed'!$B$190:$B$191,0), MATCH($B49, 'National model results detailed'!$C$189:$AO$189,0))/10^6</f>
        <v>0.35274909881152899</v>
      </c>
      <c r="D49" s="759">
        <f>INDEX('National model results detailed'!$C$190:$AO$191,  MATCH(D$22, 'National model results detailed'!$B$190:$B$191,0), MATCH($B49, 'National model results detailed'!$C$189:$AO$189,0))/10^6</f>
        <v>0.68299257685084314</v>
      </c>
      <c r="E49" s="759">
        <f>IF(B49&lt;=$C$66, -INDEX('Implementation costs'!$C$27:$AO$28, MATCH(E$22, 'Implementation costs'!$B$27:$B$28,0), MATCH($B49, 'Implementation costs'!$C$16:$AO$16,0)),0)</f>
        <v>-0.14220606525803459</v>
      </c>
      <c r="F49" s="759">
        <f>-INDEX('Implementation costs'!$C$27:$AO$28, MATCH(F$22, 'Implementation costs'!$B$27:$B$28,0), MATCH($B49, 'Implementation costs'!$C$16:$AO$16,0))</f>
        <v>0</v>
      </c>
      <c r="H49" s="759">
        <f t="shared" si="0"/>
        <v>0.54078651159280855</v>
      </c>
      <c r="I49" s="759">
        <f t="shared" si="1"/>
        <v>0.35274909881152899</v>
      </c>
      <c r="J49" s="151"/>
      <c r="K49" s="763">
        <f>INDEX('National model results detailed'!$C$307:$AO$307, MATCH(B49, 'National model results detailed'!$C$305:$AO$305,0))</f>
        <v>0.40883767079225974</v>
      </c>
      <c r="M49" s="761">
        <f t="shared" si="2"/>
        <v>0.22109389779547522</v>
      </c>
      <c r="N49" s="761">
        <f t="shared" si="3"/>
        <v>0.1442171199321742</v>
      </c>
      <c r="O49" s="560">
        <f t="shared" si="4"/>
        <v>0.3653110177276494</v>
      </c>
      <c r="Q49" s="761">
        <f t="shared" si="6"/>
        <v>3.3149666689052042</v>
      </c>
    </row>
    <row r="50" spans="2:17">
      <c r="B50" s="34">
        <f t="shared" si="5"/>
        <v>2047</v>
      </c>
      <c r="C50" s="759">
        <f>INDEX('National model results detailed'!$C$190:$AO$191,  MATCH(C$22, 'National model results detailed'!$B$190:$B$191,0), MATCH($B50, 'National model results detailed'!$C$189:$AO$189,0))/10^6</f>
        <v>0.36453358494515919</v>
      </c>
      <c r="D50" s="759">
        <f>INDEX('National model results detailed'!$C$190:$AO$191,  MATCH(D$22, 'National model results detailed'!$B$190:$B$191,0), MATCH($B50, 'National model results detailed'!$C$189:$AO$189,0))/10^6</f>
        <v>0.71172051423708249</v>
      </c>
      <c r="E50" s="759">
        <f>IF(B50&lt;=$C$66, -INDEX('Implementation costs'!$C$27:$AO$28, MATCH(E$22, 'Implementation costs'!$B$27:$B$28,0), MATCH($B50, 'Implementation costs'!$C$16:$AO$16,0)),0)</f>
        <v>-0.14677055265972855</v>
      </c>
      <c r="F50" s="759">
        <f>-INDEX('Implementation costs'!$C$27:$AO$28, MATCH(F$22, 'Implementation costs'!$B$27:$B$28,0), MATCH($B50, 'Implementation costs'!$C$16:$AO$16,0))</f>
        <v>0</v>
      </c>
      <c r="H50" s="759">
        <f t="shared" si="0"/>
        <v>0.56494996157735389</v>
      </c>
      <c r="I50" s="759">
        <f t="shared" si="1"/>
        <v>0.36453358494515919</v>
      </c>
      <c r="J50" s="151"/>
      <c r="K50" s="763">
        <f>INDEX('National model results detailed'!$C$307:$AO$307, MATCH(B50, 'National model results detailed'!$C$305:$AO$305,0))</f>
        <v>0.39501224231136206</v>
      </c>
      <c r="M50" s="761">
        <f t="shared" si="2"/>
        <v>0.2231621511163884</v>
      </c>
      <c r="N50" s="761">
        <f t="shared" si="3"/>
        <v>0.1439952287869867</v>
      </c>
      <c r="O50" s="560">
        <f t="shared" si="4"/>
        <v>0.3671573799033751</v>
      </c>
      <c r="Q50" s="761">
        <f t="shared" si="6"/>
        <v>3.5381288200215928</v>
      </c>
    </row>
    <row r="51" spans="2:17">
      <c r="B51" s="34">
        <f t="shared" si="5"/>
        <v>2048</v>
      </c>
      <c r="C51" s="759">
        <f>INDEX('National model results detailed'!$C$190:$AO$191,  MATCH(C$22, 'National model results detailed'!$B$190:$B$191,0), MATCH($B51, 'National model results detailed'!$C$189:$AO$189,0))/10^6</f>
        <v>0.37649281673032597</v>
      </c>
      <c r="D51" s="759">
        <f>INDEX('National model results detailed'!$C$190:$AO$191,  MATCH(D$22, 'National model results detailed'!$B$190:$B$191,0), MATCH($B51, 'National model results detailed'!$C$189:$AO$189,0))/10^6</f>
        <v>0.74136123503735851</v>
      </c>
      <c r="E51" s="759">
        <f>IF(B51&lt;=$C$66, -INDEX('Implementation costs'!$C$27:$AO$28, MATCH(E$22, 'Implementation costs'!$B$27:$B$28,0), MATCH($B51, 'Implementation costs'!$C$16:$AO$16,0)),0)</f>
        <v>-0.15144538331301144</v>
      </c>
      <c r="F51" s="759">
        <f>-INDEX('Implementation costs'!$C$27:$AO$28, MATCH(F$22, 'Implementation costs'!$B$27:$B$28,0), MATCH($B51, 'Implementation costs'!$C$16:$AO$16,0))</f>
        <v>0</v>
      </c>
      <c r="H51" s="759">
        <f t="shared" si="0"/>
        <v>0.58991585172434702</v>
      </c>
      <c r="I51" s="759">
        <f t="shared" si="1"/>
        <v>0.37649281673032597</v>
      </c>
      <c r="J51" s="151"/>
      <c r="K51" s="763">
        <f>INDEX('National model results detailed'!$C$307:$AO$307, MATCH(B51, 'National model results detailed'!$C$305:$AO$305,0))</f>
        <v>0.38165434039745127</v>
      </c>
      <c r="M51" s="761">
        <f t="shared" si="2"/>
        <v>0.22514394527985632</v>
      </c>
      <c r="N51" s="761">
        <f t="shared" si="3"/>
        <v>0.14369011763359107</v>
      </c>
      <c r="O51" s="560">
        <f t="shared" si="4"/>
        <v>0.36883406291344739</v>
      </c>
      <c r="Q51" s="761">
        <f t="shared" si="6"/>
        <v>3.7632727653014491</v>
      </c>
    </row>
    <row r="52" spans="2:17">
      <c r="B52" s="34">
        <f t="shared" si="5"/>
        <v>2049</v>
      </c>
      <c r="C52" s="759">
        <f>INDEX('National model results detailed'!$C$190:$AO$191,  MATCH(C$22, 'National model results detailed'!$B$190:$B$191,0), MATCH($B52, 'National model results detailed'!$C$189:$AO$189,0))/10^6</f>
        <v>0.38866703179776879</v>
      </c>
      <c r="D52" s="759">
        <f>INDEX('National model results detailed'!$C$190:$AO$191,  MATCH(D$22, 'National model results detailed'!$B$190:$B$191,0), MATCH($B52, 'National model results detailed'!$C$189:$AO$189,0))/10^6</f>
        <v>0.77201356590544434</v>
      </c>
      <c r="E52" s="759">
        <f>IF(B52&lt;=$C$66, -INDEX('Implementation costs'!$C$27:$AO$28, MATCH(E$22, 'Implementation costs'!$B$27:$B$28,0), MATCH($B52, 'Implementation costs'!$C$16:$AO$16,0)),0)</f>
        <v>-0.15623415811247626</v>
      </c>
      <c r="F52" s="759">
        <f>-INDEX('Implementation costs'!$C$27:$AO$28, MATCH(F$22, 'Implementation costs'!$B$27:$B$28,0), MATCH($B52, 'Implementation costs'!$C$16:$AO$16,0))</f>
        <v>0</v>
      </c>
      <c r="H52" s="759">
        <f t="shared" si="0"/>
        <v>0.61577940779296814</v>
      </c>
      <c r="I52" s="759">
        <f t="shared" si="1"/>
        <v>0.38866703179776879</v>
      </c>
      <c r="J52" s="151"/>
      <c r="K52" s="763">
        <f>INDEX('National model results detailed'!$C$307:$AO$307, MATCH(B52, 'National model results detailed'!$C$305:$AO$305,0))</f>
        <v>0.36874815497338298</v>
      </c>
      <c r="M52" s="761">
        <f t="shared" si="2"/>
        <v>0.22706752049425941</v>
      </c>
      <c r="N52" s="761">
        <f t="shared" si="3"/>
        <v>0.14332025087440842</v>
      </c>
      <c r="O52" s="560">
        <f t="shared" si="4"/>
        <v>0.37038777136866785</v>
      </c>
      <c r="Q52" s="761">
        <f t="shared" si="6"/>
        <v>3.9903402857957087</v>
      </c>
    </row>
    <row r="53" spans="2:17">
      <c r="B53" s="34">
        <f t="shared" si="5"/>
        <v>2050</v>
      </c>
      <c r="C53" s="759">
        <f>INDEX('National model results detailed'!$C$190:$AO$191,  MATCH(C$22, 'National model results detailed'!$B$190:$B$191,0), MATCH($B53, 'National model results detailed'!$C$189:$AO$189,0))/10^6</f>
        <v>0.40116388643189244</v>
      </c>
      <c r="D53" s="759">
        <f>INDEX('National model results detailed'!$C$190:$AO$191,  MATCH(D$22, 'National model results detailed'!$B$190:$B$191,0), MATCH($B53, 'National model results detailed'!$C$189:$AO$189,0))/10^6</f>
        <v>0.8038927886237911</v>
      </c>
      <c r="E53" s="759">
        <f>IF(B53&lt;=$C$66, -INDEX('Implementation costs'!$C$27:$AO$28, MATCH(E$22, 'Implementation costs'!$B$27:$B$28,0), MATCH($B53, 'Implementation costs'!$C$16:$AO$16,0)),0)</f>
        <v>-0.16115249848058202</v>
      </c>
      <c r="F53" s="759">
        <f>-INDEX('Implementation costs'!$C$27:$AO$28, MATCH(F$22, 'Implementation costs'!$B$27:$B$28,0), MATCH($B53, 'Implementation costs'!$C$16:$AO$16,0))</f>
        <v>0</v>
      </c>
      <c r="H53" s="759">
        <f t="shared" si="0"/>
        <v>0.6427402901432091</v>
      </c>
      <c r="I53" s="759">
        <f t="shared" si="1"/>
        <v>0.40116388643189244</v>
      </c>
      <c r="J53" s="151"/>
      <c r="K53" s="763">
        <f>INDEX('National model results detailed'!$C$307:$AO$307, MATCH(B53, 'National model results detailed'!$C$305:$AO$305,0))</f>
        <v>0.35627841060230236</v>
      </c>
      <c r="M53" s="761">
        <f t="shared" si="2"/>
        <v>0.2289944890022852</v>
      </c>
      <c r="N53" s="761">
        <f t="shared" si="3"/>
        <v>0.14292603184899716</v>
      </c>
      <c r="O53" s="560">
        <f t="shared" si="4"/>
        <v>0.37192052085128235</v>
      </c>
      <c r="Q53" s="761">
        <f t="shared" si="6"/>
        <v>4.2193347747979937</v>
      </c>
    </row>
    <row r="54" spans="2:17">
      <c r="B54" s="34">
        <f t="shared" si="5"/>
        <v>2051</v>
      </c>
      <c r="C54" s="759">
        <f>INDEX('National model results detailed'!$C$190:$AO$191,  MATCH(C$22, 'National model results detailed'!$B$190:$B$191,0), MATCH($B54, 'National model results detailed'!$C$189:$AO$189,0))/10^6</f>
        <v>0.41399971737860519</v>
      </c>
      <c r="D54" s="759">
        <f>INDEX('National model results detailed'!$C$190:$AO$191,  MATCH(D$22, 'National model results detailed'!$B$190:$B$191,0), MATCH($B54, 'National model results detailed'!$C$189:$AO$189,0))/10^6</f>
        <v>0.83705948913507799</v>
      </c>
      <c r="E54" s="759">
        <f>IF(B54&lt;=$C$66, -INDEX('Implementation costs'!$C$27:$AO$28, MATCH(E$22, 'Implementation costs'!$B$27:$B$28,0), MATCH($B54, 'Implementation costs'!$C$16:$AO$16,0)),0)</f>
        <v>-0.16620466639841547</v>
      </c>
      <c r="F54" s="759">
        <f>-INDEX('Implementation costs'!$C$27:$AO$28, MATCH(F$22, 'Implementation costs'!$B$27:$B$28,0), MATCH($B54, 'Implementation costs'!$C$16:$AO$16,0))</f>
        <v>0</v>
      </c>
      <c r="H54" s="759">
        <f t="shared" si="0"/>
        <v>0.67085482273666253</v>
      </c>
      <c r="I54" s="759">
        <f t="shared" si="1"/>
        <v>0.41399971737860519</v>
      </c>
      <c r="J54" s="151"/>
      <c r="K54" s="763">
        <f>INDEX('National model results detailed'!$C$307:$AO$307, MATCH(B54, 'National model results detailed'!$C$305:$AO$305,0))</f>
        <v>0.34423034840802164</v>
      </c>
      <c r="M54" s="761">
        <f t="shared" si="2"/>
        <v>0.23092858936184293</v>
      </c>
      <c r="N54" s="761">
        <f t="shared" si="3"/>
        <v>0.14251126695405975</v>
      </c>
      <c r="O54" s="560">
        <f t="shared" si="4"/>
        <v>0.37343985631590271</v>
      </c>
      <c r="Q54" s="761">
        <f t="shared" si="6"/>
        <v>4.450263364159837</v>
      </c>
    </row>
    <row r="55" spans="2:17">
      <c r="B55" s="34">
        <f t="shared" si="5"/>
        <v>2052</v>
      </c>
      <c r="C55" s="759">
        <f>INDEX('National model results detailed'!$C$190:$AO$191,  MATCH(C$22, 'National model results detailed'!$B$190:$B$191,0), MATCH($B55, 'National model results detailed'!$C$189:$AO$189,0))/10^6</f>
        <v>0</v>
      </c>
      <c r="D55" s="759">
        <f>INDEX('National model results detailed'!$C$190:$AO$191,  MATCH(D$22, 'National model results detailed'!$B$190:$B$191,0), MATCH($B55, 'National model results detailed'!$C$189:$AO$189,0))/10^6</f>
        <v>0</v>
      </c>
      <c r="E55" s="759">
        <f>IF(B55&lt;=$C$66, -INDEX('Implementation costs'!$C$27:$AO$28, MATCH(E$22, 'Implementation costs'!$B$27:$B$28,0), MATCH($B55, 'Implementation costs'!$C$16:$AO$16,0)),0)</f>
        <v>0</v>
      </c>
      <c r="F55" s="759">
        <f>-INDEX('Implementation costs'!$C$27:$AO$28, MATCH(F$22, 'Implementation costs'!$B$27:$B$28,0), MATCH($B55, 'Implementation costs'!$C$16:$AO$16,0))</f>
        <v>0</v>
      </c>
      <c r="H55" s="759">
        <f t="shared" si="0"/>
        <v>0</v>
      </c>
      <c r="I55" s="759">
        <f t="shared" si="1"/>
        <v>0</v>
      </c>
      <c r="J55" s="151"/>
      <c r="K55" s="763">
        <f>INDEX('National model results detailed'!$C$307:$AO$307, MATCH(B55, 'National model results detailed'!$C$305:$AO$305,0))</f>
        <v>0.33258970860678427</v>
      </c>
      <c r="M55" s="761">
        <f t="shared" si="2"/>
        <v>0</v>
      </c>
      <c r="N55" s="761">
        <f t="shared" si="3"/>
        <v>0</v>
      </c>
      <c r="O55" s="560">
        <f t="shared" si="4"/>
        <v>0</v>
      </c>
      <c r="Q55" s="761">
        <f t="shared" si="6"/>
        <v>4.450263364159837</v>
      </c>
    </row>
    <row r="56" spans="2:17">
      <c r="B56" s="34">
        <f t="shared" si="5"/>
        <v>2053</v>
      </c>
      <c r="C56" s="759">
        <f>INDEX('National model results detailed'!$C$190:$AO$191,  MATCH(C$22, 'National model results detailed'!$B$190:$B$191,0), MATCH($B56, 'National model results detailed'!$C$189:$AO$189,0))/10^6</f>
        <v>0</v>
      </c>
      <c r="D56" s="759">
        <f>INDEX('National model results detailed'!$C$190:$AO$191,  MATCH(D$22, 'National model results detailed'!$B$190:$B$191,0), MATCH($B56, 'National model results detailed'!$C$189:$AO$189,0))/10^6</f>
        <v>0</v>
      </c>
      <c r="E56" s="759">
        <f>IF(B56&lt;=$C$66, -INDEX('Implementation costs'!$C$27:$AO$28, MATCH(E$22, 'Implementation costs'!$B$27:$B$28,0), MATCH($B56, 'Implementation costs'!$C$16:$AO$16,0)),0)</f>
        <v>0</v>
      </c>
      <c r="F56" s="759">
        <f>-INDEX('Implementation costs'!$C$27:$AO$28, MATCH(F$22, 'Implementation costs'!$B$27:$B$28,0), MATCH($B56, 'Implementation costs'!$C$16:$AO$16,0))</f>
        <v>0</v>
      </c>
      <c r="H56" s="759">
        <f t="shared" si="0"/>
        <v>0</v>
      </c>
      <c r="I56" s="759">
        <f t="shared" si="1"/>
        <v>0</v>
      </c>
      <c r="J56" s="151"/>
      <c r="K56" s="763">
        <f>INDEX('National model results detailed'!$C$307:$AO$307, MATCH(B56, 'National model results detailed'!$C$305:$AO$305,0))</f>
        <v>0.32134271362974326</v>
      </c>
      <c r="M56" s="761">
        <f t="shared" si="2"/>
        <v>0</v>
      </c>
      <c r="N56" s="761">
        <f t="shared" si="3"/>
        <v>0</v>
      </c>
      <c r="O56" s="560">
        <f t="shared" si="4"/>
        <v>0</v>
      </c>
      <c r="Q56" s="761">
        <f t="shared" si="6"/>
        <v>4.450263364159837</v>
      </c>
    </row>
    <row r="57" spans="2:17">
      <c r="B57" s="34">
        <f t="shared" si="5"/>
        <v>2054</v>
      </c>
      <c r="C57" s="759">
        <f>INDEX('National model results detailed'!$C$190:$AO$191,  MATCH(C$22, 'National model results detailed'!$B$190:$B$191,0), MATCH($B57, 'National model results detailed'!$C$189:$AO$189,0))/10^6</f>
        <v>0</v>
      </c>
      <c r="D57" s="759">
        <f>INDEX('National model results detailed'!$C$190:$AO$191,  MATCH(D$22, 'National model results detailed'!$B$190:$B$191,0), MATCH($B57, 'National model results detailed'!$C$189:$AO$189,0))/10^6</f>
        <v>0</v>
      </c>
      <c r="E57" s="759">
        <f>IF(B57&lt;=$C$66, -INDEX('Implementation costs'!$C$27:$AO$28, MATCH(E$22, 'Implementation costs'!$B$27:$B$28,0), MATCH($B57, 'Implementation costs'!$C$16:$AO$16,0)),0)</f>
        <v>0</v>
      </c>
      <c r="F57" s="759">
        <f>-INDEX('Implementation costs'!$C$27:$AO$28, MATCH(F$22, 'Implementation costs'!$B$27:$B$28,0), MATCH($B57, 'Implementation costs'!$C$16:$AO$16,0))</f>
        <v>0</v>
      </c>
      <c r="H57" s="759">
        <f t="shared" si="0"/>
        <v>0</v>
      </c>
      <c r="I57" s="759">
        <f t="shared" si="1"/>
        <v>0</v>
      </c>
      <c r="J57" s="151"/>
      <c r="K57" s="763">
        <f>INDEX('National model results detailed'!$C$307:$AO$307, MATCH(B57, 'National model results detailed'!$C$305:$AO$305,0))</f>
        <v>0.3104760518161771</v>
      </c>
      <c r="M57" s="761">
        <f t="shared" si="2"/>
        <v>0</v>
      </c>
      <c r="N57" s="761">
        <f t="shared" si="3"/>
        <v>0</v>
      </c>
      <c r="O57" s="560">
        <f t="shared" si="4"/>
        <v>0</v>
      </c>
      <c r="Q57" s="761">
        <f t="shared" si="6"/>
        <v>4.450263364159837</v>
      </c>
    </row>
    <row r="58" spans="2:17">
      <c r="B58" s="34">
        <f t="shared" si="5"/>
        <v>2055</v>
      </c>
      <c r="C58" s="759">
        <f>INDEX('National model results detailed'!$C$190:$AO$191,  MATCH(C$22, 'National model results detailed'!$B$190:$B$191,0), MATCH($B58, 'National model results detailed'!$C$189:$AO$189,0))/10^6</f>
        <v>0</v>
      </c>
      <c r="D58" s="759">
        <f>INDEX('National model results detailed'!$C$190:$AO$191,  MATCH(D$22, 'National model results detailed'!$B$190:$B$191,0), MATCH($B58, 'National model results detailed'!$C$189:$AO$189,0))/10^6</f>
        <v>0</v>
      </c>
      <c r="E58" s="759">
        <f>IF(B58&lt;=$C$66, -INDEX('Implementation costs'!$C$27:$AO$28, MATCH(E$22, 'Implementation costs'!$B$27:$B$28,0), MATCH($B58, 'Implementation costs'!$C$16:$AO$16,0)),0)</f>
        <v>0</v>
      </c>
      <c r="F58" s="759">
        <f>-INDEX('Implementation costs'!$C$27:$AO$28, MATCH(F$22, 'Implementation costs'!$B$27:$B$28,0), MATCH($B58, 'Implementation costs'!$C$16:$AO$16,0))</f>
        <v>0</v>
      </c>
      <c r="H58" s="759">
        <f t="shared" si="0"/>
        <v>0</v>
      </c>
      <c r="I58" s="759">
        <f t="shared" si="1"/>
        <v>0</v>
      </c>
      <c r="J58" s="151"/>
      <c r="K58" s="763">
        <f>INDEX('National model results detailed'!$C$307:$AO$307, MATCH(B58, 'National model results detailed'!$C$305:$AO$305,0))</f>
        <v>0.29997686165814214</v>
      </c>
      <c r="M58" s="761">
        <f t="shared" si="2"/>
        <v>0</v>
      </c>
      <c r="N58" s="761">
        <f t="shared" si="3"/>
        <v>0</v>
      </c>
      <c r="O58" s="560">
        <f t="shared" si="4"/>
        <v>0</v>
      </c>
      <c r="Q58" s="761">
        <f t="shared" si="6"/>
        <v>4.450263364159837</v>
      </c>
    </row>
    <row r="59" spans="2:17">
      <c r="B59" s="34">
        <f t="shared" si="5"/>
        <v>2056</v>
      </c>
      <c r="C59" s="759">
        <f>INDEX('National model results detailed'!$C$190:$AO$191,  MATCH(C$22, 'National model results detailed'!$B$190:$B$191,0), MATCH($B59, 'National model results detailed'!$C$189:$AO$189,0))/10^6</f>
        <v>0</v>
      </c>
      <c r="D59" s="759">
        <f>INDEX('National model results detailed'!$C$190:$AO$191,  MATCH(D$22, 'National model results detailed'!$B$190:$B$191,0), MATCH($B59, 'National model results detailed'!$C$189:$AO$189,0))/10^6</f>
        <v>0</v>
      </c>
      <c r="E59" s="759">
        <f>IF(B59&lt;=$C$66, -INDEX('Implementation costs'!$C$27:$AO$28, MATCH(E$22, 'Implementation costs'!$B$27:$B$28,0), MATCH($B59, 'Implementation costs'!$C$16:$AO$16,0)),0)</f>
        <v>0</v>
      </c>
      <c r="F59" s="759">
        <f>-INDEX('Implementation costs'!$C$27:$AO$28, MATCH(F$22, 'Implementation costs'!$B$27:$B$28,0), MATCH($B59, 'Implementation costs'!$C$16:$AO$16,0))</f>
        <v>0</v>
      </c>
      <c r="H59" s="759">
        <f t="shared" si="0"/>
        <v>0</v>
      </c>
      <c r="I59" s="759">
        <f t="shared" si="1"/>
        <v>0</v>
      </c>
      <c r="J59" s="151"/>
      <c r="K59" s="763">
        <f>INDEX('National model results detailed'!$C$307:$AO$307, MATCH(B59, 'National model results detailed'!$C$305:$AO$305,0))</f>
        <v>0.28983271657791515</v>
      </c>
      <c r="M59" s="761">
        <f t="shared" si="2"/>
        <v>0</v>
      </c>
      <c r="N59" s="761">
        <f t="shared" si="3"/>
        <v>0</v>
      </c>
      <c r="O59" s="560">
        <f t="shared" si="4"/>
        <v>0</v>
      </c>
      <c r="Q59" s="761">
        <f t="shared" si="6"/>
        <v>4.450263364159837</v>
      </c>
    </row>
    <row r="60" spans="2:17">
      <c r="B60" s="34">
        <f t="shared" si="5"/>
        <v>2057</v>
      </c>
      <c r="C60" s="759">
        <f>INDEX('National model results detailed'!$C$190:$AO$191,  MATCH(C$22, 'National model results detailed'!$B$190:$B$191,0), MATCH($B60, 'National model results detailed'!$C$189:$AO$189,0))/10^6</f>
        <v>0</v>
      </c>
      <c r="D60" s="759">
        <f>INDEX('National model results detailed'!$C$190:$AO$191,  MATCH(D$22, 'National model results detailed'!$B$190:$B$191,0), MATCH($B60, 'National model results detailed'!$C$189:$AO$189,0))/10^6</f>
        <v>0</v>
      </c>
      <c r="E60" s="759">
        <f>IF(B60&lt;=$C$66, -INDEX('Implementation costs'!$C$27:$AO$28, MATCH(E$22, 'Implementation costs'!$B$27:$B$28,0), MATCH($B60, 'Implementation costs'!$C$16:$AO$16,0)),0)</f>
        <v>0</v>
      </c>
      <c r="F60" s="759">
        <f>-INDEX('Implementation costs'!$C$27:$AO$28, MATCH(F$22, 'Implementation costs'!$B$27:$B$28,0), MATCH($B60, 'Implementation costs'!$C$16:$AO$16,0))</f>
        <v>0</v>
      </c>
      <c r="H60" s="759">
        <f t="shared" si="0"/>
        <v>0</v>
      </c>
      <c r="I60" s="759">
        <f t="shared" si="1"/>
        <v>0</v>
      </c>
      <c r="J60" s="151" t="b">
        <f t="shared" ref="J60:J61" si="7">SUM(H60:I60)=SUM(C60:F60)</f>
        <v>1</v>
      </c>
      <c r="K60" s="763">
        <f>INDEX('National model results detailed'!$C$307:$AO$307, MATCH(B60, 'National model results detailed'!$C$305:$AO$305,0))</f>
        <v>0.28003161022020789</v>
      </c>
      <c r="M60" s="761">
        <f t="shared" si="2"/>
        <v>0</v>
      </c>
      <c r="N60" s="761">
        <f t="shared" si="3"/>
        <v>0</v>
      </c>
      <c r="O60" s="560">
        <f t="shared" si="4"/>
        <v>0</v>
      </c>
      <c r="Q60" s="761">
        <f t="shared" si="6"/>
        <v>4.450263364159837</v>
      </c>
    </row>
    <row r="61" spans="2:17">
      <c r="B61" s="34">
        <f t="shared" si="5"/>
        <v>2058</v>
      </c>
      <c r="C61" s="759">
        <f>INDEX('National model results detailed'!$C$190:$AO$191,  MATCH(C$22, 'National model results detailed'!$B$190:$B$191,0), MATCH($B61, 'National model results detailed'!$C$189:$AO$189,0))/10^6</f>
        <v>0</v>
      </c>
      <c r="D61" s="759">
        <f>INDEX('National model results detailed'!$C$190:$AO$191,  MATCH(D$22, 'National model results detailed'!$B$190:$B$191,0), MATCH($B61, 'National model results detailed'!$C$189:$AO$189,0))/10^6</f>
        <v>0</v>
      </c>
      <c r="E61" s="759">
        <f>IF(B61&lt;=$C$66, -INDEX('Implementation costs'!$C$27:$AO$28, MATCH(E$22, 'Implementation costs'!$B$27:$B$28,0), MATCH($B61, 'Implementation costs'!$C$16:$AO$16,0)),0)</f>
        <v>0</v>
      </c>
      <c r="F61" s="759">
        <f>-INDEX('Implementation costs'!$C$27:$AO$28, MATCH(F$22, 'Implementation costs'!$B$27:$B$28,0), MATCH($B61, 'Implementation costs'!$C$16:$AO$16,0))</f>
        <v>0</v>
      </c>
      <c r="H61" s="759">
        <f t="shared" si="0"/>
        <v>0</v>
      </c>
      <c r="I61" s="759">
        <f t="shared" si="1"/>
        <v>0</v>
      </c>
      <c r="J61" s="151" t="b">
        <f t="shared" si="7"/>
        <v>1</v>
      </c>
      <c r="K61" s="763">
        <f>INDEX('National model results detailed'!$C$307:$AO$307, MATCH(B61, 'National model results detailed'!$C$305:$AO$305,0))</f>
        <v>0.27056194224174673</v>
      </c>
      <c r="M61" s="761">
        <f t="shared" si="2"/>
        <v>0</v>
      </c>
      <c r="N61" s="761">
        <f t="shared" si="3"/>
        <v>0</v>
      </c>
      <c r="O61" s="560">
        <f t="shared" si="4"/>
        <v>0</v>
      </c>
      <c r="Q61" s="761">
        <f t="shared" si="6"/>
        <v>4.450263364159837</v>
      </c>
    </row>
    <row r="62" spans="2:17">
      <c r="C62" s="151" t="b">
        <f>SUM(C23:C61)=SUM('National model results detailed'!C190:AO190)/10^6</f>
        <v>1</v>
      </c>
      <c r="D62" s="201">
        <f>SUM(D23:D61)-SUM('National model results detailed'!C191:AO191)/10^6</f>
        <v>0</v>
      </c>
      <c r="E62" s="151"/>
      <c r="F62" s="151" t="b">
        <f>-SUM(F23:F61)=SUM('Implementation costs'!C28:AO28)</f>
        <v>1</v>
      </c>
      <c r="H62" s="151" t="b">
        <f>SUM(H23:H61)=SUM('National model results detailed'!C191:AO191, 'National model results detailed'!C194:AO194)/10^6</f>
        <v>1</v>
      </c>
      <c r="I62" s="151" t="b">
        <f>SUM(I23:I61)=SUM('National model results detailed'!C190:AO190)/10^6</f>
        <v>1</v>
      </c>
      <c r="K62" s="769"/>
      <c r="M62" s="201"/>
      <c r="N62" s="201"/>
      <c r="O62" s="809"/>
      <c r="Q62" s="201"/>
    </row>
    <row r="63" spans="2:17" ht="14.4" customHeight="1">
      <c r="C63" s="151"/>
      <c r="D63" s="151"/>
      <c r="E63" s="151"/>
      <c r="F63" s="151" t="b">
        <f>SUM(E23:F61)=SUM('National model results detailed'!C194:AO194)/10^6</f>
        <v>1</v>
      </c>
      <c r="H63" s="768" t="s">
        <v>3488</v>
      </c>
      <c r="I63" s="3"/>
      <c r="J63" s="3"/>
    </row>
    <row r="64" spans="2:17">
      <c r="I64" s="151"/>
      <c r="K64" s="762"/>
    </row>
    <row r="65" spans="1:55">
      <c r="B65" s="776" t="s">
        <v>3507</v>
      </c>
      <c r="H65" s="19"/>
    </row>
    <row r="66" spans="1:55">
      <c r="B66" s="650">
        <f>'National model results detailed'!C54</f>
        <v>30</v>
      </c>
      <c r="C66" s="650">
        <f>'National model results detailed'!D54</f>
        <v>2051</v>
      </c>
    </row>
    <row r="70" spans="1:55" s="588" customFormat="1">
      <c r="A70" s="593" t="s">
        <v>10</v>
      </c>
      <c r="B70" s="593" t="s">
        <v>3705</v>
      </c>
      <c r="H70" s="764"/>
      <c r="K70" s="765"/>
      <c r="L70" s="766"/>
      <c r="M70" s="767"/>
      <c r="N70" s="767"/>
      <c r="O70" s="808"/>
      <c r="P70" s="766"/>
      <c r="Q70" s="767"/>
    </row>
    <row r="73" spans="1:55">
      <c r="A73" s="9" t="s">
        <v>10</v>
      </c>
      <c r="B73" s="9" t="s">
        <v>3698</v>
      </c>
      <c r="K73"/>
      <c r="L73"/>
      <c r="M73"/>
      <c r="N73"/>
      <c r="O73"/>
      <c r="P73"/>
      <c r="Q73"/>
    </row>
    <row r="74" spans="1:55">
      <c r="A74" s="9"/>
      <c r="B74" s="151" t="s">
        <v>3702</v>
      </c>
      <c r="K74"/>
      <c r="L74"/>
      <c r="M74"/>
      <c r="N74"/>
      <c r="O74"/>
      <c r="P74"/>
      <c r="Q74"/>
    </row>
    <row r="75" spans="1:55">
      <c r="K75"/>
      <c r="L75"/>
      <c r="M75"/>
      <c r="N75"/>
      <c r="O75"/>
      <c r="P75"/>
      <c r="Q75"/>
      <c r="BB75" t="s">
        <v>3570</v>
      </c>
      <c r="BC75" s="15">
        <f>SUM(N86:N91,N94)</f>
        <v>1.540114274335529E-2</v>
      </c>
    </row>
    <row r="76" spans="1:55">
      <c r="B76" s="84" t="s">
        <v>125</v>
      </c>
      <c r="C76" s="34">
        <f>'National model results detailed'!C152</f>
        <v>2020</v>
      </c>
      <c r="D76" s="34">
        <f>'National model results detailed'!D152</f>
        <v>2021</v>
      </c>
      <c r="E76" s="34">
        <f>'National model results detailed'!E152</f>
        <v>2022</v>
      </c>
      <c r="F76" s="34">
        <f>'National model results detailed'!F152</f>
        <v>2023</v>
      </c>
      <c r="G76" s="34">
        <f>'National model results detailed'!G152</f>
        <v>2024</v>
      </c>
      <c r="H76" s="34">
        <f>'National model results detailed'!H152</f>
        <v>2025</v>
      </c>
      <c r="I76" s="34">
        <f>'National model results detailed'!I152</f>
        <v>2026</v>
      </c>
      <c r="J76" s="34">
        <f>'National model results detailed'!J152</f>
        <v>2027</v>
      </c>
      <c r="K76" s="34">
        <f>'National model results detailed'!K152</f>
        <v>2028</v>
      </c>
      <c r="L76" s="34">
        <f>'National model results detailed'!L152</f>
        <v>2029</v>
      </c>
      <c r="M76" s="34">
        <f>'National model results detailed'!M152</f>
        <v>2030</v>
      </c>
      <c r="N76" s="34">
        <f>'National model results detailed'!N152</f>
        <v>2031</v>
      </c>
      <c r="O76" s="34">
        <f>'National model results detailed'!O152</f>
        <v>2032</v>
      </c>
      <c r="P76" s="34">
        <f>'National model results detailed'!P152</f>
        <v>2033</v>
      </c>
      <c r="Q76" s="34">
        <f>'National model results detailed'!Q152</f>
        <v>2034</v>
      </c>
      <c r="R76" s="34">
        <f>'National model results detailed'!R152</f>
        <v>2035</v>
      </c>
      <c r="S76" s="34">
        <f>'National model results detailed'!S152</f>
        <v>2036</v>
      </c>
      <c r="T76" s="34">
        <f>'National model results detailed'!T152</f>
        <v>2037</v>
      </c>
      <c r="U76" s="34">
        <f>'National model results detailed'!U152</f>
        <v>2038</v>
      </c>
      <c r="V76" s="34">
        <f>'National model results detailed'!V152</f>
        <v>2039</v>
      </c>
      <c r="W76" s="34">
        <f>'National model results detailed'!W152</f>
        <v>2040</v>
      </c>
      <c r="X76" s="34">
        <f>'National model results detailed'!X152</f>
        <v>2041</v>
      </c>
      <c r="Y76" s="34">
        <f>'National model results detailed'!Y152</f>
        <v>2042</v>
      </c>
      <c r="Z76" s="34">
        <f>'National model results detailed'!Z152</f>
        <v>2043</v>
      </c>
      <c r="AA76" s="34">
        <f>'National model results detailed'!AA152</f>
        <v>2044</v>
      </c>
      <c r="AB76" s="34">
        <f>'National model results detailed'!AB152</f>
        <v>2045</v>
      </c>
      <c r="AC76" s="34">
        <f>'National model results detailed'!AC152</f>
        <v>2046</v>
      </c>
      <c r="AD76" s="34">
        <f>'National model results detailed'!AD152</f>
        <v>2047</v>
      </c>
      <c r="AE76" s="34">
        <f>'National model results detailed'!AE152</f>
        <v>2048</v>
      </c>
      <c r="AF76" s="34">
        <f>'National model results detailed'!AF152</f>
        <v>2049</v>
      </c>
      <c r="AG76" s="34">
        <f>'National model results detailed'!AG152</f>
        <v>2050</v>
      </c>
      <c r="AH76" s="34">
        <f>'National model results detailed'!AH152</f>
        <v>2051</v>
      </c>
      <c r="AI76" s="34">
        <f>'National model results detailed'!AI152</f>
        <v>2052</v>
      </c>
      <c r="AJ76" s="34">
        <f>'National model results detailed'!AJ152</f>
        <v>2053</v>
      </c>
      <c r="AK76" s="34">
        <f>'National model results detailed'!AK152</f>
        <v>2054</v>
      </c>
      <c r="AL76" s="34">
        <f>'National model results detailed'!AL152</f>
        <v>2055</v>
      </c>
      <c r="AM76" s="34">
        <f>'National model results detailed'!AM152</f>
        <v>2056</v>
      </c>
      <c r="AN76" s="34">
        <f>'National model results detailed'!AN152</f>
        <v>2057</v>
      </c>
      <c r="AO76" s="34">
        <f>'National model results detailed'!AO152</f>
        <v>2058</v>
      </c>
      <c r="BB76" t="s">
        <v>3571</v>
      </c>
      <c r="BC76" s="81">
        <f>SUM(N37:N42,N45)</f>
        <v>0.98659563193522271</v>
      </c>
    </row>
    <row r="77" spans="1:55">
      <c r="A77" s="19"/>
      <c r="B77" s="6" t="s">
        <v>11</v>
      </c>
      <c r="C77" s="169">
        <f>('National model results detailed'!C153/10^6)*(1-'Control Assumptions'!$C$16)</f>
        <v>0</v>
      </c>
      <c r="D77" s="169">
        <f>('National model results detailed'!D153/10^6)*(1-'Control Assumptions'!$C$16)</f>
        <v>0</v>
      </c>
      <c r="E77" s="169">
        <f>('National model results detailed'!E153/10^6)*(1-'Control Assumptions'!$C$16)</f>
        <v>0</v>
      </c>
      <c r="F77" s="169">
        <f>('National model results detailed'!F153/10^6)*(1-'Control Assumptions'!$C$16)</f>
        <v>0</v>
      </c>
      <c r="G77" s="169">
        <f>('National model results detailed'!G153/10^6)*(1-'Control Assumptions'!$C$16)</f>
        <v>1.6971578835269483E-2</v>
      </c>
      <c r="H77" s="169">
        <f>('National model results detailed'!H153/10^6)*(1-'Control Assumptions'!$C$16)</f>
        <v>3.2210493480830112E-2</v>
      </c>
      <c r="I77" s="169">
        <f>('National model results detailed'!I153/10^6)*(1-'Control Assumptions'!$C$16)</f>
        <v>4.3110688405047864E-2</v>
      </c>
      <c r="J77" s="169">
        <f>('National model results detailed'!J153/10^6)*(1-'Control Assumptions'!$C$16)</f>
        <v>5.1171684414513162E-2</v>
      </c>
      <c r="K77" s="169">
        <f>('National model results detailed'!K153/10^6)*(1-'Control Assumptions'!$C$16)</f>
        <v>5.7470763290758599E-2</v>
      </c>
      <c r="L77" s="169">
        <f>('National model results detailed'!L153/10^6)*(1-'Control Assumptions'!$C$16)</f>
        <v>6.2628637416455329E-2</v>
      </c>
      <c r="M77" s="169">
        <f>('National model results detailed'!M153/10^6)*(1-'Control Assumptions'!$C$16)</f>
        <v>6.7035012390415413E-2</v>
      </c>
      <c r="N77" s="169">
        <f>('National model results detailed'!N153/10^6)*(1-'Control Assumptions'!$C$16)</f>
        <v>7.0874855816539642E-2</v>
      </c>
      <c r="O77" s="169">
        <f>('National model results detailed'!O153/10^6)*(1-'Control Assumptions'!$C$16)</f>
        <v>7.4405662645173495E-2</v>
      </c>
      <c r="P77" s="169">
        <f>('National model results detailed'!P153/10^6)*(1-'Control Assumptions'!$C$16)</f>
        <v>7.7799077120604437E-2</v>
      </c>
      <c r="Q77" s="169">
        <f>('National model results detailed'!Q153/10^6)*(1-'Control Assumptions'!$C$16)</f>
        <v>8.1165486914884885E-2</v>
      </c>
      <c r="R77" s="169">
        <f>('National model results detailed'!R153/10^6)*(1-'Control Assumptions'!$C$16)</f>
        <v>8.4560210624571086E-2</v>
      </c>
      <c r="S77" s="169">
        <f>('National model results detailed'!S153/10^6)*(1-'Control Assumptions'!$C$16)</f>
        <v>8.7970289118994044E-2</v>
      </c>
      <c r="T77" s="169">
        <f>('National model results detailed'!T153/10^6)*(1-'Control Assumptions'!$C$16)</f>
        <v>9.1401111746434532E-2</v>
      </c>
      <c r="U77" s="169">
        <f>('National model results detailed'!U153/10^6)*(1-'Control Assumptions'!$C$16)</f>
        <v>9.4927589492676476E-2</v>
      </c>
      <c r="V77" s="169">
        <f>('National model results detailed'!V153/10^6)*(1-'Control Assumptions'!$C$16)</f>
        <v>9.853825465834698E-2</v>
      </c>
      <c r="W77" s="169">
        <f>('National model results detailed'!W153/10^6)*(1-'Control Assumptions'!$C$16)</f>
        <v>0.10222177384907195</v>
      </c>
      <c r="X77" s="169">
        <f>('National model results detailed'!X153/10^6)*(1-'Control Assumptions'!$C$16)</f>
        <v>0.10593683242628074</v>
      </c>
      <c r="Y77" s="169">
        <f>('National model results detailed'!Y153/10^6)*(1-'Control Assumptions'!$C$16)</f>
        <v>0.10976232994668152</v>
      </c>
      <c r="Z77" s="169">
        <f>('National model results detailed'!Z153/10^6)*(1-'Control Assumptions'!$C$16)</f>
        <v>0.11370387899182889</v>
      </c>
      <c r="AA77" s="169">
        <f>('National model results detailed'!AA153/10^6)*(1-'Control Assumptions'!$C$16)</f>
        <v>0.11774995725272785</v>
      </c>
      <c r="AB77" s="169">
        <f>('National model results detailed'!AB153/10^6)*(1-'Control Assumptions'!$C$16)</f>
        <v>0.12187102581886576</v>
      </c>
      <c r="AC77" s="169">
        <f>('National model results detailed'!AC153/10^6)*(1-'Control Assumptions'!$C$16)</f>
        <v>0.1260678131474243</v>
      </c>
      <c r="AD77" s="169">
        <f>('National model results detailed'!AD153/10^6)*(1-'Control Assumptions'!$C$16)</f>
        <v>0.13034358398249424</v>
      </c>
      <c r="AE77" s="169">
        <f>('National model results detailed'!AE153/10^6)*(1-'Control Assumptions'!$C$16)</f>
        <v>0.1346968245895091</v>
      </c>
      <c r="AF77" s="169">
        <f>('National model results detailed'!AF153/10^6)*(1-'Control Assumptions'!$C$16)</f>
        <v>0.13913563368770304</v>
      </c>
      <c r="AG77" s="169">
        <f>('National model results detailed'!AG153/10^6)*(1-'Control Assumptions'!$C$16)</f>
        <v>0.14368796529993613</v>
      </c>
      <c r="AH77" s="169">
        <f>('National model results detailed'!AH153/10^6)*(1-'Control Assumptions'!$C$16)</f>
        <v>0.14835839834741632</v>
      </c>
      <c r="AI77" s="169">
        <f>('National model results detailed'!AI153/10^6)*(1-'Control Assumptions'!$C$16)</f>
        <v>0.15315081210429737</v>
      </c>
      <c r="AJ77" s="169">
        <f>('National model results detailed'!AJ153/10^6)*(1-'Control Assumptions'!$C$16)</f>
        <v>0.15801173903647975</v>
      </c>
      <c r="AK77" s="169">
        <f>('National model results detailed'!AK153/10^6)*(1-'Control Assumptions'!$C$16)</f>
        <v>0.16291931662800488</v>
      </c>
      <c r="AL77" s="169">
        <f>('National model results detailed'!AL153/10^6)*(1-'Control Assumptions'!$C$16)</f>
        <v>0.16785081417496708</v>
      </c>
      <c r="AM77" s="169">
        <f>('National model results detailed'!AM153/10^6)*(1-'Control Assumptions'!$C$16)</f>
        <v>0.17284577835502127</v>
      </c>
      <c r="AN77" s="169">
        <f>('National model results detailed'!AN153/10^6)*(1-'Control Assumptions'!$C$16)</f>
        <v>0.17791970875749108</v>
      </c>
      <c r="AO77" s="169">
        <f>('National model results detailed'!AO153/10^6)*(1-'Control Assumptions'!$C$16)</f>
        <v>0.18306998311384565</v>
      </c>
      <c r="BB77" t="s">
        <v>3572</v>
      </c>
      <c r="BC77" s="568">
        <f>BC75/BC76</f>
        <v>1.5610390158676974E-2</v>
      </c>
    </row>
    <row r="78" spans="1:55">
      <c r="A78" s="19"/>
      <c r="B78" s="6" t="s">
        <v>14</v>
      </c>
      <c r="C78" s="169">
        <f>('National model results detailed'!C154/10^6)*(1-'Control Assumptions'!$C$16)</f>
        <v>0</v>
      </c>
      <c r="D78" s="169">
        <f>('National model results detailed'!D154/10^6)*(1-'Control Assumptions'!$C$16)</f>
        <v>0</v>
      </c>
      <c r="E78" s="169">
        <f>('National model results detailed'!E154/10^6)*(1-'Control Assumptions'!$C$16)</f>
        <v>0</v>
      </c>
      <c r="F78" s="169">
        <f>('National model results detailed'!F154/10^6)*(1-'Control Assumptions'!$C$16)</f>
        <v>0</v>
      </c>
      <c r="G78" s="169">
        <f>('National model results detailed'!G154/10^6)*(1-'Control Assumptions'!$C$16)</f>
        <v>-3.2626962156136525E-6</v>
      </c>
      <c r="H78" s="169">
        <f>('National model results detailed'!H154/10^6)*(1-'Control Assumptions'!$C$16)</f>
        <v>3.5235562673286074E-5</v>
      </c>
      <c r="I78" s="169">
        <f>('National model results detailed'!I154/10^6)*(1-'Control Assumptions'!$C$16)</f>
        <v>6.1411252616608457E-5</v>
      </c>
      <c r="J78" s="169">
        <f>('National model results detailed'!J154/10^6)*(1-'Control Assumptions'!$C$16)</f>
        <v>7.969429915519702E-5</v>
      </c>
      <c r="K78" s="169">
        <f>('National model results detailed'!K154/10^6)*(1-'Control Assumptions'!$C$16)</f>
        <v>9.3088077411079175E-5</v>
      </c>
      <c r="L78" s="169">
        <f>('National model results detailed'!L154/10^6)*(1-'Control Assumptions'!$C$16)</f>
        <v>1.0341313460886169E-4</v>
      </c>
      <c r="M78" s="169">
        <f>('National model results detailed'!M154/10^6)*(1-'Control Assumptions'!$C$16)</f>
        <v>1.1177817989375622E-4</v>
      </c>
      <c r="N78" s="169">
        <f>('National model results detailed'!N154/10^6)*(1-'Control Assumptions'!$C$16)</f>
        <v>1.1869768142191955E-4</v>
      </c>
      <c r="O78" s="169">
        <f>('National model results detailed'!O154/10^6)*(1-'Control Assumptions'!$C$16)</f>
        <v>1.2486455334319559E-4</v>
      </c>
      <c r="P78" s="169">
        <f>('National model results detailed'!P154/10^6)*(1-'Control Assumptions'!$C$16)</f>
        <v>1.306989762394598E-4</v>
      </c>
      <c r="Q78" s="169">
        <f>('National model results detailed'!Q154/10^6)*(1-'Control Assumptions'!$C$16)</f>
        <v>1.3644951795012164E-4</v>
      </c>
      <c r="R78" s="169">
        <f>('National model results detailed'!R154/10^6)*(1-'Control Assumptions'!$C$16)</f>
        <v>1.4223933353144989E-4</v>
      </c>
      <c r="S78" s="169">
        <f>('National model results detailed'!S154/10^6)*(1-'Control Assumptions'!$C$16)</f>
        <v>1.4803747528815259E-4</v>
      </c>
      <c r="T78" s="169">
        <f>('National model results detailed'!T154/10^6)*(1-'Control Assumptions'!$C$16)</f>
        <v>1.5384484491434014E-4</v>
      </c>
      <c r="U78" s="169">
        <f>('National model results detailed'!U154/10^6)*(1-'Control Assumptions'!$C$16)</f>
        <v>1.5980277657539536E-4</v>
      </c>
      <c r="V78" s="169">
        <f>('National model results detailed'!V154/10^6)*(1-'Control Assumptions'!$C$16)</f>
        <v>1.659131597343111E-4</v>
      </c>
      <c r="W78" s="169">
        <f>('National model results detailed'!W154/10^6)*(1-'Control Assumptions'!$C$16)</f>
        <v>1.7215129704275614E-4</v>
      </c>
      <c r="X78" s="169">
        <f>('National model results detailed'!X154/10^6)*(1-'Control Assumptions'!$C$16)</f>
        <v>1.7840620992033129E-4</v>
      </c>
      <c r="Y78" s="169">
        <f>('National model results detailed'!Y154/10^6)*(1-'Control Assumptions'!$C$16)</f>
        <v>1.8486373505582535E-4</v>
      </c>
      <c r="Z78" s="169">
        <f>('National model results detailed'!Z154/10^6)*(1-'Control Assumptions'!$C$16)</f>
        <v>1.9153790393287959E-4</v>
      </c>
      <c r="AA78" s="169">
        <f>('National model results detailed'!AA154/10^6)*(1-'Control Assumptions'!$C$16)</f>
        <v>1.9840278613187759E-4</v>
      </c>
      <c r="AB78" s="169">
        <f>('National model results detailed'!AB154/10^6)*(1-'Control Assumptions'!$C$16)</f>
        <v>2.0538501066002252E-4</v>
      </c>
      <c r="AC78" s="169">
        <f>('National model results detailed'!AC154/10^6)*(1-'Control Assumptions'!$C$16)</f>
        <v>2.1249362660152779E-4</v>
      </c>
      <c r="AD78" s="169">
        <f>('National model results detailed'!AD154/10^6)*(1-'Control Assumptions'!$C$16)</f>
        <v>2.1974237249645611E-4</v>
      </c>
      <c r="AE78" s="169">
        <f>('National model results detailed'!AE154/10^6)*(1-'Control Assumptions'!$C$16)</f>
        <v>2.2713189840612856E-4</v>
      </c>
      <c r="AF78" s="169">
        <f>('National model results detailed'!AF154/10^6)*(1-'Control Assumptions'!$C$16)</f>
        <v>2.3467862751852975E-4</v>
      </c>
      <c r="AG78" s="169">
        <f>('National model results detailed'!AG154/10^6)*(1-'Control Assumptions'!$C$16)</f>
        <v>2.4243159498893107E-4</v>
      </c>
      <c r="AH78" s="169">
        <f>('National model results detailed'!AH154/10^6)*(1-'Control Assumptions'!$C$16)</f>
        <v>2.5039808179472885E-4</v>
      </c>
      <c r="AI78" s="169">
        <f>('National model results detailed'!AI154/10^6)*(1-'Control Assumptions'!$C$16)</f>
        <v>2.5857689855000767E-4</v>
      </c>
      <c r="AJ78" s="169">
        <f>('National model results detailed'!AJ154/10^6)*(1-'Control Assumptions'!$C$16)</f>
        <v>2.6685421213707306E-4</v>
      </c>
      <c r="AK78" s="169">
        <f>('National model results detailed'!AK154/10^6)*(1-'Control Assumptions'!$C$16)</f>
        <v>2.7519663223748493E-4</v>
      </c>
      <c r="AL78" s="169">
        <f>('National model results detailed'!AL154/10^6)*(1-'Control Assumptions'!$C$16)</f>
        <v>2.8356259147402791E-4</v>
      </c>
      <c r="AM78" s="169">
        <f>('National model results detailed'!AM154/10^6)*(1-'Control Assumptions'!$C$16)</f>
        <v>2.9205033809441523E-4</v>
      </c>
      <c r="AN78" s="169">
        <f>('National model results detailed'!AN154/10^6)*(1-'Control Assumptions'!$C$16)</f>
        <v>3.0069915027614979E-4</v>
      </c>
      <c r="AO78" s="169">
        <f>('National model results detailed'!AO154/10^6)*(1-'Control Assumptions'!$C$16)</f>
        <v>3.095062457140668E-4</v>
      </c>
      <c r="BB78" t="s">
        <v>3573</v>
      </c>
      <c r="BC78" s="791">
        <v>0.11</v>
      </c>
    </row>
    <row r="79" spans="1:55" ht="29">
      <c r="A79" s="19"/>
      <c r="B79" s="6" t="s">
        <v>15</v>
      </c>
      <c r="C79" s="169">
        <f>('National model results detailed'!C155/10^6)*(1-'Control Assumptions'!$C$16)</f>
        <v>0</v>
      </c>
      <c r="D79" s="169">
        <f>('National model results detailed'!D155/10^6)*(1-'Control Assumptions'!$C$16)</f>
        <v>0</v>
      </c>
      <c r="E79" s="169">
        <f>('National model results detailed'!E155/10^6)*(1-'Control Assumptions'!$C$16)</f>
        <v>0</v>
      </c>
      <c r="F79" s="169">
        <f>('National model results detailed'!F155/10^6)*(1-'Control Assumptions'!$C$16)</f>
        <v>0</v>
      </c>
      <c r="G79" s="169">
        <f>('National model results detailed'!G155/10^6)*(1-'Control Assumptions'!$C$16)</f>
        <v>3.7437693338619494E-4</v>
      </c>
      <c r="H79" s="169">
        <f>('National model results detailed'!H155/10^6)*(1-'Control Assumptions'!$C$16)</f>
        <v>8.5718060316647947E-4</v>
      </c>
      <c r="I79" s="169">
        <f>('National model results detailed'!I155/10^6)*(1-'Control Assumptions'!$C$16)</f>
        <v>1.196856123639426E-3</v>
      </c>
      <c r="J79" s="169">
        <f>('National model results detailed'!J155/10^6)*(1-'Control Assumptions'!$C$16)</f>
        <v>1.4437021200963665E-3</v>
      </c>
      <c r="K79" s="169">
        <f>('National model results detailed'!K155/10^6)*(1-'Control Assumptions'!$C$16)</f>
        <v>1.6331315061119522E-3</v>
      </c>
      <c r="L79" s="169">
        <f>('National model results detailed'!L155/10^6)*(1-'Control Assumptions'!$C$16)</f>
        <v>1.785813599035291E-3</v>
      </c>
      <c r="M79" s="169">
        <f>('National model results detailed'!M155/10^6)*(1-'Control Assumptions'!$C$16)</f>
        <v>1.9145759956427138E-3</v>
      </c>
      <c r="N79" s="169">
        <f>('National model results detailed'!N155/10^6)*(1-'Control Assumptions'!$C$16)</f>
        <v>2.025453549949333E-3</v>
      </c>
      <c r="O79" s="169">
        <f>('National model results detailed'!O155/10^6)*(1-'Control Assumptions'!$C$16)</f>
        <v>2.1267522215708845E-3</v>
      </c>
      <c r="P79" s="169">
        <f>('National model results detailed'!P155/10^6)*(1-'Control Assumptions'!$C$16)</f>
        <v>2.2238460453596121E-3</v>
      </c>
      <c r="Q79" s="169">
        <f>('National model results detailed'!Q155/10^6)*(1-'Control Assumptions'!$C$16)</f>
        <v>2.3201040428002823E-3</v>
      </c>
      <c r="R79" s="169">
        <f>('National model results detailed'!R155/10^6)*(1-'Control Assumptions'!$C$16)</f>
        <v>2.4171978823430808E-3</v>
      </c>
      <c r="S79" s="169">
        <f>('National model results detailed'!S155/10^6)*(1-'Control Assumptions'!$C$16)</f>
        <v>2.5147034530942978E-3</v>
      </c>
      <c r="T79" s="169">
        <f>('National model results detailed'!T155/10^6)*(1-'Control Assumptions'!$C$16)</f>
        <v>2.6127361670696945E-3</v>
      </c>
      <c r="U79" s="169">
        <f>('National model results detailed'!U155/10^6)*(1-'Control Assumptions'!$C$16)</f>
        <v>2.7134973570684838E-3</v>
      </c>
      <c r="V79" s="169">
        <f>('National model results detailed'!V155/10^6)*(1-'Control Assumptions'!$C$16)</f>
        <v>2.8167191335572725E-3</v>
      </c>
      <c r="W79" s="169">
        <f>('National model results detailed'!W155/10^6)*(1-'Control Assumptions'!$C$16)</f>
        <v>2.9220488965475797E-3</v>
      </c>
      <c r="X79" s="169">
        <f>('National model results detailed'!X155/10^6)*(1-'Control Assumptions'!$C$16)</f>
        <v>3.028152079417804E-3</v>
      </c>
      <c r="Y79" s="169">
        <f>('National model results detailed'!Y155/10^6)*(1-'Control Assumptions'!$C$16)</f>
        <v>3.137481981105637E-3</v>
      </c>
      <c r="Z79" s="169">
        <f>('National model results detailed'!Z155/10^6)*(1-'Control Assumptions'!$C$16)</f>
        <v>3.2502104622643348E-3</v>
      </c>
      <c r="AA79" s="169">
        <f>('National model results detailed'!AA155/10^6)*(1-'Control Assumptions'!$C$16)</f>
        <v>3.3659791458584766E-3</v>
      </c>
      <c r="AB79" s="169">
        <f>('National model results detailed'!AB155/10^6)*(1-'Control Assumptions'!$C$16)</f>
        <v>3.4838547945386013E-3</v>
      </c>
      <c r="AC79" s="169">
        <f>('National model results detailed'!AC155/10^6)*(1-'Control Assumptions'!$C$16)</f>
        <v>3.603885816778978E-3</v>
      </c>
      <c r="AD79" s="169">
        <f>('National model results detailed'!AD155/10^6)*(1-'Control Assumptions'!$C$16)</f>
        <v>3.7261945230813148E-3</v>
      </c>
      <c r="AE79" s="169">
        <f>('National model results detailed'!AE155/10^6)*(1-'Control Assumptions'!$C$16)</f>
        <v>3.8507479402219362E-3</v>
      </c>
      <c r="AF79" s="169">
        <f>('National model results detailed'!AF155/10^6)*(1-'Control Assumptions'!$C$16)</f>
        <v>3.9777885530406353E-3</v>
      </c>
      <c r="AG79" s="169">
        <f>('National model results detailed'!AG155/10^6)*(1-'Control Assumptions'!$C$16)</f>
        <v>4.1081273925300706E-3</v>
      </c>
      <c r="AH79" s="169">
        <f>('National model results detailed'!AH155/10^6)*(1-'Control Assumptions'!$C$16)</f>
        <v>4.241892929105923E-3</v>
      </c>
      <c r="AI79" s="169">
        <f>('National model results detailed'!AI155/10^6)*(1-'Control Assumptions'!$C$16)</f>
        <v>4.3791689427034059E-3</v>
      </c>
      <c r="AJ79" s="169">
        <f>('National model results detailed'!AJ155/10^6)*(1-'Control Assumptions'!$C$16)</f>
        <v>4.5183337802082247E-3</v>
      </c>
      <c r="AK79" s="169">
        <f>('National model results detailed'!AK155/10^6)*(1-'Control Assumptions'!$C$16)</f>
        <v>4.6587723217080034E-3</v>
      </c>
      <c r="AL79" s="169">
        <f>('National model results detailed'!AL155/10^6)*(1-'Control Assumptions'!$C$16)</f>
        <v>4.7998219198633393E-3</v>
      </c>
      <c r="AM79" s="169">
        <f>('National model results detailed'!AM155/10^6)*(1-'Control Assumptions'!$C$16)</f>
        <v>4.9427325261721423E-3</v>
      </c>
      <c r="AN79" s="169">
        <f>('National model results detailed'!AN155/10^6)*(1-'Control Assumptions'!$C$16)</f>
        <v>5.0879946599992299E-3</v>
      </c>
      <c r="AO79" s="169">
        <f>('National model results detailed'!AO155/10^6)*(1-'Control Assumptions'!$C$16)</f>
        <v>5.2355366461360551E-3</v>
      </c>
    </row>
    <row r="80" spans="1:55" ht="29">
      <c r="A80" s="19"/>
      <c r="B80" s="6" t="s">
        <v>16</v>
      </c>
      <c r="C80" s="169">
        <f>('National model results detailed'!C156/10^6)*(1-'Control Assumptions'!$C$16)</f>
        <v>0</v>
      </c>
      <c r="D80" s="169">
        <f>('National model results detailed'!D156/10^6)*(1-'Control Assumptions'!$C$16)</f>
        <v>0</v>
      </c>
      <c r="E80" s="169">
        <f>('National model results detailed'!E156/10^6)*(1-'Control Assumptions'!$C$16)</f>
        <v>0</v>
      </c>
      <c r="F80" s="169">
        <f>('National model results detailed'!F156/10^6)*(1-'Control Assumptions'!$C$16)</f>
        <v>0</v>
      </c>
      <c r="G80" s="169">
        <f>('National model results detailed'!G156/10^6)*(1-'Control Assumptions'!$C$16)</f>
        <v>1.5628006206738768E-2</v>
      </c>
      <c r="H80" s="169">
        <f>('National model results detailed'!H156/10^6)*(1-'Control Assumptions'!$C$16)</f>
        <v>2.3683656234747382E-2</v>
      </c>
      <c r="I80" s="169">
        <f>('National model results detailed'!I156/10^6)*(1-'Control Assumptions'!$C$16)</f>
        <v>2.9441686043122448E-2</v>
      </c>
      <c r="J80" s="169">
        <f>('National model results detailed'!J156/10^6)*(1-'Control Assumptions'!$C$16)</f>
        <v>3.3725617054521782E-2</v>
      </c>
      <c r="K80" s="169">
        <f>('National model results detailed'!K156/10^6)*(1-'Control Assumptions'!$C$16)</f>
        <v>3.7129679304990226E-2</v>
      </c>
      <c r="L80" s="169">
        <f>('National model results detailed'!L156/10^6)*(1-'Control Assumptions'!$C$16)</f>
        <v>3.9973602576062209E-2</v>
      </c>
      <c r="M80" s="169">
        <f>('National model results detailed'!M156/10^6)*(1-'Control Assumptions'!$C$16)</f>
        <v>4.2455924704333986E-2</v>
      </c>
      <c r="N80" s="169">
        <f>('National model results detailed'!N156/10^6)*(1-'Control Assumptions'!$C$16)</f>
        <v>4.4669623983434159E-2</v>
      </c>
      <c r="O80" s="169">
        <f>('National model results detailed'!O156/10^6)*(1-'Control Assumptions'!$C$16)</f>
        <v>4.6743984962522349E-2</v>
      </c>
      <c r="P80" s="169">
        <f>('National model results detailed'!P156/10^6)*(1-'Control Assumptions'!$C$16)</f>
        <v>4.8766970870027238E-2</v>
      </c>
      <c r="Q80" s="169">
        <f>('National model results detailed'!Q156/10^6)*(1-'Control Assumptions'!$C$16)</f>
        <v>5.0795611771057271E-2</v>
      </c>
      <c r="R80" s="169">
        <f>('National model results detailed'!R156/10^6)*(1-'Control Assumptions'!$C$16)</f>
        <v>5.2856207493661621E-2</v>
      </c>
      <c r="S80" s="169">
        <f>('National model results detailed'!S156/10^6)*(1-'Control Assumptions'!$C$16)</f>
        <v>5.4937470039497324E-2</v>
      </c>
      <c r="T80" s="169">
        <f>('National model results detailed'!T156/10^6)*(1-'Control Assumptions'!$C$16)</f>
        <v>5.7041545304690883E-2</v>
      </c>
      <c r="U80" s="169">
        <f>('National model results detailed'!U156/10^6)*(1-'Control Assumptions'!$C$16)</f>
        <v>5.9213216215256631E-2</v>
      </c>
      <c r="V80" s="169">
        <f>('National model results detailed'!V156/10^6)*(1-'Control Assumptions'!$C$16)</f>
        <v>6.1439854106017718E-2</v>
      </c>
      <c r="W80" s="169">
        <f>('National model results detailed'!W156/10^6)*(1-'Control Assumptions'!$C$16)</f>
        <v>6.371339870769703E-2</v>
      </c>
      <c r="X80" s="169">
        <f>('National model results detailed'!X156/10^6)*(1-'Control Assumptions'!$C$16)</f>
        <v>6.6012488343358572E-2</v>
      </c>
      <c r="Y80" s="169">
        <f>('National model results detailed'!Y156/10^6)*(1-'Control Assumptions'!$C$16)</f>
        <v>6.8380452503568293E-2</v>
      </c>
      <c r="Z80" s="169">
        <f>('National model results detailed'!Z156/10^6)*(1-'Control Assumptions'!$C$16)</f>
        <v>7.0819140881437467E-2</v>
      </c>
      <c r="AA80" s="169">
        <f>('National model results detailed'!AA156/10^6)*(1-'Control Assumptions'!$C$16)</f>
        <v>7.3321157375415433E-2</v>
      </c>
      <c r="AB80" s="169">
        <f>('National model results detailed'!AB156/10^6)*(1-'Control Assumptions'!$C$16)</f>
        <v>7.5870463490602516E-2</v>
      </c>
      <c r="AC80" s="169">
        <f>('National model results detailed'!AC156/10^6)*(1-'Control Assumptions'!$C$16)</f>
        <v>7.8466476070241389E-2</v>
      </c>
      <c r="AD80" s="169">
        <f>('National model results detailed'!AD156/10^6)*(1-'Control Assumptions'!$C$16)</f>
        <v>8.1110039612081811E-2</v>
      </c>
      <c r="AE80" s="169">
        <f>('National model results detailed'!AE156/10^6)*(1-'Control Assumptions'!$C$16)</f>
        <v>8.3799536406444011E-2</v>
      </c>
      <c r="AF80" s="169">
        <f>('National model results detailed'!AF156/10^6)*(1-'Control Assumptions'!$C$16)</f>
        <v>8.6539670852500555E-2</v>
      </c>
      <c r="AG80" s="169">
        <f>('National model results detailed'!AG156/10^6)*(1-'Control Assumptions'!$C$16)</f>
        <v>8.9348151429609959E-2</v>
      </c>
      <c r="AH80" s="169">
        <f>('National model results detailed'!AH156/10^6)*(1-'Control Assumptions'!$C$16)</f>
        <v>9.2227693548720749E-2</v>
      </c>
      <c r="AI80" s="169">
        <f>('National model results detailed'!AI156/10^6)*(1-'Control Assumptions'!$C$16)</f>
        <v>9.5181752668925867E-2</v>
      </c>
      <c r="AJ80" s="169">
        <f>('National model results detailed'!AJ156/10^6)*(1-'Control Assumptions'!$C$16)</f>
        <v>9.8179137525316776E-2</v>
      </c>
      <c r="AK80" s="169">
        <f>('National model results detailed'!AK156/10^6)*(1-'Control Assumptions'!$C$16)</f>
        <v>0.10120566624544193</v>
      </c>
      <c r="AL80" s="169">
        <f>('National model results detailed'!AL156/10^6)*(1-'Control Assumptions'!$C$16)</f>
        <v>0.10424759239444219</v>
      </c>
      <c r="AM80" s="169">
        <f>('National model results detailed'!AM156/10^6)*(1-'Control Assumptions'!$C$16)</f>
        <v>0.10732628822975547</v>
      </c>
      <c r="AN80" s="169">
        <f>('National model results detailed'!AN156/10^6)*(1-'Control Assumptions'!$C$16)</f>
        <v>0.11044951449885711</v>
      </c>
      <c r="AO80" s="169">
        <f>('National model results detailed'!AO156/10^6)*(1-'Control Assumptions'!$C$16)</f>
        <v>0.11361482069218508</v>
      </c>
    </row>
    <row r="81" spans="1:43">
      <c r="A81" s="19"/>
      <c r="B81" s="6" t="s">
        <v>103</v>
      </c>
      <c r="C81" s="169">
        <f>('National model results detailed'!C157/10^6)*(1-'Control Assumptions'!$C$16)</f>
        <v>0</v>
      </c>
      <c r="D81" s="169">
        <f>('National model results detailed'!D157/10^6)*(1-'Control Assumptions'!$C$16)</f>
        <v>0</v>
      </c>
      <c r="E81" s="169">
        <f>('National model results detailed'!E157/10^6)*(1-'Control Assumptions'!$C$16)</f>
        <v>0</v>
      </c>
      <c r="F81" s="169">
        <f>('National model results detailed'!F157/10^6)*(1-'Control Assumptions'!$C$16)</f>
        <v>0</v>
      </c>
      <c r="G81" s="169">
        <f>('National model results detailed'!G157/10^6)*(1-'Control Assumptions'!$C$16)</f>
        <v>-9.5781734484840925E-2</v>
      </c>
      <c r="H81" s="169">
        <f>('National model results detailed'!H157/10^6)*(1-'Control Assumptions'!$C$16)</f>
        <v>-2.4750726309233785E-2</v>
      </c>
      <c r="I81" s="169">
        <f>('National model results detailed'!I157/10^6)*(1-'Control Assumptions'!$C$16)</f>
        <v>2.284940714030291E-2</v>
      </c>
      <c r="J81" s="169">
        <f>('National model results detailed'!J157/10^6)*(1-'Control Assumptions'!$C$16)</f>
        <v>5.5196679254950767E-2</v>
      </c>
      <c r="K81" s="169">
        <f>('National model results detailed'!K157/10^6)*(1-'Control Assumptions'!$C$16)</f>
        <v>7.7717018416630729E-2</v>
      </c>
      <c r="L81" s="169">
        <f>('National model results detailed'!L157/10^6)*(1-'Control Assumptions'!$C$16)</f>
        <v>9.3982732167362443E-2</v>
      </c>
      <c r="M81" s="169">
        <f>('National model results detailed'!M157/10^6)*(1-'Control Assumptions'!$C$16)</f>
        <v>0.10618128735796807</v>
      </c>
      <c r="N81" s="169">
        <f>('National model results detailed'!N157/10^6)*(1-'Control Assumptions'!$C$16)</f>
        <v>0.1153483510722355</v>
      </c>
      <c r="O81" s="169">
        <f>('National model results detailed'!O157/10^6)*(1-'Control Assumptions'!$C$16)</f>
        <v>0.12284431199111576</v>
      </c>
      <c r="P81" s="169">
        <f>('National model results detailed'!P157/10^6)*(1-'Control Assumptions'!$C$16)</f>
        <v>0.12946182413057727</v>
      </c>
      <c r="Q81" s="169">
        <f>('National model results detailed'!Q157/10^6)*(1-'Control Assumptions'!$C$16)</f>
        <v>0.13565650559762707</v>
      </c>
      <c r="R81" s="169">
        <f>('National model results detailed'!R157/10^6)*(1-'Control Assumptions'!$C$16)</f>
        <v>0.1416777845225434</v>
      </c>
      <c r="S81" s="169">
        <f>('National model results detailed'!S157/10^6)*(1-'Control Assumptions'!$C$16)</f>
        <v>0.14752209388710957</v>
      </c>
      <c r="T81" s="169">
        <f>('National model results detailed'!T157/10^6)*(1-'Control Assumptions'!$C$16)</f>
        <v>0.15319655748888994</v>
      </c>
      <c r="U81" s="169">
        <f>('National model results detailed'!U157/10^6)*(1-'Control Assumptions'!$C$16)</f>
        <v>0.15887904305470449</v>
      </c>
      <c r="V81" s="169">
        <f>('National model results detailed'!V157/10^6)*(1-'Control Assumptions'!$C$16)</f>
        <v>0.16465317227153417</v>
      </c>
      <c r="W81" s="169">
        <f>('National model results detailed'!W157/10^6)*(1-'Control Assumptions'!$C$16)</f>
        <v>0.17049836115834194</v>
      </c>
      <c r="X81" s="169">
        <f>('National model results detailed'!X157/10^6)*(1-'Control Assumptions'!$C$16)</f>
        <v>0.17621467366481375</v>
      </c>
      <c r="Y81" s="169">
        <f>('National model results detailed'!Y157/10^6)*(1-'Control Assumptions'!$C$16)</f>
        <v>0.18210181844288287</v>
      </c>
      <c r="Z81" s="169">
        <f>('National model results detailed'!Z157/10^6)*(1-'Control Assumptions'!$C$16)</f>
        <v>0.18819367359988118</v>
      </c>
      <c r="AA81" s="169">
        <f>('National model results detailed'!AA157/10^6)*(1-'Control Assumptions'!$C$16)</f>
        <v>0.19445825717248702</v>
      </c>
      <c r="AB81" s="169">
        <f>('National model results detailed'!AB157/10^6)*(1-'Control Assumptions'!$C$16)</f>
        <v>0.20077333930390739</v>
      </c>
      <c r="AC81" s="169">
        <f>('National model results detailed'!AC157/10^6)*(1-'Control Assumptions'!$C$16)</f>
        <v>0.20716573496644067</v>
      </c>
      <c r="AD81" s="169">
        <f>('National model results detailed'!AD157/10^6)*(1-'Control Assumptions'!$C$16)</f>
        <v>0.21366832826318954</v>
      </c>
      <c r="AE81" s="169">
        <f>('National model results detailed'!AE157/10^6)*(1-'Control Assumptions'!$C$16)</f>
        <v>0.22029048994881267</v>
      </c>
      <c r="AF81" s="169">
        <f>('National model results detailed'!AF157/10^6)*(1-'Control Assumptions'!$C$16)</f>
        <v>0.22705247841678014</v>
      </c>
      <c r="AG81" s="169">
        <f>('National model results detailed'!AG157/10^6)*(1-'Control Assumptions'!$C$16)</f>
        <v>0.23399765481375079</v>
      </c>
      <c r="AH81" s="169">
        <f>('National model results detailed'!AH157/10^6)*(1-'Control Assumptions'!$C$16)</f>
        <v>0.24113161660747456</v>
      </c>
      <c r="AI81" s="169">
        <f>('National model results detailed'!AI157/10^6)*(1-'Control Assumptions'!$C$16)</f>
        <v>0.24843245001247394</v>
      </c>
      <c r="AJ81" s="169">
        <f>('National model results detailed'!AJ157/10^6)*(1-'Control Assumptions'!$C$16)</f>
        <v>0.25574616344232104</v>
      </c>
      <c r="AK81" s="169">
        <f>('National model results detailed'!AK157/10^6)*(1-'Control Assumptions'!$C$16)</f>
        <v>0.26305037253468649</v>
      </c>
      <c r="AL81" s="169">
        <f>('National model results detailed'!AL157/10^6)*(1-'Control Assumptions'!$C$16)</f>
        <v>0.27029868134975193</v>
      </c>
      <c r="AM81" s="169">
        <f>('National model results detailed'!AM157/10^6)*(1-'Control Assumptions'!$C$16)</f>
        <v>0.27764651683522185</v>
      </c>
      <c r="AN81" s="169">
        <f>('National model results detailed'!AN157/10^6)*(1-'Control Assumptions'!$C$16)</f>
        <v>0.28516067814950236</v>
      </c>
      <c r="AO81" s="169">
        <f>('National model results detailed'!AO157/10^6)*(1-'Control Assumptions'!$C$16)</f>
        <v>0.29284618136123741</v>
      </c>
    </row>
    <row r="82" spans="1:43">
      <c r="A82" s="19"/>
      <c r="B82" s="6" t="s">
        <v>104</v>
      </c>
      <c r="C82" s="169">
        <f>('National model results detailed'!C158/10^6)*(1-'Control Assumptions'!$C$16)</f>
        <v>0</v>
      </c>
      <c r="D82" s="169">
        <f>('National model results detailed'!D158/10^6)*(1-'Control Assumptions'!$C$16)</f>
        <v>0</v>
      </c>
      <c r="E82" s="169">
        <f>('National model results detailed'!E158/10^6)*(1-'Control Assumptions'!$C$16)</f>
        <v>0</v>
      </c>
      <c r="F82" s="169">
        <f>('National model results detailed'!F158/10^6)*(1-'Control Assumptions'!$C$16)</f>
        <v>0</v>
      </c>
      <c r="G82" s="169">
        <f>('National model results detailed'!G158/10^6)*(1-'Control Assumptions'!$C$16)</f>
        <v>-7.2034715931445937E-3</v>
      </c>
      <c r="H82" s="169">
        <f>('National model results detailed'!H158/10^6)*(1-'Control Assumptions'!$C$16)</f>
        <v>1.2228140979882822E-3</v>
      </c>
      <c r="I82" s="169">
        <f>('National model results detailed'!I158/10^6)*(1-'Control Assumptions'!$C$16)</f>
        <v>7.0034949703295961E-3</v>
      </c>
      <c r="J82" s="169">
        <f>('National model results detailed'!J158/10^6)*(1-'Control Assumptions'!$C$16)</f>
        <v>1.1040771492735758E-2</v>
      </c>
      <c r="K82" s="169">
        <f>('National model results detailed'!K158/10^6)*(1-'Control Assumptions'!$C$16)</f>
        <v>1.3949697370000428E-2</v>
      </c>
      <c r="L82" s="169">
        <f>('National model results detailed'!L158/10^6)*(1-'Control Assumptions'!$C$16)</f>
        <v>1.6128082876729333E-2</v>
      </c>
      <c r="M82" s="169">
        <f>('National model results detailed'!M158/10^6)*(1-'Control Assumptions'!$C$16)</f>
        <v>1.7823344691521564E-2</v>
      </c>
      <c r="N82" s="169">
        <f>('National model results detailed'!N158/10^6)*(1-'Control Assumptions'!$C$16)</f>
        <v>1.9154071021113783E-2</v>
      </c>
      <c r="O82" s="169">
        <f>('National model results detailed'!O158/10^6)*(1-'Control Assumptions'!$C$16)</f>
        <v>2.0278465895748939E-2</v>
      </c>
      <c r="P82" s="169">
        <f>('National model results detailed'!P158/10^6)*(1-'Control Assumptions'!$C$16)</f>
        <v>2.1293007292716711E-2</v>
      </c>
      <c r="Q82" s="169">
        <f>('National model results detailed'!Q158/10^6)*(1-'Control Assumptions'!$C$16)</f>
        <v>2.2255556696262609E-2</v>
      </c>
      <c r="R82" s="169">
        <f>('National model results detailed'!R158/10^6)*(1-'Control Assumptions'!$C$16)</f>
        <v>2.319770443893035E-2</v>
      </c>
      <c r="S82" s="169">
        <f>('National model results detailed'!S158/10^6)*(1-'Control Assumptions'!$C$16)</f>
        <v>2.4118790004308673E-2</v>
      </c>
      <c r="T82" s="169">
        <f>('National model results detailed'!T158/10^6)*(1-'Control Assumptions'!$C$16)</f>
        <v>2.5021021329714718E-2</v>
      </c>
      <c r="U82" s="169">
        <f>('National model results detailed'!U158/10^6)*(1-'Control Assumptions'!$C$16)</f>
        <v>2.5930657022753219E-2</v>
      </c>
      <c r="V82" s="169">
        <f>('National model results detailed'!V158/10^6)*(1-'Control Assumptions'!$C$16)</f>
        <v>2.6854198620347512E-2</v>
      </c>
      <c r="W82" s="169">
        <f>('National model results detailed'!W158/10^6)*(1-'Control Assumptions'!$C$16)</f>
        <v>2.7788738714146034E-2</v>
      </c>
      <c r="X82" s="169">
        <f>('National model results detailed'!X158/10^6)*(1-'Control Assumptions'!$C$16)</f>
        <v>2.8711033231027156E-2</v>
      </c>
      <c r="Y82" s="169">
        <f>('National model results detailed'!Y158/10^6)*(1-'Control Assumptions'!$C$16)</f>
        <v>2.965830629272876E-2</v>
      </c>
      <c r="Z82" s="169">
        <f>('National model results detailed'!Z158/10^6)*(1-'Control Assumptions'!$C$16)</f>
        <v>3.0634511948431677E-2</v>
      </c>
      <c r="AA82" s="169">
        <f>('National model results detailed'!AA158/10^6)*(1-'Control Assumptions'!$C$16)</f>
        <v>3.1635409185653302E-2</v>
      </c>
      <c r="AB82" s="169">
        <f>('National model results detailed'!AB158/10^6)*(1-'Control Assumptions'!$C$16)</f>
        <v>3.2646188816786541E-2</v>
      </c>
      <c r="AC82" s="169">
        <f>('National model results detailed'!AC158/10^6)*(1-'Control Assumptions'!$C$16)</f>
        <v>3.3669289767392287E-2</v>
      </c>
      <c r="AD82" s="169">
        <f>('National model results detailed'!AD158/10^6)*(1-'Control Assumptions'!$C$16)</f>
        <v>3.4708092163641895E-2</v>
      </c>
      <c r="AE82" s="169">
        <f>('National model results detailed'!AE158/10^6)*(1-'Control Assumptions'!$C$16)</f>
        <v>3.5763289840223852E-2</v>
      </c>
      <c r="AF82" s="169">
        <f>('National model results detailed'!AF158/10^6)*(1-'Control Assumptions'!$C$16)</f>
        <v>3.683774944191074E-2</v>
      </c>
      <c r="AG82" s="169">
        <f>('National model results detailed'!AG158/10^6)*(1-'Control Assumptions'!$C$16)</f>
        <v>3.7938816120334652E-2</v>
      </c>
      <c r="AH82" s="169">
        <f>('National model results detailed'!AH158/10^6)*(1-'Control Assumptions'!$C$16)</f>
        <v>3.9067455186043071E-2</v>
      </c>
      <c r="AI82" s="169">
        <f>('National model results detailed'!AI158/10^6)*(1-'Control Assumptions'!$C$16)</f>
        <v>4.0221996663108224E-2</v>
      </c>
      <c r="AJ82" s="169">
        <f>('National model results detailed'!AJ158/10^6)*(1-'Control Assumptions'!$C$16)</f>
        <v>4.1381730077470404E-2</v>
      </c>
      <c r="AK82" s="169">
        <f>('National model results detailed'!AK158/10^6)*(1-'Control Assumptions'!$C$16)</f>
        <v>4.2541791338758753E-2</v>
      </c>
      <c r="AL82" s="169">
        <f>('National model results detailed'!AL158/10^6)*(1-'Control Assumptions'!$C$16)</f>
        <v>4.3695150464296534E-2</v>
      </c>
      <c r="AM82" s="169">
        <f>('National model results detailed'!AM158/10^6)*(1-'Control Assumptions'!$C$16)</f>
        <v>4.4860711062237907E-2</v>
      </c>
      <c r="AN82" s="169">
        <f>('National model results detailed'!AN158/10^6)*(1-'Control Assumptions'!$C$16)</f>
        <v>4.6046547984522852E-2</v>
      </c>
      <c r="AO82" s="169">
        <f>('National model results detailed'!AO158/10^6)*(1-'Control Assumptions'!$C$16)</f>
        <v>4.7252962842424605E-2</v>
      </c>
    </row>
    <row r="83" spans="1:43">
      <c r="A83" s="19"/>
      <c r="B83" s="6" t="s">
        <v>17</v>
      </c>
      <c r="C83" s="169">
        <f>('National model results detailed'!C159/10^6)*(1-'Control Assumptions'!$C$16)</f>
        <v>0</v>
      </c>
      <c r="D83" s="169">
        <f>('National model results detailed'!D159/10^6)*(1-'Control Assumptions'!$C$16)</f>
        <v>0</v>
      </c>
      <c r="E83" s="169">
        <f>('National model results detailed'!E159/10^6)*(1-'Control Assumptions'!$C$16)</f>
        <v>0</v>
      </c>
      <c r="F83" s="169">
        <f>('National model results detailed'!F159/10^6)*(1-'Control Assumptions'!$C$16)</f>
        <v>0</v>
      </c>
      <c r="G83" s="169">
        <f>('National model results detailed'!G159/10^6)*(1-'Control Assumptions'!$C$16)</f>
        <v>1.8352069153830502E-3</v>
      </c>
      <c r="H83" s="169">
        <f>('National model results detailed'!H159/10^6)*(1-'Control Assumptions'!$C$16)</f>
        <v>4.907220314730165E-3</v>
      </c>
      <c r="I83" s="169">
        <f>('National model results detailed'!I159/10^6)*(1-'Control Assumptions'!$C$16)</f>
        <v>7.0151801580700685E-3</v>
      </c>
      <c r="J83" s="169">
        <f>('National model results detailed'!J159/10^6)*(1-'Control Assumptions'!$C$16)</f>
        <v>8.5052591541649996E-3</v>
      </c>
      <c r="K83" s="169">
        <f>('National model results detailed'!K159/10^6)*(1-'Control Assumptions'!$C$16)</f>
        <v>9.6159458464978222E-3</v>
      </c>
      <c r="L83" s="169">
        <f>('National model results detailed'!L159/10^6)*(1-'Control Assumptions'!$C$16)</f>
        <v>1.0486416863402934E-2</v>
      </c>
      <c r="M83" s="169">
        <f>('National model results detailed'!M159/10^6)*(1-'Control Assumptions'!$C$16)</f>
        <v>1.1201866715912586E-2</v>
      </c>
      <c r="N83" s="169">
        <f>('National model results detailed'!N159/10^6)*(1-'Control Assumptions'!$C$16)</f>
        <v>1.1802331975956221E-2</v>
      </c>
      <c r="O83" s="169">
        <f>('National model results detailed'!O159/10^6)*(1-'Control Assumptions'!$C$16)</f>
        <v>1.2341115032059469E-2</v>
      </c>
      <c r="P83" s="169">
        <f>('National model results detailed'!P159/10^6)*(1-'Control Assumptions'!$C$16)</f>
        <v>1.28516295889777E-2</v>
      </c>
      <c r="Q83" s="169">
        <f>('National model results detailed'!Q159/10^6)*(1-'Control Assumptions'!$C$16)</f>
        <v>1.3354162231058725E-2</v>
      </c>
      <c r="R83" s="169">
        <f>('National model results detailed'!R159/10^6)*(1-'Control Assumptions'!$C$16)</f>
        <v>1.3858459733692834E-2</v>
      </c>
      <c r="S83" s="169">
        <f>('National model results detailed'!S159/10^6)*(1-'Control Assumptions'!$C$16)</f>
        <v>1.4361596914579043E-2</v>
      </c>
      <c r="T83" s="169">
        <f>('National model results detailed'!T159/10^6)*(1-'Control Assumptions'!$C$16)</f>
        <v>1.48639340567992E-2</v>
      </c>
      <c r="U83" s="169">
        <f>('National model results detailed'!U159/10^6)*(1-'Control Assumptions'!$C$16)</f>
        <v>1.5378150641781364E-2</v>
      </c>
      <c r="V83" s="169">
        <f>('National model results detailed'!V159/10^6)*(1-'Control Assumptions'!$C$16)</f>
        <v>1.5902673283424134E-2</v>
      </c>
      <c r="W83" s="169">
        <f>('National model results detailed'!W159/10^6)*(1-'Control Assumptions'!$C$16)</f>
        <v>1.6435174537260736E-2</v>
      </c>
      <c r="X83" s="169">
        <f>('National model results detailed'!X159/10^6)*(1-'Control Assumptions'!$C$16)</f>
        <v>1.696741466842034E-2</v>
      </c>
      <c r="Y83" s="169">
        <f>('National model results detailed'!Y159/10^6)*(1-'Control Assumptions'!$C$16)</f>
        <v>1.751388091384827E-2</v>
      </c>
      <c r="Z83" s="169">
        <f>('National model results detailed'!Z159/10^6)*(1-'Control Assumptions'!$C$16)</f>
        <v>1.8075333122574085E-2</v>
      </c>
      <c r="AA83" s="169">
        <f>('National model results detailed'!AA159/10^6)*(1-'Control Assumptions'!$C$16)</f>
        <v>1.8649426847806939E-2</v>
      </c>
      <c r="AB83" s="169">
        <f>('National model results detailed'!AB159/10^6)*(1-'Control Assumptions'!$C$16)</f>
        <v>1.9230469799809278E-2</v>
      </c>
      <c r="AC83" s="169">
        <f>('National model results detailed'!AC159/10^6)*(1-'Control Assumptions'!$C$16)</f>
        <v>1.9818731435191601E-2</v>
      </c>
      <c r="AD83" s="169">
        <f>('National model results detailed'!AD159/10^6)*(1-'Control Assumptions'!$C$16)</f>
        <v>2.0414879956468235E-2</v>
      </c>
      <c r="AE83" s="169">
        <f>('National model results detailed'!AE159/10^6)*(1-'Control Assumptions'!$C$16)</f>
        <v>2.1018646714999308E-2</v>
      </c>
      <c r="AF83" s="169">
        <f>('National model results detailed'!AF159/10^6)*(1-'Control Assumptions'!$C$16)</f>
        <v>2.1631278916160773E-2</v>
      </c>
      <c r="AG83" s="169">
        <f>('National model results detailed'!AG159/10^6)*(1-'Control Assumptions'!$C$16)</f>
        <v>2.2257111774988812E-2</v>
      </c>
      <c r="AH83" s="169">
        <f>('National model results detailed'!AH159/10^6)*(1-'Control Assumptions'!$C$16)</f>
        <v>2.2896645584873247E-2</v>
      </c>
      <c r="AI83" s="169">
        <f>('National model results detailed'!AI159/10^6)*(1-'Control Assumptions'!$C$16)</f>
        <v>2.3550050511093393E-2</v>
      </c>
      <c r="AJ83" s="169">
        <f>('National model results detailed'!AJ159/10^6)*(1-'Control Assumptions'!$C$16)</f>
        <v>2.4208069581187885E-2</v>
      </c>
      <c r="AK83" s="169">
        <f>('National model results detailed'!AK159/10^6)*(1-'Control Assumptions'!$C$16)</f>
        <v>2.4867376807474018E-2</v>
      </c>
      <c r="AL83" s="169">
        <f>('National model results detailed'!AL159/10^6)*(1-'Control Assumptions'!$C$16)</f>
        <v>2.5524360913357934E-2</v>
      </c>
      <c r="AM83" s="169">
        <f>('National model results detailed'!AM159/10^6)*(1-'Control Assumptions'!$C$16)</f>
        <v>2.6186118416159743E-2</v>
      </c>
      <c r="AN83" s="169">
        <f>('National model results detailed'!AN159/10^6)*(1-'Control Assumptions'!$C$16)</f>
        <v>2.6855316915622877E-2</v>
      </c>
      <c r="AO83" s="169">
        <f>('National model results detailed'!AO159/10^6)*(1-'Control Assumptions'!$C$16)</f>
        <v>2.7531446875376619E-2</v>
      </c>
    </row>
    <row r="84" spans="1:43" ht="29">
      <c r="A84" s="19"/>
      <c r="B84" s="6" t="s">
        <v>106</v>
      </c>
      <c r="C84" s="169">
        <f>('National model results detailed'!C160/10^6)*(1-'Control Assumptions'!$C$16)</f>
        <v>0</v>
      </c>
      <c r="D84" s="169">
        <f>('National model results detailed'!D160/10^6)*(1-'Control Assumptions'!$C$16)</f>
        <v>0</v>
      </c>
      <c r="E84" s="169">
        <f>('National model results detailed'!E160/10^6)*(1-'Control Assumptions'!$C$16)</f>
        <v>0</v>
      </c>
      <c r="F84" s="169">
        <f>('National model results detailed'!F160/10^6)*(1-'Control Assumptions'!$C$16)</f>
        <v>0</v>
      </c>
      <c r="G84" s="169">
        <f>('National model results detailed'!G160/10^6)*(1-'Control Assumptions'!$C$16)</f>
        <v>1.136788208120019E-2</v>
      </c>
      <c r="H84" s="169">
        <f>('National model results detailed'!H160/10^6)*(1-'Control Assumptions'!$C$16)</f>
        <v>1.9404585257116285E-2</v>
      </c>
      <c r="I84" s="169">
        <f>('National model results detailed'!I160/10^6)*(1-'Control Assumptions'!$C$16)</f>
        <v>2.5487669603788666E-2</v>
      </c>
      <c r="J84" s="169">
        <f>('National model results detailed'!J160/10^6)*(1-'Control Assumptions'!$C$16)</f>
        <v>3.0298381220765652E-2</v>
      </c>
      <c r="K84" s="169">
        <f>('National model results detailed'!K160/10^6)*(1-'Control Assumptions'!$C$16)</f>
        <v>3.4347578143432041E-2</v>
      </c>
      <c r="L84" s="169">
        <f>('National model results detailed'!L160/10^6)*(1-'Control Assumptions'!$C$16)</f>
        <v>3.7924017192825288E-2</v>
      </c>
      <c r="M84" s="169">
        <f>('National model results detailed'!M160/10^6)*(1-'Control Assumptions'!$C$16)</f>
        <v>4.1212024913694488E-2</v>
      </c>
      <c r="N84" s="169">
        <f>('National model results detailed'!N160/10^6)*(1-'Control Assumptions'!$C$16)</f>
        <v>4.4295582275728475E-2</v>
      </c>
      <c r="O84" s="169">
        <f>('National model results detailed'!O160/10^6)*(1-'Control Assumptions'!$C$16)</f>
        <v>4.73072743433939E-2</v>
      </c>
      <c r="P84" s="169">
        <f>('National model results detailed'!P160/10^6)*(1-'Control Assumptions'!$C$16)</f>
        <v>5.0341443734097033E-2</v>
      </c>
      <c r="Q84" s="169">
        <f>('National model results detailed'!Q160/10^6)*(1-'Control Assumptions'!$C$16)</f>
        <v>5.3463418168009327E-2</v>
      </c>
      <c r="R84" s="169">
        <f>('National model results detailed'!R160/10^6)*(1-'Control Assumptions'!$C$16)</f>
        <v>5.6708590413548227E-2</v>
      </c>
      <c r="S84" s="169">
        <f>('National model results detailed'!S160/10^6)*(1-'Control Assumptions'!$C$16)</f>
        <v>6.0071060146504145E-2</v>
      </c>
      <c r="T84" s="169">
        <f>('National model results detailed'!T160/10^6)*(1-'Control Assumptions'!$C$16)</f>
        <v>6.3557766909121391E-2</v>
      </c>
      <c r="U84" s="169">
        <f>('National model results detailed'!U160/10^6)*(1-'Control Assumptions'!$C$16)</f>
        <v>6.7224337623460736E-2</v>
      </c>
      <c r="V84" s="169">
        <f>('National model results detailed'!V160/10^6)*(1-'Control Assumptions'!$C$16)</f>
        <v>7.106673093007243E-2</v>
      </c>
      <c r="W84" s="169">
        <f>('National model results detailed'!W160/10^6)*(1-'Control Assumptions'!$C$16)</f>
        <v>7.5082764934502208E-2</v>
      </c>
      <c r="X84" s="169">
        <f>('National model results detailed'!X160/10^6)*(1-'Control Assumptions'!$C$16)</f>
        <v>7.9250442356984308E-2</v>
      </c>
      <c r="Y84" s="169">
        <f>('National model results detailed'!Y160/10^6)*(1-'Control Assumptions'!$C$16)</f>
        <v>8.3630842951451054E-2</v>
      </c>
      <c r="Z84" s="169">
        <f>('National model results detailed'!Z160/10^6)*(1-'Control Assumptions'!$C$16)</f>
        <v>8.8235528719497941E-2</v>
      </c>
      <c r="AA84" s="169">
        <f>('National model results detailed'!AA160/10^6)*(1-'Control Assumptions'!$C$16)</f>
        <v>9.3063944831345793E-2</v>
      </c>
      <c r="AB84" s="169">
        <f>('National model results detailed'!AB160/10^6)*(1-'Control Assumptions'!$C$16)</f>
        <v>9.8102208590405374E-2</v>
      </c>
      <c r="AC84" s="169">
        <f>('National model results detailed'!AC160/10^6)*(1-'Control Assumptions'!$C$16)</f>
        <v>0.10335752197493622</v>
      </c>
      <c r="AD84" s="169">
        <f>('National model results detailed'!AD160/10^6)*(1-'Control Assumptions'!$C$16)</f>
        <v>0.10883932729765362</v>
      </c>
      <c r="AE84" s="169">
        <f>('National model results detailed'!AE160/10^6)*(1-'Control Assumptions'!$C$16)</f>
        <v>0.11455374434944271</v>
      </c>
      <c r="AF84" s="169">
        <f>('National model results detailed'!AF160/10^6)*(1-'Control Assumptions'!$C$16)</f>
        <v>0.12051547655927056</v>
      </c>
      <c r="AG84" s="169">
        <f>('National model results detailed'!AG160/10^6)*(1-'Control Assumptions'!$C$16)</f>
        <v>0.12675777939988869</v>
      </c>
      <c r="AH84" s="169">
        <f>('National model results detailed'!AH160/10^6)*(1-'Control Assumptions'!$C$16)</f>
        <v>0.13329491107329886</v>
      </c>
      <c r="AI84" s="169">
        <f>('National model results detailed'!AI160/10^6)*(1-'Control Assumptions'!$C$16)</f>
        <v>0.14014189555292494</v>
      </c>
      <c r="AJ84" s="169">
        <f>('National model results detailed'!AJ160/10^6)*(1-'Control Assumptions'!$C$16)</f>
        <v>0.14726205919143315</v>
      </c>
      <c r="AK84" s="169">
        <f>('National model results detailed'!AK160/10^6)*(1-'Control Assumptions'!$C$16)</f>
        <v>0.15464328915923875</v>
      </c>
      <c r="AL84" s="169">
        <f>('National model results detailed'!AL160/10^6)*(1-'Control Assumptions'!$C$16)</f>
        <v>0.16227201829131047</v>
      </c>
      <c r="AM84" s="169">
        <f>('National model results detailed'!AM160/10^6)*(1-'Control Assumptions'!$C$16)</f>
        <v>0.17019151424851664</v>
      </c>
      <c r="AN84" s="169">
        <f>('National model results detailed'!AN160/10^6)*(1-'Control Assumptions'!$C$16)</f>
        <v>0.17842513900213453</v>
      </c>
      <c r="AO84" s="169">
        <f>('National model results detailed'!AO160/10^6)*(1-'Control Assumptions'!$C$16)</f>
        <v>0.18698003446994757</v>
      </c>
    </row>
    <row r="85" spans="1:43" s="73" customFormat="1" ht="29">
      <c r="A85" s="802"/>
      <c r="B85" s="26" t="s">
        <v>107</v>
      </c>
      <c r="C85" s="169">
        <f>('National model results detailed'!C161/10^6)*(1-'Control Assumptions'!$C$16)</f>
        <v>0</v>
      </c>
      <c r="D85" s="169">
        <f>('National model results detailed'!D161/10^6)*(1-'Control Assumptions'!$C$16)</f>
        <v>0</v>
      </c>
      <c r="E85" s="169">
        <f>('National model results detailed'!E161/10^6)*(1-'Control Assumptions'!$C$16)</f>
        <v>0</v>
      </c>
      <c r="F85" s="169">
        <f>('National model results detailed'!F161/10^6)*(1-'Control Assumptions'!$C$16)</f>
        <v>0</v>
      </c>
      <c r="G85" s="169">
        <f>('National model results detailed'!G161/10^6)*(1-'Control Assumptions'!$C$16)</f>
        <v>2.6015284767418788E-2</v>
      </c>
      <c r="H85" s="169">
        <f>('National model results detailed'!H161/10^6)*(1-'Control Assumptions'!$C$16)</f>
        <v>4.4186210266552575E-2</v>
      </c>
      <c r="I85" s="169">
        <f>('National model results detailed'!I161/10^6)*(1-'Control Assumptions'!$C$16)</f>
        <v>5.7946066941552334E-2</v>
      </c>
      <c r="J85" s="169">
        <f>('National model results detailed'!J161/10^6)*(1-'Control Assumptions'!$C$16)</f>
        <v>6.8833530831298131E-2</v>
      </c>
      <c r="K85" s="169">
        <f>('National model results detailed'!K161/10^6)*(1-'Control Assumptions'!$C$16)</f>
        <v>7.8003131719236368E-2</v>
      </c>
      <c r="L85" s="169">
        <f>('National model results detailed'!L161/10^6)*(1-'Control Assumptions'!$C$16)</f>
        <v>8.6106590933379135E-2</v>
      </c>
      <c r="M85" s="169">
        <f>('National model results detailed'!M161/10^6)*(1-'Control Assumptions'!$C$16)</f>
        <v>9.3559993298621108E-2</v>
      </c>
      <c r="N85" s="169">
        <f>('National model results detailed'!N161/10^6)*(1-'Control Assumptions'!$C$16)</f>
        <v>0.10055293032282256</v>
      </c>
      <c r="O85" s="169">
        <f>('National model results detailed'!O161/10^6)*(1-'Control Assumptions'!$C$16)</f>
        <v>0.10738478367028292</v>
      </c>
      <c r="P85" s="169">
        <f>('National model results detailed'!P161/10^6)*(1-'Control Assumptions'!$C$16)</f>
        <v>0.11426880319492098</v>
      </c>
      <c r="Q85" s="169">
        <f>('National model results detailed'!Q161/10^6)*(1-'Control Assumptions'!$C$16)</f>
        <v>0.12135276828508745</v>
      </c>
      <c r="R85" s="169">
        <f>('National model results detailed'!R161/10^6)*(1-'Control Assumptions'!$C$16)</f>
        <v>0.12871670674244826</v>
      </c>
      <c r="S85" s="169">
        <f>('National model results detailed'!S161/10^6)*(1-'Control Assumptions'!$C$16)</f>
        <v>0.13634719842400445</v>
      </c>
      <c r="T85" s="169">
        <f>('National model results detailed'!T161/10^6)*(1-'Control Assumptions'!$C$16)</f>
        <v>0.14426000989693191</v>
      </c>
      <c r="U85" s="169">
        <f>('National model results detailed'!U161/10^6)*(1-'Control Assumptions'!$C$16)</f>
        <v>0.15258128747200211</v>
      </c>
      <c r="V85" s="169">
        <f>('National model results detailed'!V161/10^6)*(1-'Control Assumptions'!$C$16)</f>
        <v>0.16130163495645145</v>
      </c>
      <c r="W85" s="169">
        <f>('National model results detailed'!W161/10^6)*(1-'Control Assumptions'!$C$16)</f>
        <v>0.17041609731511795</v>
      </c>
      <c r="X85" s="169">
        <f>('National model results detailed'!X161/10^6)*(1-'Control Assumptions'!$C$16)</f>
        <v>0.1798750609523978</v>
      </c>
      <c r="Y85" s="169">
        <f>('National model results detailed'!Y161/10^6)*(1-'Control Assumptions'!$C$16)</f>
        <v>0.18981675510568913</v>
      </c>
      <c r="Z85" s="169">
        <f>('National model results detailed'!Z161/10^6)*(1-'Control Assumptions'!$C$16)</f>
        <v>0.2002673461908254</v>
      </c>
      <c r="AA85" s="169">
        <f>('National model results detailed'!AA161/10^6)*(1-'Control Assumptions'!$C$16)</f>
        <v>0.21122559160071694</v>
      </c>
      <c r="AB85" s="169">
        <f>('National model results detailed'!AB161/10^6)*(1-'Control Assumptions'!$C$16)</f>
        <v>0.22266016399841801</v>
      </c>
      <c r="AC85" s="169">
        <f>('National model results detailed'!AC161/10^6)*(1-'Control Assumptions'!$C$16)</f>
        <v>0.23458734237392162</v>
      </c>
      <c r="AD85" s="169">
        <f>('National model results detailed'!AD161/10^6)*(1-'Control Assumptions'!$C$16)</f>
        <v>0.24702847721475882</v>
      </c>
      <c r="AE85" s="169">
        <f>('National model results detailed'!AE161/10^6)*(1-'Control Assumptions'!$C$16)</f>
        <v>0.25999741430798634</v>
      </c>
      <c r="AF85" s="169">
        <f>('National model results detailed'!AF161/10^6)*(1-'Control Assumptions'!$C$16)</f>
        <v>0.27352748929925258</v>
      </c>
      <c r="AG85" s="169">
        <f>('National model results detailed'!AG161/10^6)*(1-'Control Assumptions'!$C$16)</f>
        <v>0.28769416437247658</v>
      </c>
      <c r="AH85" s="169">
        <f>('National model results detailed'!AH161/10^6)*(1-'Control Assumptions'!$C$16)</f>
        <v>0.30252978811349956</v>
      </c>
      <c r="AI85" s="169">
        <f>('National model results detailed'!AI161/10^6)*(1-'Control Assumptions'!$C$16)</f>
        <v>0.31806852711302891</v>
      </c>
      <c r="AJ85" s="169">
        <f>('National model results detailed'!AJ161/10^6)*(1-'Control Assumptions'!$C$16)</f>
        <v>0.33422735713565294</v>
      </c>
      <c r="AK85" s="169">
        <f>('National model results detailed'!AK161/10^6)*(1-'Control Assumptions'!$C$16)</f>
        <v>0.35097875763237263</v>
      </c>
      <c r="AL85" s="169">
        <f>('National model results detailed'!AL161/10^6)*(1-'Control Assumptions'!$C$16)</f>
        <v>0.36829197718082501</v>
      </c>
      <c r="AM85" s="169">
        <f>('National model results detailed'!AM161/10^6)*(1-'Control Assumptions'!$C$16)</f>
        <v>0.3862649075471955</v>
      </c>
      <c r="AN85" s="169">
        <f>('National model results detailed'!AN161/10^6)*(1-'Control Assumptions'!$C$16)</f>
        <v>0.40495040421560813</v>
      </c>
      <c r="AO85" s="169">
        <f>('National model results detailed'!AO161/10^6)*(1-'Control Assumptions'!$C$16)</f>
        <v>0.42436461215928983</v>
      </c>
      <c r="AQ85"/>
    </row>
    <row r="86" spans="1:43" s="73" customFormat="1">
      <c r="A86" s="802"/>
      <c r="B86" s="26" t="s">
        <v>2863</v>
      </c>
      <c r="C86" s="169">
        <f>('National model results detailed'!C162/10^6)*(1-'Control Assumptions'!$C$16)</f>
        <v>0</v>
      </c>
      <c r="D86" s="169">
        <f>('National model results detailed'!D162/10^6)*(1-'Control Assumptions'!$C$16)</f>
        <v>0</v>
      </c>
      <c r="E86" s="169">
        <f>('National model results detailed'!E162/10^6)*(1-'Control Assumptions'!$C$16)</f>
        <v>0</v>
      </c>
      <c r="F86" s="169">
        <f>('National model results detailed'!F162/10^6)*(1-'Control Assumptions'!$C$16)</f>
        <v>0</v>
      </c>
      <c r="G86" s="169">
        <f>('National model results detailed'!G162/10^6)*(1-'Control Assumptions'!$C$16)</f>
        <v>1.789562533957125E-3</v>
      </c>
      <c r="H86" s="169">
        <f>('National model results detailed'!H162/10^6)*(1-'Control Assumptions'!$C$16)</f>
        <v>2.5514420805435381E-3</v>
      </c>
      <c r="I86" s="169">
        <f>('National model results detailed'!I162/10^6)*(1-'Control Assumptions'!$C$16)</f>
        <v>3.069021144164197E-3</v>
      </c>
      <c r="J86" s="169">
        <f>('National model results detailed'!J162/10^6)*(1-'Control Assumptions'!$C$16)</f>
        <v>3.4265677737972578E-3</v>
      </c>
      <c r="K86" s="169">
        <f>('National model results detailed'!K162/10^6)*(1-'Control Assumptions'!$C$16)</f>
        <v>3.6855809025353754E-3</v>
      </c>
      <c r="L86" s="169">
        <f>('National model results detailed'!L162/10^6)*(1-'Control Assumptions'!$C$16)</f>
        <v>3.878611574969713E-3</v>
      </c>
      <c r="M86" s="169">
        <f>('National model results detailed'!M162/10^6)*(1-'Control Assumptions'!$C$16)</f>
        <v>4.0260006114762083E-3</v>
      </c>
      <c r="N86" s="169">
        <f>('National model results detailed'!N162/10^6)*(1-'Control Assumptions'!$C$16)</f>
        <v>4.1371474273899497E-3</v>
      </c>
      <c r="O86" s="169">
        <f>('National model results detailed'!O162/10^6)*(1-'Control Assumptions'!$C$16)</f>
        <v>4.2255492326440415E-3</v>
      </c>
      <c r="P86" s="169">
        <f>('National model results detailed'!P162/10^6)*(1-'Control Assumptions'!$C$16)</f>
        <v>4.3005164153367215E-3</v>
      </c>
      <c r="Q86" s="169">
        <f>('National model results detailed'!Q162/10^6)*(1-'Control Assumptions'!$C$16)</f>
        <v>4.3680668174929061E-3</v>
      </c>
      <c r="R86" s="169">
        <f>('National model results detailed'!R162/10^6)*(1-'Control Assumptions'!$C$16)</f>
        <v>4.5828670092715375E-3</v>
      </c>
      <c r="S86" s="169">
        <f>('National model results detailed'!S162/10^6)*(1-'Control Assumptions'!$C$16)</f>
        <v>4.7804186419341723E-3</v>
      </c>
      <c r="T86" s="169">
        <f>('National model results detailed'!T162/10^6)*(1-'Control Assumptions'!$C$16)</f>
        <v>4.966811186391311E-3</v>
      </c>
      <c r="U86" s="169">
        <f>('National model results detailed'!U162/10^6)*(1-'Control Assumptions'!$C$16)</f>
        <v>5.1506410362120855E-3</v>
      </c>
      <c r="V86" s="169">
        <f>('National model results detailed'!V162/10^6)*(1-'Control Assumptions'!$C$16)</f>
        <v>5.3331567973619216E-3</v>
      </c>
      <c r="W86" s="169">
        <f>('National model results detailed'!W162/10^6)*(1-'Control Assumptions'!$C$16)</f>
        <v>5.5151545413999314E-3</v>
      </c>
      <c r="X86" s="169">
        <f>('National model results detailed'!X162/10^6)*(1-'Control Assumptions'!$C$16)</f>
        <v>5.6954189748863251E-3</v>
      </c>
      <c r="Y86" s="169">
        <f>('National model results detailed'!Y162/10^6)*(1-'Control Assumptions'!$C$16)</f>
        <v>5.8791772657994529E-3</v>
      </c>
      <c r="Z86" s="169">
        <f>('National model results detailed'!Z162/10^6)*(1-'Control Assumptions'!$C$16)</f>
        <v>6.0669397627732954E-3</v>
      </c>
      <c r="AA86" s="169">
        <f>('National model results detailed'!AA162/10^6)*(1-'Control Assumptions'!$C$16)</f>
        <v>6.2581022735972531E-3</v>
      </c>
      <c r="AB86" s="169">
        <f>('National model results detailed'!AB162/10^6)*(1-'Control Assumptions'!$C$16)</f>
        <v>6.4511157012850278E-3</v>
      </c>
      <c r="AC86" s="169">
        <f>('National model results detailed'!AC162/10^6)*(1-'Control Assumptions'!$C$16)</f>
        <v>6.6459598771549744E-3</v>
      </c>
      <c r="AD86" s="169">
        <f>('National model results detailed'!AD162/10^6)*(1-'Control Assumptions'!$C$16)</f>
        <v>6.8427433802874041E-3</v>
      </c>
      <c r="AE86" s="169">
        <f>('National model results detailed'!AE162/10^6)*(1-'Control Assumptions'!$C$16)</f>
        <v>7.041352565727345E-3</v>
      </c>
      <c r="AF86" s="169">
        <f>('National model results detailed'!AF162/10^6)*(1-'Control Assumptions'!$C$16)</f>
        <v>7.2424159747147806E-3</v>
      </c>
      <c r="AG86" s="169">
        <f>('National model results detailed'!AG162/10^6)*(1-'Control Assumptions'!$C$16)</f>
        <v>7.4477676383054719E-3</v>
      </c>
      <c r="AH86" s="169">
        <f>('National model results detailed'!AH162/10^6)*(1-'Control Assumptions'!$C$16)</f>
        <v>7.6576347372663712E-3</v>
      </c>
      <c r="AI86" s="169">
        <f>('National model results detailed'!AI162/10^6)*(1-'Control Assumptions'!$C$16)</f>
        <v>7.8723628505777271E-3</v>
      </c>
      <c r="AJ86" s="169">
        <f>('National model results detailed'!AJ162/10^6)*(1-'Control Assumptions'!$C$16)</f>
        <v>8.0887389429940715E-3</v>
      </c>
      <c r="AK86" s="169">
        <f>('National model results detailed'!AK162/10^6)*(1-'Control Assumptions'!$C$16)</f>
        <v>8.3052824483907991E-3</v>
      </c>
      <c r="AL86" s="169">
        <f>('National model results detailed'!AL162/10^6)*(1-'Control Assumptions'!$C$16)</f>
        <v>8.5206095965387734E-3</v>
      </c>
      <c r="AM86" s="169">
        <f>('National model results detailed'!AM162/10^6)*(1-'Control Assumptions'!$C$16)</f>
        <v>8.736895221335899E-3</v>
      </c>
      <c r="AN86" s="169">
        <f>('National model results detailed'!AN162/10^6)*(1-'Control Assumptions'!$C$16)</f>
        <v>8.9549542646584629E-3</v>
      </c>
      <c r="AO86" s="169">
        <f>('National model results detailed'!AO162/10^6)*(1-'Control Assumptions'!$C$16)</f>
        <v>9.1745803525132459E-3</v>
      </c>
      <c r="AQ86"/>
    </row>
    <row r="87" spans="1:43" s="73" customFormat="1">
      <c r="A87" s="802"/>
      <c r="B87" s="26" t="s">
        <v>2862</v>
      </c>
      <c r="C87" s="169">
        <f>('National model results detailed'!C163/10^6)*(1-'Control Assumptions'!$C$16)</f>
        <v>0</v>
      </c>
      <c r="D87" s="169">
        <f>('National model results detailed'!D163/10^6)*(1-'Control Assumptions'!$C$16)</f>
        <v>0</v>
      </c>
      <c r="E87" s="169">
        <f>('National model results detailed'!E163/10^6)*(1-'Control Assumptions'!$C$16)</f>
        <v>0</v>
      </c>
      <c r="F87" s="169">
        <f>('National model results detailed'!F163/10^6)*(1-'Control Assumptions'!$C$16)</f>
        <v>0</v>
      </c>
      <c r="G87" s="169">
        <f>('National model results detailed'!G163/10^6)*(1-'Control Assumptions'!$C$16)</f>
        <v>2.3221518555641353E-3</v>
      </c>
      <c r="H87" s="169">
        <f>('National model results detailed'!H163/10^6)*(1-'Control Assumptions'!$C$16)</f>
        <v>3.3107733590049255E-3</v>
      </c>
      <c r="I87" s="169">
        <f>('National model results detailed'!I163/10^6)*(1-'Control Assumptions'!$C$16)</f>
        <v>3.9823884382110143E-3</v>
      </c>
      <c r="J87" s="169">
        <f>('National model results detailed'!J163/10^6)*(1-'Control Assumptions'!$C$16)</f>
        <v>4.4463440439518115E-3</v>
      </c>
      <c r="K87" s="169">
        <f>('National model results detailed'!K163/10^6)*(1-'Control Assumptions'!$C$16)</f>
        <v>4.7824417248664422E-3</v>
      </c>
      <c r="L87" s="169">
        <f>('National model results detailed'!L163/10^6)*(1-'Control Assumptions'!$C$16)</f>
        <v>5.0329199985610831E-3</v>
      </c>
      <c r="M87" s="169">
        <f>('National model results detailed'!M163/10^6)*(1-'Control Assumptions'!$C$16)</f>
        <v>5.2241732898649414E-3</v>
      </c>
      <c r="N87" s="169">
        <f>('National model results detailed'!N163/10^6)*(1-'Control Assumptions'!$C$16)</f>
        <v>5.3683983615887077E-3</v>
      </c>
      <c r="O87" s="169">
        <f>('National model results detailed'!O163/10^6)*(1-'Control Assumptions'!$C$16)</f>
        <v>5.4831093103321878E-3</v>
      </c>
      <c r="P87" s="169">
        <f>('National model results detailed'!P163/10^6)*(1-'Control Assumptions'!$C$16)</f>
        <v>5.5803873763918743E-3</v>
      </c>
      <c r="Q87" s="169">
        <f>('National model results detailed'!Q163/10^6)*(1-'Control Assumptions'!$C$16)</f>
        <v>5.6680413637405216E-3</v>
      </c>
      <c r="R87" s="169">
        <f>('National model results detailed'!R163/10^6)*(1-'Control Assumptions'!$C$16)</f>
        <v>5.9467679544293233E-3</v>
      </c>
      <c r="S87" s="169">
        <f>('National model results detailed'!S163/10^6)*(1-'Control Assumptions'!$C$16)</f>
        <v>6.2031126653028131E-3</v>
      </c>
      <c r="T87" s="169">
        <f>('National model results detailed'!T163/10^6)*(1-'Control Assumptions'!$C$16)</f>
        <v>6.4449772465965212E-3</v>
      </c>
      <c r="U87" s="169">
        <f>('National model results detailed'!U163/10^6)*(1-'Control Assumptions'!$C$16)</f>
        <v>6.6835164531172733E-3</v>
      </c>
      <c r="V87" s="169">
        <f>('National model results detailed'!V163/10^6)*(1-'Control Assumptions'!$C$16)</f>
        <v>6.9203504867884E-3</v>
      </c>
      <c r="W87" s="169">
        <f>('National model results detailed'!W163/10^6)*(1-'Control Assumptions'!$C$16)</f>
        <v>7.15651233696518E-3</v>
      </c>
      <c r="X87" s="169">
        <f>('National model results detailed'!X163/10^6)*(1-'Control Assumptions'!$C$16)</f>
        <v>7.3904250283462524E-3</v>
      </c>
      <c r="Y87" s="169">
        <f>('National model results detailed'!Y163/10^6)*(1-'Control Assumptions'!$C$16)</f>
        <v>7.6288713794081808E-3</v>
      </c>
      <c r="Z87" s="169">
        <f>('National model results detailed'!Z163/10^6)*(1-'Control Assumptions'!$C$16)</f>
        <v>7.8725136229619939E-3</v>
      </c>
      <c r="AA87" s="169">
        <f>('National model results detailed'!AA163/10^6)*(1-'Control Assumptions'!$C$16)</f>
        <v>8.1205677539582279E-3</v>
      </c>
      <c r="AB87" s="169">
        <f>('National model results detailed'!AB163/10^6)*(1-'Control Assumptions'!$C$16)</f>
        <v>8.3710236507202607E-3</v>
      </c>
      <c r="AC87" s="169">
        <f>('National model results detailed'!AC163/10^6)*(1-'Control Assumptions'!$C$16)</f>
        <v>8.6238551421919628E-3</v>
      </c>
      <c r="AD87" s="169">
        <f>('National model results detailed'!AD163/10^6)*(1-'Control Assumptions'!$C$16)</f>
        <v>8.8792031215290806E-3</v>
      </c>
      <c r="AE87" s="169">
        <f>('National model results detailed'!AE163/10^6)*(1-'Control Assumptions'!$C$16)</f>
        <v>9.136920122053022E-3</v>
      </c>
      <c r="AF87" s="169">
        <f>('National model results detailed'!AF163/10^6)*(1-'Control Assumptions'!$C$16)</f>
        <v>9.3978217443248038E-3</v>
      </c>
      <c r="AG87" s="169">
        <f>('National model results detailed'!AG163/10^6)*(1-'Control Assumptions'!$C$16)</f>
        <v>9.6642878429393439E-3</v>
      </c>
      <c r="AH87" s="169">
        <f>('National model results detailed'!AH163/10^6)*(1-'Control Assumptions'!$C$16)</f>
        <v>9.9366132096289882E-3</v>
      </c>
      <c r="AI87" s="169">
        <f>('National model results detailed'!AI163/10^6)*(1-'Control Assumptions'!$C$16)</f>
        <v>1.0215246270673899E-2</v>
      </c>
      <c r="AJ87" s="169">
        <f>('National model results detailed'!AJ163/10^6)*(1-'Control Assumptions'!$C$16)</f>
        <v>1.0496017763689722E-2</v>
      </c>
      <c r="AK87" s="169">
        <f>('National model results detailed'!AK163/10^6)*(1-'Control Assumptions'!$C$16)</f>
        <v>1.0777006493239996E-2</v>
      </c>
      <c r="AL87" s="169">
        <f>('National model results detailed'!AL163/10^6)*(1-'Control Assumptions'!$C$16)</f>
        <v>1.1056416867081195E-2</v>
      </c>
      <c r="AM87" s="169">
        <f>('National model results detailed'!AM163/10^6)*(1-'Control Assumptions'!$C$16)</f>
        <v>1.1337070968530162E-2</v>
      </c>
      <c r="AN87" s="169">
        <f>('National model results detailed'!AN163/10^6)*(1-'Control Assumptions'!$C$16)</f>
        <v>1.1620026273229316E-2</v>
      </c>
      <c r="AO87" s="169">
        <f>('National model results detailed'!AO163/10^6)*(1-'Control Assumptions'!$C$16)</f>
        <v>1.1905014988496249E-2</v>
      </c>
      <c r="AQ87"/>
    </row>
    <row r="88" spans="1:43" s="73" customFormat="1">
      <c r="A88" s="802"/>
      <c r="B88" s="26" t="s">
        <v>131</v>
      </c>
      <c r="C88" s="169">
        <f>('National model results detailed'!C164/10^6)*(1-'Control Assumptions'!$C$16)</f>
        <v>0</v>
      </c>
      <c r="D88" s="169">
        <f>('National model results detailed'!D164/10^6)*(1-'Control Assumptions'!$C$16)</f>
        <v>0</v>
      </c>
      <c r="E88" s="169">
        <f>('National model results detailed'!E164/10^6)*(1-'Control Assumptions'!$C$16)</f>
        <v>0</v>
      </c>
      <c r="F88" s="169">
        <f>('National model results detailed'!F164/10^6)*(1-'Control Assumptions'!$C$16)</f>
        <v>0</v>
      </c>
      <c r="G88" s="169">
        <f>('National model results detailed'!G164/10^6)*(1-'Control Assumptions'!$C$16)</f>
        <v>-8.9303581458051277E-3</v>
      </c>
      <c r="H88" s="169">
        <f>('National model results detailed'!H164/10^6)*(1-'Control Assumptions'!$C$16)</f>
        <v>-7.8832318480050474E-3</v>
      </c>
      <c r="I88" s="169">
        <f>('National model results detailed'!I164/10^6)*(1-'Control Assumptions'!$C$16)</f>
        <v>-7.2946990999223291E-3</v>
      </c>
      <c r="J88" s="169">
        <f>('National model results detailed'!J164/10^6)*(1-'Control Assumptions'!$C$16)</f>
        <v>-7.0028078533312769E-3</v>
      </c>
      <c r="K88" s="169">
        <f>('National model results detailed'!K164/10^6)*(1-'Control Assumptions'!$C$16)</f>
        <v>-6.9155742968509369E-3</v>
      </c>
      <c r="L88" s="169">
        <f>('National model results detailed'!L164/10^6)*(1-'Control Assumptions'!$C$16)</f>
        <v>-6.9539840675209323E-3</v>
      </c>
      <c r="M88" s="169">
        <f>('National model results detailed'!M164/10^6)*(1-'Control Assumptions'!$C$16)</f>
        <v>-7.0713829403453009E-3</v>
      </c>
      <c r="N88" s="169">
        <f>('National model results detailed'!N164/10^6)*(1-'Control Assumptions'!$C$16)</f>
        <v>-7.2460999673582575E-3</v>
      </c>
      <c r="O88" s="169">
        <f>('National model results detailed'!O164/10^6)*(1-'Control Assumptions'!$C$16)</f>
        <v>-7.4513808394958223E-3</v>
      </c>
      <c r="P88" s="169">
        <f>('National model results detailed'!P164/10^6)*(1-'Control Assumptions'!$C$16)</f>
        <v>-7.6756921372085904E-3</v>
      </c>
      <c r="Q88" s="169">
        <f>('National model results detailed'!Q164/10^6)*(1-'Control Assumptions'!$C$16)</f>
        <v>-7.9145186778755046E-3</v>
      </c>
      <c r="R88" s="169">
        <f>('National model results detailed'!R164/10^6)*(1-'Control Assumptions'!$C$16)</f>
        <v>-8.1642411675961028E-3</v>
      </c>
      <c r="S88" s="169">
        <f>('National model results detailed'!S164/10^6)*(1-'Control Assumptions'!$C$16)</f>
        <v>-8.4224953157111815E-3</v>
      </c>
      <c r="T88" s="169">
        <f>('National model results detailed'!T164/10^6)*(1-'Control Assumptions'!$C$16)</f>
        <v>-8.6898859244396165E-3</v>
      </c>
      <c r="U88" s="169">
        <f>('National model results detailed'!U164/10^6)*(1-'Control Assumptions'!$C$16)</f>
        <v>-8.9704899780785208E-3</v>
      </c>
      <c r="V88" s="169">
        <f>('National model results detailed'!V164/10^6)*(1-'Control Assumptions'!$C$16)</f>
        <v>-9.2570847130436732E-3</v>
      </c>
      <c r="W88" s="169">
        <f>('National model results detailed'!W164/10^6)*(1-'Control Assumptions'!$C$16)</f>
        <v>-9.5485382339443089E-3</v>
      </c>
      <c r="X88" s="169">
        <f>('National model results detailed'!X164/10^6)*(1-'Control Assumptions'!$C$16)</f>
        <v>-9.84842715225661E-3</v>
      </c>
      <c r="Y88" s="169">
        <f>('National model results detailed'!Y164/10^6)*(1-'Control Assumptions'!$C$16)</f>
        <v>-1.0154323675156247E-2</v>
      </c>
      <c r="Z88" s="169">
        <f>('National model results detailed'!Z164/10^6)*(1-'Control Assumptions'!$C$16)</f>
        <v>-1.0465115151068745E-2</v>
      </c>
      <c r="AA88" s="169">
        <f>('National model results detailed'!AA164/10^6)*(1-'Control Assumptions'!$C$16)</f>
        <v>-1.0780265073726749E-2</v>
      </c>
      <c r="AB88" s="169">
        <f>('National model results detailed'!AB164/10^6)*(1-'Control Assumptions'!$C$16)</f>
        <v>-1.1101118683788609E-2</v>
      </c>
      <c r="AC88" s="169">
        <f>('National model results detailed'!AC164/10^6)*(1-'Control Assumptions'!$C$16)</f>
        <v>-1.1426138912423119E-2</v>
      </c>
      <c r="AD88" s="169">
        <f>('National model results detailed'!AD164/10^6)*(1-'Control Assumptions'!$C$16)</f>
        <v>-1.1753908152695378E-2</v>
      </c>
      <c r="AE88" s="169">
        <f>('National model results detailed'!AE164/10^6)*(1-'Control Assumptions'!$C$16)</f>
        <v>-1.2083475214123483E-2</v>
      </c>
      <c r="AF88" s="169">
        <f>('National model results detailed'!AF164/10^6)*(1-'Control Assumptions'!$C$16)</f>
        <v>-1.2415036870587771E-2</v>
      </c>
      <c r="AG88" s="169">
        <f>('National model results detailed'!AG164/10^6)*(1-'Control Assumptions'!$C$16)</f>
        <v>-1.2751077681939985E-2</v>
      </c>
      <c r="AH88" s="169">
        <f>('National model results detailed'!AH164/10^6)*(1-'Control Assumptions'!$C$16)</f>
        <v>-1.3091907995630621E-2</v>
      </c>
      <c r="AI88" s="169">
        <f>('National model results detailed'!AI164/10^6)*(1-'Control Assumptions'!$C$16)</f>
        <v>-1.3439289488397106E-2</v>
      </c>
      <c r="AJ88" s="169">
        <f>('National model results detailed'!AJ164/10^6)*(1-'Control Assumptions'!$C$16)</f>
        <v>-1.3792193569952805E-2</v>
      </c>
      <c r="AK88" s="169">
        <f>('National model results detailed'!AK164/10^6)*(1-'Control Assumptions'!$C$16)</f>
        <v>-1.4147860054759131E-2</v>
      </c>
      <c r="AL88" s="169">
        <f>('National model results detailed'!AL164/10^6)*(1-'Control Assumptions'!$C$16)</f>
        <v>-1.45048223958115E-2</v>
      </c>
      <c r="AM88" s="169">
        <f>('National model results detailed'!AM164/10^6)*(1-'Control Assumptions'!$C$16)</f>
        <v>-1.4861198734626806E-2</v>
      </c>
      <c r="AN88" s="169">
        <f>('National model results detailed'!AN164/10^6)*(1-'Control Assumptions'!$C$16)</f>
        <v>-1.5215813907830921E-2</v>
      </c>
      <c r="AO88" s="169">
        <f>('National model results detailed'!AO164/10^6)*(1-'Control Assumptions'!$C$16)</f>
        <v>-1.5567790248031082E-2</v>
      </c>
      <c r="AQ88"/>
    </row>
    <row r="89" spans="1:43" s="73" customFormat="1" ht="29">
      <c r="A89" s="802"/>
      <c r="B89" s="26" t="s">
        <v>2869</v>
      </c>
      <c r="C89" s="169">
        <f>('National model results detailed'!C165/10^6)*(1-'Control Assumptions'!$C$16)</f>
        <v>0</v>
      </c>
      <c r="D89" s="169">
        <f>('National model results detailed'!D165/10^6)*(1-'Control Assumptions'!$C$16)</f>
        <v>0</v>
      </c>
      <c r="E89" s="169">
        <f>('National model results detailed'!E165/10^6)*(1-'Control Assumptions'!$C$16)</f>
        <v>0</v>
      </c>
      <c r="F89" s="169">
        <f>('National model results detailed'!F165/10^6)*(1-'Control Assumptions'!$C$16)</f>
        <v>0</v>
      </c>
      <c r="G89" s="169">
        <f>('National model results detailed'!G165/10^6)*(1-'Control Assumptions'!$C$16)</f>
        <v>4.0697164503575564E-2</v>
      </c>
      <c r="H89" s="169">
        <f>('National model results detailed'!H165/10^6)*(1-'Control Assumptions'!$C$16)</f>
        <v>4.3824143460551863E-2</v>
      </c>
      <c r="I89" s="169">
        <f>('National model results detailed'!I165/10^6)*(1-'Control Assumptions'!$C$16)</f>
        <v>4.64966237371831E-2</v>
      </c>
      <c r="J89" s="169">
        <f>('National model results detailed'!J165/10^6)*(1-'Control Assumptions'!$C$16)</f>
        <v>4.8890255101668695E-2</v>
      </c>
      <c r="K89" s="169">
        <f>('National model results detailed'!K165/10^6)*(1-'Control Assumptions'!$C$16)</f>
        <v>5.1201838062321502E-2</v>
      </c>
      <c r="L89" s="169">
        <f>('National model results detailed'!L165/10^6)*(1-'Control Assumptions'!$C$16)</f>
        <v>5.3448011439208146E-2</v>
      </c>
      <c r="M89" s="169">
        <f>('National model results detailed'!M165/10^6)*(1-'Control Assumptions'!$C$16)</f>
        <v>5.5645055482855352E-2</v>
      </c>
      <c r="N89" s="169">
        <f>('National model results detailed'!N165/10^6)*(1-'Control Assumptions'!$C$16)</f>
        <v>5.7801413128172573E-2</v>
      </c>
      <c r="O89" s="169">
        <f>('National model results detailed'!O165/10^6)*(1-'Control Assumptions'!$C$16)</f>
        <v>5.9936105135514769E-2</v>
      </c>
      <c r="P89" s="169">
        <f>('National model results detailed'!P165/10^6)*(1-'Control Assumptions'!$C$16)</f>
        <v>6.2081244087862163E-2</v>
      </c>
      <c r="Q89" s="169">
        <f>('National model results detailed'!Q165/10^6)*(1-'Control Assumptions'!$C$16)</f>
        <v>6.4266082864259583E-2</v>
      </c>
      <c r="R89" s="169">
        <f>('National model results detailed'!R165/10^6)*(1-'Control Assumptions'!$C$16)</f>
        <v>6.6499170223891402E-2</v>
      </c>
      <c r="S89" s="169">
        <f>('National model results detailed'!S165/10^6)*(1-'Control Assumptions'!$C$16)</f>
        <v>6.8764634986517983E-2</v>
      </c>
      <c r="T89" s="169">
        <f>('National model results detailed'!T165/10^6)*(1-'Control Assumptions'!$C$16)</f>
        <v>7.1065636860215692E-2</v>
      </c>
      <c r="U89" s="169">
        <f>('National model results detailed'!U165/10^6)*(1-'Control Assumptions'!$C$16)</f>
        <v>7.3447454111272015E-2</v>
      </c>
      <c r="V89" s="169">
        <f>('National model results detailed'!V165/10^6)*(1-'Control Assumptions'!$C$16)</f>
        <v>7.5878681178596238E-2</v>
      </c>
      <c r="W89" s="169">
        <f>('National model results detailed'!W165/10^6)*(1-'Control Assumptions'!$C$16)</f>
        <v>7.8349504117297977E-2</v>
      </c>
      <c r="X89" s="169">
        <f>('National model results detailed'!X165/10^6)*(1-'Control Assumptions'!$C$16)</f>
        <v>8.0854728872016543E-2</v>
      </c>
      <c r="Y89" s="169">
        <f>('National model results detailed'!Y165/10^6)*(1-'Control Assumptions'!$C$16)</f>
        <v>8.3418347289289624E-2</v>
      </c>
      <c r="Z89" s="169">
        <f>('National model results detailed'!Z165/10^6)*(1-'Control Assumptions'!$C$16)</f>
        <v>8.6037875667565447E-2</v>
      </c>
      <c r="AA89" s="169">
        <f>('National model results detailed'!AA165/10^6)*(1-'Control Assumptions'!$C$16)</f>
        <v>8.8705840505804656E-2</v>
      </c>
      <c r="AB89" s="169">
        <f>('National model results detailed'!AB165/10^6)*(1-'Control Assumptions'!$C$16)</f>
        <v>9.1414296770067446E-2</v>
      </c>
      <c r="AC89" s="169">
        <f>('National model results detailed'!AC165/10^6)*(1-'Control Assumptions'!$C$16)</f>
        <v>9.4157809107811907E-2</v>
      </c>
      <c r="AD89" s="169">
        <f>('National model results detailed'!AD165/10^6)*(1-'Control Assumptions'!$C$16)</f>
        <v>9.6932276315179908E-2</v>
      </c>
      <c r="AE89" s="169">
        <f>('National model results detailed'!AE165/10^6)*(1-'Control Assumptions'!$C$16)</f>
        <v>9.9733219963361555E-2</v>
      </c>
      <c r="AF89" s="169">
        <f>('National model results detailed'!AF165/10^6)*(1-'Control Assumptions'!$C$16)</f>
        <v>0.10256413204411233</v>
      </c>
      <c r="AG89" s="169">
        <f>('National model results detailed'!AG165/10^6)*(1-'Control Assumptions'!$C$16)</f>
        <v>0.10544464650854836</v>
      </c>
      <c r="AH89" s="169">
        <f>('National model results detailed'!AH165/10^6)*(1-'Control Assumptions'!$C$16)</f>
        <v>0.1083772471285947</v>
      </c>
      <c r="AI89" s="169">
        <f>('National model results detailed'!AI165/10^6)*(1-'Control Assumptions'!$C$16)</f>
        <v>0.11136932047017041</v>
      </c>
      <c r="AJ89" s="169">
        <f>('National model results detailed'!AJ165/10^6)*(1-'Control Assumptions'!$C$16)</f>
        <v>0.11439560942125025</v>
      </c>
      <c r="AK89" s="169">
        <f>('National model results detailed'!AK165/10^6)*(1-'Control Assumptions'!$C$16)</f>
        <v>0.11743757193067034</v>
      </c>
      <c r="AL89" s="169">
        <f>('National model results detailed'!AL165/10^6)*(1-'Control Assumptions'!$C$16)</f>
        <v>0.12048088432607873</v>
      </c>
      <c r="AM89" s="169">
        <f>('National model results detailed'!AM165/10^6)*(1-'Control Assumptions'!$C$16)</f>
        <v>0.12353429293257202</v>
      </c>
      <c r="AN89" s="169">
        <f>('National model results detailed'!AN165/10^6)*(1-'Control Assumptions'!$C$16)</f>
        <v>0.1265991594259489</v>
      </c>
      <c r="AO89" s="169">
        <f>('National model results detailed'!AO165/10^6)*(1-'Control Assumptions'!$C$16)</f>
        <v>0.12967069472978415</v>
      </c>
      <c r="AQ89"/>
    </row>
    <row r="90" spans="1:43" s="73" customFormat="1" ht="29">
      <c r="A90" s="802"/>
      <c r="B90" s="26" t="s">
        <v>2870</v>
      </c>
      <c r="C90" s="169">
        <f>('National model results detailed'!C166/10^6)*(1-'Control Assumptions'!$C$16)</f>
        <v>0</v>
      </c>
      <c r="D90" s="169">
        <f>('National model results detailed'!D166/10^6)*(1-'Control Assumptions'!$C$16)</f>
        <v>0</v>
      </c>
      <c r="E90" s="169">
        <f>('National model results detailed'!E166/10^6)*(1-'Control Assumptions'!$C$16)</f>
        <v>0</v>
      </c>
      <c r="F90" s="169">
        <f>('National model results detailed'!F166/10^6)*(1-'Control Assumptions'!$C$16)</f>
        <v>0</v>
      </c>
      <c r="G90" s="169">
        <f>('National model results detailed'!G166/10^6)*(1-'Control Assumptions'!$C$16)</f>
        <v>9.9963771262352053E-3</v>
      </c>
      <c r="H90" s="169">
        <f>('National model results detailed'!H166/10^6)*(1-'Control Assumptions'!$C$16)</f>
        <v>1.4897680560623038E-2</v>
      </c>
      <c r="I90" s="169">
        <f>('National model results detailed'!I166/10^6)*(1-'Control Assumptions'!$C$16)</f>
        <v>1.8451177977941248E-2</v>
      </c>
      <c r="J90" s="169">
        <f>('National model results detailed'!J166/10^6)*(1-'Control Assumptions'!$C$16)</f>
        <v>2.1117162848637766E-2</v>
      </c>
      <c r="K90" s="169">
        <f>('National model results detailed'!K166/10^6)*(1-'Control Assumptions'!$C$16)</f>
        <v>2.3239376849128721E-2</v>
      </c>
      <c r="L90" s="169">
        <f>('National model results detailed'!L166/10^6)*(1-'Control Assumptions'!$C$16)</f>
        <v>2.5001324373416334E-2</v>
      </c>
      <c r="M90" s="169">
        <f>('National model results detailed'!M166/10^6)*(1-'Control Assumptions'!$C$16)</f>
        <v>2.6520422157912497E-2</v>
      </c>
      <c r="N90" s="169">
        <f>('National model results detailed'!N166/10^6)*(1-'Control Assumptions'!$C$16)</f>
        <v>2.7853635005907346E-2</v>
      </c>
      <c r="O90" s="169">
        <f>('National model results detailed'!O166/10^6)*(1-'Control Assumptions'!$C$16)</f>
        <v>2.9080371405489757E-2</v>
      </c>
      <c r="P90" s="169">
        <f>('National model results detailed'!P166/10^6)*(1-'Control Assumptions'!$C$16)</f>
        <v>3.0257020985403175E-2</v>
      </c>
      <c r="Q90" s="169">
        <f>('National model results detailed'!Q166/10^6)*(1-'Control Assumptions'!$C$16)</f>
        <v>3.142120765909466E-2</v>
      </c>
      <c r="R90" s="169">
        <f>('National model results detailed'!R166/10^6)*(1-'Control Assumptions'!$C$16)</f>
        <v>3.259086791730266E-2</v>
      </c>
      <c r="S90" s="169">
        <f>('National model results detailed'!S166/10^6)*(1-'Control Assumptions'!$C$16)</f>
        <v>3.3760257760981571E-2</v>
      </c>
      <c r="T90" s="169">
        <f>('National model results detailed'!T166/10^6)*(1-'Control Assumptions'!$C$16)</f>
        <v>3.4931778283262022E-2</v>
      </c>
      <c r="U90" s="169">
        <f>('National model results detailed'!U166/10^6)*(1-'Control Assumptions'!$C$16)</f>
        <v>3.6133880665832237E-2</v>
      </c>
      <c r="V90" s="169">
        <f>('National model results detailed'!V166/10^6)*(1-'Control Assumptions'!$C$16)</f>
        <v>3.7358085572844035E-2</v>
      </c>
      <c r="W90" s="169">
        <f>('National model results detailed'!W166/10^6)*(1-'Control Assumptions'!$C$16)</f>
        <v>3.8599668591842107E-2</v>
      </c>
      <c r="X90" s="169">
        <f>('National model results detailed'!X166/10^6)*(1-'Control Assumptions'!$C$16)</f>
        <v>3.9846213805167029E-2</v>
      </c>
      <c r="Y90" s="169">
        <f>('National model results detailed'!Y166/10^6)*(1-'Control Assumptions'!$C$16)</f>
        <v>4.112349322008136E-2</v>
      </c>
      <c r="Z90" s="169">
        <f>('National model results detailed'!Z166/10^6)*(1-'Control Assumptions'!$C$16)</f>
        <v>4.2432438293609626E-2</v>
      </c>
      <c r="AA90" s="169">
        <f>('National model results detailed'!AA166/10^6)*(1-'Control Assumptions'!$C$16)</f>
        <v>4.3768448294057717E-2</v>
      </c>
      <c r="AB90" s="169">
        <f>('National model results detailed'!AB166/10^6)*(1-'Control Assumptions'!$C$16)</f>
        <v>4.5121912314352496E-2</v>
      </c>
      <c r="AC90" s="169">
        <f>('National model results detailed'!AC166/10^6)*(1-'Control Assumptions'!$C$16)</f>
        <v>4.6492036903337669E-2</v>
      </c>
      <c r="AD90" s="169">
        <f>('National model results detailed'!AD166/10^6)*(1-'Control Assumptions'!$C$16)</f>
        <v>4.7878998831393856E-2</v>
      </c>
      <c r="AE90" s="169">
        <f>('National model results detailed'!AE166/10^6)*(1-'Control Assumptions'!$C$16)</f>
        <v>4.9281638593130263E-2</v>
      </c>
      <c r="AF90" s="169">
        <f>('National model results detailed'!AF166/10^6)*(1-'Control Assumptions'!$C$16)</f>
        <v>5.0702671966677215E-2</v>
      </c>
      <c r="AG90" s="169">
        <f>('National model results detailed'!AG166/10^6)*(1-'Control Assumptions'!$C$16)</f>
        <v>5.2152617284101074E-2</v>
      </c>
      <c r="AH90" s="169">
        <f>('National model results detailed'!AH166/10^6)*(1-'Control Assumptions'!$C$16)</f>
        <v>5.3632738086140434E-2</v>
      </c>
      <c r="AI90" s="169">
        <f>('National model results detailed'!AI166/10^6)*(1-'Control Assumptions'!$C$16)</f>
        <v>5.5144837900056747E-2</v>
      </c>
      <c r="AJ90" s="169">
        <f>('National model results detailed'!AJ166/10^6)*(1-'Control Assumptions'!$C$16)</f>
        <v>5.6670175902738755E-2</v>
      </c>
      <c r="AK90" s="169">
        <f>('National model results detailed'!AK166/10^6)*(1-'Control Assumptions'!$C$16)</f>
        <v>5.8199871607219365E-2</v>
      </c>
      <c r="AL90" s="169">
        <f>('National model results detailed'!AL166/10^6)*(1-'Control Assumptions'!$C$16)</f>
        <v>5.9725707667242001E-2</v>
      </c>
      <c r="AM90" s="169">
        <f>('National model results detailed'!AM166/10^6)*(1-'Control Assumptions'!$C$16)</f>
        <v>6.1259753923150008E-2</v>
      </c>
      <c r="AN90" s="169">
        <f>('National model results detailed'!AN166/10^6)*(1-'Control Assumptions'!$C$16)</f>
        <v>6.2806421762897871E-2</v>
      </c>
      <c r="AO90" s="169">
        <f>('National model results detailed'!AO166/10^6)*(1-'Control Assumptions'!$C$16)</f>
        <v>6.4364319818841539E-2</v>
      </c>
      <c r="AQ90"/>
    </row>
    <row r="91" spans="1:43" s="73" customFormat="1">
      <c r="A91" s="802"/>
      <c r="B91" s="26" t="s">
        <v>102</v>
      </c>
      <c r="C91" s="169">
        <f>('National model results detailed'!C167/10^6)*(1-'Control Assumptions'!$C$16)</f>
        <v>0</v>
      </c>
      <c r="D91" s="169">
        <f>('National model results detailed'!D167/10^6)*(1-'Control Assumptions'!$C$16)</f>
        <v>0</v>
      </c>
      <c r="E91" s="169">
        <f>('National model results detailed'!E167/10^6)*(1-'Control Assumptions'!$C$16)</f>
        <v>0</v>
      </c>
      <c r="F91" s="169">
        <f>('National model results detailed'!F167/10^6)*(1-'Control Assumptions'!$C$16)</f>
        <v>0</v>
      </c>
      <c r="G91" s="169">
        <f>('National model results detailed'!G167/10^6)*(1-'Control Assumptions'!$C$16)</f>
        <v>-1.5488640392827654E-2</v>
      </c>
      <c r="H91" s="169">
        <f>('National model results detailed'!H167/10^6)*(1-'Control Assumptions'!$C$16)</f>
        <v>-2.3431788583986399E-2</v>
      </c>
      <c r="I91" s="169">
        <f>('National model results detailed'!I167/10^6)*(1-'Control Assumptions'!$C$16)</f>
        <v>-3.1437157162034636E-2</v>
      </c>
      <c r="J91" s="169">
        <f>('National model results detailed'!J167/10^6)*(1-'Control Assumptions'!$C$16)</f>
        <v>-3.9620074916843002E-2</v>
      </c>
      <c r="K91" s="169">
        <f>('National model results detailed'!K167/10^6)*(1-'Control Assumptions'!$C$16)</f>
        <v>-4.8085571299036844E-2</v>
      </c>
      <c r="L91" s="169">
        <f>('National model results detailed'!L167/10^6)*(1-'Control Assumptions'!$C$16)</f>
        <v>-5.6888691410262558E-2</v>
      </c>
      <c r="M91" s="169">
        <f>('National model results detailed'!M167/10^6)*(1-'Control Assumptions'!$C$16)</f>
        <v>-6.6071673581578061E-2</v>
      </c>
      <c r="N91" s="169">
        <f>('National model results detailed'!N167/10^6)*(1-'Control Assumptions'!$C$16)</f>
        <v>-7.5678801901810464E-2</v>
      </c>
      <c r="O91" s="169">
        <f>('National model results detailed'!O167/10^6)*(1-'Control Assumptions'!$C$16)</f>
        <v>-8.5727270346076107E-2</v>
      </c>
      <c r="P91" s="169">
        <f>('National model results detailed'!P167/10^6)*(1-'Control Assumptions'!$C$16)</f>
        <v>-9.623642382375712E-2</v>
      </c>
      <c r="Q91" s="169">
        <f>('National model results detailed'!Q167/10^6)*(1-'Control Assumptions'!$C$16)</f>
        <v>-0.1072276058645702</v>
      </c>
      <c r="R91" s="169">
        <f>('National model results detailed'!R167/10^6)*(1-'Control Assumptions'!$C$16)</f>
        <v>-0.1070163200741116</v>
      </c>
      <c r="S91" s="169">
        <f>('National model results detailed'!S167/10^6)*(1-'Control Assumptions'!$C$16)</f>
        <v>-0.10817824482610552</v>
      </c>
      <c r="T91" s="169">
        <f>('National model results detailed'!T167/10^6)*(1-'Control Assumptions'!$C$16)</f>
        <v>-0.11026850481609313</v>
      </c>
      <c r="U91" s="169">
        <f>('National model results detailed'!U167/10^6)*(1-'Control Assumptions'!$C$16)</f>
        <v>-0.11300311558820242</v>
      </c>
      <c r="V91" s="169">
        <f>('National model results detailed'!V167/10^6)*(1-'Control Assumptions'!$C$16)</f>
        <v>-0.11616793412212104</v>
      </c>
      <c r="W91" s="169">
        <f>('National model results detailed'!W167/10^6)*(1-'Control Assumptions'!$C$16)</f>
        <v>-0.11963319332700771</v>
      </c>
      <c r="X91" s="169">
        <f>('National model results detailed'!X167/10^6)*(1-'Control Assumptions'!$C$16)</f>
        <v>-0.12332441571759793</v>
      </c>
      <c r="Y91" s="169">
        <f>('National model results detailed'!Y167/10^6)*(1-'Control Assumptions'!$C$16)</f>
        <v>-0.12718289745793349</v>
      </c>
      <c r="Z91" s="169">
        <f>('National model results detailed'!Z167/10^6)*(1-'Control Assumptions'!$C$16)</f>
        <v>-0.1311791790068973</v>
      </c>
      <c r="AA91" s="169">
        <f>('National model results detailed'!AA167/10^6)*(1-'Control Assumptions'!$C$16)</f>
        <v>-0.13529585166354183</v>
      </c>
      <c r="AB91" s="169">
        <f>('National model results detailed'!AB167/10^6)*(1-'Control Assumptions'!$C$16)</f>
        <v>-0.13952263522956534</v>
      </c>
      <c r="AC91" s="169">
        <f>('National model results detailed'!AC167/10^6)*(1-'Control Assumptions'!$C$16)</f>
        <v>-0.14384967001516558</v>
      </c>
      <c r="AD91" s="169">
        <f>('National model results detailed'!AD167/10^6)*(1-'Control Assumptions'!$C$16)</f>
        <v>-0.14826919442649458</v>
      </c>
      <c r="AE91" s="169">
        <f>('National model results detailed'!AE167/10^6)*(1-'Control Assumptions'!$C$16)</f>
        <v>-0.15277219744217252</v>
      </c>
      <c r="AF91" s="169">
        <f>('National model results detailed'!AF167/10^6)*(1-'Control Assumptions'!$C$16)</f>
        <v>-0.15734473190061773</v>
      </c>
      <c r="AG91" s="169">
        <f>('National model results detailed'!AG167/10^6)*(1-'Control Assumptions'!$C$16)</f>
        <v>-0.16198606064275603</v>
      </c>
      <c r="AH91" s="169">
        <f>('National model results detailed'!AH167/10^6)*(1-'Control Assumptions'!$C$16)</f>
        <v>-0.16669608553029033</v>
      </c>
      <c r="AI91" s="169">
        <f>('National model results detailed'!AI167/10^6)*(1-'Control Assumptions'!$C$16)</f>
        <v>-0.17147369693824746</v>
      </c>
      <c r="AJ91" s="169">
        <f>('National model results detailed'!AJ167/10^6)*(1-'Control Assumptions'!$C$16)</f>
        <v>-0.17631674244314532</v>
      </c>
      <c r="AK91" s="169">
        <f>('National model results detailed'!AK167/10^6)*(1-'Control Assumptions'!$C$16)</f>
        <v>-0.18122007963981446</v>
      </c>
      <c r="AL91" s="169">
        <f>('National model results detailed'!AL167/10^6)*(1-'Control Assumptions'!$C$16)</f>
        <v>-0.18617867165209742</v>
      </c>
      <c r="AM91" s="169">
        <f>('National model results detailed'!AM167/10^6)*(1-'Control Assumptions'!$C$16)</f>
        <v>-0.19118387018504698</v>
      </c>
      <c r="AN91" s="169">
        <f>('National model results detailed'!AN167/10^6)*(1-'Control Assumptions'!$C$16)</f>
        <v>-0.1962283701217786</v>
      </c>
      <c r="AO91" s="169">
        <f>('National model results detailed'!AO167/10^6)*(1-'Control Assumptions'!$C$16)</f>
        <v>-0.20130584468552967</v>
      </c>
      <c r="AQ91"/>
    </row>
    <row r="92" spans="1:43" s="73" customFormat="1">
      <c r="A92" s="802"/>
      <c r="B92" s="26" t="s">
        <v>2831</v>
      </c>
      <c r="C92" s="169">
        <f>('National model results detailed'!C168/10^6)*(1-'Control Assumptions'!$C$16)</f>
        <v>0</v>
      </c>
      <c r="D92" s="169">
        <f>('National model results detailed'!D168/10^6)*(1-'Control Assumptions'!$C$16)</f>
        <v>0</v>
      </c>
      <c r="E92" s="169">
        <f>('National model results detailed'!E168/10^6)*(1-'Control Assumptions'!$C$16)</f>
        <v>0</v>
      </c>
      <c r="F92" s="169">
        <f>('National model results detailed'!F168/10^6)*(1-'Control Assumptions'!$C$16)</f>
        <v>0</v>
      </c>
      <c r="G92" s="169">
        <f>('National model results detailed'!G168/10^6)*(1-'Control Assumptions'!$C$16)</f>
        <v>5.7915976857508648E-4</v>
      </c>
      <c r="H92" s="169">
        <f>('National model results detailed'!H168/10^6)*(1-'Control Assumptions'!$C$16)</f>
        <v>2.0383529685960151E-2</v>
      </c>
      <c r="I92" s="169">
        <f>('National model results detailed'!I168/10^6)*(1-'Control Assumptions'!$C$16)</f>
        <v>3.2384596290072988E-2</v>
      </c>
      <c r="J92" s="169">
        <f>('National model results detailed'!J168/10^6)*(1-'Control Assumptions'!$C$16)</f>
        <v>3.9170953207972814E-2</v>
      </c>
      <c r="K92" s="169">
        <f>('National model results detailed'!K168/10^6)*(1-'Control Assumptions'!$C$16)</f>
        <v>4.2543337790941972E-2</v>
      </c>
      <c r="L92" s="169">
        <f>('National model results detailed'!L168/10^6)*(1-'Control Assumptions'!$C$16)</f>
        <v>4.3576580896117108E-2</v>
      </c>
      <c r="M92" s="169">
        <f>('National model results detailed'!M168/10^6)*(1-'Control Assumptions'!$C$16)</f>
        <v>4.2932564498966153E-2</v>
      </c>
      <c r="N92" s="169">
        <f>('National model results detailed'!N168/10^6)*(1-'Control Assumptions'!$C$16)</f>
        <v>4.1033748820493571E-2</v>
      </c>
      <c r="O92" s="169">
        <f>('National model results detailed'!O168/10^6)*(1-'Control Assumptions'!$C$16)</f>
        <v>3.8196876346764032E-2</v>
      </c>
      <c r="P92" s="169">
        <f>('National model results detailed'!P168/10^6)*(1-'Control Assumptions'!$C$16)</f>
        <v>3.4695003866345116E-2</v>
      </c>
      <c r="Q92" s="169">
        <f>('National model results detailed'!Q168/10^6)*(1-'Control Assumptions'!$C$16)</f>
        <v>3.0689910801977607E-2</v>
      </c>
      <c r="R92" s="169">
        <f>('National model results detailed'!R168/10^6)*(1-'Control Assumptions'!$C$16)</f>
        <v>3.5377563273823534E-2</v>
      </c>
      <c r="S92" s="169">
        <f>('National model results detailed'!S168/10^6)*(1-'Control Assumptions'!$C$16)</f>
        <v>3.8997293791902296E-2</v>
      </c>
      <c r="T92" s="169">
        <f>('National model results detailed'!T168/10^6)*(1-'Control Assumptions'!$C$16)</f>
        <v>4.1893247312017344E-2</v>
      </c>
      <c r="U92" s="169">
        <f>('National model results detailed'!U168/10^6)*(1-'Control Assumptions'!$C$16)</f>
        <v>4.4394755010798238E-2</v>
      </c>
      <c r="V92" s="169">
        <f>('National model results detailed'!V168/10^6)*(1-'Control Assumptions'!$C$16)</f>
        <v>4.6657056763664974E-2</v>
      </c>
      <c r="W92" s="169">
        <f>('National model results detailed'!W168/10^6)*(1-'Control Assumptions'!$C$16)</f>
        <v>4.8762277880367168E-2</v>
      </c>
      <c r="X92" s="169">
        <f>('National model results detailed'!X168/10^6)*(1-'Control Assumptions'!$C$16)</f>
        <v>5.06945841551582E-2</v>
      </c>
      <c r="Y92" s="169">
        <f>('National model results detailed'!Y168/10^6)*(1-'Control Assumptions'!$C$16)</f>
        <v>5.2629507014038332E-2</v>
      </c>
      <c r="Z92" s="169">
        <f>('National model results detailed'!Z168/10^6)*(1-'Control Assumptions'!$C$16)</f>
        <v>5.4599131746407223E-2</v>
      </c>
      <c r="AA92" s="169">
        <f>('National model results detailed'!AA168/10^6)*(1-'Control Assumptions'!$C$16)</f>
        <v>5.6597866973728712E-2</v>
      </c>
      <c r="AB92" s="169">
        <f>('National model results detailed'!AB168/10^6)*(1-'Control Assumptions'!$C$16)</f>
        <v>5.8582865234546172E-2</v>
      </c>
      <c r="AC92" s="169">
        <f>('National model results detailed'!AC168/10^6)*(1-'Control Assumptions'!$C$16)</f>
        <v>6.0564569608278489E-2</v>
      </c>
      <c r="AD92" s="169">
        <f>('National model results detailed'!AD168/10^6)*(1-'Control Assumptions'!$C$16)</f>
        <v>6.2555732931877203E-2</v>
      </c>
      <c r="AE92" s="169">
        <f>('National model results detailed'!AE168/10^6)*(1-'Control Assumptions'!$C$16)</f>
        <v>6.4561836938407266E-2</v>
      </c>
      <c r="AF92" s="169">
        <f>('National model results detailed'!AF168/10^6)*(1-'Control Assumptions'!$C$16)</f>
        <v>6.6606397268568762E-2</v>
      </c>
      <c r="AG92" s="169">
        <f>('National model results detailed'!AG168/10^6)*(1-'Control Assumptions'!$C$16)</f>
        <v>6.8730291429919876E-2</v>
      </c>
      <c r="AH92" s="169">
        <f>('National model results detailed'!AH168/10^6)*(1-'Control Assumptions'!$C$16)</f>
        <v>7.0939290821160558E-2</v>
      </c>
      <c r="AI92" s="169">
        <f>('National model results detailed'!AI168/10^6)*(1-'Control Assumptions'!$C$16)</f>
        <v>7.3236519040660933E-2</v>
      </c>
      <c r="AJ92" s="169">
        <f>('National model results detailed'!AJ168/10^6)*(1-'Control Assumptions'!$C$16)</f>
        <v>7.553810884580546E-2</v>
      </c>
      <c r="AK92" s="169">
        <f>('National model results detailed'!AK168/10^6)*(1-'Control Assumptions'!$C$16)</f>
        <v>7.7816982787760669E-2</v>
      </c>
      <c r="AL92" s="169">
        <f>('National model results detailed'!AL168/10^6)*(1-'Control Assumptions'!$C$16)</f>
        <v>8.0042804434423021E-2</v>
      </c>
      <c r="AM92" s="169">
        <f>('National model results detailed'!AM168/10^6)*(1-'Control Assumptions'!$C$16)</f>
        <v>8.228950431347086E-2</v>
      </c>
      <c r="AN92" s="169">
        <f>('National model results detailed'!AN168/10^6)*(1-'Control Assumptions'!$C$16)</f>
        <v>8.4589757767648016E-2</v>
      </c>
      <c r="AO92" s="169">
        <f>('National model results detailed'!AO168/10^6)*(1-'Control Assumptions'!$C$16)</f>
        <v>8.694573025888469E-2</v>
      </c>
      <c r="AQ92"/>
    </row>
    <row r="93" spans="1:43" s="73" customFormat="1">
      <c r="A93" s="802"/>
      <c r="B93" s="26" t="s">
        <v>2832</v>
      </c>
      <c r="C93" s="169">
        <f>('National model results detailed'!C169/10^6)*(1-'Control Assumptions'!$C$16)</f>
        <v>0</v>
      </c>
      <c r="D93" s="169">
        <f>('National model results detailed'!D169/10^6)*(1-'Control Assumptions'!$C$16)</f>
        <v>0</v>
      </c>
      <c r="E93" s="169">
        <f>('National model results detailed'!E169/10^6)*(1-'Control Assumptions'!$C$16)</f>
        <v>0</v>
      </c>
      <c r="F93" s="169">
        <f>('National model results detailed'!F169/10^6)*(1-'Control Assumptions'!$C$16)</f>
        <v>0</v>
      </c>
      <c r="G93" s="169">
        <f>('National model results detailed'!G169/10^6)*(1-'Control Assumptions'!$C$16)</f>
        <v>6.8794523128186624E-2</v>
      </c>
      <c r="H93" s="169">
        <f>('National model results detailed'!H169/10^6)*(1-'Control Assumptions'!$C$16)</f>
        <v>7.3501725998787404E-2</v>
      </c>
      <c r="I93" s="169">
        <f>('National model results detailed'!I169/10^6)*(1-'Control Assumptions'!$C$16)</f>
        <v>7.7594915572873166E-2</v>
      </c>
      <c r="J93" s="169">
        <f>('National model results detailed'!J169/10^6)*(1-'Control Assumptions'!$C$16)</f>
        <v>8.1312110550415706E-2</v>
      </c>
      <c r="K93" s="169">
        <f>('National model results detailed'!K169/10^6)*(1-'Control Assumptions'!$C$16)</f>
        <v>8.4951552968487748E-2</v>
      </c>
      <c r="L93" s="169">
        <f>('National model results detailed'!L169/10^6)*(1-'Control Assumptions'!$C$16)</f>
        <v>8.8515153977681102E-2</v>
      </c>
      <c r="M93" s="169">
        <f>('National model results detailed'!M169/10^6)*(1-'Control Assumptions'!$C$16)</f>
        <v>9.2014481612049337E-2</v>
      </c>
      <c r="N93" s="169">
        <f>('National model results detailed'!N169/10^6)*(1-'Control Assumptions'!$C$16)</f>
        <v>9.5325713792325045E-2</v>
      </c>
      <c r="O93" s="169">
        <f>('National model results detailed'!O169/10^6)*(1-'Control Assumptions'!$C$16)</f>
        <v>9.859136463929008E-2</v>
      </c>
      <c r="P93" s="169">
        <f>('National model results detailed'!P169/10^6)*(1-'Control Assumptions'!$C$16)</f>
        <v>0.10186301534039052</v>
      </c>
      <c r="Q93" s="169">
        <f>('National model results detailed'!Q169/10^6)*(1-'Control Assumptions'!$C$16)</f>
        <v>0.10518936280268028</v>
      </c>
      <c r="R93" s="169">
        <f>('National model results detailed'!R169/10^6)*(1-'Control Assumptions'!$C$16)</f>
        <v>0.109580605417561</v>
      </c>
      <c r="S93" s="169">
        <f>('National model results detailed'!S169/10^6)*(1-'Control Assumptions'!$C$16)</f>
        <v>0.11394478093971691</v>
      </c>
      <c r="T93" s="169">
        <f>('National model results detailed'!T169/10^6)*(1-'Control Assumptions'!$C$16)</f>
        <v>0.11832549904589053</v>
      </c>
      <c r="U93" s="169">
        <f>('National model results detailed'!U169/10^6)*(1-'Control Assumptions'!$C$16)</f>
        <v>0.12282876174368977</v>
      </c>
      <c r="V93" s="169">
        <f>('National model results detailed'!V169/10^6)*(1-'Control Assumptions'!$C$16)</f>
        <v>0.12741602667319291</v>
      </c>
      <c r="W93" s="169">
        <f>('National model results detailed'!W169/10^6)*(1-'Control Assumptions'!$C$16)</f>
        <v>0.13208144634820021</v>
      </c>
      <c r="X93" s="169">
        <f>('National model results detailed'!X169/10^6)*(1-'Control Assumptions'!$C$16)</f>
        <v>0.13682386954077622</v>
      </c>
      <c r="Y93" s="169">
        <f>('National model results detailed'!Y169/10^6)*(1-'Control Assumptions'!$C$16)</f>
        <v>0.14169187131610123</v>
      </c>
      <c r="Z93" s="169">
        <f>('National model results detailed'!Z169/10^6)*(1-'Control Assumptions'!$C$16)</f>
        <v>0.14668456921589371</v>
      </c>
      <c r="AA93" s="169">
        <f>('National model results detailed'!AA169/10^6)*(1-'Control Assumptions'!$C$16)</f>
        <v>0.15179104485507394</v>
      </c>
      <c r="AB93" s="169">
        <f>('National model results detailed'!AB169/10^6)*(1-'Control Assumptions'!$C$16)</f>
        <v>0.15699914548393268</v>
      </c>
      <c r="AC93" s="169">
        <f>('National model results detailed'!AC169/10^6)*(1-'Control Assumptions'!$C$16)</f>
        <v>0.16230033661244569</v>
      </c>
      <c r="AD93" s="169">
        <f>('National model results detailed'!AD169/10^6)*(1-'Control Assumptions'!$C$16)</f>
        <v>0.16768833113520995</v>
      </c>
      <c r="AE93" s="169">
        <f>('National model results detailed'!AE169/10^6)*(1-'Control Assumptions'!$C$16)</f>
        <v>0.17315627536378153</v>
      </c>
      <c r="AF93" s="169">
        <f>('National model results detailed'!AF169/10^6)*(1-'Control Assumptions'!$C$16)</f>
        <v>0.17871253366093781</v>
      </c>
      <c r="AG93" s="169">
        <f>('National model results detailed'!AG169/10^6)*(1-'Control Assumptions'!$C$16)</f>
        <v>0.18439507071451749</v>
      </c>
      <c r="AH93" s="169">
        <f>('National model results detailed'!AH169/10^6)*(1-'Control Assumptions'!$C$16)</f>
        <v>0.19020973719912762</v>
      </c>
      <c r="AI93" s="169">
        <f>('National model results detailed'!AI169/10^6)*(1-'Control Assumptions'!$C$16)</f>
        <v>0.19617212104522735</v>
      </c>
      <c r="AJ93" s="169">
        <f>('National model results detailed'!AJ169/10^6)*(1-'Control Assumptions'!$C$16)</f>
        <v>0.2022359660705749</v>
      </c>
      <c r="AK93" s="169">
        <f>('National model results detailed'!AK169/10^6)*(1-'Control Assumptions'!$C$16)</f>
        <v>0.20836692765738818</v>
      </c>
      <c r="AL93" s="169">
        <f>('National model results detailed'!AL169/10^6)*(1-'Control Assumptions'!$C$16)</f>
        <v>0.21453856298105575</v>
      </c>
      <c r="AM93" s="169">
        <f>('National model results detailed'!AM169/10^6)*(1-'Control Assumptions'!$C$16)</f>
        <v>0.22076813013704341</v>
      </c>
      <c r="AN93" s="169">
        <f>('National model results detailed'!AN169/10^6)*(1-'Control Assumptions'!$C$16)</f>
        <v>0.22705908932579602</v>
      </c>
      <c r="AO93" s="169">
        <f>('National model results detailed'!AO169/10^6)*(1-'Control Assumptions'!$C$16)</f>
        <v>0.23340315208938292</v>
      </c>
      <c r="AQ93"/>
    </row>
    <row r="94" spans="1:43" s="73" customFormat="1">
      <c r="A94" s="802"/>
      <c r="B94" s="26" t="s">
        <v>2871</v>
      </c>
      <c r="C94" s="169">
        <f>('National model results detailed'!C170/10^6)*(1-'Control Assumptions'!$C$16)</f>
        <v>0</v>
      </c>
      <c r="D94" s="169">
        <f>('National model results detailed'!D170/10^6)*(1-'Control Assumptions'!$C$16)</f>
        <v>0</v>
      </c>
      <c r="E94" s="169">
        <f>('National model results detailed'!E170/10^6)*(1-'Control Assumptions'!$C$16)</f>
        <v>0</v>
      </c>
      <c r="F94" s="169">
        <f>('National model results detailed'!F170/10^6)*(1-'Control Assumptions'!$C$16)</f>
        <v>0</v>
      </c>
      <c r="G94" s="169">
        <f>('National model results detailed'!G170/10^6)*(1-'Control Assumptions'!$C$16)</f>
        <v>1.1360470136011589E-3</v>
      </c>
      <c r="H94" s="169">
        <f>('National model results detailed'!H170/10^6)*(1-'Control Assumptions'!$C$16)</f>
        <v>1.693059925286539E-3</v>
      </c>
      <c r="I94" s="169">
        <f>('National model results detailed'!I170/10^6)*(1-'Control Assumptions'!$C$16)</f>
        <v>2.0969002444146487E-3</v>
      </c>
      <c r="J94" s="169">
        <f>('National model results detailed'!J170/10^6)*(1-'Control Assumptions'!$C$16)</f>
        <v>2.3998784246507623E-3</v>
      </c>
      <c r="K94" s="169">
        <f>('National model results detailed'!K170/10^6)*(1-'Control Assumptions'!$C$16)</f>
        <v>2.6410592891814621E-3</v>
      </c>
      <c r="L94" s="169">
        <f>('National model results detailed'!L170/10^6)*(1-'Control Assumptions'!$C$16)</f>
        <v>2.8412973552139668E-3</v>
      </c>
      <c r="M94" s="169">
        <f>('National model results detailed'!M170/10^6)*(1-'Control Assumptions'!$C$16)</f>
        <v>3.0139365503595535E-3</v>
      </c>
      <c r="N94" s="169">
        <f>('National model results detailed'!N170/10^6)*(1-'Control Assumptions'!$C$16)</f>
        <v>3.1654506894654333E-3</v>
      </c>
      <c r="O94" s="169">
        <f>('National model results detailed'!O170/10^6)*(1-'Control Assumptions'!$C$16)</f>
        <v>3.3048642195496378E-3</v>
      </c>
      <c r="P94" s="169">
        <f>('National model results detailed'!P170/10^6)*(1-'Control Assumptions'!$C$16)</f>
        <v>3.4385855892454125E-3</v>
      </c>
      <c r="Q94" s="169">
        <f>('National model results detailed'!Q170/10^6)*(1-'Control Assumptions'!$C$16)</f>
        <v>3.5708906010731901E-3</v>
      </c>
      <c r="R94" s="169">
        <f>('National model results detailed'!R170/10^6)*(1-'Control Assumptions'!$C$16)</f>
        <v>3.7038176631963089E-3</v>
      </c>
      <c r="S94" s="169">
        <f>('National model results detailed'!S170/10^6)*(1-'Control Assumptions'!$C$16)</f>
        <v>3.8367139938239683E-3</v>
      </c>
      <c r="T94" s="169">
        <f>('National model results detailed'!T170/10^6)*(1-'Control Assumptions'!$C$16)</f>
        <v>3.9698524672831456E-3</v>
      </c>
      <c r="U94" s="169">
        <f>('National model results detailed'!U170/10^6)*(1-'Control Assumptions'!$C$16)</f>
        <v>4.1064664429781616E-3</v>
      </c>
      <c r="V94" s="169">
        <f>('National model results detailed'!V170/10^6)*(1-'Control Assumptions'!$C$16)</f>
        <v>4.2455922793770964E-3</v>
      </c>
      <c r="W94" s="169">
        <f>('National model results detailed'!W170/10^6)*(1-'Control Assumptions'!$C$16)</f>
        <v>4.3866930664981478E-3</v>
      </c>
      <c r="X94" s="169">
        <f>('National model results detailed'!X170/10^6)*(1-'Control Assumptions'!$C$16)</f>
        <v>4.5283577865295683E-3</v>
      </c>
      <c r="Y94" s="169">
        <f>('National model results detailed'!Y170/10^6)*(1-'Control Assumptions'!$C$16)</f>
        <v>4.673515321756948E-3</v>
      </c>
      <c r="Z94" s="169">
        <f>('National model results detailed'!Z170/10^6)*(1-'Control Assumptions'!$C$16)</f>
        <v>4.8222715284277681E-3</v>
      </c>
      <c r="AA94" s="169">
        <f>('National model results detailed'!AA170/10^6)*(1-'Control Assumptions'!$C$16)</f>
        <v>4.974103552368425E-3</v>
      </c>
      <c r="AB94" s="169">
        <f>('National model results detailed'!AB170/10^6)*(1-'Control Assumptions'!$C$16)</f>
        <v>5.1279191536463204E-3</v>
      </c>
      <c r="AC94" s="169">
        <f>('National model results detailed'!AC170/10^6)*(1-'Control Assumptions'!$C$16)</f>
        <v>5.2836281598114708E-3</v>
      </c>
      <c r="AD94" s="169">
        <f>('National model results detailed'!AD170/10^6)*(1-'Control Assumptions'!$C$16)</f>
        <v>5.4412506600882444E-3</v>
      </c>
      <c r="AE94" s="169">
        <f>('National model results detailed'!AE170/10^6)*(1-'Control Assumptions'!$C$16)</f>
        <v>5.6006548814732989E-3</v>
      </c>
      <c r="AF94" s="169">
        <f>('National model results detailed'!AF170/10^6)*(1-'Control Assumptions'!$C$16)</f>
        <v>5.7621494609453724E-3</v>
      </c>
      <c r="AG94" s="169">
        <f>('National model results detailed'!AG170/10^6)*(1-'Control Assumptions'!$C$16)</f>
        <v>5.9269297635433302E-3</v>
      </c>
      <c r="AH94" s="169">
        <f>('National model results detailed'!AH170/10^6)*(1-'Control Assumptions'!$C$16)</f>
        <v>6.0951393854585256E-3</v>
      </c>
      <c r="AI94" s="169">
        <f>('National model results detailed'!AI170/10^6)*(1-'Control Assumptions'!$C$16)</f>
        <v>6.2669832901225651E-3</v>
      </c>
      <c r="AJ94" s="169">
        <f>('National model results detailed'!AJ170/10^6)*(1-'Control Assumptions'!$C$16)</f>
        <v>6.4403316603167428E-3</v>
      </c>
      <c r="AK94" s="169">
        <f>('National model results detailed'!AK170/10^6)*(1-'Control Assumptions'!$C$16)</f>
        <v>6.6141752653396963E-3</v>
      </c>
      <c r="AL94" s="169">
        <f>('National model results detailed'!AL170/10^6)*(1-'Control Assumptions'!$C$16)</f>
        <v>6.787580237695566E-3</v>
      </c>
      <c r="AM94" s="169">
        <f>('National model results detailed'!AM170/10^6)*(1-'Control Assumptions'!$C$16)</f>
        <v>6.9619182649371105E-3</v>
      </c>
      <c r="AN94" s="169">
        <f>('National model results detailed'!AN170/10^6)*(1-'Control Assumptions'!$C$16)</f>
        <v>7.1376906831031976E-3</v>
      </c>
      <c r="AO94" s="169">
        <f>('National model results detailed'!AO170/10^6)*(1-'Control Assumptions'!$C$16)</f>
        <v>7.3147393690021047E-3</v>
      </c>
      <c r="AQ94"/>
    </row>
    <row r="95" spans="1:43">
      <c r="A95" s="19"/>
      <c r="B95" s="5" t="s">
        <v>3701</v>
      </c>
      <c r="C95" s="196">
        <f>SUM(C77:C94)</f>
        <v>0</v>
      </c>
      <c r="D95" s="196">
        <f t="shared" ref="D95:AO95" si="8">SUM(D77:D94)</f>
        <v>0</v>
      </c>
      <c r="E95" s="196">
        <f t="shared" si="8"/>
        <v>0</v>
      </c>
      <c r="F95" s="196">
        <f t="shared" si="8"/>
        <v>0</v>
      </c>
      <c r="G95" s="196">
        <f t="shared" si="8"/>
        <v>7.0099854356257471E-2</v>
      </c>
      <c r="H95" s="196">
        <f t="shared" si="8"/>
        <v>0.23060400414733681</v>
      </c>
      <c r="I95" s="196">
        <f t="shared" si="8"/>
        <v>0.33945622778137335</v>
      </c>
      <c r="J95" s="196">
        <f t="shared" si="8"/>
        <v>0.41443570902312238</v>
      </c>
      <c r="K95" s="196">
        <f t="shared" si="8"/>
        <v>0.4680040756666447</v>
      </c>
      <c r="L95" s="196">
        <f t="shared" si="8"/>
        <v>0.5075705308972448</v>
      </c>
      <c r="M95" s="196">
        <f t="shared" si="8"/>
        <v>0.53772938592956432</v>
      </c>
      <c r="N95" s="196">
        <f t="shared" si="8"/>
        <v>0.56060250305537529</v>
      </c>
      <c r="O95" s="196">
        <f t="shared" si="8"/>
        <v>0.57919680441922361</v>
      </c>
      <c r="P95" s="196">
        <f t="shared" si="8"/>
        <v>0.59544095865352975</v>
      </c>
      <c r="Q95" s="196">
        <f t="shared" si="8"/>
        <v>0.61053150159261083</v>
      </c>
      <c r="R95" s="196">
        <f t="shared" si="8"/>
        <v>0.64723619940303845</v>
      </c>
      <c r="S95" s="196">
        <f t="shared" si="8"/>
        <v>0.68167771210174277</v>
      </c>
      <c r="T95" s="196">
        <f t="shared" si="8"/>
        <v>0.71474793940569037</v>
      </c>
      <c r="U95" s="196">
        <f t="shared" si="8"/>
        <v>0.74777945155389791</v>
      </c>
      <c r="V95" s="196">
        <f t="shared" si="8"/>
        <v>0.78112308203614667</v>
      </c>
      <c r="W95" s="196">
        <f t="shared" si="8"/>
        <v>0.814920034731347</v>
      </c>
      <c r="X95" s="196">
        <f t="shared" si="8"/>
        <v>0.8488352592256464</v>
      </c>
      <c r="Y95" s="196">
        <f t="shared" si="8"/>
        <v>0.8838942935463967</v>
      </c>
      <c r="Z95" s="196">
        <f t="shared" si="8"/>
        <v>0.92024260750034692</v>
      </c>
      <c r="AA95" s="196">
        <f t="shared" si="8"/>
        <v>0.95780798366946385</v>
      </c>
      <c r="AB95" s="196">
        <f t="shared" si="8"/>
        <v>0.99628762401918991</v>
      </c>
      <c r="AC95" s="196">
        <f t="shared" si="8"/>
        <v>1.0357416756623721</v>
      </c>
      <c r="AD95" s="196">
        <f t="shared" si="8"/>
        <v>1.0762540991822418</v>
      </c>
      <c r="AE95" s="196">
        <f t="shared" si="8"/>
        <v>1.1178540517676845</v>
      </c>
      <c r="AF95" s="196">
        <f t="shared" si="8"/>
        <v>1.1606805977032133</v>
      </c>
      <c r="AG95" s="196">
        <f t="shared" si="8"/>
        <v>1.2050566750556837</v>
      </c>
      <c r="AH95" s="196">
        <f t="shared" si="8"/>
        <v>1.251059206513683</v>
      </c>
      <c r="AI95" s="196">
        <f t="shared" si="8"/>
        <v>1.2987496349079513</v>
      </c>
      <c r="AJ95" s="196">
        <f t="shared" si="8"/>
        <v>1.3475574565764787</v>
      </c>
      <c r="AK95" s="196">
        <f t="shared" si="8"/>
        <v>1.3972904177953585</v>
      </c>
      <c r="AL95" s="196">
        <f t="shared" si="8"/>
        <v>1.4477330513424944</v>
      </c>
      <c r="AM95" s="196">
        <f t="shared" si="8"/>
        <v>1.4993991143997405</v>
      </c>
      <c r="AN95" s="196">
        <f t="shared" si="8"/>
        <v>1.5525189188076867</v>
      </c>
      <c r="AO95" s="196">
        <f t="shared" si="8"/>
        <v>1.6071096810795009</v>
      </c>
    </row>
    <row r="96" spans="1:43">
      <c r="A96" s="19"/>
      <c r="B96" s="113"/>
      <c r="C96" s="739"/>
      <c r="D96" s="739"/>
      <c r="E96" s="739"/>
      <c r="F96" s="739"/>
      <c r="G96" s="739"/>
      <c r="H96" s="739"/>
      <c r="I96" s="739"/>
      <c r="J96" s="739"/>
      <c r="K96" s="739"/>
      <c r="L96" s="739"/>
      <c r="M96" s="739"/>
      <c r="N96" s="739"/>
      <c r="O96" s="739"/>
      <c r="P96" s="739"/>
      <c r="Q96" s="739"/>
      <c r="R96" s="739"/>
      <c r="S96" s="739"/>
      <c r="T96" s="739"/>
      <c r="U96" s="739"/>
      <c r="V96" s="739"/>
      <c r="W96" s="739"/>
      <c r="X96" s="739"/>
      <c r="Y96" s="739"/>
      <c r="Z96" s="739"/>
      <c r="AA96" s="739"/>
      <c r="AB96" s="739"/>
      <c r="AC96" s="739"/>
      <c r="AD96" s="739"/>
      <c r="AE96" s="739"/>
      <c r="AF96" s="739"/>
      <c r="AG96" s="739"/>
      <c r="AH96" s="739"/>
      <c r="AI96" s="739"/>
      <c r="AJ96" s="739"/>
      <c r="AK96" s="739"/>
      <c r="AL96" s="739"/>
      <c r="AM96" s="739"/>
      <c r="AN96" s="739"/>
      <c r="AO96" s="739"/>
    </row>
    <row r="98" spans="1:55">
      <c r="A98" t="s">
        <v>10</v>
      </c>
      <c r="B98" s="872" t="s">
        <v>3492</v>
      </c>
    </row>
    <row r="99" spans="1:55">
      <c r="B99" s="151" t="s">
        <v>3702</v>
      </c>
    </row>
    <row r="100" spans="1:55">
      <c r="B100" s="9"/>
    </row>
    <row r="101" spans="1:55">
      <c r="B101" s="84" t="s">
        <v>125</v>
      </c>
      <c r="C101" s="34">
        <f>'Implementation costs'!C16</f>
        <v>2020</v>
      </c>
      <c r="D101" s="34">
        <f>'Implementation costs'!D16</f>
        <v>2021</v>
      </c>
      <c r="E101" s="34">
        <f>'Implementation costs'!E16</f>
        <v>2022</v>
      </c>
      <c r="F101" s="34">
        <f>'Implementation costs'!F16</f>
        <v>2023</v>
      </c>
      <c r="G101" s="34">
        <f>'Implementation costs'!G16</f>
        <v>2024</v>
      </c>
      <c r="H101" s="34">
        <f>'Implementation costs'!H16</f>
        <v>2025</v>
      </c>
      <c r="I101" s="34">
        <f>'Implementation costs'!I16</f>
        <v>2026</v>
      </c>
      <c r="J101" s="34">
        <f>'Implementation costs'!J16</f>
        <v>2027</v>
      </c>
      <c r="K101" s="34">
        <f>'Implementation costs'!K16</f>
        <v>2028</v>
      </c>
      <c r="L101" s="34">
        <f>'Implementation costs'!L16</f>
        <v>2029</v>
      </c>
      <c r="M101" s="34">
        <f>'Implementation costs'!M16</f>
        <v>2030</v>
      </c>
      <c r="N101" s="34">
        <f>'Implementation costs'!N16</f>
        <v>2031</v>
      </c>
      <c r="O101" s="34">
        <f>'Implementation costs'!O16</f>
        <v>2032</v>
      </c>
      <c r="P101" s="34">
        <f>'Implementation costs'!P16</f>
        <v>2033</v>
      </c>
      <c r="Q101" s="34">
        <f>'Implementation costs'!Q16</f>
        <v>2034</v>
      </c>
      <c r="R101" s="34">
        <f>'Implementation costs'!R16</f>
        <v>2035</v>
      </c>
      <c r="S101" s="34">
        <f>'Implementation costs'!S16</f>
        <v>2036</v>
      </c>
      <c r="T101" s="34">
        <f>'Implementation costs'!T16</f>
        <v>2037</v>
      </c>
      <c r="U101" s="34">
        <f>'Implementation costs'!U16</f>
        <v>2038</v>
      </c>
      <c r="V101" s="34">
        <f>'Implementation costs'!V16</f>
        <v>2039</v>
      </c>
      <c r="W101" s="34">
        <f>'Implementation costs'!W16</f>
        <v>2040</v>
      </c>
      <c r="X101" s="34">
        <f>'Implementation costs'!X16</f>
        <v>2041</v>
      </c>
      <c r="Y101" s="34">
        <f>'Implementation costs'!Y16</f>
        <v>2042</v>
      </c>
      <c r="Z101" s="34">
        <f>'Implementation costs'!Z16</f>
        <v>2043</v>
      </c>
      <c r="AA101" s="34">
        <f>'Implementation costs'!AA16</f>
        <v>2044</v>
      </c>
      <c r="AB101" s="34">
        <f>'Implementation costs'!AB16</f>
        <v>2045</v>
      </c>
      <c r="AC101" s="34">
        <f>'Implementation costs'!AC16</f>
        <v>2046</v>
      </c>
      <c r="AD101" s="34">
        <f>'Implementation costs'!AD16</f>
        <v>2047</v>
      </c>
      <c r="AE101" s="34">
        <f>'Implementation costs'!AE16</f>
        <v>2048</v>
      </c>
      <c r="AF101" s="34">
        <f>'Implementation costs'!AF16</f>
        <v>2049</v>
      </c>
      <c r="AG101" s="34">
        <f>'Implementation costs'!AG16</f>
        <v>2050</v>
      </c>
      <c r="AH101" s="34">
        <f>'Implementation costs'!AH16</f>
        <v>2051</v>
      </c>
      <c r="AI101" s="34">
        <f>'Implementation costs'!AI16</f>
        <v>2052</v>
      </c>
      <c r="AJ101" s="34">
        <f>'Implementation costs'!AJ16</f>
        <v>2053</v>
      </c>
      <c r="AK101" s="34">
        <f>'Implementation costs'!AK16</f>
        <v>2054</v>
      </c>
      <c r="AL101" s="34">
        <f>'Implementation costs'!AL16</f>
        <v>2055</v>
      </c>
      <c r="AM101" s="34">
        <f>'Implementation costs'!AM16</f>
        <v>2056</v>
      </c>
      <c r="AN101" s="34">
        <f>'Implementation costs'!AN16</f>
        <v>2057</v>
      </c>
      <c r="AO101" s="34">
        <f>'Implementation costs'!AO16</f>
        <v>2058</v>
      </c>
    </row>
    <row r="102" spans="1:55">
      <c r="B102" s="431" t="str">
        <f>'Implementation costs'!B17</f>
        <v>Clinic set-up costs</v>
      </c>
      <c r="C102" s="553">
        <f>'Implementation costs'!C17</f>
        <v>0</v>
      </c>
      <c r="D102" s="553">
        <f>'Implementation costs'!D17</f>
        <v>2.7704640468649474E-4</v>
      </c>
      <c r="E102" s="553">
        <f>'Implementation costs'!E17</f>
        <v>0</v>
      </c>
      <c r="F102" s="553">
        <f>'Implementation costs'!F17</f>
        <v>0</v>
      </c>
      <c r="G102" s="553">
        <f>'Implementation costs'!G17</f>
        <v>0</v>
      </c>
      <c r="H102" s="553">
        <f>'Implementation costs'!H17</f>
        <v>0</v>
      </c>
      <c r="I102" s="553">
        <f>'Implementation costs'!I17</f>
        <v>0</v>
      </c>
      <c r="J102" s="553">
        <f>'Implementation costs'!J17</f>
        <v>0</v>
      </c>
      <c r="K102" s="761">
        <f>'Implementation costs'!K17</f>
        <v>0</v>
      </c>
      <c r="L102" s="761">
        <f>'Implementation costs'!L17</f>
        <v>0</v>
      </c>
      <c r="M102" s="761">
        <f>'Implementation costs'!M17</f>
        <v>0</v>
      </c>
      <c r="N102" s="553">
        <f>'Implementation costs'!N17</f>
        <v>0</v>
      </c>
      <c r="O102" s="553">
        <f>'Implementation costs'!O17</f>
        <v>0</v>
      </c>
      <c r="P102" s="553">
        <f>'Implementation costs'!P17</f>
        <v>0</v>
      </c>
      <c r="Q102" s="553">
        <f>'Implementation costs'!Q17</f>
        <v>0</v>
      </c>
      <c r="R102" s="553">
        <f>'Implementation costs'!R17</f>
        <v>0</v>
      </c>
      <c r="S102" s="553">
        <f>'Implementation costs'!S17</f>
        <v>0</v>
      </c>
      <c r="T102" s="553">
        <f>'Implementation costs'!T17</f>
        <v>0</v>
      </c>
      <c r="U102" s="553">
        <f>'Implementation costs'!U17</f>
        <v>0</v>
      </c>
      <c r="V102" s="553">
        <f>'Implementation costs'!V17</f>
        <v>0</v>
      </c>
      <c r="W102" s="553">
        <f>'Implementation costs'!W17</f>
        <v>0</v>
      </c>
      <c r="X102" s="553">
        <f>'Implementation costs'!X17</f>
        <v>0</v>
      </c>
      <c r="Y102" s="553">
        <f>'Implementation costs'!Y17</f>
        <v>0</v>
      </c>
      <c r="Z102" s="553">
        <f>'Implementation costs'!Z17</f>
        <v>0</v>
      </c>
      <c r="AA102" s="553">
        <f>'Implementation costs'!AA17</f>
        <v>0</v>
      </c>
      <c r="AB102" s="553">
        <f>'Implementation costs'!AB17</f>
        <v>0</v>
      </c>
      <c r="AC102" s="553">
        <f>'Implementation costs'!AC17</f>
        <v>0</v>
      </c>
      <c r="AD102" s="553">
        <f>'Implementation costs'!AD17</f>
        <v>0</v>
      </c>
      <c r="AE102" s="553">
        <f>'Implementation costs'!AE17</f>
        <v>0</v>
      </c>
      <c r="AF102" s="553">
        <f>'Implementation costs'!AF17</f>
        <v>0</v>
      </c>
      <c r="AG102" s="553">
        <f>'Implementation costs'!AG17</f>
        <v>0</v>
      </c>
      <c r="AH102" s="553">
        <f>'Implementation costs'!AH17</f>
        <v>0</v>
      </c>
      <c r="AI102" s="553">
        <f>'Implementation costs'!AI17</f>
        <v>0</v>
      </c>
      <c r="AJ102" s="553">
        <f>'Implementation costs'!AJ17</f>
        <v>0</v>
      </c>
      <c r="AK102" s="553">
        <f>'Implementation costs'!AK17</f>
        <v>0</v>
      </c>
      <c r="AL102" s="553">
        <f>'Implementation costs'!AL17</f>
        <v>0</v>
      </c>
      <c r="AM102" s="553">
        <f>'Implementation costs'!AM17</f>
        <v>0</v>
      </c>
      <c r="AN102" s="553">
        <f>'Implementation costs'!AN17</f>
        <v>0</v>
      </c>
      <c r="AO102" s="553">
        <f>'Implementation costs'!AO17</f>
        <v>0</v>
      </c>
      <c r="BC102" s="151"/>
    </row>
    <row r="103" spans="1:55">
      <c r="B103" s="431" t="str">
        <f>'Implementation costs'!B18</f>
        <v>Clinic running costs</v>
      </c>
      <c r="C103" s="553">
        <f>'Implementation costs'!C18</f>
        <v>0</v>
      </c>
      <c r="D103" s="553">
        <f>'Implementation costs'!D18</f>
        <v>1.0451357477557769E-2</v>
      </c>
      <c r="E103" s="553">
        <f>'Implementation costs'!E18</f>
        <v>2.2149589795299268E-2</v>
      </c>
      <c r="F103" s="553">
        <f>'Implementation costs'!F18</f>
        <v>3.5069929141069489E-2</v>
      </c>
      <c r="G103" s="553">
        <f>'Implementation costs'!G18</f>
        <v>3.6924698986661564E-2</v>
      </c>
      <c r="H103" s="553">
        <f>'Implementation costs'!H18</f>
        <v>3.4558984022198369E-2</v>
      </c>
      <c r="I103" s="553">
        <f>'Implementation costs'!I18</f>
        <v>3.3542819559036235E-2</v>
      </c>
      <c r="J103" s="553">
        <f>'Implementation costs'!J18</f>
        <v>3.342922377280886E-2</v>
      </c>
      <c r="K103" s="761">
        <f>'Implementation costs'!K18</f>
        <v>3.3974477308114988E-2</v>
      </c>
      <c r="L103" s="761">
        <f>'Implementation costs'!L18</f>
        <v>3.494357760075683E-2</v>
      </c>
      <c r="M103" s="761">
        <f>'Implementation costs'!M18</f>
        <v>3.6197353322011225E-2</v>
      </c>
      <c r="N103" s="553">
        <f>'Implementation costs'!N18</f>
        <v>3.7674442532610895E-2</v>
      </c>
      <c r="O103" s="553">
        <f>'Implementation costs'!O18</f>
        <v>3.9292407223439345E-2</v>
      </c>
      <c r="P103" s="553">
        <f>'Implementation costs'!P18</f>
        <v>4.1017781541400851E-2</v>
      </c>
      <c r="Q103" s="553">
        <f>'Implementation costs'!Q18</f>
        <v>4.283923374070471E-2</v>
      </c>
      <c r="R103" s="553">
        <f>'Implementation costs'!R18</f>
        <v>4.4746133338369229E-2</v>
      </c>
      <c r="S103" s="553">
        <f>'Implementation costs'!S18</f>
        <v>4.6730163385336879E-2</v>
      </c>
      <c r="T103" s="553">
        <f>'Implementation costs'!T18</f>
        <v>4.8795339401897411E-2</v>
      </c>
      <c r="U103" s="553">
        <f>'Implementation costs'!U18</f>
        <v>5.0961683049174034E-2</v>
      </c>
      <c r="V103" s="553">
        <f>'Implementation costs'!V18</f>
        <v>5.3202973871521515E-2</v>
      </c>
      <c r="W103" s="553">
        <f>'Implementation costs'!W18</f>
        <v>5.5515771228404204E-2</v>
      </c>
      <c r="X103" s="553">
        <f>'Implementation costs'!X18</f>
        <v>5.7914424564287789E-2</v>
      </c>
      <c r="Y103" s="553">
        <f>'Implementation costs'!Y18</f>
        <v>6.0394443269465532E-2</v>
      </c>
      <c r="Z103" s="553">
        <f>'Implementation costs'!Z18</f>
        <v>6.2953149769624794E-2</v>
      </c>
      <c r="AA103" s="553">
        <f>'Implementation costs'!AA18</f>
        <v>6.5589471449853928E-2</v>
      </c>
      <c r="AB103" s="553">
        <f>'Implementation costs'!AB18</f>
        <v>6.8309447983367369E-2</v>
      </c>
      <c r="AC103" s="553">
        <f>'Implementation costs'!AC18</f>
        <v>7.1109160002698207E-2</v>
      </c>
      <c r="AD103" s="553">
        <f>'Implementation costs'!AD18</f>
        <v>7.3984986627465499E-2</v>
      </c>
      <c r="AE103" s="553">
        <f>'Implementation costs'!AE18</f>
        <v>7.6934779190661398E-2</v>
      </c>
      <c r="AF103" s="553">
        <f>'Implementation costs'!AF18</f>
        <v>7.9961174824792952E-2</v>
      </c>
      <c r="AG103" s="553">
        <f>'Implementation costs'!AG18</f>
        <v>8.3076650854007381E-2</v>
      </c>
      <c r="AH103" s="553">
        <f>'Implementation costs'!AH18</f>
        <v>8.628437390791302E-2</v>
      </c>
      <c r="AI103" s="553">
        <f>'Implementation costs'!AI18</f>
        <v>8.9593469427445505E-2</v>
      </c>
      <c r="AJ103" s="553">
        <f>'Implementation costs'!AJ18</f>
        <v>9.3000346743021364E-2</v>
      </c>
      <c r="AK103" s="553">
        <f>'Implementation costs'!AK18</f>
        <v>9.6495644019961357E-2</v>
      </c>
      <c r="AL103" s="553">
        <f>'Implementation costs'!AL18</f>
        <v>0.10007508171137208</v>
      </c>
      <c r="AM103" s="553">
        <f>'Implementation costs'!AM18</f>
        <v>0.1037344465230203</v>
      </c>
      <c r="AN103" s="553">
        <f>'Implementation costs'!AN18</f>
        <v>0.10747095994719888</v>
      </c>
      <c r="AO103" s="553">
        <f>'Implementation costs'!AO18</f>
        <v>0.11128215049045462</v>
      </c>
      <c r="BC103" s="151"/>
    </row>
    <row r="104" spans="1:55">
      <c r="B104" s="431" t="str">
        <f>'Implementation costs'!B19</f>
        <v>Leg club running costs</v>
      </c>
      <c r="C104" s="553">
        <f>'Implementation costs'!C19</f>
        <v>0</v>
      </c>
      <c r="D104" s="553">
        <f>'Implementation costs'!D19</f>
        <v>2.3080448117885617E-3</v>
      </c>
      <c r="E104" s="553">
        <f>'Implementation costs'!E19</f>
        <v>4.8914455294501499E-3</v>
      </c>
      <c r="F104" s="553">
        <f>'Implementation costs'!F19</f>
        <v>7.7447325074897705E-3</v>
      </c>
      <c r="G104" s="553">
        <f>'Implementation costs'!G19</f>
        <v>8.1543340284762084E-3</v>
      </c>
      <c r="H104" s="553">
        <f>'Implementation costs'!H19</f>
        <v>7.6318969994467745E-3</v>
      </c>
      <c r="I104" s="553">
        <f>'Implementation costs'!I19</f>
        <v>7.4074904453544982E-3</v>
      </c>
      <c r="J104" s="553">
        <f>'Implementation costs'!J19</f>
        <v>7.3824043103135591E-3</v>
      </c>
      <c r="K104" s="761">
        <f>'Implementation costs'!K19</f>
        <v>7.5028163808005732E-3</v>
      </c>
      <c r="L104" s="761">
        <f>'Implementation costs'!L19</f>
        <v>7.7168294319604567E-3</v>
      </c>
      <c r="M104" s="761">
        <f>'Implementation costs'!M19</f>
        <v>7.9937093066371635E-3</v>
      </c>
      <c r="N104" s="553">
        <f>'Implementation costs'!N19</f>
        <v>8.3199050277570283E-3</v>
      </c>
      <c r="O104" s="553">
        <f>'Implementation costs'!O19</f>
        <v>8.6772112454749101E-3</v>
      </c>
      <c r="P104" s="553">
        <f>'Implementation costs'!P19</f>
        <v>9.0582374663763926E-3</v>
      </c>
      <c r="Q104" s="553">
        <f>'Implementation costs'!Q19</f>
        <v>9.4604812234721971E-3</v>
      </c>
      <c r="R104" s="553">
        <f>'Implementation costs'!R19</f>
        <v>9.8815949144393268E-3</v>
      </c>
      <c r="S104" s="553">
        <f>'Implementation costs'!S19</f>
        <v>1.0319741850487519E-2</v>
      </c>
      <c r="T104" s="553">
        <f>'Implementation costs'!T19</f>
        <v>1.0775808806448779E-2</v>
      </c>
      <c r="U104" s="553">
        <f>'Implementation costs'!U19</f>
        <v>1.1254217302798122E-2</v>
      </c>
      <c r="V104" s="553">
        <f>'Implementation costs'!V19</f>
        <v>1.1749176896835209E-2</v>
      </c>
      <c r="W104" s="553">
        <f>'Implementation costs'!W19</f>
        <v>1.2259927768359198E-2</v>
      </c>
      <c r="X104" s="553">
        <f>'Implementation costs'!X19</f>
        <v>1.2789638803414051E-2</v>
      </c>
      <c r="Y104" s="553">
        <f>'Implementation costs'!Y19</f>
        <v>1.3337318309919809E-2</v>
      </c>
      <c r="Z104" s="553">
        <f>'Implementation costs'!Z19</f>
        <v>1.3902374980812886E-2</v>
      </c>
      <c r="AA104" s="553">
        <f>'Implementation costs'!AA19</f>
        <v>1.4484571943200249E-2</v>
      </c>
      <c r="AB104" s="553">
        <f>'Implementation costs'!AB19</f>
        <v>1.5085242979459672E-2</v>
      </c>
      <c r="AC104" s="553">
        <f>'Implementation costs'!AC19</f>
        <v>1.5703522548845199E-2</v>
      </c>
      <c r="AD104" s="553">
        <f>'Implementation costs'!AD19</f>
        <v>1.6338611027557206E-2</v>
      </c>
      <c r="AE104" s="553">
        <f>'Implementation costs'!AE19</f>
        <v>1.6990033910752635E-2</v>
      </c>
      <c r="AF104" s="553">
        <f>'Implementation costs'!AF19</f>
        <v>1.7658373574454305E-2</v>
      </c>
      <c r="AG104" s="553">
        <f>'Implementation costs'!AG19</f>
        <v>1.8346385471561501E-2</v>
      </c>
      <c r="AH104" s="553">
        <f>'Implementation costs'!AH19</f>
        <v>1.9054768910566355E-2</v>
      </c>
      <c r="AI104" s="553">
        <f>'Implementation costs'!AI19</f>
        <v>1.9785539125054749E-2</v>
      </c>
      <c r="AJ104" s="553">
        <f>'Implementation costs'!AJ19</f>
        <v>2.0537903162884258E-2</v>
      </c>
      <c r="AK104" s="553">
        <f>'Implementation costs'!AK19</f>
        <v>2.1309793586020483E-2</v>
      </c>
      <c r="AL104" s="553">
        <f>'Implementation costs'!AL19</f>
        <v>2.210026531282926E-2</v>
      </c>
      <c r="AM104" s="553">
        <f>'Implementation costs'!AM19</f>
        <v>2.2908387892704878E-2</v>
      </c>
      <c r="AN104" s="553">
        <f>'Implementation costs'!AN19</f>
        <v>2.3733547728771356E-2</v>
      </c>
      <c r="AO104" s="553">
        <f>'Implementation costs'!AO19</f>
        <v>2.4575199024211927E-2</v>
      </c>
      <c r="BC104" s="151"/>
    </row>
    <row r="105" spans="1:55">
      <c r="B105" s="431" t="str">
        <f>'Implementation costs'!B20</f>
        <v>One-off training cost</v>
      </c>
      <c r="C105" s="553">
        <f>'Implementation costs'!C20</f>
        <v>0</v>
      </c>
      <c r="D105" s="553">
        <f>'Implementation costs'!D20</f>
        <v>1.4618702697872827E-3</v>
      </c>
      <c r="E105" s="553">
        <f>'Implementation costs'!E20</f>
        <v>1.4952009119384325E-3</v>
      </c>
      <c r="F105" s="553">
        <f>'Implementation costs'!F20</f>
        <v>1.5292914927306288E-3</v>
      </c>
      <c r="G105" s="553">
        <f>'Implementation costs'!G20</f>
        <v>0</v>
      </c>
      <c r="H105" s="553">
        <f>'Implementation costs'!H20</f>
        <v>0</v>
      </c>
      <c r="I105" s="553">
        <f>'Implementation costs'!I20</f>
        <v>0</v>
      </c>
      <c r="J105" s="553">
        <f>'Implementation costs'!J20</f>
        <v>0</v>
      </c>
      <c r="K105" s="761">
        <f>'Implementation costs'!K20</f>
        <v>0</v>
      </c>
      <c r="L105" s="761">
        <f>'Implementation costs'!L20</f>
        <v>0</v>
      </c>
      <c r="M105" s="761">
        <f>'Implementation costs'!M20</f>
        <v>0</v>
      </c>
      <c r="N105" s="553">
        <f>'Implementation costs'!N20</f>
        <v>0</v>
      </c>
      <c r="O105" s="553">
        <f>'Implementation costs'!O20</f>
        <v>0</v>
      </c>
      <c r="P105" s="553">
        <f>'Implementation costs'!P20</f>
        <v>0</v>
      </c>
      <c r="Q105" s="553">
        <f>'Implementation costs'!Q20</f>
        <v>0</v>
      </c>
      <c r="R105" s="553">
        <f>'Implementation costs'!R20</f>
        <v>0</v>
      </c>
      <c r="S105" s="553">
        <f>'Implementation costs'!S20</f>
        <v>0</v>
      </c>
      <c r="T105" s="553">
        <f>'Implementation costs'!T20</f>
        <v>0</v>
      </c>
      <c r="U105" s="553">
        <f>'Implementation costs'!U20</f>
        <v>0</v>
      </c>
      <c r="V105" s="553">
        <f>'Implementation costs'!V20</f>
        <v>0</v>
      </c>
      <c r="W105" s="553">
        <f>'Implementation costs'!W20</f>
        <v>0</v>
      </c>
      <c r="X105" s="553">
        <f>'Implementation costs'!X20</f>
        <v>0</v>
      </c>
      <c r="Y105" s="553">
        <f>'Implementation costs'!Y20</f>
        <v>0</v>
      </c>
      <c r="Z105" s="553">
        <f>'Implementation costs'!Z20</f>
        <v>0</v>
      </c>
      <c r="AA105" s="553">
        <f>'Implementation costs'!AA20</f>
        <v>0</v>
      </c>
      <c r="AB105" s="553">
        <f>'Implementation costs'!AB20</f>
        <v>0</v>
      </c>
      <c r="AC105" s="553">
        <f>'Implementation costs'!AC20</f>
        <v>0</v>
      </c>
      <c r="AD105" s="553">
        <f>'Implementation costs'!AD20</f>
        <v>0</v>
      </c>
      <c r="AE105" s="553">
        <f>'Implementation costs'!AE20</f>
        <v>0</v>
      </c>
      <c r="AF105" s="553">
        <f>'Implementation costs'!AF20</f>
        <v>0</v>
      </c>
      <c r="AG105" s="553">
        <f>'Implementation costs'!AG20</f>
        <v>0</v>
      </c>
      <c r="AH105" s="553">
        <f>'Implementation costs'!AH20</f>
        <v>0</v>
      </c>
      <c r="AI105" s="553">
        <f>'Implementation costs'!AI20</f>
        <v>0</v>
      </c>
      <c r="AJ105" s="553">
        <f>'Implementation costs'!AJ20</f>
        <v>0</v>
      </c>
      <c r="AK105" s="553">
        <f>'Implementation costs'!AK20</f>
        <v>0</v>
      </c>
      <c r="AL105" s="553">
        <f>'Implementation costs'!AL20</f>
        <v>0</v>
      </c>
      <c r="AM105" s="553">
        <f>'Implementation costs'!AM20</f>
        <v>0</v>
      </c>
      <c r="AN105" s="553">
        <f>'Implementation costs'!AN20</f>
        <v>0</v>
      </c>
      <c r="AO105" s="553">
        <f>'Implementation costs'!AO20</f>
        <v>0</v>
      </c>
      <c r="BC105" s="151"/>
    </row>
    <row r="106" spans="1:55">
      <c r="B106" s="431" t="str">
        <f>'Implementation costs'!B21</f>
        <v>Annual training cost</v>
      </c>
      <c r="C106" s="553">
        <f>'Implementation costs'!C21</f>
        <v>0</v>
      </c>
      <c r="D106" s="553">
        <f>'Implementation costs'!D21</f>
        <v>0</v>
      </c>
      <c r="E106" s="553">
        <f>'Implementation costs'!E21</f>
        <v>0</v>
      </c>
      <c r="F106" s="553">
        <f>'Implementation costs'!F21</f>
        <v>0</v>
      </c>
      <c r="G106" s="553">
        <f>'Implementation costs'!G21</f>
        <v>1.7596792561104979E-4</v>
      </c>
      <c r="H106" s="553">
        <f>'Implementation costs'!H21</f>
        <v>1.7997999431498167E-4</v>
      </c>
      <c r="I106" s="553">
        <f>'Implementation costs'!I21</f>
        <v>1.8408353818536322E-4</v>
      </c>
      <c r="J106" s="553">
        <f>'Implementation costs'!J21</f>
        <v>1.8828064285598953E-4</v>
      </c>
      <c r="K106" s="761">
        <f>'Implementation costs'!K21</f>
        <v>1.9257344151310608E-4</v>
      </c>
      <c r="L106" s="761">
        <f>'Implementation costs'!L21</f>
        <v>1.9696411597960493E-4</v>
      </c>
      <c r="M106" s="761">
        <f>'Implementation costs'!M21</f>
        <v>2.0145489782393989E-4</v>
      </c>
      <c r="N106" s="553">
        <f>'Implementation costs'!N21</f>
        <v>2.0604806949432573E-4</v>
      </c>
      <c r="O106" s="553">
        <f>'Implementation costs'!O21</f>
        <v>2.1074596547879631E-4</v>
      </c>
      <c r="P106" s="553">
        <f>'Implementation costs'!P21</f>
        <v>2.1555097349171289E-4</v>
      </c>
      <c r="Q106" s="553">
        <f>'Implementation costs'!Q21</f>
        <v>2.2046553568732394E-4</v>
      </c>
      <c r="R106" s="553">
        <f>'Implementation costs'!R21</f>
        <v>2.2549214990099493E-4</v>
      </c>
      <c r="S106" s="553">
        <f>'Implementation costs'!S21</f>
        <v>2.3063337091873756E-4</v>
      </c>
      <c r="T106" s="553">
        <f>'Implementation costs'!T21</f>
        <v>2.3589181177568479E-4</v>
      </c>
      <c r="U106" s="553">
        <f>'Implementation costs'!U21</f>
        <v>2.412701450841704E-4</v>
      </c>
      <c r="V106" s="553">
        <f>'Implementation costs'!V21</f>
        <v>2.4677110439208944E-4</v>
      </c>
      <c r="W106" s="553">
        <f>'Implementation costs'!W21</f>
        <v>2.5239748557222909E-4</v>
      </c>
      <c r="X106" s="553">
        <f>'Implementation costs'!X21</f>
        <v>2.5815214824327588E-4</v>
      </c>
      <c r="Y106" s="553">
        <f>'Implementation costs'!Y21</f>
        <v>2.6403801722322254E-4</v>
      </c>
      <c r="Z106" s="553">
        <f>'Implementation costs'!Z21</f>
        <v>2.7005808401591201E-4</v>
      </c>
      <c r="AA106" s="553">
        <f>'Implementation costs'!AA21</f>
        <v>2.7621540833147482E-4</v>
      </c>
      <c r="AB106" s="553">
        <f>'Implementation costs'!AB21</f>
        <v>2.8251311964143242E-4</v>
      </c>
      <c r="AC106" s="553">
        <f>'Implementation costs'!AC21</f>
        <v>2.8895441876925702E-4</v>
      </c>
      <c r="AD106" s="553">
        <f>'Implementation costs'!AD21</f>
        <v>2.9554257951719604E-4</v>
      </c>
      <c r="AE106" s="553">
        <f>'Implementation costs'!AE21</f>
        <v>3.0228095033018812E-4</v>
      </c>
      <c r="AF106" s="553">
        <f>'Implementation costs'!AF21</f>
        <v>3.091729559977164E-4</v>
      </c>
      <c r="AG106" s="553">
        <f>'Implementation costs'!AG21</f>
        <v>3.1622209939446429E-4</v>
      </c>
      <c r="AH106" s="553">
        <f>'Implementation costs'!AH21</f>
        <v>3.2343196326065809E-4</v>
      </c>
      <c r="AI106" s="553">
        <f>'Implementation costs'!AI21</f>
        <v>3.3080621202300105E-4</v>
      </c>
      <c r="AJ106" s="553">
        <f>'Implementation costs'!AJ21</f>
        <v>3.3834859365712545E-4</v>
      </c>
      <c r="AK106" s="553">
        <f>'Implementation costs'!AK21</f>
        <v>3.4606294159250791E-4</v>
      </c>
      <c r="AL106" s="553">
        <f>'Implementation costs'!AL21</f>
        <v>3.53953176660817E-4</v>
      </c>
      <c r="AM106" s="553">
        <f>'Implementation costs'!AM21</f>
        <v>3.6202330908868358E-4</v>
      </c>
      <c r="AN106" s="553">
        <f>'Implementation costs'!AN21</f>
        <v>3.7027744053590563E-4</v>
      </c>
      <c r="AO106" s="553">
        <f>'Implementation costs'!AO21</f>
        <v>3.7871976618012425E-4</v>
      </c>
      <c r="BC106" s="151"/>
    </row>
    <row r="107" spans="1:55">
      <c r="B107" s="431" t="str">
        <f>'Implementation costs'!B22</f>
        <v>Programme management costs</v>
      </c>
      <c r="C107" s="553">
        <f>'Implementation costs'!C22</f>
        <v>0</v>
      </c>
      <c r="D107" s="553">
        <f>'Implementation costs'!D22</f>
        <v>0.12876827671894367</v>
      </c>
      <c r="E107" s="553">
        <f>'Implementation costs'!E22</f>
        <v>0.13170419342813558</v>
      </c>
      <c r="F107" s="553">
        <f>'Implementation costs'!F22</f>
        <v>0.13470704903829706</v>
      </c>
      <c r="G107" s="553">
        <f>'Implementation costs'!G22</f>
        <v>0</v>
      </c>
      <c r="H107" s="553">
        <f>'Implementation costs'!H22</f>
        <v>0</v>
      </c>
      <c r="I107" s="553">
        <f>'Implementation costs'!I22</f>
        <v>0</v>
      </c>
      <c r="J107" s="553">
        <f>'Implementation costs'!J22</f>
        <v>0</v>
      </c>
      <c r="K107" s="761">
        <f>'Implementation costs'!K22</f>
        <v>0</v>
      </c>
      <c r="L107" s="761">
        <f>'Implementation costs'!L22</f>
        <v>0</v>
      </c>
      <c r="M107" s="761">
        <f>'Implementation costs'!M22</f>
        <v>0</v>
      </c>
      <c r="N107" s="553">
        <f>'Implementation costs'!N22</f>
        <v>0</v>
      </c>
      <c r="O107" s="553">
        <f>'Implementation costs'!O22</f>
        <v>0</v>
      </c>
      <c r="P107" s="553">
        <f>'Implementation costs'!P22</f>
        <v>0</v>
      </c>
      <c r="Q107" s="553">
        <f>'Implementation costs'!Q22</f>
        <v>0</v>
      </c>
      <c r="R107" s="553">
        <f>'Implementation costs'!R22</f>
        <v>0</v>
      </c>
      <c r="S107" s="553">
        <f>'Implementation costs'!S22</f>
        <v>0</v>
      </c>
      <c r="T107" s="553">
        <f>'Implementation costs'!T22</f>
        <v>0</v>
      </c>
      <c r="U107" s="553">
        <f>'Implementation costs'!U22</f>
        <v>0</v>
      </c>
      <c r="V107" s="553">
        <f>'Implementation costs'!V22</f>
        <v>0</v>
      </c>
      <c r="W107" s="553">
        <f>'Implementation costs'!W22</f>
        <v>0</v>
      </c>
      <c r="X107" s="553">
        <f>'Implementation costs'!X22</f>
        <v>0</v>
      </c>
      <c r="Y107" s="553">
        <f>'Implementation costs'!Y22</f>
        <v>0</v>
      </c>
      <c r="Z107" s="553">
        <f>'Implementation costs'!Z22</f>
        <v>0</v>
      </c>
      <c r="AA107" s="553">
        <f>'Implementation costs'!AA22</f>
        <v>0</v>
      </c>
      <c r="AB107" s="553">
        <f>'Implementation costs'!AB22</f>
        <v>0</v>
      </c>
      <c r="AC107" s="553">
        <f>'Implementation costs'!AC22</f>
        <v>0</v>
      </c>
      <c r="AD107" s="553">
        <f>'Implementation costs'!AD22</f>
        <v>0</v>
      </c>
      <c r="AE107" s="553">
        <f>'Implementation costs'!AE22</f>
        <v>0</v>
      </c>
      <c r="AF107" s="553">
        <f>'Implementation costs'!AF22</f>
        <v>0</v>
      </c>
      <c r="AG107" s="553">
        <f>'Implementation costs'!AG22</f>
        <v>0</v>
      </c>
      <c r="AH107" s="553">
        <f>'Implementation costs'!AH22</f>
        <v>0</v>
      </c>
      <c r="AI107" s="553">
        <f>'Implementation costs'!AI22</f>
        <v>0</v>
      </c>
      <c r="AJ107" s="553">
        <f>'Implementation costs'!AJ22</f>
        <v>0</v>
      </c>
      <c r="AK107" s="553">
        <f>'Implementation costs'!AK22</f>
        <v>0</v>
      </c>
      <c r="AL107" s="553">
        <f>'Implementation costs'!AL22</f>
        <v>0</v>
      </c>
      <c r="AM107" s="553">
        <f>'Implementation costs'!AM22</f>
        <v>0</v>
      </c>
      <c r="AN107" s="553">
        <f>'Implementation costs'!AN22</f>
        <v>0</v>
      </c>
      <c r="AO107" s="553">
        <f>'Implementation costs'!AO22</f>
        <v>0</v>
      </c>
      <c r="BC107" s="151"/>
    </row>
    <row r="108" spans="1:55">
      <c r="B108" s="431" t="str">
        <f>'Implementation costs'!B23</f>
        <v>Monitor and evaluation costs</v>
      </c>
      <c r="C108" s="553">
        <f>'Implementation costs'!C23</f>
        <v>0</v>
      </c>
      <c r="D108" s="553">
        <f>'Implementation costs'!D23</f>
        <v>0</v>
      </c>
      <c r="E108" s="553">
        <f>'Implementation costs'!E23</f>
        <v>0</v>
      </c>
      <c r="F108" s="553">
        <f>'Implementation costs'!F23</f>
        <v>0</v>
      </c>
      <c r="G108" s="553">
        <f>'Implementation costs'!G23</f>
        <v>0</v>
      </c>
      <c r="H108" s="553">
        <f>'Implementation costs'!H23</f>
        <v>0</v>
      </c>
      <c r="I108" s="553">
        <f>'Implementation costs'!I23</f>
        <v>0</v>
      </c>
      <c r="J108" s="553">
        <f>'Implementation costs'!J23</f>
        <v>0</v>
      </c>
      <c r="K108" s="761">
        <f>'Implementation costs'!K23</f>
        <v>0</v>
      </c>
      <c r="L108" s="761">
        <f>'Implementation costs'!L23</f>
        <v>0</v>
      </c>
      <c r="M108" s="761">
        <f>'Implementation costs'!M23</f>
        <v>0</v>
      </c>
      <c r="N108" s="553">
        <f>'Implementation costs'!N23</f>
        <v>1.1080069208305671E-2</v>
      </c>
      <c r="O108" s="553">
        <f>'Implementation costs'!O23</f>
        <v>1.1290590523263477E-2</v>
      </c>
      <c r="P108" s="553">
        <f>'Implementation costs'!P23</f>
        <v>1.1505111743205482E-2</v>
      </c>
      <c r="Q108" s="553">
        <f>'Implementation costs'!Q23</f>
        <v>0</v>
      </c>
      <c r="R108" s="553">
        <f>'Implementation costs'!R23</f>
        <v>0</v>
      </c>
      <c r="S108" s="553">
        <f>'Implementation costs'!S23</f>
        <v>0</v>
      </c>
      <c r="T108" s="553">
        <f>'Implementation costs'!T23</f>
        <v>0</v>
      </c>
      <c r="U108" s="553">
        <f>'Implementation costs'!U23</f>
        <v>0</v>
      </c>
      <c r="V108" s="553">
        <f>'Implementation costs'!V23</f>
        <v>0</v>
      </c>
      <c r="W108" s="553">
        <f>'Implementation costs'!W23</f>
        <v>0</v>
      </c>
      <c r="X108" s="553">
        <f>'Implementation costs'!X23</f>
        <v>0</v>
      </c>
      <c r="Y108" s="553">
        <f>'Implementation costs'!Y23</f>
        <v>0</v>
      </c>
      <c r="Z108" s="553">
        <f>'Implementation costs'!Z23</f>
        <v>0</v>
      </c>
      <c r="AA108" s="553">
        <f>'Implementation costs'!AA23</f>
        <v>0</v>
      </c>
      <c r="AB108" s="553">
        <f>'Implementation costs'!AB23</f>
        <v>0</v>
      </c>
      <c r="AC108" s="553">
        <f>'Implementation costs'!AC23</f>
        <v>0</v>
      </c>
      <c r="AD108" s="553">
        <f>'Implementation costs'!AD23</f>
        <v>0</v>
      </c>
      <c r="AE108" s="553">
        <f>'Implementation costs'!AE23</f>
        <v>0</v>
      </c>
      <c r="AF108" s="553">
        <f>'Implementation costs'!AF23</f>
        <v>0</v>
      </c>
      <c r="AG108" s="553">
        <f>'Implementation costs'!AG23</f>
        <v>0</v>
      </c>
      <c r="AH108" s="553">
        <f>'Implementation costs'!AH23</f>
        <v>0</v>
      </c>
      <c r="AI108" s="553">
        <f>'Implementation costs'!AI23</f>
        <v>0</v>
      </c>
      <c r="AJ108" s="553">
        <f>'Implementation costs'!AJ23</f>
        <v>0</v>
      </c>
      <c r="AK108" s="553">
        <f>'Implementation costs'!AK23</f>
        <v>0</v>
      </c>
      <c r="AL108" s="553">
        <f>'Implementation costs'!AL23</f>
        <v>0</v>
      </c>
      <c r="AM108" s="553">
        <f>'Implementation costs'!AM23</f>
        <v>0</v>
      </c>
      <c r="AN108" s="553">
        <f>'Implementation costs'!AN23</f>
        <v>0</v>
      </c>
      <c r="AO108" s="553">
        <f>'Implementation costs'!AO23</f>
        <v>0</v>
      </c>
      <c r="BC108" s="151"/>
    </row>
    <row r="109" spans="1:55">
      <c r="B109" s="431" t="str">
        <f>'Implementation costs'!B24</f>
        <v>Annual Data capture costs (software)</v>
      </c>
      <c r="C109" s="553">
        <f>'Implementation costs'!C24</f>
        <v>0</v>
      </c>
      <c r="D109" s="553">
        <f>'Implementation costs'!D24</f>
        <v>1.1473889049999996E-2</v>
      </c>
      <c r="E109" s="553">
        <f>'Implementation costs'!E24</f>
        <v>2.3383785883899989E-2</v>
      </c>
      <c r="F109" s="553">
        <f>'Implementation costs'!F24</f>
        <v>3.5742116723541134E-2</v>
      </c>
      <c r="G109" s="553">
        <f>'Implementation costs'!G24</f>
        <v>3.6421216941288415E-2</v>
      </c>
      <c r="H109" s="553">
        <f>'Implementation costs'!H24</f>
        <v>3.7113220063172893E-2</v>
      </c>
      <c r="I109" s="553">
        <f>'Implementation costs'!I24</f>
        <v>3.7818371244373171E-2</v>
      </c>
      <c r="J109" s="553">
        <f>'Implementation costs'!J24</f>
        <v>3.8536920298016253E-2</v>
      </c>
      <c r="K109" s="761">
        <f>'Implementation costs'!K24</f>
        <v>3.9269121783678557E-2</v>
      </c>
      <c r="L109" s="761">
        <f>'Implementation costs'!L24</f>
        <v>4.001523509756845E-2</v>
      </c>
      <c r="M109" s="761">
        <f>'Implementation costs'!M24</f>
        <v>4.0775524564422239E-2</v>
      </c>
      <c r="N109" s="553">
        <f>'Implementation costs'!N24</f>
        <v>4.1550259531146272E-2</v>
      </c>
      <c r="O109" s="553">
        <f>'Implementation costs'!O24</f>
        <v>4.233971446223804E-2</v>
      </c>
      <c r="P109" s="553">
        <f>'Implementation costs'!P24</f>
        <v>4.3144169037020563E-2</v>
      </c>
      <c r="Q109" s="553">
        <f>'Implementation costs'!Q24</f>
        <v>4.396390824872394E-2</v>
      </c>
      <c r="R109" s="553">
        <f>'Implementation costs'!R24</f>
        <v>4.4799222505449689E-2</v>
      </c>
      <c r="S109" s="553">
        <f>'Implementation costs'!S24</f>
        <v>4.5650407733053233E-2</v>
      </c>
      <c r="T109" s="553">
        <f>'Implementation costs'!T24</f>
        <v>4.6517765479981238E-2</v>
      </c>
      <c r="U109" s="553">
        <f>'Implementation costs'!U24</f>
        <v>4.7401603024100875E-2</v>
      </c>
      <c r="V109" s="553">
        <f>'Implementation costs'!V24</f>
        <v>4.8302233481558793E-2</v>
      </c>
      <c r="W109" s="553">
        <f>'Implementation costs'!W24</f>
        <v>4.9219975917708395E-2</v>
      </c>
      <c r="X109" s="553">
        <f>'Implementation costs'!X24</f>
        <v>5.0155155460144853E-2</v>
      </c>
      <c r="Y109" s="553">
        <f>'Implementation costs'!Y24</f>
        <v>5.1108103413887607E-2</v>
      </c>
      <c r="Z109" s="553">
        <f>'Implementation costs'!Z24</f>
        <v>5.2079157378751448E-2</v>
      </c>
      <c r="AA109" s="553">
        <f>'Implementation costs'!AA24</f>
        <v>5.306866136894773E-2</v>
      </c>
      <c r="AB109" s="553">
        <f>'Implementation costs'!AB24</f>
        <v>5.4076965934957727E-2</v>
      </c>
      <c r="AC109" s="553">
        <f>'Implementation costs'!AC24</f>
        <v>5.510442828772192E-2</v>
      </c>
      <c r="AD109" s="553">
        <f>'Implementation costs'!AD24</f>
        <v>5.6151412425188632E-2</v>
      </c>
      <c r="AE109" s="553">
        <f>'Implementation costs'!AE24</f>
        <v>5.7218289261267208E-2</v>
      </c>
      <c r="AF109" s="553">
        <f>'Implementation costs'!AF24</f>
        <v>5.830543675723128E-2</v>
      </c>
      <c r="AG109" s="553">
        <f>'Implementation costs'!AG24</f>
        <v>5.9413240055618669E-2</v>
      </c>
      <c r="AH109" s="553">
        <f>'Implementation costs'!AH24</f>
        <v>6.0542091616675425E-2</v>
      </c>
      <c r="AI109" s="553">
        <f>'Implementation costs'!AI24</f>
        <v>6.1692391357392254E-2</v>
      </c>
      <c r="AJ109" s="553">
        <f>'Implementation costs'!AJ24</f>
        <v>6.2864546793182693E-2</v>
      </c>
      <c r="AK109" s="553">
        <f>'Implementation costs'!AK24</f>
        <v>6.4058973182253162E-2</v>
      </c>
      <c r="AL109" s="553">
        <f>'Implementation costs'!AL24</f>
        <v>6.5276093672715946E-2</v>
      </c>
      <c r="AM109" s="553">
        <f>'Implementation costs'!AM24</f>
        <v>6.6516339452497547E-2</v>
      </c>
      <c r="AN109" s="553">
        <f>'Implementation costs'!AN24</f>
        <v>6.7780149902095008E-2</v>
      </c>
      <c r="AO109" s="553">
        <f>'Implementation costs'!AO24</f>
        <v>6.906797275023481E-2</v>
      </c>
      <c r="BC109" s="151"/>
    </row>
    <row r="110" spans="1:55">
      <c r="B110" s="431" t="str">
        <f>'Implementation costs'!B25</f>
        <v>One-off Data capture costs (hardware)</v>
      </c>
      <c r="C110" s="553">
        <f>'Implementation costs'!C25</f>
        <v>0</v>
      </c>
      <c r="D110" s="553">
        <f>'Implementation costs'!D25</f>
        <v>4.0546699098749985E-4</v>
      </c>
      <c r="E110" s="553">
        <f>'Implementation costs'!E25</f>
        <v>4.131708638162622E-4</v>
      </c>
      <c r="F110" s="553">
        <f>'Implementation costs'!F25</f>
        <v>4.210211102287712E-4</v>
      </c>
      <c r="G110" s="553">
        <f>'Implementation costs'!G25</f>
        <v>0</v>
      </c>
      <c r="H110" s="553">
        <f>'Implementation costs'!H25</f>
        <v>0</v>
      </c>
      <c r="I110" s="553">
        <f>'Implementation costs'!I25</f>
        <v>0</v>
      </c>
      <c r="J110" s="553">
        <f>'Implementation costs'!J25</f>
        <v>0</v>
      </c>
      <c r="K110" s="761">
        <f>'Implementation costs'!K25</f>
        <v>0</v>
      </c>
      <c r="L110" s="761">
        <f>'Implementation costs'!L25</f>
        <v>0</v>
      </c>
      <c r="M110" s="761">
        <f>'Implementation costs'!M25</f>
        <v>0</v>
      </c>
      <c r="N110" s="553">
        <f>'Implementation costs'!N25</f>
        <v>0</v>
      </c>
      <c r="O110" s="553">
        <f>'Implementation costs'!O25</f>
        <v>0</v>
      </c>
      <c r="P110" s="553">
        <f>'Implementation costs'!P25</f>
        <v>0</v>
      </c>
      <c r="Q110" s="553">
        <f>'Implementation costs'!Q25</f>
        <v>0</v>
      </c>
      <c r="R110" s="553">
        <f>'Implementation costs'!R25</f>
        <v>0</v>
      </c>
      <c r="S110" s="553">
        <f>'Implementation costs'!S25</f>
        <v>0</v>
      </c>
      <c r="T110" s="553">
        <f>'Implementation costs'!T25</f>
        <v>0</v>
      </c>
      <c r="U110" s="553">
        <f>'Implementation costs'!U25</f>
        <v>0</v>
      </c>
      <c r="V110" s="553">
        <f>'Implementation costs'!V25</f>
        <v>0</v>
      </c>
      <c r="W110" s="553">
        <f>'Implementation costs'!W25</f>
        <v>0</v>
      </c>
      <c r="X110" s="553">
        <f>'Implementation costs'!X25</f>
        <v>0</v>
      </c>
      <c r="Y110" s="553">
        <f>'Implementation costs'!Y25</f>
        <v>0</v>
      </c>
      <c r="Z110" s="553">
        <f>'Implementation costs'!Z25</f>
        <v>0</v>
      </c>
      <c r="AA110" s="553">
        <f>'Implementation costs'!AA25</f>
        <v>0</v>
      </c>
      <c r="AB110" s="553">
        <f>'Implementation costs'!AB25</f>
        <v>0</v>
      </c>
      <c r="AC110" s="553">
        <f>'Implementation costs'!AC25</f>
        <v>0</v>
      </c>
      <c r="AD110" s="553">
        <f>'Implementation costs'!AD25</f>
        <v>0</v>
      </c>
      <c r="AE110" s="553">
        <f>'Implementation costs'!AE25</f>
        <v>0</v>
      </c>
      <c r="AF110" s="553">
        <f>'Implementation costs'!AF25</f>
        <v>0</v>
      </c>
      <c r="AG110" s="553">
        <f>'Implementation costs'!AG25</f>
        <v>0</v>
      </c>
      <c r="AH110" s="553">
        <f>'Implementation costs'!AH25</f>
        <v>0</v>
      </c>
      <c r="AI110" s="553">
        <f>'Implementation costs'!AI25</f>
        <v>0</v>
      </c>
      <c r="AJ110" s="553">
        <f>'Implementation costs'!AJ25</f>
        <v>0</v>
      </c>
      <c r="AK110" s="553">
        <f>'Implementation costs'!AK25</f>
        <v>0</v>
      </c>
      <c r="AL110" s="553">
        <f>'Implementation costs'!AL25</f>
        <v>0</v>
      </c>
      <c r="AM110" s="553">
        <f>'Implementation costs'!AM25</f>
        <v>0</v>
      </c>
      <c r="AN110" s="553">
        <f>'Implementation costs'!AN25</f>
        <v>0</v>
      </c>
      <c r="AO110" s="553">
        <f>'Implementation costs'!AO25</f>
        <v>0</v>
      </c>
      <c r="BC110" s="151"/>
    </row>
    <row r="111" spans="1:55" s="9" customFormat="1">
      <c r="B111" s="458" t="s">
        <v>3697</v>
      </c>
      <c r="C111" s="554">
        <f>SUM(C102:C110)</f>
        <v>0</v>
      </c>
      <c r="D111" s="554">
        <f t="shared" ref="D111:AO111" si="9">SUM(D102:D110)</f>
        <v>0.15514595172375129</v>
      </c>
      <c r="E111" s="554">
        <f t="shared" si="9"/>
        <v>0.18403738641253969</v>
      </c>
      <c r="F111" s="554">
        <f t="shared" si="9"/>
        <v>0.21521414001335684</v>
      </c>
      <c r="G111" s="554">
        <f t="shared" si="9"/>
        <v>8.1676217882037244E-2</v>
      </c>
      <c r="H111" s="554">
        <f t="shared" si="9"/>
        <v>7.9484081079133018E-2</v>
      </c>
      <c r="I111" s="554">
        <f t="shared" si="9"/>
        <v>7.8952764786949264E-2</v>
      </c>
      <c r="J111" s="554">
        <f t="shared" si="9"/>
        <v>7.9536829023994671E-2</v>
      </c>
      <c r="K111" s="560">
        <f t="shared" si="9"/>
        <v>8.0938988914107224E-2</v>
      </c>
      <c r="L111" s="560">
        <f t="shared" si="9"/>
        <v>8.2872606246265329E-2</v>
      </c>
      <c r="M111" s="560">
        <f t="shared" si="9"/>
        <v>8.5168042090894569E-2</v>
      </c>
      <c r="N111" s="554">
        <f t="shared" si="9"/>
        <v>9.8830724369314199E-2</v>
      </c>
      <c r="O111" s="554">
        <f t="shared" si="9"/>
        <v>0.10181066941989457</v>
      </c>
      <c r="P111" s="554">
        <f t="shared" si="9"/>
        <v>0.10494085076149501</v>
      </c>
      <c r="Q111" s="554">
        <f t="shared" si="9"/>
        <v>9.6484088748588173E-2</v>
      </c>
      <c r="R111" s="554">
        <f t="shared" si="9"/>
        <v>9.9652442908159236E-2</v>
      </c>
      <c r="S111" s="554">
        <f t="shared" si="9"/>
        <v>0.10293094633979637</v>
      </c>
      <c r="T111" s="554">
        <f t="shared" si="9"/>
        <v>0.10632480550010312</v>
      </c>
      <c r="U111" s="554">
        <f t="shared" si="9"/>
        <v>0.10985877352115719</v>
      </c>
      <c r="V111" s="554">
        <f t="shared" si="9"/>
        <v>0.1135011553543076</v>
      </c>
      <c r="W111" s="554">
        <f t="shared" si="9"/>
        <v>0.11724807240004402</v>
      </c>
      <c r="X111" s="554">
        <f t="shared" si="9"/>
        <v>0.12111737097608996</v>
      </c>
      <c r="Y111" s="554">
        <f t="shared" si="9"/>
        <v>0.12510390301049618</v>
      </c>
      <c r="Z111" s="554">
        <f t="shared" si="9"/>
        <v>0.12920474021320505</v>
      </c>
      <c r="AA111" s="554">
        <f t="shared" si="9"/>
        <v>0.13341892017033338</v>
      </c>
      <c r="AB111" s="554">
        <f t="shared" si="9"/>
        <v>0.13775417001742618</v>
      </c>
      <c r="AC111" s="554">
        <f t="shared" si="9"/>
        <v>0.14220606525803459</v>
      </c>
      <c r="AD111" s="554">
        <f t="shared" si="9"/>
        <v>0.14677055265972855</v>
      </c>
      <c r="AE111" s="554">
        <f t="shared" si="9"/>
        <v>0.15144538331301144</v>
      </c>
      <c r="AF111" s="554">
        <f t="shared" si="9"/>
        <v>0.15623415811247626</v>
      </c>
      <c r="AG111" s="554">
        <f t="shared" si="9"/>
        <v>0.16115249848058202</v>
      </c>
      <c r="AH111" s="554">
        <f t="shared" si="9"/>
        <v>0.16620466639841547</v>
      </c>
      <c r="AI111" s="554">
        <f t="shared" si="9"/>
        <v>0.17140220612191551</v>
      </c>
      <c r="AJ111" s="554">
        <f t="shared" si="9"/>
        <v>0.17674114529274543</v>
      </c>
      <c r="AK111" s="554">
        <f t="shared" si="9"/>
        <v>0.18221047372982752</v>
      </c>
      <c r="AL111" s="554">
        <f t="shared" si="9"/>
        <v>0.18780539387357809</v>
      </c>
      <c r="AM111" s="554">
        <f t="shared" si="9"/>
        <v>0.19352119717731142</v>
      </c>
      <c r="AN111" s="554">
        <f t="shared" si="9"/>
        <v>0.19935493501860119</v>
      </c>
      <c r="AO111" s="554">
        <f t="shared" si="9"/>
        <v>0.20530404203108149</v>
      </c>
      <c r="AP111"/>
      <c r="AQ111"/>
      <c r="AR111"/>
      <c r="AS111"/>
      <c r="AT111"/>
      <c r="AU111"/>
      <c r="AV111"/>
      <c r="AW111"/>
      <c r="AX111"/>
      <c r="AY111"/>
      <c r="AZ111"/>
      <c r="BC111" s="191"/>
    </row>
    <row r="112" spans="1:55" s="9" customFormat="1">
      <c r="B112" s="685"/>
      <c r="C112" s="874"/>
      <c r="D112" s="874"/>
      <c r="E112" s="874"/>
      <c r="F112" s="874"/>
      <c r="G112" s="874"/>
      <c r="H112" s="874"/>
      <c r="I112" s="874"/>
      <c r="J112" s="874"/>
      <c r="K112" s="874"/>
      <c r="L112" s="874"/>
      <c r="M112" s="874"/>
      <c r="N112" s="874"/>
      <c r="O112" s="874"/>
      <c r="P112" s="874"/>
      <c r="Q112" s="874"/>
      <c r="R112" s="874"/>
      <c r="S112" s="874"/>
      <c r="T112" s="874"/>
      <c r="U112" s="874"/>
      <c r="V112" s="874"/>
      <c r="W112" s="874"/>
      <c r="X112" s="874"/>
      <c r="Y112" s="874"/>
      <c r="Z112" s="874"/>
      <c r="AA112" s="874"/>
      <c r="AB112" s="874"/>
      <c r="AC112" s="874"/>
      <c r="AD112" s="874"/>
      <c r="AE112" s="874"/>
      <c r="AF112" s="874"/>
      <c r="AG112" s="874"/>
      <c r="AH112" s="874"/>
      <c r="AI112" s="874"/>
      <c r="AJ112" s="874"/>
      <c r="AK112" s="874"/>
      <c r="AL112" s="874"/>
      <c r="AM112" s="874"/>
      <c r="AN112" s="874"/>
      <c r="AO112" s="874"/>
      <c r="AP112"/>
      <c r="AQ112"/>
      <c r="AR112"/>
      <c r="AS112"/>
      <c r="AT112"/>
      <c r="AU112"/>
      <c r="AV112"/>
      <c r="AW112"/>
      <c r="AX112"/>
      <c r="AY112"/>
      <c r="AZ112"/>
      <c r="BC112" s="191"/>
    </row>
    <row r="113" spans="1:55" s="9" customFormat="1">
      <c r="B113" s="685"/>
      <c r="C113" s="686"/>
      <c r="D113" s="686"/>
      <c r="E113" s="686"/>
      <c r="F113" s="686"/>
      <c r="G113" s="686"/>
      <c r="H113" s="686"/>
      <c r="I113" s="686"/>
      <c r="J113" s="686"/>
      <c r="K113" s="873"/>
      <c r="L113" s="873"/>
      <c r="M113" s="873"/>
      <c r="N113" s="686"/>
      <c r="O113" s="686"/>
      <c r="P113" s="686"/>
      <c r="Q113" s="686"/>
      <c r="R113" s="686"/>
      <c r="S113" s="686"/>
      <c r="T113" s="686"/>
      <c r="U113" s="686"/>
      <c r="V113" s="686"/>
      <c r="W113" s="686"/>
      <c r="X113" s="686"/>
      <c r="Y113" s="686"/>
      <c r="Z113" s="686"/>
      <c r="AA113" s="686"/>
      <c r="AB113" s="686"/>
      <c r="AC113" s="686"/>
      <c r="AD113" s="686"/>
      <c r="AE113" s="686"/>
      <c r="AF113" s="686"/>
      <c r="AG113" s="686"/>
      <c r="AH113" s="686"/>
      <c r="AI113" s="686"/>
      <c r="AJ113" s="686"/>
      <c r="AK113" s="686"/>
      <c r="AL113" s="686"/>
      <c r="AM113" s="686"/>
      <c r="AN113" s="686"/>
      <c r="AO113" s="686"/>
      <c r="AP113"/>
      <c r="AQ113"/>
      <c r="AR113"/>
      <c r="AS113"/>
      <c r="AT113"/>
      <c r="AU113"/>
      <c r="AV113"/>
      <c r="AW113"/>
      <c r="AX113"/>
      <c r="AY113"/>
      <c r="AZ113"/>
      <c r="BC113" s="191"/>
    </row>
    <row r="114" spans="1:55">
      <c r="A114" s="9" t="s">
        <v>10</v>
      </c>
      <c r="B114" s="9" t="s">
        <v>3700</v>
      </c>
    </row>
    <row r="115" spans="1:55">
      <c r="A115" s="9"/>
      <c r="B115" s="151" t="s">
        <v>3702</v>
      </c>
    </row>
    <row r="116" spans="1:55">
      <c r="A116" s="9"/>
      <c r="B116" s="151"/>
    </row>
    <row r="117" spans="1:55">
      <c r="B117" s="84" t="s">
        <v>3023</v>
      </c>
      <c r="C117" s="34">
        <f>C101</f>
        <v>2020</v>
      </c>
      <c r="D117" s="34">
        <f t="shared" ref="D117:AO117" si="10">D101</f>
        <v>2021</v>
      </c>
      <c r="E117" s="34">
        <f t="shared" si="10"/>
        <v>2022</v>
      </c>
      <c r="F117" s="34">
        <f t="shared" si="10"/>
        <v>2023</v>
      </c>
      <c r="G117" s="34">
        <f t="shared" si="10"/>
        <v>2024</v>
      </c>
      <c r="H117" s="34">
        <f t="shared" si="10"/>
        <v>2025</v>
      </c>
      <c r="I117" s="34">
        <f t="shared" si="10"/>
        <v>2026</v>
      </c>
      <c r="J117" s="34">
        <f t="shared" si="10"/>
        <v>2027</v>
      </c>
      <c r="K117" s="34">
        <f t="shared" si="10"/>
        <v>2028</v>
      </c>
      <c r="L117" s="34">
        <f t="shared" si="10"/>
        <v>2029</v>
      </c>
      <c r="M117" s="34">
        <f t="shared" si="10"/>
        <v>2030</v>
      </c>
      <c r="N117" s="34">
        <f t="shared" si="10"/>
        <v>2031</v>
      </c>
      <c r="O117" s="34">
        <f t="shared" si="10"/>
        <v>2032</v>
      </c>
      <c r="P117" s="34">
        <f t="shared" si="10"/>
        <v>2033</v>
      </c>
      <c r="Q117" s="34">
        <f t="shared" si="10"/>
        <v>2034</v>
      </c>
      <c r="R117" s="34">
        <f t="shared" si="10"/>
        <v>2035</v>
      </c>
      <c r="S117" s="34">
        <f t="shared" si="10"/>
        <v>2036</v>
      </c>
      <c r="T117" s="34">
        <f t="shared" si="10"/>
        <v>2037</v>
      </c>
      <c r="U117" s="34">
        <f t="shared" si="10"/>
        <v>2038</v>
      </c>
      <c r="V117" s="34">
        <f t="shared" si="10"/>
        <v>2039</v>
      </c>
      <c r="W117" s="34">
        <f t="shared" si="10"/>
        <v>2040</v>
      </c>
      <c r="X117" s="34">
        <f t="shared" si="10"/>
        <v>2041</v>
      </c>
      <c r="Y117" s="34">
        <f t="shared" si="10"/>
        <v>2042</v>
      </c>
      <c r="Z117" s="34">
        <f t="shared" si="10"/>
        <v>2043</v>
      </c>
      <c r="AA117" s="34">
        <f t="shared" si="10"/>
        <v>2044</v>
      </c>
      <c r="AB117" s="34">
        <f t="shared" si="10"/>
        <v>2045</v>
      </c>
      <c r="AC117" s="34">
        <f t="shared" si="10"/>
        <v>2046</v>
      </c>
      <c r="AD117" s="34">
        <f t="shared" si="10"/>
        <v>2047</v>
      </c>
      <c r="AE117" s="34">
        <f t="shared" si="10"/>
        <v>2048</v>
      </c>
      <c r="AF117" s="34">
        <f t="shared" si="10"/>
        <v>2049</v>
      </c>
      <c r="AG117" s="34">
        <f t="shared" si="10"/>
        <v>2050</v>
      </c>
      <c r="AH117" s="34">
        <f t="shared" si="10"/>
        <v>2051</v>
      </c>
      <c r="AI117" s="34">
        <f t="shared" si="10"/>
        <v>2052</v>
      </c>
      <c r="AJ117" s="34">
        <f t="shared" si="10"/>
        <v>2053</v>
      </c>
      <c r="AK117" s="34">
        <f t="shared" si="10"/>
        <v>2054</v>
      </c>
      <c r="AL117" s="34">
        <f t="shared" si="10"/>
        <v>2055</v>
      </c>
      <c r="AM117" s="34">
        <f t="shared" si="10"/>
        <v>2056</v>
      </c>
      <c r="AN117" s="34">
        <f t="shared" si="10"/>
        <v>2057</v>
      </c>
      <c r="AO117" s="34">
        <f t="shared" si="10"/>
        <v>2058</v>
      </c>
    </row>
    <row r="118" spans="1:55">
      <c r="B118" s="6" t="str">
        <f>'National model results detailed'!B190</f>
        <v>Non-cash releasing</v>
      </c>
      <c r="C118" s="6">
        <f>'National model results detailed'!C190/10^6</f>
        <v>0</v>
      </c>
      <c r="D118" s="6">
        <f>'National model results detailed'!D190/10^6</f>
        <v>0</v>
      </c>
      <c r="E118" s="6">
        <f>'National model results detailed'!E190/10^6</f>
        <v>0</v>
      </c>
      <c r="F118" s="6">
        <f>'National model results detailed'!F190/10^6</f>
        <v>0</v>
      </c>
      <c r="G118" s="6">
        <f>'National model results detailed'!G190/10^6</f>
        <v>8.6716375969201773E-2</v>
      </c>
      <c r="H118" s="6">
        <f>'National model results detailed'!H190/10^6</f>
        <v>0.12698816533141741</v>
      </c>
      <c r="I118" s="6">
        <f>'National model results detailed'!I190/10^6</f>
        <v>0.15434846764425006</v>
      </c>
      <c r="J118" s="6">
        <f>'National model results detailed'!J190/10^6</f>
        <v>0.17317814459215322</v>
      </c>
      <c r="K118" s="6">
        <f>'National model results detailed'!K190/10^6</f>
        <v>0.18669187363371134</v>
      </c>
      <c r="L118" s="6">
        <f>'National model results detailed'!L190/10^6</f>
        <v>0.19660959902389769</v>
      </c>
      <c r="M118" s="6">
        <f>'National model results detailed'!M190/10^6</f>
        <v>0.2040084126769674</v>
      </c>
      <c r="N118" s="6">
        <f>'National model results detailed'!N190/10^6</f>
        <v>0.20937846966072951</v>
      </c>
      <c r="O118" s="6">
        <f>'National model results detailed'!O190/10^6</f>
        <v>0.21344552040614168</v>
      </c>
      <c r="P118" s="6">
        <f>'National model results detailed'!P190/10^6</f>
        <v>0.21671164134893917</v>
      </c>
      <c r="Q118" s="6">
        <f>'National model results detailed'!Q190/10^6</f>
        <v>0.21950131408029319</v>
      </c>
      <c r="R118" s="6">
        <f>'National model results detailed'!R190/10^6</f>
        <v>0.23207781653183016</v>
      </c>
      <c r="S118" s="6">
        <f>'National model results detailed'!S190/10^6</f>
        <v>0.24357510477899572</v>
      </c>
      <c r="T118" s="6">
        <f>'National model results detailed'!T190/10^6</f>
        <v>0.25438643911632647</v>
      </c>
      <c r="U118" s="6">
        <f>'National model results detailed'!U190/10^6</f>
        <v>0.26502440638080832</v>
      </c>
      <c r="V118" s="6">
        <f>'National model results detailed'!V190/10^6</f>
        <v>0.27559397038849642</v>
      </c>
      <c r="W118" s="6">
        <f>'National model results detailed'!W190/10^6</f>
        <v>0.28615969827122967</v>
      </c>
      <c r="X118" s="6">
        <f>'National model results detailed'!X190/10^6</f>
        <v>0.2966618444115533</v>
      </c>
      <c r="Y118" s="6">
        <f>'National model results detailed'!Y190/10^6</f>
        <v>0.30740605399298254</v>
      </c>
      <c r="Z118" s="6">
        <f>'National model results detailed'!Z190/10^6</f>
        <v>0.318429328320327</v>
      </c>
      <c r="AA118" s="6">
        <f>'National model results detailed'!AA190/10^6</f>
        <v>0.32970325101352088</v>
      </c>
      <c r="AB118" s="6">
        <f>'National model results detailed'!AB190/10^6</f>
        <v>0.34114227634254324</v>
      </c>
      <c r="AC118" s="6">
        <f>'National model results detailed'!AC190/10^6</f>
        <v>0.35274909881152899</v>
      </c>
      <c r="AD118" s="6">
        <f>'National model results detailed'!AD190/10^6</f>
        <v>0.36453358494515919</v>
      </c>
      <c r="AE118" s="6">
        <f>'National model results detailed'!AE190/10^6</f>
        <v>0.37649281673032597</v>
      </c>
      <c r="AF118" s="6">
        <f>'National model results detailed'!AF190/10^6</f>
        <v>0.38866703179776879</v>
      </c>
      <c r="AG118" s="6">
        <f>'National model results detailed'!AG190/10^6</f>
        <v>0.40116388643189244</v>
      </c>
      <c r="AH118" s="6">
        <f>'National model results detailed'!AH190/10^6</f>
        <v>0.41399971737860519</v>
      </c>
      <c r="AI118" s="6">
        <f>'National model results detailed'!AI190/10^6</f>
        <v>0</v>
      </c>
      <c r="AJ118" s="6">
        <f>'National model results detailed'!AJ190/10^6</f>
        <v>0</v>
      </c>
      <c r="AK118" s="6">
        <f>'National model results detailed'!AK190/10^6</f>
        <v>0</v>
      </c>
      <c r="AL118" s="6">
        <f>'National model results detailed'!AL190/10^6</f>
        <v>0</v>
      </c>
      <c r="AM118" s="6">
        <f>'National model results detailed'!AM190/10^6</f>
        <v>0</v>
      </c>
      <c r="AN118" s="6">
        <f>'National model results detailed'!AN190/10^6</f>
        <v>0</v>
      </c>
      <c r="AO118" s="6">
        <f>'National model results detailed'!AO190/10^6</f>
        <v>0</v>
      </c>
    </row>
    <row r="119" spans="1:55">
      <c r="B119" s="6" t="str">
        <f>'National model results detailed'!B191</f>
        <v>Cash releasing</v>
      </c>
      <c r="C119" s="6">
        <f>'National model results detailed'!C191/10^6</f>
        <v>0</v>
      </c>
      <c r="D119" s="6">
        <f>'National model results detailed'!D191/10^6</f>
        <v>0</v>
      </c>
      <c r="E119" s="6">
        <f>'National model results detailed'!E191/10^6</f>
        <v>0</v>
      </c>
      <c r="F119" s="6">
        <f>'National model results detailed'!F191/10^6</f>
        <v>0</v>
      </c>
      <c r="G119" s="6">
        <f>'National model results detailed'!G191/10^6</f>
        <v>-1.6616521612944319E-2</v>
      </c>
      <c r="H119" s="6">
        <f>'National model results detailed'!H191/10^6</f>
        <v>0.10361583881591936</v>
      </c>
      <c r="I119" s="6">
        <f>'National model results detailed'!I191/10^6</f>
        <v>0.18510776013712327</v>
      </c>
      <c r="J119" s="6">
        <f>'National model results detailed'!J191/10^6</f>
        <v>0.2412575644309691</v>
      </c>
      <c r="K119" s="6">
        <f>'National model results detailed'!K191/10^6</f>
        <v>0.28131220203293328</v>
      </c>
      <c r="L119" s="6">
        <f>'National model results detailed'!L191/10^6</f>
        <v>0.31096093187334717</v>
      </c>
      <c r="M119" s="6">
        <f>'National model results detailed'!M191/10^6</f>
        <v>0.33372097325259698</v>
      </c>
      <c r="N119" s="6">
        <f>'National model results detailed'!N191/10^6</f>
        <v>0.35122403339464603</v>
      </c>
      <c r="O119" s="6">
        <f>'National model results detailed'!O191/10^6</f>
        <v>0.36575128401308182</v>
      </c>
      <c r="P119" s="6">
        <f>'National model results detailed'!P191/10^6</f>
        <v>0.37872931730459053</v>
      </c>
      <c r="Q119" s="6">
        <f>'National model results detailed'!Q191/10^6</f>
        <v>0.39103018751231761</v>
      </c>
      <c r="R119" s="6">
        <f>'National model results detailed'!R191/10^6</f>
        <v>0.41515838287120821</v>
      </c>
      <c r="S119" s="6">
        <f>'National model results detailed'!S191/10^6</f>
        <v>0.43810260732274703</v>
      </c>
      <c r="T119" s="6">
        <f>'National model results detailed'!T191/10^6</f>
        <v>0.46036150028936396</v>
      </c>
      <c r="U119" s="6">
        <f>'National model results detailed'!U191/10^6</f>
        <v>0.48275504517308943</v>
      </c>
      <c r="V119" s="6">
        <f>'National model results detailed'!V191/10^6</f>
        <v>0.50552911164765035</v>
      </c>
      <c r="W119" s="6">
        <f>'National model results detailed'!W191/10^6</f>
        <v>0.52876033646011711</v>
      </c>
      <c r="X119" s="6">
        <f>'National model results detailed'!X191/10^6</f>
        <v>0.55217341481409299</v>
      </c>
      <c r="Y119" s="6">
        <f>'National model results detailed'!Y191/10^6</f>
        <v>0.57648823955341433</v>
      </c>
      <c r="Z119" s="6">
        <f>'National model results detailed'!Z191/10^6</f>
        <v>0.60181327918001992</v>
      </c>
      <c r="AA119" s="6">
        <f>'National model results detailed'!AA191/10^6</f>
        <v>0.62810473265594313</v>
      </c>
      <c r="AB119" s="6">
        <f>'National model results detailed'!AB191/10^6</f>
        <v>0.65514534767664678</v>
      </c>
      <c r="AC119" s="6">
        <f>'National model results detailed'!AC191/10^6</f>
        <v>0.68299257685084314</v>
      </c>
      <c r="AD119" s="6">
        <f>'National model results detailed'!AD191/10^6</f>
        <v>0.71172051423708249</v>
      </c>
      <c r="AE119" s="6">
        <f>'National model results detailed'!AE191/10^6</f>
        <v>0.74136123503735851</v>
      </c>
      <c r="AF119" s="6">
        <f>'National model results detailed'!AF191/10^6</f>
        <v>0.77201356590544434</v>
      </c>
      <c r="AG119" s="6">
        <f>'National model results detailed'!AG191/10^6</f>
        <v>0.8038927886237911</v>
      </c>
      <c r="AH119" s="6">
        <f>'National model results detailed'!AH191/10^6</f>
        <v>0.83705948913507799</v>
      </c>
      <c r="AI119" s="6">
        <f>'National model results detailed'!AI191/10^6</f>
        <v>0</v>
      </c>
      <c r="AJ119" s="6">
        <f>'National model results detailed'!AJ191/10^6</f>
        <v>0</v>
      </c>
      <c r="AK119" s="6">
        <f>'National model results detailed'!AK191/10^6</f>
        <v>0</v>
      </c>
      <c r="AL119" s="6">
        <f>'National model results detailed'!AL191/10^6</f>
        <v>0</v>
      </c>
      <c r="AM119" s="6">
        <f>'National model results detailed'!AM191/10^6</f>
        <v>0</v>
      </c>
      <c r="AN119" s="6">
        <f>'National model results detailed'!AN191/10^6</f>
        <v>0</v>
      </c>
      <c r="AO119" s="6">
        <f>'National model results detailed'!AO191/10^6</f>
        <v>0</v>
      </c>
    </row>
    <row r="120" spans="1:55">
      <c r="B120" s="6" t="str">
        <f>'National model results detailed'!B194</f>
        <v>Implementation costs</v>
      </c>
      <c r="C120" s="6">
        <f>'National model results detailed'!C194/10^6</f>
        <v>0</v>
      </c>
      <c r="D120" s="6">
        <f>'National model results detailed'!D194/10^6</f>
        <v>-0.15514595172375129</v>
      </c>
      <c r="E120" s="6">
        <f>'National model results detailed'!E194/10^6</f>
        <v>-0.18403738641253969</v>
      </c>
      <c r="F120" s="6">
        <f>'National model results detailed'!F194/10^6</f>
        <v>-0.21521414001335684</v>
      </c>
      <c r="G120" s="6">
        <f>'National model results detailed'!G194/10^6</f>
        <v>-8.1676217882037244E-2</v>
      </c>
      <c r="H120" s="6">
        <f>'National model results detailed'!H194/10^6</f>
        <v>-7.9484081079133018E-2</v>
      </c>
      <c r="I120" s="6">
        <f>'National model results detailed'!I194/10^6</f>
        <v>-7.8952764786949264E-2</v>
      </c>
      <c r="J120" s="6">
        <f>'National model results detailed'!J194/10^6</f>
        <v>-7.9536829023994671E-2</v>
      </c>
      <c r="K120" s="6">
        <f>'National model results detailed'!K194/10^6</f>
        <v>-8.0938988914107224E-2</v>
      </c>
      <c r="L120" s="6">
        <f>'National model results detailed'!L194/10^6</f>
        <v>-8.2872606246265329E-2</v>
      </c>
      <c r="M120" s="6">
        <f>'National model results detailed'!M194/10^6</f>
        <v>-8.5168042090894569E-2</v>
      </c>
      <c r="N120" s="6">
        <f>'National model results detailed'!N194/10^6</f>
        <v>-9.8830724369314199E-2</v>
      </c>
      <c r="O120" s="6">
        <f>'National model results detailed'!O194/10^6</f>
        <v>-0.10181066941989458</v>
      </c>
      <c r="P120" s="6">
        <f>'National model results detailed'!P194/10^6</f>
        <v>-0.10494085076149501</v>
      </c>
      <c r="Q120" s="6">
        <f>'National model results detailed'!Q194/10^6</f>
        <v>-9.6484088748588173E-2</v>
      </c>
      <c r="R120" s="6">
        <f>'National model results detailed'!R194/10^6</f>
        <v>-9.9652442908159236E-2</v>
      </c>
      <c r="S120" s="6">
        <f>'National model results detailed'!S194/10^6</f>
        <v>-0.10293094633979637</v>
      </c>
      <c r="T120" s="6">
        <f>'National model results detailed'!T194/10^6</f>
        <v>-0.10632480550010312</v>
      </c>
      <c r="U120" s="6">
        <f>'National model results detailed'!U194/10^6</f>
        <v>-0.10985877352115719</v>
      </c>
      <c r="V120" s="6">
        <f>'National model results detailed'!V194/10^6</f>
        <v>-0.1135011553543076</v>
      </c>
      <c r="W120" s="6">
        <f>'National model results detailed'!W194/10^6</f>
        <v>-0.11724807240004402</v>
      </c>
      <c r="X120" s="6">
        <f>'National model results detailed'!X194/10^6</f>
        <v>-0.12111737097608996</v>
      </c>
      <c r="Y120" s="6">
        <f>'National model results detailed'!Y194/10^6</f>
        <v>-0.12510390301049618</v>
      </c>
      <c r="Z120" s="6">
        <f>'National model results detailed'!Z194/10^6</f>
        <v>-0.12920474021320505</v>
      </c>
      <c r="AA120" s="6">
        <f>'National model results detailed'!AA194/10^6</f>
        <v>-0.13341892017033338</v>
      </c>
      <c r="AB120" s="6">
        <f>'National model results detailed'!AB194/10^6</f>
        <v>-0.13775417001742618</v>
      </c>
      <c r="AC120" s="6">
        <f>'National model results detailed'!AC194/10^6</f>
        <v>-0.14220606525803459</v>
      </c>
      <c r="AD120" s="6">
        <f>'National model results detailed'!AD194/10^6</f>
        <v>-0.14677055265972855</v>
      </c>
      <c r="AE120" s="6">
        <f>'National model results detailed'!AE194/10^6</f>
        <v>-0.15144538331301144</v>
      </c>
      <c r="AF120" s="6">
        <f>'National model results detailed'!AF194/10^6</f>
        <v>-0.15623415811247626</v>
      </c>
      <c r="AG120" s="6">
        <f>'National model results detailed'!AG194/10^6</f>
        <v>-0.16115249848058202</v>
      </c>
      <c r="AH120" s="6">
        <f>'National model results detailed'!AH194/10^6</f>
        <v>-0.16620466639841547</v>
      </c>
      <c r="AI120" s="6">
        <f>'National model results detailed'!AI194/10^6</f>
        <v>0</v>
      </c>
      <c r="AJ120" s="6">
        <f>'National model results detailed'!AJ194/10^6</f>
        <v>0</v>
      </c>
      <c r="AK120" s="6">
        <f>'National model results detailed'!AK194/10^6</f>
        <v>0</v>
      </c>
      <c r="AL120" s="6">
        <f>'National model results detailed'!AL194/10^6</f>
        <v>0</v>
      </c>
      <c r="AM120" s="6">
        <f>'National model results detailed'!AM194/10^6</f>
        <v>0</v>
      </c>
      <c r="AN120" s="6">
        <f>'National model results detailed'!AN194/10^6</f>
        <v>0</v>
      </c>
      <c r="AO120" s="6">
        <f>'National model results detailed'!AO194/10^6</f>
        <v>0</v>
      </c>
    </row>
    <row r="121" spans="1:55">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row>
    <row r="122" spans="1:55" s="9" customFormat="1">
      <c r="B122" s="458" t="s">
        <v>3700</v>
      </c>
      <c r="C122" s="554">
        <f t="shared" ref="C122:AO122" si="11">C95-C111</f>
        <v>0</v>
      </c>
      <c r="D122" s="554">
        <f t="shared" si="11"/>
        <v>-0.15514595172375129</v>
      </c>
      <c r="E122" s="554">
        <f t="shared" si="11"/>
        <v>-0.18403738641253969</v>
      </c>
      <c r="F122" s="554">
        <f t="shared" si="11"/>
        <v>-0.21521414001335684</v>
      </c>
      <c r="G122" s="554">
        <f t="shared" si="11"/>
        <v>-1.1576363525779773E-2</v>
      </c>
      <c r="H122" s="554">
        <f t="shared" si="11"/>
        <v>0.15111992306820379</v>
      </c>
      <c r="I122" s="554">
        <f t="shared" si="11"/>
        <v>0.26050346299442406</v>
      </c>
      <c r="J122" s="554">
        <f t="shared" si="11"/>
        <v>0.33489887999912771</v>
      </c>
      <c r="K122" s="560">
        <f t="shared" si="11"/>
        <v>0.38706508675253748</v>
      </c>
      <c r="L122" s="560">
        <f t="shared" si="11"/>
        <v>0.42469792465097944</v>
      </c>
      <c r="M122" s="560">
        <f t="shared" si="11"/>
        <v>0.45256134383866975</v>
      </c>
      <c r="N122" s="554">
        <f t="shared" si="11"/>
        <v>0.46177177868606112</v>
      </c>
      <c r="O122" s="554">
        <f t="shared" si="11"/>
        <v>0.47738613499932903</v>
      </c>
      <c r="P122" s="554">
        <f t="shared" si="11"/>
        <v>0.49050010789203474</v>
      </c>
      <c r="Q122" s="554">
        <f t="shared" si="11"/>
        <v>0.51404741284402267</v>
      </c>
      <c r="R122" s="554">
        <f t="shared" si="11"/>
        <v>0.54758375649487923</v>
      </c>
      <c r="S122" s="554">
        <f t="shared" si="11"/>
        <v>0.57874676576194639</v>
      </c>
      <c r="T122" s="554">
        <f t="shared" si="11"/>
        <v>0.60842313390558722</v>
      </c>
      <c r="U122" s="554">
        <f t="shared" si="11"/>
        <v>0.63792067803274066</v>
      </c>
      <c r="V122" s="554">
        <f t="shared" si="11"/>
        <v>0.66762192668183906</v>
      </c>
      <c r="W122" s="554">
        <f t="shared" si="11"/>
        <v>0.69767196233130302</v>
      </c>
      <c r="X122" s="554">
        <f t="shared" si="11"/>
        <v>0.72771788824955641</v>
      </c>
      <c r="Y122" s="554">
        <f t="shared" si="11"/>
        <v>0.75879039053590058</v>
      </c>
      <c r="Z122" s="554">
        <f t="shared" si="11"/>
        <v>0.79103786728714187</v>
      </c>
      <c r="AA122" s="554">
        <f t="shared" si="11"/>
        <v>0.82438906349913044</v>
      </c>
      <c r="AB122" s="554">
        <f t="shared" si="11"/>
        <v>0.85853345400176373</v>
      </c>
      <c r="AC122" s="554">
        <f t="shared" si="11"/>
        <v>0.89353561040433749</v>
      </c>
      <c r="AD122" s="554">
        <f t="shared" si="11"/>
        <v>0.9294835465225133</v>
      </c>
      <c r="AE122" s="554">
        <f t="shared" si="11"/>
        <v>0.9664086684546731</v>
      </c>
      <c r="AF122" s="554">
        <f t="shared" si="11"/>
        <v>1.0044464395907371</v>
      </c>
      <c r="AG122" s="554">
        <f t="shared" si="11"/>
        <v>1.0439041765751016</v>
      </c>
      <c r="AH122" s="554">
        <f t="shared" si="11"/>
        <v>1.0848545401152676</v>
      </c>
      <c r="AI122" s="554">
        <f t="shared" si="11"/>
        <v>1.1273474287860357</v>
      </c>
      <c r="AJ122" s="554">
        <f t="shared" si="11"/>
        <v>1.1708163112837333</v>
      </c>
      <c r="AK122" s="554">
        <f t="shared" si="11"/>
        <v>1.2150799440655309</v>
      </c>
      <c r="AL122" s="554">
        <f t="shared" si="11"/>
        <v>1.2599276574689164</v>
      </c>
      <c r="AM122" s="554">
        <f t="shared" si="11"/>
        <v>1.3058779172224291</v>
      </c>
      <c r="AN122" s="554">
        <f t="shared" si="11"/>
        <v>1.3531639837890854</v>
      </c>
      <c r="AO122" s="554">
        <f t="shared" si="11"/>
        <v>1.4018056390484195</v>
      </c>
      <c r="BC122" s="191"/>
    </row>
    <row r="123" spans="1:55">
      <c r="C123" s="151" t="b">
        <f t="shared" ref="C123:AO123" si="12">SUM(C118:C120)=C122</f>
        <v>1</v>
      </c>
      <c r="D123" s="151" t="b">
        <f t="shared" si="12"/>
        <v>1</v>
      </c>
      <c r="E123" s="151" t="b">
        <f t="shared" si="12"/>
        <v>1</v>
      </c>
      <c r="F123" s="151" t="b">
        <f t="shared" si="12"/>
        <v>1</v>
      </c>
      <c r="G123" s="151" t="b">
        <f t="shared" si="12"/>
        <v>1</v>
      </c>
      <c r="H123" s="151" t="b">
        <f t="shared" si="12"/>
        <v>1</v>
      </c>
      <c r="I123" s="151" t="b">
        <f t="shared" si="12"/>
        <v>1</v>
      </c>
      <c r="J123" s="151" t="b">
        <f t="shared" si="12"/>
        <v>1</v>
      </c>
      <c r="K123" s="151" t="b">
        <f t="shared" si="12"/>
        <v>1</v>
      </c>
      <c r="L123" s="151" t="b">
        <f t="shared" si="12"/>
        <v>0</v>
      </c>
      <c r="M123" s="151" t="b">
        <f t="shared" si="12"/>
        <v>1</v>
      </c>
      <c r="N123" s="151" t="b">
        <f t="shared" si="12"/>
        <v>1</v>
      </c>
      <c r="O123" s="151" t="b">
        <f t="shared" si="12"/>
        <v>1</v>
      </c>
      <c r="P123" s="151" t="b">
        <f t="shared" si="12"/>
        <v>1</v>
      </c>
      <c r="Q123" s="151" t="b">
        <f t="shared" si="12"/>
        <v>1</v>
      </c>
      <c r="R123" s="151" t="b">
        <f t="shared" si="12"/>
        <v>1</v>
      </c>
      <c r="S123" s="151" t="b">
        <f t="shared" si="12"/>
        <v>1</v>
      </c>
      <c r="T123" s="151" t="b">
        <f t="shared" si="12"/>
        <v>1</v>
      </c>
      <c r="U123" s="151" t="b">
        <f t="shared" si="12"/>
        <v>1</v>
      </c>
      <c r="V123" s="151" t="b">
        <f t="shared" si="12"/>
        <v>1</v>
      </c>
      <c r="W123" s="151" t="b">
        <f t="shared" si="12"/>
        <v>1</v>
      </c>
      <c r="X123" s="151" t="b">
        <f t="shared" si="12"/>
        <v>1</v>
      </c>
      <c r="Y123" s="151" t="b">
        <f t="shared" si="12"/>
        <v>1</v>
      </c>
      <c r="Z123" s="151" t="b">
        <f t="shared" si="12"/>
        <v>1</v>
      </c>
      <c r="AA123" s="151" t="b">
        <f t="shared" si="12"/>
        <v>0</v>
      </c>
      <c r="AB123" s="151" t="b">
        <f t="shared" si="12"/>
        <v>1</v>
      </c>
      <c r="AC123" s="151" t="b">
        <f t="shared" si="12"/>
        <v>1</v>
      </c>
      <c r="AD123" s="151" t="b">
        <f t="shared" si="12"/>
        <v>1</v>
      </c>
      <c r="AE123" s="151" t="b">
        <f t="shared" si="12"/>
        <v>1</v>
      </c>
      <c r="AF123" s="151" t="b">
        <f t="shared" si="12"/>
        <v>1</v>
      </c>
      <c r="AG123" s="151" t="b">
        <f t="shared" si="12"/>
        <v>1</v>
      </c>
      <c r="AH123" s="151" t="b">
        <f t="shared" si="12"/>
        <v>1</v>
      </c>
      <c r="AI123" s="151" t="b">
        <f t="shared" si="12"/>
        <v>0</v>
      </c>
      <c r="AJ123" s="151" t="b">
        <f t="shared" si="12"/>
        <v>0</v>
      </c>
      <c r="AK123" s="151" t="b">
        <f t="shared" si="12"/>
        <v>0</v>
      </c>
      <c r="AL123" s="151" t="b">
        <f t="shared" si="12"/>
        <v>0</v>
      </c>
      <c r="AM123" s="151" t="b">
        <f t="shared" si="12"/>
        <v>0</v>
      </c>
      <c r="AN123" s="151" t="b">
        <f t="shared" si="12"/>
        <v>0</v>
      </c>
      <c r="AO123" s="151" t="b">
        <f t="shared" si="12"/>
        <v>0</v>
      </c>
    </row>
    <row r="124" spans="1:55">
      <c r="C124" s="151" t="b">
        <f>C122='National model results detailed'!C197/10^6</f>
        <v>1</v>
      </c>
      <c r="D124" s="151" t="b">
        <f>D122='National model results detailed'!D197/10^6</f>
        <v>1</v>
      </c>
      <c r="E124" s="151" t="b">
        <f>E122='National model results detailed'!E197/10^6</f>
        <v>1</v>
      </c>
      <c r="F124" s="151" t="b">
        <f>F122='National model results detailed'!F197/10^6</f>
        <v>1</v>
      </c>
      <c r="G124" s="151" t="b">
        <f>G122='National model results detailed'!G197/10^6</f>
        <v>1</v>
      </c>
      <c r="H124" s="151" t="b">
        <f>H122='National model results detailed'!H197/10^6</f>
        <v>1</v>
      </c>
      <c r="I124" s="151" t="b">
        <f>I122='National model results detailed'!I197/10^6</f>
        <v>1</v>
      </c>
      <c r="J124" s="151" t="b">
        <f>J122='National model results detailed'!J197/10^6</f>
        <v>1</v>
      </c>
      <c r="K124" s="151" t="b">
        <f>K122='National model results detailed'!K197/10^6</f>
        <v>1</v>
      </c>
      <c r="L124" s="151" t="b">
        <f>L122='National model results detailed'!L197/10^6</f>
        <v>1</v>
      </c>
      <c r="M124" s="151" t="b">
        <f>M122='National model results detailed'!M197/10^6</f>
        <v>1</v>
      </c>
      <c r="N124" s="151" t="b">
        <f>N122='National model results detailed'!N197/10^6</f>
        <v>1</v>
      </c>
      <c r="O124" s="151" t="b">
        <f>O122='National model results detailed'!O197/10^6</f>
        <v>1</v>
      </c>
      <c r="P124" s="151" t="b">
        <f>P122='National model results detailed'!P197/10^6</f>
        <v>1</v>
      </c>
      <c r="Q124" s="151" t="b">
        <f>Q122='National model results detailed'!Q197/10^6</f>
        <v>1</v>
      </c>
      <c r="R124" s="151" t="b">
        <f>R122='National model results detailed'!R197/10^6</f>
        <v>1</v>
      </c>
      <c r="S124" s="151" t="b">
        <f>S122='National model results detailed'!S197/10^6</f>
        <v>1</v>
      </c>
      <c r="T124" s="151" t="b">
        <f>T122='National model results detailed'!T197/10^6</f>
        <v>1</v>
      </c>
      <c r="U124" s="151" t="b">
        <f>U122='National model results detailed'!U197/10^6</f>
        <v>0</v>
      </c>
      <c r="V124" s="151" t="b">
        <f>V122='National model results detailed'!V197/10^6</f>
        <v>1</v>
      </c>
      <c r="W124" s="151" t="b">
        <f>W122='National model results detailed'!W197/10^6</f>
        <v>1</v>
      </c>
      <c r="X124" s="151" t="b">
        <f>X122='National model results detailed'!X197/10^6</f>
        <v>1</v>
      </c>
      <c r="Y124" s="151" t="b">
        <f>Y122='National model results detailed'!Y197/10^6</f>
        <v>1</v>
      </c>
      <c r="Z124" s="151" t="b">
        <f>Z122='National model results detailed'!Z197/10^6</f>
        <v>1</v>
      </c>
      <c r="AA124" s="151" t="b">
        <f>AA122='National model results detailed'!AA197/10^6</f>
        <v>0</v>
      </c>
      <c r="AB124" s="151" t="b">
        <f>AB122='National model results detailed'!AB197/10^6</f>
        <v>1</v>
      </c>
      <c r="AC124" s="151" t="b">
        <f>AC122='National model results detailed'!AC197/10^6</f>
        <v>1</v>
      </c>
      <c r="AD124" s="151" t="b">
        <f>AD122='National model results detailed'!AD197/10^6</f>
        <v>1</v>
      </c>
      <c r="AE124" s="151" t="b">
        <f>AE122='National model results detailed'!AE197/10^6</f>
        <v>1</v>
      </c>
      <c r="AF124" s="151" t="b">
        <f>AF122='National model results detailed'!AF197/10^6</f>
        <v>1</v>
      </c>
      <c r="AG124" s="151" t="b">
        <f>AG122='National model results detailed'!AG197/10^6</f>
        <v>1</v>
      </c>
      <c r="AH124" s="151" t="b">
        <f>AH122='National model results detailed'!AH197/10^6</f>
        <v>1</v>
      </c>
      <c r="AI124" s="151" t="b">
        <f>AI122='National model results detailed'!AI197/10^6</f>
        <v>0</v>
      </c>
      <c r="AJ124" s="151" t="b">
        <f>AJ122='National model results detailed'!AJ197/10^6</f>
        <v>0</v>
      </c>
      <c r="AK124" s="151" t="b">
        <f>AK122='National model results detailed'!AK197/10^6</f>
        <v>0</v>
      </c>
      <c r="AL124" s="151" t="b">
        <f>AL122='National model results detailed'!AL197/10^6</f>
        <v>0</v>
      </c>
      <c r="AM124" s="151" t="b">
        <f>AM122='National model results detailed'!AM197/10^6</f>
        <v>0</v>
      </c>
      <c r="AN124" s="151" t="b">
        <f>AN122='National model results detailed'!AN197/10^6</f>
        <v>0</v>
      </c>
      <c r="AO124" s="151" t="b">
        <f>AO122='National model results detailed'!AO197/10^6</f>
        <v>0</v>
      </c>
    </row>
    <row r="125" spans="1:55" s="871" customFormat="1">
      <c r="C125" s="871" t="b">
        <f t="shared" ref="C125:AO125" si="13">C122=INDEX($H$23:$H$61, MATCH(C101, $B$23:$B$61,0)) + INDEX($I$23:$I$61, MATCH(C101, $B$23:$B$61,0))</f>
        <v>1</v>
      </c>
      <c r="D125" s="871" t="b">
        <f t="shared" si="13"/>
        <v>1</v>
      </c>
      <c r="E125" s="871" t="b">
        <f t="shared" si="13"/>
        <v>1</v>
      </c>
      <c r="F125" s="871" t="b">
        <f t="shared" si="13"/>
        <v>1</v>
      </c>
      <c r="G125" s="871" t="b">
        <f t="shared" si="13"/>
        <v>1</v>
      </c>
      <c r="H125" s="871" t="b">
        <f t="shared" si="13"/>
        <v>1</v>
      </c>
      <c r="I125" s="871" t="b">
        <f t="shared" si="13"/>
        <v>1</v>
      </c>
      <c r="J125" s="871" t="b">
        <f t="shared" si="13"/>
        <v>1</v>
      </c>
      <c r="K125" s="871" t="b">
        <f t="shared" si="13"/>
        <v>1</v>
      </c>
      <c r="L125" s="871" t="b">
        <f t="shared" si="13"/>
        <v>0</v>
      </c>
      <c r="M125" s="871" t="b">
        <f t="shared" si="13"/>
        <v>1</v>
      </c>
      <c r="N125" s="871" t="b">
        <f t="shared" si="13"/>
        <v>1</v>
      </c>
      <c r="O125" s="871" t="b">
        <f t="shared" si="13"/>
        <v>1</v>
      </c>
      <c r="P125" s="871" t="b">
        <f t="shared" si="13"/>
        <v>1</v>
      </c>
      <c r="Q125" s="871" t="b">
        <f t="shared" si="13"/>
        <v>1</v>
      </c>
      <c r="R125" s="871" t="b">
        <f t="shared" si="13"/>
        <v>1</v>
      </c>
      <c r="S125" s="871" t="b">
        <f t="shared" si="13"/>
        <v>1</v>
      </c>
      <c r="T125" s="871" t="b">
        <f t="shared" si="13"/>
        <v>1</v>
      </c>
      <c r="U125" s="871" t="b">
        <f t="shared" si="13"/>
        <v>1</v>
      </c>
      <c r="V125" s="871" t="b">
        <f t="shared" si="13"/>
        <v>1</v>
      </c>
      <c r="W125" s="871" t="b">
        <f t="shared" si="13"/>
        <v>1</v>
      </c>
      <c r="X125" s="871" t="b">
        <f t="shared" si="13"/>
        <v>1</v>
      </c>
      <c r="Y125" s="871" t="b">
        <f t="shared" si="13"/>
        <v>1</v>
      </c>
      <c r="Z125" s="871" t="b">
        <f t="shared" si="13"/>
        <v>1</v>
      </c>
      <c r="AA125" s="871" t="b">
        <f t="shared" si="13"/>
        <v>0</v>
      </c>
      <c r="AB125" s="871" t="b">
        <f t="shared" si="13"/>
        <v>1</v>
      </c>
      <c r="AC125" s="871" t="b">
        <f t="shared" si="13"/>
        <v>1</v>
      </c>
      <c r="AD125" s="871" t="b">
        <f t="shared" si="13"/>
        <v>1</v>
      </c>
      <c r="AE125" s="871" t="b">
        <f t="shared" si="13"/>
        <v>1</v>
      </c>
      <c r="AF125" s="871" t="b">
        <f t="shared" si="13"/>
        <v>1</v>
      </c>
      <c r="AG125" s="871" t="b">
        <f t="shared" si="13"/>
        <v>1</v>
      </c>
      <c r="AH125" s="871" t="b">
        <f t="shared" si="13"/>
        <v>1</v>
      </c>
      <c r="AI125" s="871" t="b">
        <f t="shared" si="13"/>
        <v>0</v>
      </c>
      <c r="AJ125" s="871" t="b">
        <f t="shared" si="13"/>
        <v>0</v>
      </c>
      <c r="AK125" s="871" t="b">
        <f t="shared" si="13"/>
        <v>0</v>
      </c>
      <c r="AL125" s="871" t="b">
        <f t="shared" si="13"/>
        <v>0</v>
      </c>
      <c r="AM125" s="871" t="b">
        <f t="shared" si="13"/>
        <v>0</v>
      </c>
      <c r="AN125" s="871" t="b">
        <f t="shared" si="13"/>
        <v>0</v>
      </c>
      <c r="AO125" s="871" t="b">
        <f t="shared" si="13"/>
        <v>0</v>
      </c>
    </row>
    <row r="126" spans="1:55" s="871" customFormat="1"/>
    <row r="127" spans="1:55" s="588" customFormat="1">
      <c r="A127" s="593" t="s">
        <v>10</v>
      </c>
      <c r="B127" s="593" t="s">
        <v>3707</v>
      </c>
      <c r="H127" s="764"/>
      <c r="K127" s="765"/>
      <c r="L127" s="766"/>
      <c r="M127" s="767"/>
      <c r="N127" s="767"/>
      <c r="O127" s="808"/>
      <c r="P127" s="766"/>
      <c r="Q127" s="767"/>
    </row>
    <row r="128" spans="1:55" s="3" customFormat="1">
      <c r="A128" s="595"/>
      <c r="B128" s="151" t="s">
        <v>3702</v>
      </c>
      <c r="H128" s="768"/>
      <c r="K128" s="769"/>
      <c r="L128" s="813"/>
      <c r="M128" s="814"/>
      <c r="N128" s="814"/>
      <c r="O128" s="815"/>
      <c r="P128" s="813"/>
      <c r="Q128" s="814"/>
    </row>
    <row r="129" spans="1:55" s="3" customFormat="1">
      <c r="A129" s="595"/>
      <c r="B129" s="151"/>
      <c r="H129" s="768"/>
      <c r="K129" s="769"/>
      <c r="L129" s="813"/>
      <c r="M129" s="814"/>
      <c r="N129" s="814"/>
      <c r="O129" s="815"/>
      <c r="P129" s="813"/>
      <c r="Q129" s="814"/>
    </row>
    <row r="130" spans="1:55" s="3" customFormat="1">
      <c r="A130" s="595"/>
      <c r="B130" s="151"/>
      <c r="H130" s="768"/>
      <c r="K130" s="769"/>
      <c r="L130" s="813"/>
      <c r="M130" s="814"/>
      <c r="N130" s="814"/>
      <c r="O130" s="815"/>
      <c r="P130" s="813"/>
      <c r="Q130" s="814"/>
    </row>
    <row r="131" spans="1:55" s="871" customFormat="1">
      <c r="A131" s="443" t="s">
        <v>10</v>
      </c>
      <c r="B131" s="872" t="s">
        <v>3715</v>
      </c>
    </row>
    <row r="132" spans="1:55" s="871" customFormat="1"/>
    <row r="133" spans="1:55">
      <c r="B133" s="84"/>
      <c r="C133" s="34">
        <f>'National model results detailed'!C10</f>
        <v>2020</v>
      </c>
      <c r="D133" s="34">
        <f>'National model results detailed'!D10</f>
        <v>2021</v>
      </c>
      <c r="E133" s="34">
        <f>'National model results detailed'!E10</f>
        <v>2022</v>
      </c>
      <c r="F133" s="34">
        <f>'National model results detailed'!F10</f>
        <v>2023</v>
      </c>
      <c r="G133" s="34">
        <f>'National model results detailed'!G10</f>
        <v>2024</v>
      </c>
      <c r="H133" s="34">
        <f>'National model results detailed'!H10</f>
        <v>2025</v>
      </c>
      <c r="I133" s="34">
        <f>'National model results detailed'!I10</f>
        <v>2026</v>
      </c>
      <c r="J133" s="34">
        <f>'National model results detailed'!J10</f>
        <v>2027</v>
      </c>
      <c r="K133" s="34">
        <f>'National model results detailed'!K10</f>
        <v>2028</v>
      </c>
      <c r="L133" s="34">
        <f>'National model results detailed'!L10</f>
        <v>2029</v>
      </c>
      <c r="M133" s="34">
        <f>'National model results detailed'!M10</f>
        <v>2030</v>
      </c>
      <c r="N133" s="34">
        <f>'National model results detailed'!N10</f>
        <v>2031</v>
      </c>
      <c r="O133" s="34">
        <f>'National model results detailed'!O10</f>
        <v>2032</v>
      </c>
      <c r="P133" s="34">
        <f>'National model results detailed'!P10</f>
        <v>2033</v>
      </c>
      <c r="Q133" s="34">
        <f>'National model results detailed'!Q10</f>
        <v>2034</v>
      </c>
      <c r="R133" s="34">
        <f>'National model results detailed'!R10</f>
        <v>2035</v>
      </c>
      <c r="S133" s="34">
        <f>'National model results detailed'!S10</f>
        <v>2036</v>
      </c>
      <c r="T133" s="34">
        <f>'National model results detailed'!T10</f>
        <v>2037</v>
      </c>
      <c r="U133" s="34">
        <f>'National model results detailed'!U10</f>
        <v>2038</v>
      </c>
      <c r="V133" s="34">
        <f>'National model results detailed'!V10</f>
        <v>2039</v>
      </c>
      <c r="W133" s="34">
        <f>'National model results detailed'!W10</f>
        <v>2040</v>
      </c>
      <c r="X133" s="34">
        <f>'National model results detailed'!X10</f>
        <v>2041</v>
      </c>
      <c r="Y133" s="34">
        <f>'National model results detailed'!Y10</f>
        <v>2042</v>
      </c>
      <c r="Z133" s="34">
        <f>'National model results detailed'!Z10</f>
        <v>2043</v>
      </c>
      <c r="AA133" s="34">
        <f>'National model results detailed'!AA10</f>
        <v>2044</v>
      </c>
      <c r="AB133" s="34">
        <f>'National model results detailed'!AB10</f>
        <v>2045</v>
      </c>
      <c r="AC133" s="34">
        <f>'National model results detailed'!AC10</f>
        <v>2046</v>
      </c>
      <c r="AD133" s="34">
        <f>'National model results detailed'!AD10</f>
        <v>2047</v>
      </c>
      <c r="AE133" s="34">
        <f>'National model results detailed'!AE10</f>
        <v>2048</v>
      </c>
      <c r="AF133" s="34">
        <f>'National model results detailed'!AF10</f>
        <v>2049</v>
      </c>
      <c r="AG133" s="34">
        <f>'National model results detailed'!AG10</f>
        <v>2050</v>
      </c>
      <c r="AH133" s="34">
        <f>'National model results detailed'!AH10</f>
        <v>2051</v>
      </c>
      <c r="AI133" s="34">
        <f>'National model results detailed'!AI10</f>
        <v>2052</v>
      </c>
      <c r="AJ133" s="34">
        <f>'National model results detailed'!AJ10</f>
        <v>2053</v>
      </c>
      <c r="AK133" s="34">
        <f>'National model results detailed'!AK10</f>
        <v>2054</v>
      </c>
      <c r="AL133" s="34">
        <f>'National model results detailed'!AL10</f>
        <v>2055</v>
      </c>
      <c r="AM133" s="34">
        <f>'National model results detailed'!AM10</f>
        <v>2056</v>
      </c>
      <c r="AN133" s="34">
        <f>'National model results detailed'!AN10</f>
        <v>2057</v>
      </c>
      <c r="AO133" s="34">
        <f>'National model results detailed'!AO10</f>
        <v>2058</v>
      </c>
    </row>
    <row r="134" spans="1:55" s="4" customFormat="1" ht="30" customHeight="1">
      <c r="B134" s="885" t="str">
        <f>'National model results detailed'!B16</f>
        <v>% change relative to baseline</v>
      </c>
      <c r="C134" s="885">
        <f>-'National model results detailed'!C16</f>
        <v>0</v>
      </c>
      <c r="D134" s="885">
        <f>-'National model results detailed'!D16</f>
        <v>0</v>
      </c>
      <c r="E134" s="885">
        <f>-'National model results detailed'!E16</f>
        <v>0</v>
      </c>
      <c r="F134" s="885">
        <f>-'National model results detailed'!F16</f>
        <v>0</v>
      </c>
      <c r="G134" s="885">
        <f>-'National model results detailed'!G16</f>
        <v>-1.3918162417525526E-4</v>
      </c>
      <c r="H134" s="885">
        <f>-'National model results detailed'!H16</f>
        <v>-0.10993361249671163</v>
      </c>
      <c r="I134" s="885">
        <f>-'National model results detailed'!I16</f>
        <v>-0.177143738823202</v>
      </c>
      <c r="J134" s="885">
        <f>-'National model results detailed'!J16</f>
        <v>-0.21806176091253171</v>
      </c>
      <c r="K134" s="885">
        <f>-'National model results detailed'!K16</f>
        <v>-0.24276420354484463</v>
      </c>
      <c r="L134" s="885">
        <f>-'National model results detailed'!L16</f>
        <v>-0.25755610727801748</v>
      </c>
      <c r="M134" s="885">
        <f>-'National model results detailed'!M16</f>
        <v>-0.26619970283964389</v>
      </c>
      <c r="N134" s="885">
        <f>-'National model results detailed'!N16</f>
        <v>-0.27053677553846189</v>
      </c>
      <c r="O134" s="885">
        <f>-'National model results detailed'!O16</f>
        <v>-0.27256464374153966</v>
      </c>
      <c r="P134" s="885">
        <f>-'National model results detailed'!P16</f>
        <v>-0.27335672957085044</v>
      </c>
      <c r="Q134" s="885">
        <f>-'National model results detailed'!Q16</f>
        <v>-0.27348487875719241</v>
      </c>
      <c r="R134" s="885">
        <f>-'National model results detailed'!R16</f>
        <v>-0.27325906783275855</v>
      </c>
      <c r="S134" s="885">
        <f>-'National model results detailed'!S16</f>
        <v>-0.27271974381043451</v>
      </c>
      <c r="T134" s="885">
        <f>-'National model results detailed'!T16</f>
        <v>-0.27189165866635945</v>
      </c>
      <c r="U134" s="885">
        <f>-'National model results detailed'!U16</f>
        <v>-0.27091770207189536</v>
      </c>
      <c r="V134" s="885">
        <f>-'National model results detailed'!V16</f>
        <v>-0.26991658127449081</v>
      </c>
      <c r="W134" s="885">
        <f>-'National model results detailed'!W16</f>
        <v>-0.26888007687212545</v>
      </c>
      <c r="X134" s="885">
        <f>-'National model results detailed'!X16</f>
        <v>-0.26764032923562542</v>
      </c>
      <c r="Y134" s="885">
        <f>-'National model results detailed'!Y16</f>
        <v>-0.26643637274914445</v>
      </c>
      <c r="Z134" s="885">
        <f>-'National model results detailed'!Z16</f>
        <v>-0.2652941090935389</v>
      </c>
      <c r="AA134" s="885">
        <f>-'National model results detailed'!AA16</f>
        <v>-0.26419022345480914</v>
      </c>
      <c r="AB134" s="885">
        <f>-'National model results detailed'!AB16</f>
        <v>-0.26303610660282217</v>
      </c>
      <c r="AC134" s="885">
        <f>-'National model results detailed'!AC16</f>
        <v>-0.26185647173050441</v>
      </c>
      <c r="AD134" s="885">
        <f>-'National model results detailed'!AD16</f>
        <v>-0.26067700709496733</v>
      </c>
      <c r="AE134" s="885">
        <f>-'National model results detailed'!AE16</f>
        <v>-0.25950564755900618</v>
      </c>
      <c r="AF134" s="885">
        <f>-'National model results detailed'!AF16</f>
        <v>-0.25835214504361237</v>
      </c>
      <c r="AG134" s="885">
        <f>-'National model results detailed'!AG16</f>
        <v>-0.25723126718528599</v>
      </c>
      <c r="AH134" s="885">
        <f>-'National model results detailed'!AH16</f>
        <v>-0.25614390227625472</v>
      </c>
      <c r="AI134" s="885">
        <f>-'National model results detailed'!AI16</f>
        <v>-0.25507236952783974</v>
      </c>
      <c r="AJ134" s="885">
        <f>-'National model results detailed'!AJ16</f>
        <v>-0.25394115910051296</v>
      </c>
      <c r="AK134" s="885">
        <f>-'National model results detailed'!AK16</f>
        <v>-0.25274928476446457</v>
      </c>
      <c r="AL134" s="885">
        <f>-'National model results detailed'!AL16</f>
        <v>-0.25148010568083512</v>
      </c>
      <c r="AM134" s="885">
        <f>-'National model results detailed'!AM16</f>
        <v>-0.25021281415711527</v>
      </c>
      <c r="AN134" s="885">
        <f>-'National model results detailed'!AN16</f>
        <v>-0.24897983992458639</v>
      </c>
      <c r="AO134" s="885">
        <f>-'National model results detailed'!AO16</f>
        <v>-0.24778419018738684</v>
      </c>
      <c r="BC134" s="151"/>
    </row>
    <row r="135" spans="1:55" s="3" customFormat="1">
      <c r="A135" s="595"/>
      <c r="B135" s="151"/>
      <c r="H135" s="768"/>
      <c r="K135" s="769"/>
      <c r="L135" s="813"/>
      <c r="M135" s="814"/>
      <c r="N135" s="814"/>
      <c r="O135" s="815"/>
      <c r="P135" s="813"/>
      <c r="Q135" s="814"/>
    </row>
    <row r="136" spans="1:55" s="3" customFormat="1">
      <c r="A136" s="595"/>
      <c r="B136" s="151"/>
      <c r="H136" s="768"/>
      <c r="K136" s="769"/>
      <c r="L136" s="813"/>
      <c r="M136" s="814"/>
      <c r="N136" s="814"/>
      <c r="O136" s="815"/>
      <c r="P136" s="813"/>
      <c r="Q136" s="814"/>
    </row>
    <row r="137" spans="1:55" s="3" customFormat="1">
      <c r="A137" s="595"/>
      <c r="B137" s="151"/>
      <c r="H137" s="768"/>
      <c r="K137" s="769"/>
      <c r="L137" s="813"/>
      <c r="M137" s="814"/>
      <c r="N137" s="814"/>
      <c r="O137" s="815"/>
      <c r="P137" s="813"/>
      <c r="Q137" s="814"/>
    </row>
    <row r="138" spans="1:55" s="9" customFormat="1">
      <c r="B138" s="685"/>
      <c r="C138" s="871"/>
      <c r="D138" s="871"/>
      <c r="E138" s="871"/>
      <c r="F138" s="871"/>
      <c r="G138" s="871"/>
      <c r="H138" s="871"/>
      <c r="I138" s="871"/>
      <c r="J138" s="871"/>
      <c r="K138" s="871"/>
      <c r="L138" s="871"/>
      <c r="M138" s="871"/>
      <c r="N138" s="871"/>
      <c r="O138" s="871"/>
      <c r="P138" s="871"/>
      <c r="Q138" s="871"/>
      <c r="R138" s="871"/>
      <c r="S138" s="871"/>
      <c r="T138" s="871"/>
      <c r="U138" s="871"/>
      <c r="V138" s="871"/>
      <c r="W138" s="871"/>
      <c r="X138" s="871"/>
      <c r="Y138" s="871"/>
      <c r="Z138" s="871"/>
      <c r="AA138" s="871"/>
      <c r="AB138" s="871"/>
      <c r="AC138" s="871"/>
      <c r="AD138" s="871"/>
      <c r="AE138" s="871"/>
      <c r="AF138" s="871"/>
      <c r="AG138" s="871"/>
      <c r="AH138" s="871"/>
      <c r="AI138" s="871"/>
      <c r="AJ138" s="871"/>
      <c r="AK138" s="871"/>
      <c r="AL138" s="871"/>
      <c r="AM138" s="871"/>
      <c r="AN138" s="871"/>
      <c r="AO138" s="871"/>
      <c r="BC138" s="191"/>
    </row>
    <row r="139" spans="1:55">
      <c r="A139" t="s">
        <v>10</v>
      </c>
      <c r="B139" s="872" t="s">
        <v>3717</v>
      </c>
    </row>
    <row r="140" spans="1:55">
      <c r="B140" s="151" t="s">
        <v>3702</v>
      </c>
    </row>
    <row r="141" spans="1:55">
      <c r="B141" s="151" t="s">
        <v>3706</v>
      </c>
    </row>
    <row r="142" spans="1:55">
      <c r="B142" s="151"/>
    </row>
    <row r="143" spans="1:55">
      <c r="B143" s="84" t="s">
        <v>125</v>
      </c>
      <c r="C143" s="34">
        <f t="shared" ref="C143:AO143" si="14">C76</f>
        <v>2020</v>
      </c>
      <c r="D143" s="34">
        <f t="shared" si="14"/>
        <v>2021</v>
      </c>
      <c r="E143" s="34">
        <f t="shared" si="14"/>
        <v>2022</v>
      </c>
      <c r="F143" s="34">
        <f t="shared" si="14"/>
        <v>2023</v>
      </c>
      <c r="G143" s="34">
        <f t="shared" si="14"/>
        <v>2024</v>
      </c>
      <c r="H143" s="34">
        <f t="shared" si="14"/>
        <v>2025</v>
      </c>
      <c r="I143" s="34">
        <f t="shared" si="14"/>
        <v>2026</v>
      </c>
      <c r="J143" s="34">
        <f t="shared" si="14"/>
        <v>2027</v>
      </c>
      <c r="K143" s="34">
        <f t="shared" si="14"/>
        <v>2028</v>
      </c>
      <c r="L143" s="34">
        <f t="shared" si="14"/>
        <v>2029</v>
      </c>
      <c r="M143" s="34">
        <f t="shared" si="14"/>
        <v>2030</v>
      </c>
      <c r="N143" s="34">
        <f t="shared" si="14"/>
        <v>2031</v>
      </c>
      <c r="O143" s="34">
        <f t="shared" si="14"/>
        <v>2032</v>
      </c>
      <c r="P143" s="34">
        <f t="shared" si="14"/>
        <v>2033</v>
      </c>
      <c r="Q143" s="34">
        <f t="shared" si="14"/>
        <v>2034</v>
      </c>
      <c r="R143" s="34">
        <f t="shared" si="14"/>
        <v>2035</v>
      </c>
      <c r="S143" s="34">
        <f t="shared" si="14"/>
        <v>2036</v>
      </c>
      <c r="T143" s="34">
        <f t="shared" si="14"/>
        <v>2037</v>
      </c>
      <c r="U143" s="34">
        <f t="shared" si="14"/>
        <v>2038</v>
      </c>
      <c r="V143" s="34">
        <f t="shared" si="14"/>
        <v>2039</v>
      </c>
      <c r="W143" s="34">
        <f t="shared" si="14"/>
        <v>2040</v>
      </c>
      <c r="X143" s="34">
        <f t="shared" si="14"/>
        <v>2041</v>
      </c>
      <c r="Y143" s="34">
        <f t="shared" si="14"/>
        <v>2042</v>
      </c>
      <c r="Z143" s="34">
        <f t="shared" si="14"/>
        <v>2043</v>
      </c>
      <c r="AA143" s="34">
        <f t="shared" si="14"/>
        <v>2044</v>
      </c>
      <c r="AB143" s="34">
        <f t="shared" si="14"/>
        <v>2045</v>
      </c>
      <c r="AC143" s="34">
        <f t="shared" si="14"/>
        <v>2046</v>
      </c>
      <c r="AD143" s="34">
        <f t="shared" si="14"/>
        <v>2047</v>
      </c>
      <c r="AE143" s="34">
        <f t="shared" si="14"/>
        <v>2048</v>
      </c>
      <c r="AF143" s="34">
        <f t="shared" si="14"/>
        <v>2049</v>
      </c>
      <c r="AG143" s="34">
        <f t="shared" si="14"/>
        <v>2050</v>
      </c>
      <c r="AH143" s="34">
        <f t="shared" si="14"/>
        <v>2051</v>
      </c>
      <c r="AI143" s="34">
        <f t="shared" si="14"/>
        <v>2052</v>
      </c>
      <c r="AJ143" s="34">
        <f t="shared" si="14"/>
        <v>2053</v>
      </c>
      <c r="AK143" s="34">
        <f t="shared" si="14"/>
        <v>2054</v>
      </c>
      <c r="AL143" s="34">
        <f t="shared" si="14"/>
        <v>2055</v>
      </c>
      <c r="AM143" s="34">
        <f t="shared" si="14"/>
        <v>2056</v>
      </c>
      <c r="AN143" s="34">
        <f t="shared" si="14"/>
        <v>2057</v>
      </c>
      <c r="AO143" s="34">
        <f t="shared" si="14"/>
        <v>2058</v>
      </c>
      <c r="BC143" s="81"/>
    </row>
    <row r="144" spans="1:55">
      <c r="A144" s="19"/>
      <c r="B144" s="6" t="s">
        <v>11</v>
      </c>
      <c r="C144" s="186">
        <f>C77/('National model results detailed'!C105/10^6)</f>
        <v>0</v>
      </c>
      <c r="D144" s="186">
        <f>D77/('National model results detailed'!D105/10^6)</f>
        <v>0</v>
      </c>
      <c r="E144" s="186">
        <f>E77/('National model results detailed'!E105/10^6)</f>
        <v>0</v>
      </c>
      <c r="F144" s="186">
        <f>F77/('National model results detailed'!F105/10^6)</f>
        <v>0</v>
      </c>
      <c r="G144" s="186">
        <f>G77/('National model results detailed'!G105/10^6)</f>
        <v>8.4120180787235543E-2</v>
      </c>
      <c r="H144" s="186">
        <f>H77/('National model results detailed'!H105/10^6)</f>
        <v>0.15223925685615752</v>
      </c>
      <c r="I144" s="186">
        <f>I77/('National model results detailed'!I105/10^6)</f>
        <v>0.19458071926876647</v>
      </c>
      <c r="J144" s="186">
        <f>J77/('National model results detailed'!J105/10^6)</f>
        <v>0.22079631316777351</v>
      </c>
      <c r="K144" s="186">
        <f>K77/('National model results detailed'!K105/10^6)</f>
        <v>0.23688888197805891</v>
      </c>
      <c r="L144" s="186">
        <f>L77/('National model results detailed'!L105/10^6)</f>
        <v>0.24670518516254872</v>
      </c>
      <c r="M144" s="186">
        <f>M77/('National model results detailed'!M105/10^6)</f>
        <v>0.2525766156891307</v>
      </c>
      <c r="N144" s="186">
        <f>N77/('National model results detailed'!N105/10^6)</f>
        <v>0.2556908526294831</v>
      </c>
      <c r="O144" s="186">
        <f>O77/('National model results detailed'!O105/10^6)</f>
        <v>0.25729503276800181</v>
      </c>
      <c r="P144" s="186">
        <f>P77/('National model results detailed'!P105/10^6)</f>
        <v>0.25806518137824042</v>
      </c>
      <c r="Q144" s="186">
        <f>Q77/('National model results detailed'!Q105/10^6)</f>
        <v>0.25836510533340801</v>
      </c>
      <c r="R144" s="186">
        <f>R77/('National model results detailed'!R105/10^6)</f>
        <v>0.25839822297573861</v>
      </c>
      <c r="S144" s="186">
        <f>S77/('National model results detailed'!S105/10^6)</f>
        <v>0.25820861591685801</v>
      </c>
      <c r="T144" s="186">
        <f>T77/('National model results detailed'!T105/10^6)</f>
        <v>0.25782251401518902</v>
      </c>
      <c r="U144" s="186">
        <f>U77/('National model results detailed'!U105/10^6)</f>
        <v>0.25732215451647605</v>
      </c>
      <c r="V144" s="186">
        <f>V77/('National model results detailed'!V105/10^6)</f>
        <v>0.25679255756479652</v>
      </c>
      <c r="W144" s="186">
        <f>W77/('National model results detailed'!W105/10^6)</f>
        <v>0.25623477270808953</v>
      </c>
      <c r="X144" s="186">
        <f>X77/('National model results detailed'!X105/10^6)</f>
        <v>0.25555359932562549</v>
      </c>
      <c r="Y144" s="186">
        <f>Y77/('National model results detailed'!Y105/10^6)</f>
        <v>0.25489138264566219</v>
      </c>
      <c r="Z144" s="186">
        <f>Z77/('National model results detailed'!Z105/10^6)</f>
        <v>0.25426483257013838</v>
      </c>
      <c r="AA144" s="186">
        <f>AA77/('National model results detailed'!AA105/10^6)</f>
        <v>0.25366114796612188</v>
      </c>
      <c r="AB144" s="186">
        <f>AB77/('National model results detailed'!AB105/10^6)</f>
        <v>0.25302860775097424</v>
      </c>
      <c r="AC144" s="186">
        <f>AC77/('National model results detailed'!AC105/10^6)</f>
        <v>0.25238446186228325</v>
      </c>
      <c r="AD144" s="186">
        <f>AD77/('National model results detailed'!AD105/10^6)</f>
        <v>0.25174573468990952</v>
      </c>
      <c r="AE144" s="186">
        <f>AE77/('National model results detailed'!AE105/10^6)</f>
        <v>0.25111811182159183</v>
      </c>
      <c r="AF144" s="186">
        <f>AF77/('National model results detailed'!AF105/10^6)</f>
        <v>0.25050639833975719</v>
      </c>
      <c r="AG144" s="186">
        <f>AG77/('National model results detailed'!AG105/10^6)</f>
        <v>0.2499149847146841</v>
      </c>
      <c r="AH144" s="186">
        <f>AH77/('National model results detailed'!AH105/10^6)</f>
        <v>0.24934246166742616</v>
      </c>
      <c r="AI144" s="186">
        <f>AI77/('National model results detailed'!AI105/10^6)</f>
        <v>0.24877519761997954</v>
      </c>
      <c r="AJ144" s="186">
        <f>AJ77/('National model results detailed'!AJ105/10^6)</f>
        <v>0.24817038986708218</v>
      </c>
      <c r="AK144" s="186">
        <f>AK77/('National model results detailed'!AK105/10^6)</f>
        <v>0.24753129238288493</v>
      </c>
      <c r="AL144" s="186">
        <f>AL77/('National model results detailed'!AL105/10^6)</f>
        <v>0.24685120216041193</v>
      </c>
      <c r="AM144" s="186">
        <f>AM77/('National model results detailed'!AM105/10^6)</f>
        <v>0.24617888028821355</v>
      </c>
      <c r="AN144" s="186">
        <f>AN77/('National model results detailed'!AN105/10^6)</f>
        <v>0.24553370386225115</v>
      </c>
      <c r="AO144" s="186">
        <f>AO77/('National model results detailed'!AO105/10^6)</f>
        <v>0.24491675455750869</v>
      </c>
      <c r="BC144" s="568"/>
    </row>
    <row r="145" spans="1:55">
      <c r="A145" s="19"/>
      <c r="B145" s="6" t="s">
        <v>14</v>
      </c>
      <c r="C145" s="186">
        <f>C78/('National model results detailed'!C106/10^6)</f>
        <v>0</v>
      </c>
      <c r="D145" s="186">
        <f>D78/('National model results detailed'!D106/10^6)</f>
        <v>0</v>
      </c>
      <c r="E145" s="186">
        <f>E78/('National model results detailed'!E106/10^6)</f>
        <v>0</v>
      </c>
      <c r="F145" s="186">
        <f>F78/('National model results detailed'!F106/10^6)</f>
        <v>0</v>
      </c>
      <c r="G145" s="186">
        <f>G78/('National model results detailed'!G106/10^6)</f>
        <v>-8.1080317299992571E-3</v>
      </c>
      <c r="H145" s="186">
        <f>H78/('National model results detailed'!H106/10^6)</f>
        <v>8.3876258364195419E-2</v>
      </c>
      <c r="I145" s="186">
        <f>I78/('National model results detailed'!I106/10^6)</f>
        <v>0.14021276302385544</v>
      </c>
      <c r="J145" s="186">
        <f>J78/('National model results detailed'!J106/10^6)</f>
        <v>0.17467998020689304</v>
      </c>
      <c r="K145" s="186">
        <f>K78/('National model results detailed'!K106/10^6)</f>
        <v>0.19567983180499468</v>
      </c>
      <c r="L145" s="186">
        <f>L78/('National model results detailed'!L106/10^6)</f>
        <v>0.20853303504640841</v>
      </c>
      <c r="M145" s="186">
        <f>M78/('National model results detailed'!M106/10^6)</f>
        <v>0.21639835699216764</v>
      </c>
      <c r="N145" s="186">
        <f>N78/('National model results detailed'!N106/10^6)</f>
        <v>0.22083574538810849</v>
      </c>
      <c r="O145" s="186">
        <f>O78/('National model results detailed'!O106/10^6)</f>
        <v>0.22349265684747402</v>
      </c>
      <c r="P145" s="186">
        <f>P78/('National model results detailed'!P106/10^6)</f>
        <v>0.22521833772841315</v>
      </c>
      <c r="Q145" s="186">
        <f>Q78/('National model results detailed'!Q106/10^6)</f>
        <v>0.22644288819460121</v>
      </c>
      <c r="R145" s="186">
        <f>R78/('National model results detailed'!R106/10^6)</f>
        <v>0.22739800627446297</v>
      </c>
      <c r="S145" s="186">
        <f>S78/('National model results detailed'!S106/10^6)</f>
        <v>0.22811719143574199</v>
      </c>
      <c r="T145" s="186">
        <f>T78/('National model results detailed'!T106/10^6)</f>
        <v>0.22861270964345465</v>
      </c>
      <c r="U145" s="186">
        <f>U78/('National model results detailed'!U106/10^6)</f>
        <v>0.22896560031217689</v>
      </c>
      <c r="V145" s="186">
        <f>V78/('National model results detailed'!V106/10^6)</f>
        <v>0.22929885244861356</v>
      </c>
      <c r="W145" s="186">
        <f>W78/('National model results detailed'!W106/10^6)</f>
        <v>0.2296089115444708</v>
      </c>
      <c r="X145" s="186">
        <f>X78/('National model results detailed'!X106/10^6)</f>
        <v>0.2297568219482809</v>
      </c>
      <c r="Y145" s="186">
        <f>Y78/('National model results detailed'!Y106/10^6)</f>
        <v>0.22993348649409243</v>
      </c>
      <c r="Z145" s="186">
        <f>Z78/('National model results detailed'!Z106/10^6)</f>
        <v>0.23015997345327269</v>
      </c>
      <c r="AA145" s="186">
        <f>AA78/('National model results detailed'!AA106/10^6)</f>
        <v>0.2304184427099846</v>
      </c>
      <c r="AB145" s="186">
        <f>AB78/('National model results detailed'!AB106/10^6)</f>
        <v>0.23063650309817291</v>
      </c>
      <c r="AC145" s="186">
        <f>AC78/('National model results detailed'!AC106/10^6)</f>
        <v>0.23084180093196605</v>
      </c>
      <c r="AD145" s="186">
        <f>AD78/('National model results detailed'!AD106/10^6)</f>
        <v>0.23106048098431423</v>
      </c>
      <c r="AE145" s="186">
        <f>AE78/('National model results detailed'!AE106/10^6)</f>
        <v>0.23130203283322021</v>
      </c>
      <c r="AF145" s="186">
        <f>AF78/('National model results detailed'!AF106/10^6)</f>
        <v>0.23157134180402117</v>
      </c>
      <c r="AG145" s="186">
        <f>AG78/('National model results detailed'!AG106/10^6)</f>
        <v>0.23186616962400708</v>
      </c>
      <c r="AH145" s="186">
        <f>AH78/('National model results detailed'!AH106/10^6)</f>
        <v>0.23218372466919299</v>
      </c>
      <c r="AI145" s="186">
        <f>AI78/('National model results detailed'!AI106/10^6)</f>
        <v>0.23250132006359858</v>
      </c>
      <c r="AJ145" s="186">
        <f>AJ78/('National model results detailed'!AJ106/10^6)</f>
        <v>0.23276722528224214</v>
      </c>
      <c r="AK145" s="186">
        <f>AK78/('National model results detailed'!AK106/10^6)</f>
        <v>0.23299528509052184</v>
      </c>
      <c r="AL145" s="186">
        <f>AL78/('National model results detailed'!AL106/10^6)</f>
        <v>0.23318158021833499</v>
      </c>
      <c r="AM145" s="186">
        <f>AM78/('National model results detailed'!AM106/10^6)</f>
        <v>0.23339524455958552</v>
      </c>
      <c r="AN145" s="186">
        <f>AN78/('National model results detailed'!AN106/10^6)</f>
        <v>0.23366343913921944</v>
      </c>
      <c r="AO145" s="186">
        <f>AO78/('National model results detailed'!AO106/10^6)</f>
        <v>0.23398836806541412</v>
      </c>
      <c r="BC145" s="791"/>
    </row>
    <row r="146" spans="1:55" ht="29">
      <c r="A146" s="19"/>
      <c r="B146" s="6" t="s">
        <v>15</v>
      </c>
      <c r="C146" s="186">
        <f>C79/('National model results detailed'!C107/10^6)</f>
        <v>0</v>
      </c>
      <c r="D146" s="186">
        <f>D79/('National model results detailed'!D107/10^6)</f>
        <v>0</v>
      </c>
      <c r="E146" s="186">
        <f>E79/('National model results detailed'!E107/10^6)</f>
        <v>0</v>
      </c>
      <c r="F146" s="186">
        <f>F79/('National model results detailed'!F107/10^6)</f>
        <v>0</v>
      </c>
      <c r="G146" s="186">
        <f>G79/('National model results detailed'!G107/10^6)</f>
        <v>5.53877033050066E-2</v>
      </c>
      <c r="H146" s="186">
        <f>H79/('National model results detailed'!H107/10^6)</f>
        <v>0.12026933309247244</v>
      </c>
      <c r="I146" s="186">
        <f>I79/('National model results detailed'!I107/10^6)</f>
        <v>0.15949717350659226</v>
      </c>
      <c r="J146" s="186">
        <f>J79/('National model results detailed'!J107/10^6)</f>
        <v>0.18293816341091312</v>
      </c>
      <c r="K146" s="186">
        <f>K79/('National model results detailed'!K107/10^6)</f>
        <v>0.19666824846448375</v>
      </c>
      <c r="L146" s="186">
        <f>L79/('National model results detailed'!L107/10^6)</f>
        <v>0.20448238718333914</v>
      </c>
      <c r="M146" s="186">
        <f>M79/('National model results detailed'!M107/10^6)</f>
        <v>0.2086446674131533</v>
      </c>
      <c r="N146" s="186">
        <f>N79/('National model results detailed'!N107/10^6)</f>
        <v>0.21029915933137108</v>
      </c>
      <c r="O146" s="186">
        <f>O79/('National model results detailed'!O107/10^6)</f>
        <v>0.21061886252674836</v>
      </c>
      <c r="P146" s="186">
        <f>P79/('National model results detailed'!P107/10^6)</f>
        <v>0.2102329773365669</v>
      </c>
      <c r="Q146" s="186">
        <f>Q79/('National model results detailed'!Q107/10^6)</f>
        <v>0.2094754269447415</v>
      </c>
      <c r="R146" s="186">
        <f>R79/('National model results detailed'!R107/10^6)</f>
        <v>0.20852468609670693</v>
      </c>
      <c r="S146" s="186">
        <f>S79/('National model results detailed'!S107/10^6)</f>
        <v>0.2074082796052249</v>
      </c>
      <c r="T146" s="186">
        <f>T79/('National model results detailed'!T107/10^6)</f>
        <v>0.20614697516876532</v>
      </c>
      <c r="U146" s="186">
        <f>U79/('National model results detailed'!U107/10^6)</f>
        <v>0.20482589588492281</v>
      </c>
      <c r="V146" s="186">
        <f>V79/('National model results detailed'!V107/10^6)</f>
        <v>0.20350593042252341</v>
      </c>
      <c r="W146" s="186">
        <f>W79/('National model results detailed'!W107/10^6)</f>
        <v>0.20218168837161585</v>
      </c>
      <c r="X146" s="186">
        <f>X79/('National model results detailed'!X107/10^6)</f>
        <v>0.20076701910935824</v>
      </c>
      <c r="Y146" s="186">
        <f>Y79/('National model results detailed'!Y107/10^6)</f>
        <v>0.19939291648370636</v>
      </c>
      <c r="Z146" s="186">
        <f>Z79/('National model results detailed'!Z107/10^6)</f>
        <v>0.19807033098546747</v>
      </c>
      <c r="AA146" s="186">
        <f>AA79/('National model results detailed'!AA107/10^6)</f>
        <v>0.19678372462295504</v>
      </c>
      <c r="AB146" s="186">
        <f>AB79/('National model results detailed'!AB107/10^6)</f>
        <v>0.19548523616560104</v>
      </c>
      <c r="AC146" s="186">
        <f>AC79/('National model results detailed'!AC107/10^6)</f>
        <v>0.19418791505258326</v>
      </c>
      <c r="AD146" s="186">
        <f>AD79/('National model results detailed'!AD107/10^6)</f>
        <v>0.19290476768300346</v>
      </c>
      <c r="AE146" s="186">
        <f>AE79/('National model results detailed'!AE107/10^6)</f>
        <v>0.19163894636909615</v>
      </c>
      <c r="AF146" s="186">
        <f>AF79/('National model results detailed'!AF107/10^6)</f>
        <v>0.19039508584210055</v>
      </c>
      <c r="AG146" s="186">
        <f>AG79/('National model results detailed'!AG107/10^6)</f>
        <v>0.18918158728065398</v>
      </c>
      <c r="AH146" s="186">
        <f>AH79/('National model results detailed'!AH107/10^6)</f>
        <v>0.18799700584253809</v>
      </c>
      <c r="AI146" s="186">
        <f>AI79/('National model results detailed'!AI107/10^6)</f>
        <v>0.18683109514329788</v>
      </c>
      <c r="AJ146" s="186">
        <f>AJ79/('National model results detailed'!AJ107/10^6)</f>
        <v>0.1856416299693267</v>
      </c>
      <c r="AK146" s="186">
        <f>AK79/('National model results detailed'!AK107/10^6)</f>
        <v>0.18442739499938321</v>
      </c>
      <c r="AL146" s="186">
        <f>AL79/('National model results detailed'!AL107/10^6)</f>
        <v>0.18318035448255177</v>
      </c>
      <c r="AM146" s="186">
        <f>AM79/('National model results detailed'!AM107/10^6)</f>
        <v>0.18194336299940106</v>
      </c>
      <c r="AN146" s="186">
        <f>AN79/('National model results detailed'!AN107/10^6)</f>
        <v>0.1807324086765924</v>
      </c>
      <c r="AO146" s="186">
        <f>AO79/('National model results detailed'!AO107/10^6)</f>
        <v>0.17954694620554212</v>
      </c>
    </row>
    <row r="147" spans="1:55" ht="29">
      <c r="A147" s="19"/>
      <c r="B147" s="6" t="s">
        <v>16</v>
      </c>
      <c r="C147" s="186">
        <f>C80/('National model results detailed'!C108/10^6)</f>
        <v>0</v>
      </c>
      <c r="D147" s="186">
        <f>D80/('National model results detailed'!D108/10^6)</f>
        <v>0</v>
      </c>
      <c r="E147" s="186">
        <f>E80/('National model results detailed'!E108/10^6)</f>
        <v>0</v>
      </c>
      <c r="F147" s="186">
        <f>F80/('National model results detailed'!F108/10^6)</f>
        <v>0</v>
      </c>
      <c r="G147" s="186">
        <f>G80/('National model results detailed'!G108/10^6)</f>
        <v>0.1444473376716604</v>
      </c>
      <c r="H147" s="186">
        <f>H80/('National model results detailed'!H108/10^6)</f>
        <v>0.20888768556982873</v>
      </c>
      <c r="I147" s="186">
        <f>I80/('National model results detailed'!I108/10^6)</f>
        <v>0.24812969084577582</v>
      </c>
      <c r="J147" s="186">
        <f>J80/('National model results detailed'!J108/10^6)</f>
        <v>0.27186598885225882</v>
      </c>
      <c r="K147" s="186">
        <f>K80/('National model results detailed'!K108/10^6)</f>
        <v>0.28604557949943266</v>
      </c>
      <c r="L147" s="186">
        <f>L80/('National model results detailed'!L108/10^6)</f>
        <v>0.29441184363957384</v>
      </c>
      <c r="M147" s="186">
        <f>M80/('National model results detailed'!M108/10^6)</f>
        <v>0.29919561509986797</v>
      </c>
      <c r="N147" s="186">
        <f>N80/('National model results detailed'!N108/10^6)</f>
        <v>0.30151085151786067</v>
      </c>
      <c r="O147" s="186">
        <f>O80/('National model results detailed'!O108/10^6)</f>
        <v>0.30252197210170095</v>
      </c>
      <c r="P147" s="186">
        <f>P80/('National model results detailed'!P108/10^6)</f>
        <v>0.30284295052736337</v>
      </c>
      <c r="Q147" s="186">
        <f>Q80/('National model results detailed'!Q108/10^6)</f>
        <v>0.30279337398540945</v>
      </c>
      <c r="R147" s="186">
        <f>R80/('National model results detailed'!R108/10^6)</f>
        <v>0.30254484374847601</v>
      </c>
      <c r="S147" s="186">
        <f>S80/('National model results detailed'!S108/10^6)</f>
        <v>0.302122272768511</v>
      </c>
      <c r="T147" s="186">
        <f>T80/('National model results detailed'!T108/10^6)</f>
        <v>0.30154047774676707</v>
      </c>
      <c r="U147" s="186">
        <f>U80/('National model results detailed'!U108/10^6)</f>
        <v>0.30087324660189674</v>
      </c>
      <c r="V147" s="186">
        <f>V80/('National model results detailed'!V108/10^6)</f>
        <v>0.30019345905956873</v>
      </c>
      <c r="W147" s="186">
        <f>W80/('National model results detailed'!W108/10^6)</f>
        <v>0.29949678688200543</v>
      </c>
      <c r="X147" s="186">
        <f>X80/('National model results detailed'!X108/10^6)</f>
        <v>0.29869027971037171</v>
      </c>
      <c r="Y147" s="186">
        <f>Y80/('National model results detailed'!Y108/10^6)</f>
        <v>0.2979091495257597</v>
      </c>
      <c r="Z147" s="186">
        <f>Z80/('National model results detailed'!Z108/10^6)</f>
        <v>0.29716646369243577</v>
      </c>
      <c r="AA147" s="186">
        <f>AA80/('National model results detailed'!AA108/10^6)</f>
        <v>0.29644775460043427</v>
      </c>
      <c r="AB147" s="186">
        <f>AB80/('National model results detailed'!AB108/10^6)</f>
        <v>0.29570273781746448</v>
      </c>
      <c r="AC147" s="186">
        <f>AC80/('National model results detailed'!AC108/10^6)</f>
        <v>0.29494746853982196</v>
      </c>
      <c r="AD147" s="186">
        <f>AD80/('National model results detailed'!AD108/10^6)</f>
        <v>0.2941975418666592</v>
      </c>
      <c r="AE147" s="186">
        <f>AE80/('National model results detailed'!AE108/10^6)</f>
        <v>0.29345763290065402</v>
      </c>
      <c r="AF147" s="186">
        <f>AF80/('National model results detailed'!AF108/10^6)</f>
        <v>0.29273209741988815</v>
      </c>
      <c r="AG147" s="186">
        <f>AG80/('National model results detailed'!AG108/10^6)</f>
        <v>0.29202588320096939</v>
      </c>
      <c r="AH147" s="186">
        <f>AH80/('National model results detailed'!AH108/10^6)</f>
        <v>0.29133750613178377</v>
      </c>
      <c r="AI147" s="186">
        <f>AI80/('National model results detailed'!AI108/10^6)</f>
        <v>0.29065434248920941</v>
      </c>
      <c r="AJ147" s="186">
        <f>AJ80/('National model results detailed'!AJ108/10^6)</f>
        <v>0.28993468857307153</v>
      </c>
      <c r="AK147" s="186">
        <f>AK80/('National model results detailed'!AK108/10^6)</f>
        <v>0.28918130975659434</v>
      </c>
      <c r="AL147" s="186">
        <f>AL80/('National model results detailed'!AL108/10^6)</f>
        <v>0.28838753913820442</v>
      </c>
      <c r="AM147" s="186">
        <f>AM80/('National model results detailed'!AM108/10^6)</f>
        <v>0.28760026674250655</v>
      </c>
      <c r="AN147" s="186">
        <f>AN80/('National model results detailed'!AN108/10^6)</f>
        <v>0.28683732957981001</v>
      </c>
      <c r="AO147" s="186">
        <f>AO80/('National model results detailed'!AO108/10^6)</f>
        <v>0.28609882231991302</v>
      </c>
    </row>
    <row r="148" spans="1:55">
      <c r="A148" s="19"/>
      <c r="B148" s="6" t="s">
        <v>103</v>
      </c>
      <c r="C148" s="186">
        <f>C81/('National model results detailed'!C109/10^6)</f>
        <v>0</v>
      </c>
      <c r="D148" s="186">
        <f>D81/('National model results detailed'!D109/10^6)</f>
        <v>0</v>
      </c>
      <c r="E148" s="186">
        <f>E81/('National model results detailed'!E109/10^6)</f>
        <v>0</v>
      </c>
      <c r="F148" s="186">
        <f>F81/('National model results detailed'!F109/10^6)</f>
        <v>0</v>
      </c>
      <c r="G148" s="186">
        <f>G81/('National model results detailed'!G109/10^6)</f>
        <v>-0.11439471792646622</v>
      </c>
      <c r="H148" s="186">
        <f>H81/('National model results detailed'!H109/10^6)</f>
        <v>-2.8118113098591795E-2</v>
      </c>
      <c r="I148" s="186">
        <f>I81/('National model results detailed'!I109/10^6)</f>
        <v>2.4729695886243287E-2</v>
      </c>
      <c r="J148" s="186">
        <f>J81/('National model results detailed'!J109/10^6)</f>
        <v>5.6978126375310016E-2</v>
      </c>
      <c r="K148" s="186">
        <f>K81/('National model results detailed'!K109/10^6)</f>
        <v>7.6482405362416725E-2</v>
      </c>
      <c r="L148" s="186">
        <f>L81/('National model results detailed'!L109/10^6)</f>
        <v>8.8222401865648684E-2</v>
      </c>
      <c r="M148" s="186">
        <f>M81/('National model results detailed'!M109/10^6)</f>
        <v>9.516581908431522E-2</v>
      </c>
      <c r="N148" s="186">
        <f>N81/('National model results detailed'!N109/10^6)</f>
        <v>9.8813895266271781E-2</v>
      </c>
      <c r="O148" s="186">
        <f>O81/('National model results detailed'!O109/10^6)</f>
        <v>0.1006987344607934</v>
      </c>
      <c r="P148" s="186">
        <f>P81/('National model results detailed'!P109/10^6)</f>
        <v>0.10163182348680391</v>
      </c>
      <c r="Q148" s="186">
        <f>Q81/('National model results detailed'!Q109/10^6)</f>
        <v>0.1020397501476509</v>
      </c>
      <c r="R148" s="186">
        <f>R81/('National model results detailed'!R109/10^6)</f>
        <v>0.10215714634127916</v>
      </c>
      <c r="S148" s="186">
        <f>S81/('National model results detailed'!S109/10^6)</f>
        <v>0.10203309822485843</v>
      </c>
      <c r="T148" s="186">
        <f>T81/('National model results detailed'!T109/10^6)</f>
        <v>0.10169566393978254</v>
      </c>
      <c r="U148" s="186">
        <f>U81/('National model results detailed'!U109/10^6)</f>
        <v>0.10123490932367785</v>
      </c>
      <c r="V148" s="186">
        <f>V81/('National model results detailed'!V109/10^6)</f>
        <v>0.10075156111290522</v>
      </c>
      <c r="W148" s="186">
        <f>W81/('National model results detailed'!W109/10^6)</f>
        <v>0.10024552899248521</v>
      </c>
      <c r="X148" s="186">
        <f>X81/('National model results detailed'!X109/10^6)</f>
        <v>9.9607424734950087E-2</v>
      </c>
      <c r="Y148" s="186">
        <f>Y81/('National model results detailed'!Y109/10^6)</f>
        <v>9.8997974380725717E-2</v>
      </c>
      <c r="Z148" s="186">
        <f>Z81/('National model results detailed'!Z109/10^6)</f>
        <v>9.8434746628979775E-2</v>
      </c>
      <c r="AA148" s="186">
        <f>AA81/('National model results detailed'!AA109/10^6)</f>
        <v>9.7902521542843818E-2</v>
      </c>
      <c r="AB148" s="186">
        <f>AB81/('National model results detailed'!AB109/10^6)</f>
        <v>9.7343203890530861E-2</v>
      </c>
      <c r="AC148" s="186">
        <f>AC81/('National model results detailed'!AC109/10^6)</f>
        <v>9.677692336802185E-2</v>
      </c>
      <c r="AD148" s="186">
        <f>AD81/('National model results detailed'!AD109/10^6)</f>
        <v>9.6222816029116573E-2</v>
      </c>
      <c r="AE148" s="186">
        <f>AE81/('National model results detailed'!AE109/10^6)</f>
        <v>9.5687035108331972E-2</v>
      </c>
      <c r="AF148" s="186">
        <f>AF81/('National model results detailed'!AF109/10^6)</f>
        <v>9.5173937467059155E-2</v>
      </c>
      <c r="AG148" s="186">
        <f>AG81/('National model results detailed'!AG109/10^6)</f>
        <v>9.4686035948271324E-2</v>
      </c>
      <c r="AH148" s="186">
        <f>AH81/('National model results detailed'!AH109/10^6)</f>
        <v>9.422131630013221E-2</v>
      </c>
      <c r="AI148" s="186">
        <f>AI81/('National model results detailed'!AI109/10^6)</f>
        <v>9.3764164129694599E-2</v>
      </c>
      <c r="AJ148" s="186">
        <f>AJ81/('National model results detailed'!AJ109/10^6)</f>
        <v>9.3270748330214787E-2</v>
      </c>
      <c r="AK148" s="186">
        <f>AK81/('National model results detailed'!AK109/10^6)</f>
        <v>9.2746970307073295E-2</v>
      </c>
      <c r="AL148" s="186">
        <f>AL81/('National model results detailed'!AL109/10^6)</f>
        <v>9.2187238955164966E-2</v>
      </c>
      <c r="AM148" s="186">
        <f>AM81/('National model results detailed'!AM109/10^6)</f>
        <v>9.1643189422445551E-2</v>
      </c>
      <c r="AN148" s="186">
        <f>AN81/('National model results detailed'!AN109/10^6)</f>
        <v>9.1134618143608376E-2</v>
      </c>
      <c r="AO148" s="186">
        <f>AO81/('National model results detailed'!AO109/10^6)</f>
        <v>9.0662103172452199E-2</v>
      </c>
    </row>
    <row r="149" spans="1:55">
      <c r="A149" s="19"/>
      <c r="B149" s="6" t="s">
        <v>104</v>
      </c>
      <c r="C149" s="186">
        <f>C82/('National model results detailed'!C110/10^6)</f>
        <v>0</v>
      </c>
      <c r="D149" s="186">
        <f>D82/('National model results detailed'!D110/10^6)</f>
        <v>0</v>
      </c>
      <c r="E149" s="186">
        <f>E82/('National model results detailed'!E110/10^6)</f>
        <v>0</v>
      </c>
      <c r="F149" s="186">
        <f>F82/('National model results detailed'!F110/10^6)</f>
        <v>0</v>
      </c>
      <c r="G149" s="186">
        <f>G82/('National model results detailed'!G110/10^6)</f>
        <v>-7.684125856020077E-2</v>
      </c>
      <c r="H149" s="186">
        <f>H82/('National model results detailed'!H110/10^6)</f>
        <v>1.2507248823032727E-2</v>
      </c>
      <c r="I149" s="186">
        <f>I82/('National model results detailed'!I110/10^6)</f>
        <v>6.8785810170739467E-2</v>
      </c>
      <c r="J149" s="186">
        <f>J82/('National model results detailed'!J110/10^6)</f>
        <v>0.10423759479261724</v>
      </c>
      <c r="K149" s="186">
        <f>K82/('National model results detailed'!K110/10^6)</f>
        <v>0.12650164182702359</v>
      </c>
      <c r="L149" s="186">
        <f>L82/('National model results detailed'!L110/10^6)</f>
        <v>0.14053388478093781</v>
      </c>
      <c r="M149" s="186">
        <f>M82/('National model results detailed'!M110/10^6)</f>
        <v>0.14935773940557318</v>
      </c>
      <c r="N149" s="186">
        <f>N82/('National model results detailed'!N110/10^6)</f>
        <v>0.15451945806039416</v>
      </c>
      <c r="O149" s="186">
        <f>O82/('National model results detailed'!O110/10^6)</f>
        <v>0.15765643482644409</v>
      </c>
      <c r="P149" s="186">
        <f>P82/('National model results detailed'!P110/10^6)</f>
        <v>0.15965844096241177</v>
      </c>
      <c r="Q149" s="186">
        <f>Q82/('National model results detailed'!Q110/10^6)</f>
        <v>0.16100586828950533</v>
      </c>
      <c r="R149" s="186">
        <f>R82/('National model results detailed'!R110/10^6)</f>
        <v>0.16197269671157385</v>
      </c>
      <c r="S149" s="186">
        <f>S82/('National model results detailed'!S110/10^6)</f>
        <v>0.1626267854152158</v>
      </c>
      <c r="T149" s="186">
        <f>T82/('National model results detailed'!T110/10^6)</f>
        <v>0.16300481088634952</v>
      </c>
      <c r="U149" s="186">
        <f>U82/('National model results detailed'!U110/10^6)</f>
        <v>0.16320533944629742</v>
      </c>
      <c r="V149" s="186">
        <f>V82/('National model results detailed'!V110/10^6)</f>
        <v>0.16335431278939069</v>
      </c>
      <c r="W149" s="186">
        <f>W82/('National model results detailed'!W110/10^6)</f>
        <v>0.16345811726394613</v>
      </c>
      <c r="X149" s="186">
        <f>X82/('National model results detailed'!X110/10^6)</f>
        <v>0.16339064068133055</v>
      </c>
      <c r="Y149" s="186">
        <f>Y82/('National model results detailed'!Y110/10^6)</f>
        <v>0.16333751870080396</v>
      </c>
      <c r="Z149" s="186">
        <f>Z82/('National model results detailed'!Z110/10^6)</f>
        <v>0.16332382297031309</v>
      </c>
      <c r="AA149" s="186">
        <f>AA82/('National model results detailed'!AA110/10^6)</f>
        <v>0.16333582147875242</v>
      </c>
      <c r="AB149" s="186">
        <f>AB82/('National model results detailed'!AB110/10^6)</f>
        <v>0.16330626201618387</v>
      </c>
      <c r="AC149" s="186">
        <f>AC82/('National model results detailed'!AC110/10^6)</f>
        <v>0.1632603953119284</v>
      </c>
      <c r="AD149" s="186">
        <f>AD82/('National model results detailed'!AD110/10^6)</f>
        <v>0.16322296460416325</v>
      </c>
      <c r="AE149" s="186">
        <f>AE82/('National model results detailed'!AE110/10^6)</f>
        <v>0.16320343303537294</v>
      </c>
      <c r="AF149" s="186">
        <f>AF82/('National model results detailed'!AF110/10^6)</f>
        <v>0.16320770515790561</v>
      </c>
      <c r="AG149" s="186">
        <f>AG82/('National model results detailed'!AG110/10^6)</f>
        <v>0.16323649516816782</v>
      </c>
      <c r="AH149" s="186">
        <f>AH82/('National model results detailed'!AH110/10^6)</f>
        <v>0.16328769298977139</v>
      </c>
      <c r="AI149" s="186">
        <f>AI82/('National model results detailed'!AI110/10^6)</f>
        <v>0.16334086248013283</v>
      </c>
      <c r="AJ149" s="186">
        <f>AJ82/('National model results detailed'!AJ110/10^6)</f>
        <v>0.16334431620077267</v>
      </c>
      <c r="AK149" s="186">
        <f>AK82/('National model results detailed'!AK110/10^6)</f>
        <v>0.16330740032887414</v>
      </c>
      <c r="AL149" s="186">
        <f>AL82/('National model results detailed'!AL110/10^6)</f>
        <v>0.16322434058900676</v>
      </c>
      <c r="AM149" s="186">
        <f>AM82/('National model results detailed'!AM110/10^6)</f>
        <v>0.16315990662084751</v>
      </c>
      <c r="AN149" s="186">
        <f>AN82/('National model results detailed'!AN110/10^6)</f>
        <v>0.16314085402406692</v>
      </c>
      <c r="AO149" s="186">
        <f>AO82/('National model results detailed'!AO110/10^6)</f>
        <v>0.16317034677860656</v>
      </c>
    </row>
    <row r="150" spans="1:55">
      <c r="A150" s="19"/>
      <c r="B150" s="6" t="s">
        <v>17</v>
      </c>
      <c r="C150" s="186">
        <f>C83/('National model results detailed'!C111/10^6)</f>
        <v>0</v>
      </c>
      <c r="D150" s="186">
        <f>D83/('National model results detailed'!D111/10^6)</f>
        <v>0</v>
      </c>
      <c r="E150" s="186">
        <f>E83/('National model results detailed'!E111/10^6)</f>
        <v>0</v>
      </c>
      <c r="F150" s="186">
        <f>F83/('National model results detailed'!F111/10^6)</f>
        <v>0</v>
      </c>
      <c r="G150" s="186">
        <f>G83/('National model results detailed'!G111/10^6)</f>
        <v>3.7252712168795894E-2</v>
      </c>
      <c r="H150" s="186">
        <f>H83/('National model results detailed'!H111/10^6)</f>
        <v>9.4082459081122227E-2</v>
      </c>
      <c r="I150" s="186">
        <f>I83/('National model results detailed'!I111/10^6)</f>
        <v>0.12724504892794616</v>
      </c>
      <c r="J150" s="186">
        <f>J83/('National model results detailed'!J111/10^6)</f>
        <v>0.14614815485344615</v>
      </c>
      <c r="K150" s="186">
        <f>K83/('National model results detailed'!K111/10^6)</f>
        <v>0.15650802081057238</v>
      </c>
      <c r="L150" s="186">
        <f>L83/('National model results detailed'!L111/10^6)</f>
        <v>0.16178497621398613</v>
      </c>
      <c r="M150" s="186">
        <f>M83/('National model results detailed'!M111/10^6)</f>
        <v>0.16400342917095687</v>
      </c>
      <c r="N150" s="186">
        <f>N83/('National model results detailed'!N111/10^6)</f>
        <v>0.16417563124693635</v>
      </c>
      <c r="O150" s="186">
        <f>O83/('National model results detailed'!O111/10^6)</f>
        <v>0.16330850879044698</v>
      </c>
      <c r="P150" s="186">
        <f>P83/('National model results detailed'!P111/10^6)</f>
        <v>0.16193450133355219</v>
      </c>
      <c r="Q150" s="186">
        <f>Q83/('National model results detailed'!Q111/10^6)</f>
        <v>0.16033022393667531</v>
      </c>
      <c r="R150" s="186">
        <f>R83/('National model results detailed'!R111/10^6)</f>
        <v>0.15863428126913562</v>
      </c>
      <c r="S150" s="186">
        <f>S83/('National model results detailed'!S111/10^6)</f>
        <v>0.15685549975534271</v>
      </c>
      <c r="T150" s="186">
        <f>T83/('National model results detailed'!T111/10^6)</f>
        <v>0.15500660964028692</v>
      </c>
      <c r="U150" s="186">
        <f>U83/('National model results detailed'!U111/10^6)</f>
        <v>0.15316532584088349</v>
      </c>
      <c r="V150" s="186">
        <f>V83/('National model results detailed'!V111/10^6)</f>
        <v>0.15136497304534507</v>
      </c>
      <c r="W150" s="186">
        <f>W83/('National model results detailed'!W111/10^6)</f>
        <v>0.14959430876786448</v>
      </c>
      <c r="X150" s="186">
        <f>X83/('National model results detailed'!X111/10^6)</f>
        <v>0.14778207340735766</v>
      </c>
      <c r="Y150" s="186">
        <f>Y83/('National model results detailed'!Y111/10^6)</f>
        <v>0.14603595458359866</v>
      </c>
      <c r="Z150" s="186">
        <f>Z83/('National model results detailed'!Z111/10^6)</f>
        <v>0.14436023040883425</v>
      </c>
      <c r="AA150" s="186">
        <f>AA83/('National model results detailed'!AA111/10^6)</f>
        <v>0.1427380579083172</v>
      </c>
      <c r="AB150" s="186">
        <f>AB83/('National model results detailed'!AB111/10^6)</f>
        <v>0.14112893702188667</v>
      </c>
      <c r="AC150" s="186">
        <f>AC83/('National model results detailed'!AC111/10^6)</f>
        <v>0.13954088792812464</v>
      </c>
      <c r="AD150" s="186">
        <f>AD83/('National model results detailed'!AD111/10^6)</f>
        <v>0.13798213375621543</v>
      </c>
      <c r="AE150" s="186">
        <f>AE83/('National model results detailed'!AE111/10^6)</f>
        <v>0.13645331117987516</v>
      </c>
      <c r="AF150" s="186">
        <f>AF83/('National model results detailed'!AF111/10^6)</f>
        <v>0.13495801843819458</v>
      </c>
      <c r="AG150" s="186">
        <f>AG83/('National model results detailed'!AG111/10^6)</f>
        <v>0.13350582607570785</v>
      </c>
      <c r="AH150" s="186">
        <f>AH83/('National model results detailed'!AH111/10^6)</f>
        <v>0.13209483051260618</v>
      </c>
      <c r="AI150" s="186">
        <f>AI83/('National model results detailed'!AI111/10^6)</f>
        <v>0.13071764473232148</v>
      </c>
      <c r="AJ150" s="186">
        <f>AJ83/('National model results detailed'!AJ111/10^6)</f>
        <v>0.12933733002837611</v>
      </c>
      <c r="AK150" s="186">
        <f>AK83/('National model results detailed'!AK111/10^6)</f>
        <v>0.12794986195067079</v>
      </c>
      <c r="AL150" s="186">
        <f>AL83/('National model results detailed'!AL111/10^6)</f>
        <v>0.12654741696502908</v>
      </c>
      <c r="AM150" s="186">
        <f>AM83/('National model results detailed'!AM111/10^6)</f>
        <v>0.12516349566767429</v>
      </c>
      <c r="AN150" s="186">
        <f>AN83/('National model results detailed'!AN111/10^6)</f>
        <v>0.12380973026325579</v>
      </c>
      <c r="AO150" s="186">
        <f>AO83/('National model results detailed'!AO111/10^6)</f>
        <v>0.12248453827363912</v>
      </c>
    </row>
    <row r="151" spans="1:55" ht="29">
      <c r="A151" s="19"/>
      <c r="B151" s="6" t="s">
        <v>106</v>
      </c>
      <c r="C151" s="186">
        <f>C84/('National model results detailed'!C112/10^6)</f>
        <v>0</v>
      </c>
      <c r="D151" s="186">
        <f>D84/('National model results detailed'!D112/10^6)</f>
        <v>0</v>
      </c>
      <c r="E151" s="186">
        <f>E84/('National model results detailed'!E112/10^6)</f>
        <v>0</v>
      </c>
      <c r="F151" s="186">
        <f>F84/('National model results detailed'!F112/10^6)</f>
        <v>0</v>
      </c>
      <c r="G151" s="186">
        <f>G84/('National model results detailed'!G112/10^6)</f>
        <v>0.11691981017361409</v>
      </c>
      <c r="H151" s="186">
        <f>H84/('National model results detailed'!H112/10^6)</f>
        <v>0.18754225113136735</v>
      </c>
      <c r="I151" s="186">
        <f>I84/('National model results detailed'!I112/10^6)</f>
        <v>0.23180833593188099</v>
      </c>
      <c r="J151" s="186">
        <f>J84/('National model results detailed'!J112/10^6)</f>
        <v>0.25957591383735412</v>
      </c>
      <c r="K151" s="186">
        <f>K84/('National model results detailed'!K112/10^6)</f>
        <v>0.2769567543966216</v>
      </c>
      <c r="L151" s="186">
        <f>L84/('National model results detailed'!L112/10^6)</f>
        <v>0.28790079565943688</v>
      </c>
      <c r="M151" s="186">
        <f>M84/('National model results detailed'!M112/10^6)</f>
        <v>0.29480228320821283</v>
      </c>
      <c r="N151" s="186">
        <f>N84/('National model results detailed'!N112/10^6)</f>
        <v>0.29887291095868229</v>
      </c>
      <c r="O151" s="186">
        <f>O84/('National model results detailed'!O112/10^6)</f>
        <v>0.30140127087328084</v>
      </c>
      <c r="P151" s="186">
        <f>P84/('National model results detailed'!P112/10^6)</f>
        <v>0.30307744304875256</v>
      </c>
      <c r="Q151" s="186">
        <f>Q84/('National model results detailed'!Q112/10^6)</f>
        <v>0.30426781754162618</v>
      </c>
      <c r="R151" s="186">
        <f>R84/('National model results detailed'!R112/10^6)</f>
        <v>0.30517950765294527</v>
      </c>
      <c r="S151" s="186">
        <f>S84/('National model results detailed'!S112/10^6)</f>
        <v>0.30585967267758352</v>
      </c>
      <c r="T151" s="186">
        <f>T84/('National model results detailed'!T112/10^6)</f>
        <v>0.30633152455225782</v>
      </c>
      <c r="U151" s="186">
        <f>U84/('National model results detailed'!U112/10^6)</f>
        <v>0.30666652702326241</v>
      </c>
      <c r="V151" s="186">
        <f>V84/('National model results detailed'!V112/10^6)</f>
        <v>0.30696676631153852</v>
      </c>
      <c r="W151" s="186">
        <f>W84/('National model results detailed'!W112/10^6)</f>
        <v>0.3072359141838879</v>
      </c>
      <c r="X151" s="186">
        <f>X84/('National model results detailed'!X112/10^6)</f>
        <v>0.30737043562538297</v>
      </c>
      <c r="Y151" s="186">
        <f>Y84/('National model results detailed'!Y112/10^6)</f>
        <v>0.30751845098296005</v>
      </c>
      <c r="Z151" s="186">
        <f>Z84/('National model results detailed'!Z112/10^6)</f>
        <v>0.30769965398075033</v>
      </c>
      <c r="AA151" s="186">
        <f>AA84/('National model results detailed'!AA112/10^6)</f>
        <v>0.30790286350380242</v>
      </c>
      <c r="AB151" s="186">
        <f>AB84/('National model results detailed'!AB112/10^6)</f>
        <v>0.30807347568920834</v>
      </c>
      <c r="AC151" s="186">
        <f>AC84/('National model results detailed'!AC112/10^6)</f>
        <v>0.30823261437159533</v>
      </c>
      <c r="AD151" s="186">
        <f>AD84/('National model results detailed'!AD112/10^6)</f>
        <v>0.30840076877689609</v>
      </c>
      <c r="AE151" s="186">
        <f>AE84/('National model results detailed'!AE112/10^6)</f>
        <v>0.30858588776792839</v>
      </c>
      <c r="AF151" s="186">
        <f>AF84/('National model results detailed'!AF112/10^6)</f>
        <v>0.30879234691758489</v>
      </c>
      <c r="AG151" s="186">
        <f>AG84/('National model results detailed'!AG112/10^6)</f>
        <v>0.30901896490114444</v>
      </c>
      <c r="AH151" s="186">
        <f>AH84/('National model results detailed'!AH112/10^6)</f>
        <v>0.30926391618659788</v>
      </c>
      <c r="AI151" s="186">
        <f>AI84/('National model results detailed'!AI112/10^6)</f>
        <v>0.30950984428066919</v>
      </c>
      <c r="AJ151" s="186">
        <f>AJ84/('National model results detailed'!AJ112/10^6)</f>
        <v>0.30971636272069042</v>
      </c>
      <c r="AK151" s="186">
        <f>AK84/('National model results detailed'!AK112/10^6)</f>
        <v>0.30989300095839356</v>
      </c>
      <c r="AL151" s="186">
        <f>AL84/('National model results detailed'!AL112/10^6)</f>
        <v>0.31003609629353146</v>
      </c>
      <c r="AM151" s="186">
        <f>AM84/('National model results detailed'!AM112/10^6)</f>
        <v>0.31019867558926667</v>
      </c>
      <c r="AN151" s="186">
        <f>AN84/('National model results detailed'!AN112/10^6)</f>
        <v>0.31040262672536389</v>
      </c>
      <c r="AO151" s="186">
        <f>AO84/('National model results detailed'!AO112/10^6)</f>
        <v>0.31065073633054369</v>
      </c>
    </row>
    <row r="152" spans="1:55" s="73" customFormat="1" ht="29">
      <c r="A152" s="802"/>
      <c r="B152" s="26" t="s">
        <v>107</v>
      </c>
      <c r="C152" s="186">
        <f>C85/('National model results detailed'!C113/10^6)</f>
        <v>0</v>
      </c>
      <c r="D152" s="186">
        <f>D85/('National model results detailed'!D113/10^6)</f>
        <v>0</v>
      </c>
      <c r="E152" s="186">
        <f>E85/('National model results detailed'!E113/10^6)</f>
        <v>0</v>
      </c>
      <c r="F152" s="186">
        <f>F85/('National model results detailed'!F113/10^6)</f>
        <v>0</v>
      </c>
      <c r="G152" s="186">
        <f>G85/('National model results detailed'!G113/10^6)</f>
        <v>0.11822542667140538</v>
      </c>
      <c r="H152" s="186">
        <f>H85/('National model results detailed'!H113/10^6)</f>
        <v>0.18869277833066153</v>
      </c>
      <c r="I152" s="186">
        <f>I85/('National model results detailed'!I113/10^6)</f>
        <v>0.2328609413318439</v>
      </c>
      <c r="J152" s="186">
        <f>J85/('National model results detailed'!J113/10^6)</f>
        <v>0.26056661892659572</v>
      </c>
      <c r="K152" s="186">
        <f>K85/('National model results detailed'!K113/10^6)</f>
        <v>0.27790838128444922</v>
      </c>
      <c r="L152" s="186">
        <f>L85/('National model results detailed'!L113/10^6)</f>
        <v>0.28882759899938548</v>
      </c>
      <c r="M152" s="186">
        <f>M85/('National model results detailed'!M113/10^6)</f>
        <v>0.2957132847909259</v>
      </c>
      <c r="N152" s="186">
        <f>N85/('National model results detailed'!N113/10^6)</f>
        <v>0.29977446342910857</v>
      </c>
      <c r="O152" s="186">
        <f>O85/('National model results detailed'!O113/10^6)</f>
        <v>0.30229687918985382</v>
      </c>
      <c r="P152" s="186">
        <f>P85/('National model results detailed'!P113/10^6)</f>
        <v>0.30396906758440428</v>
      </c>
      <c r="Q152" s="186">
        <f>Q85/('National model results detailed'!Q113/10^6)</f>
        <v>0.30515658762397763</v>
      </c>
      <c r="R152" s="186">
        <f>R85/('National model results detailed'!R113/10^6)</f>
        <v>0.3060660789482566</v>
      </c>
      <c r="S152" s="186">
        <f>S85/('National model results detailed'!S113/10^6)</f>
        <v>0.30674458584740411</v>
      </c>
      <c r="T152" s="186">
        <f>T85/('National model results detailed'!T113/10^6)</f>
        <v>0.3072152601469687</v>
      </c>
      <c r="U152" s="186">
        <f>U85/('National model results detailed'!U113/10^6)</f>
        <v>0.30754939897089201</v>
      </c>
      <c r="V152" s="186">
        <f>V85/('National model results detailed'!V113/10^6)</f>
        <v>0.30784886352747309</v>
      </c>
      <c r="W152" s="186">
        <f>W85/('National model results detailed'!W113/10^6)</f>
        <v>0.30811731413778398</v>
      </c>
      <c r="X152" s="186">
        <f>X85/('National model results detailed'!X113/10^6)</f>
        <v>0.30825144141469701</v>
      </c>
      <c r="Y152" s="186">
        <f>Y85/('National model results detailed'!Y113/10^6)</f>
        <v>0.30839903710707395</v>
      </c>
      <c r="Z152" s="186">
        <f>Z85/('National model results detailed'!Z113/10^6)</f>
        <v>0.30857974990410092</v>
      </c>
      <c r="AA152" s="186">
        <f>AA85/('National model results detailed'!AA113/10^6)</f>
        <v>0.30878242227821223</v>
      </c>
      <c r="AB152" s="186">
        <f>AB85/('National model results detailed'!AB113/10^6)</f>
        <v>0.30895257017698524</v>
      </c>
      <c r="AC152" s="186">
        <f>AC85/('National model results detailed'!AC113/10^6)</f>
        <v>0.30911127111031877</v>
      </c>
      <c r="AD152" s="186">
        <f>AD85/('National model results detailed'!AD113/10^6)</f>
        <v>0.30927896881643269</v>
      </c>
      <c r="AE152" s="186">
        <f>AE85/('National model results detailed'!AE113/10^6)</f>
        <v>0.30946359404640733</v>
      </c>
      <c r="AF152" s="186">
        <f>AF85/('National model results detailed'!AF113/10^6)</f>
        <v>0.30966951171094165</v>
      </c>
      <c r="AG152" s="186">
        <f>AG85/('National model results detailed'!AG113/10^6)</f>
        <v>0.30989554154283377</v>
      </c>
      <c r="AH152" s="186">
        <f>AH85/('National model results detailed'!AH113/10^6)</f>
        <v>0.31013986202177629</v>
      </c>
      <c r="AI152" s="186">
        <f>AI85/('National model results detailed'!AI113/10^6)</f>
        <v>0.31038515476878115</v>
      </c>
      <c r="AJ152" s="186">
        <f>AJ85/('National model results detailed'!AJ113/10^6)</f>
        <v>0.31059112406902201</v>
      </c>
      <c r="AK152" s="186">
        <f>AK85/('National model results detailed'!AK113/10^6)</f>
        <v>0.31076727962464101</v>
      </c>
      <c r="AL152" s="186">
        <f>AL85/('National model results detailed'!AL113/10^6)</f>
        <v>0.31090996715353025</v>
      </c>
      <c r="AM152" s="186">
        <f>AM85/('National model results detailed'!AM113/10^6)</f>
        <v>0.31107209580242773</v>
      </c>
      <c r="AN152" s="186">
        <f>AN85/('National model results detailed'!AN113/10^6)</f>
        <v>0.3112755041175983</v>
      </c>
      <c r="AO152" s="186">
        <f>AO85/('National model results detailed'!AO113/10^6)</f>
        <v>0.31152297170435839</v>
      </c>
      <c r="AQ152"/>
    </row>
    <row r="153" spans="1:55" s="73" customFormat="1">
      <c r="A153" s="802"/>
      <c r="B153" s="26" t="s">
        <v>2863</v>
      </c>
      <c r="C153" s="186">
        <f>C86/('National model results detailed'!C114/10^6)</f>
        <v>0</v>
      </c>
      <c r="D153" s="186">
        <f>D86/('National model results detailed'!D114/10^6)</f>
        <v>0</v>
      </c>
      <c r="E153" s="186">
        <f>E86/('National model results detailed'!E114/10^6)</f>
        <v>0</v>
      </c>
      <c r="F153" s="186">
        <f>F86/('National model results detailed'!F114/10^6)</f>
        <v>0</v>
      </c>
      <c r="G153" s="186">
        <f>G86/('National model results detailed'!G114/10^6)</f>
        <v>0.1243751804308262</v>
      </c>
      <c r="H153" s="186">
        <f>H86/('National model results detailed'!H114/10^6)</f>
        <v>0.16842415939197425</v>
      </c>
      <c r="I153" s="186">
        <f>I86/('National model results detailed'!I114/10^6)</f>
        <v>0.1927213772772117</v>
      </c>
      <c r="J153" s="186">
        <f>J86/('National model results detailed'!J114/10^6)</f>
        <v>0.20493559484122678</v>
      </c>
      <c r="K153" s="186">
        <f>K86/('National model results detailed'!K114/10^6)</f>
        <v>0.20985183343888986</v>
      </c>
      <c r="L153" s="186">
        <f>L86/('National model results detailed'!L114/10^6)</f>
        <v>0.21036977246100488</v>
      </c>
      <c r="M153" s="186">
        <f>M86/('National model results detailed'!M114/10^6)</f>
        <v>0.20821433381645715</v>
      </c>
      <c r="N153" s="186">
        <f>N86/('National model results detailed'!N114/10^6)</f>
        <v>0.20433969179688957</v>
      </c>
      <c r="O153" s="186">
        <f>O86/('National model results detailed'!O114/10^6)</f>
        <v>0.19954642416573218</v>
      </c>
      <c r="P153" s="186">
        <f>P86/('National model results detailed'!P114/10^6)</f>
        <v>0.19433611568325004</v>
      </c>
      <c r="Q153" s="186">
        <f>Q86/('National model results detailed'!Q114/10^6)</f>
        <v>0.18898362183679265</v>
      </c>
      <c r="R153" s="186">
        <f>R86/('National model results detailed'!R114/10^6)</f>
        <v>0.18992391029664943</v>
      </c>
      <c r="S153" s="186">
        <f>S86/('National model results detailed'!S114/10^6)</f>
        <v>0.18988920208708424</v>
      </c>
      <c r="T153" s="186">
        <f>T86/('National model results detailed'!T114/10^6)</f>
        <v>0.189217806146846</v>
      </c>
      <c r="U153" s="186">
        <f>U86/('National model results detailed'!U114/10^6)</f>
        <v>0.18821175014150748</v>
      </c>
      <c r="V153" s="186">
        <f>V86/('National model results detailed'!V114/10^6)</f>
        <v>0.18701862514577702</v>
      </c>
      <c r="W153" s="186">
        <f>W86/('National model results detailed'!W114/10^6)</f>
        <v>0.18570482938181795</v>
      </c>
      <c r="X153" s="186">
        <f>X86/('National model results detailed'!X114/10^6)</f>
        <v>0.1842477712309516</v>
      </c>
      <c r="Y153" s="186">
        <f>Y86/('National model results detailed'!Y114/10^6)</f>
        <v>0.18279644064922826</v>
      </c>
      <c r="Z153" s="186">
        <f>Z86/('National model results detailed'!Z114/10^6)</f>
        <v>0.1813717766973853</v>
      </c>
      <c r="AA153" s="186">
        <f>AA86/('National model results detailed'!AA114/10^6)</f>
        <v>0.1799651317745192</v>
      </c>
      <c r="AB153" s="186">
        <f>AB86/('National model results detailed'!AB114/10^6)</f>
        <v>0.17854084714216353</v>
      </c>
      <c r="AC153" s="186">
        <f>AC86/('National model results detailed'!AC114/10^6)</f>
        <v>0.17710966676212875</v>
      </c>
      <c r="AD153" s="186">
        <f>AD86/('National model results detailed'!AD114/10^6)</f>
        <v>0.17568239717290376</v>
      </c>
      <c r="AE153" s="186">
        <f>AE86/('National model results detailed'!AE114/10^6)</f>
        <v>0.17426264963666641</v>
      </c>
      <c r="AF153" s="186">
        <f>AF86/('National model results detailed'!AF114/10^6)</f>
        <v>0.1728616610842261</v>
      </c>
      <c r="AG153" s="186">
        <f>AG86/('National model results detailed'!AG114/10^6)</f>
        <v>0.17149841800403021</v>
      </c>
      <c r="AH153" s="186">
        <f>AH86/('National model results detailed'!AH114/10^6)</f>
        <v>0.17017237104782465</v>
      </c>
      <c r="AI153" s="186">
        <f>AI86/('National model results detailed'!AI114/10^6)</f>
        <v>0.16887958286290722</v>
      </c>
      <c r="AJ153" s="186">
        <f>AJ86/('National model results detailed'!AJ114/10^6)</f>
        <v>0.16757404394496475</v>
      </c>
      <c r="AK153" s="186">
        <f>AK86/('National model results detailed'!AK114/10^6)</f>
        <v>0.16624601768710845</v>
      </c>
      <c r="AL153" s="186">
        <f>AL86/('National model results detailed'!AL114/10^6)</f>
        <v>0.16488424796024428</v>
      </c>
      <c r="AM153" s="186">
        <f>AM86/('National model results detailed'!AM114/10^6)</f>
        <v>0.1635279792413335</v>
      </c>
      <c r="AN153" s="186">
        <f>AN86/('National model results detailed'!AN114/10^6)</f>
        <v>0.16219195800055042</v>
      </c>
      <c r="AO153" s="186">
        <f>AO86/('National model results detailed'!AO114/10^6)</f>
        <v>0.1608753169248508</v>
      </c>
      <c r="AQ153"/>
    </row>
    <row r="154" spans="1:55" s="73" customFormat="1">
      <c r="A154" s="802"/>
      <c r="B154" s="26" t="s">
        <v>2862</v>
      </c>
      <c r="C154" s="186">
        <f>C87/('National model results detailed'!C115/10^6)</f>
        <v>0</v>
      </c>
      <c r="D154" s="186">
        <f>D87/('National model results detailed'!D115/10^6)</f>
        <v>0</v>
      </c>
      <c r="E154" s="186">
        <f>E87/('National model results detailed'!E115/10^6)</f>
        <v>0</v>
      </c>
      <c r="F154" s="186">
        <f>F87/('National model results detailed'!F115/10^6)</f>
        <v>0</v>
      </c>
      <c r="G154" s="186">
        <f>G87/('National model results detailed'!G115/10^6)</f>
        <v>0.12437518043082611</v>
      </c>
      <c r="H154" s="186">
        <f>H87/('National model results detailed'!H115/10^6)</f>
        <v>0.16842415939197419</v>
      </c>
      <c r="I154" s="186">
        <f>I87/('National model results detailed'!I115/10^6)</f>
        <v>0.19272137727721167</v>
      </c>
      <c r="J154" s="186">
        <f>J87/('National model results detailed'!J115/10^6)</f>
        <v>0.20493559484122675</v>
      </c>
      <c r="K154" s="186">
        <f>K87/('National model results detailed'!K115/10^6)</f>
        <v>0.20985183343888994</v>
      </c>
      <c r="L154" s="186">
        <f>L87/('National model results detailed'!L115/10^6)</f>
        <v>0.21036977246100497</v>
      </c>
      <c r="M154" s="186">
        <f>M87/('National model results detailed'!M115/10^6)</f>
        <v>0.20821433381645729</v>
      </c>
      <c r="N154" s="186">
        <f>N87/('National model results detailed'!N115/10^6)</f>
        <v>0.20433969179688954</v>
      </c>
      <c r="O154" s="186">
        <f>O87/('National model results detailed'!O115/10^6)</f>
        <v>0.19954642416573218</v>
      </c>
      <c r="P154" s="186">
        <f>P87/('National model results detailed'!P115/10^6)</f>
        <v>0.19433611568324999</v>
      </c>
      <c r="Q154" s="186">
        <f>Q87/('National model results detailed'!Q115/10^6)</f>
        <v>0.18898362183679263</v>
      </c>
      <c r="R154" s="186">
        <f>R87/('National model results detailed'!R115/10^6)</f>
        <v>0.1899239102966494</v>
      </c>
      <c r="S154" s="186">
        <f>S87/('National model results detailed'!S115/10^6)</f>
        <v>0.18988920208708432</v>
      </c>
      <c r="T154" s="186">
        <f>T87/('National model results detailed'!T115/10^6)</f>
        <v>0.18921780614684586</v>
      </c>
      <c r="U154" s="186">
        <f>U87/('National model results detailed'!U115/10^6)</f>
        <v>0.18821175014150748</v>
      </c>
      <c r="V154" s="186">
        <f>V87/('National model results detailed'!V115/10^6)</f>
        <v>0.18701862514577697</v>
      </c>
      <c r="W154" s="186">
        <f>W87/('National model results detailed'!W115/10^6)</f>
        <v>0.18570482938181801</v>
      </c>
      <c r="X154" s="186">
        <f>X87/('National model results detailed'!X115/10^6)</f>
        <v>0.18424777123095162</v>
      </c>
      <c r="Y154" s="186">
        <f>Y87/('National model results detailed'!Y115/10^6)</f>
        <v>0.18279644064922826</v>
      </c>
      <c r="Z154" s="186">
        <f>Z87/('National model results detailed'!Z115/10^6)</f>
        <v>0.1813717766973853</v>
      </c>
      <c r="AA154" s="186">
        <f>AA87/('National model results detailed'!AA115/10^6)</f>
        <v>0.1799651317745192</v>
      </c>
      <c r="AB154" s="186">
        <f>AB87/('National model results detailed'!AB115/10^6)</f>
        <v>0.17854084714216362</v>
      </c>
      <c r="AC154" s="186">
        <f>AC87/('National model results detailed'!AC115/10^6)</f>
        <v>0.17710966676212878</v>
      </c>
      <c r="AD154" s="186">
        <f>AD87/('National model results detailed'!AD115/10^6)</f>
        <v>0.17568239717290363</v>
      </c>
      <c r="AE154" s="186">
        <f>AE87/('National model results detailed'!AE115/10^6)</f>
        <v>0.17426264963666638</v>
      </c>
      <c r="AF154" s="186">
        <f>AF87/('National model results detailed'!AF115/10^6)</f>
        <v>0.17286166108422601</v>
      </c>
      <c r="AG154" s="186">
        <f>AG87/('National model results detailed'!AG115/10^6)</f>
        <v>0.17149841800403007</v>
      </c>
      <c r="AH154" s="186">
        <f>AH87/('National model results detailed'!AH115/10^6)</f>
        <v>0.17017237104782462</v>
      </c>
      <c r="AI154" s="186">
        <f>AI87/('National model results detailed'!AI115/10^6)</f>
        <v>0.16887958286290727</v>
      </c>
      <c r="AJ154" s="186">
        <f>AJ87/('National model results detailed'!AJ115/10^6)</f>
        <v>0.16757404394496467</v>
      </c>
      <c r="AK154" s="186">
        <f>AK87/('National model results detailed'!AK115/10^6)</f>
        <v>0.16624601768710848</v>
      </c>
      <c r="AL154" s="186">
        <f>AL87/('National model results detailed'!AL115/10^6)</f>
        <v>0.16488424796024437</v>
      </c>
      <c r="AM154" s="186">
        <f>AM87/('National model results detailed'!AM115/10^6)</f>
        <v>0.16352797924133344</v>
      </c>
      <c r="AN154" s="186">
        <f>AN87/('National model results detailed'!AN115/10^6)</f>
        <v>0.16219195800055033</v>
      </c>
      <c r="AO154" s="186">
        <f>AO87/('National model results detailed'!AO115/10^6)</f>
        <v>0.16087531692485074</v>
      </c>
      <c r="AQ154"/>
    </row>
    <row r="155" spans="1:55" s="73" customFormat="1">
      <c r="A155" s="802"/>
      <c r="B155" s="26" t="s">
        <v>131</v>
      </c>
      <c r="C155" s="186">
        <f>C88/('National model results detailed'!C116/10^6)</f>
        <v>0</v>
      </c>
      <c r="D155" s="186">
        <f>D88/('National model results detailed'!D116/10^6)</f>
        <v>0</v>
      </c>
      <c r="E155" s="186">
        <f>E88/('National model results detailed'!E116/10^6)</f>
        <v>0</v>
      </c>
      <c r="F155" s="186">
        <f>F88/('National model results detailed'!F116/10^6)</f>
        <v>0</v>
      </c>
      <c r="G155" s="186">
        <f>G88/('National model results detailed'!G116/10^6)</f>
        <v>-4.2559378984218439</v>
      </c>
      <c r="H155" s="186">
        <f>H88/('National model results detailed'!H116/10^6)</f>
        <v>-3.6121541692308292</v>
      </c>
      <c r="I155" s="186">
        <f>I88/('National model results detailed'!I116/10^6)</f>
        <v>-3.2178637417867213</v>
      </c>
      <c r="J155" s="186">
        <f>J88/('National model results detailed'!J116/10^6)</f>
        <v>-2.9766330534788605</v>
      </c>
      <c r="K155" s="186">
        <f>K88/('National model results detailed'!K116/10^6)</f>
        <v>-2.8296583607303543</v>
      </c>
      <c r="L155" s="186">
        <f>L88/('National model results detailed'!L116/10^6)</f>
        <v>-2.7397007918201202</v>
      </c>
      <c r="M155" s="186">
        <f>M88/('National model results detailed'!M116/10^6)</f>
        <v>-2.684652627744021</v>
      </c>
      <c r="N155" s="186">
        <f>N88/('National model results detailed'!N116/10^6)</f>
        <v>-2.6535960370318197</v>
      </c>
      <c r="O155" s="186">
        <f>O88/('National model results detailed'!O116/10^6)</f>
        <v>-2.6350007272708913</v>
      </c>
      <c r="P155" s="186">
        <f>P88/('National model results detailed'!P116/10^6)</f>
        <v>-2.6229229553841162</v>
      </c>
      <c r="Q155" s="186">
        <f>Q88/('National model results detailed'!Q116/10^6)</f>
        <v>-2.6143525172701949</v>
      </c>
      <c r="R155" s="186">
        <f>R88/('National model results detailed'!R116/10^6)</f>
        <v>-2.6076677944915398</v>
      </c>
      <c r="S155" s="186">
        <f>S88/('National model results detailed'!S116/10^6)</f>
        <v>-2.6026343294875383</v>
      </c>
      <c r="T155" s="186">
        <f>T88/('National model results detailed'!T116/10^6)</f>
        <v>-2.5991662746782165</v>
      </c>
      <c r="U155" s="186">
        <f>U88/('National model results detailed'!U116/10^6)</f>
        <v>-2.5966964478145842</v>
      </c>
      <c r="V155" s="186">
        <f>V88/('National model results detailed'!V116/10^6)</f>
        <v>-2.5943640679817186</v>
      </c>
      <c r="W155" s="186">
        <f>W88/('National model results detailed'!W116/10^6)</f>
        <v>-2.5921940126299181</v>
      </c>
      <c r="X155" s="186">
        <f>X88/('National model results detailed'!X116/10^6)</f>
        <v>-2.5911588107356227</v>
      </c>
      <c r="Y155" s="186">
        <f>Y88/('National model results detailed'!Y116/10^6)</f>
        <v>-2.5899223630769845</v>
      </c>
      <c r="Z155" s="186">
        <f>Z88/('National model results detailed'!Z116/10^6)</f>
        <v>-2.5883372161019436</v>
      </c>
      <c r="AA155" s="186">
        <f>AA88/('National model results detailed'!AA116/10^6)</f>
        <v>-2.5865282300044603</v>
      </c>
      <c r="AB155" s="186">
        <f>AB88/('National model results detailed'!AB116/10^6)</f>
        <v>-2.5850020592882097</v>
      </c>
      <c r="AC155" s="186">
        <f>AC88/('National model results detailed'!AC116/10^6)</f>
        <v>-2.5835652117037062</v>
      </c>
      <c r="AD155" s="186">
        <f>AD88/('National model results detailed'!AD116/10^6)</f>
        <v>-2.5820347040544522</v>
      </c>
      <c r="AE155" s="186">
        <f>AE88/('National model results detailed'!AE116/10^6)</f>
        <v>-2.5803441202610413</v>
      </c>
      <c r="AF155" s="186">
        <f>AF88/('National model results detailed'!AF116/10^6)</f>
        <v>-2.5784592686918297</v>
      </c>
      <c r="AG155" s="186">
        <f>AG88/('National model results detailed'!AG116/10^6)</f>
        <v>-2.5763958146691333</v>
      </c>
      <c r="AH155" s="186">
        <f>AH88/('National model results detailed'!AH116/10^6)</f>
        <v>-2.5741732963347106</v>
      </c>
      <c r="AI155" s="186">
        <f>AI88/('National model results detailed'!AI116/10^6)</f>
        <v>-2.5719504956023789</v>
      </c>
      <c r="AJ155" s="186">
        <f>AJ88/('National model results detailed'!AJ116/10^6)</f>
        <v>-2.5700894663647298</v>
      </c>
      <c r="AK155" s="186">
        <f>AK88/('National model results detailed'!AK116/10^6)</f>
        <v>-2.5684933112636523</v>
      </c>
      <c r="AL155" s="186">
        <f>AL88/('National model results detailed'!AL116/10^6)</f>
        <v>-2.5671894606605665</v>
      </c>
      <c r="AM155" s="186">
        <f>AM88/('National model results detailed'!AM116/10^6)</f>
        <v>-2.5656940571925997</v>
      </c>
      <c r="AN155" s="186">
        <f>AN88/('National model results detailed'!AN116/10^6)</f>
        <v>-2.5638170050737132</v>
      </c>
      <c r="AO155" s="186">
        <f>AO88/('National model results detailed'!AO116/10^6)</f>
        <v>-2.561542878093841</v>
      </c>
      <c r="AQ155"/>
    </row>
    <row r="156" spans="1:55" s="73" customFormat="1" ht="29">
      <c r="A156" s="802"/>
      <c r="B156" s="26" t="s">
        <v>2869</v>
      </c>
      <c r="C156" s="186">
        <f>C89/('National model results detailed'!C117/10^6)</f>
        <v>0</v>
      </c>
      <c r="D156" s="186">
        <f>D89/('National model results detailed'!D117/10^6)</f>
        <v>0</v>
      </c>
      <c r="E156" s="186">
        <f>E89/('National model results detailed'!E117/10^6)</f>
        <v>0</v>
      </c>
      <c r="F156" s="186">
        <f>F89/('National model results detailed'!F117/10^6)</f>
        <v>0</v>
      </c>
      <c r="G156" s="186">
        <f>G89/('National model results detailed'!G117/10^6)</f>
        <v>0.3686958545954182</v>
      </c>
      <c r="H156" s="186">
        <f>H89/('National model results detailed'!H117/10^6)</f>
        <v>0.37407950854455957</v>
      </c>
      <c r="I156" s="186">
        <f>I89/('National model results detailed'!I117/10^6)</f>
        <v>0.37464491759549612</v>
      </c>
      <c r="J156" s="186">
        <f>J89/('National model results detailed'!J117/10^6)</f>
        <v>0.37240021511004739</v>
      </c>
      <c r="K156" s="186">
        <f>K89/('National model results detailed'!K117/10^6)</f>
        <v>0.36871455246715029</v>
      </c>
      <c r="L156" s="186">
        <f>L89/('National model results detailed'!L117/10^6)</f>
        <v>0.36419607916319213</v>
      </c>
      <c r="M156" s="186">
        <f>M89/('National model results detailed'!M117/10^6)</f>
        <v>0.35921109793164069</v>
      </c>
      <c r="N156" s="186">
        <f>N89/('National model results detailed'!N117/10^6)</f>
        <v>0.35394417810636258</v>
      </c>
      <c r="O156" s="186">
        <f>O89/('National model results detailed'!O117/10^6)</f>
        <v>0.34858992769122238</v>
      </c>
      <c r="P156" s="186">
        <f>P89/('National model results detailed'!P117/10^6)</f>
        <v>0.3432860889847158</v>
      </c>
      <c r="Q156" s="186">
        <f>Q89/('National model results detailed'!Q117/10^6)</f>
        <v>0.33811831106993673</v>
      </c>
      <c r="R156" s="186">
        <f>R89/('National model results detailed'!R117/10^6)</f>
        <v>0.33311046939633643</v>
      </c>
      <c r="S156" s="186">
        <f>S89/('National model results detailed'!S117/10^6)</f>
        <v>0.32822666829782104</v>
      </c>
      <c r="T156" s="186">
        <f>T89/('National model results detailed'!T117/10^6)</f>
        <v>0.3234661074531639</v>
      </c>
      <c r="U156" s="186">
        <f>U89/('National model results detailed'!U117/10^6)</f>
        <v>0.31890211263697754</v>
      </c>
      <c r="V156" s="186">
        <f>V89/('National model results detailed'!V117/10^6)</f>
        <v>0.31447602810125558</v>
      </c>
      <c r="W156" s="186">
        <f>W89/('National model results detailed'!W117/10^6)</f>
        <v>0.31016326361790481</v>
      </c>
      <c r="X156" s="186">
        <f>X89/('National model results detailed'!X117/10^6)</f>
        <v>0.30594081717053784</v>
      </c>
      <c r="Y156" s="186">
        <f>Y89/('National model results detailed'!Y117/10^6)</f>
        <v>0.30185176066128949</v>
      </c>
      <c r="Z156" s="186">
        <f>Z89/('National model results detailed'!Z117/10^6)</f>
        <v>0.29788486207355569</v>
      </c>
      <c r="AA156" s="186">
        <f>AA89/('National model results detailed'!AA117/10^6)</f>
        <v>0.29402068565259531</v>
      </c>
      <c r="AB156" s="186">
        <f>AB89/('National model results detailed'!AB117/10^6)</f>
        <v>0.29023828022164289</v>
      </c>
      <c r="AC156" s="186">
        <f>AC89/('National model results detailed'!AC117/10^6)</f>
        <v>0.28652783203938736</v>
      </c>
      <c r="AD156" s="186">
        <f>AD89/('National model results detailed'!AD117/10^6)</f>
        <v>0.28288247250962262</v>
      </c>
      <c r="AE156" s="186">
        <f>AE89/('National model results detailed'!AE117/10^6)</f>
        <v>0.27929485395261261</v>
      </c>
      <c r="AF156" s="186">
        <f>AF89/('National model results detailed'!AF117/10^6)</f>
        <v>0.27576826176583003</v>
      </c>
      <c r="AG156" s="186">
        <f>AG89/('National model results detailed'!AG117/10^6)</f>
        <v>0.27232477116793397</v>
      </c>
      <c r="AH156" s="186">
        <f>AH89/('National model results detailed'!AH117/10^6)</f>
        <v>0.26896286068721359</v>
      </c>
      <c r="AI156" s="186">
        <f>AI89/('National model results detailed'!AI117/10^6)</f>
        <v>0.2656856828084142</v>
      </c>
      <c r="AJ156" s="186">
        <f>AJ89/('National model results detailed'!AJ117/10^6)</f>
        <v>0.26245742942859435</v>
      </c>
      <c r="AK156" s="186">
        <f>AK89/('National model results detailed'!AK117/10^6)</f>
        <v>0.2592569519638524</v>
      </c>
      <c r="AL156" s="186">
        <f>AL89/('National model results detailed'!AL117/10^6)</f>
        <v>0.25606960137042178</v>
      </c>
      <c r="AM156" s="186">
        <f>AM89/('National model results detailed'!AM117/10^6)</f>
        <v>0.25290982751562369</v>
      </c>
      <c r="AN156" s="186">
        <f>AN89/('National model results detailed'!AN117/10^6)</f>
        <v>0.2497812058592235</v>
      </c>
      <c r="AO156" s="186">
        <f>AO89/('National model results detailed'!AO117/10^6)</f>
        <v>0.24667977977169417</v>
      </c>
      <c r="AQ156"/>
    </row>
    <row r="157" spans="1:55" s="73" customFormat="1" ht="29">
      <c r="A157" s="802"/>
      <c r="B157" s="26" t="s">
        <v>2870</v>
      </c>
      <c r="C157" s="186">
        <f>C90/('National model results detailed'!C118/10^6)</f>
        <v>0</v>
      </c>
      <c r="D157" s="186">
        <f>D90/('National model results detailed'!D118/10^6)</f>
        <v>0</v>
      </c>
      <c r="E157" s="186">
        <f>E90/('National model results detailed'!E118/10^6)</f>
        <v>0</v>
      </c>
      <c r="F157" s="186">
        <f>F90/('National model results detailed'!F118/10^6)</f>
        <v>0</v>
      </c>
      <c r="G157" s="186">
        <f>G90/('National model results detailed'!G118/10^6)</f>
        <v>0.14793002349139445</v>
      </c>
      <c r="H157" s="186">
        <f>H90/('National model results detailed'!H118/10^6)</f>
        <v>0.21187547076898472</v>
      </c>
      <c r="I157" s="186">
        <f>I90/('National model results detailed'!I118/10^6)</f>
        <v>0.25254005239456551</v>
      </c>
      <c r="J157" s="186">
        <f>J90/('National model results detailed'!J118/10^6)</f>
        <v>0.27842533940954167</v>
      </c>
      <c r="K157" s="186">
        <f>K90/('National model results detailed'!K118/10^6)</f>
        <v>0.29489203924199708</v>
      </c>
      <c r="L157" s="186">
        <f>L90/('National model results detailed'!L118/10^6)</f>
        <v>0.30541915426377342</v>
      </c>
      <c r="M157" s="186">
        <f>M90/('National model results detailed'!M118/10^6)</f>
        <v>0.31215332731066525</v>
      </c>
      <c r="N157" s="186">
        <f>N90/('National model results detailed'!N118/10^6)</f>
        <v>0.31619953877176982</v>
      </c>
      <c r="O157" s="186">
        <f>O90/('National model results detailed'!O118/10^6)</f>
        <v>0.31874321352404816</v>
      </c>
      <c r="P157" s="186">
        <f>P90/('National model results detailed'!P118/10^6)</f>
        <v>0.3204386425009888</v>
      </c>
      <c r="Q157" s="186">
        <f>Q90/('National model results detailed'!Q118/10^6)</f>
        <v>0.3216433656855946</v>
      </c>
      <c r="R157" s="186">
        <f>R90/('National model results detailed'!R118/10^6)</f>
        <v>0.32256120265209909</v>
      </c>
      <c r="S157" s="186">
        <f>S90/('National model results detailed'!S118/10^6)</f>
        <v>0.3232421525474079</v>
      </c>
      <c r="T157" s="186">
        <f>T90/('National model results detailed'!T118/10^6)</f>
        <v>0.32371517013380541</v>
      </c>
      <c r="U157" s="186">
        <f>U90/('National model results detailed'!U118/10^6)</f>
        <v>0.32405758821142011</v>
      </c>
      <c r="V157" s="186">
        <f>V90/('National model results detailed'!V118/10^6)</f>
        <v>0.32435834875533337</v>
      </c>
      <c r="W157" s="186">
        <f>W90/('National model results detailed'!W118/10^6)</f>
        <v>0.32462260673638277</v>
      </c>
      <c r="X157" s="186">
        <f>X90/('National model results detailed'!X118/10^6)</f>
        <v>0.32475752509133698</v>
      </c>
      <c r="Y157" s="186">
        <f>Y90/('National model results detailed'!Y118/10^6)</f>
        <v>0.32490266610244478</v>
      </c>
      <c r="Z157" s="186">
        <f>Z90/('National model results detailed'!Z118/10^6)</f>
        <v>0.32507685897518196</v>
      </c>
      <c r="AA157" s="186">
        <f>AA90/('National model results detailed'!AA118/10^6)</f>
        <v>0.32526993331898424</v>
      </c>
      <c r="AB157" s="186">
        <f>AB90/('National model results detailed'!AB118/10^6)</f>
        <v>0.32543173018888594</v>
      </c>
      <c r="AC157" s="186">
        <f>AC90/('National model results detailed'!AC118/10^6)</f>
        <v>0.32558103051511894</v>
      </c>
      <c r="AD157" s="186">
        <f>AD90/('National model results detailed'!AD118/10^6)</f>
        <v>0.32573672834866751</v>
      </c>
      <c r="AE157" s="186">
        <f>AE90/('National model results detailed'!AE118/10^6)</f>
        <v>0.325906489699614</v>
      </c>
      <c r="AF157" s="186">
        <f>AF90/('National model results detailed'!AF118/10^6)</f>
        <v>0.32609573203322895</v>
      </c>
      <c r="AG157" s="186">
        <f>AG90/('National model results detailed'!AG118/10^6)</f>
        <v>0.3263063417608279</v>
      </c>
      <c r="AH157" s="186">
        <f>AH90/('National model results detailed'!AH118/10^6)</f>
        <v>0.32653658662113749</v>
      </c>
      <c r="AI157" s="186">
        <f>AI90/('National model results detailed'!AI118/10^6)</f>
        <v>0.32677100543613585</v>
      </c>
      <c r="AJ157" s="186">
        <f>AJ90/('National model results detailed'!AJ118/10^6)</f>
        <v>0.32696899049585637</v>
      </c>
      <c r="AK157" s="186">
        <f>AK90/('National model results detailed'!AK118/10^6)</f>
        <v>0.3271369919771478</v>
      </c>
      <c r="AL157" s="186">
        <f>AL90/('National model results detailed'!AL118/10^6)</f>
        <v>0.32727075103521219</v>
      </c>
      <c r="AM157" s="186">
        <f>AM90/('National model results detailed'!AM118/10^6)</f>
        <v>0.32742062927728255</v>
      </c>
      <c r="AN157" s="186">
        <f>AN90/('National model results detailed'!AN118/10^6)</f>
        <v>0.32760797762850274</v>
      </c>
      <c r="AO157" s="186">
        <f>AO90/('National model results detailed'!AO118/10^6)</f>
        <v>0.32783599472525043</v>
      </c>
      <c r="AQ157"/>
    </row>
    <row r="158" spans="1:55" s="73" customFormat="1">
      <c r="A158" s="802"/>
      <c r="B158" s="26" t="s">
        <v>102</v>
      </c>
      <c r="C158" s="186">
        <f>C91/('National model results detailed'!C119/10^6)</f>
        <v>0</v>
      </c>
      <c r="D158" s="186">
        <f>D91/('National model results detailed'!D119/10^6)</f>
        <v>0</v>
      </c>
      <c r="E158" s="186">
        <f>E91/('National model results detailed'!E119/10^6)</f>
        <v>0</v>
      </c>
      <c r="F158" s="186">
        <f>F91/('National model results detailed'!F119/10^6)</f>
        <v>0</v>
      </c>
      <c r="G158" s="186">
        <f>G91/('National model results detailed'!G119/10^6)</f>
        <v>-2.6174018975211775</v>
      </c>
      <c r="H158" s="186">
        <f>H91/('National model results detailed'!H119/10^6)</f>
        <v>-3.4328397707307245</v>
      </c>
      <c r="I158" s="186">
        <f>I91/('National model results detailed'!I119/10^6)</f>
        <v>-4.041329596180919</v>
      </c>
      <c r="J158" s="186">
        <f>J91/('National model results detailed'!J119/10^6)</f>
        <v>-4.5130371245423078</v>
      </c>
      <c r="K158" s="186">
        <f>K91/('National model results detailed'!K119/10^6)</f>
        <v>-4.8895338700519613</v>
      </c>
      <c r="L158" s="186">
        <f>L91/('National model results detailed'!L119/10^6)</f>
        <v>-5.1984134223856353</v>
      </c>
      <c r="M158" s="186">
        <f>M91/('National model results detailed'!M119/10^6)</f>
        <v>-5.4577372044413623</v>
      </c>
      <c r="N158" s="186">
        <f>N91/('National model results detailed'!N119/10^6)</f>
        <v>-6.0094520022808098</v>
      </c>
      <c r="O158" s="186">
        <f>O91/('National model results detailed'!O119/10^6)</f>
        <v>-6.5533252516678679</v>
      </c>
      <c r="P158" s="186">
        <f>P91/('National model results detailed'!P119/10^6)</f>
        <v>-7.0894077394853348</v>
      </c>
      <c r="Q158" s="186">
        <f>Q91/('National model results detailed'!Q119/10^6)</f>
        <v>-7.6175113069665876</v>
      </c>
      <c r="R158" s="186">
        <f>R91/('National model results detailed'!R119/10^6)</f>
        <v>-7.3356656342848403</v>
      </c>
      <c r="S158" s="186">
        <f>S91/('National model results detailed'!S119/10^6)</f>
        <v>-7.159196325752414</v>
      </c>
      <c r="T158" s="186">
        <f>T91/('National model results detailed'!T119/10^6)</f>
        <v>-7.0490687805217478</v>
      </c>
      <c r="U158" s="186">
        <f>U91/('National model results detailed'!U119/10^6)</f>
        <v>-6.9798258664265536</v>
      </c>
      <c r="V158" s="186">
        <f>V91/('National model results detailed'!V119/10^6)</f>
        <v>-6.936274208984968</v>
      </c>
      <c r="W158" s="186">
        <f>W91/('National model results detailed'!W119/10^6)</f>
        <v>-6.9089105038871184</v>
      </c>
      <c r="X158" s="186">
        <f>X91/('National model results detailed'!X119/10^6)</f>
        <v>-6.892052840875083</v>
      </c>
      <c r="Y158" s="186">
        <f>Y91/('National model results detailed'!Y119/10^6)</f>
        <v>-6.8808860060553743</v>
      </c>
      <c r="Z158" s="186">
        <f>Z91/('National model results detailed'!Z119/10^6)</f>
        <v>-6.873138215901327</v>
      </c>
      <c r="AA158" s="186">
        <f>AA91/('National model results detailed'!AA119/10^6)</f>
        <v>-6.8676493006874955</v>
      </c>
      <c r="AB158" s="186">
        <f>AB91/('National model results detailed'!AB119/10^6)</f>
        <v>-6.8638858762876236</v>
      </c>
      <c r="AC158" s="186">
        <f>AC91/('National model results detailed'!AC119/10^6)</f>
        <v>-6.8614570579465752</v>
      </c>
      <c r="AD158" s="186">
        <f>AD91/('National model results detailed'!AD119/10^6)</f>
        <v>-6.8600066328650025</v>
      </c>
      <c r="AE158" s="186">
        <f>AE91/('National model results detailed'!AE119/10^6)</f>
        <v>-6.8592025416725031</v>
      </c>
      <c r="AF158" s="186">
        <f>AF91/('National model results detailed'!AF119/10^6)</f>
        <v>-6.8586373834177996</v>
      </c>
      <c r="AG158" s="186">
        <f>AG91/('National model results detailed'!AG119/10^6)</f>
        <v>-6.8579371746053601</v>
      </c>
      <c r="AH158" s="186">
        <f>AH91/('National model results detailed'!AH119/10^6)</f>
        <v>-6.8570199071407156</v>
      </c>
      <c r="AI158" s="186">
        <f>AI91/('National model results detailed'!AI119/10^6)</f>
        <v>-6.8556359795568147</v>
      </c>
      <c r="AJ158" s="186">
        <f>AJ91/('National model results detailed'!AJ119/10^6)</f>
        <v>-6.8542219848448305</v>
      </c>
      <c r="AK158" s="186">
        <f>AK91/('National model results detailed'!AK119/10^6)</f>
        <v>-6.8530478811208235</v>
      </c>
      <c r="AL158" s="186">
        <f>AL91/('National model results detailed'!AL119/10^6)</f>
        <v>-6.8523063497828707</v>
      </c>
      <c r="AM158" s="186">
        <f>AM91/('National model results detailed'!AM119/10^6)</f>
        <v>-6.8516979523814241</v>
      </c>
      <c r="AN158" s="186">
        <f>AN91/('National model results detailed'!AN119/10^6)</f>
        <v>-6.851058266485909</v>
      </c>
      <c r="AO158" s="186">
        <f>AO91/('National model results detailed'!AO119/10^6)</f>
        <v>-6.8503427676858308</v>
      </c>
      <c r="AQ158"/>
    </row>
    <row r="159" spans="1:55" s="73" customFormat="1">
      <c r="A159" s="802"/>
      <c r="B159" s="26" t="s">
        <v>2831</v>
      </c>
      <c r="C159" s="186">
        <f>C92/('National model results detailed'!C120/10^6)</f>
        <v>0</v>
      </c>
      <c r="D159" s="186">
        <f>D92/('National model results detailed'!D120/10^6)</f>
        <v>0</v>
      </c>
      <c r="E159" s="186">
        <f>E92/('National model results detailed'!E120/10^6)</f>
        <v>0</v>
      </c>
      <c r="F159" s="186">
        <f>F92/('National model results detailed'!F120/10^6)</f>
        <v>0</v>
      </c>
      <c r="G159" s="186">
        <f>G92/('National model results detailed'!G120/10^6)</f>
        <v>1.5779543835528229E-3</v>
      </c>
      <c r="H159" s="186">
        <f>H92/('National model results detailed'!H120/10^6)</f>
        <v>5.2608416446249411E-2</v>
      </c>
      <c r="I159" s="186">
        <f>I92/('National model results detailed'!I120/10^6)</f>
        <v>7.9297975313772376E-2</v>
      </c>
      <c r="J159" s="186">
        <f>J92/('National model results detailed'!J120/10^6)</f>
        <v>9.1104480215614916E-2</v>
      </c>
      <c r="K159" s="186">
        <f>K92/('National model results detailed'!K120/10^6)</f>
        <v>9.394080543337828E-2</v>
      </c>
      <c r="L159" s="186">
        <f>L92/('National model results detailed'!L120/10^6)</f>
        <v>9.1402868105199875E-2</v>
      </c>
      <c r="M159" s="186">
        <f>M92/('National model results detailed'!M120/10^6)</f>
        <v>8.5624450888720408E-2</v>
      </c>
      <c r="N159" s="186">
        <f>N92/('National model results detailed'!N120/10^6)</f>
        <v>7.7954268580747416E-2</v>
      </c>
      <c r="O159" s="186">
        <f>O92/('National model results detailed'!O120/10^6)</f>
        <v>6.9199370046354791E-2</v>
      </c>
      <c r="P159" s="186">
        <f>P92/('National model results detailed'!P120/10^6)</f>
        <v>5.9988920297593423E-2</v>
      </c>
      <c r="Q159" s="186">
        <f>Q92/('National model results detailed'!Q120/10^6)</f>
        <v>5.0669627443243263E-2</v>
      </c>
      <c r="R159" s="186">
        <f>R92/('National model results detailed'!R120/10^6)</f>
        <v>5.5798419768779743E-2</v>
      </c>
      <c r="S159" s="186">
        <f>S92/('National model results detailed'!S120/10^6)</f>
        <v>5.879581180057486E-2</v>
      </c>
      <c r="T159" s="186">
        <f>T92/('National model results detailed'!T120/10^6)</f>
        <v>6.0412045249334495E-2</v>
      </c>
      <c r="U159" s="186">
        <f>U92/('National model results detailed'!U120/10^6)</f>
        <v>6.1237239873263807E-2</v>
      </c>
      <c r="V159" s="186">
        <f>V92/('National model results detailed'!V120/10^6)</f>
        <v>6.1590194707224655E-2</v>
      </c>
      <c r="W159" s="186">
        <f>W92/('National model results detailed'!W120/10^6)</f>
        <v>6.1635695301853449E-2</v>
      </c>
      <c r="X159" s="186">
        <f>X92/('National model results detailed'!X120/10^6)</f>
        <v>6.1390949575879199E-2</v>
      </c>
      <c r="Y159" s="186">
        <f>Y92/('National model results detailed'!Y120/10^6)</f>
        <v>6.1083245223994574E-2</v>
      </c>
      <c r="Z159" s="186">
        <f>Z92/('National model results detailed'!Z120/10^6)</f>
        <v>6.0756907926194682E-2</v>
      </c>
      <c r="AA159" s="186">
        <f>AA92/('National model results detailed'!AA120/10^6)</f>
        <v>6.0411304672066943E-2</v>
      </c>
      <c r="AB159" s="186">
        <f>AB92/('National model results detailed'!AB120/10^6)</f>
        <v>6.0007245908069877E-2</v>
      </c>
      <c r="AC159" s="186">
        <f>AC92/('National model results detailed'!AC120/10^6)</f>
        <v>5.9564541623346269E-2</v>
      </c>
      <c r="AD159" s="186">
        <f>AD92/('National model results detailed'!AD120/10^6)</f>
        <v>5.9101865524624542E-2</v>
      </c>
      <c r="AE159" s="186">
        <f>AE92/('National model results detailed'!AE120/10^6)</f>
        <v>5.8628595645621326E-2</v>
      </c>
      <c r="AF159" s="186">
        <f>AF92/('National model results detailed'!AF120/10^6)</f>
        <v>5.816522277859304E-2</v>
      </c>
      <c r="AG159" s="186">
        <f>AG92/('National model results detailed'!AG120/10^6)</f>
        <v>5.7737298064321589E-2</v>
      </c>
      <c r="AH159" s="186">
        <f>AH92/('National model results detailed'!AH120/10^6)</f>
        <v>5.7344621841883221E-2</v>
      </c>
      <c r="AI159" s="186">
        <f>AI92/('National model results detailed'!AI120/10^6)</f>
        <v>5.6982668916648667E-2</v>
      </c>
      <c r="AJ159" s="186">
        <f>AJ92/('National model results detailed'!AJ120/10^6)</f>
        <v>5.6593188725202109E-2</v>
      </c>
      <c r="AK159" s="186">
        <f>AK92/('National model results detailed'!AK120/10^6)</f>
        <v>5.6165827368601901E-2</v>
      </c>
      <c r="AL159" s="186">
        <f>AL92/('National model results detailed'!AL120/10^6)</f>
        <v>5.5688013100918782E-2</v>
      </c>
      <c r="AM159" s="186">
        <f>AM92/('National model results detailed'!AM120/10^6)</f>
        <v>5.5212906153494681E-2</v>
      </c>
      <c r="AN159" s="186">
        <f>AN92/('National model results detailed'!AN120/10^6)</f>
        <v>5.4761503639863499E-2</v>
      </c>
      <c r="AO159" s="186">
        <f>AO92/('National model results detailed'!AO120/10^6)</f>
        <v>5.4334297631631535E-2</v>
      </c>
      <c r="AQ159"/>
    </row>
    <row r="160" spans="1:55" s="73" customFormat="1">
      <c r="A160" s="802"/>
      <c r="B160" s="26" t="s">
        <v>2832</v>
      </c>
      <c r="C160" s="186">
        <f>C93/('National model results detailed'!C121/10^6)</f>
        <v>0</v>
      </c>
      <c r="D160" s="186">
        <f>D93/('National model results detailed'!D121/10^6)</f>
        <v>0</v>
      </c>
      <c r="E160" s="186">
        <f>E93/('National model results detailed'!E121/10^6)</f>
        <v>0</v>
      </c>
      <c r="F160" s="186">
        <f>F93/('National model results detailed'!F121/10^6)</f>
        <v>0</v>
      </c>
      <c r="G160" s="186">
        <f>G93/('National model results detailed'!G121/10^6)</f>
        <v>0.468304543365265</v>
      </c>
      <c r="H160" s="186">
        <f>H93/('National model results detailed'!H121/10^6)</f>
        <v>0.4740053629459951</v>
      </c>
      <c r="I160" s="186">
        <f>I93/('National model results detailed'!I121/10^6)</f>
        <v>0.47478748156222178</v>
      </c>
      <c r="J160" s="186">
        <f>J93/('National model results detailed'!J121/10^6)</f>
        <v>0.47261341915756538</v>
      </c>
      <c r="K160" s="186">
        <f>K93/('National model results detailed'!K121/10^6)</f>
        <v>0.46881160364193397</v>
      </c>
      <c r="L160" s="186">
        <f>L93/('National model results detailed'!L121/10^6)</f>
        <v>0.46404163818369665</v>
      </c>
      <c r="M160" s="186">
        <f>M93/('National model results detailed'!M121/10^6)</f>
        <v>0.45869994419350629</v>
      </c>
      <c r="N160" s="186">
        <f>N93/('National model results detailed'!N121/10^6)</f>
        <v>0.45289459612639127</v>
      </c>
      <c r="O160" s="186">
        <f>O93/('National model results detailed'!O121/10^6)</f>
        <v>0.44691686447541579</v>
      </c>
      <c r="P160" s="186">
        <f>P93/('National model results detailed'!P121/10^6)</f>
        <v>0.44091654732899643</v>
      </c>
      <c r="Q160" s="186">
        <f>Q93/('National model results detailed'!Q121/10^6)</f>
        <v>0.43498830817326689</v>
      </c>
      <c r="R160" s="186">
        <f>R93/('National model results detailed'!R121/10^6)</f>
        <v>0.43310656615304355</v>
      </c>
      <c r="S160" s="186">
        <f>S93/('National model results detailed'!S121/10^6)</f>
        <v>0.43070830955424871</v>
      </c>
      <c r="T160" s="186">
        <f>T93/('National model results detailed'!T121/10^6)</f>
        <v>0.42799717857500214</v>
      </c>
      <c r="U160" s="186">
        <f>U93/('National model results detailed'!U121/10^6)</f>
        <v>0.4251749449590097</v>
      </c>
      <c r="V160" s="186">
        <f>V93/('National model results detailed'!V121/10^6)</f>
        <v>0.4222787098554483</v>
      </c>
      <c r="W160" s="186">
        <f>W93/('National model results detailed'!W121/10^6)</f>
        <v>0.41933936855312509</v>
      </c>
      <c r="X160" s="186">
        <f>X93/('National model results detailed'!X121/10^6)</f>
        <v>0.41636320032974761</v>
      </c>
      <c r="Y160" s="186">
        <f>Y93/('National model results detailed'!Y121/10^6)</f>
        <v>0.41342270051045849</v>
      </c>
      <c r="Z160" s="186">
        <f>Z93/('National model results detailed'!Z121/10^6)</f>
        <v>0.41052232970936448</v>
      </c>
      <c r="AA160" s="186">
        <f>AA93/('National model results detailed'!AA121/10^6)</f>
        <v>0.4076523765246694</v>
      </c>
      <c r="AB160" s="186">
        <f>AB93/('National model results detailed'!AB121/10^6)</f>
        <v>0.40479687216181465</v>
      </c>
      <c r="AC160" s="186">
        <f>AC93/('National model results detailed'!AC121/10^6)</f>
        <v>0.40195252009700977</v>
      </c>
      <c r="AD160" s="186">
        <f>AD93/('National model results detailed'!AD121/10^6)</f>
        <v>0.39911779104566053</v>
      </c>
      <c r="AE160" s="186">
        <f>AE93/('National model results detailed'!AE121/10^6)</f>
        <v>0.39628984424482139</v>
      </c>
      <c r="AF160" s="186">
        <f>AF93/('National model results detailed'!AF121/10^6)</f>
        <v>0.39347707333658882</v>
      </c>
      <c r="AG160" s="186">
        <f>AG93/('National model results detailed'!AG121/10^6)</f>
        <v>0.39070462649569937</v>
      </c>
      <c r="AH160" s="186">
        <f>AH93/('National model results detailed'!AH121/10^6)</f>
        <v>0.38797316049159375</v>
      </c>
      <c r="AI160" s="186">
        <f>AI93/('National model results detailed'!AI121/10^6)</f>
        <v>0.38528791846550686</v>
      </c>
      <c r="AJ160" s="186">
        <f>AJ93/('National model results detailed'!AJ121/10^6)</f>
        <v>0.3826118015614754</v>
      </c>
      <c r="AK160" s="186">
        <f>AK93/('National model results detailed'!AK121/10^6)</f>
        <v>0.37992445333240105</v>
      </c>
      <c r="AL160" s="186">
        <f>AL93/('National model results detailed'!AL121/10^6)</f>
        <v>0.37721135128192751</v>
      </c>
      <c r="AM160" s="186">
        <f>AM93/('National model results detailed'!AM121/10^6)</f>
        <v>0.3744915207597202</v>
      </c>
      <c r="AN160" s="186">
        <f>AN93/('National model results detailed'!AN121/10^6)</f>
        <v>0.37177107884252297</v>
      </c>
      <c r="AO160" s="186">
        <f>AO93/('National model results detailed'!AO121/10^6)</f>
        <v>0.36904701103767412</v>
      </c>
      <c r="AQ160"/>
    </row>
    <row r="161" spans="1:55" s="73" customFormat="1">
      <c r="A161" s="802"/>
      <c r="B161" s="26" t="s">
        <v>2871</v>
      </c>
      <c r="C161" s="186">
        <f>C94/('National model results detailed'!C122/10^6)</f>
        <v>0</v>
      </c>
      <c r="D161" s="186">
        <f>D94/('National model results detailed'!D122/10^6)</f>
        <v>0</v>
      </c>
      <c r="E161" s="186">
        <f>E94/('National model results detailed'!E122/10^6)</f>
        <v>0</v>
      </c>
      <c r="F161" s="186">
        <f>F94/('National model results detailed'!F122/10^6)</f>
        <v>0</v>
      </c>
      <c r="G161" s="186">
        <f>G94/('National model results detailed'!G122/10^6)</f>
        <v>0.14793002349139447</v>
      </c>
      <c r="H161" s="186">
        <f>H94/('National model results detailed'!H122/10^6)</f>
        <v>0.2118754707689848</v>
      </c>
      <c r="I161" s="186">
        <f>I94/('National model results detailed'!I122/10^6)</f>
        <v>0.25254005239456534</v>
      </c>
      <c r="J161" s="186">
        <f>J94/('National model results detailed'!J122/10^6)</f>
        <v>0.27842533940954162</v>
      </c>
      <c r="K161" s="186">
        <f>K94/('National model results detailed'!K122/10^6)</f>
        <v>0.29489203924199703</v>
      </c>
      <c r="L161" s="186">
        <f>L94/('National model results detailed'!L122/10^6)</f>
        <v>0.30541915426377347</v>
      </c>
      <c r="M161" s="186">
        <f>M94/('National model results detailed'!M122/10^6)</f>
        <v>0.31215332731066525</v>
      </c>
      <c r="N161" s="186">
        <f>N94/('National model results detailed'!N122/10^6)</f>
        <v>0.31619953877176982</v>
      </c>
      <c r="O161" s="186">
        <f>O94/('National model results detailed'!O122/10^6)</f>
        <v>0.31874321352404816</v>
      </c>
      <c r="P161" s="186">
        <f>P94/('National model results detailed'!P122/10^6)</f>
        <v>0.32043864250098875</v>
      </c>
      <c r="Q161" s="186">
        <f>Q94/('National model results detailed'!Q122/10^6)</f>
        <v>0.32164336568559448</v>
      </c>
      <c r="R161" s="186">
        <f>R94/('National model results detailed'!R122/10^6)</f>
        <v>0.3225612026520992</v>
      </c>
      <c r="S161" s="186">
        <f>S94/('National model results detailed'!S122/10^6)</f>
        <v>0.3232421525474079</v>
      </c>
      <c r="T161" s="186">
        <f>T94/('National model results detailed'!T122/10^6)</f>
        <v>0.32371517013380546</v>
      </c>
      <c r="U161" s="186">
        <f>U94/('National model results detailed'!U122/10^6)</f>
        <v>0.32405758821142006</v>
      </c>
      <c r="V161" s="186">
        <f>V94/('National model results detailed'!V122/10^6)</f>
        <v>0.32435834875533337</v>
      </c>
      <c r="W161" s="186">
        <f>W94/('National model results detailed'!W122/10^6)</f>
        <v>0.32462260673638271</v>
      </c>
      <c r="X161" s="186">
        <f>X94/('National model results detailed'!X122/10^6)</f>
        <v>0.32475752509133704</v>
      </c>
      <c r="Y161" s="186">
        <f>Y94/('National model results detailed'!Y122/10^6)</f>
        <v>0.32490266610244484</v>
      </c>
      <c r="Z161" s="186">
        <f>Z94/('National model results detailed'!Z122/10^6)</f>
        <v>0.3250768589751819</v>
      </c>
      <c r="AA161" s="186">
        <f>AA94/('National model results detailed'!AA122/10^6)</f>
        <v>0.32526993331898435</v>
      </c>
      <c r="AB161" s="186">
        <f>AB94/('National model results detailed'!AB122/10^6)</f>
        <v>0.32543173018888583</v>
      </c>
      <c r="AC161" s="186">
        <f>AC94/('National model results detailed'!AC122/10^6)</f>
        <v>0.32558103051511883</v>
      </c>
      <c r="AD161" s="186">
        <f>AD94/('National model results detailed'!AD122/10^6)</f>
        <v>0.32573672834866751</v>
      </c>
      <c r="AE161" s="186">
        <f>AE94/('National model results detailed'!AE122/10^6)</f>
        <v>0.325906489699614</v>
      </c>
      <c r="AF161" s="186">
        <f>AF94/('National model results detailed'!AF122/10^6)</f>
        <v>0.326095732033229</v>
      </c>
      <c r="AG161" s="186">
        <f>AG94/('National model results detailed'!AG122/10^6)</f>
        <v>0.3263063417608279</v>
      </c>
      <c r="AH161" s="186">
        <f>AH94/('National model results detailed'!AH122/10^6)</f>
        <v>0.32653658662113738</v>
      </c>
      <c r="AI161" s="186">
        <f>AI94/('National model results detailed'!AI122/10^6)</f>
        <v>0.32677100543613585</v>
      </c>
      <c r="AJ161" s="186">
        <f>AJ94/('National model results detailed'!AJ122/10^6)</f>
        <v>0.32696899049585637</v>
      </c>
      <c r="AK161" s="186">
        <f>AK94/('National model results detailed'!AK122/10^6)</f>
        <v>0.32713699197714785</v>
      </c>
      <c r="AL161" s="186">
        <f>AL94/('National model results detailed'!AL122/10^6)</f>
        <v>0.32727075103521219</v>
      </c>
      <c r="AM161" s="186">
        <f>AM94/('National model results detailed'!AM122/10^6)</f>
        <v>0.32742062927728255</v>
      </c>
      <c r="AN161" s="186">
        <f>AN94/('National model results detailed'!AN122/10^6)</f>
        <v>0.32760797762850274</v>
      </c>
      <c r="AO161" s="186">
        <f>AO94/('National model results detailed'!AO122/10^6)</f>
        <v>0.32783599472525043</v>
      </c>
      <c r="AQ161"/>
    </row>
    <row r="162" spans="1:55" s="791" customFormat="1">
      <c r="A162" s="877"/>
      <c r="B162" s="878" t="s">
        <v>3701</v>
      </c>
      <c r="C162" s="380">
        <f>C95/('National model results detailed'!C123/10^6)</f>
        <v>0</v>
      </c>
      <c r="D162" s="380">
        <f>D95/('National model results detailed'!D123/10^6)</f>
        <v>0</v>
      </c>
      <c r="E162" s="380">
        <f>E95/('National model results detailed'!E123/10^6)</f>
        <v>0</v>
      </c>
      <c r="F162" s="380">
        <f>F95/('National model results detailed'!F123/10^6)</f>
        <v>0</v>
      </c>
      <c r="G162" s="380">
        <f>G95/('National model results detailed'!G123/10^6)</f>
        <v>2.9762250339512526E-2</v>
      </c>
      <c r="H162" s="380">
        <f>H95/('National model results detailed'!H123/10^6)</f>
        <v>9.2906626002748252E-2</v>
      </c>
      <c r="I162" s="380">
        <f>I95/('National model results detailed'!I123/10^6)</f>
        <v>0.12997057064226944</v>
      </c>
      <c r="J162" s="380">
        <f>J95/('National model results detailed'!J123/10^6)</f>
        <v>0.15096727808336419</v>
      </c>
      <c r="K162" s="380">
        <f>K95/('National model results detailed'!K123/10^6)</f>
        <v>0.1621028264586914</v>
      </c>
      <c r="L162" s="380">
        <f>L95/('National model results detailed'!L123/10^6)</f>
        <v>0.16724732220022526</v>
      </c>
      <c r="M162" s="380">
        <f>M95/('National model results detailed'!M123/10^6)</f>
        <v>0.1687120699109543</v>
      </c>
      <c r="N162" s="380">
        <f>N95/('National model results detailed'!N123/10^6)</f>
        <v>0.16772268160108394</v>
      </c>
      <c r="O162" s="380">
        <f>O95/('National model results detailed'!O123/10^6)</f>
        <v>0.16542118239032208</v>
      </c>
      <c r="P162" s="380">
        <f>P95/('National model results detailed'!P123/10^6)</f>
        <v>0.1624681563297091</v>
      </c>
      <c r="Q162" s="380">
        <f>Q95/('National model results detailed'!Q123/10^6)</f>
        <v>0.15921992654578995</v>
      </c>
      <c r="R162" s="380">
        <f>R95/('National model results detailed'!R123/10^6)</f>
        <v>0.16139216679644969</v>
      </c>
      <c r="S162" s="380">
        <f>S95/('National model results detailed'!S123/10^6)</f>
        <v>0.16262481420784242</v>
      </c>
      <c r="T162" s="380">
        <f>T95/('National model results detailed'!T123/10^6)</f>
        <v>0.16322234963521984</v>
      </c>
      <c r="U162" s="380">
        <f>U95/('National model results detailed'!U123/10^6)</f>
        <v>0.16346529453949254</v>
      </c>
      <c r="V162" s="380">
        <f>V95/('National model results detailed'!V123/10^6)</f>
        <v>0.16352431689541405</v>
      </c>
      <c r="W162" s="380">
        <f>W95/('National model results detailed'!W123/10^6)</f>
        <v>0.1634614275263859</v>
      </c>
      <c r="X162" s="380">
        <f>X95/('National model results detailed'!X123/10^6)</f>
        <v>0.16322438649117973</v>
      </c>
      <c r="Y162" s="380">
        <f>Y95/('National model results detailed'!Y123/10^6)</f>
        <v>0.16298865679806479</v>
      </c>
      <c r="Z162" s="380">
        <f>Z95/('National model results detailed'!Z123/10^6)</f>
        <v>0.16278030653028641</v>
      </c>
      <c r="AA162" s="380">
        <f>AA95/('National model results detailed'!AA123/10^6)</f>
        <v>0.16259002425056829</v>
      </c>
      <c r="AB162" s="380">
        <f>AB95/('National model results detailed'!AB123/10^6)</f>
        <v>0.16237046692879142</v>
      </c>
      <c r="AC162" s="380">
        <f>AC95/('National model results detailed'!AC123/10^6)</f>
        <v>0.16213915456839451</v>
      </c>
      <c r="AD162" s="380">
        <f>AD95/('National model results detailed'!AD123/10^6)</f>
        <v>0.16191305961442273</v>
      </c>
      <c r="AE162" s="380">
        <f>AE95/('National model results detailed'!AE123/10^6)</f>
        <v>0.16169866891152682</v>
      </c>
      <c r="AF162" s="380">
        <f>AF95/('National model results detailed'!AF123/10^6)</f>
        <v>0.16150674609072735</v>
      </c>
      <c r="AG162" s="380">
        <f>AG95/('National model results detailed'!AG123/10^6)</f>
        <v>0.16135095547894795</v>
      </c>
      <c r="AH162" s="380">
        <f>AH95/('National model results detailed'!AH123/10^6)</f>
        <v>0.16123036955311221</v>
      </c>
      <c r="AI162" s="380">
        <f>AI95/('National model results detailed'!AI123/10^6)</f>
        <v>0.16113540326195086</v>
      </c>
      <c r="AJ162" s="380">
        <f>AJ95/('National model results detailed'!AJ123/10^6)</f>
        <v>0.16101625900600047</v>
      </c>
      <c r="AK162" s="380">
        <f>AK95/('National model results detailed'!AK123/10^6)</f>
        <v>0.16086985476795698</v>
      </c>
      <c r="AL162" s="380">
        <f>AL95/('National model results detailed'!AL123/10^6)</f>
        <v>0.16068656675780688</v>
      </c>
      <c r="AM162" s="380">
        <f>AM95/('National model results detailed'!AM123/10^6)</f>
        <v>0.1605166944458275</v>
      </c>
      <c r="AN162" s="380">
        <f>AN95/('National model results detailed'!AN123/10^6)</f>
        <v>0.16037988674010392</v>
      </c>
      <c r="AO162" s="380">
        <f>AO95/('National model results detailed'!AO123/10^6)</f>
        <v>0.16027657255826153</v>
      </c>
    </row>
    <row r="163" spans="1:55">
      <c r="C163" s="151" t="b">
        <f>SUM(C118:C119)/('National model results detailed'!C123/10^6)=C162</f>
        <v>1</v>
      </c>
      <c r="D163" s="151" t="b">
        <f>SUM(D118:D119)/('National model results detailed'!D123/10^6)=D162</f>
        <v>1</v>
      </c>
      <c r="E163" s="151" t="b">
        <f>SUM(E118:E119)/('National model results detailed'!E123/10^6)=E162</f>
        <v>1</v>
      </c>
      <c r="F163" s="151" t="b">
        <f>SUM(F118:F119)/('National model results detailed'!F123/10^6)=F162</f>
        <v>1</v>
      </c>
      <c r="G163" s="151" t="b">
        <f>SUM(G118:G119)/('National model results detailed'!G123/10^6)=G162</f>
        <v>1</v>
      </c>
      <c r="H163" s="151" t="b">
        <f>SUM(H118:H119)/('National model results detailed'!H123/10^6)=H162</f>
        <v>0</v>
      </c>
      <c r="I163" s="151" t="b">
        <f>SUM(I118:I119)/('National model results detailed'!I123/10^6)=I162</f>
        <v>1</v>
      </c>
      <c r="J163" s="151" t="b">
        <f>SUM(J118:J119)/('National model results detailed'!J123/10^6)=J162</f>
        <v>1</v>
      </c>
      <c r="K163" s="151" t="b">
        <f>SUM(K118:K119)/('National model results detailed'!K123/10^6)=K162</f>
        <v>1</v>
      </c>
      <c r="L163" s="151" t="b">
        <f>SUM(L118:L119)/('National model results detailed'!L123/10^6)=L162</f>
        <v>1</v>
      </c>
      <c r="M163" s="151" t="b">
        <f>SUM(M118:M119)/('National model results detailed'!M123/10^6)=M162</f>
        <v>1</v>
      </c>
      <c r="N163" s="151" t="b">
        <f>SUM(N118:N119)/('National model results detailed'!N123/10^6)=N162</f>
        <v>1</v>
      </c>
      <c r="O163" s="151" t="b">
        <f>SUM(O118:O119)/('National model results detailed'!O123/10^6)=O162</f>
        <v>1</v>
      </c>
      <c r="P163" s="151" t="b">
        <f>SUM(P118:P119)/('National model results detailed'!P123/10^6)=P162</f>
        <v>1</v>
      </c>
      <c r="Q163" s="151" t="b">
        <f>SUM(Q118:Q119)/('National model results detailed'!Q123/10^6)=Q162</f>
        <v>1</v>
      </c>
      <c r="R163" s="151" t="b">
        <f>SUM(R118:R119)/('National model results detailed'!R123/10^6)=R162</f>
        <v>1</v>
      </c>
      <c r="S163" s="151" t="b">
        <f>SUM(S118:S119)/('National model results detailed'!S123/10^6)=S162</f>
        <v>1</v>
      </c>
      <c r="T163" s="151" t="b">
        <f>SUM(T118:T119)/('National model results detailed'!T123/10^6)=T162</f>
        <v>1</v>
      </c>
      <c r="U163" s="151" t="b">
        <f>SUM(U118:U119)/('National model results detailed'!U123/10^6)=U162</f>
        <v>1</v>
      </c>
      <c r="V163" s="151" t="b">
        <f>SUM(V118:V119)/('National model results detailed'!V123/10^6)=V162</f>
        <v>1</v>
      </c>
      <c r="W163" s="151" t="b">
        <f>SUM(W118:W119)/('National model results detailed'!W123/10^6)=W162</f>
        <v>1</v>
      </c>
      <c r="X163" s="151" t="b">
        <f>SUM(X118:X119)/('National model results detailed'!X123/10^6)=X162</f>
        <v>1</v>
      </c>
      <c r="Y163" s="151" t="b">
        <f>SUM(Y118:Y119)/('National model results detailed'!Y123/10^6)=Y162</f>
        <v>1</v>
      </c>
      <c r="Z163" s="151" t="b">
        <f>SUM(Z118:Z119)/('National model results detailed'!Z123/10^6)=Z162</f>
        <v>1</v>
      </c>
      <c r="AA163" s="151" t="b">
        <f>SUM(AA118:AA119)/('National model results detailed'!AA123/10^6)=AA162</f>
        <v>1</v>
      </c>
      <c r="AB163" s="151" t="b">
        <f>SUM(AB118:AB119)/('National model results detailed'!AB123/10^6)=AB162</f>
        <v>1</v>
      </c>
      <c r="AC163" s="151" t="b">
        <f>SUM(AC118:AC119)/('National model results detailed'!AC123/10^6)=AC162</f>
        <v>1</v>
      </c>
      <c r="AD163" s="151" t="b">
        <f>SUM(AD118:AD119)/('National model results detailed'!AD123/10^6)=AD162</f>
        <v>1</v>
      </c>
      <c r="AE163" s="151" t="b">
        <f>SUM(AE118:AE119)/('National model results detailed'!AE123/10^6)=AE162</f>
        <v>1</v>
      </c>
      <c r="AF163" s="151" t="b">
        <f>SUM(AF118:AF119)/('National model results detailed'!AF123/10^6)=AF162</f>
        <v>1</v>
      </c>
      <c r="AG163" s="151" t="b">
        <f>SUM(AG118:AG119)/('National model results detailed'!AG123/10^6)=AG162</f>
        <v>1</v>
      </c>
      <c r="AH163" s="151" t="b">
        <f>SUM(AH118:AH119)/('National model results detailed'!AH123/10^6)=AH162</f>
        <v>1</v>
      </c>
      <c r="AI163" s="151" t="b">
        <f>SUM(AI118:AI119)/('National model results detailed'!AI123/10^6)=AI162</f>
        <v>0</v>
      </c>
      <c r="AJ163" s="151" t="b">
        <f>SUM(AJ118:AJ119)/('National model results detailed'!AJ123/10^6)=AJ162</f>
        <v>0</v>
      </c>
      <c r="AK163" s="151" t="b">
        <f>SUM(AK118:AK119)/('National model results detailed'!AK123/10^6)=AK162</f>
        <v>0</v>
      </c>
      <c r="AL163" s="151" t="b">
        <f>SUM(AL118:AL119)/('National model results detailed'!AL123/10^6)=AL162</f>
        <v>0</v>
      </c>
      <c r="AM163" s="151" t="b">
        <f>SUM(AM118:AM119)/('National model results detailed'!AM123/10^6)=AM162</f>
        <v>0</v>
      </c>
      <c r="AN163" s="151" t="b">
        <f>SUM(AN118:AN119)/('National model results detailed'!AN123/10^6)=AN162</f>
        <v>0</v>
      </c>
      <c r="AO163" s="151" t="b">
        <f>SUM(AO118:AO119)/('National model results detailed'!AO123/10^6)=AO162</f>
        <v>0</v>
      </c>
    </row>
    <row r="165" spans="1:55" s="871" customFormat="1">
      <c r="A165" s="443" t="s">
        <v>10</v>
      </c>
      <c r="B165" s="872" t="s">
        <v>3716</v>
      </c>
    </row>
    <row r="166" spans="1:55" s="871" customFormat="1">
      <c r="A166" s="443"/>
      <c r="B166" s="151" t="s">
        <v>3713</v>
      </c>
    </row>
    <row r="167" spans="1:55" s="871" customFormat="1"/>
    <row r="168" spans="1:55">
      <c r="B168" s="84"/>
      <c r="C168" s="34">
        <f t="shared" ref="C168:AO168" si="15">C117</f>
        <v>2020</v>
      </c>
      <c r="D168" s="34">
        <f t="shared" si="15"/>
        <v>2021</v>
      </c>
      <c r="E168" s="34">
        <f t="shared" si="15"/>
        <v>2022</v>
      </c>
      <c r="F168" s="34">
        <f t="shared" si="15"/>
        <v>2023</v>
      </c>
      <c r="G168" s="34">
        <f t="shared" si="15"/>
        <v>2024</v>
      </c>
      <c r="H168" s="34">
        <f t="shared" si="15"/>
        <v>2025</v>
      </c>
      <c r="I168" s="34">
        <f t="shared" si="15"/>
        <v>2026</v>
      </c>
      <c r="J168" s="34">
        <f t="shared" si="15"/>
        <v>2027</v>
      </c>
      <c r="K168" s="34">
        <f t="shared" si="15"/>
        <v>2028</v>
      </c>
      <c r="L168" s="34">
        <f t="shared" si="15"/>
        <v>2029</v>
      </c>
      <c r="M168" s="34">
        <f t="shared" si="15"/>
        <v>2030</v>
      </c>
      <c r="N168" s="34">
        <f t="shared" si="15"/>
        <v>2031</v>
      </c>
      <c r="O168" s="34">
        <f t="shared" si="15"/>
        <v>2032</v>
      </c>
      <c r="P168" s="34">
        <f t="shared" si="15"/>
        <v>2033</v>
      </c>
      <c r="Q168" s="34">
        <f t="shared" si="15"/>
        <v>2034</v>
      </c>
      <c r="R168" s="34">
        <f t="shared" si="15"/>
        <v>2035</v>
      </c>
      <c r="S168" s="34">
        <f t="shared" si="15"/>
        <v>2036</v>
      </c>
      <c r="T168" s="34">
        <f t="shared" si="15"/>
        <v>2037</v>
      </c>
      <c r="U168" s="34">
        <f t="shared" si="15"/>
        <v>2038</v>
      </c>
      <c r="V168" s="34">
        <f t="shared" si="15"/>
        <v>2039</v>
      </c>
      <c r="W168" s="34">
        <f t="shared" si="15"/>
        <v>2040</v>
      </c>
      <c r="X168" s="34">
        <f t="shared" si="15"/>
        <v>2041</v>
      </c>
      <c r="Y168" s="34">
        <f t="shared" si="15"/>
        <v>2042</v>
      </c>
      <c r="Z168" s="34">
        <f t="shared" si="15"/>
        <v>2043</v>
      </c>
      <c r="AA168" s="34">
        <f t="shared" si="15"/>
        <v>2044</v>
      </c>
      <c r="AB168" s="34">
        <f t="shared" si="15"/>
        <v>2045</v>
      </c>
      <c r="AC168" s="34">
        <f t="shared" si="15"/>
        <v>2046</v>
      </c>
      <c r="AD168" s="34">
        <f t="shared" si="15"/>
        <v>2047</v>
      </c>
      <c r="AE168" s="34">
        <f t="shared" si="15"/>
        <v>2048</v>
      </c>
      <c r="AF168" s="34">
        <f t="shared" si="15"/>
        <v>2049</v>
      </c>
      <c r="AG168" s="34">
        <f t="shared" si="15"/>
        <v>2050</v>
      </c>
      <c r="AH168" s="34">
        <f t="shared" si="15"/>
        <v>2051</v>
      </c>
      <c r="AI168" s="34">
        <f t="shared" si="15"/>
        <v>2052</v>
      </c>
      <c r="AJ168" s="34">
        <f t="shared" si="15"/>
        <v>2053</v>
      </c>
      <c r="AK168" s="34">
        <f t="shared" si="15"/>
        <v>2054</v>
      </c>
      <c r="AL168" s="34">
        <f t="shared" si="15"/>
        <v>2055</v>
      </c>
      <c r="AM168" s="34">
        <f t="shared" si="15"/>
        <v>2056</v>
      </c>
      <c r="AN168" s="34">
        <f t="shared" si="15"/>
        <v>2057</v>
      </c>
      <c r="AO168" s="34">
        <f t="shared" si="15"/>
        <v>2058</v>
      </c>
    </row>
    <row r="169" spans="1:55" s="4" customFormat="1" ht="30" customHeight="1">
      <c r="B169" s="269" t="s">
        <v>3699</v>
      </c>
      <c r="C169" s="875">
        <f>(C122*10^6)/'Baseline Summary'!C25</f>
        <v>0</v>
      </c>
      <c r="D169" s="875">
        <f>(D122*10^6)/'Baseline Summary'!D25</f>
        <v>-7.8160832167402466E-2</v>
      </c>
      <c r="E169" s="875">
        <f>(E122*10^6)/'Baseline Summary'!E25</f>
        <v>-8.7274772835692002E-2</v>
      </c>
      <c r="F169" s="875">
        <f>(F122*10^6)/'Baseline Summary'!F25</f>
        <v>-9.6449977895272973E-2</v>
      </c>
      <c r="G169" s="875">
        <f>(G122*10^6)/'Baseline Summary'!G25</f>
        <v>-4.9149692597714239E-3</v>
      </c>
      <c r="H169" s="875">
        <f>(H122*10^6)/'Baseline Summary'!H25</f>
        <v>6.0883774442577664E-2</v>
      </c>
      <c r="I169" s="875">
        <f>(I122*10^6)/'Baseline Summary'!I25</f>
        <v>9.9741236037886774E-2</v>
      </c>
      <c r="J169" s="875">
        <f>(J122*10^6)/'Baseline Summary'!J25</f>
        <v>0.1219942472278969</v>
      </c>
      <c r="K169" s="875">
        <f>(K122*10^6)/'Baseline Summary'!K25</f>
        <v>0.13406794480729517</v>
      </c>
      <c r="L169" s="875">
        <f>(L122*10^6)/'Baseline Summary'!L25</f>
        <v>0.13994033600868952</v>
      </c>
      <c r="M169" s="875">
        <f>(M122*10^6)/'Baseline Summary'!M25</f>
        <v>0.14199067984487332</v>
      </c>
      <c r="N169" s="875">
        <f>(N122*10^6)/'Baseline Summary'!N25</f>
        <v>0.13815421905327827</v>
      </c>
      <c r="O169" s="875">
        <f>(O122*10^6)/'Baseline Summary'!O25</f>
        <v>0.13634360256445144</v>
      </c>
      <c r="P169" s="875">
        <f>(P122*10^6)/'Baseline Summary'!P25</f>
        <v>0.13383467672251953</v>
      </c>
      <c r="Q169" s="875">
        <f>(Q122*10^6)/'Baseline Summary'!Q25</f>
        <v>0.13405793329349353</v>
      </c>
      <c r="R169" s="875">
        <f>(R122*10^6)/'Baseline Summary'!R25</f>
        <v>0.13654324193356168</v>
      </c>
      <c r="S169" s="875">
        <f>(S122*10^6)/'Baseline Summary'!S25</f>
        <v>0.13806903700172421</v>
      </c>
      <c r="T169" s="875">
        <f>(T122*10^6)/'Baseline Summary'!T25</f>
        <v>0.13894164363883069</v>
      </c>
      <c r="U169" s="875">
        <f>(U122*10^6)/'Baseline Summary'!U25</f>
        <v>0.13945006286380773</v>
      </c>
      <c r="V169" s="875">
        <f>(V122*10^6)/'Baseline Summary'!V25</f>
        <v>0.13976340222909447</v>
      </c>
      <c r="W169" s="875">
        <f>(W122*10^6)/'Baseline Summary'!W25</f>
        <v>0.13994312330952308</v>
      </c>
      <c r="X169" s="875">
        <f>(X122*10^6)/'Baseline Summary'!X25</f>
        <v>0.13993446261474748</v>
      </c>
      <c r="Y169" s="875">
        <f>(Y122*10^6)/'Baseline Summary'!Y25</f>
        <v>0.13991970244373306</v>
      </c>
      <c r="Z169" s="875">
        <f>(Z122*10^6)/'Baseline Summary'!Z25</f>
        <v>0.13992547776485825</v>
      </c>
      <c r="AA169" s="875">
        <f>(AA122*10^6)/'Baseline Summary'!AA25</f>
        <v>0.13994186738005177</v>
      </c>
      <c r="AB169" s="875">
        <f>(AB122*10^6)/'Baseline Summary'!AB25</f>
        <v>0.13991991312497667</v>
      </c>
      <c r="AC169" s="875">
        <f>(AC122*10^6)/'Baseline Summary'!AC25</f>
        <v>0.1398776469577345</v>
      </c>
      <c r="AD169" s="875">
        <f>(AD122*10^6)/'Baseline Summary'!AD25</f>
        <v>0.13983270771565387</v>
      </c>
      <c r="AE169" s="875">
        <f>(AE122*10^6)/'Baseline Summary'!AE25</f>
        <v>0.13979194785452867</v>
      </c>
      <c r="AF169" s="875">
        <f>(AF122*10^6)/'Baseline Summary'!AF25</f>
        <v>0.1397670266925555</v>
      </c>
      <c r="AG169" s="875">
        <f>(AG122*10^6)/'Baseline Summary'!AG25</f>
        <v>0.1397734561414499</v>
      </c>
      <c r="AH169" s="875">
        <f>(AH122*10^6)/'Baseline Summary'!AH25</f>
        <v>0.13981072798431396</v>
      </c>
      <c r="AI169" s="875">
        <f>(AI122*10^6)/'Baseline Summary'!AI25</f>
        <v>0.13986959277692967</v>
      </c>
      <c r="AJ169" s="875">
        <f>(AJ122*10^6)/'Baseline Summary'!AJ25</f>
        <v>0.13989790305866076</v>
      </c>
      <c r="AK169" s="875">
        <f>(AK122*10^6)/'Baseline Summary'!AK25</f>
        <v>0.13989198783864198</v>
      </c>
      <c r="AL169" s="875">
        <f>(AL122*10^6)/'Baseline Summary'!AL25</f>
        <v>0.13984169903018348</v>
      </c>
      <c r="AM169" s="875">
        <f>(AM122*10^6)/'Baseline Summary'!AM25</f>
        <v>0.13979947340856089</v>
      </c>
      <c r="AN169" s="875">
        <f>(AN122*10^6)/'Baseline Summary'!AN25</f>
        <v>0.13978592069431914</v>
      </c>
      <c r="AO169" s="875">
        <f>(AO122*10^6)/'Baseline Summary'!AO25</f>
        <v>0.13980166124605023</v>
      </c>
      <c r="BC169" s="151"/>
    </row>
    <row r="170" spans="1:55" s="9" customFormat="1">
      <c r="B170" s="685"/>
      <c r="C170" s="871" t="b">
        <f>ABS(C169-'National model results detailed'!C50)&lt;0.01</f>
        <v>1</v>
      </c>
      <c r="D170" s="871" t="b">
        <f>ABS(D169-'National model results detailed'!D50)&lt;0.01</f>
        <v>1</v>
      </c>
      <c r="E170" s="871" t="b">
        <f>ABS(E169-'National model results detailed'!E50)&lt;0.01</f>
        <v>1</v>
      </c>
      <c r="F170" s="871" t="b">
        <f>ABS(F169-'National model results detailed'!F50)&lt;0.01</f>
        <v>1</v>
      </c>
      <c r="G170" s="871" t="b">
        <f>ABS(G169-'National model results detailed'!G50)&lt;0.01</f>
        <v>1</v>
      </c>
      <c r="H170" s="871" t="b">
        <f>ABS(H169-'National model results detailed'!H50)&lt;0.01</f>
        <v>1</v>
      </c>
      <c r="I170" s="871" t="b">
        <f>ABS(I169-'National model results detailed'!I50)&lt;0.01</f>
        <v>1</v>
      </c>
      <c r="J170" s="871" t="b">
        <f>ABS(J169-'National model results detailed'!J50)&lt;0.01</f>
        <v>1</v>
      </c>
      <c r="K170" s="871" t="b">
        <f>ABS(K169-'National model results detailed'!K50)&lt;0.01</f>
        <v>1</v>
      </c>
      <c r="L170" s="871" t="b">
        <f>ABS(L169-'National model results detailed'!L50)&lt;0.01</f>
        <v>1</v>
      </c>
      <c r="M170" s="871" t="b">
        <f>ABS(M169-'National model results detailed'!M50)&lt;0.01</f>
        <v>1</v>
      </c>
      <c r="N170" s="871" t="b">
        <f>ABS(N169-'National model results detailed'!N50)&lt;0.01</f>
        <v>1</v>
      </c>
      <c r="O170" s="871" t="b">
        <f>ABS(O169-'National model results detailed'!O50)&lt;0.01</f>
        <v>1</v>
      </c>
      <c r="P170" s="871" t="b">
        <f>ABS(P169-'National model results detailed'!P50)&lt;0.01</f>
        <v>1</v>
      </c>
      <c r="Q170" s="871" t="b">
        <f>ABS(Q169-'National model results detailed'!Q50)&lt;0.01</f>
        <v>1</v>
      </c>
      <c r="R170" s="871" t="b">
        <f>ABS(R169-'National model results detailed'!R50)&lt;0.01</f>
        <v>1</v>
      </c>
      <c r="S170" s="871" t="b">
        <f>ABS(S169-'National model results detailed'!S50)&lt;0.01</f>
        <v>1</v>
      </c>
      <c r="T170" s="871" t="b">
        <f>ABS(T169-'National model results detailed'!T50)&lt;0.01</f>
        <v>1</v>
      </c>
      <c r="U170" s="871" t="b">
        <f>ABS(U169-'National model results detailed'!U50)&lt;0.01</f>
        <v>1</v>
      </c>
      <c r="V170" s="871" t="b">
        <f>ABS(V169-'National model results detailed'!V50)&lt;0.01</f>
        <v>1</v>
      </c>
      <c r="W170" s="871" t="b">
        <f>ABS(W169-'National model results detailed'!W50)&lt;0.01</f>
        <v>1</v>
      </c>
      <c r="X170" s="871" t="b">
        <f>ABS(X169-'National model results detailed'!X50)&lt;0.01</f>
        <v>1</v>
      </c>
      <c r="Y170" s="871" t="b">
        <f>ABS(Y169-'National model results detailed'!Y50)&lt;0.01</f>
        <v>1</v>
      </c>
      <c r="Z170" s="871" t="b">
        <f>ABS(Z169-'National model results detailed'!Z50)&lt;0.01</f>
        <v>1</v>
      </c>
      <c r="AA170" s="871" t="b">
        <f>ABS(AA169-'National model results detailed'!AA50)&lt;0.01</f>
        <v>1</v>
      </c>
      <c r="AB170" s="871" t="b">
        <f>ABS(AB169-'National model results detailed'!AB50)&lt;0.01</f>
        <v>1</v>
      </c>
      <c r="AC170" s="871" t="b">
        <f>ABS(AC169-'National model results detailed'!AC50)&lt;0.01</f>
        <v>1</v>
      </c>
      <c r="AD170" s="871" t="b">
        <f>ABS(AD169-'National model results detailed'!AD50)&lt;0.01</f>
        <v>1</v>
      </c>
      <c r="AE170" s="871" t="b">
        <f>ABS(AE169-'National model results detailed'!AE50)&lt;0.01</f>
        <v>1</v>
      </c>
      <c r="AF170" s="871" t="b">
        <f>ABS(AF169-'National model results detailed'!AF50)&lt;0.01</f>
        <v>1</v>
      </c>
      <c r="AG170" s="871" t="b">
        <f>ABS(AG169-'National model results detailed'!AG50)&lt;0.01</f>
        <v>1</v>
      </c>
      <c r="AH170" s="871" t="b">
        <f>ABS(AH169-'National model results detailed'!AH50)&lt;0.01</f>
        <v>1</v>
      </c>
      <c r="AI170" s="871" t="b">
        <f>ABS(AI169-'National model results detailed'!AI50)&lt;0.01</f>
        <v>1</v>
      </c>
      <c r="AJ170" s="871" t="b">
        <f>ABS(AJ169-'National model results detailed'!AJ50)&lt;0.01</f>
        <v>1</v>
      </c>
      <c r="AK170" s="871" t="b">
        <f>ABS(AK169-'National model results detailed'!AK50)&lt;0.01</f>
        <v>1</v>
      </c>
      <c r="AL170" s="871" t="b">
        <f>ABS(AL169-'National model results detailed'!AL50)&lt;0.01</f>
        <v>1</v>
      </c>
      <c r="AM170" s="871" t="b">
        <f>ABS(AM169-'National model results detailed'!AM50)&lt;0.01</f>
        <v>1</v>
      </c>
      <c r="AN170" s="871" t="b">
        <f>ABS(AN169-'National model results detailed'!AN50)&lt;0.01</f>
        <v>1</v>
      </c>
      <c r="AO170" s="871" t="b">
        <f>ABS(AO169-'National model results detailed'!AO50)&lt;0.01</f>
        <v>1</v>
      </c>
      <c r="BC170" s="191"/>
    </row>
    <row r="171" spans="1:55" s="9" customFormat="1">
      <c r="B171" s="685"/>
      <c r="C171" s="871"/>
      <c r="D171" s="871"/>
      <c r="E171" s="871"/>
      <c r="F171" s="871"/>
      <c r="G171" s="871"/>
      <c r="H171" s="871"/>
      <c r="I171" s="871"/>
      <c r="J171" s="871"/>
      <c r="K171" s="871"/>
      <c r="L171" s="871"/>
      <c r="M171" s="871"/>
      <c r="N171" s="871"/>
      <c r="O171" s="871"/>
      <c r="P171" s="871"/>
      <c r="Q171" s="871"/>
      <c r="R171" s="871"/>
      <c r="S171" s="871"/>
      <c r="T171" s="871"/>
      <c r="U171" s="871"/>
      <c r="V171" s="871"/>
      <c r="W171" s="871"/>
      <c r="X171" s="871"/>
      <c r="Y171" s="871"/>
      <c r="Z171" s="871"/>
      <c r="AA171" s="871"/>
      <c r="AB171" s="871"/>
      <c r="AC171" s="871"/>
      <c r="AD171" s="871"/>
      <c r="AE171" s="871"/>
      <c r="AF171" s="871"/>
      <c r="AG171" s="871"/>
      <c r="AH171" s="871"/>
      <c r="AI171" s="871"/>
      <c r="AJ171" s="871"/>
      <c r="AK171" s="871"/>
      <c r="AL171" s="871"/>
      <c r="AM171" s="871"/>
      <c r="AN171" s="871"/>
      <c r="AO171" s="871"/>
      <c r="BC171" s="191"/>
    </row>
    <row r="172" spans="1:55" s="9" customFormat="1">
      <c r="B172" s="685"/>
      <c r="C172" s="871"/>
      <c r="D172" s="871"/>
      <c r="E172" s="871"/>
      <c r="F172" s="871"/>
      <c r="G172" s="871"/>
      <c r="H172" s="871"/>
      <c r="I172" s="871"/>
      <c r="J172" s="871"/>
      <c r="K172" s="871"/>
      <c r="L172" s="871"/>
      <c r="M172" s="871"/>
      <c r="N172" s="871"/>
      <c r="O172" s="871"/>
      <c r="P172" s="871"/>
      <c r="Q172" s="871"/>
      <c r="R172" s="871"/>
      <c r="S172" s="871"/>
      <c r="T172" s="871"/>
      <c r="U172" s="871"/>
      <c r="V172" s="871"/>
      <c r="W172" s="871"/>
      <c r="X172" s="871"/>
      <c r="Y172" s="871"/>
      <c r="Z172" s="871"/>
      <c r="AA172" s="871"/>
      <c r="AB172" s="871"/>
      <c r="AC172" s="871"/>
      <c r="AD172" s="871"/>
      <c r="AE172" s="871"/>
      <c r="AF172" s="871"/>
      <c r="AG172" s="871"/>
      <c r="AH172" s="871"/>
      <c r="AI172" s="871"/>
      <c r="AJ172" s="871"/>
      <c r="AK172" s="871"/>
      <c r="AL172" s="871"/>
      <c r="AM172" s="871"/>
      <c r="AN172" s="871"/>
      <c r="AO172" s="871"/>
      <c r="BC172" s="191"/>
    </row>
    <row r="173" spans="1:55" s="9" customFormat="1">
      <c r="B173" s="685"/>
      <c r="C173" s="871"/>
      <c r="D173" s="871"/>
      <c r="E173" s="871"/>
      <c r="F173" s="871"/>
      <c r="G173" s="871"/>
      <c r="H173" s="871"/>
      <c r="I173" s="871"/>
      <c r="J173" s="871"/>
      <c r="K173" s="871"/>
      <c r="L173" s="871"/>
      <c r="M173" s="871"/>
      <c r="N173" s="871"/>
      <c r="O173" s="871"/>
      <c r="P173" s="871"/>
      <c r="Q173" s="871"/>
      <c r="R173" s="871"/>
      <c r="S173" s="871"/>
      <c r="T173" s="871"/>
      <c r="U173" s="871"/>
      <c r="V173" s="871"/>
      <c r="W173" s="871"/>
      <c r="X173" s="871"/>
      <c r="Y173" s="871"/>
      <c r="Z173" s="871"/>
      <c r="AA173" s="871"/>
      <c r="AB173" s="871"/>
      <c r="AC173" s="871"/>
      <c r="AD173" s="871"/>
      <c r="AE173" s="871"/>
      <c r="AF173" s="871"/>
      <c r="AG173" s="871"/>
      <c r="AH173" s="871"/>
      <c r="AI173" s="871"/>
      <c r="AJ173" s="871"/>
      <c r="AK173" s="871"/>
      <c r="AL173" s="871"/>
      <c r="AM173" s="871"/>
      <c r="AN173" s="871"/>
      <c r="AO173" s="871"/>
      <c r="BC173" s="191"/>
    </row>
    <row r="174" spans="1:55">
      <c r="A174" s="443" t="s">
        <v>10</v>
      </c>
      <c r="B174" s="872" t="s">
        <v>3711</v>
      </c>
      <c r="K174"/>
      <c r="L174"/>
      <c r="M174"/>
      <c r="N174"/>
      <c r="O174"/>
      <c r="P174"/>
      <c r="Q174"/>
    </row>
    <row r="175" spans="1:55">
      <c r="A175" s="443"/>
      <c r="B175" s="151" t="s">
        <v>3712</v>
      </c>
      <c r="K175"/>
      <c r="L175"/>
      <c r="M175"/>
      <c r="N175"/>
      <c r="O175"/>
      <c r="P175"/>
      <c r="Q175"/>
    </row>
    <row r="176" spans="1:55">
      <c r="B176" s="746"/>
      <c r="K176"/>
      <c r="L176"/>
      <c r="M176"/>
      <c r="N176"/>
      <c r="O176"/>
      <c r="P176"/>
      <c r="Q176"/>
    </row>
    <row r="177" spans="2:41" s="4" customFormat="1" ht="44.4" customHeight="1">
      <c r="B177" s="6" t="s">
        <v>3704</v>
      </c>
      <c r="C177" s="868">
        <f>'National model results detailed'!C200</f>
        <v>0</v>
      </c>
      <c r="D177" s="868">
        <f>'National model results detailed'!D200</f>
        <v>0</v>
      </c>
      <c r="E177" s="868">
        <f>'National model results detailed'!E200</f>
        <v>0</v>
      </c>
      <c r="F177" s="868">
        <f>'National model results detailed'!F200</f>
        <v>0</v>
      </c>
      <c r="G177" s="868">
        <f>'National model results detailed'!G200</f>
        <v>-7.054865955969331E-3</v>
      </c>
      <c r="H177" s="868">
        <f>'National model results detailed'!H200</f>
        <v>4.1745146709079126E-2</v>
      </c>
      <c r="I177" s="868">
        <f>'National model results detailed'!I200</f>
        <v>7.0873824800849292E-2</v>
      </c>
      <c r="J177" s="868">
        <f>'National model results detailed'!J200</f>
        <v>8.7883348433021244E-2</v>
      </c>
      <c r="K177" s="868">
        <f>'National model results detailed'!K200</f>
        <v>9.7438260557667633E-2</v>
      </c>
      <c r="L177" s="868">
        <f>'National model results detailed'!L200</f>
        <v>0.10246336223020922</v>
      </c>
      <c r="M177" s="868">
        <f>'National model results detailed'!M200</f>
        <v>0.10470462958392013</v>
      </c>
      <c r="N177" s="868">
        <f>'National model results detailed'!N200</f>
        <v>0.10508022422775345</v>
      </c>
      <c r="O177" s="868">
        <f>'National model results detailed'!O200</f>
        <v>0.10446019280595049</v>
      </c>
      <c r="P177" s="868">
        <f>'National model results detailed'!P200</f>
        <v>0.10333762405197527</v>
      </c>
      <c r="Q177" s="868">
        <f>'National model results detailed'!Q200</f>
        <v>0.10197638872112083</v>
      </c>
      <c r="R177" s="868">
        <f>'National model results detailed'!R200</f>
        <v>0.10352219334625153</v>
      </c>
      <c r="S177" s="868">
        <f>'National model results detailed'!S200</f>
        <v>0.10451618683580974</v>
      </c>
      <c r="T177" s="868">
        <f>'National model results detailed'!T200</f>
        <v>0.10512976899423394</v>
      </c>
      <c r="U177" s="868">
        <f>'National model results detailed'!U200</f>
        <v>0.10553070893518288</v>
      </c>
      <c r="V177" s="868">
        <f>'National model results detailed'!V200</f>
        <v>0.10583006001748405</v>
      </c>
      <c r="W177" s="868">
        <f>'National model results detailed'!W200</f>
        <v>0.10606184132605929</v>
      </c>
      <c r="X177" s="868">
        <f>'National model results detailed'!X200</f>
        <v>0.10617863229667181</v>
      </c>
      <c r="Y177" s="868">
        <f>'National model results detailed'!Y200</f>
        <v>0.10630348505554628</v>
      </c>
      <c r="Z177" s="868">
        <f>'National model results detailed'!Z200</f>
        <v>0.10645382995796959</v>
      </c>
      <c r="AA177" s="868">
        <f>'National model results detailed'!AA200</f>
        <v>0.10662216796646475</v>
      </c>
      <c r="AB177" s="868">
        <f>'National model results detailed'!AB200</f>
        <v>0.10677263617843916</v>
      </c>
      <c r="AC177" s="868">
        <f>'National model results detailed'!AC200</f>
        <v>0.10691839634266447</v>
      </c>
      <c r="AD177" s="868">
        <f>'National model results detailed'!AD200</f>
        <v>0.10707215530053309</v>
      </c>
      <c r="AE177" s="868">
        <f>'National model results detailed'!AE200</f>
        <v>0.10723861911900076</v>
      </c>
      <c r="AF177" s="868">
        <f>'National model results detailed'!AF200</f>
        <v>0.10742438463606484</v>
      </c>
      <c r="AG177" s="868">
        <f>'National model results detailed'!AG200</f>
        <v>0.1076371528675952</v>
      </c>
      <c r="AH177" s="868">
        <f>'National model results detailed'!AH200</f>
        <v>0.10787611814734037</v>
      </c>
      <c r="AI177" s="868">
        <f>'National model results detailed'!AI200</f>
        <v>0</v>
      </c>
      <c r="AJ177" s="868">
        <f>'National model results detailed'!AJ200</f>
        <v>0</v>
      </c>
      <c r="AK177" s="868">
        <f>'National model results detailed'!AK200</f>
        <v>0</v>
      </c>
      <c r="AL177" s="868">
        <f>'National model results detailed'!AL200</f>
        <v>0</v>
      </c>
      <c r="AM177" s="868">
        <f>'National model results detailed'!AM200</f>
        <v>0</v>
      </c>
      <c r="AN177" s="868">
        <f>'National model results detailed'!AN200</f>
        <v>0</v>
      </c>
      <c r="AO177" s="868">
        <f>'National model results detailed'!AO200</f>
        <v>0</v>
      </c>
    </row>
    <row r="178" spans="2:41" s="4" customFormat="1"/>
    <row r="179" spans="2:41" s="9" customFormat="1" ht="58">
      <c r="B179" s="5" t="s">
        <v>3710</v>
      </c>
      <c r="C179" s="380">
        <f>'National model results detailed'!C201</f>
        <v>0</v>
      </c>
      <c r="D179" s="380">
        <f>'National model results detailed'!D201</f>
        <v>-7.8160832167402466E-2</v>
      </c>
      <c r="E179" s="380">
        <f>'National model results detailed'!E201</f>
        <v>-8.7274772835692002E-2</v>
      </c>
      <c r="F179" s="380">
        <f>'National model results detailed'!F201</f>
        <v>-9.6449977895272973E-2</v>
      </c>
      <c r="G179" s="380">
        <f>'National model results detailed'!G201</f>
        <v>-4.1732085555253283E-2</v>
      </c>
      <c r="H179" s="380">
        <f>'National model results detailed'!H201</f>
        <v>9.7222951489085302E-3</v>
      </c>
      <c r="I179" s="380">
        <f>'National model results detailed'!I201</f>
        <v>4.0644490196466633E-2</v>
      </c>
      <c r="J179" s="380">
        <f>'National model results detailed'!J201</f>
        <v>5.8910317577553939E-2</v>
      </c>
      <c r="K179" s="380">
        <f>'National model results detailed'!K201</f>
        <v>6.9403378906271407E-2</v>
      </c>
      <c r="L179" s="380">
        <f>'National model results detailed'!L201</f>
        <v>7.5156376038673436E-2</v>
      </c>
      <c r="M179" s="380">
        <f>'National model results detailed'!M201</f>
        <v>7.7983239517839101E-2</v>
      </c>
      <c r="N179" s="380">
        <f>'National model results detailed'!N201</f>
        <v>7.5511761679947803E-2</v>
      </c>
      <c r="O179" s="380">
        <f>'National model results detailed'!O201</f>
        <v>7.5382612980079838E-2</v>
      </c>
      <c r="P179" s="380">
        <f>'National model results detailed'!P201</f>
        <v>7.4704144444785722E-2</v>
      </c>
      <c r="Q179" s="380">
        <f>'National model results detailed'!Q201</f>
        <v>7.681439546882439E-2</v>
      </c>
      <c r="R179" s="380">
        <f>'National model results detailed'!R201</f>
        <v>7.8673268483363507E-2</v>
      </c>
      <c r="S179" s="380">
        <f>'National model results detailed'!S201</f>
        <v>7.9960409629691545E-2</v>
      </c>
      <c r="T179" s="380">
        <f>'National model results detailed'!T201</f>
        <v>8.0849062997844737E-2</v>
      </c>
      <c r="U179" s="380">
        <f>'National model results detailed'!U201</f>
        <v>8.1515477259498093E-2</v>
      </c>
      <c r="V179" s="380">
        <f>'National model results detailed'!V201</f>
        <v>8.2069145351164483E-2</v>
      </c>
      <c r="W179" s="380">
        <f>'National model results detailed'!W201</f>
        <v>8.2543537109196471E-2</v>
      </c>
      <c r="X179" s="380">
        <f>'National model results detailed'!X201</f>
        <v>8.2888708420239612E-2</v>
      </c>
      <c r="Y179" s="380">
        <f>'National model results detailed'!Y201</f>
        <v>8.3234530701214504E-2</v>
      </c>
      <c r="Z179" s="380">
        <f>'National model results detailed'!Z201</f>
        <v>8.3599001192541433E-2</v>
      </c>
      <c r="AA179" s="380">
        <f>'National model results detailed'!AA201</f>
        <v>8.3974011095948237E-2</v>
      </c>
      <c r="AB179" s="380">
        <f>'National model results detailed'!AB201</f>
        <v>8.432208237462438E-2</v>
      </c>
      <c r="AC179" s="380">
        <f>'National model results detailed'!AC201</f>
        <v>8.4656888732004429E-2</v>
      </c>
      <c r="AD179" s="380">
        <f>'National model results detailed'!AD201</f>
        <v>8.499180340176421E-2</v>
      </c>
      <c r="AE179" s="380">
        <f>'National model results detailed'!AE201</f>
        <v>8.5331898062002559E-2</v>
      </c>
      <c r="AF179" s="380">
        <f>'National model results detailed'!AF201</f>
        <v>8.5684665237892976E-2</v>
      </c>
      <c r="AG179" s="380">
        <f>'National model results detailed'!AG201</f>
        <v>8.605965353009716E-2</v>
      </c>
      <c r="AH179" s="380">
        <f>'National model results detailed'!AH201</f>
        <v>8.6456476578542094E-2</v>
      </c>
      <c r="AI179" s="380">
        <f>'National model results detailed'!AI201</f>
        <v>0</v>
      </c>
      <c r="AJ179" s="380">
        <f>'National model results detailed'!AJ201</f>
        <v>0</v>
      </c>
      <c r="AK179" s="380">
        <f>'National model results detailed'!AK201</f>
        <v>0</v>
      </c>
      <c r="AL179" s="380">
        <f>'National model results detailed'!AL201</f>
        <v>0</v>
      </c>
      <c r="AM179" s="380">
        <f>'National model results detailed'!AM201</f>
        <v>0</v>
      </c>
      <c r="AN179" s="380">
        <f>'National model results detailed'!AN201</f>
        <v>0</v>
      </c>
      <c r="AO179" s="380">
        <f>'National model results detailed'!AO201</f>
        <v>0</v>
      </c>
    </row>
    <row r="180" spans="2:41" s="880" customFormat="1" ht="58">
      <c r="B180" s="881" t="s">
        <v>3703</v>
      </c>
      <c r="C180" s="879" t="b">
        <f>ABS(C179-( INDEX($H$23:$H$61, MATCH(C168, $B$23:$B$61,0))/('Baseline Summary'!C25/10^6)))&lt;0.0001</f>
        <v>1</v>
      </c>
      <c r="D180" s="879" t="b">
        <f>ABS(D179-( INDEX($H$23:$H$61, MATCH(D168, $B$23:$B$61,0))/('Baseline Summary'!D25/10^6)))&lt;0.0001</f>
        <v>1</v>
      </c>
      <c r="E180" s="879" t="b">
        <f>ABS(E179-( INDEX($H$23:$H$61, MATCH(E168, $B$23:$B$61,0))/('Baseline Summary'!E25/10^6)))&lt;0.0001</f>
        <v>1</v>
      </c>
      <c r="F180" s="879" t="b">
        <f>ABS(F179-( INDEX($H$23:$H$61, MATCH(F168, $B$23:$B$61,0))/('Baseline Summary'!F25/10^6)))&lt;0.0001</f>
        <v>1</v>
      </c>
      <c r="G180" s="879" t="b">
        <f>ABS(G179-( INDEX($H$23:$H$61, MATCH(G168, $B$23:$B$61,0))/('Baseline Summary'!G25/10^6)))&lt;0.0001</f>
        <v>1</v>
      </c>
      <c r="H180" s="879" t="b">
        <f>ABS(H179-( INDEX($H$23:$H$61, MATCH(H168, $B$23:$B$61,0))/('Baseline Summary'!H25/10^6)))&lt;0.0001</f>
        <v>1</v>
      </c>
      <c r="I180" s="879" t="b">
        <f>ABS(I179-( INDEX($H$23:$H$61, MATCH(I168, $B$23:$B$61,0))/('Baseline Summary'!I25/10^6)))&lt;0.0001</f>
        <v>1</v>
      </c>
      <c r="J180" s="879" t="b">
        <f>ABS(J179-( INDEX($H$23:$H$61, MATCH(J168, $B$23:$B$61,0))/('Baseline Summary'!J25/10^6)))&lt;0.0001</f>
        <v>1</v>
      </c>
      <c r="K180" s="882" t="b">
        <f>ABS(K179-( INDEX($H$23:$H$61, MATCH(K168, $B$23:$B$61,0))/('Baseline Summary'!K25/10^6)))&lt;0.0001</f>
        <v>1</v>
      </c>
      <c r="L180" s="883" t="b">
        <f>ABS(L179-( INDEX($H$23:$H$61, MATCH(L168, $B$23:$B$61,0))/('Baseline Summary'!L25/10^6)))&lt;0.0001</f>
        <v>1</v>
      </c>
      <c r="M180" s="883" t="b">
        <f>ABS(M179-( INDEX($H$23:$H$61, MATCH(M168, $B$23:$B$61,0))/('Baseline Summary'!M25/10^6)))&lt;0.0001</f>
        <v>1</v>
      </c>
      <c r="N180" s="883" t="b">
        <f>ABS(N179-( INDEX($H$23:$H$61, MATCH(N168, $B$23:$B$61,0))/('Baseline Summary'!N25/10^6)))&lt;0.0001</f>
        <v>1</v>
      </c>
      <c r="O180" s="884" t="b">
        <f>ABS(O179-( INDEX($H$23:$H$61, MATCH(O168, $B$23:$B$61,0))/('Baseline Summary'!O25/10^6)))&lt;0.0001</f>
        <v>1</v>
      </c>
      <c r="P180" s="883" t="b">
        <f>ABS(P179-( INDEX($H$23:$H$61, MATCH(P168, $B$23:$B$61,0))/('Baseline Summary'!P25/10^6)))&lt;0.0001</f>
        <v>1</v>
      </c>
      <c r="Q180" s="883" t="b">
        <f>ABS(Q179-( INDEX($H$23:$H$61, MATCH(Q168, $B$23:$B$61,0))/('Baseline Summary'!Q25/10^6)))&lt;0.0001</f>
        <v>1</v>
      </c>
      <c r="R180" s="879" t="b">
        <f>ABS(R179-( INDEX($H$23:$H$61, MATCH(R168, $B$23:$B$61,0))/('Baseline Summary'!R25/10^6)))&lt;0.0001</f>
        <v>1</v>
      </c>
      <c r="S180" s="879" t="b">
        <f>ABS(S179-( INDEX($H$23:$H$61, MATCH(S168, $B$23:$B$61,0))/('Baseline Summary'!S25/10^6)))&lt;0.0001</f>
        <v>1</v>
      </c>
      <c r="T180" s="879" t="b">
        <f>ABS(T179-( INDEX($H$23:$H$61, MATCH(T168, $B$23:$B$61,0))/('Baseline Summary'!T25/10^6)))&lt;0.0001</f>
        <v>1</v>
      </c>
      <c r="U180" s="879" t="b">
        <f>ABS(U179-( INDEX($H$23:$H$61, MATCH(U168, $B$23:$B$61,0))/('Baseline Summary'!U25/10^6)))&lt;0.0001</f>
        <v>1</v>
      </c>
      <c r="V180" s="879" t="b">
        <f>ABS(V179-( INDEX($H$23:$H$61, MATCH(V168, $B$23:$B$61,0))/('Baseline Summary'!V25/10^6)))&lt;0.0001</f>
        <v>1</v>
      </c>
      <c r="W180" s="879" t="b">
        <f>ABS(W179-( INDEX($H$23:$H$61, MATCH(W168, $B$23:$B$61,0))/('Baseline Summary'!W25/10^6)))&lt;0.0001</f>
        <v>1</v>
      </c>
      <c r="X180" s="879" t="b">
        <f>ABS(X179-( INDEX($H$23:$H$61, MATCH(X168, $B$23:$B$61,0))/('Baseline Summary'!X25/10^6)))&lt;0.0001</f>
        <v>1</v>
      </c>
      <c r="Y180" s="879" t="b">
        <f>ABS(Y179-( INDEX($H$23:$H$61, MATCH(Y168, $B$23:$B$61,0))/('Baseline Summary'!Y25/10^6)))&lt;0.0001</f>
        <v>1</v>
      </c>
      <c r="Z180" s="879" t="b">
        <f>ABS(Z179-( INDEX($H$23:$H$61, MATCH(Z168, $B$23:$B$61,0))/('Baseline Summary'!Z25/10^6)))&lt;0.0001</f>
        <v>1</v>
      </c>
      <c r="AA180" s="879" t="b">
        <f>ABS(AA179-( INDEX($H$23:$H$61, MATCH(AA168, $B$23:$B$61,0))/('Baseline Summary'!AA25/10^6)))&lt;0.0001</f>
        <v>1</v>
      </c>
      <c r="AB180" s="879" t="b">
        <f>ABS(AB179-( INDEX($H$23:$H$61, MATCH(AB168, $B$23:$B$61,0))/('Baseline Summary'!AB25/10^6)))&lt;0.0001</f>
        <v>1</v>
      </c>
      <c r="AC180" s="879" t="b">
        <f>ABS(AC179-( INDEX($H$23:$H$61, MATCH(AC168, $B$23:$B$61,0))/('Baseline Summary'!AC25/10^6)))&lt;0.0001</f>
        <v>1</v>
      </c>
      <c r="AD180" s="879" t="b">
        <f>ABS(AD179-( INDEX($H$23:$H$61, MATCH(AD168, $B$23:$B$61,0))/('Baseline Summary'!AD25/10^6)))&lt;0.0001</f>
        <v>1</v>
      </c>
      <c r="AE180" s="879" t="b">
        <f>ABS(AE179-( INDEX($H$23:$H$61, MATCH(AE168, $B$23:$B$61,0))/('Baseline Summary'!AE25/10^6)))&lt;0.0001</f>
        <v>1</v>
      </c>
      <c r="AF180" s="879" t="b">
        <f>ABS(AF179-( INDEX($H$23:$H$61, MATCH(AF168, $B$23:$B$61,0))/('Baseline Summary'!AF25/10^6)))&lt;0.0001</f>
        <v>1</v>
      </c>
      <c r="AG180" s="879" t="b">
        <f>ABS(AG179-( INDEX($H$23:$H$61, MATCH(AG168, $B$23:$B$61,0))/('Baseline Summary'!AG25/10^6)))&lt;0.0001</f>
        <v>1</v>
      </c>
      <c r="AH180" s="879" t="b">
        <f>ABS(AH179-( INDEX($H$23:$H$61, MATCH(AH168, $B$23:$B$61,0))/('Baseline Summary'!AH25/10^6)))&lt;0.0001</f>
        <v>1</v>
      </c>
      <c r="AI180" s="879" t="b">
        <f>ABS(AI179-( INDEX($H$23:$H$61, MATCH(AI168, $B$23:$B$61,0))/('Baseline Summary'!AI25/10^6)))&lt;0.0001</f>
        <v>1</v>
      </c>
      <c r="AJ180" s="879" t="b">
        <f>ABS(AJ179-( INDEX($H$23:$H$61, MATCH(AJ168, $B$23:$B$61,0))/('Baseline Summary'!AJ25/10^6)))&lt;0.0001</f>
        <v>1</v>
      </c>
      <c r="AK180" s="879" t="b">
        <f>ABS(AK179-( INDEX($H$23:$H$61, MATCH(AK168, $B$23:$B$61,0))/('Baseline Summary'!AK25/10^6)))&lt;0.0001</f>
        <v>1</v>
      </c>
      <c r="AL180" s="879" t="b">
        <f>ABS(AL179-( INDEX($H$23:$H$61, MATCH(AL168, $B$23:$B$61,0))/('Baseline Summary'!AL25/10^6)))&lt;0.0001</f>
        <v>1</v>
      </c>
      <c r="AM180" s="879" t="b">
        <f>ABS(AM179-( INDEX($H$23:$H$61, MATCH(AM168, $B$23:$B$61,0))/('Baseline Summary'!AM25/10^6)))&lt;0.0001</f>
        <v>1</v>
      </c>
      <c r="AN180" s="879" t="b">
        <f>ABS(AN179-( INDEX($H$23:$H$61, MATCH(AN168, $B$23:$B$61,0))/('Baseline Summary'!AN25/10^6)))&lt;0.0001</f>
        <v>1</v>
      </c>
      <c r="AO180" s="879" t="b">
        <f>ABS(AO179-( INDEX($H$23:$H$61, MATCH(AO168, $B$23:$B$61,0))/('Baseline Summary'!AO25/10^6)))&lt;0.0001</f>
        <v>1</v>
      </c>
    </row>
    <row r="181" spans="2:41" s="151" customFormat="1"/>
  </sheetData>
  <mergeCells count="7">
    <mergeCell ref="Q21:Q22"/>
    <mergeCell ref="I21:I22"/>
    <mergeCell ref="H21:H22"/>
    <mergeCell ref="K21:K22"/>
    <mergeCell ref="M21:M22"/>
    <mergeCell ref="N21:N22"/>
    <mergeCell ref="O21:O22"/>
  </mergeCell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8989"/>
  </sheetPr>
  <dimension ref="A1:BC316"/>
  <sheetViews>
    <sheetView showGridLines="0" topLeftCell="A71" zoomScale="85" zoomScaleNormal="85" workbookViewId="0">
      <selection activeCell="D88" sqref="D88"/>
    </sheetView>
  </sheetViews>
  <sheetFormatPr defaultRowHeight="14.5"/>
  <cols>
    <col min="1" max="1" width="6.36328125" customWidth="1"/>
    <col min="2" max="2" width="23.36328125" customWidth="1"/>
    <col min="3" max="3" width="20.453125" customWidth="1"/>
    <col min="4" max="4" width="17.08984375" customWidth="1"/>
    <col min="5" max="5" width="20.54296875" customWidth="1"/>
    <col min="6" max="7" width="15.36328125" customWidth="1"/>
    <col min="8" max="8" width="26.6328125" customWidth="1"/>
    <col min="9" max="12" width="15.36328125" customWidth="1"/>
    <col min="13" max="13" width="18.6328125" customWidth="1"/>
    <col min="14" max="14" width="25.6328125" customWidth="1"/>
    <col min="15" max="30" width="15.36328125" customWidth="1"/>
    <col min="31" max="41" width="19.453125" customWidth="1"/>
    <col min="42" max="42" width="17.6328125" customWidth="1"/>
    <col min="43" max="45" width="22.6328125" customWidth="1"/>
    <col min="47" max="47" width="18.08984375" customWidth="1"/>
    <col min="48" max="49" width="11" bestFit="1" customWidth="1"/>
    <col min="55" max="55" width="13.54296875" bestFit="1" customWidth="1"/>
  </cols>
  <sheetData>
    <row r="1" spans="1:41" s="782" customFormat="1" ht="18.5">
      <c r="A1" s="780" t="s">
        <v>3743</v>
      </c>
    </row>
    <row r="2" spans="1:41" s="782" customFormat="1">
      <c r="A2" s="782" t="s">
        <v>3550</v>
      </c>
    </row>
    <row r="3" spans="1:41" s="782" customFormat="1"/>
    <row r="4" spans="1:41" s="783" customFormat="1"/>
    <row r="7" spans="1:41" ht="21" customHeight="1">
      <c r="E7" s="181"/>
      <c r="F7" s="181"/>
    </row>
    <row r="8" spans="1:41" s="588" customFormat="1">
      <c r="A8" s="593" t="s">
        <v>10</v>
      </c>
      <c r="B8" s="593" t="s">
        <v>3474</v>
      </c>
    </row>
    <row r="10" spans="1:41">
      <c r="C10" s="34">
        <f t="shared" ref="C10:AO10" si="0">C21</f>
        <v>2020</v>
      </c>
      <c r="D10" s="34">
        <f t="shared" si="0"/>
        <v>2021</v>
      </c>
      <c r="E10" s="34">
        <f t="shared" si="0"/>
        <v>2022</v>
      </c>
      <c r="F10" s="34">
        <f t="shared" si="0"/>
        <v>2023</v>
      </c>
      <c r="G10" s="34">
        <f t="shared" si="0"/>
        <v>2024</v>
      </c>
      <c r="H10" s="34">
        <f t="shared" si="0"/>
        <v>2025</v>
      </c>
      <c r="I10" s="34">
        <f t="shared" si="0"/>
        <v>2026</v>
      </c>
      <c r="J10" s="34">
        <f t="shared" si="0"/>
        <v>2027</v>
      </c>
      <c r="K10" s="34">
        <f t="shared" si="0"/>
        <v>2028</v>
      </c>
      <c r="L10" s="34">
        <f t="shared" si="0"/>
        <v>2029</v>
      </c>
      <c r="M10" s="34">
        <f t="shared" si="0"/>
        <v>2030</v>
      </c>
      <c r="N10" s="34">
        <f t="shared" si="0"/>
        <v>2031</v>
      </c>
      <c r="O10" s="34">
        <f t="shared" si="0"/>
        <v>2032</v>
      </c>
      <c r="P10" s="34">
        <f t="shared" si="0"/>
        <v>2033</v>
      </c>
      <c r="Q10" s="34">
        <f t="shared" si="0"/>
        <v>2034</v>
      </c>
      <c r="R10" s="34">
        <f t="shared" si="0"/>
        <v>2035</v>
      </c>
      <c r="S10" s="34">
        <f t="shared" si="0"/>
        <v>2036</v>
      </c>
      <c r="T10" s="34">
        <f t="shared" si="0"/>
        <v>2037</v>
      </c>
      <c r="U10" s="34">
        <f t="shared" si="0"/>
        <v>2038</v>
      </c>
      <c r="V10" s="34">
        <f t="shared" si="0"/>
        <v>2039</v>
      </c>
      <c r="W10" s="34">
        <f t="shared" si="0"/>
        <v>2040</v>
      </c>
      <c r="X10" s="34">
        <f t="shared" si="0"/>
        <v>2041</v>
      </c>
      <c r="Y10" s="34">
        <f t="shared" si="0"/>
        <v>2042</v>
      </c>
      <c r="Z10" s="34">
        <f t="shared" si="0"/>
        <v>2043</v>
      </c>
      <c r="AA10" s="34">
        <f t="shared" si="0"/>
        <v>2044</v>
      </c>
      <c r="AB10" s="34">
        <f t="shared" si="0"/>
        <v>2045</v>
      </c>
      <c r="AC10" s="34">
        <f t="shared" si="0"/>
        <v>2046</v>
      </c>
      <c r="AD10" s="34">
        <f t="shared" si="0"/>
        <v>2047</v>
      </c>
      <c r="AE10" s="34">
        <f t="shared" si="0"/>
        <v>2048</v>
      </c>
      <c r="AF10" s="34">
        <f t="shared" si="0"/>
        <v>2049</v>
      </c>
      <c r="AG10" s="34">
        <f t="shared" si="0"/>
        <v>2050</v>
      </c>
      <c r="AH10" s="34">
        <f t="shared" si="0"/>
        <v>2051</v>
      </c>
      <c r="AI10" s="34">
        <f t="shared" si="0"/>
        <v>2052</v>
      </c>
      <c r="AJ10" s="34">
        <f t="shared" si="0"/>
        <v>2053</v>
      </c>
      <c r="AK10" s="34">
        <f t="shared" si="0"/>
        <v>2054</v>
      </c>
      <c r="AL10" s="34">
        <f t="shared" si="0"/>
        <v>2055</v>
      </c>
      <c r="AM10" s="34">
        <f t="shared" si="0"/>
        <v>2056</v>
      </c>
      <c r="AN10" s="34">
        <f t="shared" si="0"/>
        <v>2057</v>
      </c>
      <c r="AO10" s="34">
        <f t="shared" si="0"/>
        <v>2058</v>
      </c>
    </row>
    <row r="11" spans="1:41">
      <c r="B11" s="12" t="s">
        <v>183</v>
      </c>
      <c r="C11" s="39">
        <f>'Prevalence projection INT'!C58</f>
        <v>82.5</v>
      </c>
      <c r="D11" s="39">
        <f>'Prevalence projection INT'!D58</f>
        <v>85.671252397034777</v>
      </c>
      <c r="E11" s="39">
        <f>'Prevalence projection INT'!E58</f>
        <v>88.409985944913515</v>
      </c>
      <c r="F11" s="39">
        <f>'Prevalence projection INT'!F58</f>
        <v>90.841470209093458</v>
      </c>
      <c r="G11" s="39">
        <f>'Prevalence projection INT'!G58</f>
        <v>93.082241400315425</v>
      </c>
      <c r="H11" s="39">
        <f>'Prevalence projection INT'!H58</f>
        <v>85.286901679364021</v>
      </c>
      <c r="I11" s="39">
        <f>'Prevalence projection INT'!I58</f>
        <v>80.371125267470873</v>
      </c>
      <c r="J11" s="39">
        <f>'Prevalence projection INT'!J58</f>
        <v>77.423024352014167</v>
      </c>
      <c r="K11" s="39">
        <f>'Prevalence projection INT'!K58</f>
        <v>75.937588943370585</v>
      </c>
      <c r="L11" s="39">
        <f>'Prevalence projection INT'!L58</f>
        <v>75.373960841853631</v>
      </c>
      <c r="M11" s="39">
        <f>'Prevalence projection INT'!M58</f>
        <v>75.399002957624646</v>
      </c>
      <c r="N11" s="39">
        <f>'Prevalence projection INT'!N58</f>
        <v>75.843476439524451</v>
      </c>
      <c r="O11" s="39">
        <f>'Prevalence projection INT'!O58</f>
        <v>76.512346222148111</v>
      </c>
      <c r="P11" s="39">
        <f>'Prevalence projection INT'!P58</f>
        <v>77.316706904841794</v>
      </c>
      <c r="Q11" s="39">
        <f>'Prevalence projection INT'!Q58</f>
        <v>78.215904967552774</v>
      </c>
      <c r="R11" s="39">
        <f>'Prevalence projection INT'!R58</f>
        <v>79.172732163785923</v>
      </c>
      <c r="S11" s="39">
        <f>'Prevalence projection INT'!S58</f>
        <v>80.155030344903821</v>
      </c>
      <c r="T11" s="39">
        <f>'Prevalence projection INT'!T58</f>
        <v>81.159129851206629</v>
      </c>
      <c r="U11" s="39">
        <f>'Prevalence projection INT'!U58</f>
        <v>82.21650286249897</v>
      </c>
      <c r="V11" s="39">
        <f>'Prevalence projection INT'!V58</f>
        <v>83.269470376127629</v>
      </c>
      <c r="W11" s="39">
        <f>'Prevalence projection INT'!W58</f>
        <v>84.304559744743102</v>
      </c>
      <c r="X11" s="39">
        <f>'Prevalence projection INT'!X58</f>
        <v>85.338263741522951</v>
      </c>
      <c r="Y11" s="39">
        <f>'Prevalence projection INT'!Y58</f>
        <v>86.361751387228182</v>
      </c>
      <c r="Z11" s="39">
        <f>'Prevalence projection INT'!Z58</f>
        <v>87.365790951214706</v>
      </c>
      <c r="AA11" s="39">
        <f>'Prevalence projection INT'!AA58</f>
        <v>88.343803133612155</v>
      </c>
      <c r="AB11" s="39">
        <f>'Prevalence projection INT'!AB58</f>
        <v>89.300002386112538</v>
      </c>
      <c r="AC11" s="39">
        <f>'Prevalence projection INT'!AC58</f>
        <v>90.224792989119592</v>
      </c>
      <c r="AD11" s="39">
        <f>'Prevalence projection INT'!AD58</f>
        <v>91.109782246881963</v>
      </c>
      <c r="AE11" s="39">
        <f>'Prevalence projection INT'!AE58</f>
        <v>91.949173834027292</v>
      </c>
      <c r="AF11" s="39">
        <f>'Prevalence projection INT'!AF58</f>
        <v>92.745041204404558</v>
      </c>
      <c r="AG11" s="39">
        <f>'Prevalence projection INT'!AG58</f>
        <v>93.514153714375951</v>
      </c>
      <c r="AH11" s="39">
        <f>'Prevalence projection INT'!AH58</f>
        <v>94.258561793882748</v>
      </c>
      <c r="AI11" s="39">
        <f>'Prevalence projection INT'!AI58</f>
        <v>94.988077339954486</v>
      </c>
      <c r="AJ11" s="39">
        <f>'Prevalence projection INT'!AJ58</f>
        <v>95.692672677062632</v>
      </c>
      <c r="AK11" s="39">
        <f>'Prevalence projection INT'!AK58</f>
        <v>96.356771487241119</v>
      </c>
      <c r="AL11" s="39">
        <f>'Prevalence projection INT'!AL58</f>
        <v>96.971911538641692</v>
      </c>
      <c r="AM11" s="39">
        <f>'Prevalence projection INT'!AM58</f>
        <v>97.532841782974856</v>
      </c>
      <c r="AN11" s="39">
        <f>'Prevalence projection INT'!AN58</f>
        <v>98.035625443233315</v>
      </c>
      <c r="AO11" s="39">
        <f>'Prevalence projection INT'!AO58</f>
        <v>98.476638181047576</v>
      </c>
    </row>
    <row r="12" spans="1:41">
      <c r="B12" s="12" t="s">
        <v>2555</v>
      </c>
      <c r="C12" s="39">
        <f>'Prevalence projection INT'!C92</f>
        <v>34.5</v>
      </c>
      <c r="D12" s="39">
        <f>'Prevalence projection INT'!D92</f>
        <v>38.454128917855734</v>
      </c>
      <c r="E12" s="39">
        <f>'Prevalence projection INT'!E92</f>
        <v>42.457630958756774</v>
      </c>
      <c r="F12" s="39">
        <f>'Prevalence projection INT'!F92</f>
        <v>46.516040358715721</v>
      </c>
      <c r="G12" s="39">
        <f>'Prevalence projection INT'!G92</f>
        <v>50.574449758674668</v>
      </c>
      <c r="H12" s="39">
        <f>'Prevalence projection INT'!H92</f>
        <v>54.683534377078708</v>
      </c>
      <c r="I12" s="39">
        <f>'Prevalence projection INT'!I92</f>
        <v>58.848974401883702</v>
      </c>
      <c r="J12" s="39">
        <f>'Prevalence projection INT'!J92</f>
        <v>63.080038440011002</v>
      </c>
      <c r="K12" s="39">
        <f>'Prevalence projection INT'!K92</f>
        <v>67.381744254903779</v>
      </c>
      <c r="L12" s="39">
        <f>'Prevalence projection INT'!L92</f>
        <v>71.750717145199403</v>
      </c>
      <c r="M12" s="39">
        <f>'Prevalence projection INT'!M92</f>
        <v>76.18878189188041</v>
      </c>
      <c r="N12" s="39">
        <f>'Prevalence projection INT'!N92</f>
        <v>80.72626082819346</v>
      </c>
      <c r="O12" s="39">
        <f>'Prevalence projection INT'!O92</f>
        <v>85.347542519177281</v>
      </c>
      <c r="P12" s="39">
        <f>'Prevalence projection INT'!P92</f>
        <v>90.043016274548236</v>
      </c>
      <c r="Q12" s="39">
        <f>'Prevalence projection INT'!Q92</f>
        <v>94.806531361532308</v>
      </c>
      <c r="R12" s="39">
        <f>'Prevalence projection INT'!R92</f>
        <v>99.632738875445966</v>
      </c>
      <c r="S12" s="39">
        <f>'Prevalence projection INT'!S92</f>
        <v>104.52396023504808</v>
      </c>
      <c r="T12" s="39">
        <f>'Prevalence projection INT'!T92</f>
        <v>109.48470876853897</v>
      </c>
      <c r="U12" s="39">
        <f>'Prevalence projection INT'!U92</f>
        <v>114.51526686613272</v>
      </c>
      <c r="V12" s="39">
        <f>'Prevalence projection INT'!V92</f>
        <v>119.60994680013225</v>
      </c>
      <c r="W12" s="39">
        <f>'Prevalence projection INT'!W92</f>
        <v>124.76797699082415</v>
      </c>
      <c r="X12" s="39">
        <f>'Prevalence projection INT'!X92</f>
        <v>130.00043191024901</v>
      </c>
      <c r="Y12" s="39">
        <f>'Prevalence projection INT'!Y92</f>
        <v>135.29826085686554</v>
      </c>
      <c r="Z12" s="39">
        <f>'Prevalence projection INT'!Z92</f>
        <v>140.65753730204207</v>
      </c>
      <c r="AA12" s="39">
        <f>'Prevalence projection INT'!AA92</f>
        <v>146.07616701849767</v>
      </c>
      <c r="AB12" s="39">
        <f>'Prevalence projection INT'!AB92</f>
        <v>151.55743569892817</v>
      </c>
      <c r="AC12" s="39">
        <f>'Prevalence projection INT'!AC92</f>
        <v>157.09961134131828</v>
      </c>
      <c r="AD12" s="39">
        <f>'Prevalence projection INT'!AD92</f>
        <v>162.69977082648839</v>
      </c>
      <c r="AE12" s="39">
        <f>'Prevalence projection INT'!AE92</f>
        <v>168.35499186999945</v>
      </c>
      <c r="AF12" s="39">
        <f>'Prevalence projection INT'!AF92</f>
        <v>174.06199560617938</v>
      </c>
      <c r="AG12" s="39">
        <f>'Prevalence projection INT'!AG92</f>
        <v>179.81756641650577</v>
      </c>
      <c r="AH12" s="39">
        <f>'Prevalence projection INT'!AH92</f>
        <v>185.61833582351593</v>
      </c>
      <c r="AI12" s="39">
        <f>'Prevalence projection INT'!AI92</f>
        <v>191.46268560865505</v>
      </c>
      <c r="AJ12" s="39">
        <f>'Prevalence projection INT'!AJ92</f>
        <v>197.35294631828901</v>
      </c>
      <c r="AK12" s="39">
        <f>'Prevalence projection INT'!AK92</f>
        <v>203.28834429554823</v>
      </c>
      <c r="AL12" s="39">
        <f>'Prevalence projection INT'!AL92</f>
        <v>209.26944543217613</v>
      </c>
      <c r="AM12" s="39">
        <f>'Prevalence projection INT'!AM92</f>
        <v>215.29025241352792</v>
      </c>
      <c r="AN12" s="39">
        <f>'Prevalence projection INT'!AN92</f>
        <v>221.3448391367088</v>
      </c>
      <c r="AO12" s="39">
        <f>'Prevalence projection INT'!AO92</f>
        <v>227.42767684777934</v>
      </c>
    </row>
    <row r="13" spans="1:41">
      <c r="B13" s="12" t="s">
        <v>2556</v>
      </c>
      <c r="C13" s="39">
        <f>'Prevalence projection INT'!C26</f>
        <v>283.5</v>
      </c>
      <c r="D13" s="39">
        <f>'Prevalence projection INT'!D26</f>
        <v>293.19015912843923</v>
      </c>
      <c r="E13" s="39">
        <f>'Prevalence projection INT'!E26</f>
        <v>301.48374143342193</v>
      </c>
      <c r="F13" s="39">
        <f>'Prevalence projection INT'!F26</f>
        <v>308.83682243526221</v>
      </c>
      <c r="G13" s="39">
        <f>'Prevalence projection INT'!G26</f>
        <v>315.66336153104555</v>
      </c>
      <c r="H13" s="39">
        <f>'Prevalence projection INT'!H26</f>
        <v>280.33856384346745</v>
      </c>
      <c r="I13" s="39">
        <f>'Prevalence projection INT'!I26</f>
        <v>259.63630449965746</v>
      </c>
      <c r="J13" s="39">
        <f>'Prevalence projection INT'!J26</f>
        <v>248.14148252763499</v>
      </c>
      <c r="K13" s="39">
        <f>'Prevalence projection INT'!K26</f>
        <v>242.85939581547882</v>
      </c>
      <c r="L13" s="39">
        <f>'Prevalence projection INT'!L26</f>
        <v>241.2153991664303</v>
      </c>
      <c r="M13" s="39">
        <f>'Prevalence projection INT'!M26</f>
        <v>241.71855154653568</v>
      </c>
      <c r="N13" s="39">
        <f>'Prevalence projection INT'!N26</f>
        <v>243.66081825644366</v>
      </c>
      <c r="O13" s="39">
        <f>'Prevalence projection INT'!O26</f>
        <v>246.25395226781214</v>
      </c>
      <c r="P13" s="39">
        <f>'Prevalence projection INT'!P26</f>
        <v>249.17780539158161</v>
      </c>
      <c r="Q13" s="39">
        <f>'Prevalence projection INT'!Q26</f>
        <v>252.31434755734173</v>
      </c>
      <c r="R13" s="39">
        <f>'Prevalence projection INT'!R26</f>
        <v>255.56074741837355</v>
      </c>
      <c r="S13" s="39">
        <f>'Prevalence projection INT'!S26</f>
        <v>258.83478091381068</v>
      </c>
      <c r="T13" s="39">
        <f>'Prevalence projection INT'!T26</f>
        <v>262.14679438231275</v>
      </c>
      <c r="U13" s="39">
        <f>'Prevalence projection INT'!U26</f>
        <v>265.61958437207431</v>
      </c>
      <c r="V13" s="39">
        <f>'Prevalence projection INT'!V26</f>
        <v>269.04620892921093</v>
      </c>
      <c r="W13" s="39">
        <f>'Prevalence projection INT'!W26</f>
        <v>272.39089844636584</v>
      </c>
      <c r="X13" s="39">
        <f>'Prevalence projection INT'!X26</f>
        <v>275.73080174212112</v>
      </c>
      <c r="Y13" s="39">
        <f>'Prevalence projection INT'!Y26</f>
        <v>279.02256167212551</v>
      </c>
      <c r="Z13" s="39">
        <f>'Prevalence projection INT'!Z26</f>
        <v>282.23751089696094</v>
      </c>
      <c r="AA13" s="39">
        <f>'Prevalence projection INT'!AA26</f>
        <v>285.3583802282584</v>
      </c>
      <c r="AB13" s="39">
        <f>'Prevalence projection INT'!AB26</f>
        <v>288.40870310516499</v>
      </c>
      <c r="AC13" s="39">
        <f>'Prevalence projection INT'!AC26</f>
        <v>291.3522635596687</v>
      </c>
      <c r="AD13" s="39">
        <f>'Prevalence projection INT'!AD26</f>
        <v>294.15882468483863</v>
      </c>
      <c r="AE13" s="39">
        <f>'Prevalence projection INT'!AE26</f>
        <v>296.80959997325209</v>
      </c>
      <c r="AF13" s="39">
        <f>'Prevalence projection INT'!AF26</f>
        <v>299.31443210254628</v>
      </c>
      <c r="AG13" s="39">
        <f>'Prevalence projection INT'!AG26</f>
        <v>301.73564106612992</v>
      </c>
      <c r="AH13" s="39">
        <f>'Prevalence projection INT'!AH26</f>
        <v>304.08051005093057</v>
      </c>
      <c r="AI13" s="39">
        <f>'Prevalence projection INT'!AI26</f>
        <v>306.38535542126493</v>
      </c>
      <c r="AJ13" s="39">
        <f>'Prevalence projection INT'!AJ26</f>
        <v>308.61577956841728</v>
      </c>
      <c r="AK13" s="39">
        <f>'Prevalence projection INT'!AK26</f>
        <v>310.71278508482129</v>
      </c>
      <c r="AL13" s="39">
        <f>'Prevalence projection INT'!AL26</f>
        <v>312.64669120122744</v>
      </c>
      <c r="AM13" s="39">
        <f>'Prevalence projection INT'!AM26</f>
        <v>314.39476692357863</v>
      </c>
      <c r="AN13" s="39">
        <f>'Prevalence projection INT'!AN26</f>
        <v>315.94436957924216</v>
      </c>
      <c r="AO13" s="39">
        <f>'Prevalence projection INT'!AO26</f>
        <v>317.28599657027979</v>
      </c>
    </row>
    <row r="14" spans="1:41" s="9" customFormat="1">
      <c r="B14" s="14" t="s">
        <v>22</v>
      </c>
      <c r="C14" s="40">
        <f t="shared" ref="C14:AO14" si="1">SUM(C11:C13)</f>
        <v>400.5</v>
      </c>
      <c r="D14" s="40">
        <f t="shared" si="1"/>
        <v>417.31554044332972</v>
      </c>
      <c r="E14" s="40">
        <f t="shared" si="1"/>
        <v>432.35135833709222</v>
      </c>
      <c r="F14" s="40">
        <f t="shared" si="1"/>
        <v>446.19433300307139</v>
      </c>
      <c r="G14" s="40">
        <f t="shared" si="1"/>
        <v>459.32005269003565</v>
      </c>
      <c r="H14" s="40">
        <f t="shared" si="1"/>
        <v>420.30899989991019</v>
      </c>
      <c r="I14" s="40">
        <f t="shared" si="1"/>
        <v>398.85640416901202</v>
      </c>
      <c r="J14" s="40">
        <f t="shared" si="1"/>
        <v>388.64454531966015</v>
      </c>
      <c r="K14" s="40">
        <f t="shared" si="1"/>
        <v>386.17872901375318</v>
      </c>
      <c r="L14" s="40">
        <f t="shared" si="1"/>
        <v>388.34007715348332</v>
      </c>
      <c r="M14" s="40">
        <f t="shared" si="1"/>
        <v>393.30633639604071</v>
      </c>
      <c r="N14" s="40">
        <f t="shared" si="1"/>
        <v>400.23055552416156</v>
      </c>
      <c r="O14" s="40">
        <f t="shared" si="1"/>
        <v>408.11384100913756</v>
      </c>
      <c r="P14" s="40">
        <f t="shared" si="1"/>
        <v>416.53752857097163</v>
      </c>
      <c r="Q14" s="40">
        <f t="shared" si="1"/>
        <v>425.33678388642682</v>
      </c>
      <c r="R14" s="40">
        <f t="shared" si="1"/>
        <v>434.36621845760544</v>
      </c>
      <c r="S14" s="40">
        <f t="shared" si="1"/>
        <v>443.51377149376259</v>
      </c>
      <c r="T14" s="40">
        <f t="shared" si="1"/>
        <v>452.79063300205837</v>
      </c>
      <c r="U14" s="40">
        <f t="shared" si="1"/>
        <v>462.35135410070598</v>
      </c>
      <c r="V14" s="40">
        <f t="shared" si="1"/>
        <v>471.92562610547083</v>
      </c>
      <c r="W14" s="40">
        <f t="shared" si="1"/>
        <v>481.46343518193311</v>
      </c>
      <c r="X14" s="40">
        <f t="shared" si="1"/>
        <v>491.06949739389307</v>
      </c>
      <c r="Y14" s="40">
        <f t="shared" si="1"/>
        <v>500.68257391621921</v>
      </c>
      <c r="Z14" s="40">
        <f t="shared" si="1"/>
        <v>510.26083915021775</v>
      </c>
      <c r="AA14" s="40">
        <f t="shared" si="1"/>
        <v>519.77835038036824</v>
      </c>
      <c r="AB14" s="40">
        <f t="shared" si="1"/>
        <v>529.26614119020564</v>
      </c>
      <c r="AC14" s="40">
        <f t="shared" si="1"/>
        <v>538.6766678901065</v>
      </c>
      <c r="AD14" s="40">
        <f t="shared" si="1"/>
        <v>547.96837775820904</v>
      </c>
      <c r="AE14" s="40">
        <f t="shared" si="1"/>
        <v>557.11376567727882</v>
      </c>
      <c r="AF14" s="40">
        <f t="shared" si="1"/>
        <v>566.12146891313023</v>
      </c>
      <c r="AG14" s="40">
        <f t="shared" si="1"/>
        <v>575.06736119701168</v>
      </c>
      <c r="AH14" s="40">
        <f t="shared" si="1"/>
        <v>583.95740766832932</v>
      </c>
      <c r="AI14" s="40">
        <f t="shared" si="1"/>
        <v>592.83611836987438</v>
      </c>
      <c r="AJ14" s="40">
        <f t="shared" si="1"/>
        <v>601.6613985637689</v>
      </c>
      <c r="AK14" s="40">
        <f t="shared" si="1"/>
        <v>610.35790086761062</v>
      </c>
      <c r="AL14" s="40">
        <f t="shared" si="1"/>
        <v>618.88804817204527</v>
      </c>
      <c r="AM14" s="40">
        <f t="shared" si="1"/>
        <v>627.21786112008135</v>
      </c>
      <c r="AN14" s="40">
        <f t="shared" si="1"/>
        <v>635.32483415918432</v>
      </c>
      <c r="AO14" s="40">
        <f t="shared" si="1"/>
        <v>643.19031159910674</v>
      </c>
    </row>
    <row r="15" spans="1:41" s="9" customFormat="1">
      <c r="B15" s="67"/>
      <c r="C15" s="866"/>
      <c r="D15" s="866"/>
      <c r="E15" s="866"/>
      <c r="F15" s="866"/>
      <c r="G15" s="866"/>
      <c r="H15" s="866"/>
      <c r="I15" s="866"/>
      <c r="J15" s="866"/>
      <c r="K15" s="866"/>
      <c r="L15" s="866"/>
      <c r="M15" s="866"/>
      <c r="N15" s="866"/>
      <c r="O15" s="866"/>
      <c r="P15" s="866"/>
      <c r="Q15" s="866"/>
      <c r="R15" s="866"/>
      <c r="S15" s="866"/>
      <c r="T15" s="866"/>
      <c r="U15" s="866"/>
      <c r="V15" s="866"/>
      <c r="W15" s="866"/>
      <c r="X15" s="866"/>
      <c r="Y15" s="866"/>
      <c r="Z15" s="866"/>
      <c r="AA15" s="866"/>
      <c r="AB15" s="866"/>
      <c r="AC15" s="866"/>
      <c r="AD15" s="866"/>
      <c r="AE15" s="866"/>
      <c r="AF15" s="866"/>
      <c r="AG15" s="866"/>
      <c r="AH15" s="866"/>
      <c r="AI15" s="866"/>
      <c r="AJ15" s="866"/>
      <c r="AK15" s="866"/>
      <c r="AL15" s="866"/>
      <c r="AM15" s="866"/>
      <c r="AN15" s="866"/>
      <c r="AO15" s="866"/>
    </row>
    <row r="16" spans="1:41" s="568" customFormat="1" ht="30" customHeight="1">
      <c r="B16" s="25" t="s">
        <v>3688</v>
      </c>
      <c r="C16" s="867">
        <f>1-(C14/'Baseline Summary'!C15)</f>
        <v>0</v>
      </c>
      <c r="D16" s="867">
        <f>1-(D14/'Baseline Summary'!D15)</f>
        <v>0</v>
      </c>
      <c r="E16" s="867">
        <f>1-(E14/'Baseline Summary'!E15)</f>
        <v>0</v>
      </c>
      <c r="F16" s="867">
        <f>1-(F14/'Baseline Summary'!F15)</f>
        <v>0</v>
      </c>
      <c r="G16" s="867">
        <f>1-(G14/'Baseline Summary'!G15)</f>
        <v>1.3918162417525526E-4</v>
      </c>
      <c r="H16" s="867">
        <f>1-(H14/'Baseline Summary'!H15)</f>
        <v>0.10993361249671163</v>
      </c>
      <c r="I16" s="867">
        <f>1-(I14/'Baseline Summary'!I15)</f>
        <v>0.177143738823202</v>
      </c>
      <c r="J16" s="867">
        <f>1-(J14/'Baseline Summary'!J15)</f>
        <v>0.21806176091253171</v>
      </c>
      <c r="K16" s="867">
        <f>1-(K14/'Baseline Summary'!K15)</f>
        <v>0.24276420354484463</v>
      </c>
      <c r="L16" s="867">
        <f>1-(L14/'Baseline Summary'!L15)</f>
        <v>0.25755610727801748</v>
      </c>
      <c r="M16" s="867">
        <f>1-(M14/'Baseline Summary'!M15)</f>
        <v>0.26619970283964389</v>
      </c>
      <c r="N16" s="867">
        <f>1-(N14/'Baseline Summary'!N15)</f>
        <v>0.27053677553846189</v>
      </c>
      <c r="O16" s="867">
        <f>1-(O14/'Baseline Summary'!O15)</f>
        <v>0.27256464374153966</v>
      </c>
      <c r="P16" s="867">
        <f>1-(P14/'Baseline Summary'!P15)</f>
        <v>0.27335672957085044</v>
      </c>
      <c r="Q16" s="867">
        <f>1-(Q14/'Baseline Summary'!Q15)</f>
        <v>0.27348487875719241</v>
      </c>
      <c r="R16" s="867">
        <f>1-(R14/'Baseline Summary'!R15)</f>
        <v>0.27325906783275855</v>
      </c>
      <c r="S16" s="867">
        <f>1-(S14/'Baseline Summary'!S15)</f>
        <v>0.27271974381043451</v>
      </c>
      <c r="T16" s="867">
        <f>1-(T14/'Baseline Summary'!T15)</f>
        <v>0.27189165866635945</v>
      </c>
      <c r="U16" s="867">
        <f>1-(U14/'Baseline Summary'!U15)</f>
        <v>0.27091770207189536</v>
      </c>
      <c r="V16" s="867">
        <f>1-(V14/'Baseline Summary'!V15)</f>
        <v>0.26991658127449081</v>
      </c>
      <c r="W16" s="867">
        <f>1-(W14/'Baseline Summary'!W15)</f>
        <v>0.26888007687212545</v>
      </c>
      <c r="X16" s="867">
        <f>1-(X14/'Baseline Summary'!X15)</f>
        <v>0.26764032923562542</v>
      </c>
      <c r="Y16" s="867">
        <f>1-(Y14/'Baseline Summary'!Y15)</f>
        <v>0.26643637274914445</v>
      </c>
      <c r="Z16" s="867">
        <f>1-(Z14/'Baseline Summary'!Z15)</f>
        <v>0.2652941090935389</v>
      </c>
      <c r="AA16" s="867">
        <f>1-(AA14/'Baseline Summary'!AA15)</f>
        <v>0.26419022345480914</v>
      </c>
      <c r="AB16" s="867">
        <f>1-(AB14/'Baseline Summary'!AB15)</f>
        <v>0.26303610660282217</v>
      </c>
      <c r="AC16" s="867">
        <f>1-(AC14/'Baseline Summary'!AC15)</f>
        <v>0.26185647173050441</v>
      </c>
      <c r="AD16" s="867">
        <f>1-(AD14/'Baseline Summary'!AD15)</f>
        <v>0.26067700709496733</v>
      </c>
      <c r="AE16" s="867">
        <f>1-(AE14/'Baseline Summary'!AE15)</f>
        <v>0.25950564755900618</v>
      </c>
      <c r="AF16" s="867">
        <f>1-(AF14/'Baseline Summary'!AF15)</f>
        <v>0.25835214504361237</v>
      </c>
      <c r="AG16" s="867">
        <f>1-(AG14/'Baseline Summary'!AG15)</f>
        <v>0.25723126718528599</v>
      </c>
      <c r="AH16" s="867">
        <f>1-(AH14/'Baseline Summary'!AH15)</f>
        <v>0.25614390227625472</v>
      </c>
      <c r="AI16" s="867">
        <f>1-(AI14/'Baseline Summary'!AI15)</f>
        <v>0.25507236952783974</v>
      </c>
      <c r="AJ16" s="867">
        <f>1-(AJ14/'Baseline Summary'!AJ15)</f>
        <v>0.25394115910051296</v>
      </c>
      <c r="AK16" s="867">
        <f>1-(AK14/'Baseline Summary'!AK15)</f>
        <v>0.25274928476446457</v>
      </c>
      <c r="AL16" s="867">
        <f>1-(AL14/'Baseline Summary'!AL15)</f>
        <v>0.25148010568083512</v>
      </c>
      <c r="AM16" s="867">
        <f>1-(AM14/'Baseline Summary'!AM15)</f>
        <v>0.25021281415711527</v>
      </c>
      <c r="AN16" s="867">
        <f>1-(AN14/'Baseline Summary'!AN15)</f>
        <v>0.24897983992458639</v>
      </c>
      <c r="AO16" s="867">
        <f>1-(AO14/'Baseline Summary'!AO15)</f>
        <v>0.24778419018738684</v>
      </c>
    </row>
    <row r="17" spans="1:41">
      <c r="I17" s="19"/>
      <c r="T17" s="23"/>
    </row>
    <row r="18" spans="1:41" s="588" customFormat="1">
      <c r="A18" s="588" t="s">
        <v>10</v>
      </c>
      <c r="B18" s="593" t="s">
        <v>3475</v>
      </c>
      <c r="I18" s="648"/>
      <c r="J18" s="641"/>
      <c r="K18" s="641"/>
      <c r="O18" s="641"/>
    </row>
    <row r="19" spans="1:41">
      <c r="B19" s="9"/>
      <c r="I19" s="19"/>
      <c r="K19" s="60"/>
    </row>
    <row r="20" spans="1:41">
      <c r="B20" s="9"/>
    </row>
    <row r="21" spans="1:41">
      <c r="B21" s="34" t="s">
        <v>2491</v>
      </c>
      <c r="C21" s="34">
        <f>'Wound growth'!C81</f>
        <v>2020</v>
      </c>
      <c r="D21" s="34">
        <f>'Wound growth'!D81</f>
        <v>2021</v>
      </c>
      <c r="E21" s="34">
        <f>'Wound growth'!E81</f>
        <v>2022</v>
      </c>
      <c r="F21" s="34">
        <f>'Wound growth'!F81</f>
        <v>2023</v>
      </c>
      <c r="G21" s="34">
        <f>'Wound growth'!G81</f>
        <v>2024</v>
      </c>
      <c r="H21" s="34">
        <f>'Wound growth'!H81</f>
        <v>2025</v>
      </c>
      <c r="I21" s="34">
        <f>'Wound growth'!I81</f>
        <v>2026</v>
      </c>
      <c r="J21" s="34">
        <f>'Wound growth'!J81</f>
        <v>2027</v>
      </c>
      <c r="K21" s="34">
        <f>'Wound growth'!K81</f>
        <v>2028</v>
      </c>
      <c r="L21" s="34">
        <f>'Wound growth'!L81</f>
        <v>2029</v>
      </c>
      <c r="M21" s="34">
        <f>'Wound growth'!M81</f>
        <v>2030</v>
      </c>
      <c r="N21" s="34">
        <f>'Wound growth'!N81</f>
        <v>2031</v>
      </c>
      <c r="O21" s="34">
        <f>'Wound growth'!O81</f>
        <v>2032</v>
      </c>
      <c r="P21" s="34">
        <f>'Wound growth'!P81</f>
        <v>2033</v>
      </c>
      <c r="Q21" s="34">
        <f>'Wound growth'!Q81</f>
        <v>2034</v>
      </c>
      <c r="R21" s="34">
        <f>'Wound growth'!R81</f>
        <v>2035</v>
      </c>
      <c r="S21" s="34">
        <f>'Wound growth'!S81</f>
        <v>2036</v>
      </c>
      <c r="T21" s="34">
        <f>'Wound growth'!T81</f>
        <v>2037</v>
      </c>
      <c r="U21" s="34">
        <f>'Wound growth'!U81</f>
        <v>2038</v>
      </c>
      <c r="V21" s="34">
        <f>'Wound growth'!V81</f>
        <v>2039</v>
      </c>
      <c r="W21" s="34">
        <f>'Wound growth'!W81</f>
        <v>2040</v>
      </c>
      <c r="X21" s="34">
        <f>'Wound growth'!X81</f>
        <v>2041</v>
      </c>
      <c r="Y21" s="34">
        <f>'Wound growth'!Y81</f>
        <v>2042</v>
      </c>
      <c r="Z21" s="34">
        <f>'Wound growth'!Z81</f>
        <v>2043</v>
      </c>
      <c r="AA21" s="34">
        <f>'Wound growth'!AA81</f>
        <v>2044</v>
      </c>
      <c r="AB21" s="34">
        <f>'Wound growth'!AB81</f>
        <v>2045</v>
      </c>
      <c r="AC21" s="34">
        <f>'Wound growth'!AC81</f>
        <v>2046</v>
      </c>
      <c r="AD21" s="34">
        <f>'Wound growth'!AD81</f>
        <v>2047</v>
      </c>
      <c r="AE21" s="34">
        <f>'Wound growth'!AE81</f>
        <v>2048</v>
      </c>
      <c r="AF21" s="34">
        <f>'Wound growth'!AF81</f>
        <v>2049</v>
      </c>
      <c r="AG21" s="34">
        <f>'Wound growth'!AG81</f>
        <v>2050</v>
      </c>
      <c r="AH21" s="34">
        <f>'Wound growth'!AH81</f>
        <v>2051</v>
      </c>
      <c r="AI21" s="34">
        <f>'Wound growth'!AI81</f>
        <v>2052</v>
      </c>
      <c r="AJ21" s="34">
        <f>'Wound growth'!AJ81</f>
        <v>2053</v>
      </c>
      <c r="AK21" s="34">
        <f>'Wound growth'!AK81</f>
        <v>2054</v>
      </c>
      <c r="AL21" s="34">
        <f>'Wound growth'!AL81</f>
        <v>2055</v>
      </c>
      <c r="AM21" s="34">
        <f>'Wound growth'!AM81</f>
        <v>2056</v>
      </c>
      <c r="AN21" s="34">
        <f>'Wound growth'!AN81</f>
        <v>2057</v>
      </c>
      <c r="AO21" s="34">
        <f>'Wound growth'!AO81</f>
        <v>2058</v>
      </c>
    </row>
    <row r="22" spans="1:41" s="81" customFormat="1">
      <c r="B22" s="90" t="s">
        <v>184</v>
      </c>
      <c r="C22" s="90">
        <f>'Mixed costs INT'!D245</f>
        <v>536954.8714103211</v>
      </c>
      <c r="D22" s="90">
        <f>'Mixed costs INT'!E245</f>
        <v>571085.41989407956</v>
      </c>
      <c r="E22" s="90">
        <f>'Mixed costs INT'!F245</f>
        <v>603628.80632325076</v>
      </c>
      <c r="F22" s="90">
        <f>'Mixed costs INT'!G245</f>
        <v>635298.28805271327</v>
      </c>
      <c r="G22" s="90">
        <f>'Mixed costs INT'!H245</f>
        <v>572546.55418855313</v>
      </c>
      <c r="H22" s="90">
        <f>'Mixed costs INT'!I245</f>
        <v>546266.17094235949</v>
      </c>
      <c r="I22" s="90">
        <f>'Mixed costs INT'!J245</f>
        <v>536139.84774685407</v>
      </c>
      <c r="J22" s="90">
        <f>'Mixed costs INT'!K245</f>
        <v>537660.79798059491</v>
      </c>
      <c r="K22" s="90">
        <f>'Mixed costs INT'!L245</f>
        <v>548487.09040699725</v>
      </c>
      <c r="L22" s="90">
        <f>'Mixed costs INT'!M245</f>
        <v>565712.56704067579</v>
      </c>
      <c r="M22" s="90">
        <f>'Mixed costs INT'!N245</f>
        <v>587531.61830415449</v>
      </c>
      <c r="N22" s="90">
        <f>'Mixed costs INT'!O245</f>
        <v>612801.60992287484</v>
      </c>
      <c r="O22" s="90">
        <f>'Mixed costs INT'!P245</f>
        <v>640634.155551965</v>
      </c>
      <c r="P22" s="90">
        <f>'Mixed costs INT'!Q245</f>
        <v>670532.56049160566</v>
      </c>
      <c r="Q22" s="90">
        <f>'Mixed costs INT'!R245</f>
        <v>702308.87121621333</v>
      </c>
      <c r="R22" s="90">
        <f>'Mixed costs INT'!S245</f>
        <v>724894.69971397927</v>
      </c>
      <c r="S22" s="90">
        <f>'Mixed costs INT'!T245</f>
        <v>749509.23549931345</v>
      </c>
      <c r="T22" s="90">
        <f>'Mixed costs INT'!U245</f>
        <v>775871.45854831557</v>
      </c>
      <c r="U22" s="90">
        <f>'Mixed costs INT'!V245</f>
        <v>804089.9737035369</v>
      </c>
      <c r="V22" s="90">
        <f>'Mixed costs INT'!W245</f>
        <v>833570.48925623333</v>
      </c>
      <c r="W22" s="90">
        <f>'Mixed costs INT'!X245</f>
        <v>864120.13472205109</v>
      </c>
      <c r="X22" s="90">
        <f>'Mixed costs INT'!Y245</f>
        <v>895845.70893267042</v>
      </c>
      <c r="Y22" s="90">
        <f>'Mixed costs INT'!Z245</f>
        <v>928650.10481740755</v>
      </c>
      <c r="Z22" s="90">
        <f>'Mixed costs INT'!AA245</f>
        <v>962447.36644598807</v>
      </c>
      <c r="AA22" s="90">
        <f>'Mixed costs INT'!AB245</f>
        <v>997179.02196701826</v>
      </c>
      <c r="AB22" s="90">
        <f>'Mixed costs INT'!AC245</f>
        <v>1032893.9441719716</v>
      </c>
      <c r="AC22" s="90">
        <f>'Mixed costs INT'!AD245</f>
        <v>1069506.5976395349</v>
      </c>
      <c r="AD22" s="90">
        <f>'Mixed costs INT'!AE245</f>
        <v>1106937.4079204567</v>
      </c>
      <c r="AE22" s="90">
        <f>'Mixed costs INT'!AF245</f>
        <v>1145124.9741704855</v>
      </c>
      <c r="AF22" s="90">
        <f>'Mixed costs INT'!AG245</f>
        <v>1184082.968283528</v>
      </c>
      <c r="AG22" s="90">
        <f>'Mixed costs INT'!AH245</f>
        <v>1224004.8942885727</v>
      </c>
      <c r="AH22" s="90">
        <f>'Mixed costs INT'!AI245</f>
        <v>1264934.0264410467</v>
      </c>
      <c r="AI22" s="90">
        <f>'Mixed costs INT'!AJ245</f>
        <v>1307007.9779784363</v>
      </c>
      <c r="AJ22" s="90">
        <f>'Mixed costs INT'!AK245</f>
        <v>1350133.135716348</v>
      </c>
      <c r="AK22" s="90">
        <f>'Mixed costs INT'!AL245</f>
        <v>1394132.9309294599</v>
      </c>
      <c r="AL22" s="90">
        <f>'Mixed costs INT'!AM245</f>
        <v>1438902.0254518951</v>
      </c>
      <c r="AM22" s="90">
        <f>'Mixed costs INT'!AN245</f>
        <v>1484363.6157130795</v>
      </c>
      <c r="AN22" s="90">
        <f>'Mixed costs INT'!AO245</f>
        <v>1530450.983813609</v>
      </c>
      <c r="AO22" s="90">
        <f>'Mixed costs INT'!AP245</f>
        <v>1577095.1547508871</v>
      </c>
    </row>
    <row r="23" spans="1:41" s="81" customFormat="1">
      <c r="B23" s="90" t="s">
        <v>185</v>
      </c>
      <c r="C23" s="90">
        <f>INDEX('Arterial costs'!$D$242:$AP$242, MATCH(C21, 'Arterial costs'!$D$222:$AP$222,0))</f>
        <v>189738.99480417746</v>
      </c>
      <c r="D23" s="90">
        <f>INDEX('Arterial costs'!$D$242:$AP$242, MATCH(D21, 'Arterial costs'!$D$222:$AP$222,0))</f>
        <v>215776.85475394633</v>
      </c>
      <c r="E23" s="90">
        <f>INDEX('Arterial costs'!$D$242:$AP$242, MATCH(E21, 'Arterial costs'!$D$222:$AP$222,0))</f>
        <v>243076.82452363073</v>
      </c>
      <c r="F23" s="90">
        <f>INDEX('Arterial costs'!$D$242:$AP$242, MATCH(F21, 'Arterial costs'!$D$222:$AP$222,0))</f>
        <v>271717.73933571781</v>
      </c>
      <c r="G23" s="90">
        <f>INDEX('Arterial costs'!$D$242:$AP$242, MATCH(G21, 'Arterial costs'!$D$222:$AP$222,0))</f>
        <v>301803.39953763201</v>
      </c>
      <c r="H23" s="90">
        <f>INDEX('Arterial costs'!$D$242:$AP$242, MATCH(H21, 'Arterial costs'!$D$222:$AP$222,0))</f>
        <v>333418.42009745562</v>
      </c>
      <c r="I23" s="90">
        <f>INDEX('Arterial costs'!$D$242:$AP$242, MATCH(I21, 'Arterial costs'!$D$222:$AP$222,0))</f>
        <v>366600.90968832519</v>
      </c>
      <c r="J23" s="90">
        <f>INDEX('Arterial costs'!$D$242:$AP$242, MATCH(J21, 'Arterial costs'!$D$222:$AP$222,0))</f>
        <v>401421.33017180703</v>
      </c>
      <c r="K23" s="90">
        <f>INDEX('Arterial costs'!$D$242:$AP$242, MATCH(K21, 'Arterial costs'!$D$222:$AP$222,0))</f>
        <v>438132.34801519511</v>
      </c>
      <c r="L23" s="90">
        <f>INDEX('Arterial costs'!$D$242:$AP$242, MATCH(L21, 'Arterial costs'!$D$222:$AP$222,0))</f>
        <v>476709.23336683976</v>
      </c>
      <c r="M23" s="90">
        <f>INDEX('Arterial costs'!$D$242:$AP$242, MATCH(M21, 'Arterial costs'!$D$222:$AP$222,0))</f>
        <v>517160.9971278123</v>
      </c>
      <c r="N23" s="90">
        <f>INDEX('Arterial costs'!$D$242:$AP$242, MATCH(N21, 'Arterial costs'!$D$222:$AP$222,0))</f>
        <v>559517.06475173216</v>
      </c>
      <c r="O23" s="90">
        <f>INDEX('Arterial costs'!$D$242:$AP$242, MATCH(O21, 'Arterial costs'!$D$222:$AP$222,0))</f>
        <v>603811.30868219747</v>
      </c>
      <c r="P23" s="90">
        <f>INDEX('Arterial costs'!$D$242:$AP$242, MATCH(P21, 'Arterial costs'!$D$222:$AP$222,0))</f>
        <v>650130.30409412016</v>
      </c>
      <c r="Q23" s="90">
        <f>INDEX('Arterial costs'!$D$242:$AP$242, MATCH(Q21, 'Arterial costs'!$D$222:$AP$222,0))</f>
        <v>698579.77268635016</v>
      </c>
      <c r="R23" s="90">
        <f>INDEX('Arterial costs'!$D$242:$AP$242, MATCH(R21, 'Arterial costs'!$D$222:$AP$222,0))</f>
        <v>749239.76530490338</v>
      </c>
      <c r="S23" s="90">
        <f>INDEX('Arterial costs'!$D$242:$AP$242, MATCH(S21, 'Arterial costs'!$D$222:$AP$222,0))</f>
        <v>802148.8910498867</v>
      </c>
      <c r="T23" s="90">
        <f>INDEX('Arterial costs'!$D$242:$AP$242, MATCH(T21, 'Arterial costs'!$D$222:$AP$222,0))</f>
        <v>857382.02903918421</v>
      </c>
      <c r="U23" s="90">
        <f>INDEX('Arterial costs'!$D$242:$AP$242, MATCH(U21, 'Arterial costs'!$D$222:$AP$222,0))</f>
        <v>915107.34364674171</v>
      </c>
      <c r="V23" s="90">
        <f>INDEX('Arterial costs'!$D$242:$AP$242, MATCH(V21, 'Arterial costs'!$D$222:$AP$222,0))</f>
        <v>975344.53215539479</v>
      </c>
      <c r="W23" s="90">
        <f>INDEX('Arterial costs'!$D$242:$AP$242, MATCH(W21, 'Arterial costs'!$D$222:$AP$222,0))</f>
        <v>1038151.5023615843</v>
      </c>
      <c r="X23" s="90">
        <f>INDEX('Arterial costs'!$D$242:$AP$242, MATCH(X21, 'Arterial costs'!$D$222:$AP$222,0))</f>
        <v>1103601.4287006173</v>
      </c>
      <c r="Y23" s="90">
        <f>INDEX('Arterial costs'!$D$242:$AP$242, MATCH(Y21, 'Arterial costs'!$D$222:$AP$222,0))</f>
        <v>1171813.8299672902</v>
      </c>
      <c r="Z23" s="90">
        <f>INDEX('Arterial costs'!$D$242:$AP$242, MATCH(Z21, 'Arterial costs'!$D$222:$AP$222,0))</f>
        <v>1242870.6379884686</v>
      </c>
      <c r="AA23" s="90">
        <f>INDEX('Arterial costs'!$D$242:$AP$242, MATCH(AA21, 'Arterial costs'!$D$222:$AP$222,0))</f>
        <v>1316845.2859290189</v>
      </c>
      <c r="AB23" s="90">
        <f>INDEX('Arterial costs'!$D$242:$AP$242, MATCH(AB21, 'Arterial costs'!$D$222:$AP$222,0))</f>
        <v>1393812.2476189428</v>
      </c>
      <c r="AC23" s="90">
        <f>INDEX('Arterial costs'!$D$242:$AP$242, MATCH(AC21, 'Arterial costs'!$D$222:$AP$222,0))</f>
        <v>1473843.7909404612</v>
      </c>
      <c r="AD23" s="90">
        <f>INDEX('Arterial costs'!$D$242:$AP$242, MATCH(AD21, 'Arterial costs'!$D$222:$AP$222,0))</f>
        <v>1557013.5070378256</v>
      </c>
      <c r="AE23" s="90">
        <f>INDEX('Arterial costs'!$D$242:$AP$242, MATCH(AE21, 'Arterial costs'!$D$222:$AP$222,0))</f>
        <v>1643394.3027839372</v>
      </c>
      <c r="AF23" s="90">
        <f>INDEX('Arterial costs'!$D$242:$AP$242, MATCH(AF21, 'Arterial costs'!$D$222:$AP$222,0))</f>
        <v>1733076.5092733167</v>
      </c>
      <c r="AG23" s="90">
        <f>INDEX('Arterial costs'!$D$242:$AP$242, MATCH(AG21, 'Arterial costs'!$D$222:$AP$222,0))</f>
        <v>1826191.1136733033</v>
      </c>
      <c r="AH23" s="90">
        <f>INDEX('Arterial costs'!$D$242:$AP$242, MATCH(AH21, 'Arterial costs'!$D$222:$AP$222,0))</f>
        <v>1922843.169696914</v>
      </c>
      <c r="AI23" s="90">
        <f>INDEX('Arterial costs'!$D$242:$AP$242, MATCH(AI21, 'Arterial costs'!$D$222:$AP$222,0))</f>
        <v>2023154.1863720692</v>
      </c>
      <c r="AJ23" s="90">
        <f>INDEX('Arterial costs'!$D$242:$AP$242, MATCH(AJ21, 'Arterial costs'!$D$222:$AP$222,0))</f>
        <v>2127181.2591789374</v>
      </c>
      <c r="AK23" s="90">
        <f>INDEX('Arterial costs'!$D$242:$AP$242, MATCH(AK21, 'Arterial costs'!$D$222:$AP$222,0))</f>
        <v>2234980.7423659503</v>
      </c>
      <c r="AL23" s="90">
        <f>INDEX('Arterial costs'!$D$242:$AP$242, MATCH(AL21, 'Arterial costs'!$D$222:$AP$222,0))</f>
        <v>2346611.704671381</v>
      </c>
      <c r="AM23" s="90">
        <f>INDEX('Arterial costs'!$D$242:$AP$242, MATCH(AM21, 'Arterial costs'!$D$222:$AP$222,0))</f>
        <v>2462172.8743924294</v>
      </c>
      <c r="AN23" s="90">
        <f>INDEX('Arterial costs'!$D$242:$AP$242, MATCH(AN21, 'Arterial costs'!$D$222:$AP$222,0))</f>
        <v>2581754.7200696669</v>
      </c>
      <c r="AO23" s="90">
        <f>INDEX('Arterial costs'!$D$242:$AP$242, MATCH(AO21, 'Arterial costs'!$D$222:$AP$222,0))</f>
        <v>2705437.9080994851</v>
      </c>
    </row>
    <row r="24" spans="1:41" s="81" customFormat="1">
      <c r="B24" s="90" t="s">
        <v>25</v>
      </c>
      <c r="C24" s="90">
        <f>'VLU costs INT'!D254</f>
        <v>1130977.0239964989</v>
      </c>
      <c r="D24" s="90">
        <f>'VLU costs INT'!E254</f>
        <v>1198095.5030719512</v>
      </c>
      <c r="E24" s="90">
        <f>'VLU costs INT'!F254</f>
        <v>1262006.6628994222</v>
      </c>
      <c r="F24" s="90">
        <f>'VLU costs INT'!G254</f>
        <v>1324338.9683280014</v>
      </c>
      <c r="G24" s="90">
        <f>'VLU costs INT'!H254</f>
        <v>1380835.1548930227</v>
      </c>
      <c r="H24" s="90">
        <f>'VLU costs INT'!I254</f>
        <v>1272986.1519019313</v>
      </c>
      <c r="I24" s="90">
        <f>'VLU costs INT'!J254</f>
        <v>1224114.7833222845</v>
      </c>
      <c r="J24" s="90">
        <f>'VLU costs INT'!K254</f>
        <v>1214069.0927439444</v>
      </c>
      <c r="K24" s="90">
        <f>'VLU costs INT'!L254</f>
        <v>1231884.8371521158</v>
      </c>
      <c r="L24" s="90">
        <f>'VLU costs INT'!M254</f>
        <v>1267327.4119768955</v>
      </c>
      <c r="M24" s="90">
        <f>'VLU costs INT'!N254</f>
        <v>1314383.4602356958</v>
      </c>
      <c r="N24" s="90">
        <f>'VLU costs INT'!O254</f>
        <v>1369257.6444317841</v>
      </c>
      <c r="O24" s="90">
        <f>'VLU costs INT'!P254</f>
        <v>1429476.5847152271</v>
      </c>
      <c r="P24" s="90">
        <f>'VLU costs INT'!Q254</f>
        <v>1493677.4391429797</v>
      </c>
      <c r="Q24" s="90">
        <f>'VLU costs INT'!R254</f>
        <v>1561440.4119791423</v>
      </c>
      <c r="R24" s="90">
        <f>'VLU costs INT'!S254</f>
        <v>1611574.5686352327</v>
      </c>
      <c r="S24" s="90">
        <f>'VLU costs INT'!T254</f>
        <v>1666236.7296518474</v>
      </c>
      <c r="T24" s="90">
        <f>'VLU costs INT'!U254</f>
        <v>1724661.3040596449</v>
      </c>
      <c r="U24" s="90">
        <f>'VLU costs INT'!V254</f>
        <v>1787091.9701811126</v>
      </c>
      <c r="V24" s="90">
        <f>'VLU costs INT'!W254</f>
        <v>1851995.6263573703</v>
      </c>
      <c r="W24" s="90">
        <f>'VLU costs INT'!X254</f>
        <v>1918953.4217790507</v>
      </c>
      <c r="X24" s="90">
        <f>'VLU costs INT'!Y254</f>
        <v>1988350.4215908172</v>
      </c>
      <c r="Y24" s="90">
        <f>'VLU costs INT'!Z254</f>
        <v>2059871.6997019819</v>
      </c>
      <c r="Z24" s="90">
        <f>'VLU costs INT'!AA254</f>
        <v>2133329.4300548434</v>
      </c>
      <c r="AA24" s="90">
        <f>'VLU costs INT'!AB254</f>
        <v>2208617.9957315484</v>
      </c>
      <c r="AB24" s="90">
        <f>'VLU costs INT'!AC254</f>
        <v>2285917.6196471793</v>
      </c>
      <c r="AC24" s="90">
        <f>'VLU costs INT'!AD254</f>
        <v>2364998.6404063399</v>
      </c>
      <c r="AD24" s="90">
        <f>'VLU costs INT'!AE254</f>
        <v>2445654.3499687416</v>
      </c>
      <c r="AE24" s="90">
        <f>'VLU costs INT'!AF254</f>
        <v>2527739.0278100641</v>
      </c>
      <c r="AF24" s="90">
        <f>'VLU costs INT'!AG254</f>
        <v>2611301.9550382718</v>
      </c>
      <c r="AG24" s="90">
        <f>'VLU costs INT'!AH254</f>
        <v>2696838.2369652661</v>
      </c>
      <c r="AH24" s="90">
        <f>'VLU costs INT'!AI254</f>
        <v>2784446.7024878147</v>
      </c>
      <c r="AI24" s="90">
        <f>'VLU costs INT'!AJ254</f>
        <v>2874470.5687504131</v>
      </c>
      <c r="AJ24" s="90">
        <f>'VLU costs INT'!AK254</f>
        <v>2966680.4417014206</v>
      </c>
      <c r="AK24" s="90">
        <f>'VLU costs INT'!AL254</f>
        <v>3060600.8785609379</v>
      </c>
      <c r="AL24" s="90">
        <f>'VLU costs INT'!AM254</f>
        <v>3155966.8899403787</v>
      </c>
      <c r="AM24" s="90">
        <f>'VLU costs INT'!AN254</f>
        <v>3252543.7174885934</v>
      </c>
      <c r="AN24" s="90">
        <f>'VLU costs INT'!AO254</f>
        <v>3350169.6050849929</v>
      </c>
      <c r="AO24" s="90">
        <f>'VLU costs INT'!AP254</f>
        <v>3448698.8365921993</v>
      </c>
    </row>
    <row r="25" spans="1:41" s="81" customFormat="1">
      <c r="B25" s="119"/>
      <c r="C25" s="119"/>
      <c r="D25" s="119"/>
      <c r="E25" s="119"/>
      <c r="F25" s="119"/>
      <c r="G25" s="119"/>
      <c r="H25" s="119"/>
      <c r="I25" s="119"/>
      <c r="J25" s="119"/>
      <c r="K25" s="119"/>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c r="AJ25" s="119"/>
      <c r="AK25" s="119"/>
      <c r="AL25" s="119"/>
      <c r="AM25" s="119"/>
      <c r="AN25" s="119"/>
      <c r="AO25" s="119"/>
    </row>
    <row r="26" spans="1:41" s="81" customFormat="1" ht="21.65" customHeight="1">
      <c r="B26" s="572" t="s">
        <v>3469</v>
      </c>
      <c r="C26" s="90">
        <f>'Implementation costs'!C30*10^6</f>
        <v>0</v>
      </c>
      <c r="D26" s="90">
        <f>'Implementation costs'!D30*10^6</f>
        <v>155145.95172375129</v>
      </c>
      <c r="E26" s="90">
        <f>'Implementation costs'!E30*10^6</f>
        <v>184037.38641253969</v>
      </c>
      <c r="F26" s="90">
        <f>'Implementation costs'!F30*10^6</f>
        <v>215214.14001335684</v>
      </c>
      <c r="G26" s="90">
        <f>'Implementation costs'!G30*10^6</f>
        <v>81676.21788203725</v>
      </c>
      <c r="H26" s="90">
        <f>'Implementation costs'!H30*10^6</f>
        <v>79484.081079133015</v>
      </c>
      <c r="I26" s="90">
        <f>'Implementation costs'!I30*10^6</f>
        <v>78952.764786949265</v>
      </c>
      <c r="J26" s="90">
        <f>'Implementation costs'!J30*10^6</f>
        <v>79536.829023994665</v>
      </c>
      <c r="K26" s="90">
        <f>'Implementation costs'!K30*10^6</f>
        <v>80938.98891410722</v>
      </c>
      <c r="L26" s="90">
        <f>'Implementation costs'!L30*10^6</f>
        <v>82872.606246265335</v>
      </c>
      <c r="M26" s="90">
        <f>'Implementation costs'!M30*10^6</f>
        <v>85168.042090894567</v>
      </c>
      <c r="N26" s="90">
        <f>'Implementation costs'!N30*10^6</f>
        <v>98830.724369314194</v>
      </c>
      <c r="O26" s="90">
        <f>'Implementation costs'!O30*10^6</f>
        <v>101810.66941989458</v>
      </c>
      <c r="P26" s="90">
        <f>'Implementation costs'!P30*10^6</f>
        <v>104940.85076149501</v>
      </c>
      <c r="Q26" s="90">
        <f>'Implementation costs'!Q30*10^6</f>
        <v>96484.088748588169</v>
      </c>
      <c r="R26" s="90">
        <f>'Implementation costs'!R30*10^6</f>
        <v>99652.442908159239</v>
      </c>
      <c r="S26" s="90">
        <f>'Implementation costs'!S30*10^6</f>
        <v>102930.94633979637</v>
      </c>
      <c r="T26" s="90">
        <f>'Implementation costs'!T30*10^6</f>
        <v>106324.80550010312</v>
      </c>
      <c r="U26" s="90">
        <f>'Implementation costs'!U30*10^6</f>
        <v>109858.7735211572</v>
      </c>
      <c r="V26" s="90">
        <f>'Implementation costs'!V30*10^6</f>
        <v>113501.1553543076</v>
      </c>
      <c r="W26" s="90">
        <f>'Implementation costs'!W30*10^6</f>
        <v>117248.07240004402</v>
      </c>
      <c r="X26" s="90">
        <f>'Implementation costs'!X30*10^6</f>
        <v>121117.37097608997</v>
      </c>
      <c r="Y26" s="90">
        <f>'Implementation costs'!Y30*10^6</f>
        <v>125103.90301049617</v>
      </c>
      <c r="Z26" s="90">
        <f>'Implementation costs'!Z30*10^6</f>
        <v>129204.74021320505</v>
      </c>
      <c r="AA26" s="90">
        <f>'Implementation costs'!AA30*10^6</f>
        <v>133418.92017033338</v>
      </c>
      <c r="AB26" s="90">
        <f>'Implementation costs'!AB30*10^6</f>
        <v>137754.17001742619</v>
      </c>
      <c r="AC26" s="90">
        <f>'Implementation costs'!AC30*10^6</f>
        <v>142206.06525803459</v>
      </c>
      <c r="AD26" s="90">
        <f>'Implementation costs'!AD30*10^6</f>
        <v>146770.55265972854</v>
      </c>
      <c r="AE26" s="90">
        <f>'Implementation costs'!AE30*10^6</f>
        <v>151445.38331301144</v>
      </c>
      <c r="AF26" s="90">
        <f>'Implementation costs'!AF30*10^6</f>
        <v>156234.15811247626</v>
      </c>
      <c r="AG26" s="90">
        <f>'Implementation costs'!AG30*10^6</f>
        <v>161152.49848058203</v>
      </c>
      <c r="AH26" s="90">
        <f>'Implementation costs'!AH30*10^6</f>
        <v>166204.66639841546</v>
      </c>
      <c r="AI26" s="90">
        <f>'Implementation costs'!AI30*10^6</f>
        <v>171402.20612191551</v>
      </c>
      <c r="AJ26" s="90">
        <f>'Implementation costs'!AJ30*10^6</f>
        <v>176741.14529274544</v>
      </c>
      <c r="AK26" s="90">
        <f>'Implementation costs'!AK30*10^6</f>
        <v>182210.47372982753</v>
      </c>
      <c r="AL26" s="90">
        <f>'Implementation costs'!AL30*10^6</f>
        <v>187805.39387357808</v>
      </c>
      <c r="AM26" s="90">
        <f>'Implementation costs'!AM30*10^6</f>
        <v>193521.19717731143</v>
      </c>
      <c r="AN26" s="90">
        <f>'Implementation costs'!AN30*10^6</f>
        <v>199354.93501860119</v>
      </c>
      <c r="AO26" s="90">
        <f>'Implementation costs'!AO30*10^6</f>
        <v>205304.04203108148</v>
      </c>
    </row>
    <row r="27" spans="1:41" s="81" customFormat="1">
      <c r="J27" s="734"/>
      <c r="K27" s="734"/>
      <c r="L27" s="734"/>
      <c r="M27" s="734"/>
      <c r="N27" s="734"/>
      <c r="O27" s="734"/>
    </row>
    <row r="28" spans="1:41" s="81" customFormat="1">
      <c r="B28" s="92" t="s">
        <v>3245</v>
      </c>
      <c r="C28" s="92">
        <f t="shared" ref="C28:AO28" si="2">SUM(C22:C24,C26)</f>
        <v>1857670.8902109973</v>
      </c>
      <c r="D28" s="92">
        <f t="shared" si="2"/>
        <v>2140103.7294437285</v>
      </c>
      <c r="E28" s="92">
        <f t="shared" si="2"/>
        <v>2292749.6801588433</v>
      </c>
      <c r="F28" s="92">
        <f t="shared" si="2"/>
        <v>2446569.1357297893</v>
      </c>
      <c r="G28" s="92">
        <f t="shared" si="2"/>
        <v>2336861.3265012451</v>
      </c>
      <c r="H28" s="92">
        <f t="shared" si="2"/>
        <v>2232154.8240208793</v>
      </c>
      <c r="I28" s="92">
        <f t="shared" si="2"/>
        <v>2205808.3055444132</v>
      </c>
      <c r="J28" s="92">
        <f t="shared" si="2"/>
        <v>2232688.049920341</v>
      </c>
      <c r="K28" s="92">
        <f t="shared" si="2"/>
        <v>2299443.2644884153</v>
      </c>
      <c r="L28" s="92">
        <f t="shared" si="2"/>
        <v>2392621.8186306763</v>
      </c>
      <c r="M28" s="92">
        <f t="shared" si="2"/>
        <v>2504244.1177585572</v>
      </c>
      <c r="N28" s="92">
        <f t="shared" si="2"/>
        <v>2640407.0434757047</v>
      </c>
      <c r="O28" s="92">
        <f t="shared" si="2"/>
        <v>2775732.7183692842</v>
      </c>
      <c r="P28" s="92">
        <f t="shared" si="2"/>
        <v>2919281.1544902003</v>
      </c>
      <c r="Q28" s="92">
        <f t="shared" si="2"/>
        <v>3058813.1446302943</v>
      </c>
      <c r="R28" s="92">
        <f t="shared" si="2"/>
        <v>3185361.4765622746</v>
      </c>
      <c r="S28" s="92">
        <f t="shared" si="2"/>
        <v>3320825.8025408438</v>
      </c>
      <c r="T28" s="92">
        <f t="shared" si="2"/>
        <v>3464239.5971472478</v>
      </c>
      <c r="U28" s="92">
        <f t="shared" si="2"/>
        <v>3616148.0610525482</v>
      </c>
      <c r="V28" s="92">
        <f t="shared" si="2"/>
        <v>3774411.803123306</v>
      </c>
      <c r="W28" s="92">
        <f t="shared" si="2"/>
        <v>3938473.1312627303</v>
      </c>
      <c r="X28" s="92">
        <f t="shared" si="2"/>
        <v>4108914.9302001949</v>
      </c>
      <c r="Y28" s="92">
        <f t="shared" si="2"/>
        <v>4285439.5374971759</v>
      </c>
      <c r="Z28" s="92">
        <f t="shared" si="2"/>
        <v>4467852.1747025056</v>
      </c>
      <c r="AA28" s="92">
        <f t="shared" si="2"/>
        <v>4656061.2237979192</v>
      </c>
      <c r="AB28" s="92">
        <f t="shared" si="2"/>
        <v>4850377.9814555189</v>
      </c>
      <c r="AC28" s="92">
        <f t="shared" si="2"/>
        <v>5050555.0942443712</v>
      </c>
      <c r="AD28" s="92">
        <f t="shared" si="2"/>
        <v>5256375.8175867526</v>
      </c>
      <c r="AE28" s="92">
        <f t="shared" si="2"/>
        <v>5467703.6880774982</v>
      </c>
      <c r="AF28" s="92">
        <f t="shared" si="2"/>
        <v>5684695.5907075936</v>
      </c>
      <c r="AG28" s="92">
        <f t="shared" si="2"/>
        <v>5908186.7434077235</v>
      </c>
      <c r="AH28" s="92">
        <f t="shared" si="2"/>
        <v>6138428.5650241915</v>
      </c>
      <c r="AI28" s="92">
        <f t="shared" si="2"/>
        <v>6376034.939222835</v>
      </c>
      <c r="AJ28" s="92">
        <f t="shared" si="2"/>
        <v>6620735.9818894509</v>
      </c>
      <c r="AK28" s="92">
        <f t="shared" si="2"/>
        <v>6871925.0255861757</v>
      </c>
      <c r="AL28" s="92">
        <f t="shared" si="2"/>
        <v>7129286.013937233</v>
      </c>
      <c r="AM28" s="92">
        <f t="shared" si="2"/>
        <v>7392601.4047714137</v>
      </c>
      <c r="AN28" s="92">
        <f t="shared" si="2"/>
        <v>7661730.2439868692</v>
      </c>
      <c r="AO28" s="92">
        <f t="shared" si="2"/>
        <v>7936535.9414736526</v>
      </c>
    </row>
    <row r="30" spans="1:41" s="422" customFormat="1">
      <c r="B30" s="83" t="s">
        <v>3244</v>
      </c>
      <c r="C30" s="83"/>
      <c r="D30" s="561">
        <f t="shared" ref="D30:AO30" si="3">D28/C28-1</f>
        <v>0.15203599341574003</v>
      </c>
      <c r="E30" s="83">
        <f t="shared" si="3"/>
        <v>7.1326426198412118E-2</v>
      </c>
      <c r="F30" s="83">
        <f t="shared" si="3"/>
        <v>6.7089511298193294E-2</v>
      </c>
      <c r="G30" s="83">
        <f t="shared" si="3"/>
        <v>-4.4841491550909884E-2</v>
      </c>
      <c r="H30" s="83">
        <f t="shared" si="3"/>
        <v>-4.4806468100155761E-2</v>
      </c>
      <c r="I30" s="83">
        <f t="shared" si="3"/>
        <v>-1.1803176998720466E-2</v>
      </c>
      <c r="J30" s="83">
        <f t="shared" si="3"/>
        <v>1.2185893175016282E-2</v>
      </c>
      <c r="K30" s="83">
        <f t="shared" si="3"/>
        <v>2.989903339629385E-2</v>
      </c>
      <c r="L30" s="83">
        <f t="shared" si="3"/>
        <v>4.0522223610066632E-2</v>
      </c>
      <c r="M30" s="83">
        <f t="shared" si="3"/>
        <v>4.6652713044205152E-2</v>
      </c>
      <c r="N30" s="83">
        <f t="shared" si="3"/>
        <v>5.4372864351188488E-2</v>
      </c>
      <c r="O30" s="83">
        <f t="shared" si="3"/>
        <v>5.1251823171719391E-2</v>
      </c>
      <c r="P30" s="83">
        <f t="shared" si="3"/>
        <v>5.1715511068821218E-2</v>
      </c>
      <c r="Q30" s="83">
        <f t="shared" si="3"/>
        <v>4.7796694718998722E-2</v>
      </c>
      <c r="R30" s="83">
        <f t="shared" si="3"/>
        <v>4.1371710512665416E-2</v>
      </c>
      <c r="S30" s="83">
        <f t="shared" si="3"/>
        <v>4.2527143928658973E-2</v>
      </c>
      <c r="T30" s="83">
        <f t="shared" si="3"/>
        <v>4.3186184140304729E-2</v>
      </c>
      <c r="U30" s="83">
        <f t="shared" si="3"/>
        <v>4.3850449613934028E-2</v>
      </c>
      <c r="V30" s="83">
        <f t="shared" si="3"/>
        <v>4.3765835745313009E-2</v>
      </c>
      <c r="W30" s="83">
        <f t="shared" si="3"/>
        <v>4.3466727187442711E-2</v>
      </c>
      <c r="X30" s="83">
        <f t="shared" si="3"/>
        <v>4.3276110628897024E-2</v>
      </c>
      <c r="Y30" s="83">
        <f t="shared" si="3"/>
        <v>4.2961368219025298E-2</v>
      </c>
      <c r="Z30" s="83">
        <f t="shared" si="3"/>
        <v>4.2565677478176189E-2</v>
      </c>
      <c r="AA30" s="83">
        <f t="shared" si="3"/>
        <v>4.2125173738082777E-2</v>
      </c>
      <c r="AB30" s="83">
        <f t="shared" si="3"/>
        <v>4.1734150028872818E-2</v>
      </c>
      <c r="AC30" s="83">
        <f t="shared" si="3"/>
        <v>4.1270415121087645E-2</v>
      </c>
      <c r="AD30" s="83">
        <f t="shared" si="3"/>
        <v>4.0752099423078336E-2</v>
      </c>
      <c r="AE30" s="83">
        <f t="shared" si="3"/>
        <v>4.0204102184567159E-2</v>
      </c>
      <c r="AF30" s="83">
        <f t="shared" si="3"/>
        <v>3.9686112307668164E-2</v>
      </c>
      <c r="AG30" s="83">
        <f t="shared" si="3"/>
        <v>3.9314533053530054E-2</v>
      </c>
      <c r="AH30" s="83">
        <f t="shared" si="3"/>
        <v>3.8969963478789671E-2</v>
      </c>
      <c r="AI30" s="83">
        <f t="shared" si="3"/>
        <v>3.8708013245032813E-2</v>
      </c>
      <c r="AJ30" s="83">
        <f t="shared" si="3"/>
        <v>3.8378246825674145E-2</v>
      </c>
      <c r="AK30" s="83">
        <f t="shared" si="3"/>
        <v>3.7939746333917279E-2</v>
      </c>
      <c r="AL30" s="83">
        <f t="shared" si="3"/>
        <v>3.7451076283985474E-2</v>
      </c>
      <c r="AM30" s="83">
        <f t="shared" si="3"/>
        <v>3.6934328391288851E-2</v>
      </c>
      <c r="AN30" s="83">
        <f t="shared" si="3"/>
        <v>3.6405160305511775E-2</v>
      </c>
      <c r="AO30" s="83">
        <f t="shared" si="3"/>
        <v>3.5867315702279967E-2</v>
      </c>
    </row>
    <row r="31" spans="1:41">
      <c r="B31" s="189"/>
      <c r="C31" s="189"/>
      <c r="D31" s="190"/>
      <c r="J31" s="190"/>
      <c r="K31" s="190"/>
      <c r="L31" s="190"/>
      <c r="M31" s="190"/>
      <c r="N31" s="190"/>
      <c r="O31" s="190"/>
      <c r="P31" s="190"/>
      <c r="Q31" s="190"/>
      <c r="R31" s="190"/>
      <c r="S31" s="190"/>
      <c r="T31" s="190"/>
      <c r="U31" s="190"/>
      <c r="V31" s="190"/>
      <c r="W31" s="190"/>
      <c r="X31" s="190"/>
      <c r="Y31" s="190"/>
      <c r="Z31" s="190"/>
      <c r="AA31" s="190"/>
      <c r="AB31" s="190"/>
      <c r="AC31" s="190"/>
      <c r="AD31" s="190"/>
      <c r="AE31" s="190"/>
      <c r="AF31" s="190"/>
      <c r="AG31" s="190"/>
      <c r="AH31" s="190"/>
      <c r="AI31" s="190"/>
      <c r="AJ31" s="190"/>
      <c r="AK31" s="190"/>
      <c r="AL31" s="190"/>
      <c r="AM31" s="190"/>
      <c r="AN31" s="190"/>
      <c r="AO31" s="190"/>
    </row>
    <row r="32" spans="1:41">
      <c r="B32" s="573"/>
      <c r="C32" s="574"/>
      <c r="D32" s="519"/>
      <c r="E32" s="402"/>
      <c r="F32" s="189"/>
      <c r="G32" s="189"/>
      <c r="H32" s="189"/>
      <c r="I32" s="189"/>
      <c r="J32" s="189"/>
      <c r="K32" s="189"/>
      <c r="L32" s="189"/>
      <c r="M32" s="189"/>
      <c r="N32" s="189"/>
      <c r="O32" s="189"/>
      <c r="P32" s="189"/>
      <c r="Q32" s="189"/>
      <c r="R32" s="189"/>
      <c r="S32" s="189"/>
      <c r="T32" s="189"/>
      <c r="U32" s="189"/>
      <c r="V32" s="189"/>
      <c r="W32" s="189"/>
      <c r="X32" s="189"/>
      <c r="Y32" s="189"/>
      <c r="Z32" s="189"/>
      <c r="AA32" s="189"/>
      <c r="AB32" s="189"/>
      <c r="AC32" s="189"/>
      <c r="AD32" s="189"/>
      <c r="AE32" s="189"/>
      <c r="AF32" s="189"/>
      <c r="AG32" s="189"/>
      <c r="AH32" s="189"/>
      <c r="AI32" s="189"/>
      <c r="AJ32" s="189"/>
      <c r="AK32" s="189"/>
      <c r="AL32" s="189"/>
      <c r="AM32" s="189"/>
      <c r="AN32" s="189"/>
      <c r="AO32" s="189"/>
    </row>
    <row r="33" spans="1:41">
      <c r="B33" s="189"/>
      <c r="C33" s="189"/>
      <c r="D33" s="190"/>
      <c r="E33" s="190"/>
      <c r="F33" s="190"/>
      <c r="G33" s="190"/>
      <c r="H33" s="190"/>
      <c r="I33" s="190"/>
      <c r="J33" s="190"/>
      <c r="K33" s="190"/>
      <c r="L33" s="190"/>
      <c r="M33" s="190"/>
      <c r="N33" s="579"/>
      <c r="O33" s="190"/>
      <c r="P33" s="190"/>
      <c r="Q33" s="190"/>
      <c r="R33" s="190"/>
      <c r="S33" s="190"/>
      <c r="T33" s="190"/>
      <c r="U33" s="190"/>
      <c r="V33" s="190"/>
      <c r="W33" s="190"/>
      <c r="X33" s="190"/>
      <c r="Y33" s="190"/>
      <c r="Z33" s="190"/>
      <c r="AA33" s="190"/>
      <c r="AB33" s="190"/>
      <c r="AC33" s="190"/>
      <c r="AD33" s="190"/>
      <c r="AE33" s="190"/>
      <c r="AF33" s="190"/>
      <c r="AG33" s="190"/>
      <c r="AH33" s="190"/>
      <c r="AI33" s="190"/>
      <c r="AJ33" s="190"/>
      <c r="AK33" s="190"/>
      <c r="AL33" s="190"/>
      <c r="AM33" s="190"/>
      <c r="AN33" s="190"/>
      <c r="AO33" s="190"/>
    </row>
    <row r="34" spans="1:41" s="588" customFormat="1">
      <c r="A34" s="588" t="s">
        <v>10</v>
      </c>
      <c r="B34" s="726" t="s">
        <v>3477</v>
      </c>
      <c r="C34" s="727"/>
      <c r="D34" s="728"/>
      <c r="E34" s="728"/>
      <c r="F34" s="728"/>
      <c r="G34" s="728"/>
      <c r="H34" s="728"/>
      <c r="I34" s="728"/>
      <c r="J34" s="728"/>
      <c r="K34" s="728"/>
      <c r="L34" s="728"/>
      <c r="M34" s="728"/>
      <c r="N34" s="728"/>
      <c r="O34" s="728"/>
      <c r="P34" s="728"/>
      <c r="Q34" s="728"/>
      <c r="R34" s="728"/>
      <c r="S34" s="728"/>
      <c r="T34" s="728"/>
      <c r="U34" s="728"/>
      <c r="V34" s="728"/>
      <c r="W34" s="728"/>
      <c r="X34" s="728"/>
      <c r="Y34" s="728"/>
      <c r="Z34" s="728"/>
      <c r="AA34" s="728"/>
      <c r="AB34" s="728"/>
      <c r="AC34" s="728"/>
      <c r="AD34" s="728"/>
      <c r="AE34" s="728"/>
      <c r="AF34" s="728"/>
      <c r="AG34" s="728"/>
      <c r="AH34" s="728"/>
      <c r="AI34" s="728"/>
      <c r="AJ34" s="728"/>
      <c r="AK34" s="728"/>
      <c r="AL34" s="728"/>
      <c r="AM34" s="728"/>
      <c r="AN34" s="728"/>
      <c r="AO34" s="728"/>
    </row>
    <row r="35" spans="1:41">
      <c r="B35" s="576"/>
      <c r="C35" s="189"/>
      <c r="D35" s="190"/>
      <c r="E35" s="190"/>
      <c r="F35" s="190"/>
      <c r="G35" s="190"/>
      <c r="H35" s="190"/>
      <c r="I35" s="190"/>
      <c r="J35" s="190"/>
      <c r="K35" s="190"/>
      <c r="L35" s="190"/>
      <c r="M35" s="190"/>
      <c r="N35" s="190"/>
      <c r="O35" s="190"/>
      <c r="P35" s="190"/>
      <c r="Q35" s="190"/>
      <c r="R35" s="190"/>
      <c r="S35" s="190"/>
      <c r="T35" s="190"/>
      <c r="U35" s="190"/>
      <c r="V35" s="190"/>
      <c r="W35" s="190"/>
      <c r="X35" s="190"/>
      <c r="Y35" s="190"/>
      <c r="Z35" s="190"/>
      <c r="AA35" s="190"/>
      <c r="AB35" s="190"/>
      <c r="AC35" s="190"/>
      <c r="AD35" s="190"/>
      <c r="AE35" s="190"/>
      <c r="AF35" s="190"/>
      <c r="AG35" s="190"/>
      <c r="AH35" s="190"/>
      <c r="AI35" s="190"/>
      <c r="AJ35" s="190"/>
      <c r="AK35" s="190"/>
      <c r="AL35" s="190"/>
      <c r="AM35" s="190"/>
      <c r="AN35" s="190"/>
      <c r="AO35" s="190"/>
    </row>
    <row r="36" spans="1:41">
      <c r="E36" s="190"/>
      <c r="F36" s="190"/>
      <c r="G36" s="190"/>
      <c r="H36" s="190"/>
      <c r="I36" s="190"/>
      <c r="J36" s="190"/>
      <c r="K36" s="190"/>
      <c r="L36" s="190"/>
      <c r="M36" s="190"/>
      <c r="N36" s="190"/>
      <c r="O36" s="190"/>
      <c r="P36" s="190"/>
      <c r="Q36" s="190"/>
      <c r="R36" s="190"/>
      <c r="S36" s="190"/>
      <c r="T36" s="190"/>
      <c r="U36" s="190"/>
      <c r="V36" s="190"/>
      <c r="W36" s="190"/>
      <c r="X36" s="190"/>
      <c r="Y36" s="190"/>
      <c r="Z36" s="190"/>
      <c r="AA36" s="190"/>
      <c r="AB36" s="190"/>
      <c r="AC36" s="190"/>
      <c r="AD36" s="190"/>
      <c r="AE36" s="190"/>
      <c r="AF36" s="190"/>
      <c r="AG36" s="190"/>
      <c r="AH36" s="190"/>
      <c r="AI36" s="190"/>
      <c r="AJ36" s="190"/>
      <c r="AK36" s="190"/>
      <c r="AL36" s="190"/>
      <c r="AM36" s="190"/>
      <c r="AN36" s="190"/>
      <c r="AO36" s="190"/>
    </row>
    <row r="37" spans="1:41">
      <c r="B37" s="189"/>
      <c r="C37" s="189"/>
      <c r="D37" s="190"/>
      <c r="E37" s="190"/>
      <c r="F37" s="190"/>
      <c r="G37" s="190"/>
      <c r="H37" s="190"/>
      <c r="I37" s="190"/>
      <c r="J37" s="190"/>
      <c r="K37" s="190"/>
      <c r="L37" s="190"/>
      <c r="M37" s="190"/>
      <c r="N37" s="190"/>
      <c r="O37" s="190"/>
      <c r="P37" s="190"/>
      <c r="Q37" s="190"/>
      <c r="R37" s="190"/>
      <c r="S37" s="190"/>
      <c r="T37" s="190"/>
      <c r="U37" s="190"/>
      <c r="V37" s="190"/>
      <c r="W37" s="190"/>
      <c r="X37" s="190"/>
      <c r="Y37" s="190"/>
      <c r="Z37" s="190"/>
      <c r="AA37" s="190"/>
      <c r="AB37" s="190"/>
      <c r="AC37" s="190"/>
      <c r="AD37" s="190"/>
      <c r="AE37" s="190"/>
      <c r="AF37" s="190"/>
      <c r="AG37" s="190"/>
      <c r="AH37" s="190"/>
      <c r="AI37" s="190"/>
      <c r="AJ37" s="190"/>
      <c r="AK37" s="190"/>
      <c r="AL37" s="190"/>
      <c r="AM37" s="190"/>
      <c r="AN37" s="190"/>
      <c r="AO37" s="190"/>
    </row>
    <row r="38" spans="1:41">
      <c r="B38" s="34" t="s">
        <v>2491</v>
      </c>
      <c r="C38" s="34">
        <f t="shared" ref="C38:AO38" si="4">C21</f>
        <v>2020</v>
      </c>
      <c r="D38" s="34">
        <f t="shared" si="4"/>
        <v>2021</v>
      </c>
      <c r="E38" s="34">
        <f t="shared" si="4"/>
        <v>2022</v>
      </c>
      <c r="F38" s="34">
        <f t="shared" si="4"/>
        <v>2023</v>
      </c>
      <c r="G38" s="34">
        <f t="shared" si="4"/>
        <v>2024</v>
      </c>
      <c r="H38" s="34">
        <f t="shared" si="4"/>
        <v>2025</v>
      </c>
      <c r="I38" s="34">
        <f t="shared" si="4"/>
        <v>2026</v>
      </c>
      <c r="J38" s="34">
        <f t="shared" si="4"/>
        <v>2027</v>
      </c>
      <c r="K38" s="34">
        <f t="shared" si="4"/>
        <v>2028</v>
      </c>
      <c r="L38" s="34">
        <f t="shared" si="4"/>
        <v>2029</v>
      </c>
      <c r="M38" s="34">
        <f t="shared" si="4"/>
        <v>2030</v>
      </c>
      <c r="N38" s="34">
        <f t="shared" si="4"/>
        <v>2031</v>
      </c>
      <c r="O38" s="34">
        <f t="shared" si="4"/>
        <v>2032</v>
      </c>
      <c r="P38" s="34">
        <f t="shared" si="4"/>
        <v>2033</v>
      </c>
      <c r="Q38" s="34">
        <f t="shared" si="4"/>
        <v>2034</v>
      </c>
      <c r="R38" s="34">
        <f t="shared" si="4"/>
        <v>2035</v>
      </c>
      <c r="S38" s="34">
        <f t="shared" si="4"/>
        <v>2036</v>
      </c>
      <c r="T38" s="34">
        <f t="shared" si="4"/>
        <v>2037</v>
      </c>
      <c r="U38" s="34">
        <f t="shared" si="4"/>
        <v>2038</v>
      </c>
      <c r="V38" s="34">
        <f t="shared" si="4"/>
        <v>2039</v>
      </c>
      <c r="W38" s="34">
        <f t="shared" si="4"/>
        <v>2040</v>
      </c>
      <c r="X38" s="34">
        <f t="shared" si="4"/>
        <v>2041</v>
      </c>
      <c r="Y38" s="34">
        <f t="shared" si="4"/>
        <v>2042</v>
      </c>
      <c r="Z38" s="34">
        <f t="shared" si="4"/>
        <v>2043</v>
      </c>
      <c r="AA38" s="34">
        <f t="shared" si="4"/>
        <v>2044</v>
      </c>
      <c r="AB38" s="34">
        <f t="shared" si="4"/>
        <v>2045</v>
      </c>
      <c r="AC38" s="34">
        <f t="shared" si="4"/>
        <v>2046</v>
      </c>
      <c r="AD38" s="34">
        <f t="shared" si="4"/>
        <v>2047</v>
      </c>
      <c r="AE38" s="34">
        <f t="shared" si="4"/>
        <v>2048</v>
      </c>
      <c r="AF38" s="34">
        <f t="shared" si="4"/>
        <v>2049</v>
      </c>
      <c r="AG38" s="34">
        <f t="shared" si="4"/>
        <v>2050</v>
      </c>
      <c r="AH38" s="34">
        <f t="shared" si="4"/>
        <v>2051</v>
      </c>
      <c r="AI38" s="34">
        <f t="shared" si="4"/>
        <v>2052</v>
      </c>
      <c r="AJ38" s="34">
        <f t="shared" si="4"/>
        <v>2053</v>
      </c>
      <c r="AK38" s="34">
        <f t="shared" si="4"/>
        <v>2054</v>
      </c>
      <c r="AL38" s="34">
        <f t="shared" si="4"/>
        <v>2055</v>
      </c>
      <c r="AM38" s="34">
        <f t="shared" si="4"/>
        <v>2056</v>
      </c>
      <c r="AN38" s="34">
        <f t="shared" si="4"/>
        <v>2057</v>
      </c>
      <c r="AO38" s="34">
        <f t="shared" si="4"/>
        <v>2058</v>
      </c>
    </row>
    <row r="39" spans="1:41" s="735" customFormat="1">
      <c r="B39" s="90" t="s">
        <v>3246</v>
      </c>
      <c r="C39" s="90">
        <f>'Baseline Summary'!C25</f>
        <v>1857670.8902109973</v>
      </c>
      <c r="D39" s="90">
        <f>'Baseline Summary'!D25</f>
        <v>1984957.7777199771</v>
      </c>
      <c r="E39" s="90">
        <f>'Baseline Summary'!E25</f>
        <v>2108712.2937463038</v>
      </c>
      <c r="F39" s="90">
        <f>'Baseline Summary'!F25</f>
        <v>2231354.9957164326</v>
      </c>
      <c r="G39" s="90">
        <f>'Baseline Summary'!G25</f>
        <v>2355327.7576995757</v>
      </c>
      <c r="H39" s="90">
        <f>'Baseline Summary'!H25</f>
        <v>2482105.0345807988</v>
      </c>
      <c r="I39" s="90">
        <f>'Baseline Summary'!I25</f>
        <v>2611793.0090165683</v>
      </c>
      <c r="J39" s="90">
        <f>'Baseline Summary'!J25</f>
        <v>2745202.2337865215</v>
      </c>
      <c r="K39" s="90">
        <f>'Baseline Summary'!K25</f>
        <v>2887081.5265266579</v>
      </c>
      <c r="L39" s="90">
        <f>'Baseline Summary'!L25</f>
        <v>3034849.9708090462</v>
      </c>
      <c r="M39" s="90">
        <f>'Baseline Summary'!M25</f>
        <v>3187260.9127098974</v>
      </c>
      <c r="N39" s="90">
        <f>'Baseline Summary'!N25</f>
        <v>3342437.0377569278</v>
      </c>
      <c r="O39" s="90">
        <f>'Baseline Summary'!O25</f>
        <v>3501346.0552625656</v>
      </c>
      <c r="P39" s="90">
        <f>'Baseline Summary'!P25</f>
        <v>3664970.2446623188</v>
      </c>
      <c r="Q39" s="90">
        <f>'Baseline Summary'!Q25</f>
        <v>3834516.915299722</v>
      </c>
      <c r="R39" s="90">
        <f>'Baseline Summary'!R25</f>
        <v>4010332.1756584556</v>
      </c>
      <c r="S39" s="90">
        <f>'Baseline Summary'!S25</f>
        <v>4191720.1592035368</v>
      </c>
      <c r="T39" s="90">
        <f>'Baseline Summary'!T25</f>
        <v>4378983.2765124161</v>
      </c>
      <c r="U39" s="90">
        <f>'Baseline Summary'!U25</f>
        <v>4574545.6468941029</v>
      </c>
      <c r="V39" s="90">
        <f>'Baseline Summary'!V25</f>
        <v>4776800.7649634946</v>
      </c>
      <c r="W39" s="90">
        <f>'Baseline Summary'!W25</f>
        <v>4985396.5370503254</v>
      </c>
      <c r="X39" s="90">
        <f>'Baseline Summary'!X25</f>
        <v>5200419.3581178859</v>
      </c>
      <c r="Y39" s="90">
        <f>'Baseline Summary'!Y25</f>
        <v>5423041.7681243895</v>
      </c>
      <c r="Z39" s="90">
        <f>'Baseline Summary'!Z25</f>
        <v>5653279.7309183674</v>
      </c>
      <c r="AA39" s="90">
        <f>'Baseline Summary'!AA25</f>
        <v>5890939.4231553916</v>
      </c>
      <c r="AB39" s="90">
        <f>'Baseline Summary'!AB25</f>
        <v>6135891.8457512222</v>
      </c>
      <c r="AC39" s="90">
        <f>'Baseline Summary'!AC25</f>
        <v>6387979.9942182954</v>
      </c>
      <c r="AD39" s="90">
        <f>'Baseline Summary'!AD25</f>
        <v>6647111.1209016535</v>
      </c>
      <c r="AE39" s="90">
        <f>'Baseline Summary'!AE25</f>
        <v>6913192.6644326076</v>
      </c>
      <c r="AF39" s="90">
        <f>'Baseline Summary'!AF25</f>
        <v>7186576.5721711349</v>
      </c>
      <c r="AG39" s="90">
        <f>'Baseline Summary'!AG25</f>
        <v>7468543.7807209753</v>
      </c>
      <c r="AH39" s="90">
        <f>'Baseline Summary'!AH25</f>
        <v>7759451.3365024654</v>
      </c>
      <c r="AI39" s="90">
        <f>'Baseline Summary'!AI25</f>
        <v>8059989.3543979926</v>
      </c>
      <c r="AJ39" s="90">
        <f>'Baseline Summary'!AJ25</f>
        <v>8369076.9174202476</v>
      </c>
      <c r="AK39" s="90">
        <f>'Baseline Summary'!AK25</f>
        <v>8685843.7201354317</v>
      </c>
      <c r="AL39" s="90">
        <f>'Baseline Summary'!AL25</f>
        <v>9009670.6934100762</v>
      </c>
      <c r="AM39" s="90">
        <f>'Baseline Summary'!AM25</f>
        <v>9341078.9424508736</v>
      </c>
      <c r="AN39" s="90">
        <f>'Baseline Summary'!AN25</f>
        <v>9680259.4786935337</v>
      </c>
      <c r="AO39" s="90">
        <f>'Baseline Summary'!AO25</f>
        <v>10027102.872413287</v>
      </c>
    </row>
    <row r="40" spans="1:41" s="9" customFormat="1">
      <c r="B40" s="92" t="s">
        <v>3567</v>
      </c>
      <c r="C40" s="92">
        <f t="shared" ref="C40:AO40" si="5">C39-C28</f>
        <v>0</v>
      </c>
      <c r="D40" s="92">
        <f t="shared" si="5"/>
        <v>-155145.95172375138</v>
      </c>
      <c r="E40" s="92">
        <f t="shared" si="5"/>
        <v>-184037.38641253952</v>
      </c>
      <c r="F40" s="92">
        <f t="shared" si="5"/>
        <v>-215214.14001335669</v>
      </c>
      <c r="G40" s="92">
        <f t="shared" si="5"/>
        <v>18466.431198330596</v>
      </c>
      <c r="H40" s="92">
        <f t="shared" si="5"/>
        <v>249950.21055991948</v>
      </c>
      <c r="I40" s="92">
        <f t="shared" si="5"/>
        <v>405984.70347215515</v>
      </c>
      <c r="J40" s="92">
        <f t="shared" si="5"/>
        <v>512514.18386618048</v>
      </c>
      <c r="K40" s="92">
        <f t="shared" si="5"/>
        <v>587638.26203824254</v>
      </c>
      <c r="L40" s="92">
        <f t="shared" si="5"/>
        <v>642228.15217836993</v>
      </c>
      <c r="M40" s="92">
        <f t="shared" si="5"/>
        <v>683016.79495134018</v>
      </c>
      <c r="N40" s="92">
        <f t="shared" si="5"/>
        <v>702029.99428122304</v>
      </c>
      <c r="O40" s="92">
        <f t="shared" si="5"/>
        <v>725613.33689328143</v>
      </c>
      <c r="P40" s="92">
        <f t="shared" si="5"/>
        <v>745689.09017211851</v>
      </c>
      <c r="Q40" s="92">
        <f t="shared" si="5"/>
        <v>775703.7706694277</v>
      </c>
      <c r="R40" s="92">
        <f t="shared" si="5"/>
        <v>824970.69909618096</v>
      </c>
      <c r="S40" s="92">
        <f t="shared" si="5"/>
        <v>870894.35666269297</v>
      </c>
      <c r="T40" s="92">
        <f t="shared" si="5"/>
        <v>914743.67936516833</v>
      </c>
      <c r="U40" s="92">
        <f t="shared" si="5"/>
        <v>958397.58584155468</v>
      </c>
      <c r="V40" s="92">
        <f t="shared" si="5"/>
        <v>1002388.9618401886</v>
      </c>
      <c r="W40" s="92">
        <f t="shared" si="5"/>
        <v>1046923.4057875951</v>
      </c>
      <c r="X40" s="92">
        <f t="shared" si="5"/>
        <v>1091504.4279176909</v>
      </c>
      <c r="Y40" s="92">
        <f t="shared" si="5"/>
        <v>1137602.2306272136</v>
      </c>
      <c r="Z40" s="92">
        <f t="shared" si="5"/>
        <v>1185427.5562158618</v>
      </c>
      <c r="AA40" s="92">
        <f t="shared" si="5"/>
        <v>1234878.1993574724</v>
      </c>
      <c r="AB40" s="92">
        <f t="shared" si="5"/>
        <v>1285513.8642957034</v>
      </c>
      <c r="AC40" s="92">
        <f t="shared" si="5"/>
        <v>1337424.8999739243</v>
      </c>
      <c r="AD40" s="92">
        <f t="shared" si="5"/>
        <v>1390735.303314901</v>
      </c>
      <c r="AE40" s="578">
        <f t="shared" si="5"/>
        <v>1445488.9763551094</v>
      </c>
      <c r="AF40" s="578">
        <f t="shared" si="5"/>
        <v>1501880.9814635413</v>
      </c>
      <c r="AG40" s="578">
        <f t="shared" si="5"/>
        <v>1560357.0373132518</v>
      </c>
      <c r="AH40" s="578">
        <f t="shared" si="5"/>
        <v>1621022.7714782739</v>
      </c>
      <c r="AI40" s="578">
        <f t="shared" si="5"/>
        <v>1683954.4151751576</v>
      </c>
      <c r="AJ40" s="578">
        <f t="shared" si="5"/>
        <v>1748340.9355307966</v>
      </c>
      <c r="AK40" s="578">
        <f t="shared" si="5"/>
        <v>1813918.694549256</v>
      </c>
      <c r="AL40" s="578">
        <f t="shared" si="5"/>
        <v>1880384.6794728432</v>
      </c>
      <c r="AM40" s="578">
        <f t="shared" si="5"/>
        <v>1948477.5376794599</v>
      </c>
      <c r="AN40" s="578">
        <f t="shared" si="5"/>
        <v>2018529.2347066645</v>
      </c>
      <c r="AO40" s="578">
        <f t="shared" si="5"/>
        <v>2090566.9309396343</v>
      </c>
    </row>
    <row r="41" spans="1:41" s="568" customFormat="1">
      <c r="B41" s="571" t="s">
        <v>3568</v>
      </c>
      <c r="C41" s="571">
        <f t="shared" ref="C41:AO41" si="6">1-(C28/C39)</f>
        <v>0</v>
      </c>
      <c r="D41" s="571">
        <f t="shared" si="6"/>
        <v>-7.816083216740255E-2</v>
      </c>
      <c r="E41" s="571">
        <f t="shared" si="6"/>
        <v>-8.7274772835691961E-2</v>
      </c>
      <c r="F41" s="571">
        <f t="shared" si="6"/>
        <v>-9.6449977895272987E-2</v>
      </c>
      <c r="G41" s="571">
        <f t="shared" si="6"/>
        <v>7.8402808857339634E-3</v>
      </c>
      <c r="H41" s="571">
        <f t="shared" si="6"/>
        <v>0.10070089987232689</v>
      </c>
      <c r="I41" s="571">
        <f t="shared" si="6"/>
        <v>0.1554429091702878</v>
      </c>
      <c r="J41" s="571">
        <f t="shared" si="6"/>
        <v>0.18669450926362452</v>
      </c>
      <c r="K41" s="571">
        <f t="shared" si="6"/>
        <v>0.20354058471816294</v>
      </c>
      <c r="L41" s="571">
        <f t="shared" si="6"/>
        <v>0.21161775980878594</v>
      </c>
      <c r="M41" s="571">
        <f t="shared" si="6"/>
        <v>0.21429585266385376</v>
      </c>
      <c r="N41" s="571">
        <f t="shared" si="6"/>
        <v>0.21003536831088598</v>
      </c>
      <c r="O41" s="571">
        <f t="shared" si="6"/>
        <v>0.20723839501744645</v>
      </c>
      <c r="P41" s="571">
        <f t="shared" si="6"/>
        <v>0.20346388657810899</v>
      </c>
      <c r="Q41" s="571">
        <f t="shared" si="6"/>
        <v>0.20229504467026072</v>
      </c>
      <c r="R41" s="571">
        <f t="shared" si="6"/>
        <v>0.20571131341775428</v>
      </c>
      <c r="S41" s="571">
        <f t="shared" si="6"/>
        <v>0.20776538594794225</v>
      </c>
      <c r="T41" s="571">
        <f t="shared" si="6"/>
        <v>0.20889407919678193</v>
      </c>
      <c r="U41" s="571">
        <f t="shared" si="6"/>
        <v>0.20950661766644751</v>
      </c>
      <c r="V41" s="571">
        <f t="shared" si="6"/>
        <v>0.20984525232712925</v>
      </c>
      <c r="W41" s="571">
        <f t="shared" si="6"/>
        <v>0.20999802082083141</v>
      </c>
      <c r="X41" s="571">
        <f t="shared" si="6"/>
        <v>0.20988777111096746</v>
      </c>
      <c r="Y41" s="571">
        <f t="shared" si="6"/>
        <v>0.20977198392861796</v>
      </c>
      <c r="Z41" s="571">
        <f t="shared" si="6"/>
        <v>0.2096884662778381</v>
      </c>
      <c r="AA41" s="571">
        <f t="shared" si="6"/>
        <v>0.20962330634458104</v>
      </c>
      <c r="AB41" s="571">
        <f t="shared" si="6"/>
        <v>0.20950725609445886</v>
      </c>
      <c r="AC41" s="571">
        <f t="shared" si="6"/>
        <v>0.2093658560584748</v>
      </c>
      <c r="AD41" s="571">
        <f t="shared" si="6"/>
        <v>0.20922401897897769</v>
      </c>
      <c r="AE41" s="571">
        <f t="shared" si="6"/>
        <v>0.20909137738804018</v>
      </c>
      <c r="AF41" s="571">
        <f t="shared" si="6"/>
        <v>0.20898420358858127</v>
      </c>
      <c r="AG41" s="571">
        <f t="shared" si="6"/>
        <v>0.2089238656324276</v>
      </c>
      <c r="AH41" s="571">
        <f t="shared" si="6"/>
        <v>0.20890945779279058</v>
      </c>
      <c r="AI41" s="571">
        <f t="shared" si="6"/>
        <v>0.20892762274633714</v>
      </c>
      <c r="AJ41" s="571">
        <f t="shared" si="6"/>
        <v>0.20890487120408963</v>
      </c>
      <c r="AK41" s="571">
        <f t="shared" si="6"/>
        <v>0.20883621131062358</v>
      </c>
      <c r="AL41" s="571">
        <f t="shared" si="6"/>
        <v>0.20870737049781507</v>
      </c>
      <c r="AM41" s="571">
        <f t="shared" si="6"/>
        <v>0.20859234245677261</v>
      </c>
      <c r="AN41" s="571">
        <f t="shared" si="6"/>
        <v>0.2085201578686493</v>
      </c>
      <c r="AO41" s="571">
        <f t="shared" si="6"/>
        <v>0.20849162091387663</v>
      </c>
    </row>
    <row r="42" spans="1:41">
      <c r="B42" s="9"/>
      <c r="C42" s="562"/>
      <c r="D42" s="562"/>
      <c r="E42" s="562"/>
      <c r="F42" s="562"/>
      <c r="G42" s="562"/>
      <c r="H42" s="562"/>
      <c r="I42" s="562"/>
      <c r="J42" s="562"/>
      <c r="K42" s="562"/>
      <c r="L42" s="562"/>
      <c r="M42" s="562"/>
      <c r="N42" s="562"/>
      <c r="O42" s="562"/>
      <c r="P42" s="562"/>
      <c r="Q42" s="562"/>
      <c r="R42" s="189"/>
      <c r="S42" s="189"/>
      <c r="T42" s="189"/>
      <c r="U42" s="189"/>
      <c r="V42" s="189"/>
      <c r="W42" s="189"/>
      <c r="X42" s="189"/>
      <c r="Y42" s="189"/>
      <c r="Z42" s="189"/>
      <c r="AA42" s="189"/>
      <c r="AB42" s="189"/>
      <c r="AC42" s="189"/>
      <c r="AD42" s="189"/>
      <c r="AE42" s="189"/>
      <c r="AF42" s="189"/>
      <c r="AG42" s="189"/>
      <c r="AH42" s="189"/>
      <c r="AI42" s="189"/>
      <c r="AJ42" s="189"/>
      <c r="AK42" s="189"/>
      <c r="AL42" s="189"/>
      <c r="AM42" s="189"/>
      <c r="AN42" s="189"/>
      <c r="AO42" s="189"/>
    </row>
    <row r="43" spans="1:41">
      <c r="B43" s="9"/>
      <c r="C43" s="562"/>
      <c r="D43" s="562"/>
      <c r="E43" s="562"/>
      <c r="F43" s="562"/>
      <c r="G43" s="562"/>
      <c r="H43" s="562"/>
      <c r="I43" s="562"/>
      <c r="J43" s="562"/>
      <c r="K43" s="562"/>
      <c r="L43" s="562"/>
      <c r="M43" s="562"/>
      <c r="N43" s="562">
        <f>1/1.3</f>
        <v>0.76923076923076916</v>
      </c>
      <c r="O43" s="562"/>
      <c r="P43" s="562"/>
      <c r="Q43" s="562"/>
      <c r="R43" s="189"/>
      <c r="S43" s="189"/>
      <c r="T43" s="189"/>
      <c r="U43" s="189"/>
      <c r="V43" s="189"/>
      <c r="W43" s="189"/>
      <c r="X43" s="189"/>
      <c r="Y43" s="189"/>
      <c r="Z43" s="189"/>
      <c r="AA43" s="189"/>
      <c r="AB43" s="189"/>
      <c r="AC43" s="189"/>
      <c r="AD43" s="189"/>
      <c r="AE43" s="189"/>
      <c r="AF43" s="189"/>
      <c r="AG43" s="189"/>
      <c r="AH43" s="189"/>
      <c r="AI43" s="189"/>
      <c r="AJ43" s="189"/>
      <c r="AK43" s="189"/>
      <c r="AL43" s="189"/>
      <c r="AM43" s="189"/>
      <c r="AN43" s="189"/>
      <c r="AO43" s="189"/>
    </row>
    <row r="44" spans="1:41" s="4" customFormat="1">
      <c r="B44" s="90" t="s">
        <v>3255</v>
      </c>
      <c r="C44" s="90">
        <f t="shared" ref="C44:AO44" si="7">C39-SUM(C22:C24)</f>
        <v>0</v>
      </c>
      <c r="D44" s="90">
        <f t="shared" si="7"/>
        <v>0</v>
      </c>
      <c r="E44" s="90">
        <f t="shared" si="7"/>
        <v>0</v>
      </c>
      <c r="F44" s="90">
        <f t="shared" si="7"/>
        <v>0</v>
      </c>
      <c r="G44" s="90">
        <f t="shared" si="7"/>
        <v>100142.64908036776</v>
      </c>
      <c r="H44" s="90">
        <f t="shared" si="7"/>
        <v>329434.29163905233</v>
      </c>
      <c r="I44" s="90">
        <f t="shared" si="7"/>
        <v>484937.46825910453</v>
      </c>
      <c r="J44" s="90">
        <f t="shared" si="7"/>
        <v>592051.01289017498</v>
      </c>
      <c r="K44" s="90">
        <f t="shared" si="7"/>
        <v>668577.25095234998</v>
      </c>
      <c r="L44" s="90">
        <f t="shared" si="7"/>
        <v>725100.75842463505</v>
      </c>
      <c r="M44" s="90">
        <f t="shared" si="7"/>
        <v>768184.83704223484</v>
      </c>
      <c r="N44" s="90">
        <f t="shared" si="7"/>
        <v>800860.71865053708</v>
      </c>
      <c r="O44" s="90">
        <f t="shared" si="7"/>
        <v>827424.00631317589</v>
      </c>
      <c r="P44" s="90">
        <f t="shared" si="7"/>
        <v>850629.94093361357</v>
      </c>
      <c r="Q44" s="90">
        <f t="shared" si="7"/>
        <v>872187.85941801593</v>
      </c>
      <c r="R44" s="90">
        <f t="shared" si="7"/>
        <v>924623.14200434042</v>
      </c>
      <c r="S44" s="90">
        <f t="shared" si="7"/>
        <v>973825.30300248927</v>
      </c>
      <c r="T44" s="90">
        <f t="shared" si="7"/>
        <v>1021068.4848652715</v>
      </c>
      <c r="U44" s="90">
        <f t="shared" si="7"/>
        <v>1068256.3593627117</v>
      </c>
      <c r="V44" s="90">
        <f t="shared" si="7"/>
        <v>1115890.1171944961</v>
      </c>
      <c r="W44" s="90">
        <f t="shared" si="7"/>
        <v>1164171.4781876393</v>
      </c>
      <c r="X44" s="90">
        <f t="shared" si="7"/>
        <v>1212621.7988937809</v>
      </c>
      <c r="Y44" s="90">
        <f t="shared" si="7"/>
        <v>1262706.1336377095</v>
      </c>
      <c r="Z44" s="90">
        <f t="shared" si="7"/>
        <v>1314632.2964290669</v>
      </c>
      <c r="AA44" s="90">
        <f t="shared" si="7"/>
        <v>1368297.1195278056</v>
      </c>
      <c r="AB44" s="90">
        <f t="shared" si="7"/>
        <v>1423268.0343131293</v>
      </c>
      <c r="AC44" s="90">
        <f t="shared" si="7"/>
        <v>1479630.9652319588</v>
      </c>
      <c r="AD44" s="90">
        <f t="shared" si="7"/>
        <v>1537505.8559746295</v>
      </c>
      <c r="AE44" s="90">
        <f t="shared" si="7"/>
        <v>1596934.3596681207</v>
      </c>
      <c r="AF44" s="90">
        <f t="shared" si="7"/>
        <v>1658115.1395760179</v>
      </c>
      <c r="AG44" s="90">
        <f t="shared" si="7"/>
        <v>1721509.5357938334</v>
      </c>
      <c r="AH44" s="90">
        <f t="shared" si="7"/>
        <v>1787227.4378766892</v>
      </c>
      <c r="AI44" s="90">
        <f t="shared" si="7"/>
        <v>1855356.6212970736</v>
      </c>
      <c r="AJ44" s="90">
        <f t="shared" si="7"/>
        <v>1925082.0808235416</v>
      </c>
      <c r="AK44" s="90">
        <f t="shared" si="7"/>
        <v>1996129.1682790834</v>
      </c>
      <c r="AL44" s="90">
        <f t="shared" si="7"/>
        <v>2068190.0733464211</v>
      </c>
      <c r="AM44" s="90">
        <f t="shared" si="7"/>
        <v>2141998.7348567713</v>
      </c>
      <c r="AN44" s="90">
        <f t="shared" si="7"/>
        <v>2217884.1697252654</v>
      </c>
      <c r="AO44" s="90">
        <f t="shared" si="7"/>
        <v>2295870.9729707157</v>
      </c>
    </row>
    <row r="45" spans="1:41" s="4" customFormat="1" ht="29">
      <c r="B45" s="90" t="s">
        <v>3470</v>
      </c>
      <c r="C45" s="90">
        <f t="shared" ref="C45:AO45" si="8">-C26</f>
        <v>0</v>
      </c>
      <c r="D45" s="90">
        <f t="shared" si="8"/>
        <v>-155145.95172375129</v>
      </c>
      <c r="E45" s="90">
        <f t="shared" si="8"/>
        <v>-184037.38641253969</v>
      </c>
      <c r="F45" s="90">
        <f t="shared" si="8"/>
        <v>-215214.14001335684</v>
      </c>
      <c r="G45" s="90">
        <f t="shared" si="8"/>
        <v>-81676.21788203725</v>
      </c>
      <c r="H45" s="90">
        <f t="shared" si="8"/>
        <v>-79484.081079133015</v>
      </c>
      <c r="I45" s="90">
        <f t="shared" si="8"/>
        <v>-78952.764786949265</v>
      </c>
      <c r="J45" s="90">
        <f t="shared" si="8"/>
        <v>-79536.829023994665</v>
      </c>
      <c r="K45" s="90">
        <f t="shared" si="8"/>
        <v>-80938.98891410722</v>
      </c>
      <c r="L45" s="90">
        <f t="shared" si="8"/>
        <v>-82872.606246265335</v>
      </c>
      <c r="M45" s="90">
        <f t="shared" si="8"/>
        <v>-85168.042090894567</v>
      </c>
      <c r="N45" s="90">
        <f t="shared" si="8"/>
        <v>-98830.724369314194</v>
      </c>
      <c r="O45" s="90">
        <f t="shared" si="8"/>
        <v>-101810.66941989458</v>
      </c>
      <c r="P45" s="90">
        <f t="shared" si="8"/>
        <v>-104940.85076149501</v>
      </c>
      <c r="Q45" s="90">
        <f t="shared" si="8"/>
        <v>-96484.088748588169</v>
      </c>
      <c r="R45" s="90">
        <f t="shared" si="8"/>
        <v>-99652.442908159239</v>
      </c>
      <c r="S45" s="90">
        <f t="shared" si="8"/>
        <v>-102930.94633979637</v>
      </c>
      <c r="T45" s="90">
        <f t="shared" si="8"/>
        <v>-106324.80550010312</v>
      </c>
      <c r="U45" s="90">
        <f t="shared" si="8"/>
        <v>-109858.7735211572</v>
      </c>
      <c r="V45" s="90">
        <f t="shared" si="8"/>
        <v>-113501.1553543076</v>
      </c>
      <c r="W45" s="90">
        <f t="shared" si="8"/>
        <v>-117248.07240004402</v>
      </c>
      <c r="X45" s="90">
        <f t="shared" si="8"/>
        <v>-121117.37097608997</v>
      </c>
      <c r="Y45" s="90">
        <f t="shared" si="8"/>
        <v>-125103.90301049617</v>
      </c>
      <c r="Z45" s="90">
        <f t="shared" si="8"/>
        <v>-129204.74021320505</v>
      </c>
      <c r="AA45" s="90">
        <f t="shared" si="8"/>
        <v>-133418.92017033338</v>
      </c>
      <c r="AB45" s="90">
        <f t="shared" si="8"/>
        <v>-137754.17001742619</v>
      </c>
      <c r="AC45" s="90">
        <f t="shared" si="8"/>
        <v>-142206.06525803459</v>
      </c>
      <c r="AD45" s="90">
        <f t="shared" si="8"/>
        <v>-146770.55265972854</v>
      </c>
      <c r="AE45" s="90">
        <f t="shared" si="8"/>
        <v>-151445.38331301144</v>
      </c>
      <c r="AF45" s="90">
        <f t="shared" si="8"/>
        <v>-156234.15811247626</v>
      </c>
      <c r="AG45" s="90">
        <f t="shared" si="8"/>
        <v>-161152.49848058203</v>
      </c>
      <c r="AH45" s="90">
        <f t="shared" si="8"/>
        <v>-166204.66639841546</v>
      </c>
      <c r="AI45" s="90">
        <f t="shared" si="8"/>
        <v>-171402.20612191551</v>
      </c>
      <c r="AJ45" s="90">
        <f t="shared" si="8"/>
        <v>-176741.14529274544</v>
      </c>
      <c r="AK45" s="90">
        <f t="shared" si="8"/>
        <v>-182210.47372982753</v>
      </c>
      <c r="AL45" s="90">
        <f t="shared" si="8"/>
        <v>-187805.39387357808</v>
      </c>
      <c r="AM45" s="90">
        <f t="shared" si="8"/>
        <v>-193521.19717731143</v>
      </c>
      <c r="AN45" s="90">
        <f t="shared" si="8"/>
        <v>-199354.93501860119</v>
      </c>
      <c r="AO45" s="90">
        <f t="shared" si="8"/>
        <v>-205304.04203108148</v>
      </c>
    </row>
    <row r="46" spans="1:41" s="4" customFormat="1">
      <c r="M46" s="20"/>
      <c r="N46" s="20"/>
    </row>
    <row r="47" spans="1:41" s="4" customFormat="1">
      <c r="B47" s="90" t="s">
        <v>3257</v>
      </c>
      <c r="C47" s="90">
        <f t="shared" ref="C47:AO47" si="9">C44+C45</f>
        <v>0</v>
      </c>
      <c r="D47" s="90">
        <f t="shared" si="9"/>
        <v>-155145.95172375129</v>
      </c>
      <c r="E47" s="90">
        <f t="shared" si="9"/>
        <v>-184037.38641253969</v>
      </c>
      <c r="F47" s="90">
        <f t="shared" si="9"/>
        <v>-215214.14001335684</v>
      </c>
      <c r="G47" s="90">
        <f t="shared" si="9"/>
        <v>18466.431198330509</v>
      </c>
      <c r="H47" s="90">
        <f t="shared" si="9"/>
        <v>249950.2105599193</v>
      </c>
      <c r="I47" s="90">
        <f t="shared" si="9"/>
        <v>405984.70347215526</v>
      </c>
      <c r="J47" s="90">
        <f t="shared" si="9"/>
        <v>512514.1838661803</v>
      </c>
      <c r="K47" s="90">
        <f t="shared" si="9"/>
        <v>587638.26203824277</v>
      </c>
      <c r="L47" s="90">
        <f t="shared" si="9"/>
        <v>642228.1521783697</v>
      </c>
      <c r="M47" s="90">
        <f t="shared" si="9"/>
        <v>683016.7949513403</v>
      </c>
      <c r="N47" s="90">
        <f t="shared" si="9"/>
        <v>702029.99428122293</v>
      </c>
      <c r="O47" s="90">
        <f t="shared" si="9"/>
        <v>725613.33689328132</v>
      </c>
      <c r="P47" s="90">
        <f t="shared" si="9"/>
        <v>745689.09017211851</v>
      </c>
      <c r="Q47" s="90">
        <f t="shared" si="9"/>
        <v>775703.7706694277</v>
      </c>
      <c r="R47" s="90">
        <f t="shared" si="9"/>
        <v>824970.6990961812</v>
      </c>
      <c r="S47" s="90">
        <f t="shared" si="9"/>
        <v>870894.35666269285</v>
      </c>
      <c r="T47" s="90">
        <f t="shared" si="9"/>
        <v>914743.67936516833</v>
      </c>
      <c r="U47" s="90">
        <f t="shared" si="9"/>
        <v>958397.58584155445</v>
      </c>
      <c r="V47" s="90">
        <f t="shared" si="9"/>
        <v>1002388.9618401885</v>
      </c>
      <c r="W47" s="90">
        <f t="shared" si="9"/>
        <v>1046923.4057875952</v>
      </c>
      <c r="X47" s="90">
        <f t="shared" si="9"/>
        <v>1091504.4279176909</v>
      </c>
      <c r="Y47" s="90">
        <f t="shared" si="9"/>
        <v>1137602.2306272134</v>
      </c>
      <c r="Z47" s="90">
        <f t="shared" si="9"/>
        <v>1185427.5562158618</v>
      </c>
      <c r="AA47" s="90">
        <f t="shared" si="9"/>
        <v>1234878.1993574721</v>
      </c>
      <c r="AB47" s="90">
        <f t="shared" si="9"/>
        <v>1285513.8642957031</v>
      </c>
      <c r="AC47" s="90">
        <f t="shared" si="9"/>
        <v>1337424.8999739243</v>
      </c>
      <c r="AD47" s="90">
        <f t="shared" si="9"/>
        <v>1390735.303314901</v>
      </c>
      <c r="AE47" s="90">
        <f t="shared" si="9"/>
        <v>1445488.9763551094</v>
      </c>
      <c r="AF47" s="90">
        <f t="shared" si="9"/>
        <v>1501880.9814635415</v>
      </c>
      <c r="AG47" s="90">
        <f t="shared" si="9"/>
        <v>1560357.0373132513</v>
      </c>
      <c r="AH47" s="90">
        <f t="shared" si="9"/>
        <v>1621022.7714782739</v>
      </c>
      <c r="AI47" s="90">
        <f t="shared" si="9"/>
        <v>1683954.4151751581</v>
      </c>
      <c r="AJ47" s="90">
        <f t="shared" si="9"/>
        <v>1748340.9355307962</v>
      </c>
      <c r="AK47" s="90">
        <f t="shared" si="9"/>
        <v>1813918.694549256</v>
      </c>
      <c r="AL47" s="90">
        <f t="shared" si="9"/>
        <v>1880384.679472843</v>
      </c>
      <c r="AM47" s="90">
        <f t="shared" si="9"/>
        <v>1948477.5376794599</v>
      </c>
      <c r="AN47" s="90">
        <f t="shared" si="9"/>
        <v>2018529.2347066642</v>
      </c>
      <c r="AO47" s="90">
        <f t="shared" si="9"/>
        <v>2090566.9309396343</v>
      </c>
    </row>
    <row r="48" spans="1:41" s="9" customFormat="1">
      <c r="B48" s="92" t="s">
        <v>3256</v>
      </c>
      <c r="C48" s="92">
        <f>C44*(1-'Control Assumptions'!$C$16)+C45</f>
        <v>0</v>
      </c>
      <c r="D48" s="92">
        <f>D44*(1-'Control Assumptions'!$C$16)+D45</f>
        <v>-155145.95172375129</v>
      </c>
      <c r="E48" s="92">
        <f>E44*(1-'Control Assumptions'!$C$16)+E45</f>
        <v>-184037.38641253969</v>
      </c>
      <c r="F48" s="92">
        <f>F44*(1-'Control Assumptions'!$C$16)+F45</f>
        <v>-215214.14001335684</v>
      </c>
      <c r="G48" s="92">
        <f>G44*(1-'Control Assumptions'!$C$16)+G45</f>
        <v>-11576.363525779831</v>
      </c>
      <c r="H48" s="92">
        <f>H44*(1-'Control Assumptions'!$C$16)+H45</f>
        <v>151119.92306820361</v>
      </c>
      <c r="I48" s="92">
        <f>I44*(1-'Control Assumptions'!$C$16)+I45</f>
        <v>260503.46299442387</v>
      </c>
      <c r="J48" s="92">
        <f>J44*(1-'Control Assumptions'!$C$16)+J45</f>
        <v>334898.87999912776</v>
      </c>
      <c r="K48" s="92">
        <f>K44*(1-'Control Assumptions'!$C$16)+K45</f>
        <v>387065.08675253775</v>
      </c>
      <c r="L48" s="92">
        <f>L44*(1-'Control Assumptions'!$C$16)+L45</f>
        <v>424697.92465097917</v>
      </c>
      <c r="M48" s="92">
        <f>M44*(1-'Control Assumptions'!$C$16)+M45</f>
        <v>452561.34383866983</v>
      </c>
      <c r="N48" s="92">
        <f>N44*(1-'Control Assumptions'!$C$16)+N45</f>
        <v>461771.77868606168</v>
      </c>
      <c r="O48" s="92">
        <f>O44*(1-'Control Assumptions'!$C$16)+O45</f>
        <v>477386.13499932853</v>
      </c>
      <c r="P48" s="92">
        <f>P44*(1-'Control Assumptions'!$C$16)+P45</f>
        <v>490500.1078920344</v>
      </c>
      <c r="Q48" s="92">
        <f>Q44*(1-'Control Assumptions'!$C$16)+Q45</f>
        <v>514047.41284402291</v>
      </c>
      <c r="R48" s="92">
        <f>R44*(1-'Control Assumptions'!$C$16)+R45</f>
        <v>547583.75649487902</v>
      </c>
      <c r="S48" s="92">
        <f>S44*(1-'Control Assumptions'!$C$16)+S45</f>
        <v>578746.76576194598</v>
      </c>
      <c r="T48" s="92">
        <f>T44*(1-'Control Assumptions'!$C$16)+T45</f>
        <v>608423.13390558679</v>
      </c>
      <c r="U48" s="92">
        <f>U44*(1-'Control Assumptions'!$C$16)+U45</f>
        <v>637920.67803274095</v>
      </c>
      <c r="V48" s="92">
        <f>V44*(1-'Control Assumptions'!$C$16)+V45</f>
        <v>667621.92668183963</v>
      </c>
      <c r="W48" s="92">
        <f>W44*(1-'Control Assumptions'!$C$16)+W45</f>
        <v>697671.9623313034</v>
      </c>
      <c r="X48" s="92">
        <f>X44*(1-'Control Assumptions'!$C$16)+X45</f>
        <v>727717.88824955665</v>
      </c>
      <c r="Y48" s="92">
        <f>Y44*(1-'Control Assumptions'!$C$16)+Y45</f>
        <v>758790.39053590049</v>
      </c>
      <c r="Z48" s="92">
        <f>Z44*(1-'Control Assumptions'!$C$16)+Z45</f>
        <v>791037.86728714174</v>
      </c>
      <c r="AA48" s="92">
        <f>AA44*(1-'Control Assumptions'!$C$16)+AA45</f>
        <v>824389.06349913054</v>
      </c>
      <c r="AB48" s="92">
        <f>AB44*(1-'Control Assumptions'!$C$16)+AB45</f>
        <v>858533.4540017643</v>
      </c>
      <c r="AC48" s="92">
        <f>AC44*(1-'Control Assumptions'!$C$16)+AC45</f>
        <v>893535.61040433648</v>
      </c>
      <c r="AD48" s="92">
        <f>AD44*(1-'Control Assumptions'!$C$16)+AD45</f>
        <v>929483.5465225121</v>
      </c>
      <c r="AE48" s="92">
        <f>AE44*(1-'Control Assumptions'!$C$16)+AE45</f>
        <v>966408.66845467314</v>
      </c>
      <c r="AF48" s="92">
        <f>AF44*(1-'Control Assumptions'!$C$16)+AF45</f>
        <v>1004446.4395907362</v>
      </c>
      <c r="AG48" s="92">
        <f>AG44*(1-'Control Assumptions'!$C$16)+AG45</f>
        <v>1043904.1765751013</v>
      </c>
      <c r="AH48" s="92">
        <f>AH44*(1-'Control Assumptions'!$C$16)+AH45</f>
        <v>1084854.540115267</v>
      </c>
      <c r="AI48" s="92">
        <f>AI44*(1-'Control Assumptions'!$C$16)+AI45</f>
        <v>1127347.4287860359</v>
      </c>
      <c r="AJ48" s="92">
        <f>AJ44*(1-'Control Assumptions'!$C$16)+AJ45</f>
        <v>1170816.3112837337</v>
      </c>
      <c r="AK48" s="92">
        <f>AK44*(1-'Control Assumptions'!$C$16)+AK45</f>
        <v>1215079.9440655308</v>
      </c>
      <c r="AL48" s="92">
        <f>AL44*(1-'Control Assumptions'!$C$16)+AL45</f>
        <v>1259927.6574689166</v>
      </c>
      <c r="AM48" s="92">
        <f>AM44*(1-'Control Assumptions'!$C$16)+AM45</f>
        <v>1305877.9172224284</v>
      </c>
      <c r="AN48" s="92">
        <f>AN44*(1-'Control Assumptions'!$C$16)+AN45</f>
        <v>1353163.9837890845</v>
      </c>
      <c r="AO48" s="92">
        <f>AO44*(1-'Control Assumptions'!$C$16)+AO45</f>
        <v>1401805.6390484194</v>
      </c>
    </row>
    <row r="49" spans="2:41">
      <c r="B49" s="9"/>
      <c r="C49" s="562"/>
      <c r="D49" s="562"/>
      <c r="E49" s="562"/>
      <c r="F49" s="562"/>
      <c r="G49" s="562"/>
      <c r="H49" s="562"/>
      <c r="I49" s="562"/>
      <c r="J49" s="577"/>
      <c r="K49" s="870"/>
      <c r="L49" s="577"/>
      <c r="M49" s="577"/>
      <c r="N49" s="577"/>
      <c r="O49" s="577"/>
      <c r="P49" s="577"/>
      <c r="Q49" s="577"/>
      <c r="R49" s="577"/>
      <c r="S49" s="577"/>
      <c r="T49" s="577"/>
      <c r="U49" s="577"/>
      <c r="V49" s="577"/>
      <c r="W49" s="577"/>
      <c r="X49" s="577"/>
      <c r="Y49" s="577"/>
      <c r="Z49" s="577"/>
      <c r="AA49" s="577"/>
      <c r="AB49" s="577"/>
      <c r="AC49" s="577"/>
      <c r="AD49" s="577"/>
      <c r="AE49" s="577"/>
      <c r="AF49" s="577"/>
      <c r="AG49" s="577"/>
      <c r="AH49" s="577"/>
      <c r="AI49" s="577"/>
      <c r="AJ49" s="577"/>
      <c r="AK49" s="577"/>
      <c r="AL49" s="577"/>
      <c r="AM49" s="577"/>
      <c r="AN49" s="577"/>
      <c r="AO49" s="577"/>
    </row>
    <row r="50" spans="2:41" s="422" customFormat="1">
      <c r="B50" s="83" t="s">
        <v>3674</v>
      </c>
      <c r="C50" s="83">
        <f t="shared" ref="C50:AO50" si="10">C48/C39</f>
        <v>0</v>
      </c>
      <c r="D50" s="83">
        <f t="shared" si="10"/>
        <v>-7.8160832167402466E-2</v>
      </c>
      <c r="E50" s="83">
        <f t="shared" si="10"/>
        <v>-8.7274772835692002E-2</v>
      </c>
      <c r="F50" s="83">
        <f t="shared" si="10"/>
        <v>-9.6449977895272973E-2</v>
      </c>
      <c r="G50" s="83">
        <f t="shared" si="10"/>
        <v>-4.9149692597714491E-3</v>
      </c>
      <c r="H50" s="83">
        <f t="shared" si="10"/>
        <v>6.0883774442577594E-2</v>
      </c>
      <c r="I50" s="83">
        <f t="shared" si="10"/>
        <v>9.9741236037886691E-2</v>
      </c>
      <c r="J50" s="83">
        <f t="shared" si="10"/>
        <v>0.12199424722789691</v>
      </c>
      <c r="K50" s="83">
        <f t="shared" si="10"/>
        <v>0.13406794480729528</v>
      </c>
      <c r="L50" s="83">
        <f t="shared" si="10"/>
        <v>0.13994033600868941</v>
      </c>
      <c r="M50" s="83">
        <f t="shared" si="10"/>
        <v>0.14199067984487335</v>
      </c>
      <c r="N50" s="83">
        <f t="shared" si="10"/>
        <v>0.13815421905327843</v>
      </c>
      <c r="O50" s="83">
        <f t="shared" si="10"/>
        <v>0.13634360256445127</v>
      </c>
      <c r="P50" s="83">
        <f t="shared" si="10"/>
        <v>0.13383467672251945</v>
      </c>
      <c r="Q50" s="83">
        <f t="shared" si="10"/>
        <v>0.13405793329349358</v>
      </c>
      <c r="R50" s="83">
        <f t="shared" si="10"/>
        <v>0.13654324193356163</v>
      </c>
      <c r="S50" s="83">
        <f t="shared" si="10"/>
        <v>0.1380690370017241</v>
      </c>
      <c r="T50" s="83">
        <f t="shared" si="10"/>
        <v>0.13894164363883058</v>
      </c>
      <c r="U50" s="83">
        <f t="shared" si="10"/>
        <v>0.13945006286380779</v>
      </c>
      <c r="V50" s="83">
        <f t="shared" si="10"/>
        <v>0.13976340222909459</v>
      </c>
      <c r="W50" s="83">
        <f t="shared" si="10"/>
        <v>0.13994312330952316</v>
      </c>
      <c r="X50" s="83">
        <f t="shared" si="10"/>
        <v>0.13993446261474754</v>
      </c>
      <c r="Y50" s="83">
        <f t="shared" si="10"/>
        <v>0.13991970244373303</v>
      </c>
      <c r="Z50" s="83">
        <f t="shared" si="10"/>
        <v>0.13992547776485822</v>
      </c>
      <c r="AA50" s="83">
        <f t="shared" si="10"/>
        <v>0.13994186738005179</v>
      </c>
      <c r="AB50" s="83">
        <f t="shared" si="10"/>
        <v>0.13991991312497676</v>
      </c>
      <c r="AC50" s="83">
        <f t="shared" si="10"/>
        <v>0.13987764695773433</v>
      </c>
      <c r="AD50" s="83">
        <f t="shared" si="10"/>
        <v>0.1398327077156537</v>
      </c>
      <c r="AE50" s="83">
        <f t="shared" si="10"/>
        <v>0.13979194785452867</v>
      </c>
      <c r="AF50" s="83">
        <f t="shared" si="10"/>
        <v>0.13976702669255539</v>
      </c>
      <c r="AG50" s="83">
        <f t="shared" si="10"/>
        <v>0.13977345614144987</v>
      </c>
      <c r="AH50" s="83">
        <f t="shared" si="10"/>
        <v>0.13981072798431388</v>
      </c>
      <c r="AI50" s="83">
        <f t="shared" si="10"/>
        <v>0.1398695927769297</v>
      </c>
      <c r="AJ50" s="83">
        <f t="shared" si="10"/>
        <v>0.13989790305866082</v>
      </c>
      <c r="AK50" s="83">
        <f t="shared" si="10"/>
        <v>0.13989198783864198</v>
      </c>
      <c r="AL50" s="83">
        <f t="shared" si="10"/>
        <v>0.13984169903018351</v>
      </c>
      <c r="AM50" s="83">
        <f t="shared" si="10"/>
        <v>0.13979947340856083</v>
      </c>
      <c r="AN50" s="83">
        <f t="shared" si="10"/>
        <v>0.13978592069431903</v>
      </c>
      <c r="AO50" s="83">
        <f t="shared" si="10"/>
        <v>0.13980166124605023</v>
      </c>
    </row>
    <row r="51" spans="2:41">
      <c r="B51" s="9"/>
      <c r="C51" s="562"/>
      <c r="D51" s="562"/>
      <c r="E51" s="562"/>
      <c r="F51" s="562"/>
      <c r="G51" s="562"/>
      <c r="H51" s="562"/>
      <c r="I51" s="562"/>
      <c r="J51" s="562"/>
      <c r="K51" s="562"/>
      <c r="L51" s="562"/>
      <c r="M51" s="562"/>
      <c r="N51" s="562"/>
      <c r="O51" s="562"/>
      <c r="P51" s="562"/>
      <c r="Q51" s="562"/>
      <c r="R51" s="189"/>
      <c r="S51" s="189"/>
      <c r="T51" s="189"/>
      <c r="U51" s="189"/>
      <c r="V51" s="189"/>
      <c r="W51" s="189"/>
      <c r="X51" s="189"/>
      <c r="Y51" s="189"/>
      <c r="Z51" s="189"/>
      <c r="AA51" s="189"/>
      <c r="AB51" s="189"/>
      <c r="AC51" s="189"/>
      <c r="AD51" s="189"/>
      <c r="AE51" s="189"/>
      <c r="AF51" s="189"/>
      <c r="AG51" s="189"/>
      <c r="AH51" s="189"/>
      <c r="AI51" s="189"/>
      <c r="AJ51" s="189"/>
      <c r="AK51" s="189"/>
      <c r="AL51" s="189"/>
      <c r="AM51" s="189"/>
      <c r="AN51" s="189"/>
      <c r="AO51" s="189"/>
    </row>
    <row r="52" spans="2:41" s="4" customFormat="1" ht="35.4" customHeight="1">
      <c r="B52" s="90" t="s">
        <v>3673</v>
      </c>
      <c r="C52" s="90">
        <f t="shared" ref="C52:AO52" si="11">C48*C307</f>
        <v>0</v>
      </c>
      <c r="D52" s="90">
        <f t="shared" si="11"/>
        <v>-149899.47026449401</v>
      </c>
      <c r="E52" s="90">
        <f t="shared" si="11"/>
        <v>-171800.86948357229</v>
      </c>
      <c r="F52" s="90">
        <f t="shared" si="11"/>
        <v>-194110.82374166365</v>
      </c>
      <c r="G52" s="90">
        <f t="shared" si="11"/>
        <v>-10088.132019554076</v>
      </c>
      <c r="H52" s="90">
        <f t="shared" si="11"/>
        <v>127238.92020115194</v>
      </c>
      <c r="I52" s="90">
        <f t="shared" si="11"/>
        <v>211919.73499036467</v>
      </c>
      <c r="J52" s="90">
        <f t="shared" si="11"/>
        <v>263227.49242244952</v>
      </c>
      <c r="K52" s="90">
        <f t="shared" si="11"/>
        <v>293941.69988772273</v>
      </c>
      <c r="L52" s="90">
        <f t="shared" si="11"/>
        <v>311614.02114107442</v>
      </c>
      <c r="M52" s="90">
        <f t="shared" si="11"/>
        <v>320829.2510050101</v>
      </c>
      <c r="N52" s="90">
        <f t="shared" si="11"/>
        <v>316288.60053214908</v>
      </c>
      <c r="O52" s="90">
        <f t="shared" si="11"/>
        <v>315926.17097735504</v>
      </c>
      <c r="P52" s="90">
        <f t="shared" si="11"/>
        <v>313627.80600189778</v>
      </c>
      <c r="Q52" s="90">
        <f t="shared" si="11"/>
        <v>317569.13099387253</v>
      </c>
      <c r="R52" s="90">
        <f t="shared" si="11"/>
        <v>326847.60716312291</v>
      </c>
      <c r="S52" s="90">
        <f t="shared" si="11"/>
        <v>333766.68120072759</v>
      </c>
      <c r="T52" s="90">
        <f t="shared" si="11"/>
        <v>339015.6697076229</v>
      </c>
      <c r="U52" s="90">
        <f t="shared" si="11"/>
        <v>343431.70316841686</v>
      </c>
      <c r="V52" s="90">
        <f t="shared" si="11"/>
        <v>347267.34419054392</v>
      </c>
      <c r="W52" s="90">
        <f t="shared" si="11"/>
        <v>350626.12679221068</v>
      </c>
      <c r="X52" s="90">
        <f t="shared" si="11"/>
        <v>353358.63200472092</v>
      </c>
      <c r="Y52" s="90">
        <f t="shared" si="11"/>
        <v>355986.99033156212</v>
      </c>
      <c r="Z52" s="90">
        <f t="shared" si="11"/>
        <v>358566.10085961223</v>
      </c>
      <c r="AA52" s="90">
        <f t="shared" si="11"/>
        <v>361047.0714639994</v>
      </c>
      <c r="AB52" s="90">
        <f t="shared" si="11"/>
        <v>363285.84624841099</v>
      </c>
      <c r="AC52" s="90">
        <f t="shared" si="11"/>
        <v>365311.01772764896</v>
      </c>
      <c r="AD52" s="90">
        <f t="shared" si="11"/>
        <v>367157.37990337471</v>
      </c>
      <c r="AE52" s="90">
        <f t="shared" si="11"/>
        <v>368834.06291344744</v>
      </c>
      <c r="AF52" s="90">
        <f t="shared" si="11"/>
        <v>370387.77136866754</v>
      </c>
      <c r="AG52" s="90">
        <f t="shared" si="11"/>
        <v>371920.52085128229</v>
      </c>
      <c r="AH52" s="90">
        <f t="shared" si="11"/>
        <v>373439.85631590243</v>
      </c>
      <c r="AI52" s="90">
        <f t="shared" si="11"/>
        <v>374944.15283855516</v>
      </c>
      <c r="AJ52" s="90">
        <f t="shared" si="11"/>
        <v>376233.2906298812</v>
      </c>
      <c r="AK52" s="90">
        <f t="shared" si="11"/>
        <v>377253.22367448732</v>
      </c>
      <c r="AL52" s="90">
        <f t="shared" si="11"/>
        <v>377949.14460382028</v>
      </c>
      <c r="AM52" s="90">
        <f t="shared" si="11"/>
        <v>378486.14426768624</v>
      </c>
      <c r="AN52" s="90">
        <f t="shared" si="11"/>
        <v>378928.6892724486</v>
      </c>
      <c r="AO52" s="90">
        <f t="shared" si="11"/>
        <v>379275.25634637335</v>
      </c>
    </row>
    <row r="53" spans="2:41" s="4" customFormat="1" ht="35.4" customHeight="1">
      <c r="B53" s="119"/>
      <c r="C53" s="119"/>
      <c r="D53" s="119"/>
      <c r="E53" s="119"/>
      <c r="F53" s="119"/>
      <c r="G53" s="119"/>
      <c r="H53" s="119"/>
      <c r="I53" s="119"/>
      <c r="J53" s="119"/>
      <c r="K53" s="119"/>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c r="AI53" s="119"/>
      <c r="AJ53" s="119"/>
      <c r="AK53" s="119"/>
      <c r="AL53" s="119"/>
      <c r="AM53" s="119"/>
      <c r="AN53" s="119"/>
      <c r="AO53" s="119"/>
    </row>
    <row r="54" spans="2:41" s="4" customFormat="1" ht="35.4" customHeight="1">
      <c r="B54" s="90" t="s">
        <v>3507</v>
      </c>
      <c r="C54" s="811">
        <v>30</v>
      </c>
      <c r="D54" s="812">
        <f>'Control Assumptions'!C10+C54+1</f>
        <v>2051</v>
      </c>
      <c r="E54" s="119"/>
      <c r="F54" s="119"/>
      <c r="G54" s="119"/>
      <c r="H54" s="119"/>
      <c r="I54" s="119"/>
      <c r="J54" s="119"/>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c r="AJ54" s="119"/>
      <c r="AK54" s="119"/>
      <c r="AL54" s="119"/>
      <c r="AM54" s="119"/>
      <c r="AN54" s="119"/>
      <c r="AO54" s="119"/>
    </row>
    <row r="55" spans="2:41">
      <c r="B55" s="9"/>
      <c r="C55" s="775" t="s">
        <v>3509</v>
      </c>
      <c r="D55" s="562"/>
      <c r="E55" s="562"/>
      <c r="F55" s="562"/>
      <c r="G55" s="562"/>
      <c r="H55" s="562"/>
      <c r="I55" s="562"/>
      <c r="J55" s="562"/>
      <c r="K55" s="562"/>
      <c r="L55" s="562"/>
      <c r="M55" s="562"/>
      <c r="N55" s="562"/>
      <c r="O55" s="562"/>
      <c r="P55" s="562"/>
      <c r="Q55" s="562"/>
      <c r="R55" s="189"/>
      <c r="S55" s="189"/>
      <c r="T55" s="189"/>
      <c r="U55" s="189"/>
      <c r="V55" s="189"/>
      <c r="W55" s="189"/>
      <c r="X55" s="189"/>
      <c r="Y55" s="189"/>
      <c r="Z55" s="189"/>
      <c r="AA55" s="189"/>
      <c r="AB55" s="189"/>
      <c r="AC55" s="189"/>
      <c r="AD55" s="189"/>
      <c r="AE55" s="189"/>
    </row>
    <row r="56" spans="2:41">
      <c r="B56" s="9"/>
      <c r="C56" s="775"/>
      <c r="D56" s="562"/>
      <c r="E56" s="562"/>
      <c r="F56" s="562"/>
      <c r="G56" s="562"/>
      <c r="H56" s="562"/>
      <c r="I56" s="562"/>
      <c r="J56" s="562"/>
      <c r="K56" s="562"/>
      <c r="L56" s="562"/>
      <c r="M56" s="562"/>
      <c r="N56" s="562"/>
      <c r="O56" s="562"/>
      <c r="P56" s="562"/>
      <c r="Q56" s="562"/>
      <c r="R56" s="189"/>
      <c r="S56" s="189"/>
      <c r="T56" s="189"/>
      <c r="U56" s="189"/>
      <c r="V56" s="189"/>
      <c r="W56" s="189"/>
      <c r="X56" s="189"/>
      <c r="Y56" s="189"/>
      <c r="Z56" s="189"/>
      <c r="AA56" s="189"/>
      <c r="AB56" s="189"/>
      <c r="AC56" s="189"/>
      <c r="AD56" s="189"/>
      <c r="AE56" s="189"/>
    </row>
    <row r="57" spans="2:41">
      <c r="B57" s="385" t="s">
        <v>3253</v>
      </c>
      <c r="C57" s="385">
        <f>SUMIFS(C52:AO52, C38:AO38, "&lt;="&amp;D54)/10^6</f>
        <v>8.3165339148550377</v>
      </c>
      <c r="D57" s="579">
        <v>14605.281804764158</v>
      </c>
      <c r="E57" s="586" t="b">
        <f>C57=D57</f>
        <v>0</v>
      </c>
      <c r="F57" s="562"/>
      <c r="G57" s="562"/>
      <c r="H57" s="562"/>
      <c r="I57" s="562"/>
      <c r="J57" s="562"/>
      <c r="K57" s="562"/>
      <c r="L57" s="562"/>
      <c r="M57" s="562"/>
      <c r="N57" s="562"/>
      <c r="O57" s="562"/>
      <c r="P57" s="562"/>
      <c r="Q57" s="562"/>
      <c r="R57" s="189"/>
      <c r="S57" s="189"/>
      <c r="T57" s="189"/>
      <c r="U57" s="189"/>
      <c r="V57" s="189"/>
      <c r="W57" s="189"/>
      <c r="X57" s="189"/>
      <c r="Y57" s="189"/>
      <c r="Z57" s="189"/>
      <c r="AA57" s="189"/>
      <c r="AB57" s="189"/>
      <c r="AC57" s="189"/>
      <c r="AD57" s="189"/>
      <c r="AE57" s="189"/>
    </row>
    <row r="58" spans="2:41">
      <c r="D58" s="562"/>
      <c r="E58" s="562"/>
      <c r="F58" s="562"/>
      <c r="G58" s="562"/>
      <c r="H58" s="562"/>
      <c r="I58" s="562"/>
      <c r="J58" s="562"/>
      <c r="K58" s="562"/>
      <c r="L58" s="562"/>
      <c r="M58" s="562"/>
      <c r="N58" s="562"/>
      <c r="O58" s="562"/>
      <c r="P58" s="562"/>
      <c r="Q58" s="562"/>
      <c r="R58" s="189"/>
      <c r="S58" s="189"/>
      <c r="T58" s="189"/>
      <c r="U58" s="189"/>
      <c r="V58" s="189"/>
      <c r="W58" s="189"/>
      <c r="X58" s="189"/>
      <c r="Y58" s="189"/>
      <c r="Z58" s="189"/>
      <c r="AA58" s="189"/>
      <c r="AB58" s="189"/>
      <c r="AC58" s="189"/>
      <c r="AD58" s="189"/>
      <c r="AE58" s="189"/>
    </row>
    <row r="59" spans="2:41">
      <c r="B59" s="385" t="s">
        <v>3481</v>
      </c>
      <c r="C59" s="730">
        <f>-(SUMPRODUCT(C44:AO44)*(1-'Control Assumptions'!C16))/(SUMPRODUCT(C45:AO45))</f>
        <v>6.1058685510973474</v>
      </c>
      <c r="D59" s="562"/>
      <c r="E59" s="562"/>
      <c r="F59" s="562"/>
      <c r="G59" s="562"/>
      <c r="H59" s="562"/>
      <c r="I59" s="562"/>
      <c r="J59" s="562"/>
      <c r="K59" s="562"/>
      <c r="L59" s="562"/>
      <c r="M59" s="562"/>
      <c r="N59" s="562"/>
      <c r="O59" s="562"/>
      <c r="P59" s="562"/>
      <c r="Q59" s="562"/>
      <c r="R59" s="189"/>
      <c r="S59" s="189"/>
      <c r="T59" s="189"/>
      <c r="U59" s="189"/>
      <c r="V59" s="189"/>
      <c r="W59" s="189"/>
      <c r="X59" s="189"/>
      <c r="Y59" s="189"/>
      <c r="Z59" s="189"/>
      <c r="AA59" s="189"/>
      <c r="AB59" s="189"/>
      <c r="AC59" s="189"/>
      <c r="AD59" s="189"/>
      <c r="AE59" s="189"/>
    </row>
    <row r="60" spans="2:41">
      <c r="C60" s="658"/>
      <c r="E60" s="402"/>
      <c r="F60" s="562"/>
      <c r="G60" s="189"/>
      <c r="H60" s="189"/>
      <c r="I60" s="189"/>
      <c r="J60" s="189"/>
      <c r="K60" s="189"/>
      <c r="L60" s="189"/>
      <c r="M60" s="189"/>
      <c r="N60" s="189"/>
      <c r="O60" s="189"/>
      <c r="P60" s="189"/>
      <c r="Q60" s="189"/>
      <c r="R60" s="189"/>
      <c r="S60" s="189"/>
      <c r="T60" s="189"/>
      <c r="U60" s="189"/>
      <c r="V60" s="189"/>
      <c r="W60" s="189"/>
      <c r="X60" s="189"/>
      <c r="Y60" s="189"/>
      <c r="Z60" s="189"/>
      <c r="AA60" s="189"/>
      <c r="AB60" s="189"/>
      <c r="AC60" s="189"/>
      <c r="AD60" s="189"/>
      <c r="AE60" s="189"/>
    </row>
    <row r="61" spans="2:41">
      <c r="C61" s="658"/>
      <c r="E61" s="402"/>
      <c r="F61" s="562"/>
      <c r="G61" s="189"/>
      <c r="H61" s="189"/>
      <c r="I61" s="189"/>
      <c r="J61" s="189"/>
      <c r="K61" s="189"/>
      <c r="L61" s="189"/>
      <c r="M61" s="189"/>
      <c r="N61" s="189"/>
      <c r="O61" s="189"/>
      <c r="P61" s="189"/>
      <c r="Q61" s="189"/>
      <c r="R61" s="189"/>
      <c r="S61" s="189"/>
      <c r="T61" s="189"/>
      <c r="U61" s="189"/>
      <c r="V61" s="189"/>
      <c r="W61" s="189"/>
      <c r="X61" s="189"/>
      <c r="Y61" s="189"/>
      <c r="Z61" s="189"/>
      <c r="AA61" s="189"/>
      <c r="AB61" s="189"/>
      <c r="AC61" s="189"/>
      <c r="AD61" s="189"/>
      <c r="AE61" s="189"/>
    </row>
    <row r="62" spans="2:41">
      <c r="C62" s="658"/>
      <c r="E62" s="402"/>
      <c r="F62" s="562"/>
      <c r="G62" s="189"/>
      <c r="H62" s="189"/>
      <c r="I62" s="189"/>
      <c r="J62" s="189"/>
      <c r="K62" s="189"/>
      <c r="L62" s="189"/>
      <c r="M62" s="189"/>
      <c r="N62" s="189"/>
      <c r="O62" s="189"/>
      <c r="P62" s="189"/>
      <c r="Q62" s="189"/>
      <c r="R62" s="189"/>
      <c r="S62" s="189"/>
      <c r="T62" s="189"/>
      <c r="U62" s="189"/>
      <c r="V62" s="189"/>
      <c r="W62" s="189"/>
      <c r="X62" s="189"/>
      <c r="Y62" s="189"/>
      <c r="Z62" s="189"/>
      <c r="AA62" s="189"/>
      <c r="AB62" s="189"/>
      <c r="AC62" s="189"/>
      <c r="AD62" s="189"/>
      <c r="AE62" s="189"/>
    </row>
    <row r="63" spans="2:41">
      <c r="C63" s="658"/>
      <c r="E63" s="402"/>
      <c r="F63" s="562"/>
      <c r="G63" s="189"/>
      <c r="H63" s="189"/>
      <c r="I63" s="189"/>
      <c r="J63" s="189"/>
      <c r="K63" s="189"/>
      <c r="L63" s="189"/>
      <c r="M63" s="189"/>
      <c r="N63" s="189"/>
      <c r="O63" s="189"/>
      <c r="P63" s="189"/>
      <c r="Q63" s="189"/>
      <c r="R63" s="189"/>
      <c r="S63" s="189"/>
      <c r="T63" s="189"/>
      <c r="U63" s="189"/>
      <c r="V63" s="189"/>
      <c r="W63" s="189"/>
      <c r="X63" s="189"/>
      <c r="Y63" s="189"/>
      <c r="Z63" s="189"/>
      <c r="AA63" s="189"/>
      <c r="AB63" s="189"/>
      <c r="AC63" s="189"/>
      <c r="AD63" s="189"/>
      <c r="AE63" s="189"/>
    </row>
    <row r="64" spans="2:41">
      <c r="C64" s="658"/>
      <c r="E64" s="402"/>
      <c r="F64" s="562"/>
      <c r="G64" s="189"/>
      <c r="H64" s="189"/>
      <c r="I64" s="189"/>
      <c r="J64" s="189"/>
      <c r="K64" s="189"/>
      <c r="L64" s="189"/>
      <c r="M64" s="189"/>
      <c r="N64" s="189"/>
      <c r="O64" s="189"/>
      <c r="P64" s="189"/>
      <c r="Q64" s="189"/>
      <c r="R64" s="189"/>
      <c r="S64" s="189"/>
      <c r="T64" s="189"/>
      <c r="U64" s="189"/>
      <c r="V64" s="189"/>
      <c r="W64" s="189"/>
      <c r="X64" s="189"/>
      <c r="Y64" s="189"/>
      <c r="Z64" s="189"/>
      <c r="AA64" s="189"/>
      <c r="AB64" s="189"/>
      <c r="AC64" s="189"/>
      <c r="AD64" s="189"/>
      <c r="AE64" s="189"/>
    </row>
    <row r="65" spans="1:31">
      <c r="C65" s="658"/>
      <c r="E65" s="402"/>
      <c r="F65" s="562"/>
      <c r="G65" s="189"/>
      <c r="H65" s="189"/>
      <c r="I65" s="189"/>
      <c r="J65" s="189"/>
      <c r="K65" s="189"/>
      <c r="L65" s="189"/>
      <c r="M65" s="189"/>
      <c r="N65" s="189"/>
      <c r="O65" s="189"/>
      <c r="P65" s="189"/>
      <c r="Q65" s="189"/>
      <c r="R65" s="189"/>
      <c r="S65" s="189"/>
      <c r="T65" s="189"/>
      <c r="U65" s="189"/>
      <c r="V65" s="189"/>
      <c r="W65" s="189"/>
      <c r="X65" s="189"/>
      <c r="Y65" s="189"/>
      <c r="Z65" s="189"/>
      <c r="AA65" s="189"/>
      <c r="AB65" s="189"/>
      <c r="AC65" s="189"/>
      <c r="AD65" s="189"/>
      <c r="AE65" s="189"/>
    </row>
    <row r="66" spans="1:31">
      <c r="C66" s="658"/>
      <c r="E66" s="402"/>
      <c r="F66" s="562"/>
      <c r="G66" s="189"/>
      <c r="H66" s="189"/>
      <c r="I66" s="189"/>
      <c r="J66" s="189"/>
      <c r="K66" s="189"/>
      <c r="L66" s="189"/>
      <c r="M66" s="189"/>
      <c r="N66" s="189"/>
      <c r="O66" s="189"/>
      <c r="P66" s="189"/>
      <c r="Q66" s="189"/>
      <c r="R66" s="189"/>
      <c r="S66" s="189"/>
      <c r="T66" s="189"/>
      <c r="U66" s="189"/>
      <c r="V66" s="189"/>
      <c r="W66" s="189"/>
      <c r="X66" s="189"/>
      <c r="Y66" s="189"/>
      <c r="Z66" s="189"/>
      <c r="AA66" s="189"/>
      <c r="AB66" s="189"/>
      <c r="AC66" s="189"/>
      <c r="AD66" s="189"/>
      <c r="AE66" s="189"/>
    </row>
    <row r="67" spans="1:31">
      <c r="C67" s="658"/>
      <c r="E67" s="402"/>
      <c r="F67" s="562"/>
      <c r="G67" s="189"/>
      <c r="H67" s="189"/>
      <c r="I67" s="189"/>
      <c r="J67" s="189"/>
      <c r="K67" s="189"/>
      <c r="L67" s="189"/>
      <c r="M67" s="189"/>
      <c r="N67" s="189"/>
      <c r="O67" s="189"/>
      <c r="P67" s="189"/>
      <c r="Q67" s="189"/>
      <c r="R67" s="189"/>
      <c r="S67" s="189"/>
      <c r="T67" s="189"/>
      <c r="U67" s="189"/>
      <c r="V67" s="189"/>
      <c r="W67" s="189"/>
      <c r="X67" s="189"/>
      <c r="Y67" s="189"/>
      <c r="Z67" s="189"/>
      <c r="AA67" s="189"/>
      <c r="AB67" s="189"/>
      <c r="AC67" s="189"/>
      <c r="AD67" s="189"/>
      <c r="AE67" s="189"/>
    </row>
    <row r="68" spans="1:31">
      <c r="C68" s="658"/>
      <c r="E68" s="402"/>
      <c r="F68" s="562"/>
      <c r="G68" s="189"/>
      <c r="H68" s="189"/>
      <c r="I68" s="189"/>
      <c r="J68" s="189"/>
      <c r="K68" s="189"/>
      <c r="L68" s="189"/>
      <c r="M68" s="189"/>
      <c r="N68" s="189"/>
      <c r="O68" s="189"/>
      <c r="P68" s="189"/>
      <c r="Q68" s="189"/>
      <c r="R68" s="189"/>
      <c r="S68" s="189"/>
      <c r="T68" s="189"/>
      <c r="U68" s="189"/>
      <c r="V68" s="189"/>
      <c r="W68" s="189"/>
      <c r="X68" s="189"/>
      <c r="Y68" s="189"/>
      <c r="Z68" s="189"/>
      <c r="AA68" s="189"/>
      <c r="AB68" s="189"/>
      <c r="AC68" s="189"/>
      <c r="AD68" s="189"/>
      <c r="AE68" s="189"/>
    </row>
    <row r="69" spans="1:31">
      <c r="C69" s="658"/>
      <c r="E69" s="402"/>
      <c r="F69" s="562"/>
      <c r="G69" s="189"/>
      <c r="H69" s="189"/>
      <c r="I69" s="189"/>
      <c r="J69" s="189"/>
      <c r="K69" s="189"/>
      <c r="L69" s="189"/>
      <c r="M69" s="189"/>
      <c r="N69" s="189"/>
      <c r="O69" s="189"/>
      <c r="P69" s="189"/>
      <c r="Q69" s="189"/>
      <c r="R69" s="189"/>
      <c r="S69" s="189"/>
      <c r="T69" s="189"/>
      <c r="U69" s="189"/>
      <c r="V69" s="189"/>
      <c r="W69" s="189"/>
      <c r="X69" s="189"/>
      <c r="Y69" s="189"/>
      <c r="Z69" s="189"/>
      <c r="AA69" s="189"/>
      <c r="AB69" s="189"/>
      <c r="AC69" s="189"/>
      <c r="AD69" s="189"/>
      <c r="AE69" s="189"/>
    </row>
    <row r="70" spans="1:31">
      <c r="C70" s="658"/>
      <c r="E70" s="402"/>
      <c r="F70" s="562"/>
      <c r="G70" s="189"/>
      <c r="H70" s="189"/>
      <c r="I70" s="189"/>
      <c r="J70" s="189"/>
      <c r="K70" s="189"/>
      <c r="L70" s="189"/>
      <c r="M70" s="189"/>
      <c r="N70" s="189"/>
      <c r="O70" s="189"/>
      <c r="P70" s="189"/>
      <c r="Q70" s="189"/>
      <c r="R70" s="189"/>
      <c r="S70" s="189"/>
      <c r="T70" s="189"/>
      <c r="U70" s="189"/>
      <c r="V70" s="189"/>
      <c r="W70" s="189"/>
      <c r="X70" s="189"/>
      <c r="Y70" s="189"/>
      <c r="Z70" s="189"/>
      <c r="AA70" s="189"/>
      <c r="AB70" s="189"/>
      <c r="AC70" s="189"/>
      <c r="AD70" s="189"/>
      <c r="AE70" s="189"/>
    </row>
    <row r="71" spans="1:31">
      <c r="C71" s="658"/>
      <c r="E71" s="402"/>
      <c r="F71" s="562"/>
      <c r="G71" s="189"/>
      <c r="H71" s="189"/>
      <c r="I71" s="189"/>
      <c r="J71" s="189"/>
      <c r="K71" s="189"/>
      <c r="L71" s="189"/>
      <c r="M71" s="189"/>
      <c r="N71" s="189"/>
      <c r="O71" s="189"/>
      <c r="P71" s="189"/>
      <c r="Q71" s="189"/>
      <c r="R71" s="189"/>
      <c r="S71" s="189"/>
      <c r="T71" s="189"/>
      <c r="U71" s="189"/>
      <c r="V71" s="189"/>
      <c r="W71" s="189"/>
      <c r="X71" s="189"/>
      <c r="Y71" s="189"/>
      <c r="Z71" s="189"/>
      <c r="AA71" s="189"/>
      <c r="AB71" s="189"/>
      <c r="AC71" s="189"/>
      <c r="AD71" s="189"/>
      <c r="AE71" s="189"/>
    </row>
    <row r="72" spans="1:31">
      <c r="C72" s="658"/>
      <c r="E72" s="402"/>
      <c r="F72" s="562"/>
      <c r="G72" s="189"/>
      <c r="H72" s="189"/>
      <c r="I72" s="189"/>
      <c r="J72" s="189"/>
      <c r="K72" s="189"/>
      <c r="L72" s="189"/>
      <c r="M72" s="189"/>
      <c r="N72" s="189"/>
      <c r="O72" s="189"/>
      <c r="P72" s="189"/>
      <c r="Q72" s="189"/>
      <c r="R72" s="189"/>
      <c r="S72" s="189"/>
      <c r="T72" s="189"/>
      <c r="U72" s="189"/>
      <c r="V72" s="189"/>
      <c r="W72" s="189"/>
      <c r="X72" s="189"/>
      <c r="Y72" s="189"/>
      <c r="Z72" s="189"/>
      <c r="AA72" s="189"/>
      <c r="AB72" s="189"/>
      <c r="AC72" s="189"/>
      <c r="AD72" s="189"/>
      <c r="AE72" s="189"/>
    </row>
    <row r="73" spans="1:31">
      <c r="C73" s="658"/>
      <c r="E73" s="402"/>
      <c r="F73" s="562"/>
      <c r="G73" s="189"/>
      <c r="H73" s="189"/>
      <c r="I73" s="189"/>
      <c r="J73" s="189"/>
      <c r="K73" s="189"/>
      <c r="L73" s="189"/>
      <c r="M73" s="189"/>
      <c r="N73" s="189"/>
      <c r="O73" s="189"/>
      <c r="P73" s="189"/>
      <c r="Q73" s="189"/>
      <c r="R73" s="189"/>
      <c r="S73" s="189"/>
      <c r="T73" s="189"/>
      <c r="U73" s="189"/>
      <c r="V73" s="189"/>
      <c r="W73" s="189"/>
      <c r="X73" s="189"/>
      <c r="Y73" s="189"/>
      <c r="Z73" s="189"/>
      <c r="AA73" s="189"/>
      <c r="AB73" s="189"/>
      <c r="AC73" s="189"/>
      <c r="AD73" s="189"/>
      <c r="AE73" s="189"/>
    </row>
    <row r="74" spans="1:31">
      <c r="E74" s="189"/>
      <c r="G74" s="189"/>
      <c r="H74" s="189"/>
      <c r="I74" s="189"/>
      <c r="J74" s="189"/>
      <c r="K74" s="189"/>
      <c r="L74" s="189"/>
      <c r="M74" s="189"/>
      <c r="N74" s="189"/>
      <c r="O74" s="189"/>
      <c r="P74" s="189"/>
      <c r="Q74" s="189"/>
      <c r="R74" s="189"/>
      <c r="S74" s="189"/>
      <c r="T74" s="189"/>
      <c r="U74" s="189"/>
      <c r="V74" s="189"/>
      <c r="W74" s="189"/>
      <c r="X74" s="189"/>
      <c r="Y74" s="189"/>
      <c r="Z74" s="189"/>
      <c r="AA74" s="189"/>
      <c r="AB74" s="189"/>
      <c r="AC74" s="189"/>
      <c r="AD74" s="189"/>
      <c r="AE74" s="189"/>
    </row>
    <row r="75" spans="1:31">
      <c r="C75" s="20"/>
      <c r="E75" s="47"/>
    </row>
    <row r="76" spans="1:31" s="588" customFormat="1">
      <c r="A76" s="593" t="s">
        <v>10</v>
      </c>
      <c r="B76" s="593" t="s">
        <v>3448</v>
      </c>
    </row>
    <row r="77" spans="1:31" s="3" customFormat="1">
      <c r="A77" s="595"/>
      <c r="B77" s="595"/>
    </row>
    <row r="78" spans="1:31" s="3" customFormat="1">
      <c r="A78" s="595"/>
      <c r="B78" s="595"/>
    </row>
    <row r="79" spans="1:31">
      <c r="C79" s="9"/>
    </row>
    <row r="80" spans="1:31">
      <c r="C80" s="141" t="s">
        <v>2469</v>
      </c>
      <c r="D80" s="141" t="s">
        <v>3269</v>
      </c>
      <c r="E80" s="141" t="s">
        <v>23</v>
      </c>
    </row>
    <row r="81" spans="3:12">
      <c r="C81" s="5" t="s">
        <v>20</v>
      </c>
      <c r="D81" s="180">
        <v>0</v>
      </c>
      <c r="E81" s="179">
        <f>(D81)/10^6</f>
        <v>0</v>
      </c>
      <c r="F81" s="198"/>
    </row>
    <row r="82" spans="3:12" ht="43.5">
      <c r="C82" s="6" t="s">
        <v>3450</v>
      </c>
      <c r="D82" s="156">
        <v>-2351</v>
      </c>
      <c r="E82" s="729">
        <f t="shared" ref="E82:E87" si="12">(D82-D81)/1000</f>
        <v>-2.351</v>
      </c>
      <c r="F82" s="198"/>
    </row>
    <row r="83" spans="3:12" ht="21.65" customHeight="1">
      <c r="C83" s="6" t="s">
        <v>3451</v>
      </c>
      <c r="D83" s="156">
        <v>11178</v>
      </c>
      <c r="E83" s="729">
        <f t="shared" si="12"/>
        <v>13.529</v>
      </c>
    </row>
    <row r="84" spans="3:12" ht="21.65" customHeight="1">
      <c r="C84" s="6" t="s">
        <v>3452</v>
      </c>
      <c r="D84" s="156">
        <v>15655.016908425521</v>
      </c>
      <c r="E84" s="729">
        <f t="shared" si="12"/>
        <v>4.4770169084255214</v>
      </c>
    </row>
    <row r="85" spans="3:12" ht="21.65" customHeight="1">
      <c r="C85" s="6" t="s">
        <v>3692</v>
      </c>
      <c r="D85" s="156">
        <v>15788.535312803833</v>
      </c>
      <c r="E85" s="729">
        <f t="shared" si="12"/>
        <v>0.13351840437831197</v>
      </c>
    </row>
    <row r="86" spans="3:12" ht="21.65" customHeight="1">
      <c r="C86" s="6" t="s">
        <v>3017</v>
      </c>
      <c r="D86" s="156">
        <v>14889.833928399821</v>
      </c>
      <c r="E86" s="729">
        <f t="shared" si="12"/>
        <v>-0.89870138440401204</v>
      </c>
    </row>
    <row r="87" spans="3:12" ht="21.65" customHeight="1">
      <c r="C87" s="6" t="s">
        <v>3380</v>
      </c>
      <c r="D87" s="156">
        <v>14605.281804764158</v>
      </c>
      <c r="E87" s="729">
        <f t="shared" si="12"/>
        <v>-0.28455212363566351</v>
      </c>
    </row>
    <row r="88" spans="3:12">
      <c r="C88" s="5" t="s">
        <v>2602</v>
      </c>
      <c r="D88" s="180">
        <v>14605.281804764158</v>
      </c>
      <c r="E88" s="179">
        <f>D88/1000</f>
        <v>14.605281804764157</v>
      </c>
    </row>
    <row r="90" spans="3:12">
      <c r="D90" s="151" t="s">
        <v>2497</v>
      </c>
      <c r="E90" s="191" t="b">
        <f>SUM(E81:E87)=E88</f>
        <v>1</v>
      </c>
    </row>
    <row r="91" spans="3:12">
      <c r="D91" s="151"/>
      <c r="E91" s="191"/>
      <c r="I91" s="148"/>
      <c r="L91" s="154"/>
    </row>
    <row r="92" spans="3:12">
      <c r="D92" s="151"/>
      <c r="E92" s="191" t="b">
        <f>D88=C57</f>
        <v>0</v>
      </c>
      <c r="I92" s="148"/>
      <c r="J92" s="81"/>
      <c r="K92" s="81"/>
      <c r="L92" s="154"/>
    </row>
    <row r="93" spans="3:12">
      <c r="D93" s="151"/>
      <c r="E93" s="191"/>
      <c r="I93" s="148"/>
      <c r="K93" s="81"/>
      <c r="L93" s="154"/>
    </row>
    <row r="94" spans="3:12">
      <c r="D94" s="151"/>
      <c r="E94" s="191"/>
      <c r="I94" s="148"/>
      <c r="K94" s="81"/>
      <c r="L94" s="154"/>
    </row>
    <row r="99" spans="1:47" s="588" customFormat="1">
      <c r="A99" s="593" t="s">
        <v>10</v>
      </c>
      <c r="B99" s="593" t="s">
        <v>3478</v>
      </c>
    </row>
    <row r="101" spans="1:47">
      <c r="A101" s="9"/>
      <c r="B101" s="9"/>
    </row>
    <row r="102" spans="1:47">
      <c r="A102" s="9" t="s">
        <v>10</v>
      </c>
      <c r="B102" s="9" t="s">
        <v>3479</v>
      </c>
    </row>
    <row r="103" spans="1:47">
      <c r="N103">
        <f>SUM(N114:N119)/N123</f>
        <v>9.3715359820337268E-2</v>
      </c>
    </row>
    <row r="104" spans="1:47">
      <c r="B104" s="84" t="s">
        <v>125</v>
      </c>
      <c r="C104" s="34">
        <f t="shared" ref="C104:AO104" si="13">C21</f>
        <v>2020</v>
      </c>
      <c r="D104" s="34">
        <f t="shared" si="13"/>
        <v>2021</v>
      </c>
      <c r="E104" s="34">
        <f t="shared" si="13"/>
        <v>2022</v>
      </c>
      <c r="F104" s="34">
        <f t="shared" si="13"/>
        <v>2023</v>
      </c>
      <c r="G104" s="34">
        <f t="shared" si="13"/>
        <v>2024</v>
      </c>
      <c r="H104" s="34">
        <f t="shared" si="13"/>
        <v>2025</v>
      </c>
      <c r="I104" s="34">
        <f t="shared" si="13"/>
        <v>2026</v>
      </c>
      <c r="J104" s="34">
        <f t="shared" si="13"/>
        <v>2027</v>
      </c>
      <c r="K104" s="34">
        <f t="shared" si="13"/>
        <v>2028</v>
      </c>
      <c r="L104" s="34">
        <f t="shared" si="13"/>
        <v>2029</v>
      </c>
      <c r="M104" s="34">
        <f t="shared" si="13"/>
        <v>2030</v>
      </c>
      <c r="N104" s="34">
        <f t="shared" si="13"/>
        <v>2031</v>
      </c>
      <c r="O104" s="34">
        <f t="shared" si="13"/>
        <v>2032</v>
      </c>
      <c r="P104" s="34">
        <f t="shared" si="13"/>
        <v>2033</v>
      </c>
      <c r="Q104" s="34">
        <f t="shared" si="13"/>
        <v>2034</v>
      </c>
      <c r="R104" s="34">
        <f t="shared" si="13"/>
        <v>2035</v>
      </c>
      <c r="S104" s="34">
        <f t="shared" si="13"/>
        <v>2036</v>
      </c>
      <c r="T104" s="34">
        <f t="shared" si="13"/>
        <v>2037</v>
      </c>
      <c r="U104" s="34">
        <f t="shared" si="13"/>
        <v>2038</v>
      </c>
      <c r="V104" s="34">
        <f t="shared" si="13"/>
        <v>2039</v>
      </c>
      <c r="W104" s="34">
        <f t="shared" si="13"/>
        <v>2040</v>
      </c>
      <c r="X104" s="34">
        <f t="shared" si="13"/>
        <v>2041</v>
      </c>
      <c r="Y104" s="34">
        <f t="shared" si="13"/>
        <v>2042</v>
      </c>
      <c r="Z104" s="34">
        <f t="shared" si="13"/>
        <v>2043</v>
      </c>
      <c r="AA104" s="34">
        <f t="shared" si="13"/>
        <v>2044</v>
      </c>
      <c r="AB104" s="34">
        <f t="shared" si="13"/>
        <v>2045</v>
      </c>
      <c r="AC104" s="34">
        <f t="shared" si="13"/>
        <v>2046</v>
      </c>
      <c r="AD104" s="34">
        <f t="shared" si="13"/>
        <v>2047</v>
      </c>
      <c r="AE104" s="34">
        <f t="shared" si="13"/>
        <v>2048</v>
      </c>
      <c r="AF104" s="34">
        <f t="shared" si="13"/>
        <v>2049</v>
      </c>
      <c r="AG104" s="34">
        <f t="shared" si="13"/>
        <v>2050</v>
      </c>
      <c r="AH104" s="34">
        <f t="shared" si="13"/>
        <v>2051</v>
      </c>
      <c r="AI104" s="34">
        <f t="shared" si="13"/>
        <v>2052</v>
      </c>
      <c r="AJ104" s="34">
        <f t="shared" si="13"/>
        <v>2053</v>
      </c>
      <c r="AK104" s="34">
        <f t="shared" si="13"/>
        <v>2054</v>
      </c>
      <c r="AL104" s="34">
        <f t="shared" si="13"/>
        <v>2055</v>
      </c>
      <c r="AM104" s="34">
        <f t="shared" si="13"/>
        <v>2056</v>
      </c>
      <c r="AN104" s="34">
        <f t="shared" si="13"/>
        <v>2057</v>
      </c>
      <c r="AO104" s="34">
        <f t="shared" si="13"/>
        <v>2058</v>
      </c>
      <c r="AP104" s="34">
        <f>AO104+1</f>
        <v>2059</v>
      </c>
      <c r="AQ104" s="34">
        <f t="shared" ref="AQ104:AS104" si="14">AP104+1</f>
        <v>2060</v>
      </c>
      <c r="AR104" s="34">
        <f t="shared" si="14"/>
        <v>2061</v>
      </c>
      <c r="AS104" s="34">
        <f t="shared" si="14"/>
        <v>2062</v>
      </c>
      <c r="AU104" s="84" t="s">
        <v>2493</v>
      </c>
    </row>
    <row r="105" spans="1:47">
      <c r="B105" s="741" t="s">
        <v>11</v>
      </c>
      <c r="C105" s="742">
        <f>INDEX('VLU costs'!$D$231:$BB$248, MATCH($B105, 'VLU costs'!$B$231:$B$248,0), MATCH(C$104, 'VLU costs'!$D$230:$BB$230,0))
+ INDEX('Mixed costs'!$D$223:$BB$240, MATCH($B105, 'Mixed costs'!$B$223:$B$240,0), MATCH(C$104, 'Mixed costs'!$D$222:$BB$222,0))
+INDEX('Arterial costs'!$D$223:$BB$240, MATCH($B105, 'Arterial costs'!$B$223:$B$240,0), MATCH(C$104, 'Arterial costs'!$D$222:$BB$222,0))</f>
        <v>162275.67023773913</v>
      </c>
      <c r="D105" s="742">
        <f>INDEX('VLU costs'!$D$231:$BB$248, MATCH($B105, 'VLU costs'!$B$231:$B$248,0), MATCH(D$104, 'VLU costs'!$D$230:$BB$230,0))
+ INDEX('Mixed costs'!$D$223:$BB$240, MATCH($B105, 'Mixed costs'!$B$223:$B$240,0), MATCH(D$104, 'Mixed costs'!$D$222:$BB$222,0))
+INDEX('Arterial costs'!$D$223:$BB$240, MATCH($B105, 'Arterial costs'!$B$223:$B$240,0), MATCH(D$104, 'Arterial costs'!$D$222:$BB$222,0))</f>
        <v>172556.86654689643</v>
      </c>
      <c r="E105" s="742">
        <f>INDEX('VLU costs'!$D$231:$BB$248, MATCH($B105, 'VLU costs'!$B$231:$B$248,0), MATCH(E$104, 'VLU costs'!$D$230:$BB$230,0))
+ INDEX('Mixed costs'!$D$223:$BB$240, MATCH($B105, 'Mixed costs'!$B$223:$B$240,0), MATCH(E$104, 'Mixed costs'!$D$222:$BB$222,0))
+INDEX('Arterial costs'!$D$223:$BB$240, MATCH($B105, 'Arterial costs'!$B$223:$B$240,0), MATCH(E$104, 'Arterial costs'!$D$222:$BB$222,0))</f>
        <v>182417.94444463748</v>
      </c>
      <c r="F105" s="742">
        <f>INDEX('VLU costs'!$D$231:$BB$248, MATCH($B105, 'VLU costs'!$B$231:$B$248,0), MATCH(F$104, 'VLU costs'!$D$230:$BB$230,0))
+ INDEX('Mixed costs'!$D$223:$BB$240, MATCH($B105, 'Mixed costs'!$B$223:$B$240,0), MATCH(F$104, 'Mixed costs'!$D$222:$BB$222,0))
+INDEX('Arterial costs'!$D$223:$BB$240, MATCH($B105, 'Arterial costs'!$B$223:$B$240,0), MATCH(F$104, 'Arterial costs'!$D$222:$BB$222,0))</f>
        <v>192077.38393437874</v>
      </c>
      <c r="G105" s="742">
        <f>INDEX('VLU costs'!$D$231:$BB$248, MATCH($B105, 'VLU costs'!$B$231:$B$248,0), MATCH(G$104, 'VLU costs'!$D$230:$BB$230,0))
+ INDEX('Mixed costs'!$D$223:$BB$240, MATCH($B105, 'Mixed costs'!$B$223:$B$240,0), MATCH(G$104, 'Mixed costs'!$D$222:$BB$222,0))
+INDEX('Arterial costs'!$D$223:$BB$240, MATCH($B105, 'Arterial costs'!$B$223:$B$240,0), MATCH(G$104, 'Arterial costs'!$D$222:$BB$222,0))</f>
        <v>201753.95103103205</v>
      </c>
      <c r="H105" s="742">
        <f>INDEX('VLU costs'!$D$231:$BB$248, MATCH($B105, 'VLU costs'!$B$231:$B$248,0), MATCH(H$104, 'VLU costs'!$D$230:$BB$230,0))
+ INDEX('Mixed costs'!$D$223:$BB$240, MATCH($B105, 'Mixed costs'!$B$223:$B$240,0), MATCH(H$104, 'Mixed costs'!$D$222:$BB$222,0))
+INDEX('Arterial costs'!$D$223:$BB$240, MATCH($B105, 'Arterial costs'!$B$223:$B$240,0), MATCH(H$104, 'Arterial costs'!$D$222:$BB$222,0))</f>
        <v>211578.10505646403</v>
      </c>
      <c r="I105" s="742">
        <f>INDEX('VLU costs'!$D$231:$BB$248, MATCH($B105, 'VLU costs'!$B$231:$B$248,0), MATCH(I$104, 'VLU costs'!$D$230:$BB$230,0))
+ INDEX('Mixed costs'!$D$223:$BB$240, MATCH($B105, 'Mixed costs'!$B$223:$B$240,0), MATCH(I$104, 'Mixed costs'!$D$222:$BB$222,0))
+INDEX('Arterial costs'!$D$223:$BB$240, MATCH($B105, 'Arterial costs'!$B$223:$B$240,0), MATCH(I$104, 'Arterial costs'!$D$222:$BB$222,0))</f>
        <v>221556.83547197096</v>
      </c>
      <c r="J105" s="742">
        <f>INDEX('VLU costs'!$D$231:$BB$248, MATCH($B105, 'VLU costs'!$B$231:$B$248,0), MATCH(J$104, 'VLU costs'!$D$230:$BB$230,0))
+ INDEX('Mixed costs'!$D$223:$BB$240, MATCH($B105, 'Mixed costs'!$B$223:$B$240,0), MATCH(J$104, 'Mixed costs'!$D$222:$BB$222,0))
+INDEX('Arterial costs'!$D$223:$BB$240, MATCH($B105, 'Arterial costs'!$B$223:$B$240,0), MATCH(J$104, 'Arterial costs'!$D$222:$BB$222,0))</f>
        <v>231759.68692751689</v>
      </c>
      <c r="K105" s="742">
        <f>INDEX('VLU costs'!$D$231:$BB$248, MATCH($B105, 'VLU costs'!$B$231:$B$248,0), MATCH(K$104, 'VLU costs'!$D$230:$BB$230,0))
+ INDEX('Mixed costs'!$D$223:$BB$240, MATCH($B105, 'Mixed costs'!$B$223:$B$240,0), MATCH(K$104, 'Mixed costs'!$D$222:$BB$222,0))
+INDEX('Arterial costs'!$D$223:$BB$240, MATCH($B105, 'Arterial costs'!$B$223:$B$240,0), MATCH(K$104, 'Arterial costs'!$D$222:$BB$222,0))</f>
        <v>242606.41871779211</v>
      </c>
      <c r="L105" s="742">
        <f>INDEX('VLU costs'!$D$231:$BB$248, MATCH($B105, 'VLU costs'!$B$231:$B$248,0), MATCH(L$104, 'VLU costs'!$D$230:$BB$230,0))
+ INDEX('Mixed costs'!$D$223:$BB$240, MATCH($B105, 'Mixed costs'!$B$223:$B$240,0), MATCH(L$104, 'Mixed costs'!$D$222:$BB$222,0))
+INDEX('Arterial costs'!$D$223:$BB$240, MATCH($B105, 'Arterial costs'!$B$223:$B$240,0), MATCH(L$104, 'Arterial costs'!$D$222:$BB$222,0))</f>
        <v>253860.23960214158</v>
      </c>
      <c r="M105" s="742">
        <f>INDEX('VLU costs'!$D$231:$BB$248, MATCH($B105, 'VLU costs'!$B$231:$B$248,0), MATCH(M$104, 'VLU costs'!$D$230:$BB$230,0))
+ INDEX('Mixed costs'!$D$223:$BB$240, MATCH($B105, 'Mixed costs'!$B$223:$B$240,0), MATCH(M$104, 'Mixed costs'!$D$222:$BB$222,0))
+INDEX('Arterial costs'!$D$223:$BB$240, MATCH($B105, 'Arterial costs'!$B$223:$B$240,0), MATCH(M$104, 'Arterial costs'!$D$222:$BB$222,0))</f>
        <v>265404.66625351243</v>
      </c>
      <c r="N105" s="742">
        <f>INDEX('VLU costs'!$D$231:$BB$248, MATCH($B105, 'VLU costs'!$B$231:$B$248,0), MATCH(N$104, 'VLU costs'!$D$230:$BB$230,0))
+ INDEX('Mixed costs'!$D$223:$BB$240, MATCH($B105, 'Mixed costs'!$B$223:$B$240,0), MATCH(N$104, 'Mixed costs'!$D$222:$BB$222,0))
+INDEX('Arterial costs'!$D$223:$BB$240, MATCH($B105, 'Arterial costs'!$B$223:$B$240,0), MATCH(N$104, 'Arterial costs'!$D$222:$BB$222,0))</f>
        <v>277189.64166169486</v>
      </c>
      <c r="O105" s="742">
        <f>INDEX('VLU costs'!$D$231:$BB$248, MATCH($B105, 'VLU costs'!$B$231:$B$248,0), MATCH(O$104, 'VLU costs'!$D$230:$BB$230,0))
+ INDEX('Mixed costs'!$D$223:$BB$240, MATCH($B105, 'Mixed costs'!$B$223:$B$240,0), MATCH(O$104, 'Mixed costs'!$D$222:$BB$222,0))
+INDEX('Arterial costs'!$D$223:$BB$240, MATCH($B105, 'Arterial costs'!$B$223:$B$240,0), MATCH(O$104, 'Arterial costs'!$D$222:$BB$222,0))</f>
        <v>289184.21721830795</v>
      </c>
      <c r="P105" s="742">
        <f>INDEX('VLU costs'!$D$231:$BB$248, MATCH($B105, 'VLU costs'!$B$231:$B$248,0), MATCH(P$104, 'VLU costs'!$D$230:$BB$230,0))
+ INDEX('Mixed costs'!$D$223:$BB$240, MATCH($B105, 'Mixed costs'!$B$223:$B$240,0), MATCH(P$104, 'Mixed costs'!$D$222:$BB$222,0))
+INDEX('Arterial costs'!$D$223:$BB$240, MATCH($B105, 'Arterial costs'!$B$223:$B$240,0), MATCH(P$104, 'Arterial costs'!$D$222:$BB$222,0))</f>
        <v>301470.64669904485</v>
      </c>
      <c r="Q105" s="742">
        <f>INDEX('VLU costs'!$D$231:$BB$248, MATCH($B105, 'VLU costs'!$B$231:$B$248,0), MATCH(Q$104, 'VLU costs'!$D$230:$BB$230,0))
+ INDEX('Mixed costs'!$D$223:$BB$240, MATCH($B105, 'Mixed costs'!$B$223:$B$240,0), MATCH(Q$104, 'Mixed costs'!$D$222:$BB$222,0))
+INDEX('Arterial costs'!$D$223:$BB$240, MATCH($B105, 'Arterial costs'!$B$223:$B$240,0), MATCH(Q$104, 'Arterial costs'!$D$222:$BB$222,0))</f>
        <v>314150.34476170706</v>
      </c>
      <c r="R105" s="742">
        <f>INDEX('VLU costs'!$D$231:$BB$248, MATCH($B105, 'VLU costs'!$B$231:$B$248,0), MATCH(R$104, 'VLU costs'!$D$230:$BB$230,0))
+ INDEX('Mixed costs'!$D$223:$BB$240, MATCH($B105, 'Mixed costs'!$B$223:$B$240,0), MATCH(R$104, 'Mixed costs'!$D$222:$BB$222,0))
+INDEX('Arterial costs'!$D$223:$BB$240, MATCH($B105, 'Arterial costs'!$B$223:$B$240,0), MATCH(R$104, 'Arterial costs'!$D$222:$BB$222,0))</f>
        <v>327247.64764543512</v>
      </c>
      <c r="S105" s="742">
        <f>INDEX('VLU costs'!$D$231:$BB$248, MATCH($B105, 'VLU costs'!$B$231:$B$248,0), MATCH(S$104, 'VLU costs'!$D$230:$BB$230,0))
+ INDEX('Mixed costs'!$D$223:$BB$240, MATCH($B105, 'Mixed costs'!$B$223:$B$240,0), MATCH(S$104, 'Mixed costs'!$D$222:$BB$222,0))
+INDEX('Arterial costs'!$D$223:$BB$240, MATCH($B105, 'Arterial costs'!$B$223:$B$240,0), MATCH(S$104, 'Arterial costs'!$D$222:$BB$222,0))</f>
        <v>340694.63099294901</v>
      </c>
      <c r="T105" s="742">
        <f>INDEX('VLU costs'!$D$231:$BB$248, MATCH($B105, 'VLU costs'!$B$231:$B$248,0), MATCH(T$104, 'VLU costs'!$D$230:$BB$230,0))
+ INDEX('Mixed costs'!$D$223:$BB$240, MATCH($B105, 'Mixed costs'!$B$223:$B$240,0), MATCH(T$104, 'Mixed costs'!$D$222:$BB$222,0))
+INDEX('Arterial costs'!$D$223:$BB$240, MATCH($B105, 'Arterial costs'!$B$223:$B$240,0), MATCH(T$104, 'Arterial costs'!$D$222:$BB$222,0))</f>
        <v>354511.75431890268</v>
      </c>
      <c r="U105" s="742">
        <f>INDEX('VLU costs'!$D$231:$BB$248, MATCH($B105, 'VLU costs'!$B$231:$B$248,0), MATCH(U$104, 'VLU costs'!$D$230:$BB$230,0))
+ INDEX('Mixed costs'!$D$223:$BB$240, MATCH($B105, 'Mixed costs'!$B$223:$B$240,0), MATCH(U$104, 'Mixed costs'!$D$222:$BB$222,0))
+INDEX('Arterial costs'!$D$223:$BB$240, MATCH($B105, 'Arterial costs'!$B$223:$B$240,0), MATCH(U$104, 'Arterial costs'!$D$222:$BB$222,0))</f>
        <v>368905.62210257864</v>
      </c>
      <c r="V105" s="742">
        <f>INDEX('VLU costs'!$D$231:$BB$248, MATCH($B105, 'VLU costs'!$B$231:$B$248,0), MATCH(V$104, 'VLU costs'!$D$230:$BB$230,0))
+ INDEX('Mixed costs'!$D$223:$BB$240, MATCH($B105, 'Mixed costs'!$B$223:$B$240,0), MATCH(V$104, 'Mixed costs'!$D$222:$BB$222,0))
+INDEX('Arterial costs'!$D$223:$BB$240, MATCH($B105, 'Arterial costs'!$B$223:$B$240,0), MATCH(V$104, 'Arterial costs'!$D$222:$BB$222,0))</f>
        <v>383727.06589630351</v>
      </c>
      <c r="W105" s="742">
        <f>INDEX('VLU costs'!$D$231:$BB$248, MATCH($B105, 'VLU costs'!$B$231:$B$248,0), MATCH(W$104, 'VLU costs'!$D$230:$BB$230,0))
+ INDEX('Mixed costs'!$D$223:$BB$240, MATCH($B105, 'Mixed costs'!$B$223:$B$240,0), MATCH(W$104, 'Mixed costs'!$D$222:$BB$222,0))
+INDEX('Arterial costs'!$D$223:$BB$240, MATCH($B105, 'Arterial costs'!$B$223:$B$240,0), MATCH(W$104, 'Arterial costs'!$D$222:$BB$222,0))</f>
        <v>398937.94573122251</v>
      </c>
      <c r="X105" s="742">
        <f>INDEX('VLU costs'!$D$231:$BB$248, MATCH($B105, 'VLU costs'!$B$231:$B$248,0), MATCH(X$104, 'VLU costs'!$D$230:$BB$230,0))
+ INDEX('Mixed costs'!$D$223:$BB$240, MATCH($B105, 'Mixed costs'!$B$223:$B$240,0), MATCH(X$104, 'Mixed costs'!$D$222:$BB$222,0))
+INDEX('Arterial costs'!$D$223:$BB$240, MATCH($B105, 'Arterial costs'!$B$223:$B$240,0), MATCH(X$104, 'Arterial costs'!$D$222:$BB$222,0))</f>
        <v>414538.60444867541</v>
      </c>
      <c r="Y105" s="742">
        <f>INDEX('VLU costs'!$D$231:$BB$248, MATCH($B105, 'VLU costs'!$B$231:$B$248,0), MATCH(Y$104, 'VLU costs'!$D$230:$BB$230,0))
+ INDEX('Mixed costs'!$D$223:$BB$240, MATCH($B105, 'Mixed costs'!$B$223:$B$240,0), MATCH(Y$104, 'Mixed costs'!$D$222:$BB$222,0))
+INDEX('Arterial costs'!$D$223:$BB$240, MATCH($B105, 'Arterial costs'!$B$223:$B$240,0), MATCH(Y$104, 'Arterial costs'!$D$222:$BB$222,0))</f>
        <v>430623.93403572944</v>
      </c>
      <c r="Z105" s="742">
        <f>INDEX('VLU costs'!$D$231:$BB$248, MATCH($B105, 'VLU costs'!$B$231:$B$248,0), MATCH(Z$104, 'VLU costs'!$D$230:$BB$230,0))
+ INDEX('Mixed costs'!$D$223:$BB$240, MATCH($B105, 'Mixed costs'!$B$223:$B$240,0), MATCH(Z$104, 'Mixed costs'!$D$222:$BB$222,0))
+INDEX('Arterial costs'!$D$223:$BB$240, MATCH($B105, 'Arterial costs'!$B$223:$B$240,0), MATCH(Z$104, 'Arterial costs'!$D$222:$BB$222,0))</f>
        <v>447186.80850394024</v>
      </c>
      <c r="AA105" s="742">
        <f>INDEX('VLU costs'!$D$231:$BB$248, MATCH($B105, 'VLU costs'!$B$231:$B$248,0), MATCH(AA$104, 'VLU costs'!$D$230:$BB$230,0))
+ INDEX('Mixed costs'!$D$223:$BB$240, MATCH($B105, 'Mixed costs'!$B$223:$B$240,0), MATCH(AA$104, 'Mixed costs'!$D$222:$BB$222,0))
+INDEX('Arterial costs'!$D$223:$BB$240, MATCH($B105, 'Arterial costs'!$B$223:$B$240,0), MATCH(AA$104, 'Arterial costs'!$D$222:$BB$222,0))</f>
        <v>464201.78335096926</v>
      </c>
      <c r="AB105" s="742">
        <f>INDEX('VLU costs'!$D$231:$BB$248, MATCH($B105, 'VLU costs'!$B$231:$B$248,0), MATCH(AB$104, 'VLU costs'!$D$230:$BB$230,0))
+ INDEX('Mixed costs'!$D$223:$BB$240, MATCH($B105, 'Mixed costs'!$B$223:$B$240,0), MATCH(AB$104, 'Mixed costs'!$D$222:$BB$222,0))
+INDEX('Arterial costs'!$D$223:$BB$240, MATCH($B105, 'Arterial costs'!$B$223:$B$240,0), MATCH(AB$104, 'Arterial costs'!$D$222:$BB$222,0))</f>
        <v>481649.19730660971</v>
      </c>
      <c r="AC105" s="742">
        <f>INDEX('VLU costs'!$D$231:$BB$248, MATCH($B105, 'VLU costs'!$B$231:$B$248,0), MATCH(AC$104, 'VLU costs'!$D$230:$BB$230,0))
+ INDEX('Mixed costs'!$D$223:$BB$240, MATCH($B105, 'Mixed costs'!$B$223:$B$240,0), MATCH(AC$104, 'Mixed costs'!$D$222:$BB$222,0))
+INDEX('Arterial costs'!$D$223:$BB$240, MATCH($B105, 'Arterial costs'!$B$223:$B$240,0), MATCH(AC$104, 'Arterial costs'!$D$222:$BB$222,0))</f>
        <v>499507.03073081723</v>
      </c>
      <c r="AD105" s="742">
        <f>INDEX('VLU costs'!$D$231:$BB$248, MATCH($B105, 'VLU costs'!$B$231:$B$248,0), MATCH(AD$104, 'VLU costs'!$D$230:$BB$230,0))
+ INDEX('Mixed costs'!$D$223:$BB$240, MATCH($B105, 'Mixed costs'!$B$223:$B$240,0), MATCH(AD$104, 'Mixed costs'!$D$222:$BB$222,0))
+INDEX('Arterial costs'!$D$223:$BB$240, MATCH($B105, 'Arterial costs'!$B$223:$B$240,0), MATCH(AD$104, 'Arterial costs'!$D$222:$BB$222,0))</f>
        <v>517758.85753554606</v>
      </c>
      <c r="AE105" s="742">
        <f>INDEX('VLU costs'!$D$231:$BB$248, MATCH($B105, 'VLU costs'!$B$231:$B$248,0), MATCH(AE$104, 'VLU costs'!$D$230:$BB$230,0))
+ INDEX('Mixed costs'!$D$223:$BB$240, MATCH($B105, 'Mixed costs'!$B$223:$B$240,0), MATCH(AE$104, 'Mixed costs'!$D$222:$BB$222,0))
+INDEX('Arterial costs'!$D$223:$BB$240, MATCH($B105, 'Arterial costs'!$B$223:$B$240,0), MATCH(AE$104, 'Arterial costs'!$D$222:$BB$222,0))</f>
        <v>536388.32982785872</v>
      </c>
      <c r="AF105" s="742">
        <f>INDEX('VLU costs'!$D$231:$BB$248, MATCH($B105, 'VLU costs'!$B$231:$B$248,0), MATCH(AF$104, 'VLU costs'!$D$230:$BB$230,0))
+ INDEX('Mixed costs'!$D$223:$BB$240, MATCH($B105, 'Mixed costs'!$B$223:$B$240,0), MATCH(AF$104, 'Mixed costs'!$D$222:$BB$222,0))
+INDEX('Arterial costs'!$D$223:$BB$240, MATCH($B105, 'Arterial costs'!$B$223:$B$240,0), MATCH(AF$104, 'Arterial costs'!$D$222:$BB$222,0))</f>
        <v>555417.48478214908</v>
      </c>
      <c r="AG105" s="742">
        <f>INDEX('VLU costs'!$D$231:$BB$248, MATCH($B105, 'VLU costs'!$B$231:$B$248,0), MATCH(AG$104, 'VLU costs'!$D$230:$BB$230,0))
+ INDEX('Mixed costs'!$D$223:$BB$240, MATCH($B105, 'Mixed costs'!$B$223:$B$240,0), MATCH(AG$104, 'Mixed costs'!$D$222:$BB$222,0))
+INDEX('Arterial costs'!$D$223:$BB$240, MATCH($B105, 'Arterial costs'!$B$223:$B$240,0), MATCH(AG$104, 'Arterial costs'!$D$222:$BB$222,0))</f>
        <v>574947.37846143066</v>
      </c>
      <c r="AH105" s="742">
        <f>INDEX('VLU costs'!$D$231:$BB$248, MATCH($B105, 'VLU costs'!$B$231:$B$248,0), MATCH(AH$104, 'VLU costs'!$D$230:$BB$230,0))
+ INDEX('Mixed costs'!$D$223:$BB$240, MATCH($B105, 'Mixed costs'!$B$223:$B$240,0), MATCH(AH$104, 'Mixed costs'!$D$222:$BB$222,0))
+INDEX('Arterial costs'!$D$223:$BB$240, MATCH($B105, 'Arterial costs'!$B$223:$B$240,0), MATCH(AH$104, 'Arterial costs'!$D$222:$BB$222,0))</f>
        <v>594998.53075685631</v>
      </c>
      <c r="AI105" s="742">
        <f>INDEX('VLU costs'!$D$231:$BB$248, MATCH($B105, 'VLU costs'!$B$231:$B$248,0), MATCH(AI$104, 'VLU costs'!$D$230:$BB$230,0))
+ INDEX('Mixed costs'!$D$223:$BB$240, MATCH($B105, 'Mixed costs'!$B$223:$B$240,0), MATCH(AI$104, 'Mixed costs'!$D$222:$BB$222,0))
+INDEX('Arterial costs'!$D$223:$BB$240, MATCH($B105, 'Arterial costs'!$B$223:$B$240,0), MATCH(AI$104, 'Arterial costs'!$D$222:$BB$222,0))</f>
        <v>615619.29633453768</v>
      </c>
      <c r="AJ105" s="742">
        <f>INDEX('VLU costs'!$D$231:$BB$248, MATCH($B105, 'VLU costs'!$B$231:$B$248,0), MATCH(AJ$104, 'VLU costs'!$D$230:$BB$230,0))
+ INDEX('Mixed costs'!$D$223:$BB$240, MATCH($B105, 'Mixed costs'!$B$223:$B$240,0), MATCH(AJ$104, 'Mixed costs'!$D$222:$BB$222,0))
+INDEX('Arterial costs'!$D$223:$BB$240, MATCH($B105, 'Arterial costs'!$B$223:$B$240,0), MATCH(AJ$104, 'Arterial costs'!$D$222:$BB$222,0))</f>
        <v>636706.65594356123</v>
      </c>
      <c r="AK105" s="742">
        <f>INDEX('VLU costs'!$D$231:$BB$248, MATCH($B105, 'VLU costs'!$B$231:$B$248,0), MATCH(AK$104, 'VLU costs'!$D$230:$BB$230,0))
+ INDEX('Mixed costs'!$D$223:$BB$240, MATCH($B105, 'Mixed costs'!$B$223:$B$240,0), MATCH(AK$104, 'Mixed costs'!$D$222:$BB$222,0))
+INDEX('Arterial costs'!$D$223:$BB$240, MATCH($B105, 'Arterial costs'!$B$223:$B$240,0), MATCH(AK$104, 'Arterial costs'!$D$222:$BB$222,0))</f>
        <v>658176.64934257674</v>
      </c>
      <c r="AL105" s="742">
        <f>INDEX('VLU costs'!$D$231:$BB$248, MATCH($B105, 'VLU costs'!$B$231:$B$248,0), MATCH(AL$104, 'VLU costs'!$D$230:$BB$230,0))
+ INDEX('Mixed costs'!$D$223:$BB$240, MATCH($B105, 'Mixed costs'!$B$223:$B$240,0), MATCH(AL$104, 'Mixed costs'!$D$222:$BB$222,0))
+INDEX('Arterial costs'!$D$223:$BB$240, MATCH($B105, 'Arterial costs'!$B$223:$B$240,0), MATCH(AL$104, 'Arterial costs'!$D$222:$BB$222,0))</f>
        <v>679967.57846815011</v>
      </c>
      <c r="AM105" s="742">
        <f>INDEX('VLU costs'!$D$231:$BB$248, MATCH($B105, 'VLU costs'!$B$231:$B$248,0), MATCH(AM$104, 'VLU costs'!$D$230:$BB$230,0))
+ INDEX('Mixed costs'!$D$223:$BB$240, MATCH($B105, 'Mixed costs'!$B$223:$B$240,0), MATCH(AM$104, 'Mixed costs'!$D$222:$BB$222,0))
+INDEX('Arterial costs'!$D$223:$BB$240, MATCH($B105, 'Arterial costs'!$B$223:$B$240,0), MATCH(AM$104, 'Arterial costs'!$D$222:$BB$222,0))</f>
        <v>702114.56869355461</v>
      </c>
      <c r="AN105" s="742">
        <f>INDEX('VLU costs'!$D$231:$BB$248, MATCH($B105, 'VLU costs'!$B$231:$B$248,0), MATCH(AN$104, 'VLU costs'!$D$230:$BB$230,0))
+ INDEX('Mixed costs'!$D$223:$BB$240, MATCH($B105, 'Mixed costs'!$B$223:$B$240,0), MATCH(AN$104, 'Mixed costs'!$D$222:$BB$222,0))
+INDEX('Arterial costs'!$D$223:$BB$240, MATCH($B105, 'Arterial costs'!$B$223:$B$240,0), MATCH(AN$104, 'Arterial costs'!$D$222:$BB$222,0))</f>
        <v>724624.38336900284</v>
      </c>
      <c r="AO105" s="742">
        <f>INDEX('VLU costs'!$D$231:$BB$248, MATCH($B105, 'VLU costs'!$B$231:$B$248,0), MATCH(AO$104, 'VLU costs'!$D$230:$BB$230,0))
+ INDEX('Mixed costs'!$D$223:$BB$240, MATCH($B105, 'Mixed costs'!$B$223:$B$240,0), MATCH(AO$104, 'Mixed costs'!$D$222:$BB$222,0))
+INDEX('Arterial costs'!$D$223:$BB$240, MATCH($B105, 'Arterial costs'!$B$223:$B$240,0), MATCH(AO$104, 'Arterial costs'!$D$222:$BB$222,0))</f>
        <v>747478.39707658358</v>
      </c>
      <c r="AP105" s="742">
        <f>INDEX('VLU costs'!$D$231:$BB$248, MATCH($B105, 'VLU costs'!$B$231:$B$248,0), MATCH(AP$104, 'VLU costs'!$D$230:$BB$230,0))
+ INDEX('Mixed costs'!$D$223:$BB$240, MATCH($B105, 'Mixed costs'!$B$223:$B$240,0), MATCH(AP$104, 'Mixed costs'!$D$222:$BB$222,0))
+INDEX('Arterial costs'!$D$223:$BB$240, MATCH($B105, 'Arterial costs'!$B$223:$B$240,0), MATCH(AP$104, 'Arterial costs'!$D$222:$BB$222,0))</f>
        <v>770817.5811365277</v>
      </c>
      <c r="AQ105" s="742">
        <f>INDEX('VLU costs'!$D$231:$BB$248, MATCH($B105, 'VLU costs'!$B$231:$B$248,0), MATCH(AQ$104, 'VLU costs'!$D$230:$BB$230,0))
+ INDEX('Mixed costs'!$D$223:$BB$240, MATCH($B105, 'Mixed costs'!$B$223:$B$240,0), MATCH(AQ$104, 'Mixed costs'!$D$222:$BB$222,0))
+INDEX('Arterial costs'!$D$223:$BB$240, MATCH($B105, 'Arterial costs'!$B$223:$B$240,0), MATCH(AQ$104, 'Arterial costs'!$D$222:$BB$222,0))</f>
        <v>794811.85040202807</v>
      </c>
      <c r="AR105" s="742">
        <f>INDEX('VLU costs'!$D$231:$BB$248, MATCH($B105, 'VLU costs'!$B$231:$B$248,0), MATCH(AR$104, 'VLU costs'!$D$230:$BB$230,0))
+ INDEX('Mixed costs'!$D$223:$BB$240, MATCH($B105, 'Mixed costs'!$B$223:$B$240,0), MATCH(AR$104, 'Mixed costs'!$D$222:$BB$222,0))
+INDEX('Arterial costs'!$D$223:$BB$240, MATCH($B105, 'Arterial costs'!$B$223:$B$240,0), MATCH(AR$104, 'Arterial costs'!$D$222:$BB$222,0))</f>
        <v>819611.15735470108</v>
      </c>
      <c r="AS105" s="742">
        <f>INDEX('VLU costs'!$D$231:$BB$248, MATCH($B105, 'VLU costs'!$B$231:$B$248,0), MATCH(AS$104, 'VLU costs'!$D$230:$BB$230,0))
+ INDEX('Mixed costs'!$D$223:$BB$240, MATCH($B105, 'Mixed costs'!$B$223:$B$240,0), MATCH(AS$104, 'Mixed costs'!$D$222:$BB$222,0))
+INDEX('Arterial costs'!$D$223:$BB$240, MATCH($B105, 'Arterial costs'!$B$223:$B$240,0), MATCH(AS$104, 'Arterial costs'!$D$222:$BB$222,0))</f>
        <v>844352.16189152619</v>
      </c>
      <c r="AU105" s="737" t="s">
        <v>11</v>
      </c>
    </row>
    <row r="106" spans="1:47">
      <c r="B106" s="741" t="s">
        <v>14</v>
      </c>
      <c r="C106" s="742">
        <f>INDEX('VLU costs'!$D$231:$BB$248, MATCH($B106, 'VLU costs'!$B$231:$B$248,0), MATCH(C$104, 'VLU costs'!$D$230:$BB$230,0))
+ INDEX('Mixed costs'!$D$223:$BB$240, MATCH($B106, 'Mixed costs'!$B$223:$B$240,0), MATCH(C$104, 'Mixed costs'!$D$222:$BB$222,0))
+INDEX('Arterial costs'!$D$223:$BB$240, MATCH($B106, 'Arterial costs'!$B$223:$B$240,0), MATCH(C$104, 'Arterial costs'!$D$222:$BB$222,0))</f>
        <v>330.23812390692063</v>
      </c>
      <c r="D106" s="742">
        <f>INDEX('VLU costs'!$D$231:$BB$248, MATCH($B106, 'VLU costs'!$B$231:$B$248,0), MATCH(D$104, 'VLU costs'!$D$230:$BB$230,0))
+ INDEX('Mixed costs'!$D$223:$BB$240, MATCH($B106, 'Mixed costs'!$B$223:$B$240,0), MATCH(D$104, 'Mixed costs'!$D$222:$BB$222,0))
+INDEX('Arterial costs'!$D$223:$BB$240, MATCH($B106, 'Arterial costs'!$B$223:$B$240,0), MATCH(D$104, 'Arterial costs'!$D$222:$BB$222,0))</f>
        <v>349.31260194424755</v>
      </c>
      <c r="E106" s="742">
        <f>INDEX('VLU costs'!$D$231:$BB$248, MATCH($B106, 'VLU costs'!$B$231:$B$248,0), MATCH(E$104, 'VLU costs'!$D$230:$BB$230,0))
+ INDEX('Mixed costs'!$D$223:$BB$240, MATCH($B106, 'Mixed costs'!$B$223:$B$240,0), MATCH(E$104, 'Mixed costs'!$D$222:$BB$222,0))
+INDEX('Arterial costs'!$D$223:$BB$240, MATCH($B106, 'Arterial costs'!$B$223:$B$240,0), MATCH(E$104, 'Arterial costs'!$D$222:$BB$222,0))</f>
        <v>367.38335858178647</v>
      </c>
      <c r="F106" s="742">
        <f>INDEX('VLU costs'!$D$231:$BB$248, MATCH($B106, 'VLU costs'!$B$231:$B$248,0), MATCH(F$104, 'VLU costs'!$D$230:$BB$230,0))
+ INDEX('Mixed costs'!$D$223:$BB$240, MATCH($B106, 'Mixed costs'!$B$223:$B$240,0), MATCH(F$104, 'Mixed costs'!$D$222:$BB$222,0))
+INDEX('Arterial costs'!$D$223:$BB$240, MATCH($B106, 'Arterial costs'!$B$223:$B$240,0), MATCH(F$104, 'Arterial costs'!$D$222:$BB$222,0))</f>
        <v>384.92434429551099</v>
      </c>
      <c r="G106" s="742">
        <f>INDEX('VLU costs'!$D$231:$BB$248, MATCH($B106, 'VLU costs'!$B$231:$B$248,0), MATCH(G$104, 'VLU costs'!$D$230:$BB$230,0))
+ INDEX('Mixed costs'!$D$223:$BB$240, MATCH($B106, 'Mixed costs'!$B$223:$B$240,0), MATCH(G$104, 'Mixed costs'!$D$222:$BB$222,0))
+INDEX('Arterial costs'!$D$223:$BB$240, MATCH($B106, 'Arterial costs'!$B$223:$B$240,0), MATCH(G$104, 'Arterial costs'!$D$222:$BB$222,0))</f>
        <v>402.40299054847821</v>
      </c>
      <c r="H106" s="742">
        <f>INDEX('VLU costs'!$D$231:$BB$248, MATCH($B106, 'VLU costs'!$B$231:$B$248,0), MATCH(H$104, 'VLU costs'!$D$230:$BB$230,0))
+ INDEX('Mixed costs'!$D$223:$BB$240, MATCH($B106, 'Mixed costs'!$B$223:$B$240,0), MATCH(H$104, 'Mixed costs'!$D$222:$BB$222,0))
+INDEX('Arterial costs'!$D$223:$BB$240, MATCH($B106, 'Arterial costs'!$B$223:$B$240,0), MATCH(H$104, 'Arterial costs'!$D$222:$BB$222,0))</f>
        <v>420.08982470690671</v>
      </c>
      <c r="I106" s="742">
        <f>INDEX('VLU costs'!$D$231:$BB$248, MATCH($B106, 'VLU costs'!$B$231:$B$248,0), MATCH(I$104, 'VLU costs'!$D$230:$BB$230,0))
+ INDEX('Mixed costs'!$D$223:$BB$240, MATCH($B106, 'Mixed costs'!$B$223:$B$240,0), MATCH(I$104, 'Mixed costs'!$D$222:$BB$222,0))
+INDEX('Arterial costs'!$D$223:$BB$240, MATCH($B106, 'Arterial costs'!$B$223:$B$240,0), MATCH(I$104, 'Arterial costs'!$D$222:$BB$222,0))</f>
        <v>437.9861810879521</v>
      </c>
      <c r="J106" s="742">
        <f>INDEX('VLU costs'!$D$231:$BB$248, MATCH($B106, 'VLU costs'!$B$231:$B$248,0), MATCH(J$104, 'VLU costs'!$D$230:$BB$230,0))
+ INDEX('Mixed costs'!$D$223:$BB$240, MATCH($B106, 'Mixed costs'!$B$223:$B$240,0), MATCH(J$104, 'Mixed costs'!$D$222:$BB$222,0))
+INDEX('Arterial costs'!$D$223:$BB$240, MATCH($B106, 'Arterial costs'!$B$223:$B$240,0), MATCH(J$104, 'Arterial costs'!$D$222:$BB$222,0))</f>
        <v>456.2302964587364</v>
      </c>
      <c r="K106" s="742">
        <f>INDEX('VLU costs'!$D$231:$BB$248, MATCH($B106, 'VLU costs'!$B$231:$B$248,0), MATCH(K$104, 'VLU costs'!$D$230:$BB$230,0))
+ INDEX('Mixed costs'!$D$223:$BB$240, MATCH($B106, 'Mixed costs'!$B$223:$B$240,0), MATCH(K$104, 'Mixed costs'!$D$222:$BB$222,0))
+INDEX('Arterial costs'!$D$223:$BB$240, MATCH($B106, 'Arterial costs'!$B$223:$B$240,0), MATCH(K$104, 'Arterial costs'!$D$222:$BB$222,0))</f>
        <v>475.71625830017257</v>
      </c>
      <c r="L106" s="742">
        <f>INDEX('VLU costs'!$D$231:$BB$248, MATCH($B106, 'VLU costs'!$B$231:$B$248,0), MATCH(L$104, 'VLU costs'!$D$230:$BB$230,0))
+ INDEX('Mixed costs'!$D$223:$BB$240, MATCH($B106, 'Mixed costs'!$B$223:$B$240,0), MATCH(L$104, 'Mixed costs'!$D$222:$BB$222,0))
+INDEX('Arterial costs'!$D$223:$BB$240, MATCH($B106, 'Arterial costs'!$B$223:$B$240,0), MATCH(L$104, 'Arterial costs'!$D$222:$BB$222,0))</f>
        <v>495.90768477448864</v>
      </c>
      <c r="M106" s="742">
        <f>INDEX('VLU costs'!$D$231:$BB$248, MATCH($B106, 'VLU costs'!$B$231:$B$248,0), MATCH(M$104, 'VLU costs'!$D$230:$BB$230,0))
+ INDEX('Mixed costs'!$D$223:$BB$240, MATCH($B106, 'Mixed costs'!$B$223:$B$240,0), MATCH(M$104, 'Mixed costs'!$D$222:$BB$222,0))
+INDEX('Arterial costs'!$D$223:$BB$240, MATCH($B106, 'Arterial costs'!$B$223:$B$240,0), MATCH(M$104, 'Arterial costs'!$D$222:$BB$222,0))</f>
        <v>516.53894903556011</v>
      </c>
      <c r="N106" s="742">
        <f>INDEX('VLU costs'!$D$231:$BB$248, MATCH($B106, 'VLU costs'!$B$231:$B$248,0), MATCH(N$104, 'VLU costs'!$D$230:$BB$230,0))
+ INDEX('Mixed costs'!$D$223:$BB$240, MATCH($B106, 'Mixed costs'!$B$223:$B$240,0), MATCH(N$104, 'Mixed costs'!$D$222:$BB$222,0))
+INDEX('Arterial costs'!$D$223:$BB$240, MATCH($B106, 'Arterial costs'!$B$223:$B$240,0), MATCH(N$104, 'Arterial costs'!$D$222:$BB$222,0))</f>
        <v>537.4930639662249</v>
      </c>
      <c r="O106" s="742">
        <f>INDEX('VLU costs'!$D$231:$BB$248, MATCH($B106, 'VLU costs'!$B$231:$B$248,0), MATCH(O$104, 'VLU costs'!$D$230:$BB$230,0))
+ INDEX('Mixed costs'!$D$223:$BB$240, MATCH($B106, 'Mixed costs'!$B$223:$B$240,0), MATCH(O$104, 'Mixed costs'!$D$222:$BB$222,0))
+INDEX('Arterial costs'!$D$223:$BB$240, MATCH($B106, 'Arterial costs'!$B$223:$B$240,0), MATCH(O$104, 'Arterial costs'!$D$222:$BB$222,0))</f>
        <v>558.69644714283083</v>
      </c>
      <c r="P106" s="742">
        <f>INDEX('VLU costs'!$D$231:$BB$248, MATCH($B106, 'VLU costs'!$B$231:$B$248,0), MATCH(P$104, 'VLU costs'!$D$230:$BB$230,0))
+ INDEX('Mixed costs'!$D$223:$BB$240, MATCH($B106, 'Mixed costs'!$B$223:$B$240,0), MATCH(P$104, 'Mixed costs'!$D$222:$BB$222,0))
+INDEX('Arterial costs'!$D$223:$BB$240, MATCH($B106, 'Arterial costs'!$B$223:$B$240,0), MATCH(P$104, 'Arterial costs'!$D$222:$BB$222,0))</f>
        <v>580.32120100747488</v>
      </c>
      <c r="Q106" s="742">
        <f>INDEX('VLU costs'!$D$231:$BB$248, MATCH($B106, 'VLU costs'!$B$231:$B$248,0), MATCH(Q$104, 'VLU costs'!$D$230:$BB$230,0))
+ INDEX('Mixed costs'!$D$223:$BB$240, MATCH($B106, 'Mixed costs'!$B$223:$B$240,0), MATCH(Q$104, 'Mixed costs'!$D$222:$BB$222,0))
+INDEX('Arterial costs'!$D$223:$BB$240, MATCH($B106, 'Arterial costs'!$B$223:$B$240,0), MATCH(Q$104, 'Arterial costs'!$D$222:$BB$222,0))</f>
        <v>602.57806742360231</v>
      </c>
      <c r="R106" s="742">
        <f>INDEX('VLU costs'!$D$231:$BB$248, MATCH($B106, 'VLU costs'!$B$231:$B$248,0), MATCH(R$104, 'VLU costs'!$D$230:$BB$230,0))
+ INDEX('Mixed costs'!$D$223:$BB$240, MATCH($B106, 'Mixed costs'!$B$223:$B$240,0), MATCH(R$104, 'Mixed costs'!$D$222:$BB$222,0))
+INDEX('Arterial costs'!$D$223:$BB$240, MATCH($B106, 'Arterial costs'!$B$223:$B$240,0), MATCH(R$104, 'Arterial costs'!$D$222:$BB$222,0))</f>
        <v>625.50827011108902</v>
      </c>
      <c r="S106" s="742">
        <f>INDEX('VLU costs'!$D$231:$BB$248, MATCH($B106, 'VLU costs'!$B$231:$B$248,0), MATCH(S$104, 'VLU costs'!$D$230:$BB$230,0))
+ INDEX('Mixed costs'!$D$223:$BB$240, MATCH($B106, 'Mixed costs'!$B$223:$B$240,0), MATCH(S$104, 'Mixed costs'!$D$222:$BB$222,0))
+INDEX('Arterial costs'!$D$223:$BB$240, MATCH($B106, 'Arterial costs'!$B$223:$B$240,0), MATCH(S$104, 'Arterial costs'!$D$222:$BB$222,0))</f>
        <v>648.95361176605161</v>
      </c>
      <c r="T106" s="742">
        <f>INDEX('VLU costs'!$D$231:$BB$248, MATCH($B106, 'VLU costs'!$B$231:$B$248,0), MATCH(T$104, 'VLU costs'!$D$230:$BB$230,0))
+ INDEX('Mixed costs'!$D$223:$BB$240, MATCH($B106, 'Mixed costs'!$B$223:$B$240,0), MATCH(T$104, 'Mixed costs'!$D$222:$BB$222,0))
+INDEX('Arterial costs'!$D$223:$BB$240, MATCH($B106, 'Arterial costs'!$B$223:$B$240,0), MATCH(T$104, 'Arterial costs'!$D$222:$BB$222,0))</f>
        <v>672.94965863567779</v>
      </c>
      <c r="U106" s="742">
        <f>INDEX('VLU costs'!$D$231:$BB$248, MATCH($B106, 'VLU costs'!$B$231:$B$248,0), MATCH(U$104, 'VLU costs'!$D$230:$BB$230,0))
+ INDEX('Mixed costs'!$D$223:$BB$240, MATCH($B106, 'Mixed costs'!$B$223:$B$240,0), MATCH(U$104, 'Mixed costs'!$D$222:$BB$222,0))
+INDEX('Arterial costs'!$D$223:$BB$240, MATCH($B106, 'Arterial costs'!$B$223:$B$240,0), MATCH(U$104, 'Arterial costs'!$D$222:$BB$222,0))</f>
        <v>697.93356013967446</v>
      </c>
      <c r="V106" s="742">
        <f>INDEX('VLU costs'!$D$231:$BB$248, MATCH($B106, 'VLU costs'!$B$231:$B$248,0), MATCH(V$104, 'VLU costs'!$D$230:$BB$230,0))
+ INDEX('Mixed costs'!$D$223:$BB$240, MATCH($B106, 'Mixed costs'!$B$223:$B$240,0), MATCH(V$104, 'Mixed costs'!$D$222:$BB$222,0))
+INDEX('Arterial costs'!$D$223:$BB$240, MATCH($B106, 'Arterial costs'!$B$223:$B$240,0), MATCH(V$104, 'Arterial costs'!$D$222:$BB$222,0))</f>
        <v>723.56733565202921</v>
      </c>
      <c r="W106" s="742">
        <f>INDEX('VLU costs'!$D$231:$BB$248, MATCH($B106, 'VLU costs'!$B$231:$B$248,0), MATCH(W$104, 'VLU costs'!$D$230:$BB$230,0))
+ INDEX('Mixed costs'!$D$223:$BB$240, MATCH($B106, 'Mixed costs'!$B$223:$B$240,0), MATCH(W$104, 'Mixed costs'!$D$222:$BB$222,0))
+INDEX('Arterial costs'!$D$223:$BB$240, MATCH($B106, 'Arterial costs'!$B$223:$B$240,0), MATCH(W$104, 'Arterial costs'!$D$222:$BB$222,0))</f>
        <v>749.75877845844741</v>
      </c>
      <c r="X106" s="742">
        <f>INDEX('VLU costs'!$D$231:$BB$248, MATCH($B106, 'VLU costs'!$B$231:$B$248,0), MATCH(X$104, 'VLU costs'!$D$230:$BB$230,0))
+ INDEX('Mixed costs'!$D$223:$BB$240, MATCH($B106, 'Mixed costs'!$B$223:$B$240,0), MATCH(X$104, 'Mixed costs'!$D$222:$BB$222,0))
+INDEX('Arterial costs'!$D$223:$BB$240, MATCH($B106, 'Arterial costs'!$B$223:$B$240,0), MATCH(X$104, 'Arterial costs'!$D$222:$BB$222,0))</f>
        <v>776.50016398856349</v>
      </c>
      <c r="Y106" s="742">
        <f>INDEX('VLU costs'!$D$231:$BB$248, MATCH($B106, 'VLU costs'!$B$231:$B$248,0), MATCH(Y$104, 'VLU costs'!$D$230:$BB$230,0))
+ INDEX('Mixed costs'!$D$223:$BB$240, MATCH($B106, 'Mixed costs'!$B$223:$B$240,0), MATCH(Y$104, 'Mixed costs'!$D$222:$BB$222,0))
+INDEX('Arterial costs'!$D$223:$BB$240, MATCH($B106, 'Arterial costs'!$B$223:$B$240,0), MATCH(Y$104, 'Arterial costs'!$D$222:$BB$222,0))</f>
        <v>803.98787438285967</v>
      </c>
      <c r="Z106" s="742">
        <f>INDEX('VLU costs'!$D$231:$BB$248, MATCH($B106, 'VLU costs'!$B$231:$B$248,0), MATCH(Z$104, 'VLU costs'!$D$230:$BB$230,0))
+ INDEX('Mixed costs'!$D$223:$BB$240, MATCH($B106, 'Mixed costs'!$B$223:$B$240,0), MATCH(Z$104, 'Mixed costs'!$D$222:$BB$222,0))
+INDEX('Arterial costs'!$D$223:$BB$240, MATCH($B106, 'Arterial costs'!$B$223:$B$240,0), MATCH(Z$104, 'Arterial costs'!$D$222:$BB$222,0))</f>
        <v>832.19467337906087</v>
      </c>
      <c r="AA106" s="742">
        <f>INDEX('VLU costs'!$D$231:$BB$248, MATCH($B106, 'VLU costs'!$B$231:$B$248,0), MATCH(AA$104, 'VLU costs'!$D$230:$BB$230,0))
+ INDEX('Mixed costs'!$D$223:$BB$240, MATCH($B106, 'Mixed costs'!$B$223:$B$240,0), MATCH(AA$104, 'Mixed costs'!$D$222:$BB$222,0))
+INDEX('Arterial costs'!$D$223:$BB$240, MATCH($B106, 'Arterial costs'!$B$223:$B$240,0), MATCH(AA$104, 'Arterial costs'!$D$222:$BB$222,0))</f>
        <v>861.05427932952648</v>
      </c>
      <c r="AB106" s="742">
        <f>INDEX('VLU costs'!$D$231:$BB$248, MATCH($B106, 'VLU costs'!$B$231:$B$248,0), MATCH(AB$104, 'VLU costs'!$D$230:$BB$230,0))
+ INDEX('Mixed costs'!$D$223:$BB$240, MATCH($B106, 'Mixed costs'!$B$223:$B$240,0), MATCH(AB$104, 'Mixed costs'!$D$222:$BB$222,0))
+INDEX('Arterial costs'!$D$223:$BB$240, MATCH($B106, 'Arterial costs'!$B$223:$B$240,0), MATCH(AB$104, 'Arterial costs'!$D$222:$BB$222,0))</f>
        <v>890.51389481307808</v>
      </c>
      <c r="AC106" s="742">
        <f>INDEX('VLU costs'!$D$231:$BB$248, MATCH($B106, 'VLU costs'!$B$231:$B$248,0), MATCH(AC$104, 'VLU costs'!$D$230:$BB$230,0))
+ INDEX('Mixed costs'!$D$223:$BB$240, MATCH($B106, 'Mixed costs'!$B$223:$B$240,0), MATCH(AC$104, 'Mixed costs'!$D$222:$BB$222,0))
+INDEX('Arterial costs'!$D$223:$BB$240, MATCH($B106, 'Arterial costs'!$B$223:$B$240,0), MATCH(AC$104, 'Arterial costs'!$D$222:$BB$222,0))</f>
        <v>920.51623988219592</v>
      </c>
      <c r="AD106" s="742">
        <f>INDEX('VLU costs'!$D$231:$BB$248, MATCH($B106, 'VLU costs'!$B$231:$B$248,0), MATCH(AD$104, 'VLU costs'!$D$230:$BB$230,0))
+ INDEX('Mixed costs'!$D$223:$BB$240, MATCH($B106, 'Mixed costs'!$B$223:$B$240,0), MATCH(AD$104, 'Mixed costs'!$D$222:$BB$222,0))
+INDEX('Arterial costs'!$D$223:$BB$240, MATCH($B106, 'Arterial costs'!$B$223:$B$240,0), MATCH(AD$104, 'Arterial costs'!$D$222:$BB$222,0))</f>
        <v>951.01668429130268</v>
      </c>
      <c r="AE106" s="742">
        <f>INDEX('VLU costs'!$D$231:$BB$248, MATCH($B106, 'VLU costs'!$B$231:$B$248,0), MATCH(AE$104, 'VLU costs'!$D$230:$BB$230,0))
+ INDEX('Mixed costs'!$D$223:$BB$240, MATCH($B106, 'Mixed costs'!$B$223:$B$240,0), MATCH(AE$104, 'Mixed costs'!$D$222:$BB$222,0))
+INDEX('Arterial costs'!$D$223:$BB$240, MATCH($B106, 'Arterial costs'!$B$223:$B$240,0), MATCH(AE$104, 'Arterial costs'!$D$222:$BB$222,0))</f>
        <v>981.97104290000539</v>
      </c>
      <c r="AF106" s="742">
        <f>INDEX('VLU costs'!$D$231:$BB$248, MATCH($B106, 'VLU costs'!$B$231:$B$248,0), MATCH(AF$104, 'VLU costs'!$D$230:$BB$230,0))
+ INDEX('Mixed costs'!$D$223:$BB$240, MATCH($B106, 'Mixed costs'!$B$223:$B$240,0), MATCH(AF$104, 'Mixed costs'!$D$222:$BB$222,0))
+INDEX('Arterial costs'!$D$223:$BB$240, MATCH($B106, 'Arterial costs'!$B$223:$B$240,0), MATCH(AF$104, 'Arterial costs'!$D$222:$BB$222,0))</f>
        <v>1013.4182653617747</v>
      </c>
      <c r="AG106" s="742">
        <f>INDEX('VLU costs'!$D$231:$BB$248, MATCH($B106, 'VLU costs'!$B$231:$B$248,0), MATCH(AG$104, 'VLU costs'!$D$230:$BB$230,0))
+ INDEX('Mixed costs'!$D$223:$BB$240, MATCH($B106, 'Mixed costs'!$B$223:$B$240,0), MATCH(AG$104, 'Mixed costs'!$D$222:$BB$222,0))
+INDEX('Arterial costs'!$D$223:$BB$240, MATCH($B106, 'Arterial costs'!$B$223:$B$240,0), MATCH(AG$104, 'Arterial costs'!$D$222:$BB$222,0))</f>
        <v>1045.5669120771556</v>
      </c>
      <c r="AH106" s="742">
        <f>INDEX('VLU costs'!$D$231:$BB$248, MATCH($B106, 'VLU costs'!$B$231:$B$248,0), MATCH(AH$104, 'VLU costs'!$D$230:$BB$230,0))
+ INDEX('Mixed costs'!$D$223:$BB$240, MATCH($B106, 'Mixed costs'!$B$223:$B$240,0), MATCH(AH$104, 'Mixed costs'!$D$222:$BB$222,0))
+INDEX('Arterial costs'!$D$223:$BB$240, MATCH($B106, 'Arterial costs'!$B$223:$B$240,0), MATCH(AH$104, 'Arterial costs'!$D$222:$BB$222,0))</f>
        <v>1078.4480357160564</v>
      </c>
      <c r="AI106" s="742">
        <f>INDEX('VLU costs'!$D$231:$BB$248, MATCH($B106, 'VLU costs'!$B$231:$B$248,0), MATCH(AI$104, 'VLU costs'!$D$230:$BB$230,0))
+ INDEX('Mixed costs'!$D$223:$BB$240, MATCH($B106, 'Mixed costs'!$B$223:$B$240,0), MATCH(AI$104, 'Mixed costs'!$D$222:$BB$222,0))
+INDEX('Arterial costs'!$D$223:$BB$240, MATCH($B106, 'Arterial costs'!$B$223:$B$240,0), MATCH(AI$104, 'Arterial costs'!$D$222:$BB$222,0))</f>
        <v>1112.1523889811738</v>
      </c>
      <c r="AJ106" s="742">
        <f>INDEX('VLU costs'!$D$231:$BB$248, MATCH($B106, 'VLU costs'!$B$231:$B$248,0), MATCH(AJ$104, 'VLU costs'!$D$230:$BB$230,0))
+ INDEX('Mixed costs'!$D$223:$BB$240, MATCH($B106, 'Mixed costs'!$B$223:$B$240,0), MATCH(AJ$104, 'Mixed costs'!$D$222:$BB$222,0))
+INDEX('Arterial costs'!$D$223:$BB$240, MATCH($B106, 'Arterial costs'!$B$223:$B$240,0), MATCH(AJ$104, 'Arterial costs'!$D$222:$BB$222,0))</f>
        <v>1146.4423817120246</v>
      </c>
      <c r="AK106" s="742">
        <f>INDEX('VLU costs'!$D$231:$BB$248, MATCH($B106, 'VLU costs'!$B$231:$B$248,0), MATCH(AK$104, 'VLU costs'!$D$230:$BB$230,0))
+ INDEX('Mixed costs'!$D$223:$BB$240, MATCH($B106, 'Mixed costs'!$B$223:$B$240,0), MATCH(AK$104, 'Mixed costs'!$D$222:$BB$222,0))
+INDEX('Arterial costs'!$D$223:$BB$240, MATCH($B106, 'Arterial costs'!$B$223:$B$240,0), MATCH(AK$104, 'Arterial costs'!$D$222:$BB$222,0))</f>
        <v>1181.1253267660215</v>
      </c>
      <c r="AL106" s="742">
        <f>INDEX('VLU costs'!$D$231:$BB$248, MATCH($B106, 'VLU costs'!$B$231:$B$248,0), MATCH(AL$104, 'VLU costs'!$D$230:$BB$230,0))
+ INDEX('Mixed costs'!$D$223:$BB$240, MATCH($B106, 'Mixed costs'!$B$223:$B$240,0), MATCH(AL$104, 'Mixed costs'!$D$222:$BB$222,0))
+INDEX('Arterial costs'!$D$223:$BB$240, MATCH($B106, 'Arterial costs'!$B$223:$B$240,0), MATCH(AL$104, 'Arterial costs'!$D$222:$BB$222,0))</f>
        <v>1216.0591381554223</v>
      </c>
      <c r="AM106" s="742">
        <f>INDEX('VLU costs'!$D$231:$BB$248, MATCH($B106, 'VLU costs'!$B$231:$B$248,0), MATCH(AM$104, 'VLU costs'!$D$230:$BB$230,0))
+ INDEX('Mixed costs'!$D$223:$BB$240, MATCH($B106, 'Mixed costs'!$B$223:$B$240,0), MATCH(AM$104, 'Mixed costs'!$D$222:$BB$222,0))
+INDEX('Arterial costs'!$D$223:$BB$240, MATCH($B106, 'Arterial costs'!$B$223:$B$240,0), MATCH(AM$104, 'Arterial costs'!$D$222:$BB$222,0))</f>
        <v>1251.3122906403312</v>
      </c>
      <c r="AN106" s="742">
        <f>INDEX('VLU costs'!$D$231:$BB$248, MATCH($B106, 'VLU costs'!$B$231:$B$248,0), MATCH(AN$104, 'VLU costs'!$D$230:$BB$230,0))
+ INDEX('Mixed costs'!$D$223:$BB$240, MATCH($B106, 'Mixed costs'!$B$223:$B$240,0), MATCH(AN$104, 'Mixed costs'!$D$222:$BB$222,0))
+INDEX('Arterial costs'!$D$223:$BB$240, MATCH($B106, 'Arterial costs'!$B$223:$B$240,0), MATCH(AN$104, 'Arterial costs'!$D$222:$BB$222,0))</f>
        <v>1286.8900303097469</v>
      </c>
      <c r="AO106" s="742">
        <f>INDEX('VLU costs'!$D$231:$BB$248, MATCH($B106, 'VLU costs'!$B$231:$B$248,0), MATCH(AO$104, 'VLU costs'!$D$230:$BB$230,0))
+ INDEX('Mixed costs'!$D$223:$BB$240, MATCH($B106, 'Mixed costs'!$B$223:$B$240,0), MATCH(AO$104, 'Mixed costs'!$D$222:$BB$222,0))
+INDEX('Arterial costs'!$D$223:$BB$240, MATCH($B106, 'Arterial costs'!$B$223:$B$240,0), MATCH(AO$104, 'Arterial costs'!$D$222:$BB$222,0))</f>
        <v>1322.7420160797942</v>
      </c>
      <c r="AP106" s="742">
        <f>INDEX('VLU costs'!$D$231:$BB$248, MATCH($B106, 'VLU costs'!$B$231:$B$248,0), MATCH(AP$104, 'VLU costs'!$D$230:$BB$230,0))
+ INDEX('Mixed costs'!$D$223:$BB$240, MATCH($B106, 'Mixed costs'!$B$223:$B$240,0), MATCH(AP$104, 'Mixed costs'!$D$222:$BB$222,0))
+INDEX('Arterial costs'!$D$223:$BB$240, MATCH($B106, 'Arterial costs'!$B$223:$B$240,0), MATCH(AP$104, 'Arterial costs'!$D$222:$BB$222,0))</f>
        <v>1359.1628549916536</v>
      </c>
      <c r="AQ106" s="742">
        <f>INDEX('VLU costs'!$D$231:$BB$248, MATCH($B106, 'VLU costs'!$B$231:$B$248,0), MATCH(AQ$104, 'VLU costs'!$D$230:$BB$230,0))
+ INDEX('Mixed costs'!$D$223:$BB$240, MATCH($B106, 'Mixed costs'!$B$223:$B$240,0), MATCH(AQ$104, 'Mixed costs'!$D$222:$BB$222,0))
+INDEX('Arterial costs'!$D$223:$BB$240, MATCH($B106, 'Arterial costs'!$B$223:$B$240,0), MATCH(AQ$104, 'Arterial costs'!$D$222:$BB$222,0))</f>
        <v>1396.5046017053796</v>
      </c>
      <c r="AR106" s="742">
        <f>INDEX('VLU costs'!$D$231:$BB$248, MATCH($B106, 'VLU costs'!$B$231:$B$248,0), MATCH(AR$104, 'VLU costs'!$D$230:$BB$230,0))
+ INDEX('Mixed costs'!$D$223:$BB$240, MATCH($B106, 'Mixed costs'!$B$223:$B$240,0), MATCH(AR$104, 'Mixed costs'!$D$222:$BB$222,0))
+INDEX('Arterial costs'!$D$223:$BB$240, MATCH($B106, 'Arterial costs'!$B$223:$B$240,0), MATCH(AR$104, 'Arterial costs'!$D$222:$BB$222,0))</f>
        <v>1435.0708614024861</v>
      </c>
      <c r="AS106" s="742">
        <f>INDEX('VLU costs'!$D$231:$BB$248, MATCH($B106, 'VLU costs'!$B$231:$B$248,0), MATCH(AS$104, 'VLU costs'!$D$230:$BB$230,0))
+ INDEX('Mixed costs'!$D$223:$BB$240, MATCH($B106, 'Mixed costs'!$B$223:$B$240,0), MATCH(AS$104, 'Mixed costs'!$D$222:$BB$222,0))
+INDEX('Arterial costs'!$D$223:$BB$240, MATCH($B106, 'Arterial costs'!$B$223:$B$240,0), MATCH(AS$104, 'Arterial costs'!$D$222:$BB$222,0))</f>
        <v>1472.9723146991169</v>
      </c>
      <c r="AU106" s="737" t="s">
        <v>14</v>
      </c>
    </row>
    <row r="107" spans="1:47">
      <c r="B107" s="741" t="s">
        <v>15</v>
      </c>
      <c r="C107" s="742">
        <f>INDEX('VLU costs'!$D$231:$BB$248, MATCH($B107, 'VLU costs'!$B$231:$B$248,0), MATCH(C$104, 'VLU costs'!$D$230:$BB$230,0))
+ INDEX('Mixed costs'!$D$223:$BB$240, MATCH($B107, 'Mixed costs'!$B$223:$B$240,0), MATCH(C$104, 'Mixed costs'!$D$222:$BB$222,0))
+INDEX('Arterial costs'!$D$223:$BB$240, MATCH($B107, 'Arterial costs'!$B$223:$B$240,0), MATCH(C$104, 'Arterial costs'!$D$222:$BB$222,0))</f>
        <v>5319.9855347552493</v>
      </c>
      <c r="D107" s="742">
        <f>INDEX('VLU costs'!$D$231:$BB$248, MATCH($B107, 'VLU costs'!$B$231:$B$248,0), MATCH(D$104, 'VLU costs'!$D$230:$BB$230,0))
+ INDEX('Mixed costs'!$D$223:$BB$240, MATCH($B107, 'Mixed costs'!$B$223:$B$240,0), MATCH(D$104, 'Mixed costs'!$D$222:$BB$222,0))
+INDEX('Arterial costs'!$D$223:$BB$240, MATCH($B107, 'Arterial costs'!$B$223:$B$240,0), MATCH(D$104, 'Arterial costs'!$D$222:$BB$222,0))</f>
        <v>5687.0240728460049</v>
      </c>
      <c r="E107" s="742">
        <f>INDEX('VLU costs'!$D$231:$BB$248, MATCH($B107, 'VLU costs'!$B$231:$B$248,0), MATCH(E$104, 'VLU costs'!$D$230:$BB$230,0))
+ INDEX('Mixed costs'!$D$223:$BB$240, MATCH($B107, 'Mixed costs'!$B$223:$B$240,0), MATCH(E$104, 'Mixed costs'!$D$222:$BB$222,0))
+INDEX('Arterial costs'!$D$223:$BB$240, MATCH($B107, 'Arterial costs'!$B$223:$B$240,0), MATCH(E$104, 'Arterial costs'!$D$222:$BB$222,0))</f>
        <v>6044.6586318537111</v>
      </c>
      <c r="F107" s="742">
        <f>INDEX('VLU costs'!$D$231:$BB$248, MATCH($B107, 'VLU costs'!$B$231:$B$248,0), MATCH(F$104, 'VLU costs'!$D$230:$BB$230,0))
+ INDEX('Mixed costs'!$D$223:$BB$240, MATCH($B107, 'Mixed costs'!$B$223:$B$240,0), MATCH(F$104, 'Mixed costs'!$D$222:$BB$222,0))
+INDEX('Arterial costs'!$D$223:$BB$240, MATCH($B107, 'Arterial costs'!$B$223:$B$240,0), MATCH(F$104, 'Arterial costs'!$D$222:$BB$222,0))</f>
        <v>6399.7513812448169</v>
      </c>
      <c r="G107" s="742">
        <f>INDEX('VLU costs'!$D$231:$BB$248, MATCH($B107, 'VLU costs'!$B$231:$B$248,0), MATCH(G$104, 'VLU costs'!$D$230:$BB$230,0))
+ INDEX('Mixed costs'!$D$223:$BB$240, MATCH($B107, 'Mixed costs'!$B$223:$B$240,0), MATCH(G$104, 'Mixed costs'!$D$222:$BB$222,0))
+INDEX('Arterial costs'!$D$223:$BB$240, MATCH($B107, 'Arterial costs'!$B$223:$B$240,0), MATCH(G$104, 'Arterial costs'!$D$222:$BB$222,0))</f>
        <v>6759.2066658657486</v>
      </c>
      <c r="H107" s="742">
        <f>INDEX('VLU costs'!$D$231:$BB$248, MATCH($B107, 'VLU costs'!$B$231:$B$248,0), MATCH(H$104, 'VLU costs'!$D$230:$BB$230,0))
+ INDEX('Mixed costs'!$D$223:$BB$240, MATCH($B107, 'Mixed costs'!$B$223:$B$240,0), MATCH(H$104, 'Mixed costs'!$D$222:$BB$222,0))
+INDEX('Arterial costs'!$D$223:$BB$240, MATCH($B107, 'Arterial costs'!$B$223:$B$240,0), MATCH(H$104, 'Arterial costs'!$D$222:$BB$222,0))</f>
        <v>7127.1751586700175</v>
      </c>
      <c r="I107" s="742">
        <f>INDEX('VLU costs'!$D$231:$BB$248, MATCH($B107, 'VLU costs'!$B$231:$B$248,0), MATCH(I$104, 'VLU costs'!$D$230:$BB$230,0))
+ INDEX('Mixed costs'!$D$223:$BB$240, MATCH($B107, 'Mixed costs'!$B$223:$B$240,0), MATCH(I$104, 'Mixed costs'!$D$222:$BB$222,0))
+INDEX('Arterial costs'!$D$223:$BB$240, MATCH($B107, 'Arterial costs'!$B$223:$B$240,0), MATCH(I$104, 'Arterial costs'!$D$222:$BB$222,0))</f>
        <v>7503.9331251218582</v>
      </c>
      <c r="J107" s="742">
        <f>INDEX('VLU costs'!$D$231:$BB$248, MATCH($B107, 'VLU costs'!$B$231:$B$248,0), MATCH(J$104, 'VLU costs'!$D$230:$BB$230,0))
+ INDEX('Mixed costs'!$D$223:$BB$240, MATCH($B107, 'Mixed costs'!$B$223:$B$240,0), MATCH(J$104, 'Mixed costs'!$D$222:$BB$222,0))
+INDEX('Arterial costs'!$D$223:$BB$240, MATCH($B107, 'Arterial costs'!$B$223:$B$240,0), MATCH(J$104, 'Arterial costs'!$D$222:$BB$222,0))</f>
        <v>7891.749283901705</v>
      </c>
      <c r="K107" s="742">
        <f>INDEX('VLU costs'!$D$231:$BB$248, MATCH($B107, 'VLU costs'!$B$231:$B$248,0), MATCH(K$104, 'VLU costs'!$D$230:$BB$230,0))
+ INDEX('Mixed costs'!$D$223:$BB$240, MATCH($B107, 'Mixed costs'!$B$223:$B$240,0), MATCH(K$104, 'Mixed costs'!$D$222:$BB$222,0))
+INDEX('Arterial costs'!$D$223:$BB$240, MATCH($B107, 'Arterial costs'!$B$223:$B$240,0), MATCH(K$104, 'Arterial costs'!$D$222:$BB$222,0))</f>
        <v>8303.9917163185528</v>
      </c>
      <c r="L107" s="742">
        <f>INDEX('VLU costs'!$D$231:$BB$248, MATCH($B107, 'VLU costs'!$B$231:$B$248,0), MATCH(L$104, 'VLU costs'!$D$230:$BB$230,0))
+ INDEX('Mixed costs'!$D$223:$BB$240, MATCH($B107, 'Mixed costs'!$B$223:$B$240,0), MATCH(L$104, 'Mixed costs'!$D$222:$BB$222,0))
+INDEX('Arterial costs'!$D$223:$BB$240, MATCH($B107, 'Arterial costs'!$B$223:$B$240,0), MATCH(L$104, 'Arterial costs'!$D$222:$BB$222,0))</f>
        <v>8733.3370058621658</v>
      </c>
      <c r="M107" s="742">
        <f>INDEX('VLU costs'!$D$231:$BB$248, MATCH($B107, 'VLU costs'!$B$231:$B$248,0), MATCH(M$104, 'VLU costs'!$D$230:$BB$230,0))
+ INDEX('Mixed costs'!$D$223:$BB$240, MATCH($B107, 'Mixed costs'!$B$223:$B$240,0), MATCH(M$104, 'Mixed costs'!$D$222:$BB$222,0))
+INDEX('Arterial costs'!$D$223:$BB$240, MATCH($B107, 'Arterial costs'!$B$223:$B$240,0), MATCH(M$104, 'Arterial costs'!$D$222:$BB$222,0))</f>
        <v>9176.2517555817285</v>
      </c>
      <c r="N107" s="742">
        <f>INDEX('VLU costs'!$D$231:$BB$248, MATCH($B107, 'VLU costs'!$B$231:$B$248,0), MATCH(N$104, 'VLU costs'!$D$230:$BB$230,0))
+ INDEX('Mixed costs'!$D$223:$BB$240, MATCH($B107, 'Mixed costs'!$B$223:$B$240,0), MATCH(N$104, 'Mixed costs'!$D$222:$BB$222,0))
+INDEX('Arterial costs'!$D$223:$BB$240, MATCH($B107, 'Arterial costs'!$B$223:$B$240,0), MATCH(N$104, 'Arterial costs'!$D$222:$BB$222,0))</f>
        <v>9631.2964654214338</v>
      </c>
      <c r="O107" s="742">
        <f>INDEX('VLU costs'!$D$231:$BB$248, MATCH($B107, 'VLU costs'!$B$231:$B$248,0), MATCH(O$104, 'VLU costs'!$D$230:$BB$230,0))
+ INDEX('Mixed costs'!$D$223:$BB$240, MATCH($B107, 'Mixed costs'!$B$223:$B$240,0), MATCH(O$104, 'Mixed costs'!$D$222:$BB$222,0))
+INDEX('Arterial costs'!$D$223:$BB$240, MATCH($B107, 'Arterial costs'!$B$223:$B$240,0), MATCH(O$104, 'Arterial costs'!$D$222:$BB$222,0))</f>
        <v>10097.634162755909</v>
      </c>
      <c r="P107" s="742">
        <f>INDEX('VLU costs'!$D$231:$BB$248, MATCH($B107, 'VLU costs'!$B$231:$B$248,0), MATCH(P$104, 'VLU costs'!$D$230:$BB$230,0))
+ INDEX('Mixed costs'!$D$223:$BB$240, MATCH($B107, 'Mixed costs'!$B$223:$B$240,0), MATCH(P$104, 'Mixed costs'!$D$222:$BB$222,0))
+INDEX('Arterial costs'!$D$223:$BB$240, MATCH($B107, 'Arterial costs'!$B$223:$B$240,0), MATCH(P$104, 'Arterial costs'!$D$222:$BB$222,0))</f>
        <v>10578.007663371502</v>
      </c>
      <c r="Q107" s="742">
        <f>INDEX('VLU costs'!$D$231:$BB$248, MATCH($B107, 'VLU costs'!$B$231:$B$248,0), MATCH(Q$104, 'VLU costs'!$D$230:$BB$230,0))
+ INDEX('Mixed costs'!$D$223:$BB$240, MATCH($B107, 'Mixed costs'!$B$223:$B$240,0), MATCH(Q$104, 'Mixed costs'!$D$222:$BB$222,0))
+INDEX('Arterial costs'!$D$223:$BB$240, MATCH($B107, 'Arterial costs'!$B$223:$B$240,0), MATCH(Q$104, 'Arterial costs'!$D$222:$BB$222,0))</f>
        <v>11075.781425247142</v>
      </c>
      <c r="R107" s="742">
        <f>INDEX('VLU costs'!$D$231:$BB$248, MATCH($B107, 'VLU costs'!$B$231:$B$248,0), MATCH(R$104, 'VLU costs'!$D$230:$BB$230,0))
+ INDEX('Mixed costs'!$D$223:$BB$240, MATCH($B107, 'Mixed costs'!$B$223:$B$240,0), MATCH(R$104, 'Mixed costs'!$D$222:$BB$222,0))
+INDEX('Arterial costs'!$D$223:$BB$240, MATCH($B107, 'Arterial costs'!$B$223:$B$240,0), MATCH(R$104, 'Arterial costs'!$D$222:$BB$222,0))</f>
        <v>11591.90275065113</v>
      </c>
      <c r="S107" s="742">
        <f>INDEX('VLU costs'!$D$231:$BB$248, MATCH($B107, 'VLU costs'!$B$231:$B$248,0), MATCH(S$104, 'VLU costs'!$D$230:$BB$230,0))
+ INDEX('Mixed costs'!$D$223:$BB$240, MATCH($B107, 'Mixed costs'!$B$223:$B$240,0), MATCH(S$104, 'Mixed costs'!$D$222:$BB$222,0))
+INDEX('Arterial costs'!$D$223:$BB$240, MATCH($B107, 'Arterial costs'!$B$223:$B$240,0), MATCH(S$104, 'Arterial costs'!$D$222:$BB$222,0))</f>
        <v>12124.412091362572</v>
      </c>
      <c r="T107" s="742">
        <f>INDEX('VLU costs'!$D$231:$BB$248, MATCH($B107, 'VLU costs'!$B$231:$B$248,0), MATCH(T$104, 'VLU costs'!$D$230:$BB$230,0))
+ INDEX('Mixed costs'!$D$223:$BB$240, MATCH($B107, 'Mixed costs'!$B$223:$B$240,0), MATCH(T$104, 'Mixed costs'!$D$222:$BB$222,0))
+INDEX('Arterial costs'!$D$223:$BB$240, MATCH($B107, 'Arterial costs'!$B$223:$B$240,0), MATCH(T$104, 'Arterial costs'!$D$222:$BB$222,0))</f>
        <v>12674.142635033761</v>
      </c>
      <c r="U107" s="742">
        <f>INDEX('VLU costs'!$D$231:$BB$248, MATCH($B107, 'VLU costs'!$B$231:$B$248,0), MATCH(U$104, 'VLU costs'!$D$230:$BB$230,0))
+ INDEX('Mixed costs'!$D$223:$BB$240, MATCH($B107, 'Mixed costs'!$B$223:$B$240,0), MATCH(U$104, 'Mixed costs'!$D$222:$BB$222,0))
+INDEX('Arterial costs'!$D$223:$BB$240, MATCH($B107, 'Arterial costs'!$B$223:$B$240,0), MATCH(U$104, 'Arterial costs'!$D$222:$BB$222,0))</f>
        <v>13247.823696047721</v>
      </c>
      <c r="V107" s="742">
        <f>INDEX('VLU costs'!$D$231:$BB$248, MATCH($B107, 'VLU costs'!$B$231:$B$248,0), MATCH(V$104, 'VLU costs'!$D$230:$BB$230,0))
+ INDEX('Mixed costs'!$D$223:$BB$240, MATCH($B107, 'Mixed costs'!$B$223:$B$240,0), MATCH(V$104, 'Mixed costs'!$D$222:$BB$222,0))
+INDEX('Arterial costs'!$D$223:$BB$240, MATCH($B107, 'Arterial costs'!$B$223:$B$240,0), MATCH(V$104, 'Arterial costs'!$D$222:$BB$222,0))</f>
        <v>13840.968308437692</v>
      </c>
      <c r="W107" s="742">
        <f>INDEX('VLU costs'!$D$231:$BB$248, MATCH($B107, 'VLU costs'!$B$231:$B$248,0), MATCH(W$104, 'VLU costs'!$D$230:$BB$230,0))
+ INDEX('Mixed costs'!$D$223:$BB$240, MATCH($B107, 'Mixed costs'!$B$223:$B$240,0), MATCH(W$104, 'Mixed costs'!$D$222:$BB$222,0))
+INDEX('Arterial costs'!$D$223:$BB$240, MATCH($B107, 'Arterial costs'!$B$223:$B$240,0), MATCH(W$104, 'Arterial costs'!$D$222:$BB$222,0))</f>
        <v>14452.589253170983</v>
      </c>
      <c r="X107" s="742">
        <f>INDEX('VLU costs'!$D$231:$BB$248, MATCH($B107, 'VLU costs'!$B$231:$B$248,0), MATCH(X$104, 'VLU costs'!$D$230:$BB$230,0))
+ INDEX('Mixed costs'!$D$223:$BB$240, MATCH($B107, 'Mixed costs'!$B$223:$B$240,0), MATCH(X$104, 'Mixed costs'!$D$222:$BB$222,0))
+INDEX('Arterial costs'!$D$223:$BB$240, MATCH($B107, 'Arterial costs'!$B$223:$B$240,0), MATCH(X$104, 'Arterial costs'!$D$222:$BB$222,0))</f>
        <v>15082.915973207546</v>
      </c>
      <c r="Y107" s="742">
        <f>INDEX('VLU costs'!$D$231:$BB$248, MATCH($B107, 'VLU costs'!$B$231:$B$248,0), MATCH(Y$104, 'VLU costs'!$D$230:$BB$230,0))
+ INDEX('Mixed costs'!$D$223:$BB$240, MATCH($B107, 'Mixed costs'!$B$223:$B$240,0), MATCH(Y$104, 'Mixed costs'!$D$222:$BB$222,0))
+INDEX('Arterial costs'!$D$223:$BB$240, MATCH($B107, 'Arterial costs'!$B$223:$B$240,0), MATCH(Y$104, 'Arterial costs'!$D$222:$BB$222,0))</f>
        <v>15735.172725466506</v>
      </c>
      <c r="Z107" s="742">
        <f>INDEX('VLU costs'!$D$231:$BB$248, MATCH($B107, 'VLU costs'!$B$231:$B$248,0), MATCH(Z$104, 'VLU costs'!$D$230:$BB$230,0))
+ INDEX('Mixed costs'!$D$223:$BB$240, MATCH($B107, 'Mixed costs'!$B$223:$B$240,0), MATCH(Z$104, 'Mixed costs'!$D$222:$BB$222,0))
+INDEX('Arterial costs'!$D$223:$BB$240, MATCH($B107, 'Arterial costs'!$B$223:$B$240,0), MATCH(Z$104, 'Arterial costs'!$D$222:$BB$222,0))</f>
        <v>16409.375629825168</v>
      </c>
      <c r="AA107" s="742">
        <f>INDEX('VLU costs'!$D$231:$BB$248, MATCH($B107, 'VLU costs'!$B$231:$B$248,0), MATCH(AA$104, 'VLU costs'!$D$230:$BB$230,0))
+ INDEX('Mixed costs'!$D$223:$BB$240, MATCH($B107, 'Mixed costs'!$B$223:$B$240,0), MATCH(AA$104, 'Mixed costs'!$D$222:$BB$222,0))
+INDEX('Arterial costs'!$D$223:$BB$240, MATCH($B107, 'Arterial costs'!$B$223:$B$240,0), MATCH(AA$104, 'Arterial costs'!$D$222:$BB$222,0))</f>
        <v>17104.967152684087</v>
      </c>
      <c r="AB107" s="742">
        <f>INDEX('VLU costs'!$D$231:$BB$248, MATCH($B107, 'VLU costs'!$B$231:$B$248,0), MATCH(AB$104, 'VLU costs'!$D$230:$BB$230,0))
+ INDEX('Mixed costs'!$D$223:$BB$240, MATCH($B107, 'Mixed costs'!$B$223:$B$240,0), MATCH(AB$104, 'Mixed costs'!$D$222:$BB$222,0))
+INDEX('Arterial costs'!$D$223:$BB$240, MATCH($B107, 'Arterial costs'!$B$223:$B$240,0), MATCH(AB$104, 'Arterial costs'!$D$222:$BB$222,0))</f>
        <v>17821.574983736009</v>
      </c>
      <c r="AC107" s="742">
        <f>INDEX('VLU costs'!$D$231:$BB$248, MATCH($B107, 'VLU costs'!$B$231:$B$248,0), MATCH(AC$104, 'VLU costs'!$D$230:$BB$230,0))
+ INDEX('Mixed costs'!$D$223:$BB$240, MATCH($B107, 'Mixed costs'!$B$223:$B$240,0), MATCH(AC$104, 'Mixed costs'!$D$222:$BB$222,0))
+INDEX('Arterial costs'!$D$223:$BB$240, MATCH($B107, 'Arterial costs'!$B$223:$B$240,0), MATCH(AC$104, 'Arterial costs'!$D$222:$BB$222,0))</f>
        <v>18558.754368432754</v>
      </c>
      <c r="AD107" s="742">
        <f>INDEX('VLU costs'!$D$231:$BB$248, MATCH($B107, 'VLU costs'!$B$231:$B$248,0), MATCH(AD$104, 'VLU costs'!$D$230:$BB$230,0))
+ INDEX('Mixed costs'!$D$223:$BB$240, MATCH($B107, 'Mixed costs'!$B$223:$B$240,0), MATCH(AD$104, 'Mixed costs'!$D$222:$BB$222,0))
+INDEX('Arterial costs'!$D$223:$BB$240, MATCH($B107, 'Arterial costs'!$B$223:$B$240,0), MATCH(AD$104, 'Arterial costs'!$D$222:$BB$222,0))</f>
        <v>19316.238617826675</v>
      </c>
      <c r="AE107" s="742">
        <f>INDEX('VLU costs'!$D$231:$BB$248, MATCH($B107, 'VLU costs'!$B$231:$B$248,0), MATCH(AE$104, 'VLU costs'!$D$230:$BB$230,0))
+ INDEX('Mixed costs'!$D$223:$BB$240, MATCH($B107, 'Mixed costs'!$B$223:$B$240,0), MATCH(AE$104, 'Mixed costs'!$D$222:$BB$222,0))
+INDEX('Arterial costs'!$D$223:$BB$240, MATCH($B107, 'Arterial costs'!$B$223:$B$240,0), MATCH(AE$104, 'Arterial costs'!$D$222:$BB$222,0))</f>
        <v>20093.764932340033</v>
      </c>
      <c r="AF107" s="742">
        <f>INDEX('VLU costs'!$D$231:$BB$248, MATCH($B107, 'VLU costs'!$B$231:$B$248,0), MATCH(AF$104, 'VLU costs'!$D$230:$BB$230,0))
+ INDEX('Mixed costs'!$D$223:$BB$240, MATCH($B107, 'Mixed costs'!$B$223:$B$240,0), MATCH(AF$104, 'Mixed costs'!$D$222:$BB$222,0))
+INDEX('Arterial costs'!$D$223:$BB$240, MATCH($B107, 'Arterial costs'!$B$223:$B$240,0), MATCH(AF$104, 'Arterial costs'!$D$222:$BB$222,0))</f>
        <v>20892.285824748207</v>
      </c>
      <c r="AG107" s="742">
        <f>INDEX('VLU costs'!$D$231:$BB$248, MATCH($B107, 'VLU costs'!$B$231:$B$248,0), MATCH(AG$104, 'VLU costs'!$D$230:$BB$230,0))
+ INDEX('Mixed costs'!$D$223:$BB$240, MATCH($B107, 'Mixed costs'!$B$223:$B$240,0), MATCH(AG$104, 'Mixed costs'!$D$222:$BB$222,0))
+INDEX('Arterial costs'!$D$223:$BB$240, MATCH($B107, 'Arterial costs'!$B$223:$B$240,0), MATCH(AG$104, 'Arterial costs'!$D$222:$BB$222,0))</f>
        <v>21715.260198317272</v>
      </c>
      <c r="AH107" s="742">
        <f>INDEX('VLU costs'!$D$231:$BB$248, MATCH($B107, 'VLU costs'!$B$231:$B$248,0), MATCH(AH$104, 'VLU costs'!$D$230:$BB$230,0))
+ INDEX('Mixed costs'!$D$223:$BB$240, MATCH($B107, 'Mixed costs'!$B$223:$B$240,0), MATCH(AH$104, 'Mixed costs'!$D$222:$BB$222,0))
+INDEX('Arterial costs'!$D$223:$BB$240, MATCH($B107, 'Arterial costs'!$B$223:$B$240,0), MATCH(AH$104, 'Arterial costs'!$D$222:$BB$222,0))</f>
        <v>22563.619617744516</v>
      </c>
      <c r="AI107" s="742">
        <f>INDEX('VLU costs'!$D$231:$BB$248, MATCH($B107, 'VLU costs'!$B$231:$B$248,0), MATCH(AI$104, 'VLU costs'!$D$230:$BB$230,0))
+ INDEX('Mixed costs'!$D$223:$BB$240, MATCH($B107, 'Mixed costs'!$B$223:$B$240,0), MATCH(AI$104, 'Mixed costs'!$D$222:$BB$222,0))
+INDEX('Arterial costs'!$D$223:$BB$240, MATCH($B107, 'Arterial costs'!$B$223:$B$240,0), MATCH(AI$104, 'Arterial costs'!$D$222:$BB$222,0))</f>
        <v>23439.186819220966</v>
      </c>
      <c r="AJ107" s="742">
        <f>INDEX('VLU costs'!$D$231:$BB$248, MATCH($B107, 'VLU costs'!$B$231:$B$248,0), MATCH(AJ$104, 'VLU costs'!$D$230:$BB$230,0))
+ INDEX('Mixed costs'!$D$223:$BB$240, MATCH($B107, 'Mixed costs'!$B$223:$B$240,0), MATCH(AJ$104, 'Mixed costs'!$D$222:$BB$222,0))
+INDEX('Arterial costs'!$D$223:$BB$240, MATCH($B107, 'Arterial costs'!$B$223:$B$240,0), MATCH(AJ$104, 'Arterial costs'!$D$222:$BB$222,0))</f>
        <v>24339.011572753279</v>
      </c>
      <c r="AK107" s="742">
        <f>INDEX('VLU costs'!$D$231:$BB$248, MATCH($B107, 'VLU costs'!$B$231:$B$248,0), MATCH(AK$104, 'VLU costs'!$D$230:$BB$230,0))
+ INDEX('Mixed costs'!$D$223:$BB$240, MATCH($B107, 'Mixed costs'!$B$223:$B$240,0), MATCH(AK$104, 'Mixed costs'!$D$222:$BB$222,0))
+INDEX('Arterial costs'!$D$223:$BB$240, MATCH($B107, 'Arterial costs'!$B$223:$B$240,0), MATCH(AK$104, 'Arterial costs'!$D$222:$BB$222,0))</f>
        <v>25260.739174478844</v>
      </c>
      <c r="AL107" s="742">
        <f>INDEX('VLU costs'!$D$231:$BB$248, MATCH($B107, 'VLU costs'!$B$231:$B$248,0), MATCH(AL$104, 'VLU costs'!$D$230:$BB$230,0))
+ INDEX('Mixed costs'!$D$223:$BB$240, MATCH($B107, 'Mixed costs'!$B$223:$B$240,0), MATCH(AL$104, 'Mixed costs'!$D$222:$BB$222,0))
+INDEX('Arterial costs'!$D$223:$BB$240, MATCH($B107, 'Arterial costs'!$B$223:$B$240,0), MATCH(AL$104, 'Arterial costs'!$D$222:$BB$222,0))</f>
        <v>26202.711166390553</v>
      </c>
      <c r="AM107" s="742">
        <f>INDEX('VLU costs'!$D$231:$BB$248, MATCH($B107, 'VLU costs'!$B$231:$B$248,0), MATCH(AM$104, 'VLU costs'!$D$230:$BB$230,0))
+ INDEX('Mixed costs'!$D$223:$BB$240, MATCH($B107, 'Mixed costs'!$B$223:$B$240,0), MATCH(AM$104, 'Mixed costs'!$D$222:$BB$222,0))
+INDEX('Arterial costs'!$D$223:$BB$240, MATCH($B107, 'Arterial costs'!$B$223:$B$240,0), MATCH(AM$104, 'Arterial costs'!$D$222:$BB$222,0))</f>
        <v>27166.324974373558</v>
      </c>
      <c r="AN107" s="742">
        <f>INDEX('VLU costs'!$D$231:$BB$248, MATCH($B107, 'VLU costs'!$B$231:$B$248,0), MATCH(AN$104, 'VLU costs'!$D$230:$BB$230,0))
+ INDEX('Mixed costs'!$D$223:$BB$240, MATCH($B107, 'Mixed costs'!$B$223:$B$240,0), MATCH(AN$104, 'Mixed costs'!$D$222:$BB$222,0))
+INDEX('Arterial costs'!$D$223:$BB$240, MATCH($B107, 'Arterial costs'!$B$223:$B$240,0), MATCH(AN$104, 'Arterial costs'!$D$222:$BB$222,0))</f>
        <v>28152.087925214502</v>
      </c>
      <c r="AO107" s="742">
        <f>INDEX('VLU costs'!$D$231:$BB$248, MATCH($B107, 'VLU costs'!$B$231:$B$248,0), MATCH(AO$104, 'VLU costs'!$D$230:$BB$230,0))
+ INDEX('Mixed costs'!$D$223:$BB$240, MATCH($B107, 'Mixed costs'!$B$223:$B$240,0), MATCH(AO$104, 'Mixed costs'!$D$222:$BB$222,0))
+INDEX('Arterial costs'!$D$223:$BB$240, MATCH($B107, 'Arterial costs'!$B$223:$B$240,0), MATCH(AO$104, 'Arterial costs'!$D$222:$BB$222,0))</f>
        <v>29159.708682221233</v>
      </c>
      <c r="AP107" s="742">
        <f>INDEX('VLU costs'!$D$231:$BB$248, MATCH($B107, 'VLU costs'!$B$231:$B$248,0), MATCH(AP$104, 'VLU costs'!$D$230:$BB$230,0))
+ INDEX('Mixed costs'!$D$223:$BB$240, MATCH($B107, 'Mixed costs'!$B$223:$B$240,0), MATCH(AP$104, 'Mixed costs'!$D$222:$BB$222,0))
+INDEX('Arterial costs'!$D$223:$BB$240, MATCH($B107, 'Arterial costs'!$B$223:$B$240,0), MATCH(AP$104, 'Arterial costs'!$D$222:$BB$222,0))</f>
        <v>30193.945357351346</v>
      </c>
      <c r="AQ107" s="742">
        <f>INDEX('VLU costs'!$D$231:$BB$248, MATCH($B107, 'VLU costs'!$B$231:$B$248,0), MATCH(AQ$104, 'VLU costs'!$D$230:$BB$230,0))
+ INDEX('Mixed costs'!$D$223:$BB$240, MATCH($B107, 'Mixed costs'!$B$223:$B$240,0), MATCH(AQ$104, 'Mixed costs'!$D$222:$BB$222,0))
+INDEX('Arterial costs'!$D$223:$BB$240, MATCH($B107, 'Arterial costs'!$B$223:$B$240,0), MATCH(AQ$104, 'Arterial costs'!$D$222:$BB$222,0))</f>
        <v>31260.497430319432</v>
      </c>
      <c r="AR107" s="742">
        <f>INDEX('VLU costs'!$D$231:$BB$248, MATCH($B107, 'VLU costs'!$B$231:$B$248,0), MATCH(AR$104, 'VLU costs'!$D$230:$BB$230,0))
+ INDEX('Mixed costs'!$D$223:$BB$240, MATCH($B107, 'Mixed costs'!$B$223:$B$240,0), MATCH(AR$104, 'Mixed costs'!$D$222:$BB$222,0))
+INDEX('Arterial costs'!$D$223:$BB$240, MATCH($B107, 'Arterial costs'!$B$223:$B$240,0), MATCH(AR$104, 'Arterial costs'!$D$222:$BB$222,0))</f>
        <v>32364.467832140919</v>
      </c>
      <c r="AS107" s="742">
        <f>INDEX('VLU costs'!$D$231:$BB$248, MATCH($B107, 'VLU costs'!$B$231:$B$248,0), MATCH(AS$104, 'VLU costs'!$D$230:$BB$230,0))
+ INDEX('Mixed costs'!$D$223:$BB$240, MATCH($B107, 'Mixed costs'!$B$223:$B$240,0), MATCH(AS$104, 'Mixed costs'!$D$222:$BB$222,0))
+INDEX('Arterial costs'!$D$223:$BB$240, MATCH($B107, 'Arterial costs'!$B$223:$B$240,0), MATCH(AS$104, 'Arterial costs'!$D$222:$BB$222,0))</f>
        <v>33478.943607890928</v>
      </c>
      <c r="AU107" s="737" t="s">
        <v>15</v>
      </c>
    </row>
    <row r="108" spans="1:47">
      <c r="B108" s="741" t="s">
        <v>16</v>
      </c>
      <c r="C108" s="742">
        <f>INDEX('VLU costs'!$D$231:$BB$248, MATCH($B108, 'VLU costs'!$B$231:$B$248,0), MATCH(C$104, 'VLU costs'!$D$230:$BB$230,0))
+ INDEX('Mixed costs'!$D$223:$BB$240, MATCH($B108, 'Mixed costs'!$B$223:$B$240,0), MATCH(C$104, 'Mixed costs'!$D$222:$BB$222,0))
+INDEX('Arterial costs'!$D$223:$BB$240, MATCH($B108, 'Arterial costs'!$B$223:$B$240,0), MATCH(C$104, 'Arterial costs'!$D$222:$BB$222,0))</f>
        <v>87380.366700960963</v>
      </c>
      <c r="D108" s="742">
        <f>INDEX('VLU costs'!$D$231:$BB$248, MATCH($B108, 'VLU costs'!$B$231:$B$248,0), MATCH(D$104, 'VLU costs'!$D$230:$BB$230,0))
+ INDEX('Mixed costs'!$D$223:$BB$240, MATCH($B108, 'Mixed costs'!$B$223:$B$240,0), MATCH(D$104, 'Mixed costs'!$D$222:$BB$222,0))
+INDEX('Arterial costs'!$D$223:$BB$240, MATCH($B108, 'Arterial costs'!$B$223:$B$240,0), MATCH(D$104, 'Arterial costs'!$D$222:$BB$222,0))</f>
        <v>92802.113548902838</v>
      </c>
      <c r="E108" s="742">
        <f>INDEX('VLU costs'!$D$231:$BB$248, MATCH($B108, 'VLU costs'!$B$231:$B$248,0), MATCH(E$104, 'VLU costs'!$D$230:$BB$230,0))
+ INDEX('Mixed costs'!$D$223:$BB$240, MATCH($B108, 'Mixed costs'!$B$223:$B$240,0), MATCH(E$104, 'Mixed costs'!$D$222:$BB$222,0))
+INDEX('Arterial costs'!$D$223:$BB$240, MATCH($B108, 'Arterial costs'!$B$223:$B$240,0), MATCH(E$104, 'Arterial costs'!$D$222:$BB$222,0))</f>
        <v>97997.833299190592</v>
      </c>
      <c r="F108" s="742">
        <f>INDEX('VLU costs'!$D$231:$BB$248, MATCH($B108, 'VLU costs'!$B$231:$B$248,0), MATCH(F$104, 'VLU costs'!$D$230:$BB$230,0))
+ INDEX('Mixed costs'!$D$223:$BB$240, MATCH($B108, 'Mixed costs'!$B$223:$B$240,0), MATCH(F$104, 'Mixed costs'!$D$222:$BB$222,0))
+INDEX('Arterial costs'!$D$223:$BB$240, MATCH($B108, 'Arterial costs'!$B$223:$B$240,0), MATCH(F$104, 'Arterial costs'!$D$222:$BB$222,0))</f>
        <v>103087.82892152871</v>
      </c>
      <c r="G108" s="742">
        <f>INDEX('VLU costs'!$D$231:$BB$248, MATCH($B108, 'VLU costs'!$B$231:$B$248,0), MATCH(G$104, 'VLU costs'!$D$230:$BB$230,0))
+ INDEX('Mixed costs'!$D$223:$BB$240, MATCH($B108, 'Mixed costs'!$B$223:$B$240,0), MATCH(G$104, 'Mixed costs'!$D$222:$BB$222,0))
+INDEX('Arterial costs'!$D$223:$BB$240, MATCH($B108, 'Arterial costs'!$B$223:$B$240,0), MATCH(G$104, 'Arterial costs'!$D$222:$BB$222,0))</f>
        <v>108191.72203964324</v>
      </c>
      <c r="H108" s="742">
        <f>INDEX('VLU costs'!$D$231:$BB$248, MATCH($B108, 'VLU costs'!$B$231:$B$248,0), MATCH(H$104, 'VLU costs'!$D$230:$BB$230,0))
+ INDEX('Mixed costs'!$D$223:$BB$240, MATCH($B108, 'Mixed costs'!$B$223:$B$240,0), MATCH(H$104, 'Mixed costs'!$D$222:$BB$222,0))
+INDEX('Arterial costs'!$D$223:$BB$240, MATCH($B108, 'Arterial costs'!$B$223:$B$240,0), MATCH(H$104, 'Arterial costs'!$D$222:$BB$222,0))</f>
        <v>113379.85851171782</v>
      </c>
      <c r="I108" s="742">
        <f>INDEX('VLU costs'!$D$231:$BB$248, MATCH($B108, 'VLU costs'!$B$231:$B$248,0), MATCH(I$104, 'VLU costs'!$D$230:$BB$230,0))
+ INDEX('Mixed costs'!$D$223:$BB$240, MATCH($B108, 'Mixed costs'!$B$223:$B$240,0), MATCH(I$104, 'Mixed costs'!$D$222:$BB$222,0))
+INDEX('Arterial costs'!$D$223:$BB$240, MATCH($B108, 'Arterial costs'!$B$223:$B$240,0), MATCH(I$104, 'Arterial costs'!$D$222:$BB$222,0))</f>
        <v>118654.42600910597</v>
      </c>
      <c r="J108" s="742">
        <f>INDEX('VLU costs'!$D$231:$BB$248, MATCH($B108, 'VLU costs'!$B$231:$B$248,0), MATCH(J$104, 'VLU costs'!$D$230:$BB$230,0))
+ INDEX('Mixed costs'!$D$223:$BB$240, MATCH($B108, 'Mixed costs'!$B$223:$B$240,0), MATCH(J$104, 'Mixed costs'!$D$222:$BB$222,0))
+INDEX('Arterial costs'!$D$223:$BB$240, MATCH($B108, 'Arterial costs'!$B$223:$B$240,0), MATCH(J$104, 'Arterial costs'!$D$222:$BB$222,0))</f>
        <v>124052.3582846894</v>
      </c>
      <c r="K108" s="742">
        <f>INDEX('VLU costs'!$D$231:$BB$248, MATCH($B108, 'VLU costs'!$B$231:$B$248,0), MATCH(K$104, 'VLU costs'!$D$230:$BB$230,0))
+ INDEX('Mixed costs'!$D$223:$BB$240, MATCH($B108, 'Mixed costs'!$B$223:$B$240,0), MATCH(K$104, 'Mixed costs'!$D$222:$BB$222,0))
+INDEX('Arterial costs'!$D$223:$BB$240, MATCH($B108, 'Arterial costs'!$B$223:$B$240,0), MATCH(K$104, 'Arterial costs'!$D$222:$BB$222,0))</f>
        <v>129803.36689686149</v>
      </c>
      <c r="L108" s="742">
        <f>INDEX('VLU costs'!$D$231:$BB$248, MATCH($B108, 'VLU costs'!$B$231:$B$248,0), MATCH(L$104, 'VLU costs'!$D$230:$BB$230,0))
+ INDEX('Mixed costs'!$D$223:$BB$240, MATCH($B108, 'Mixed costs'!$B$223:$B$240,0), MATCH(L$104, 'Mixed costs'!$D$222:$BB$222,0))
+INDEX('Arterial costs'!$D$223:$BB$240, MATCH($B108, 'Arterial costs'!$B$223:$B$240,0), MATCH(L$104, 'Arterial costs'!$D$222:$BB$222,0))</f>
        <v>135774.43788232538</v>
      </c>
      <c r="M108" s="742">
        <f>INDEX('VLU costs'!$D$231:$BB$248, MATCH($B108, 'VLU costs'!$B$231:$B$248,0), MATCH(M$104, 'VLU costs'!$D$230:$BB$230,0))
+ INDEX('Mixed costs'!$D$223:$BB$240, MATCH($B108, 'Mixed costs'!$B$223:$B$240,0), MATCH(M$104, 'Mixed costs'!$D$222:$BB$222,0))
+INDEX('Arterial costs'!$D$223:$BB$240, MATCH($B108, 'Arterial costs'!$B$223:$B$240,0), MATCH(M$104, 'Arterial costs'!$D$222:$BB$222,0))</f>
        <v>141900.22367193684</v>
      </c>
      <c r="N108" s="742">
        <f>INDEX('VLU costs'!$D$231:$BB$248, MATCH($B108, 'VLU costs'!$B$231:$B$248,0), MATCH(N$104, 'VLU costs'!$D$230:$BB$230,0))
+ INDEX('Mixed costs'!$D$223:$BB$240, MATCH($B108, 'Mixed costs'!$B$223:$B$240,0), MATCH(N$104, 'Mixed costs'!$D$222:$BB$222,0))
+INDEX('Arterial costs'!$D$223:$BB$240, MATCH($B108, 'Arterial costs'!$B$223:$B$240,0), MATCH(N$104, 'Arterial costs'!$D$222:$BB$222,0))</f>
        <v>148152.62455251318</v>
      </c>
      <c r="O108" s="742">
        <f>INDEX('VLU costs'!$D$231:$BB$248, MATCH($B108, 'VLU costs'!$B$231:$B$248,0), MATCH(O$104, 'VLU costs'!$D$230:$BB$230,0))
+ INDEX('Mixed costs'!$D$223:$BB$240, MATCH($B108, 'Mixed costs'!$B$223:$B$240,0), MATCH(O$104, 'Mixed costs'!$D$222:$BB$222,0))
+INDEX('Arterial costs'!$D$223:$BB$240, MATCH($B108, 'Arterial costs'!$B$223:$B$240,0), MATCH(O$104, 'Arterial costs'!$D$222:$BB$222,0))</f>
        <v>154514.34696719513</v>
      </c>
      <c r="P108" s="742">
        <f>INDEX('VLU costs'!$D$231:$BB$248, MATCH($B108, 'VLU costs'!$B$231:$B$248,0), MATCH(P$104, 'VLU costs'!$D$230:$BB$230,0))
+ INDEX('Mixed costs'!$D$223:$BB$240, MATCH($B108, 'Mixed costs'!$B$223:$B$240,0), MATCH(P$104, 'Mixed costs'!$D$222:$BB$222,0))
+INDEX('Arterial costs'!$D$223:$BB$240, MATCH($B108, 'Arterial costs'!$B$223:$B$240,0), MATCH(P$104, 'Arterial costs'!$D$222:$BB$222,0))</f>
        <v>161030.56315197569</v>
      </c>
      <c r="Q108" s="742">
        <f>INDEX('VLU costs'!$D$231:$BB$248, MATCH($B108, 'VLU costs'!$B$231:$B$248,0), MATCH(Q$104, 'VLU costs'!$D$230:$BB$230,0))
+ INDEX('Mixed costs'!$D$223:$BB$240, MATCH($B108, 'Mixed costs'!$B$223:$B$240,0), MATCH(Q$104, 'Mixed costs'!$D$222:$BB$222,0))
+INDEX('Arterial costs'!$D$223:$BB$240, MATCH($B108, 'Arterial costs'!$B$223:$B$240,0), MATCH(Q$104, 'Arterial costs'!$D$222:$BB$222,0))</f>
        <v>167756.68206499435</v>
      </c>
      <c r="R108" s="742">
        <f>INDEX('VLU costs'!$D$231:$BB$248, MATCH($B108, 'VLU costs'!$B$231:$B$248,0), MATCH(R$104, 'VLU costs'!$D$230:$BB$230,0))
+ INDEX('Mixed costs'!$D$223:$BB$240, MATCH($B108, 'Mixed costs'!$B$223:$B$240,0), MATCH(R$104, 'Mixed costs'!$D$222:$BB$222,0))
+INDEX('Arterial costs'!$D$223:$BB$240, MATCH($B108, 'Arterial costs'!$B$223:$B$240,0), MATCH(R$104, 'Arterial costs'!$D$222:$BB$222,0))</f>
        <v>174705.36545519251</v>
      </c>
      <c r="S108" s="742">
        <f>INDEX('VLU costs'!$D$231:$BB$248, MATCH($B108, 'VLU costs'!$B$231:$B$248,0), MATCH(S$104, 'VLU costs'!$D$230:$BB$230,0))
+ INDEX('Mixed costs'!$D$223:$BB$240, MATCH($B108, 'Mixed costs'!$B$223:$B$240,0), MATCH(S$104, 'Mixed costs'!$D$222:$BB$222,0))
+INDEX('Arterial costs'!$D$223:$BB$240, MATCH($B108, 'Arterial costs'!$B$223:$B$240,0), MATCH(S$104, 'Arterial costs'!$D$222:$BB$222,0))</f>
        <v>181838.53026152408</v>
      </c>
      <c r="T108" s="742">
        <f>INDEX('VLU costs'!$D$231:$BB$248, MATCH($B108, 'VLU costs'!$B$231:$B$248,0), MATCH(T$104, 'VLU costs'!$D$230:$BB$230,0))
+ INDEX('Mixed costs'!$D$223:$BB$240, MATCH($B108, 'Mixed costs'!$B$223:$B$240,0), MATCH(T$104, 'Mixed costs'!$D$222:$BB$222,0))
+INDEX('Arterial costs'!$D$223:$BB$240, MATCH($B108, 'Arterial costs'!$B$223:$B$240,0), MATCH(T$104, 'Arterial costs'!$D$222:$BB$222,0))</f>
        <v>189167.12519303703</v>
      </c>
      <c r="U108" s="742">
        <f>INDEX('VLU costs'!$D$231:$BB$248, MATCH($B108, 'VLU costs'!$B$231:$B$248,0), MATCH(U$104, 'VLU costs'!$D$230:$BB$230,0))
+ INDEX('Mixed costs'!$D$223:$BB$240, MATCH($B108, 'Mixed costs'!$B$223:$B$240,0), MATCH(U$104, 'Mixed costs'!$D$222:$BB$222,0))
+INDEX('Arterial costs'!$D$223:$BB$240, MATCH($B108, 'Arterial costs'!$B$223:$B$240,0), MATCH(U$104, 'Arterial costs'!$D$222:$BB$222,0))</f>
        <v>196804.52444349483</v>
      </c>
      <c r="V108" s="742">
        <f>INDEX('VLU costs'!$D$231:$BB$248, MATCH($B108, 'VLU costs'!$B$231:$B$248,0), MATCH(V$104, 'VLU costs'!$D$230:$BB$230,0))
+ INDEX('Mixed costs'!$D$223:$BB$240, MATCH($B108, 'Mixed costs'!$B$223:$B$240,0), MATCH(V$104, 'Mixed costs'!$D$222:$BB$222,0))
+INDEX('Arterial costs'!$D$223:$BB$240, MATCH($B108, 'Arterial costs'!$B$223:$B$240,0), MATCH(V$104, 'Arterial costs'!$D$222:$BB$222,0))</f>
        <v>204667.53105978211</v>
      </c>
      <c r="W108" s="742">
        <f>INDEX('VLU costs'!$D$231:$BB$248, MATCH($B108, 'VLU costs'!$B$231:$B$248,0), MATCH(W$104, 'VLU costs'!$D$230:$BB$230,0))
+ INDEX('Mixed costs'!$D$223:$BB$240, MATCH($B108, 'Mixed costs'!$B$223:$B$240,0), MATCH(W$104, 'Mixed costs'!$D$222:$BB$222,0))
+INDEX('Arterial costs'!$D$223:$BB$240, MATCH($B108, 'Arterial costs'!$B$223:$B$240,0), MATCH(W$104, 'Arterial costs'!$D$222:$BB$222,0))</f>
        <v>212734.83221974794</v>
      </c>
      <c r="X108" s="742">
        <f>INDEX('VLU costs'!$D$231:$BB$248, MATCH($B108, 'VLU costs'!$B$231:$B$248,0), MATCH(X$104, 'VLU costs'!$D$230:$BB$230,0))
+ INDEX('Mixed costs'!$D$223:$BB$240, MATCH($B108, 'Mixed costs'!$B$223:$B$240,0), MATCH(X$104, 'Mixed costs'!$D$222:$BB$222,0))
+INDEX('Arterial costs'!$D$223:$BB$240, MATCH($B108, 'Arterial costs'!$B$223:$B$240,0), MATCH(X$104, 'Arterial costs'!$D$222:$BB$222,0))</f>
        <v>221006.48339600573</v>
      </c>
      <c r="Y108" s="742">
        <f>INDEX('VLU costs'!$D$231:$BB$248, MATCH($B108, 'VLU costs'!$B$231:$B$248,0), MATCH(Y$104, 'VLU costs'!$D$230:$BB$230,0))
+ INDEX('Mixed costs'!$D$223:$BB$240, MATCH($B108, 'Mixed costs'!$B$223:$B$240,0), MATCH(Y$104, 'Mixed costs'!$D$222:$BB$222,0))
+INDEX('Arterial costs'!$D$223:$BB$240, MATCH($B108, 'Arterial costs'!$B$223:$B$240,0), MATCH(Y$104, 'Arterial costs'!$D$222:$BB$222,0))</f>
        <v>229534.58331985725</v>
      </c>
      <c r="Z108" s="742">
        <f>INDEX('VLU costs'!$D$231:$BB$248, MATCH($B108, 'VLU costs'!$B$231:$B$248,0), MATCH(Z$104, 'VLU costs'!$D$230:$BB$230,0))
+ INDEX('Mixed costs'!$D$223:$BB$240, MATCH($B108, 'Mixed costs'!$B$223:$B$240,0), MATCH(Z$104, 'Mixed costs'!$D$222:$BB$222,0))
+INDEX('Arterial costs'!$D$223:$BB$240, MATCH($B108, 'Arterial costs'!$B$223:$B$240,0), MATCH(Z$104, 'Arterial costs'!$D$222:$BB$222,0))</f>
        <v>238314.71425636558</v>
      </c>
      <c r="AA108" s="742">
        <f>INDEX('VLU costs'!$D$231:$BB$248, MATCH($B108, 'VLU costs'!$B$231:$B$248,0), MATCH(AA$104, 'VLU costs'!$D$230:$BB$230,0))
+ INDEX('Mixed costs'!$D$223:$BB$240, MATCH($B108, 'Mixed costs'!$B$223:$B$240,0), MATCH(AA$104, 'Mixed costs'!$D$222:$BB$222,0))
+INDEX('Arterial costs'!$D$223:$BB$240, MATCH($B108, 'Arterial costs'!$B$223:$B$240,0), MATCH(AA$104, 'Arterial costs'!$D$222:$BB$222,0))</f>
        <v>247332.47676050378</v>
      </c>
      <c r="AB108" s="742">
        <f>INDEX('VLU costs'!$D$231:$BB$248, MATCH($B108, 'VLU costs'!$B$231:$B$248,0), MATCH(AB$104, 'VLU costs'!$D$230:$BB$230,0))
+ INDEX('Mixed costs'!$D$223:$BB$240, MATCH($B108, 'Mixed costs'!$B$223:$B$240,0), MATCH(AB$104, 'Mixed costs'!$D$222:$BB$222,0))
+INDEX('Arterial costs'!$D$223:$BB$240, MATCH($B108, 'Arterial costs'!$B$223:$B$240,0), MATCH(AB$104, 'Arterial costs'!$D$222:$BB$222,0))</f>
        <v>256576.80429538968</v>
      </c>
      <c r="AC108" s="742">
        <f>INDEX('VLU costs'!$D$231:$BB$248, MATCH($B108, 'VLU costs'!$B$231:$B$248,0), MATCH(AC$104, 'VLU costs'!$D$230:$BB$230,0))
+ INDEX('Mixed costs'!$D$223:$BB$240, MATCH($B108, 'Mixed costs'!$B$223:$B$240,0), MATCH(AC$104, 'Mixed costs'!$D$222:$BB$222,0))
+INDEX('Arterial costs'!$D$223:$BB$240, MATCH($B108, 'Arterial costs'!$B$223:$B$240,0), MATCH(AC$104, 'Arterial costs'!$D$222:$BB$222,0))</f>
        <v>266035.42813471321</v>
      </c>
      <c r="AD108" s="742">
        <f>INDEX('VLU costs'!$D$231:$BB$248, MATCH($B108, 'VLU costs'!$B$231:$B$248,0), MATCH(AD$104, 'VLU costs'!$D$230:$BB$230,0))
+ INDEX('Mixed costs'!$D$223:$BB$240, MATCH($B108, 'Mixed costs'!$B$223:$B$240,0), MATCH(AD$104, 'Mixed costs'!$D$222:$BB$222,0))
+INDEX('Arterial costs'!$D$223:$BB$240, MATCH($B108, 'Arterial costs'!$B$223:$B$240,0), MATCH(AD$104, 'Arterial costs'!$D$222:$BB$222,0))</f>
        <v>275699.24309171748</v>
      </c>
      <c r="AE108" s="742">
        <f>INDEX('VLU costs'!$D$231:$BB$248, MATCH($B108, 'VLU costs'!$B$231:$B$248,0), MATCH(AE$104, 'VLU costs'!$D$230:$BB$230,0))
+ INDEX('Mixed costs'!$D$223:$BB$240, MATCH($B108, 'Mixed costs'!$B$223:$B$240,0), MATCH(AE$104, 'Mixed costs'!$D$222:$BB$222,0))
+INDEX('Arterial costs'!$D$223:$BB$240, MATCH($B108, 'Arterial costs'!$B$223:$B$240,0), MATCH(AE$104, 'Arterial costs'!$D$222:$BB$222,0))</f>
        <v>285559.23244570423</v>
      </c>
      <c r="AF108" s="742">
        <f>INDEX('VLU costs'!$D$231:$BB$248, MATCH($B108, 'VLU costs'!$B$231:$B$248,0), MATCH(AF$104, 'VLU costs'!$D$230:$BB$230,0))
+ INDEX('Mixed costs'!$D$223:$BB$240, MATCH($B108, 'Mixed costs'!$B$223:$B$240,0), MATCH(AF$104, 'Mixed costs'!$D$222:$BB$222,0))
+INDEX('Arterial costs'!$D$223:$BB$240, MATCH($B108, 'Arterial costs'!$B$223:$B$240,0), MATCH(AF$104, 'Arterial costs'!$D$222:$BB$222,0))</f>
        <v>295627.54346124898</v>
      </c>
      <c r="AG108" s="742">
        <f>INDEX('VLU costs'!$D$231:$BB$248, MATCH($B108, 'VLU costs'!$B$231:$B$248,0), MATCH(AG$104, 'VLU costs'!$D$230:$BB$230,0))
+ INDEX('Mixed costs'!$D$223:$BB$240, MATCH($B108, 'Mixed costs'!$B$223:$B$240,0), MATCH(AG$104, 'Mixed costs'!$D$222:$BB$222,0))
+INDEX('Arterial costs'!$D$223:$BB$240, MATCH($B108, 'Arterial costs'!$B$223:$B$240,0), MATCH(AG$104, 'Arterial costs'!$D$222:$BB$222,0))</f>
        <v>305959.69936035236</v>
      </c>
      <c r="AH108" s="742">
        <f>INDEX('VLU costs'!$D$231:$BB$248, MATCH($B108, 'VLU costs'!$B$231:$B$248,0), MATCH(AH$104, 'VLU costs'!$D$230:$BB$230,0))
+ INDEX('Mixed costs'!$D$223:$BB$240, MATCH($B108, 'Mixed costs'!$B$223:$B$240,0), MATCH(AH$104, 'Mixed costs'!$D$222:$BB$222,0))
+INDEX('Arterial costs'!$D$223:$BB$240, MATCH($B108, 'Arterial costs'!$B$223:$B$240,0), MATCH(AH$104, 'Arterial costs'!$D$222:$BB$222,0))</f>
        <v>316566.49627186143</v>
      </c>
      <c r="AI108" s="742">
        <f>INDEX('VLU costs'!$D$231:$BB$248, MATCH($B108, 'VLU costs'!$B$231:$B$248,0), MATCH(AI$104, 'VLU costs'!$D$230:$BB$230,0))
+ INDEX('Mixed costs'!$D$223:$BB$240, MATCH($B108, 'Mixed costs'!$B$223:$B$240,0), MATCH(AI$104, 'Mixed costs'!$D$222:$BB$222,0))
+INDEX('Arterial costs'!$D$223:$BB$240, MATCH($B108, 'Arterial costs'!$B$223:$B$240,0), MATCH(AI$104, 'Arterial costs'!$D$222:$BB$222,0))</f>
        <v>327474.04306357302</v>
      </c>
      <c r="AJ108" s="742">
        <f>INDEX('VLU costs'!$D$231:$BB$248, MATCH($B108, 'VLU costs'!$B$231:$B$248,0), MATCH(AJ$104, 'VLU costs'!$D$230:$BB$230,0))
+ INDEX('Mixed costs'!$D$223:$BB$240, MATCH($B108, 'Mixed costs'!$B$223:$B$240,0), MATCH(AJ$104, 'Mixed costs'!$D$222:$BB$222,0))
+INDEX('Arterial costs'!$D$223:$BB$240, MATCH($B108, 'Arterial costs'!$B$223:$B$240,0), MATCH(AJ$104, 'Arterial costs'!$D$222:$BB$222,0))</f>
        <v>338625.01244163106</v>
      </c>
      <c r="AK108" s="742">
        <f>INDEX('VLU costs'!$D$231:$BB$248, MATCH($B108, 'VLU costs'!$B$231:$B$248,0), MATCH(AK$104, 'VLU costs'!$D$230:$BB$230,0))
+ INDEX('Mixed costs'!$D$223:$BB$240, MATCH($B108, 'Mixed costs'!$B$223:$B$240,0), MATCH(AK$104, 'Mixed costs'!$D$222:$BB$222,0))
+INDEX('Arterial costs'!$D$223:$BB$240, MATCH($B108, 'Arterial costs'!$B$223:$B$240,0), MATCH(AK$104, 'Arterial costs'!$D$222:$BB$222,0))</f>
        <v>349973.05438109866</v>
      </c>
      <c r="AL108" s="742">
        <f>INDEX('VLU costs'!$D$231:$BB$248, MATCH($B108, 'VLU costs'!$B$231:$B$248,0), MATCH(AL$104, 'VLU costs'!$D$230:$BB$230,0))
+ INDEX('Mixed costs'!$D$223:$BB$240, MATCH($B108, 'Mixed costs'!$B$223:$B$240,0), MATCH(AL$104, 'Mixed costs'!$D$222:$BB$222,0))
+INDEX('Arterial costs'!$D$223:$BB$240, MATCH($B108, 'Arterial costs'!$B$223:$B$240,0), MATCH(AL$104, 'Arterial costs'!$D$222:$BB$222,0))</f>
        <v>361484.38558048604</v>
      </c>
      <c r="AM108" s="742">
        <f>INDEX('VLU costs'!$D$231:$BB$248, MATCH($B108, 'VLU costs'!$B$231:$B$248,0), MATCH(AM$104, 'VLU costs'!$D$230:$BB$230,0))
+ INDEX('Mixed costs'!$D$223:$BB$240, MATCH($B108, 'Mixed costs'!$B$223:$B$240,0), MATCH(AM$104, 'Mixed costs'!$D$222:$BB$222,0))
+INDEX('Arterial costs'!$D$223:$BB$240, MATCH($B108, 'Arterial costs'!$B$223:$B$240,0), MATCH(AM$104, 'Arterial costs'!$D$222:$BB$222,0))</f>
        <v>373178.68110966164</v>
      </c>
      <c r="AN108" s="742">
        <f>INDEX('VLU costs'!$D$231:$BB$248, MATCH($B108, 'VLU costs'!$B$231:$B$248,0), MATCH(AN$104, 'VLU costs'!$D$230:$BB$230,0))
+ INDEX('Mixed costs'!$D$223:$BB$240, MATCH($B108, 'Mixed costs'!$B$223:$B$240,0), MATCH(AN$104, 'Mixed costs'!$D$222:$BB$222,0))
+INDEX('Arterial costs'!$D$223:$BB$240, MATCH($B108, 'Arterial costs'!$B$223:$B$240,0), MATCH(AN$104, 'Arterial costs'!$D$222:$BB$222,0))</f>
        <v>385059.76422474498</v>
      </c>
      <c r="AO108" s="742">
        <f>INDEX('VLU costs'!$D$231:$BB$248, MATCH($B108, 'VLU costs'!$B$231:$B$248,0), MATCH(AO$104, 'VLU costs'!$D$230:$BB$230,0))
+ INDEX('Mixed costs'!$D$223:$BB$240, MATCH($B108, 'Mixed costs'!$B$223:$B$240,0), MATCH(AO$104, 'Mixed costs'!$D$222:$BB$222,0))
+INDEX('Arterial costs'!$D$223:$BB$240, MATCH($B108, 'Arterial costs'!$B$223:$B$240,0), MATCH(AO$104, 'Arterial costs'!$D$222:$BB$222,0))</f>
        <v>397117.40080195805</v>
      </c>
      <c r="AP108" s="742">
        <f>INDEX('VLU costs'!$D$231:$BB$248, MATCH($B108, 'VLU costs'!$B$231:$B$248,0), MATCH(AP$104, 'VLU costs'!$D$230:$BB$230,0))
+ INDEX('Mixed costs'!$D$223:$BB$240, MATCH($B108, 'Mixed costs'!$B$223:$B$240,0), MATCH(AP$104, 'Mixed costs'!$D$222:$BB$222,0))
+INDEX('Arterial costs'!$D$223:$BB$240, MATCH($B108, 'Arterial costs'!$B$223:$B$240,0), MATCH(AP$104, 'Arterial costs'!$D$222:$BB$222,0))</f>
        <v>409429.23583570123</v>
      </c>
      <c r="AQ108" s="742">
        <f>INDEX('VLU costs'!$D$231:$BB$248, MATCH($B108, 'VLU costs'!$B$231:$B$248,0), MATCH(AQ$104, 'VLU costs'!$D$230:$BB$230,0))
+ INDEX('Mixed costs'!$D$223:$BB$240, MATCH($B108, 'Mixed costs'!$B$223:$B$240,0), MATCH(AQ$104, 'Mixed costs'!$D$222:$BB$222,0))
+INDEX('Arterial costs'!$D$223:$BB$240, MATCH($B108, 'Arterial costs'!$B$223:$B$240,0), MATCH(AQ$104, 'Arterial costs'!$D$222:$BB$222,0))</f>
        <v>422088.26015170349</v>
      </c>
      <c r="AR108" s="742">
        <f>INDEX('VLU costs'!$D$231:$BB$248, MATCH($B108, 'VLU costs'!$B$231:$B$248,0), MATCH(AR$104, 'VLU costs'!$D$230:$BB$230,0))
+ INDEX('Mixed costs'!$D$223:$BB$240, MATCH($B108, 'Mixed costs'!$B$223:$B$240,0), MATCH(AR$104, 'Mixed costs'!$D$222:$BB$222,0))
+INDEX('Arterial costs'!$D$223:$BB$240, MATCH($B108, 'Arterial costs'!$B$223:$B$240,0), MATCH(AR$104, 'Arterial costs'!$D$222:$BB$222,0))</f>
        <v>435175.89943108597</v>
      </c>
      <c r="AS108" s="742">
        <f>INDEX('VLU costs'!$D$231:$BB$248, MATCH($B108, 'VLU costs'!$B$231:$B$248,0), MATCH(AS$104, 'VLU costs'!$D$230:$BB$230,0))
+ INDEX('Mixed costs'!$D$223:$BB$240, MATCH($B108, 'Mixed costs'!$B$223:$B$240,0), MATCH(AS$104, 'Mixed costs'!$D$222:$BB$222,0))
+INDEX('Arterial costs'!$D$223:$BB$240, MATCH($B108, 'Arterial costs'!$B$223:$B$240,0), MATCH(AS$104, 'Arterial costs'!$D$222:$BB$222,0))</f>
        <v>448215.44215833483</v>
      </c>
      <c r="AU108" s="738" t="s">
        <v>16</v>
      </c>
    </row>
    <row r="109" spans="1:47">
      <c r="B109" s="741" t="s">
        <v>103</v>
      </c>
      <c r="C109" s="742">
        <f>INDEX('VLU costs'!$D$231:$BB$248, MATCH($B109, 'VLU costs'!$B$231:$B$248,0), MATCH(C$104, 'VLU costs'!$D$230:$BB$230,0))
+ INDEX('Mixed costs'!$D$223:$BB$240, MATCH($B109, 'Mixed costs'!$B$223:$B$240,0), MATCH(C$104, 'Mixed costs'!$D$222:$BB$222,0))
+INDEX('Arterial costs'!$D$223:$BB$240, MATCH($B109, 'Arterial costs'!$B$223:$B$240,0), MATCH(C$104, 'Arterial costs'!$D$222:$BB$222,0))</f>
        <v>666527.69409990811</v>
      </c>
      <c r="D109" s="742">
        <f>INDEX('VLU costs'!$D$231:$BB$248, MATCH($B109, 'VLU costs'!$B$231:$B$248,0), MATCH(D$104, 'VLU costs'!$D$230:$BB$230,0))
+ INDEX('Mixed costs'!$D$223:$BB$240, MATCH($B109, 'Mixed costs'!$B$223:$B$240,0), MATCH(D$104, 'Mixed costs'!$D$222:$BB$222,0))
+INDEX('Arterial costs'!$D$223:$BB$240, MATCH($B109, 'Arterial costs'!$B$223:$B$240,0), MATCH(D$104, 'Arterial costs'!$D$222:$BB$222,0))</f>
        <v>710556.55052116187</v>
      </c>
      <c r="E109" s="742">
        <f>INDEX('VLU costs'!$D$231:$BB$248, MATCH($B109, 'VLU costs'!$B$231:$B$248,0), MATCH(E$104, 'VLU costs'!$D$230:$BB$230,0))
+ INDEX('Mixed costs'!$D$223:$BB$240, MATCH($B109, 'Mixed costs'!$B$223:$B$240,0), MATCH(E$104, 'Mixed costs'!$D$222:$BB$222,0))
+INDEX('Arterial costs'!$D$223:$BB$240, MATCH($B109, 'Arterial costs'!$B$223:$B$240,0), MATCH(E$104, 'Arterial costs'!$D$222:$BB$222,0))</f>
        <v>753125.612983778</v>
      </c>
      <c r="F109" s="742">
        <f>INDEX('VLU costs'!$D$231:$BB$248, MATCH($B109, 'VLU costs'!$B$231:$B$248,0), MATCH(F$104, 'VLU costs'!$D$230:$BB$230,0))
+ INDEX('Mixed costs'!$D$223:$BB$240, MATCH($B109, 'Mixed costs'!$B$223:$B$240,0), MATCH(F$104, 'Mixed costs'!$D$222:$BB$222,0))
+INDEX('Arterial costs'!$D$223:$BB$240, MATCH($B109, 'Arterial costs'!$B$223:$B$240,0), MATCH(F$104, 'Arterial costs'!$D$222:$BB$222,0))</f>
        <v>795087.77366257727</v>
      </c>
      <c r="G109" s="742">
        <f>INDEX('VLU costs'!$D$231:$BB$248, MATCH($B109, 'VLU costs'!$B$231:$B$248,0), MATCH(G$104, 'VLU costs'!$D$230:$BB$230,0))
+ INDEX('Mixed costs'!$D$223:$BB$240, MATCH($B109, 'Mixed costs'!$B$223:$B$240,0), MATCH(G$104, 'Mixed costs'!$D$222:$BB$222,0))
+INDEX('Arterial costs'!$D$223:$BB$240, MATCH($B109, 'Arterial costs'!$B$223:$B$240,0), MATCH(G$104, 'Arterial costs'!$D$222:$BB$222,0))</f>
        <v>837291.58322161471</v>
      </c>
      <c r="H109" s="742">
        <f>INDEX('VLU costs'!$D$231:$BB$248, MATCH($B109, 'VLU costs'!$B$231:$B$248,0), MATCH(H$104, 'VLU costs'!$D$230:$BB$230,0))
+ INDEX('Mixed costs'!$D$223:$BB$240, MATCH($B109, 'Mixed costs'!$B$223:$B$240,0), MATCH(H$104, 'Mixed costs'!$D$222:$BB$222,0))
+INDEX('Arterial costs'!$D$223:$BB$240, MATCH($B109, 'Arterial costs'!$B$223:$B$240,0), MATCH(H$104, 'Arterial costs'!$D$222:$BB$222,0))</f>
        <v>880241.36692420323</v>
      </c>
      <c r="I109" s="742">
        <f>INDEX('VLU costs'!$D$231:$BB$248, MATCH($B109, 'VLU costs'!$B$231:$B$248,0), MATCH(I$104, 'VLU costs'!$D$230:$BB$230,0))
+ INDEX('Mixed costs'!$D$223:$BB$240, MATCH($B109, 'Mixed costs'!$B$223:$B$240,0), MATCH(I$104, 'Mixed costs'!$D$222:$BB$222,0))
+INDEX('Arterial costs'!$D$223:$BB$240, MATCH($B109, 'Arterial costs'!$B$223:$B$240,0), MATCH(I$104, 'Arterial costs'!$D$222:$BB$222,0))</f>
        <v>923966.36195650313</v>
      </c>
      <c r="J109" s="742">
        <f>INDEX('VLU costs'!$D$231:$BB$248, MATCH($B109, 'VLU costs'!$B$231:$B$248,0), MATCH(J$104, 'VLU costs'!$D$230:$BB$230,0))
+ INDEX('Mixed costs'!$D$223:$BB$240, MATCH($B109, 'Mixed costs'!$B$223:$B$240,0), MATCH(J$104, 'Mixed costs'!$D$222:$BB$222,0))
+INDEX('Arterial costs'!$D$223:$BB$240, MATCH($B109, 'Arterial costs'!$B$223:$B$240,0), MATCH(J$104, 'Arterial costs'!$D$222:$BB$222,0))</f>
        <v>968734.54369796207</v>
      </c>
      <c r="K109" s="742">
        <f>INDEX('VLU costs'!$D$231:$BB$248, MATCH($B109, 'VLU costs'!$B$231:$B$248,0), MATCH(K$104, 'VLU costs'!$D$230:$BB$230,0))
+ INDEX('Mixed costs'!$D$223:$BB$240, MATCH($B109, 'Mixed costs'!$B$223:$B$240,0), MATCH(K$104, 'Mixed costs'!$D$222:$BB$222,0))
+INDEX('Arterial costs'!$D$223:$BB$240, MATCH($B109, 'Arterial costs'!$B$223:$B$240,0), MATCH(K$104, 'Arterial costs'!$D$222:$BB$222,0))</f>
        <v>1016142.4454207958</v>
      </c>
      <c r="L109" s="742">
        <f>INDEX('VLU costs'!$D$231:$BB$248, MATCH($B109, 'VLU costs'!$B$231:$B$248,0), MATCH(L$104, 'VLU costs'!$D$230:$BB$230,0))
+ INDEX('Mixed costs'!$D$223:$BB$240, MATCH($B109, 'Mixed costs'!$B$223:$B$240,0), MATCH(L$104, 'Mixed costs'!$D$222:$BB$222,0))
+INDEX('Arterial costs'!$D$223:$BB$240, MATCH($B109, 'Arterial costs'!$B$223:$B$240,0), MATCH(L$104, 'Arterial costs'!$D$222:$BB$222,0))</f>
        <v>1065293.2835640316</v>
      </c>
      <c r="M109" s="742">
        <f>INDEX('VLU costs'!$D$231:$BB$248, MATCH($B109, 'VLU costs'!$B$231:$B$248,0), MATCH(M$104, 'VLU costs'!$D$230:$BB$230,0))
+ INDEX('Mixed costs'!$D$223:$BB$240, MATCH($B109, 'Mixed costs'!$B$223:$B$240,0), MATCH(M$104, 'Mixed costs'!$D$222:$BB$222,0))
+INDEX('Arterial costs'!$D$223:$BB$240, MATCH($B109, 'Arterial costs'!$B$223:$B$240,0), MATCH(M$104, 'Arterial costs'!$D$222:$BB$222,0))</f>
        <v>1115750.2597008422</v>
      </c>
      <c r="N109" s="742">
        <f>INDEX('VLU costs'!$D$231:$BB$248, MATCH($B109, 'VLU costs'!$B$231:$B$248,0), MATCH(N$104, 'VLU costs'!$D$230:$BB$230,0))
+ INDEX('Mixed costs'!$D$223:$BB$240, MATCH($B109, 'Mixed costs'!$B$223:$B$240,0), MATCH(N$104, 'Mixed costs'!$D$222:$BB$222,0))
+INDEX('Arterial costs'!$D$223:$BB$240, MATCH($B109, 'Arterial costs'!$B$223:$B$240,0), MATCH(N$104, 'Arterial costs'!$D$222:$BB$222,0))</f>
        <v>1167329.2583134046</v>
      </c>
      <c r="O109" s="742">
        <f>INDEX('VLU costs'!$D$231:$BB$248, MATCH($B109, 'VLU costs'!$B$231:$B$248,0), MATCH(O$104, 'VLU costs'!$D$230:$BB$230,0))
+ INDEX('Mixed costs'!$D$223:$BB$240, MATCH($B109, 'Mixed costs'!$B$223:$B$240,0), MATCH(O$104, 'Mixed costs'!$D$222:$BB$222,0))
+INDEX('Arterial costs'!$D$223:$BB$240, MATCH($B109, 'Arterial costs'!$B$223:$B$240,0), MATCH(O$104, 'Arterial costs'!$D$222:$BB$222,0))</f>
        <v>1219919.1245938116</v>
      </c>
      <c r="P109" s="742">
        <f>INDEX('VLU costs'!$D$231:$BB$248, MATCH($B109, 'VLU costs'!$B$231:$B$248,0), MATCH(P$104, 'VLU costs'!$D$230:$BB$230,0))
+ INDEX('Mixed costs'!$D$223:$BB$240, MATCH($B109, 'Mixed costs'!$B$223:$B$240,0), MATCH(P$104, 'Mixed costs'!$D$222:$BB$222,0))
+INDEX('Arterial costs'!$D$223:$BB$240, MATCH($B109, 'Arterial costs'!$B$223:$B$240,0), MATCH(P$104, 'Arterial costs'!$D$222:$BB$222,0))</f>
        <v>1273831.5587478057</v>
      </c>
      <c r="Q109" s="742">
        <f>INDEX('VLU costs'!$D$231:$BB$248, MATCH($B109, 'VLU costs'!$B$231:$B$248,0), MATCH(Q$104, 'VLU costs'!$D$230:$BB$230,0))
+ INDEX('Mixed costs'!$D$223:$BB$240, MATCH($B109, 'Mixed costs'!$B$223:$B$240,0), MATCH(Q$104, 'Mixed costs'!$D$222:$BB$222,0))
+INDEX('Arterial costs'!$D$223:$BB$240, MATCH($B109, 'Arterial costs'!$B$223:$B$240,0), MATCH(Q$104, 'Arterial costs'!$D$222:$BB$222,0))</f>
        <v>1329447.6456609599</v>
      </c>
      <c r="R109" s="742">
        <f>INDEX('VLU costs'!$D$231:$BB$248, MATCH($B109, 'VLU costs'!$B$231:$B$248,0), MATCH(R$104, 'VLU costs'!$D$230:$BB$230,0))
+ INDEX('Mixed costs'!$D$223:$BB$240, MATCH($B109, 'Mixed costs'!$B$223:$B$240,0), MATCH(R$104, 'Mixed costs'!$D$222:$BB$222,0))
+INDEX('Arterial costs'!$D$223:$BB$240, MATCH($B109, 'Arterial costs'!$B$223:$B$240,0), MATCH(R$104, 'Arterial costs'!$D$222:$BB$222,0))</f>
        <v>1386861.2191773306</v>
      </c>
      <c r="S109" s="742">
        <f>INDEX('VLU costs'!$D$231:$BB$248, MATCH($B109, 'VLU costs'!$B$231:$B$248,0), MATCH(S$104, 'VLU costs'!$D$230:$BB$230,0))
+ INDEX('Mixed costs'!$D$223:$BB$240, MATCH($B109, 'Mixed costs'!$B$223:$B$240,0), MATCH(S$104, 'Mixed costs'!$D$222:$BB$222,0))
+INDEX('Arterial costs'!$D$223:$BB$240, MATCH($B109, 'Arterial costs'!$B$223:$B$240,0), MATCH(S$104, 'Arterial costs'!$D$222:$BB$222,0))</f>
        <v>1445825.8785987606</v>
      </c>
      <c r="T109" s="742">
        <f>INDEX('VLU costs'!$D$231:$BB$248, MATCH($B109, 'VLU costs'!$B$231:$B$248,0), MATCH(T$104, 'VLU costs'!$D$230:$BB$230,0))
+ INDEX('Mixed costs'!$D$223:$BB$240, MATCH($B109, 'Mixed costs'!$B$223:$B$240,0), MATCH(T$104, 'Mixed costs'!$D$222:$BB$222,0))
+INDEX('Arterial costs'!$D$223:$BB$240, MATCH($B109, 'Arterial costs'!$B$223:$B$240,0), MATCH(T$104, 'Arterial costs'!$D$222:$BB$222,0))</f>
        <v>1506421.7249184081</v>
      </c>
      <c r="U109" s="742">
        <f>INDEX('VLU costs'!$D$231:$BB$248, MATCH($B109, 'VLU costs'!$B$231:$B$248,0), MATCH(U$104, 'VLU costs'!$D$230:$BB$230,0))
+ INDEX('Mixed costs'!$D$223:$BB$240, MATCH($B109, 'Mixed costs'!$B$223:$B$240,0), MATCH(U$104, 'Mixed costs'!$D$222:$BB$222,0))
+INDEX('Arterial costs'!$D$223:$BB$240, MATCH($B109, 'Arterial costs'!$B$223:$B$240,0), MATCH(U$104, 'Arterial costs'!$D$222:$BB$222,0))</f>
        <v>1569409.6445201659</v>
      </c>
      <c r="V109" s="742">
        <f>INDEX('VLU costs'!$D$231:$BB$248, MATCH($B109, 'VLU costs'!$B$231:$B$248,0), MATCH(V$104, 'VLU costs'!$D$230:$BB$230,0))
+ INDEX('Mixed costs'!$D$223:$BB$240, MATCH($B109, 'Mixed costs'!$B$223:$B$240,0), MATCH(V$104, 'Mixed costs'!$D$222:$BB$222,0))
+INDEX('Arterial costs'!$D$223:$BB$240, MATCH($B109, 'Arterial costs'!$B$223:$B$240,0), MATCH(V$104, 'Arterial costs'!$D$222:$BB$222,0))</f>
        <v>1634249.3401865892</v>
      </c>
      <c r="W109" s="742">
        <f>INDEX('VLU costs'!$D$231:$BB$248, MATCH($B109, 'VLU costs'!$B$231:$B$248,0), MATCH(W$104, 'VLU costs'!$D$230:$BB$230,0))
+ INDEX('Mixed costs'!$D$223:$BB$240, MATCH($B109, 'Mixed costs'!$B$223:$B$240,0), MATCH(W$104, 'Mixed costs'!$D$222:$BB$222,0))
+INDEX('Arterial costs'!$D$223:$BB$240, MATCH($B109, 'Arterial costs'!$B$223:$B$240,0), MATCH(W$104, 'Arterial costs'!$D$222:$BB$222,0))</f>
        <v>1700807.6357312968</v>
      </c>
      <c r="X109" s="742">
        <f>INDEX('VLU costs'!$D$231:$BB$248, MATCH($B109, 'VLU costs'!$B$231:$B$248,0), MATCH(X$104, 'VLU costs'!$D$230:$BB$230,0))
+ INDEX('Mixed costs'!$D$223:$BB$240, MATCH($B109, 'Mixed costs'!$B$223:$B$240,0), MATCH(X$104, 'Mixed costs'!$D$222:$BB$222,0))
+INDEX('Arterial costs'!$D$223:$BB$240, MATCH($B109, 'Arterial costs'!$B$223:$B$240,0), MATCH(X$104, 'Arterial costs'!$D$222:$BB$222,0))</f>
        <v>1769091.7532875822</v>
      </c>
      <c r="Y109" s="742">
        <f>INDEX('VLU costs'!$D$231:$BB$248, MATCH($B109, 'VLU costs'!$B$231:$B$248,0), MATCH(Y$104, 'VLU costs'!$D$230:$BB$230,0))
+ INDEX('Mixed costs'!$D$223:$BB$240, MATCH($B109, 'Mixed costs'!$B$223:$B$240,0), MATCH(Y$104, 'Mixed costs'!$D$222:$BB$222,0))
+INDEX('Arterial costs'!$D$223:$BB$240, MATCH($B109, 'Arterial costs'!$B$223:$B$240,0), MATCH(Y$104, 'Arterial costs'!$D$222:$BB$222,0))</f>
        <v>1839449.9441226642</v>
      </c>
      <c r="Z109" s="742">
        <f>INDEX('VLU costs'!$D$231:$BB$248, MATCH($B109, 'VLU costs'!$B$231:$B$248,0), MATCH(Z$104, 'VLU costs'!$D$230:$BB$230,0))
+ INDEX('Mixed costs'!$D$223:$BB$240, MATCH($B109, 'Mixed costs'!$B$223:$B$240,0), MATCH(Z$104, 'Mixed costs'!$D$222:$BB$222,0))
+INDEX('Arterial costs'!$D$223:$BB$240, MATCH($B109, 'Arterial costs'!$B$223:$B$240,0), MATCH(Z$104, 'Arterial costs'!$D$222:$BB$222,0))</f>
        <v>1911862.2239077906</v>
      </c>
      <c r="AA109" s="742">
        <f>INDEX('VLU costs'!$D$231:$BB$248, MATCH($B109, 'VLU costs'!$B$231:$B$248,0), MATCH(AA$104, 'VLU costs'!$D$230:$BB$230,0))
+ INDEX('Mixed costs'!$D$223:$BB$240, MATCH($B109, 'Mixed costs'!$B$223:$B$240,0), MATCH(AA$104, 'Mixed costs'!$D$222:$BB$222,0))
+INDEX('Arterial costs'!$D$223:$BB$240, MATCH($B109, 'Arterial costs'!$B$223:$B$240,0), MATCH(AA$104, 'Arterial costs'!$D$222:$BB$222,0))</f>
        <v>1986243.6034131027</v>
      </c>
      <c r="AB109" s="742">
        <f>INDEX('VLU costs'!$D$231:$BB$248, MATCH($B109, 'VLU costs'!$B$231:$B$248,0), MATCH(AB$104, 'VLU costs'!$D$230:$BB$230,0))
+ INDEX('Mixed costs'!$D$223:$BB$240, MATCH($B109, 'Mixed costs'!$B$223:$B$240,0), MATCH(AB$104, 'Mixed costs'!$D$222:$BB$222,0))
+INDEX('Arterial costs'!$D$223:$BB$240, MATCH($B109, 'Arterial costs'!$B$223:$B$240,0), MATCH(AB$104, 'Arterial costs'!$D$222:$BB$222,0))</f>
        <v>2062530.6264800043</v>
      </c>
      <c r="AC109" s="742">
        <f>INDEX('VLU costs'!$D$231:$BB$248, MATCH($B109, 'VLU costs'!$B$231:$B$248,0), MATCH(AC$104, 'VLU costs'!$D$230:$BB$230,0))
+ INDEX('Mixed costs'!$D$223:$BB$240, MATCH($B109, 'Mixed costs'!$B$223:$B$240,0), MATCH(AC$104, 'Mixed costs'!$D$222:$BB$222,0))
+INDEX('Arterial costs'!$D$223:$BB$240, MATCH($B109, 'Arterial costs'!$B$223:$B$240,0), MATCH(AC$104, 'Arterial costs'!$D$222:$BB$222,0))</f>
        <v>2140652.2108440446</v>
      </c>
      <c r="AD109" s="742">
        <f>INDEX('VLU costs'!$D$231:$BB$248, MATCH($B109, 'VLU costs'!$B$231:$B$248,0), MATCH(AD$104, 'VLU costs'!$D$230:$BB$230,0))
+ INDEX('Mixed costs'!$D$223:$BB$240, MATCH($B109, 'Mixed costs'!$B$223:$B$240,0), MATCH(AD$104, 'Mixed costs'!$D$222:$BB$222,0))
+INDEX('Arterial costs'!$D$223:$BB$240, MATCH($B109, 'Arterial costs'!$B$223:$B$240,0), MATCH(AD$104, 'Arterial costs'!$D$222:$BB$222,0))</f>
        <v>2220557.8373276303</v>
      </c>
      <c r="AE109" s="742">
        <f>INDEX('VLU costs'!$D$231:$BB$248, MATCH($B109, 'VLU costs'!$B$231:$B$248,0), MATCH(AE$104, 'VLU costs'!$D$230:$BB$230,0))
+ INDEX('Mixed costs'!$D$223:$BB$240, MATCH($B109, 'Mixed costs'!$B$223:$B$240,0), MATCH(AE$104, 'Mixed costs'!$D$222:$BB$222,0))
+INDEX('Arterial costs'!$D$223:$BB$240, MATCH($B109, 'Arterial costs'!$B$223:$B$240,0), MATCH(AE$104, 'Arterial costs'!$D$222:$BB$222,0))</f>
        <v>2302197.886050195</v>
      </c>
      <c r="AF109" s="742">
        <f>INDEX('VLU costs'!$D$231:$BB$248, MATCH($B109, 'VLU costs'!$B$231:$B$248,0), MATCH(AF$104, 'VLU costs'!$D$230:$BB$230,0))
+ INDEX('Mixed costs'!$D$223:$BB$240, MATCH($B109, 'Mixed costs'!$B$223:$B$240,0), MATCH(AF$104, 'Mixed costs'!$D$222:$BB$222,0))
+INDEX('Arterial costs'!$D$223:$BB$240, MATCH($B109, 'Arterial costs'!$B$223:$B$240,0), MATCH(AF$104, 'Arterial costs'!$D$222:$BB$222,0))</f>
        <v>2385658.137716176</v>
      </c>
      <c r="AG109" s="742">
        <f>INDEX('VLU costs'!$D$231:$BB$248, MATCH($B109, 'VLU costs'!$B$231:$B$248,0), MATCH(AG$104, 'VLU costs'!$D$230:$BB$230,0))
+ INDEX('Mixed costs'!$D$223:$BB$240, MATCH($B109, 'Mixed costs'!$B$223:$B$240,0), MATCH(AG$104, 'Mixed costs'!$D$222:$BB$222,0))
+INDEX('Arterial costs'!$D$223:$BB$240, MATCH($B109, 'Arterial costs'!$B$223:$B$240,0), MATCH(AG$104, 'Arterial costs'!$D$222:$BB$222,0))</f>
        <v>2471300.5721518206</v>
      </c>
      <c r="AH109" s="742">
        <f>INDEX('VLU costs'!$D$231:$BB$248, MATCH($B109, 'VLU costs'!$B$231:$B$248,0), MATCH(AH$104, 'VLU costs'!$D$230:$BB$230,0))
+ INDEX('Mixed costs'!$D$223:$BB$240, MATCH($B109, 'Mixed costs'!$B$223:$B$240,0), MATCH(AH$104, 'Mixed costs'!$D$222:$BB$222,0))
+INDEX('Arterial costs'!$D$223:$BB$240, MATCH($B109, 'Arterial costs'!$B$223:$B$240,0), MATCH(AH$104, 'Arterial costs'!$D$222:$BB$222,0))</f>
        <v>2559204.4993234319</v>
      </c>
      <c r="AI109" s="742">
        <f>INDEX('VLU costs'!$D$231:$BB$248, MATCH($B109, 'VLU costs'!$B$231:$B$248,0), MATCH(AI$104, 'VLU costs'!$D$230:$BB$230,0))
+ INDEX('Mixed costs'!$D$223:$BB$240, MATCH($B109, 'Mixed costs'!$B$223:$B$240,0), MATCH(AI$104, 'Mixed costs'!$D$222:$BB$222,0))
+INDEX('Arterial costs'!$D$223:$BB$240, MATCH($B109, 'Arterial costs'!$B$223:$B$240,0), MATCH(AI$104, 'Arterial costs'!$D$222:$BB$222,0))</f>
        <v>2649545.8293516291</v>
      </c>
      <c r="AJ109" s="742">
        <f>INDEX('VLU costs'!$D$231:$BB$248, MATCH($B109, 'VLU costs'!$B$231:$B$248,0), MATCH(AJ$104, 'VLU costs'!$D$230:$BB$230,0))
+ INDEX('Mixed costs'!$D$223:$BB$240, MATCH($B109, 'Mixed costs'!$B$223:$B$240,0), MATCH(AJ$104, 'Mixed costs'!$D$222:$BB$222,0))
+INDEX('Arterial costs'!$D$223:$BB$240, MATCH($B109, 'Arterial costs'!$B$223:$B$240,0), MATCH(AJ$104, 'Arterial costs'!$D$222:$BB$222,0))</f>
        <v>2741976.1074166577</v>
      </c>
      <c r="AK109" s="742">
        <f>INDEX('VLU costs'!$D$231:$BB$248, MATCH($B109, 'VLU costs'!$B$231:$B$248,0), MATCH(AK$104, 'VLU costs'!$D$230:$BB$230,0))
+ INDEX('Mixed costs'!$D$223:$BB$240, MATCH($B109, 'Mixed costs'!$B$223:$B$240,0), MATCH(AK$104, 'Mixed costs'!$D$222:$BB$222,0))
+INDEX('Arterial costs'!$D$223:$BB$240, MATCH($B109, 'Arterial costs'!$B$223:$B$240,0), MATCH(AK$104, 'Arterial costs'!$D$222:$BB$222,0))</f>
        <v>2836215.2603342244</v>
      </c>
      <c r="AL109" s="742">
        <f>INDEX('VLU costs'!$D$231:$BB$248, MATCH($B109, 'VLU costs'!$B$231:$B$248,0), MATCH(AL$104, 'VLU costs'!$D$230:$BB$230,0))
+ INDEX('Mixed costs'!$D$223:$BB$240, MATCH($B109, 'Mixed costs'!$B$223:$B$240,0), MATCH(AL$104, 'Mixed costs'!$D$222:$BB$222,0))
+INDEX('Arterial costs'!$D$223:$BB$240, MATCH($B109, 'Arterial costs'!$B$223:$B$240,0), MATCH(AL$104, 'Arterial costs'!$D$222:$BB$222,0))</f>
        <v>2932061.7952470738</v>
      </c>
      <c r="AM109" s="742">
        <f>INDEX('VLU costs'!$D$231:$BB$248, MATCH($B109, 'VLU costs'!$B$231:$B$248,0), MATCH(AM$104, 'VLU costs'!$D$230:$BB$230,0))
+ INDEX('Mixed costs'!$D$223:$BB$240, MATCH($B109, 'Mixed costs'!$B$223:$B$240,0), MATCH(AM$104, 'Mixed costs'!$D$222:$BB$222,0))
+INDEX('Arterial costs'!$D$223:$BB$240, MATCH($B109, 'Arterial costs'!$B$223:$B$240,0), MATCH(AM$104, 'Arterial costs'!$D$222:$BB$222,0))</f>
        <v>3029647.031983587</v>
      </c>
      <c r="AN109" s="742">
        <f>INDEX('VLU costs'!$D$231:$BB$248, MATCH($B109, 'VLU costs'!$B$231:$B$248,0), MATCH(AN$104, 'VLU costs'!$D$230:$BB$230,0))
+ INDEX('Mixed costs'!$D$223:$BB$240, MATCH($B109, 'Mixed costs'!$B$223:$B$240,0), MATCH(AN$104, 'Mixed costs'!$D$222:$BB$222,0))
+INDEX('Arterial costs'!$D$223:$BB$240, MATCH($B109, 'Arterial costs'!$B$223:$B$240,0), MATCH(AN$104, 'Arterial costs'!$D$222:$BB$222,0))</f>
        <v>3129005.0252929246</v>
      </c>
      <c r="AO109" s="742">
        <f>INDEX('VLU costs'!$D$231:$BB$248, MATCH($B109, 'VLU costs'!$B$231:$B$248,0), MATCH(AO$104, 'VLU costs'!$D$230:$BB$230,0))
+ INDEX('Mixed costs'!$D$223:$BB$240, MATCH($B109, 'Mixed costs'!$B$223:$B$240,0), MATCH(AO$104, 'Mixed costs'!$D$222:$BB$222,0))
+INDEX('Arterial costs'!$D$223:$BB$240, MATCH($B109, 'Arterial costs'!$B$223:$B$240,0), MATCH(AO$104, 'Arterial costs'!$D$222:$BB$222,0))</f>
        <v>3230083.6966488892</v>
      </c>
      <c r="AP109" s="742">
        <f>INDEX('VLU costs'!$D$231:$BB$248, MATCH($B109, 'VLU costs'!$B$231:$B$248,0), MATCH(AP$104, 'VLU costs'!$D$230:$BB$230,0))
+ INDEX('Mixed costs'!$D$223:$BB$240, MATCH($B109, 'Mixed costs'!$B$223:$B$240,0), MATCH(AP$104, 'Mixed costs'!$D$222:$BB$222,0))
+INDEX('Arterial costs'!$D$223:$BB$240, MATCH($B109, 'Arterial costs'!$B$223:$B$240,0), MATCH(AP$104, 'Arterial costs'!$D$222:$BB$222,0))</f>
        <v>3333371.5815668134</v>
      </c>
      <c r="AQ109" s="742">
        <f>INDEX('VLU costs'!$D$231:$BB$248, MATCH($B109, 'VLU costs'!$B$231:$B$248,0), MATCH(AQ$104, 'VLU costs'!$D$230:$BB$230,0))
+ INDEX('Mixed costs'!$D$223:$BB$240, MATCH($B109, 'Mixed costs'!$B$223:$B$240,0), MATCH(AQ$104, 'Mixed costs'!$D$222:$BB$222,0))
+INDEX('Arterial costs'!$D$223:$BB$240, MATCH($B109, 'Arterial costs'!$B$223:$B$240,0), MATCH(AQ$104, 'Arterial costs'!$D$222:$BB$222,0))</f>
        <v>3439452.017129255</v>
      </c>
      <c r="AR109" s="742">
        <f>INDEX('VLU costs'!$D$231:$BB$248, MATCH($B109, 'VLU costs'!$B$231:$B$248,0), MATCH(AR$104, 'VLU costs'!$D$230:$BB$230,0))
+ INDEX('Mixed costs'!$D$223:$BB$240, MATCH($B109, 'Mixed costs'!$B$223:$B$240,0), MATCH(AR$104, 'Mixed costs'!$D$222:$BB$222,0))
+INDEX('Arterial costs'!$D$223:$BB$240, MATCH($B109, 'Arterial costs'!$B$223:$B$240,0), MATCH(AR$104, 'Arterial costs'!$D$222:$BB$222,0))</f>
        <v>3548838.1110784225</v>
      </c>
      <c r="AS109" s="742">
        <f>INDEX('VLU costs'!$D$231:$BB$248, MATCH($B109, 'VLU costs'!$B$231:$B$248,0), MATCH(AS$104, 'VLU costs'!$D$230:$BB$230,0))
+ INDEX('Mixed costs'!$D$223:$BB$240, MATCH($B109, 'Mixed costs'!$B$223:$B$240,0), MATCH(AS$104, 'Mixed costs'!$D$222:$BB$222,0))
+INDEX('Arterial costs'!$D$223:$BB$240, MATCH($B109, 'Arterial costs'!$B$223:$B$240,0), MATCH(AS$104, 'Arterial costs'!$D$222:$BB$222,0))</f>
        <v>3658650.1866220795</v>
      </c>
      <c r="AU109" s="738" t="s">
        <v>103</v>
      </c>
    </row>
    <row r="110" spans="1:47">
      <c r="B110" s="741" t="s">
        <v>104</v>
      </c>
      <c r="C110" s="742">
        <f>INDEX('VLU costs'!$D$231:$BB$248, MATCH($B110, 'VLU costs'!$B$231:$B$248,0), MATCH(C$104, 'VLU costs'!$D$230:$BB$230,0))
+ INDEX('Mixed costs'!$D$223:$BB$240, MATCH($B110, 'Mixed costs'!$B$223:$B$240,0), MATCH(C$104, 'Mixed costs'!$D$222:$BB$222,0))
+INDEX('Arterial costs'!$D$223:$BB$240, MATCH($B110, 'Arterial costs'!$B$223:$B$240,0), MATCH(C$104, 'Arterial costs'!$D$222:$BB$222,0))</f>
        <v>77072.310579558907</v>
      </c>
      <c r="D110" s="742">
        <f>INDEX('VLU costs'!$D$231:$BB$248, MATCH($B110, 'VLU costs'!$B$231:$B$248,0), MATCH(D$104, 'VLU costs'!$D$230:$BB$230,0))
+ INDEX('Mixed costs'!$D$223:$BB$240, MATCH($B110, 'Mixed costs'!$B$223:$B$240,0), MATCH(D$104, 'Mixed costs'!$D$222:$BB$222,0))
+INDEX('Arterial costs'!$D$223:$BB$240, MATCH($B110, 'Arterial costs'!$B$223:$B$240,0), MATCH(D$104, 'Arterial costs'!$D$222:$BB$222,0))</f>
        <v>81512.185897722549</v>
      </c>
      <c r="E110" s="742">
        <f>INDEX('VLU costs'!$D$231:$BB$248, MATCH($B110, 'VLU costs'!$B$231:$B$248,0), MATCH(E$104, 'VLU costs'!$D$230:$BB$230,0))
+ INDEX('Mixed costs'!$D$223:$BB$240, MATCH($B110, 'Mixed costs'!$B$223:$B$240,0), MATCH(E$104, 'Mixed costs'!$D$222:$BB$222,0))
+INDEX('Arterial costs'!$D$223:$BB$240, MATCH($B110, 'Arterial costs'!$B$223:$B$240,0), MATCH(E$104, 'Arterial costs'!$D$222:$BB$222,0))</f>
        <v>85700.07390143408</v>
      </c>
      <c r="F110" s="742">
        <f>INDEX('VLU costs'!$D$231:$BB$248, MATCH($B110, 'VLU costs'!$B$231:$B$248,0), MATCH(F$104, 'VLU costs'!$D$230:$BB$230,0))
+ INDEX('Mixed costs'!$D$223:$BB$240, MATCH($B110, 'Mixed costs'!$B$223:$B$240,0), MATCH(F$104, 'Mixed costs'!$D$222:$BB$222,0))
+INDEX('Arterial costs'!$D$223:$BB$240, MATCH($B110, 'Arterial costs'!$B$223:$B$240,0), MATCH(F$104, 'Arterial costs'!$D$222:$BB$222,0))</f>
        <v>89742.61079800014</v>
      </c>
      <c r="G110" s="742">
        <f>INDEX('VLU costs'!$D$231:$BB$248, MATCH($B110, 'VLU costs'!$B$231:$B$248,0), MATCH(G$104, 'VLU costs'!$D$230:$BB$230,0))
+ INDEX('Mixed costs'!$D$223:$BB$240, MATCH($B110, 'Mixed costs'!$B$223:$B$240,0), MATCH(G$104, 'Mixed costs'!$D$222:$BB$222,0))
+INDEX('Arterial costs'!$D$223:$BB$240, MATCH($B110, 'Arterial costs'!$B$223:$B$240,0), MATCH(G$104, 'Arterial costs'!$D$222:$BB$222,0))</f>
        <v>93744.841353699099</v>
      </c>
      <c r="H110" s="742">
        <f>INDEX('VLU costs'!$D$231:$BB$248, MATCH($B110, 'VLU costs'!$B$231:$B$248,0), MATCH(H$104, 'VLU costs'!$D$230:$BB$230,0))
+ INDEX('Mixed costs'!$D$223:$BB$240, MATCH($B110, 'Mixed costs'!$B$223:$B$240,0), MATCH(H$104, 'Mixed costs'!$D$222:$BB$222,0))
+INDEX('Arterial costs'!$D$223:$BB$240, MATCH($B110, 'Arterial costs'!$B$223:$B$240,0), MATCH(H$104, 'Arterial costs'!$D$222:$BB$222,0))</f>
        <v>97768.431354496497</v>
      </c>
      <c r="I110" s="742">
        <f>INDEX('VLU costs'!$D$231:$BB$248, MATCH($B110, 'VLU costs'!$B$231:$B$248,0), MATCH(I$104, 'VLU costs'!$D$230:$BB$230,0))
+ INDEX('Mixed costs'!$D$223:$BB$240, MATCH($B110, 'Mixed costs'!$B$223:$B$240,0), MATCH(I$104, 'Mixed costs'!$D$222:$BB$222,0))
+INDEX('Arterial costs'!$D$223:$BB$240, MATCH($B110, 'Arterial costs'!$B$223:$B$240,0), MATCH(I$104, 'Arterial costs'!$D$222:$BB$222,0))</f>
        <v>101815.98432795354</v>
      </c>
      <c r="J110" s="742">
        <f>INDEX('VLU costs'!$D$231:$BB$248, MATCH($B110, 'VLU costs'!$B$231:$B$248,0), MATCH(J$104, 'VLU costs'!$D$230:$BB$230,0))
+ INDEX('Mixed costs'!$D$223:$BB$240, MATCH($B110, 'Mixed costs'!$B$223:$B$240,0), MATCH(J$104, 'Mixed costs'!$D$222:$BB$222,0))
+INDEX('Arterial costs'!$D$223:$BB$240, MATCH($B110, 'Arterial costs'!$B$223:$B$240,0), MATCH(J$104, 'Arterial costs'!$D$222:$BB$222,0))</f>
        <v>105919.28482906375</v>
      </c>
      <c r="K110" s="742">
        <f>INDEX('VLU costs'!$D$231:$BB$248, MATCH($B110, 'VLU costs'!$B$231:$B$248,0), MATCH(K$104, 'VLU costs'!$D$230:$BB$230,0))
+ INDEX('Mixed costs'!$D$223:$BB$240, MATCH($B110, 'Mixed costs'!$B$223:$B$240,0), MATCH(K$104, 'Mixed costs'!$D$222:$BB$222,0))
+INDEX('Arterial costs'!$D$223:$BB$240, MATCH($B110, 'Arterial costs'!$B$223:$B$240,0), MATCH(K$104, 'Arterial costs'!$D$222:$BB$222,0))</f>
        <v>110272.85629284584</v>
      </c>
      <c r="L110" s="742">
        <f>INDEX('VLU costs'!$D$231:$BB$248, MATCH($B110, 'VLU costs'!$B$231:$B$248,0), MATCH(L$104, 'VLU costs'!$D$230:$BB$230,0))
+ INDEX('Mixed costs'!$D$223:$BB$240, MATCH($B110, 'Mixed costs'!$B$223:$B$240,0), MATCH(L$104, 'Mixed costs'!$D$222:$BB$222,0))
+INDEX('Arterial costs'!$D$223:$BB$240, MATCH($B110, 'Arterial costs'!$B$223:$B$240,0), MATCH(L$104, 'Arterial costs'!$D$222:$BB$222,0))</f>
        <v>114762.94775362936</v>
      </c>
      <c r="M110" s="742">
        <f>INDEX('VLU costs'!$D$231:$BB$248, MATCH($B110, 'VLU costs'!$B$231:$B$248,0), MATCH(M$104, 'VLU costs'!$D$230:$BB$230,0))
+ INDEX('Mixed costs'!$D$223:$BB$240, MATCH($B110, 'Mixed costs'!$B$223:$B$240,0), MATCH(M$104, 'Mixed costs'!$D$222:$BB$222,0))
+INDEX('Arterial costs'!$D$223:$BB$240, MATCH($B110, 'Arterial costs'!$B$223:$B$240,0), MATCH(M$104, 'Arterial costs'!$D$222:$BB$222,0))</f>
        <v>119333.25157743046</v>
      </c>
      <c r="N110" s="742">
        <f>INDEX('VLU costs'!$D$231:$BB$248, MATCH($B110, 'VLU costs'!$B$231:$B$248,0), MATCH(N$104, 'VLU costs'!$D$230:$BB$230,0))
+ INDEX('Mixed costs'!$D$223:$BB$240, MATCH($B110, 'Mixed costs'!$B$223:$B$240,0), MATCH(N$104, 'Mixed costs'!$D$222:$BB$222,0))
+INDEX('Arterial costs'!$D$223:$BB$240, MATCH($B110, 'Arterial costs'!$B$223:$B$240,0), MATCH(N$104, 'Arterial costs'!$D$222:$BB$222,0))</f>
        <v>123958.95805968583</v>
      </c>
      <c r="O110" s="742">
        <f>INDEX('VLU costs'!$D$231:$BB$248, MATCH($B110, 'VLU costs'!$B$231:$B$248,0), MATCH(O$104, 'VLU costs'!$D$230:$BB$230,0))
+ INDEX('Mixed costs'!$D$223:$BB$240, MATCH($B110, 'Mixed costs'!$B$223:$B$240,0), MATCH(O$104, 'Mixed costs'!$D$222:$BB$222,0))
+INDEX('Arterial costs'!$D$223:$BB$240, MATCH($B110, 'Arterial costs'!$B$223:$B$240,0), MATCH(O$104, 'Arterial costs'!$D$222:$BB$222,0))</f>
        <v>128624.40989530471</v>
      </c>
      <c r="P110" s="742">
        <f>INDEX('VLU costs'!$D$231:$BB$248, MATCH($B110, 'VLU costs'!$B$231:$B$248,0), MATCH(P$104, 'VLU costs'!$D$230:$BB$230,0))
+ INDEX('Mixed costs'!$D$223:$BB$240, MATCH($B110, 'Mixed costs'!$B$223:$B$240,0), MATCH(P$104, 'Mixed costs'!$D$222:$BB$222,0))
+INDEX('Arterial costs'!$D$223:$BB$240, MATCH($B110, 'Arterial costs'!$B$223:$B$240,0), MATCH(P$104, 'Arterial costs'!$D$222:$BB$222,0))</f>
        <v>133365.99784116456</v>
      </c>
      <c r="Q110" s="742">
        <f>INDEX('VLU costs'!$D$231:$BB$248, MATCH($B110, 'VLU costs'!$B$231:$B$248,0), MATCH(Q$104, 'VLU costs'!$D$230:$BB$230,0))
+ INDEX('Mixed costs'!$D$223:$BB$240, MATCH($B110, 'Mixed costs'!$B$223:$B$240,0), MATCH(Q$104, 'Mixed costs'!$D$222:$BB$222,0))
+INDEX('Arterial costs'!$D$223:$BB$240, MATCH($B110, 'Arterial costs'!$B$223:$B$240,0), MATCH(Q$104, 'Arterial costs'!$D$222:$BB$222,0))</f>
        <v>138228.23312405482</v>
      </c>
      <c r="R110" s="742">
        <f>INDEX('VLU costs'!$D$231:$BB$248, MATCH($B110, 'VLU costs'!$B$231:$B$248,0), MATCH(R$104, 'VLU costs'!$D$230:$BB$230,0))
+ INDEX('Mixed costs'!$D$223:$BB$240, MATCH($B110, 'Mixed costs'!$B$223:$B$240,0), MATCH(R$104, 'Mixed costs'!$D$222:$BB$222,0))
+INDEX('Arterial costs'!$D$223:$BB$240, MATCH($B110, 'Arterial costs'!$B$223:$B$240,0), MATCH(R$104, 'Arterial costs'!$D$222:$BB$222,0))</f>
        <v>143219.84451637982</v>
      </c>
      <c r="S110" s="742">
        <f>INDEX('VLU costs'!$D$231:$BB$248, MATCH($B110, 'VLU costs'!$B$231:$B$248,0), MATCH(S$104, 'VLU costs'!$D$230:$BB$230,0))
+ INDEX('Mixed costs'!$D$223:$BB$240, MATCH($B110, 'Mixed costs'!$B$223:$B$240,0), MATCH(S$104, 'Mixed costs'!$D$222:$BB$222,0))
+INDEX('Arterial costs'!$D$223:$BB$240, MATCH($B110, 'Arterial costs'!$B$223:$B$240,0), MATCH(S$104, 'Arterial costs'!$D$222:$BB$222,0))</f>
        <v>148307.61084484949</v>
      </c>
      <c r="T110" s="742">
        <f>INDEX('VLU costs'!$D$231:$BB$248, MATCH($B110, 'VLU costs'!$B$231:$B$248,0), MATCH(T$104, 'VLU costs'!$D$230:$BB$230,0))
+ INDEX('Mixed costs'!$D$223:$BB$240, MATCH($B110, 'Mixed costs'!$B$223:$B$240,0), MATCH(T$104, 'Mixed costs'!$D$222:$BB$222,0))
+INDEX('Arterial costs'!$D$223:$BB$240, MATCH($B110, 'Arterial costs'!$B$223:$B$240,0), MATCH(T$104, 'Arterial costs'!$D$222:$BB$222,0))</f>
        <v>153498.66788385721</v>
      </c>
      <c r="U110" s="742">
        <f>INDEX('VLU costs'!$D$231:$BB$248, MATCH($B110, 'VLU costs'!$B$231:$B$248,0), MATCH(U$104, 'VLU costs'!$D$230:$BB$230,0))
+ INDEX('Mixed costs'!$D$223:$BB$240, MATCH($B110, 'Mixed costs'!$B$223:$B$240,0), MATCH(U$104, 'Mixed costs'!$D$222:$BB$222,0))
+INDEX('Arterial costs'!$D$223:$BB$240, MATCH($B110, 'Arterial costs'!$B$223:$B$240,0), MATCH(U$104, 'Arterial costs'!$D$222:$BB$222,0))</f>
        <v>158883.63156945413</v>
      </c>
      <c r="V110" s="742">
        <f>INDEX('VLU costs'!$D$231:$BB$248, MATCH($B110, 'VLU costs'!$B$231:$B$248,0), MATCH(V$104, 'VLU costs'!$D$230:$BB$230,0))
+ INDEX('Mixed costs'!$D$223:$BB$240, MATCH($B110, 'Mixed costs'!$B$223:$B$240,0), MATCH(V$104, 'Mixed costs'!$D$222:$BB$222,0))
+INDEX('Arterial costs'!$D$223:$BB$240, MATCH($B110, 'Arterial costs'!$B$223:$B$240,0), MATCH(V$104, 'Arterial costs'!$D$222:$BB$222,0))</f>
        <v>164392.34545934561</v>
      </c>
      <c r="W110" s="742">
        <f>INDEX('VLU costs'!$D$231:$BB$248, MATCH($B110, 'VLU costs'!$B$231:$B$248,0), MATCH(W$104, 'VLU costs'!$D$230:$BB$230,0))
+ INDEX('Mixed costs'!$D$223:$BB$240, MATCH($B110, 'Mixed costs'!$B$223:$B$240,0), MATCH(W$104, 'Mixed costs'!$D$222:$BB$222,0))
+INDEX('Arterial costs'!$D$223:$BB$240, MATCH($B110, 'Arterial costs'!$B$223:$B$240,0), MATCH(W$104, 'Arterial costs'!$D$222:$BB$222,0))</f>
        <v>170005.25381846778</v>
      </c>
      <c r="X110" s="742">
        <f>INDEX('VLU costs'!$D$231:$BB$248, MATCH($B110, 'VLU costs'!$B$231:$B$248,0), MATCH(X$104, 'VLU costs'!$D$230:$BB$230,0))
+ INDEX('Mixed costs'!$D$223:$BB$240, MATCH($B110, 'Mixed costs'!$B$223:$B$240,0), MATCH(X$104, 'Mixed costs'!$D$222:$BB$222,0))
+INDEX('Arterial costs'!$D$223:$BB$240, MATCH($B110, 'Arterial costs'!$B$223:$B$240,0), MATCH(X$104, 'Arterial costs'!$D$222:$BB$222,0))</f>
        <v>175720.18269408596</v>
      </c>
      <c r="Y110" s="742">
        <f>INDEX('VLU costs'!$D$231:$BB$248, MATCH($B110, 'VLU costs'!$B$231:$B$248,0), MATCH(Y$104, 'VLU costs'!$D$230:$BB$230,0))
+ INDEX('Mixed costs'!$D$223:$BB$240, MATCH($B110, 'Mixed costs'!$B$223:$B$240,0), MATCH(Y$104, 'Mixed costs'!$D$222:$BB$222,0))
+INDEX('Arterial costs'!$D$223:$BB$240, MATCH($B110, 'Arterial costs'!$B$223:$B$240,0), MATCH(Y$104, 'Arterial costs'!$D$222:$BB$222,0))</f>
        <v>181576.81424716522</v>
      </c>
      <c r="Z110" s="742">
        <f>INDEX('VLU costs'!$D$231:$BB$248, MATCH($B110, 'VLU costs'!$B$231:$B$248,0), MATCH(Z$104, 'VLU costs'!$D$230:$BB$230,0))
+ INDEX('Mixed costs'!$D$223:$BB$240, MATCH($B110, 'Mixed costs'!$B$223:$B$240,0), MATCH(Z$104, 'Mixed costs'!$D$222:$BB$222,0))
+INDEX('Arterial costs'!$D$223:$BB$240, MATCH($B110, 'Arterial costs'!$B$223:$B$240,0), MATCH(Z$104, 'Arterial costs'!$D$222:$BB$222,0))</f>
        <v>187569.15795437893</v>
      </c>
      <c r="AA110" s="742">
        <f>INDEX('VLU costs'!$D$231:$BB$248, MATCH($B110, 'VLU costs'!$B$231:$B$248,0), MATCH(AA$104, 'VLU costs'!$D$230:$BB$230,0))
+ INDEX('Mixed costs'!$D$223:$BB$240, MATCH($B110, 'Mixed costs'!$B$223:$B$240,0), MATCH(AA$104, 'Mixed costs'!$D$222:$BB$222,0))
+INDEX('Arterial costs'!$D$223:$BB$240, MATCH($B110, 'Arterial costs'!$B$223:$B$240,0), MATCH(AA$104, 'Arterial costs'!$D$222:$BB$222,0))</f>
        <v>193683.22820581403</v>
      </c>
      <c r="AB110" s="742">
        <f>INDEX('VLU costs'!$D$231:$BB$248, MATCH($B110, 'VLU costs'!$B$231:$B$248,0), MATCH(AB$104, 'VLU costs'!$D$230:$BB$230,0))
+ INDEX('Mixed costs'!$D$223:$BB$240, MATCH($B110, 'Mixed costs'!$B$223:$B$240,0), MATCH(AB$104, 'Mixed costs'!$D$222:$BB$222,0))
+INDEX('Arterial costs'!$D$223:$BB$240, MATCH($B110, 'Arterial costs'!$B$223:$B$240,0), MATCH(AB$104, 'Arterial costs'!$D$222:$BB$222,0))</f>
        <v>199907.75867217669</v>
      </c>
      <c r="AC110" s="742">
        <f>INDEX('VLU costs'!$D$231:$BB$248, MATCH($B110, 'VLU costs'!$B$231:$B$248,0), MATCH(AC$104, 'VLU costs'!$D$230:$BB$230,0))
+ INDEX('Mixed costs'!$D$223:$BB$240, MATCH($B110, 'Mixed costs'!$B$223:$B$240,0), MATCH(AC$104, 'Mixed costs'!$D$222:$BB$222,0))
+INDEX('Arterial costs'!$D$223:$BB$240, MATCH($B110, 'Arterial costs'!$B$223:$B$240,0), MATCH(AC$104, 'Arterial costs'!$D$222:$BB$222,0))</f>
        <v>206230.60297669319</v>
      </c>
      <c r="AD110" s="742">
        <f>INDEX('VLU costs'!$D$231:$BB$248, MATCH($B110, 'VLU costs'!$B$231:$B$248,0), MATCH(AD$104, 'VLU costs'!$D$230:$BB$230,0))
+ INDEX('Mixed costs'!$D$223:$BB$240, MATCH($B110, 'Mixed costs'!$B$223:$B$240,0), MATCH(AD$104, 'Mixed costs'!$D$222:$BB$222,0))
+INDEX('Arterial costs'!$D$223:$BB$240, MATCH($B110, 'Arterial costs'!$B$223:$B$240,0), MATCH(AD$104, 'Arterial costs'!$D$222:$BB$222,0))</f>
        <v>212642.21151609087</v>
      </c>
      <c r="AE110" s="742">
        <f>INDEX('VLU costs'!$D$231:$BB$248, MATCH($B110, 'VLU costs'!$B$231:$B$248,0), MATCH(AE$104, 'VLU costs'!$D$230:$BB$230,0))
+ INDEX('Mixed costs'!$D$223:$BB$240, MATCH($B110, 'Mixed costs'!$B$223:$B$240,0), MATCH(AE$104, 'Mixed costs'!$D$222:$BB$222,0))
+INDEX('Arterial costs'!$D$223:$BB$240, MATCH($B110, 'Arterial costs'!$B$223:$B$240,0), MATCH(AE$104, 'Arterial costs'!$D$222:$BB$222,0))</f>
        <v>219133.19576109937</v>
      </c>
      <c r="AF110" s="742">
        <f>INDEX('VLU costs'!$D$231:$BB$248, MATCH($B110, 'VLU costs'!$B$231:$B$248,0), MATCH(AF$104, 'VLU costs'!$D$230:$BB$230,0))
+ INDEX('Mixed costs'!$D$223:$BB$240, MATCH($B110, 'Mixed costs'!$B$223:$B$240,0), MATCH(AF$104, 'Mixed costs'!$D$222:$BB$222,0))
+INDEX('Arterial costs'!$D$223:$BB$240, MATCH($B110, 'Arterial costs'!$B$223:$B$240,0), MATCH(AF$104, 'Arterial costs'!$D$222:$BB$222,0))</f>
        <v>225710.84745214527</v>
      </c>
      <c r="AG110" s="742">
        <f>INDEX('VLU costs'!$D$231:$BB$248, MATCH($B110, 'VLU costs'!$B$231:$B$248,0), MATCH(AG$104, 'VLU costs'!$D$230:$BB$230,0))
+ INDEX('Mixed costs'!$D$223:$BB$240, MATCH($B110, 'Mixed costs'!$B$223:$B$240,0), MATCH(AG$104, 'Mixed costs'!$D$222:$BB$222,0))
+INDEX('Arterial costs'!$D$223:$BB$240, MATCH($B110, 'Arterial costs'!$B$223:$B$240,0), MATCH(AG$104, 'Arterial costs'!$D$222:$BB$222,0))</f>
        <v>232416.26255972794</v>
      </c>
      <c r="AH110" s="742">
        <f>INDEX('VLU costs'!$D$231:$BB$248, MATCH($B110, 'VLU costs'!$B$231:$B$248,0), MATCH(AH$104, 'VLU costs'!$D$230:$BB$230,0))
+ INDEX('Mixed costs'!$D$223:$BB$240, MATCH($B110, 'Mixed costs'!$B$223:$B$240,0), MATCH(AH$104, 'Mixed costs'!$D$222:$BB$222,0))
+INDEX('Arterial costs'!$D$223:$BB$240, MATCH($B110, 'Arterial costs'!$B$223:$B$240,0), MATCH(AH$104, 'Arterial costs'!$D$222:$BB$222,0))</f>
        <v>239255.35642475102</v>
      </c>
      <c r="AI110" s="742">
        <f>INDEX('VLU costs'!$D$231:$BB$248, MATCH($B110, 'VLU costs'!$B$231:$B$248,0), MATCH(AI$104, 'VLU costs'!$D$230:$BB$230,0))
+ INDEX('Mixed costs'!$D$223:$BB$240, MATCH($B110, 'Mixed costs'!$B$223:$B$240,0), MATCH(AI$104, 'Mixed costs'!$D$222:$BB$222,0))
+INDEX('Arterial costs'!$D$223:$BB$240, MATCH($B110, 'Arterial costs'!$B$223:$B$240,0), MATCH(AI$104, 'Arterial costs'!$D$222:$BB$222,0))</f>
        <v>246245.77128090305</v>
      </c>
      <c r="AJ110" s="742">
        <f>INDEX('VLU costs'!$D$231:$BB$248, MATCH($B110, 'VLU costs'!$B$231:$B$248,0), MATCH(AJ$104, 'VLU costs'!$D$230:$BB$230,0))
+ INDEX('Mixed costs'!$D$223:$BB$240, MATCH($B110, 'Mixed costs'!$B$223:$B$240,0), MATCH(AJ$104, 'Mixed costs'!$D$222:$BB$222,0))
+INDEX('Arterial costs'!$D$223:$BB$240, MATCH($B110, 'Arterial costs'!$B$223:$B$240,0), MATCH(AJ$104, 'Arterial costs'!$D$222:$BB$222,0))</f>
        <v>253340.49595338572</v>
      </c>
      <c r="AK110" s="742">
        <f>INDEX('VLU costs'!$D$231:$BB$248, MATCH($B110, 'VLU costs'!$B$231:$B$248,0), MATCH(AK$104, 'VLU costs'!$D$230:$BB$230,0))
+ INDEX('Mixed costs'!$D$223:$BB$240, MATCH($B110, 'Mixed costs'!$B$223:$B$240,0), MATCH(AK$104, 'Mixed costs'!$D$222:$BB$222,0))
+INDEX('Arterial costs'!$D$223:$BB$240, MATCH($B110, 'Arterial costs'!$B$223:$B$240,0), MATCH(AK$104, 'Arterial costs'!$D$222:$BB$222,0))</f>
        <v>260501.30767550407</v>
      </c>
      <c r="AL110" s="742">
        <f>INDEX('VLU costs'!$D$231:$BB$248, MATCH($B110, 'VLU costs'!$B$231:$B$248,0), MATCH(AL$104, 'VLU costs'!$D$230:$BB$230,0))
+ INDEX('Mixed costs'!$D$223:$BB$240, MATCH($B110, 'Mixed costs'!$B$223:$B$240,0), MATCH(AL$104, 'Mixed costs'!$D$222:$BB$222,0))
+INDEX('Arterial costs'!$D$223:$BB$240, MATCH($B110, 'Arterial costs'!$B$223:$B$240,0), MATCH(AL$104, 'Arterial costs'!$D$222:$BB$222,0))</f>
        <v>267699.96623432171</v>
      </c>
      <c r="AM110" s="742">
        <f>INDEX('VLU costs'!$D$231:$BB$248, MATCH($B110, 'VLU costs'!$B$231:$B$248,0), MATCH(AM$104, 'VLU costs'!$D$230:$BB$230,0))
+ INDEX('Mixed costs'!$D$223:$BB$240, MATCH($B110, 'Mixed costs'!$B$223:$B$240,0), MATCH(AM$104, 'Mixed costs'!$D$222:$BB$222,0))
+INDEX('Arterial costs'!$D$223:$BB$240, MATCH($B110, 'Arterial costs'!$B$223:$B$240,0), MATCH(AM$104, 'Arterial costs'!$D$222:$BB$222,0))</f>
        <v>274949.35484662687</v>
      </c>
      <c r="AN110" s="742">
        <f>INDEX('VLU costs'!$D$231:$BB$248, MATCH($B110, 'VLU costs'!$B$231:$B$248,0), MATCH(AN$104, 'VLU costs'!$D$230:$BB$230,0))
+ INDEX('Mixed costs'!$D$223:$BB$240, MATCH($B110, 'Mixed costs'!$B$223:$B$240,0), MATCH(AN$104, 'Mixed costs'!$D$222:$BB$222,0))
+INDEX('Arterial costs'!$D$223:$BB$240, MATCH($B110, 'Arterial costs'!$B$223:$B$240,0), MATCH(AN$104, 'Arterial costs'!$D$222:$BB$222,0))</f>
        <v>282250.2570553539</v>
      </c>
      <c r="AO110" s="742">
        <f>INDEX('VLU costs'!$D$231:$BB$248, MATCH($B110, 'VLU costs'!$B$231:$B$248,0), MATCH(AO$104, 'VLU costs'!$D$230:$BB$230,0))
+ INDEX('Mixed costs'!$D$223:$BB$240, MATCH($B110, 'Mixed costs'!$B$223:$B$240,0), MATCH(AO$104, 'Mixed costs'!$D$222:$BB$222,0))
+INDEX('Arterial costs'!$D$223:$BB$240, MATCH($B110, 'Arterial costs'!$B$223:$B$240,0), MATCH(AO$104, 'Arterial costs'!$D$222:$BB$222,0))</f>
        <v>289592.83212493605</v>
      </c>
      <c r="AP110" s="742">
        <f>INDEX('VLU costs'!$D$231:$BB$248, MATCH($B110, 'VLU costs'!$B$231:$B$248,0), MATCH(AP$104, 'VLU costs'!$D$230:$BB$230,0))
+ INDEX('Mixed costs'!$D$223:$BB$240, MATCH($B110, 'Mixed costs'!$B$223:$B$240,0), MATCH(AP$104, 'Mixed costs'!$D$222:$BB$222,0))
+INDEX('Arterial costs'!$D$223:$BB$240, MATCH($B110, 'Arterial costs'!$B$223:$B$240,0), MATCH(AP$104, 'Arterial costs'!$D$222:$BB$222,0))</f>
        <v>297033.68714721623</v>
      </c>
      <c r="AQ110" s="742">
        <f>INDEX('VLU costs'!$D$231:$BB$248, MATCH($B110, 'VLU costs'!$B$231:$B$248,0), MATCH(AQ$104, 'VLU costs'!$D$230:$BB$230,0))
+ INDEX('Mixed costs'!$D$223:$BB$240, MATCH($B110, 'Mixed costs'!$B$223:$B$240,0), MATCH(AQ$104, 'Mixed costs'!$D$222:$BB$222,0))
+INDEX('Arterial costs'!$D$223:$BB$240, MATCH($B110, 'Arterial costs'!$B$223:$B$240,0), MATCH(AQ$104, 'Arterial costs'!$D$222:$BB$222,0))</f>
        <v>304640.4545278899</v>
      </c>
      <c r="AR110" s="742">
        <f>INDEX('VLU costs'!$D$231:$BB$248, MATCH($B110, 'VLU costs'!$B$231:$B$248,0), MATCH(AR$104, 'VLU costs'!$D$230:$BB$230,0))
+ INDEX('Mixed costs'!$D$223:$BB$240, MATCH($B110, 'Mixed costs'!$B$223:$B$240,0), MATCH(AR$104, 'Mixed costs'!$D$222:$BB$222,0))
+INDEX('Arterial costs'!$D$223:$BB$240, MATCH($B110, 'Arterial costs'!$B$223:$B$240,0), MATCH(AR$104, 'Arterial costs'!$D$222:$BB$222,0))</f>
        <v>312471.3743892581</v>
      </c>
      <c r="AS110" s="742">
        <f>INDEX('VLU costs'!$D$231:$BB$248, MATCH($B110, 'VLU costs'!$B$231:$B$248,0), MATCH(AS$104, 'VLU costs'!$D$230:$BB$230,0))
+ INDEX('Mixed costs'!$D$223:$BB$240, MATCH($B110, 'Mixed costs'!$B$223:$B$240,0), MATCH(AS$104, 'Mixed costs'!$D$222:$BB$222,0))
+INDEX('Arterial costs'!$D$223:$BB$240, MATCH($B110, 'Arterial costs'!$B$223:$B$240,0), MATCH(AS$104, 'Arterial costs'!$D$222:$BB$222,0))</f>
        <v>320167.31712531642</v>
      </c>
      <c r="AU110" s="738" t="s">
        <v>104</v>
      </c>
    </row>
    <row r="111" spans="1:47">
      <c r="B111" s="741" t="s">
        <v>17</v>
      </c>
      <c r="C111" s="742">
        <f>INDEX('VLU costs'!$D$231:$BB$248, MATCH($B111, 'VLU costs'!$B$231:$B$248,0), MATCH(C$104, 'VLU costs'!$D$230:$BB$230,0))
+ INDEX('Mixed costs'!$D$223:$BB$240, MATCH($B111, 'Mixed costs'!$B$223:$B$240,0), MATCH(C$104, 'Mixed costs'!$D$222:$BB$222,0))
+INDEX('Arterial costs'!$D$223:$BB$240, MATCH($B111, 'Arterial costs'!$B$223:$B$240,0), MATCH(C$104, 'Arterial costs'!$D$222:$BB$222,0))</f>
        <v>38097.301285716727</v>
      </c>
      <c r="D111" s="742">
        <f>INDEX('VLU costs'!$D$231:$BB$248, MATCH($B111, 'VLU costs'!$B$231:$B$248,0), MATCH(D$104, 'VLU costs'!$D$230:$BB$230,0))
+ INDEX('Mixed costs'!$D$223:$BB$240, MATCH($B111, 'Mixed costs'!$B$223:$B$240,0), MATCH(D$104, 'Mixed costs'!$D$222:$BB$222,0))
+INDEX('Arterial costs'!$D$223:$BB$240, MATCH($B111, 'Arterial costs'!$B$223:$B$240,0), MATCH(D$104, 'Arterial costs'!$D$222:$BB$222,0))</f>
        <v>40906.854270320982</v>
      </c>
      <c r="E111" s="742">
        <f>INDEX('VLU costs'!$D$231:$BB$248, MATCH($B111, 'VLU costs'!$B$231:$B$248,0), MATCH(E$104, 'VLU costs'!$D$230:$BB$230,0))
+ INDEX('Mixed costs'!$D$223:$BB$240, MATCH($B111, 'Mixed costs'!$B$223:$B$240,0), MATCH(E$104, 'Mixed costs'!$D$222:$BB$222,0))
+INDEX('Arterial costs'!$D$223:$BB$240, MATCH($B111, 'Arterial costs'!$B$223:$B$240,0), MATCH(E$104, 'Arterial costs'!$D$222:$BB$222,0))</f>
        <v>43674.135113716038</v>
      </c>
      <c r="F111" s="742">
        <f>INDEX('VLU costs'!$D$231:$BB$248, MATCH($B111, 'VLU costs'!$B$231:$B$248,0), MATCH(F$104, 'VLU costs'!$D$230:$BB$230,0))
+ INDEX('Mixed costs'!$D$223:$BB$240, MATCH($B111, 'Mixed costs'!$B$223:$B$240,0), MATCH(F$104, 'Mixed costs'!$D$222:$BB$222,0))
+INDEX('Arterial costs'!$D$223:$BB$240, MATCH($B111, 'Arterial costs'!$B$223:$B$240,0), MATCH(F$104, 'Arterial costs'!$D$222:$BB$222,0))</f>
        <v>46444.581822599452</v>
      </c>
      <c r="G111" s="742">
        <f>INDEX('VLU costs'!$D$231:$BB$248, MATCH($B111, 'VLU costs'!$B$231:$B$248,0), MATCH(G$104, 'VLU costs'!$D$230:$BB$230,0))
+ INDEX('Mixed costs'!$D$223:$BB$240, MATCH($B111, 'Mixed costs'!$B$223:$B$240,0), MATCH(G$104, 'Mixed costs'!$D$222:$BB$222,0))
+INDEX('Arterial costs'!$D$223:$BB$240, MATCH($B111, 'Arterial costs'!$B$223:$B$240,0), MATCH(G$104, 'Arterial costs'!$D$222:$BB$222,0))</f>
        <v>49263.712855792553</v>
      </c>
      <c r="H111" s="742">
        <f>INDEX('VLU costs'!$D$231:$BB$248, MATCH($B111, 'VLU costs'!$B$231:$B$248,0), MATCH(H$104, 'VLU costs'!$D$230:$BB$230,0))
+ INDEX('Mixed costs'!$D$223:$BB$240, MATCH($B111, 'Mixed costs'!$B$223:$B$240,0), MATCH(H$104, 'Mixed costs'!$D$222:$BB$222,0))
+INDEX('Arterial costs'!$D$223:$BB$240, MATCH($B111, 'Arterial costs'!$B$223:$B$240,0), MATCH(H$104, 'Arterial costs'!$D$222:$BB$222,0))</f>
        <v>52158.716541400492</v>
      </c>
      <c r="I111" s="742">
        <f>INDEX('VLU costs'!$D$231:$BB$248, MATCH($B111, 'VLU costs'!$B$231:$B$248,0), MATCH(I$104, 'VLU costs'!$D$230:$BB$230,0))
+ INDEX('Mixed costs'!$D$223:$BB$240, MATCH($B111, 'Mixed costs'!$B$223:$B$240,0), MATCH(I$104, 'Mixed costs'!$D$222:$BB$222,0))
+INDEX('Arterial costs'!$D$223:$BB$240, MATCH($B111, 'Arterial costs'!$B$223:$B$240,0), MATCH(I$104, 'Arterial costs'!$D$222:$BB$222,0))</f>
        <v>55131.262215494826</v>
      </c>
      <c r="J111" s="742">
        <f>INDEX('VLU costs'!$D$231:$BB$248, MATCH($B111, 'VLU costs'!$B$231:$B$248,0), MATCH(J$104, 'VLU costs'!$D$230:$BB$230,0))
+ INDEX('Mixed costs'!$D$223:$BB$240, MATCH($B111, 'Mixed costs'!$B$223:$B$240,0), MATCH(J$104, 'Mixed costs'!$D$222:$BB$222,0))
+INDEX('Arterial costs'!$D$223:$BB$240, MATCH($B111, 'Arterial costs'!$B$223:$B$240,0), MATCH(J$104, 'Arterial costs'!$D$222:$BB$222,0))</f>
        <v>58196.14460883115</v>
      </c>
      <c r="K111" s="742">
        <f>INDEX('VLU costs'!$D$231:$BB$248, MATCH($B111, 'VLU costs'!$B$231:$B$248,0), MATCH(K$104, 'VLU costs'!$D$230:$BB$230,0))
+ INDEX('Mixed costs'!$D$223:$BB$240, MATCH($B111, 'Mixed costs'!$B$223:$B$240,0), MATCH(K$104, 'Mixed costs'!$D$222:$BB$222,0))
+INDEX('Arterial costs'!$D$223:$BB$240, MATCH($B111, 'Arterial costs'!$B$223:$B$240,0), MATCH(K$104, 'Arterial costs'!$D$222:$BB$222,0))</f>
        <v>61440.594524777538</v>
      </c>
      <c r="L111" s="742">
        <f>INDEX('VLU costs'!$D$231:$BB$248, MATCH($B111, 'VLU costs'!$B$231:$B$248,0), MATCH(L$104, 'VLU costs'!$D$230:$BB$230,0))
+ INDEX('Mixed costs'!$D$223:$BB$240, MATCH($B111, 'Mixed costs'!$B$223:$B$240,0), MATCH(L$104, 'Mixed costs'!$D$222:$BB$222,0))
+INDEX('Arterial costs'!$D$223:$BB$240, MATCH($B111, 'Arterial costs'!$B$223:$B$240,0), MATCH(L$104, 'Arterial costs'!$D$222:$BB$222,0))</f>
        <v>64817.000371734117</v>
      </c>
      <c r="M111" s="742">
        <f>INDEX('VLU costs'!$D$231:$BB$248, MATCH($B111, 'VLU costs'!$B$231:$B$248,0), MATCH(M$104, 'VLU costs'!$D$230:$BB$230,0))
+ INDEX('Mixed costs'!$D$223:$BB$240, MATCH($B111, 'Mixed costs'!$B$223:$B$240,0), MATCH(M$104, 'Mixed costs'!$D$222:$BB$222,0))
+INDEX('Arterial costs'!$D$223:$BB$240, MATCH($B111, 'Arterial costs'!$B$223:$B$240,0), MATCH(M$104, 'Arterial costs'!$D$222:$BB$222,0))</f>
        <v>68302.6371615424</v>
      </c>
      <c r="N111" s="742">
        <f>INDEX('VLU costs'!$D$231:$BB$248, MATCH($B111, 'VLU costs'!$B$231:$B$248,0), MATCH(N$104, 'VLU costs'!$D$230:$BB$230,0))
+ INDEX('Mixed costs'!$D$223:$BB$240, MATCH($B111, 'Mixed costs'!$B$223:$B$240,0), MATCH(N$104, 'Mixed costs'!$D$222:$BB$222,0))
+INDEX('Arterial costs'!$D$223:$BB$240, MATCH($B111, 'Arterial costs'!$B$223:$B$240,0), MATCH(N$104, 'Arterial costs'!$D$222:$BB$222,0))</f>
        <v>71888.451935990131</v>
      </c>
      <c r="O111" s="742">
        <f>INDEX('VLU costs'!$D$231:$BB$248, MATCH($B111, 'VLU costs'!$B$231:$B$248,0), MATCH(O$104, 'VLU costs'!$D$230:$BB$230,0))
+ INDEX('Mixed costs'!$D$223:$BB$240, MATCH($B111, 'Mixed costs'!$B$223:$B$240,0), MATCH(O$104, 'Mixed costs'!$D$222:$BB$222,0))
+INDEX('Arterial costs'!$D$223:$BB$240, MATCH($B111, 'Arterial costs'!$B$223:$B$240,0), MATCH(O$104, 'Arterial costs'!$D$222:$BB$222,0))</f>
        <v>75569.332691018877</v>
      </c>
      <c r="P111" s="742">
        <f>INDEX('VLU costs'!$D$231:$BB$248, MATCH($B111, 'VLU costs'!$B$231:$B$248,0), MATCH(P$104, 'VLU costs'!$D$230:$BB$230,0))
+ INDEX('Mixed costs'!$D$223:$BB$240, MATCH($B111, 'Mixed costs'!$B$223:$B$240,0), MATCH(P$104, 'Mixed costs'!$D$222:$BB$222,0))
+INDEX('Arterial costs'!$D$223:$BB$240, MATCH($B111, 'Arterial costs'!$B$223:$B$240,0), MATCH(P$104, 'Arterial costs'!$D$222:$BB$222,0))</f>
        <v>79363.134373112698</v>
      </c>
      <c r="Q111" s="742">
        <f>INDEX('VLU costs'!$D$231:$BB$248, MATCH($B111, 'VLU costs'!$B$231:$B$248,0), MATCH(Q$104, 'VLU costs'!$D$230:$BB$230,0))
+ INDEX('Mixed costs'!$D$223:$BB$240, MATCH($B111, 'Mixed costs'!$B$223:$B$240,0), MATCH(Q$104, 'Mixed costs'!$D$222:$BB$222,0))
+INDEX('Arterial costs'!$D$223:$BB$240, MATCH($B111, 'Arterial costs'!$B$223:$B$240,0), MATCH(Q$104, 'Arterial costs'!$D$222:$BB$222,0))</f>
        <v>83291.608426450781</v>
      </c>
      <c r="R111" s="742">
        <f>INDEX('VLU costs'!$D$231:$BB$248, MATCH($B111, 'VLU costs'!$B$231:$B$248,0), MATCH(R$104, 'VLU costs'!$D$230:$BB$230,0))
+ INDEX('Mixed costs'!$D$223:$BB$240, MATCH($B111, 'Mixed costs'!$B$223:$B$240,0), MATCH(R$104, 'Mixed costs'!$D$222:$BB$222,0))
+INDEX('Arterial costs'!$D$223:$BB$240, MATCH($B111, 'Arterial costs'!$B$223:$B$240,0), MATCH(R$104, 'Arterial costs'!$D$222:$BB$222,0))</f>
        <v>87361.06485193361</v>
      </c>
      <c r="S111" s="742">
        <f>INDEX('VLU costs'!$D$231:$BB$248, MATCH($B111, 'VLU costs'!$B$231:$B$248,0), MATCH(S$104, 'VLU costs'!$D$230:$BB$230,0))
+ INDEX('Mixed costs'!$D$223:$BB$240, MATCH($B111, 'Mixed costs'!$B$223:$B$240,0), MATCH(S$104, 'Mixed costs'!$D$222:$BB$222,0))
+INDEX('Arterial costs'!$D$223:$BB$240, MATCH($B111, 'Arterial costs'!$B$223:$B$240,0), MATCH(S$104, 'Arterial costs'!$D$222:$BB$222,0))</f>
        <v>91559.409373466158</v>
      </c>
      <c r="T111" s="742">
        <f>INDEX('VLU costs'!$D$231:$BB$248, MATCH($B111, 'VLU costs'!$B$231:$B$248,0), MATCH(T$104, 'VLU costs'!$D$230:$BB$230,0))
+ INDEX('Mixed costs'!$D$223:$BB$240, MATCH($B111, 'Mixed costs'!$B$223:$B$240,0), MATCH(T$104, 'Mixed costs'!$D$222:$BB$222,0))
+INDEX('Arterial costs'!$D$223:$BB$240, MATCH($B111, 'Arterial costs'!$B$223:$B$240,0), MATCH(T$104, 'Arterial costs'!$D$222:$BB$222,0))</f>
        <v>95892.259635204595</v>
      </c>
      <c r="U111" s="742">
        <f>INDEX('VLU costs'!$D$231:$BB$248, MATCH($B111, 'VLU costs'!$B$231:$B$248,0), MATCH(U$104, 'VLU costs'!$D$230:$BB$230,0))
+ INDEX('Mixed costs'!$D$223:$BB$240, MATCH($B111, 'Mixed costs'!$B$223:$B$240,0), MATCH(U$104, 'Mixed costs'!$D$222:$BB$222,0))
+INDEX('Arterial costs'!$D$223:$BB$240, MATCH($B111, 'Arterial costs'!$B$223:$B$240,0), MATCH(U$104, 'Arterial costs'!$D$222:$BB$222,0))</f>
        <v>100402.2976960009</v>
      </c>
      <c r="V111" s="742">
        <f>INDEX('VLU costs'!$D$231:$BB$248, MATCH($B111, 'VLU costs'!$B$231:$B$248,0), MATCH(V$104, 'VLU costs'!$D$230:$BB$230,0))
+ INDEX('Mixed costs'!$D$223:$BB$240, MATCH($B111, 'Mixed costs'!$B$223:$B$240,0), MATCH(V$104, 'Mixed costs'!$D$222:$BB$222,0))
+INDEX('Arterial costs'!$D$223:$BB$240, MATCH($B111, 'Arterial costs'!$B$223:$B$240,0), MATCH(V$104, 'Arterial costs'!$D$222:$BB$222,0))</f>
        <v>105061.7785837421</v>
      </c>
      <c r="W111" s="742">
        <f>INDEX('VLU costs'!$D$231:$BB$248, MATCH($B111, 'VLU costs'!$B$231:$B$248,0), MATCH(W$104, 'VLU costs'!$D$230:$BB$230,0))
+ INDEX('Mixed costs'!$D$223:$BB$240, MATCH($B111, 'Mixed costs'!$B$223:$B$240,0), MATCH(W$104, 'Mixed costs'!$D$222:$BB$222,0))
+INDEX('Arterial costs'!$D$223:$BB$240, MATCH($B111, 'Arterial costs'!$B$223:$B$240,0), MATCH(W$104, 'Arterial costs'!$D$222:$BB$222,0))</f>
        <v>109864.97195400861</v>
      </c>
      <c r="X111" s="742">
        <f>INDEX('VLU costs'!$D$231:$BB$248, MATCH($B111, 'VLU costs'!$B$231:$B$248,0), MATCH(X$104, 'VLU costs'!$D$230:$BB$230,0))
+ INDEX('Mixed costs'!$D$223:$BB$240, MATCH($B111, 'Mixed costs'!$B$223:$B$240,0), MATCH(X$104, 'Mixed costs'!$D$222:$BB$222,0))
+INDEX('Arterial costs'!$D$223:$BB$240, MATCH($B111, 'Arterial costs'!$B$223:$B$240,0), MATCH(X$104, 'Arterial costs'!$D$222:$BB$222,0))</f>
        <v>114813.75431545122</v>
      </c>
      <c r="Y111" s="742">
        <f>INDEX('VLU costs'!$D$231:$BB$248, MATCH($B111, 'VLU costs'!$B$231:$B$248,0), MATCH(Y$104, 'VLU costs'!$D$230:$BB$230,0))
+ INDEX('Mixed costs'!$D$223:$BB$240, MATCH($B111, 'Mixed costs'!$B$223:$B$240,0), MATCH(Y$104, 'Mixed costs'!$D$222:$BB$222,0))
+INDEX('Arterial costs'!$D$223:$BB$240, MATCH($B111, 'Arterial costs'!$B$223:$B$240,0), MATCH(Y$104, 'Arterial costs'!$D$222:$BB$222,0))</f>
        <v>119928.55433298383</v>
      </c>
      <c r="Z111" s="742">
        <f>INDEX('VLU costs'!$D$231:$BB$248, MATCH($B111, 'VLU costs'!$B$231:$B$248,0), MATCH(Z$104, 'VLU costs'!$D$230:$BB$230,0))
+ INDEX('Mixed costs'!$D$223:$BB$240, MATCH($B111, 'Mixed costs'!$B$223:$B$240,0), MATCH(Z$104, 'Mixed costs'!$D$222:$BB$222,0))
+INDEX('Arterial costs'!$D$223:$BB$240, MATCH($B111, 'Arterial costs'!$B$223:$B$240,0), MATCH(Z$104, 'Arterial costs'!$D$222:$BB$222,0))</f>
        <v>125209.92153714345</v>
      </c>
      <c r="AA111" s="742">
        <f>INDEX('VLU costs'!$D$231:$BB$248, MATCH($B111, 'VLU costs'!$B$231:$B$248,0), MATCH(AA$104, 'VLU costs'!$D$230:$BB$230,0))
+ INDEX('Mixed costs'!$D$223:$BB$240, MATCH($B111, 'Mixed costs'!$B$223:$B$240,0), MATCH(AA$104, 'Mixed costs'!$D$222:$BB$222,0))
+INDEX('Arterial costs'!$D$223:$BB$240, MATCH($B111, 'Arterial costs'!$B$223:$B$240,0), MATCH(AA$104, 'Arterial costs'!$D$222:$BB$222,0))</f>
        <v>130654.90116017795</v>
      </c>
      <c r="AB111" s="742">
        <f>INDEX('VLU costs'!$D$231:$BB$248, MATCH($B111, 'VLU costs'!$B$231:$B$248,0), MATCH(AB$104, 'VLU costs'!$D$230:$BB$230,0))
+ INDEX('Mixed costs'!$D$223:$BB$240, MATCH($B111, 'Mixed costs'!$B$223:$B$240,0), MATCH(AB$104, 'Mixed costs'!$D$222:$BB$222,0))
+INDEX('Arterial costs'!$D$223:$BB$240, MATCH($B111, 'Arterial costs'!$B$223:$B$240,0), MATCH(AB$104, 'Arterial costs'!$D$222:$BB$222,0))</f>
        <v>136261.70653313264</v>
      </c>
      <c r="AC111" s="742">
        <f>INDEX('VLU costs'!$D$231:$BB$248, MATCH($B111, 'VLU costs'!$B$231:$B$248,0), MATCH(AC$104, 'VLU costs'!$D$230:$BB$230,0))
+ INDEX('Mixed costs'!$D$223:$BB$240, MATCH($B111, 'Mixed costs'!$B$223:$B$240,0), MATCH(AC$104, 'Mixed costs'!$D$222:$BB$222,0))
+INDEX('Arterial costs'!$D$223:$BB$240, MATCH($B111, 'Arterial costs'!$B$223:$B$240,0), MATCH(AC$104, 'Arterial costs'!$D$222:$BB$222,0))</f>
        <v>142028.130460227</v>
      </c>
      <c r="AD111" s="742">
        <f>INDEX('VLU costs'!$D$231:$BB$248, MATCH($B111, 'VLU costs'!$B$231:$B$248,0), MATCH(AD$104, 'VLU costs'!$D$230:$BB$230,0))
+ INDEX('Mixed costs'!$D$223:$BB$240, MATCH($B111, 'Mixed costs'!$B$223:$B$240,0), MATCH(AD$104, 'Mixed costs'!$D$222:$BB$222,0))
+INDEX('Arterial costs'!$D$223:$BB$240, MATCH($B111, 'Arterial costs'!$B$223:$B$240,0), MATCH(AD$104, 'Arterial costs'!$D$222:$BB$222,0))</f>
        <v>147953.06755102734</v>
      </c>
      <c r="AE111" s="742">
        <f>INDEX('VLU costs'!$D$231:$BB$248, MATCH($B111, 'VLU costs'!$B$231:$B$248,0), MATCH(AE$104, 'VLU costs'!$D$230:$BB$230,0))
+ INDEX('Mixed costs'!$D$223:$BB$240, MATCH($B111, 'Mixed costs'!$B$223:$B$240,0), MATCH(AE$104, 'Mixed costs'!$D$222:$BB$222,0))
+INDEX('Arterial costs'!$D$223:$BB$240, MATCH($B111, 'Arterial costs'!$B$223:$B$240,0), MATCH(AE$104, 'Arterial costs'!$D$222:$BB$222,0))</f>
        <v>154035.4465073563</v>
      </c>
      <c r="AF111" s="742">
        <f>INDEX('VLU costs'!$D$231:$BB$248, MATCH($B111, 'VLU costs'!$B$231:$B$248,0), MATCH(AF$104, 'VLU costs'!$D$230:$BB$230,0))
+ INDEX('Mixed costs'!$D$223:$BB$240, MATCH($B111, 'Mixed costs'!$B$223:$B$240,0), MATCH(AF$104, 'Mixed costs'!$D$222:$BB$222,0))
+INDEX('Arterial costs'!$D$223:$BB$240, MATCH($B111, 'Arterial costs'!$B$223:$B$240,0), MATCH(AF$104, 'Arterial costs'!$D$222:$BB$222,0))</f>
        <v>160281.53915187367</v>
      </c>
      <c r="AG111" s="742">
        <f>INDEX('VLU costs'!$D$231:$BB$248, MATCH($B111, 'VLU costs'!$B$231:$B$248,0), MATCH(AG$104, 'VLU costs'!$D$230:$BB$230,0))
+ INDEX('Mixed costs'!$D$223:$BB$240, MATCH($B111, 'Mixed costs'!$B$223:$B$240,0), MATCH(AG$104, 'Mixed costs'!$D$222:$BB$222,0))
+INDEX('Arterial costs'!$D$223:$BB$240, MATCH($B111, 'Arterial costs'!$B$223:$B$240,0), MATCH(AG$104, 'Arterial costs'!$D$222:$BB$222,0))</f>
        <v>166712.66287935147</v>
      </c>
      <c r="AH111" s="742">
        <f>INDEX('VLU costs'!$D$231:$BB$248, MATCH($B111, 'VLU costs'!$B$231:$B$248,0), MATCH(AH$104, 'VLU costs'!$D$230:$BB$230,0))
+ INDEX('Mixed costs'!$D$223:$BB$240, MATCH($B111, 'Mixed costs'!$B$223:$B$240,0), MATCH(AH$104, 'Mixed costs'!$D$222:$BB$222,0))
+INDEX('Arterial costs'!$D$223:$BB$240, MATCH($B111, 'Arterial costs'!$B$223:$B$240,0), MATCH(AH$104, 'Arterial costs'!$D$222:$BB$222,0))</f>
        <v>173334.91020065433</v>
      </c>
      <c r="AI111" s="742">
        <f>INDEX('VLU costs'!$D$231:$BB$248, MATCH($B111, 'VLU costs'!$B$231:$B$248,0), MATCH(AI$104, 'VLU costs'!$D$230:$BB$230,0))
+ INDEX('Mixed costs'!$D$223:$BB$240, MATCH($B111, 'Mixed costs'!$B$223:$B$240,0), MATCH(AI$104, 'Mixed costs'!$D$222:$BB$222,0))
+INDEX('Arterial costs'!$D$223:$BB$240, MATCH($B111, 'Arterial costs'!$B$223:$B$240,0), MATCH(AI$104, 'Arterial costs'!$D$222:$BB$222,0))</f>
        <v>180159.69121321206</v>
      </c>
      <c r="AJ111" s="742">
        <f>INDEX('VLU costs'!$D$231:$BB$248, MATCH($B111, 'VLU costs'!$B$231:$B$248,0), MATCH(AJ$104, 'VLU costs'!$D$230:$BB$230,0))
+ INDEX('Mixed costs'!$D$223:$BB$240, MATCH($B111, 'Mixed costs'!$B$223:$B$240,0), MATCH(AJ$104, 'Mixed costs'!$D$222:$BB$222,0))
+INDEX('Arterial costs'!$D$223:$BB$240, MATCH($B111, 'Arterial costs'!$B$223:$B$240,0), MATCH(AJ$104, 'Arterial costs'!$D$222:$BB$222,0))</f>
        <v>187170.0117504879</v>
      </c>
      <c r="AK111" s="742">
        <f>INDEX('VLU costs'!$D$231:$BB$248, MATCH($B111, 'VLU costs'!$B$231:$B$248,0), MATCH(AK$104, 'VLU costs'!$D$230:$BB$230,0))
+ INDEX('Mixed costs'!$D$223:$BB$240, MATCH($B111, 'Mixed costs'!$B$223:$B$240,0), MATCH(AK$104, 'Mixed costs'!$D$222:$BB$222,0))
+INDEX('Arterial costs'!$D$223:$BB$240, MATCH($B111, 'Arterial costs'!$B$223:$B$240,0), MATCH(AK$104, 'Arterial costs'!$D$222:$BB$222,0))</f>
        <v>194352.50986875838</v>
      </c>
      <c r="AL111" s="742">
        <f>INDEX('VLU costs'!$D$231:$BB$248, MATCH($B111, 'VLU costs'!$B$231:$B$248,0), MATCH(AL$104, 'VLU costs'!$D$230:$BB$230,0))
+ INDEX('Mixed costs'!$D$223:$BB$240, MATCH($B111, 'Mixed costs'!$B$223:$B$240,0), MATCH(AL$104, 'Mixed costs'!$D$222:$BB$222,0))
+INDEX('Arterial costs'!$D$223:$BB$240, MATCH($B111, 'Arterial costs'!$B$223:$B$240,0), MATCH(AL$104, 'Arterial costs'!$D$222:$BB$222,0))</f>
        <v>201698.00005014325</v>
      </c>
      <c r="AM111" s="742">
        <f>INDEX('VLU costs'!$D$231:$BB$248, MATCH($B111, 'VLU costs'!$B$231:$B$248,0), MATCH(AM$104, 'VLU costs'!$D$230:$BB$230,0))
+ INDEX('Mixed costs'!$D$223:$BB$240, MATCH($B111, 'Mixed costs'!$B$223:$B$240,0), MATCH(AM$104, 'Mixed costs'!$D$222:$BB$222,0))
+INDEX('Arterial costs'!$D$223:$BB$240, MATCH($B111, 'Arterial costs'!$B$223:$B$240,0), MATCH(AM$104, 'Arterial costs'!$D$222:$BB$222,0))</f>
        <v>209215.30096672411</v>
      </c>
      <c r="AN111" s="742">
        <f>INDEX('VLU costs'!$D$231:$BB$248, MATCH($B111, 'VLU costs'!$B$231:$B$248,0), MATCH(AN$104, 'VLU costs'!$D$230:$BB$230,0))
+ INDEX('Mixed costs'!$D$223:$BB$240, MATCH($B111, 'Mixed costs'!$B$223:$B$240,0), MATCH(AN$104, 'Mixed costs'!$D$222:$BB$222,0))
+INDEX('Arterial costs'!$D$223:$BB$240, MATCH($B111, 'Arterial costs'!$B$223:$B$240,0), MATCH(AN$104, 'Arterial costs'!$D$222:$BB$222,0))</f>
        <v>216907.9672374748</v>
      </c>
      <c r="AO111" s="742">
        <f>INDEX('VLU costs'!$D$231:$BB$248, MATCH($B111, 'VLU costs'!$B$231:$B$248,0), MATCH(AO$104, 'VLU costs'!$D$230:$BB$230,0))
+ INDEX('Mixed costs'!$D$223:$BB$240, MATCH($B111, 'Mixed costs'!$B$223:$B$240,0), MATCH(AO$104, 'Mixed costs'!$D$222:$BB$222,0))
+INDEX('Arterial costs'!$D$223:$BB$240, MATCH($B111, 'Arterial costs'!$B$223:$B$240,0), MATCH(AO$104, 'Arterial costs'!$D$222:$BB$222,0))</f>
        <v>224774.87577958143</v>
      </c>
      <c r="AP111" s="742">
        <f>INDEX('VLU costs'!$D$231:$BB$248, MATCH($B111, 'VLU costs'!$B$231:$B$248,0), MATCH(AP$104, 'VLU costs'!$D$230:$BB$230,0))
+ INDEX('Mixed costs'!$D$223:$BB$240, MATCH($B111, 'Mixed costs'!$B$223:$B$240,0), MATCH(AP$104, 'Mixed costs'!$D$222:$BB$222,0))
+INDEX('Arterial costs'!$D$223:$BB$240, MATCH($B111, 'Arterial costs'!$B$223:$B$240,0), MATCH(AP$104, 'Arterial costs'!$D$222:$BB$222,0))</f>
        <v>232844.27239567423</v>
      </c>
      <c r="AQ111" s="742">
        <f>INDEX('VLU costs'!$D$231:$BB$248, MATCH($B111, 'VLU costs'!$B$231:$B$248,0), MATCH(AQ$104, 'VLU costs'!$D$230:$BB$230,0))
+ INDEX('Mixed costs'!$D$223:$BB$240, MATCH($B111, 'Mixed costs'!$B$223:$B$240,0), MATCH(AQ$104, 'Mixed costs'!$D$222:$BB$222,0))
+INDEX('Arterial costs'!$D$223:$BB$240, MATCH($B111, 'Arterial costs'!$B$223:$B$240,0), MATCH(AQ$104, 'Arterial costs'!$D$222:$BB$222,0))</f>
        <v>241149.7353851982</v>
      </c>
      <c r="AR111" s="742">
        <f>INDEX('VLU costs'!$D$231:$BB$248, MATCH($B111, 'VLU costs'!$B$231:$B$248,0), MATCH(AR$104, 'VLU costs'!$D$230:$BB$230,0))
+ INDEX('Mixed costs'!$D$223:$BB$240, MATCH($B111, 'Mixed costs'!$B$223:$B$240,0), MATCH(AR$104, 'Mixed costs'!$D$222:$BB$222,0))
+INDEX('Arterial costs'!$D$223:$BB$240, MATCH($B111, 'Arterial costs'!$B$223:$B$240,0), MATCH(AR$104, 'Arterial costs'!$D$222:$BB$222,0))</f>
        <v>249721.2811491866</v>
      </c>
      <c r="AS111" s="742">
        <f>INDEX('VLU costs'!$D$231:$BB$248, MATCH($B111, 'VLU costs'!$B$231:$B$248,0), MATCH(AS$104, 'VLU costs'!$D$230:$BB$230,0))
+ INDEX('Mixed costs'!$D$223:$BB$240, MATCH($B111, 'Mixed costs'!$B$223:$B$240,0), MATCH(AS$104, 'Mixed costs'!$D$222:$BB$222,0))
+INDEX('Arterial costs'!$D$223:$BB$240, MATCH($B111, 'Arterial costs'!$B$223:$B$240,0), MATCH(AS$104, 'Arterial costs'!$D$222:$BB$222,0))</f>
        <v>258404.74994922287</v>
      </c>
      <c r="AU111" s="738" t="s">
        <v>17</v>
      </c>
    </row>
    <row r="112" spans="1:47" ht="29">
      <c r="B112" s="741" t="s">
        <v>106</v>
      </c>
      <c r="C112" s="742">
        <f>INDEX('VLU costs'!$D$231:$BB$248, MATCH($B112, 'VLU costs'!$B$231:$B$248,0), MATCH(C$104, 'VLU costs'!$D$230:$BB$230,0))
+ INDEX('Mixed costs'!$D$223:$BB$240, MATCH($B112, 'Mixed costs'!$B$223:$B$240,0), MATCH(C$104, 'Mixed costs'!$D$222:$BB$222,0))
+INDEX('Arterial costs'!$D$223:$BB$240, MATCH($B112, 'Arterial costs'!$B$223:$B$240,0), MATCH(C$104, 'Arterial costs'!$D$222:$BB$222,0))</f>
        <v>73766.307417149437</v>
      </c>
      <c r="D112" s="742">
        <f>INDEX('VLU costs'!$D$231:$BB$248, MATCH($B112, 'VLU costs'!$B$231:$B$248,0), MATCH(D$104, 'VLU costs'!$D$230:$BB$230,0))
+ INDEX('Mixed costs'!$D$223:$BB$240, MATCH($B112, 'Mixed costs'!$B$223:$B$240,0), MATCH(D$104, 'Mixed costs'!$D$222:$BB$222,0))
+INDEX('Arterial costs'!$D$223:$BB$240, MATCH($B112, 'Arterial costs'!$B$223:$B$240,0), MATCH(D$104, 'Arterial costs'!$D$222:$BB$222,0))</f>
        <v>79595.79834002837</v>
      </c>
      <c r="E112" s="742">
        <f>INDEX('VLU costs'!$D$231:$BB$248, MATCH($B112, 'VLU costs'!$B$231:$B$248,0), MATCH(E$104, 'VLU costs'!$D$230:$BB$230,0))
+ INDEX('Mixed costs'!$D$223:$BB$240, MATCH($B112, 'Mixed costs'!$B$223:$B$240,0), MATCH(E$104, 'Mixed costs'!$D$222:$BB$222,0))
+INDEX('Arterial costs'!$D$223:$BB$240, MATCH($B112, 'Arterial costs'!$B$223:$B$240,0), MATCH(E$104, 'Arterial costs'!$D$222:$BB$222,0))</f>
        <v>85380.904224023223</v>
      </c>
      <c r="F112" s="742">
        <f>INDEX('VLU costs'!$D$231:$BB$248, MATCH($B112, 'VLU costs'!$B$231:$B$248,0), MATCH(F$104, 'VLU costs'!$D$230:$BB$230,0))
+ INDEX('Mixed costs'!$D$223:$BB$240, MATCH($B112, 'Mixed costs'!$B$223:$B$240,0), MATCH(F$104, 'Mixed costs'!$D$222:$BB$222,0))
+INDEX('Arterial costs'!$D$223:$BB$240, MATCH($B112, 'Arterial costs'!$B$223:$B$240,0), MATCH(F$104, 'Arterial costs'!$D$222:$BB$222,0))</f>
        <v>91222.343811828308</v>
      </c>
      <c r="G112" s="742">
        <f>INDEX('VLU costs'!$D$231:$BB$248, MATCH($B112, 'VLU costs'!$B$231:$B$248,0), MATCH(G$104, 'VLU costs'!$D$230:$BB$230,0))
+ INDEX('Mixed costs'!$D$223:$BB$240, MATCH($B112, 'Mixed costs'!$B$223:$B$240,0), MATCH(G$104, 'Mixed costs'!$D$222:$BB$222,0))
+INDEX('Arterial costs'!$D$223:$BB$240, MATCH($B112, 'Arterial costs'!$B$223:$B$240,0), MATCH(G$104, 'Arterial costs'!$D$222:$BB$222,0))</f>
        <v>97228.023756795665</v>
      </c>
      <c r="H112" s="742">
        <f>INDEX('VLU costs'!$D$231:$BB$248, MATCH($B112, 'VLU costs'!$B$231:$B$248,0), MATCH(H$104, 'VLU costs'!$D$230:$BB$230,0))
+ INDEX('Mixed costs'!$D$223:$BB$240, MATCH($B112, 'Mixed costs'!$B$223:$B$240,0), MATCH(H$104, 'Mixed costs'!$D$222:$BB$222,0))
+INDEX('Arterial costs'!$D$223:$BB$240, MATCH($B112, 'Arterial costs'!$B$223:$B$240,0), MATCH(H$104, 'Arterial costs'!$D$222:$BB$222,0))</f>
        <v>103467.80600134736</v>
      </c>
      <c r="I112" s="742">
        <f>INDEX('VLU costs'!$D$231:$BB$248, MATCH($B112, 'VLU costs'!$B$231:$B$248,0), MATCH(I$104, 'VLU costs'!$D$230:$BB$230,0))
+ INDEX('Mixed costs'!$D$223:$BB$240, MATCH($B112, 'Mixed costs'!$B$223:$B$240,0), MATCH(I$104, 'Mixed costs'!$D$222:$BB$222,0))
+INDEX('Arterial costs'!$D$223:$BB$240, MATCH($B112, 'Arterial costs'!$B$223:$B$240,0), MATCH(I$104, 'Arterial costs'!$D$222:$BB$222,0))</f>
        <v>109951.47996437216</v>
      </c>
      <c r="J112" s="742">
        <f>INDEX('VLU costs'!$D$231:$BB$248, MATCH($B112, 'VLU costs'!$B$231:$B$248,0), MATCH(J$104, 'VLU costs'!$D$230:$BB$230,0))
+ INDEX('Mixed costs'!$D$223:$BB$240, MATCH($B112, 'Mixed costs'!$B$223:$B$240,0), MATCH(J$104, 'Mixed costs'!$D$222:$BB$222,0))
+INDEX('Arterial costs'!$D$223:$BB$240, MATCH($B112, 'Arterial costs'!$B$223:$B$240,0), MATCH(J$104, 'Arterial costs'!$D$222:$BB$222,0))</f>
        <v>116722.62180592805</v>
      </c>
      <c r="K112" s="742">
        <f>INDEX('VLU costs'!$D$231:$BB$248, MATCH($B112, 'VLU costs'!$B$231:$B$248,0), MATCH(K$104, 'VLU costs'!$D$230:$BB$230,0))
+ INDEX('Mixed costs'!$D$223:$BB$240, MATCH($B112, 'Mixed costs'!$B$223:$B$240,0), MATCH(K$104, 'Mixed costs'!$D$222:$BB$222,0))
+INDEX('Arterial costs'!$D$223:$BB$240, MATCH($B112, 'Arterial costs'!$B$223:$B$240,0), MATCH(K$104, 'Arterial costs'!$D$222:$BB$222,0))</f>
        <v>124017.83887979815</v>
      </c>
      <c r="L112" s="742">
        <f>INDEX('VLU costs'!$D$231:$BB$248, MATCH($B112, 'VLU costs'!$B$231:$B$248,0), MATCH(L$104, 'VLU costs'!$D$230:$BB$230,0))
+ INDEX('Mixed costs'!$D$223:$BB$240, MATCH($B112, 'Mixed costs'!$B$223:$B$240,0), MATCH(L$104, 'Mixed costs'!$D$222:$BB$222,0))
+INDEX('Arterial costs'!$D$223:$BB$240, MATCH($B112, 'Arterial costs'!$B$223:$B$240,0), MATCH(L$104, 'Arterial costs'!$D$222:$BB$222,0))</f>
        <v>131725.98952344092</v>
      </c>
      <c r="M112" s="742">
        <f>INDEX('VLU costs'!$D$231:$BB$248, MATCH($B112, 'VLU costs'!$B$231:$B$248,0), MATCH(M$104, 'VLU costs'!$D$230:$BB$230,0))
+ INDEX('Mixed costs'!$D$223:$BB$240, MATCH($B112, 'Mixed costs'!$B$223:$B$240,0), MATCH(M$104, 'Mixed costs'!$D$222:$BB$222,0))
+INDEX('Arterial costs'!$D$223:$BB$240, MATCH($B112, 'Arterial costs'!$B$223:$B$240,0), MATCH(M$104, 'Arterial costs'!$D$222:$BB$222,0))</f>
        <v>139795.47398751753</v>
      </c>
      <c r="N112" s="742">
        <f>INDEX('VLU costs'!$D$231:$BB$248, MATCH($B112, 'VLU costs'!$B$231:$B$248,0), MATCH(N$104, 'VLU costs'!$D$230:$BB$230,0))
+ INDEX('Mixed costs'!$D$223:$BB$240, MATCH($B112, 'Mixed costs'!$B$223:$B$240,0), MATCH(N$104, 'Mixed costs'!$D$222:$BB$222,0))
+INDEX('Arterial costs'!$D$223:$BB$240, MATCH($B112, 'Arterial costs'!$B$223:$B$240,0), MATCH(N$104, 'Arterial costs'!$D$222:$BB$222,0))</f>
        <v>148208.75580072936</v>
      </c>
      <c r="O112" s="742">
        <f>INDEX('VLU costs'!$D$231:$BB$248, MATCH($B112, 'VLU costs'!$B$231:$B$248,0), MATCH(O$104, 'VLU costs'!$D$230:$BB$230,0))
+ INDEX('Mixed costs'!$D$223:$BB$240, MATCH($B112, 'Mixed costs'!$B$223:$B$240,0), MATCH(O$104, 'Mixed costs'!$D$222:$BB$222,0))
+INDEX('Arterial costs'!$D$223:$BB$240, MATCH($B112, 'Arterial costs'!$B$223:$B$240,0), MATCH(O$104, 'Arterial costs'!$D$222:$BB$222,0))</f>
        <v>156957.77992682537</v>
      </c>
      <c r="P112" s="742">
        <f>INDEX('VLU costs'!$D$231:$BB$248, MATCH($B112, 'VLU costs'!$B$231:$B$248,0), MATCH(P$104, 'VLU costs'!$D$230:$BB$230,0))
+ INDEX('Mixed costs'!$D$223:$BB$240, MATCH($B112, 'Mixed costs'!$B$223:$B$240,0), MATCH(P$104, 'Mixed costs'!$D$222:$BB$222,0))
+INDEX('Arterial costs'!$D$223:$BB$240, MATCH($B112, 'Arterial costs'!$B$223:$B$240,0), MATCH(P$104, 'Arterial costs'!$D$222:$BB$222,0))</f>
        <v>166100.92532026273</v>
      </c>
      <c r="Q112" s="742">
        <f>INDEX('VLU costs'!$D$231:$BB$248, MATCH($B112, 'VLU costs'!$B$231:$B$248,0), MATCH(Q$104, 'VLU costs'!$D$230:$BB$230,0))
+ INDEX('Mixed costs'!$D$223:$BB$240, MATCH($B112, 'Mixed costs'!$B$223:$B$240,0), MATCH(Q$104, 'Mixed costs'!$D$222:$BB$222,0))
+INDEX('Arterial costs'!$D$223:$BB$240, MATCH($B112, 'Arterial costs'!$B$223:$B$240,0), MATCH(Q$104, 'Arterial costs'!$D$222:$BB$222,0))</f>
        <v>175711.70884904749</v>
      </c>
      <c r="R112" s="742">
        <f>INDEX('VLU costs'!$D$231:$BB$248, MATCH($B112, 'VLU costs'!$B$231:$B$248,0), MATCH(R$104, 'VLU costs'!$D$230:$BB$230,0))
+ INDEX('Mixed costs'!$D$223:$BB$240, MATCH($B112, 'Mixed costs'!$B$223:$B$240,0), MATCH(R$104, 'Mixed costs'!$D$222:$BB$222,0))
+INDEX('Arterial costs'!$D$223:$BB$240, MATCH($B112, 'Arterial costs'!$B$223:$B$240,0), MATCH(R$104, 'Arterial costs'!$D$222:$BB$222,0))</f>
        <v>185820.44007370929</v>
      </c>
      <c r="S112" s="742">
        <f>INDEX('VLU costs'!$D$231:$BB$248, MATCH($B112, 'VLU costs'!$B$231:$B$248,0), MATCH(S$104, 'VLU costs'!$D$230:$BB$230,0))
+ INDEX('Mixed costs'!$D$223:$BB$240, MATCH($B112, 'Mixed costs'!$B$223:$B$240,0), MATCH(S$104, 'Mixed costs'!$D$222:$BB$222,0))
+INDEX('Arterial costs'!$D$223:$BB$240, MATCH($B112, 'Arterial costs'!$B$223:$B$240,0), MATCH(S$104, 'Arterial costs'!$D$222:$BB$222,0))</f>
        <v>196400.72069856353</v>
      </c>
      <c r="T112" s="742">
        <f>INDEX('VLU costs'!$D$231:$BB$248, MATCH($B112, 'VLU costs'!$B$231:$B$248,0), MATCH(T$104, 'VLU costs'!$D$230:$BB$230,0))
+ INDEX('Mixed costs'!$D$223:$BB$240, MATCH($B112, 'Mixed costs'!$B$223:$B$240,0), MATCH(T$104, 'Mixed costs'!$D$222:$BB$222,0))
+INDEX('Arterial costs'!$D$223:$BB$240, MATCH($B112, 'Arterial costs'!$B$223:$B$240,0), MATCH(T$104, 'Arterial costs'!$D$222:$BB$222,0))</f>
        <v>207480.33360921335</v>
      </c>
      <c r="U112" s="742">
        <f>INDEX('VLU costs'!$D$231:$BB$248, MATCH($B112, 'VLU costs'!$B$231:$B$248,0), MATCH(U$104, 'VLU costs'!$D$230:$BB$230,0))
+ INDEX('Mixed costs'!$D$223:$BB$240, MATCH($B112, 'Mixed costs'!$B$223:$B$240,0), MATCH(U$104, 'Mixed costs'!$D$222:$BB$222,0))
+INDEX('Arterial costs'!$D$223:$BB$240, MATCH($B112, 'Arterial costs'!$B$223:$B$240,0), MATCH(U$104, 'Arterial costs'!$D$222:$BB$222,0))</f>
        <v>219209.89641742475</v>
      </c>
      <c r="V112" s="742">
        <f>INDEX('VLU costs'!$D$231:$BB$248, MATCH($B112, 'VLU costs'!$B$231:$B$248,0), MATCH(V$104, 'VLU costs'!$D$230:$BB$230,0))
+ INDEX('Mixed costs'!$D$223:$BB$240, MATCH($B112, 'Mixed costs'!$B$223:$B$240,0), MATCH(V$104, 'Mixed costs'!$D$222:$BB$222,0))
+INDEX('Arterial costs'!$D$223:$BB$240, MATCH($B112, 'Arterial costs'!$B$223:$B$240,0), MATCH(V$104, 'Arterial costs'!$D$222:$BB$222,0))</f>
        <v>231512.78486592675</v>
      </c>
      <c r="W112" s="742">
        <f>INDEX('VLU costs'!$D$231:$BB$248, MATCH($B112, 'VLU costs'!$B$231:$B$248,0), MATCH(W$104, 'VLU costs'!$D$230:$BB$230,0))
+ INDEX('Mixed costs'!$D$223:$BB$240, MATCH($B112, 'Mixed costs'!$B$223:$B$240,0), MATCH(W$104, 'Mixed costs'!$D$222:$BB$222,0))
+INDEX('Arterial costs'!$D$223:$BB$240, MATCH($B112, 'Arterial costs'!$B$223:$B$240,0), MATCH(W$104, 'Arterial costs'!$D$222:$BB$222,0))</f>
        <v>244381.47191855768</v>
      </c>
      <c r="X112" s="742">
        <f>INDEX('VLU costs'!$D$231:$BB$248, MATCH($B112, 'VLU costs'!$B$231:$B$248,0), MATCH(X$104, 'VLU costs'!$D$230:$BB$230,0))
+ INDEX('Mixed costs'!$D$223:$BB$240, MATCH($B112, 'Mixed costs'!$B$223:$B$240,0), MATCH(X$104, 'Mixed costs'!$D$222:$BB$222,0))
+INDEX('Arterial costs'!$D$223:$BB$240, MATCH($B112, 'Arterial costs'!$B$223:$B$240,0), MATCH(X$104, 'Arterial costs'!$D$222:$BB$222,0))</f>
        <v>257833.65337573708</v>
      </c>
      <c r="Y112" s="742">
        <f>INDEX('VLU costs'!$D$231:$BB$248, MATCH($B112, 'VLU costs'!$B$231:$B$248,0), MATCH(Y$104, 'VLU costs'!$D$230:$BB$230,0))
+ INDEX('Mixed costs'!$D$223:$BB$240, MATCH($B112, 'Mixed costs'!$B$223:$B$240,0), MATCH(Y$104, 'Mixed costs'!$D$222:$BB$222,0))
+INDEX('Arterial costs'!$D$223:$BB$240, MATCH($B112, 'Arterial costs'!$B$223:$B$240,0), MATCH(Y$104, 'Arterial costs'!$D$222:$BB$222,0))</f>
        <v>271953.90287682327</v>
      </c>
      <c r="Z112" s="742">
        <f>INDEX('VLU costs'!$D$231:$BB$248, MATCH($B112, 'VLU costs'!$B$231:$B$248,0), MATCH(Z$104, 'VLU costs'!$D$230:$BB$230,0))
+ INDEX('Mixed costs'!$D$223:$BB$240, MATCH($B112, 'Mixed costs'!$B$223:$B$240,0), MATCH(Z$104, 'Mixed costs'!$D$222:$BB$222,0))
+INDEX('Arterial costs'!$D$223:$BB$240, MATCH($B112, 'Arterial costs'!$B$223:$B$240,0), MATCH(Z$104, 'Arterial costs'!$D$222:$BB$222,0))</f>
        <v>286758.62185083237</v>
      </c>
      <c r="AA112" s="742">
        <f>INDEX('VLU costs'!$D$231:$BB$248, MATCH($B112, 'VLU costs'!$B$231:$B$248,0), MATCH(AA$104, 'VLU costs'!$D$230:$BB$230,0))
+ INDEX('Mixed costs'!$D$223:$BB$240, MATCH($B112, 'Mixed costs'!$B$223:$B$240,0), MATCH(AA$104, 'Mixed costs'!$D$222:$BB$222,0))
+INDEX('Arterial costs'!$D$223:$BB$240, MATCH($B112, 'Arterial costs'!$B$223:$B$240,0), MATCH(AA$104, 'Arterial costs'!$D$222:$BB$222,0))</f>
        <v>302250.98841991287</v>
      </c>
      <c r="AB112" s="742">
        <f>INDEX('VLU costs'!$D$231:$BB$248, MATCH($B112, 'VLU costs'!$B$231:$B$248,0), MATCH(AB$104, 'VLU costs'!$D$230:$BB$230,0))
+ INDEX('Mixed costs'!$D$223:$BB$240, MATCH($B112, 'Mixed costs'!$B$223:$B$240,0), MATCH(AB$104, 'Mixed costs'!$D$222:$BB$222,0))
+INDEX('Arterial costs'!$D$223:$BB$240, MATCH($B112, 'Arterial costs'!$B$223:$B$240,0), MATCH(AB$104, 'Arterial costs'!$D$222:$BB$222,0))</f>
        <v>318437.69857478136</v>
      </c>
      <c r="AC112" s="742">
        <f>INDEX('VLU costs'!$D$231:$BB$248, MATCH($B112, 'VLU costs'!$B$231:$B$248,0), MATCH(AC$104, 'VLU costs'!$D$230:$BB$230,0))
+ INDEX('Mixed costs'!$D$223:$BB$240, MATCH($B112, 'Mixed costs'!$B$223:$B$240,0), MATCH(AC$104, 'Mixed costs'!$D$222:$BB$222,0))
+INDEX('Arterial costs'!$D$223:$BB$240, MATCH($B112, 'Arterial costs'!$B$223:$B$240,0), MATCH(AC$104, 'Arterial costs'!$D$222:$BB$222,0))</f>
        <v>335323.12012359512</v>
      </c>
      <c r="AD112" s="742">
        <f>INDEX('VLU costs'!$D$231:$BB$248, MATCH($B112, 'VLU costs'!$B$231:$B$248,0), MATCH(AD$104, 'VLU costs'!$D$230:$BB$230,0))
+ INDEX('Mixed costs'!$D$223:$BB$240, MATCH($B112, 'Mixed costs'!$B$223:$B$240,0), MATCH(AD$104, 'Mixed costs'!$D$222:$BB$222,0))
+INDEX('Arterial costs'!$D$223:$BB$240, MATCH($B112, 'Arterial costs'!$B$223:$B$240,0), MATCH(AD$104, 'Arterial costs'!$D$222:$BB$222,0))</f>
        <v>352915.2269279536</v>
      </c>
      <c r="AE112" s="742">
        <f>INDEX('VLU costs'!$D$231:$BB$248, MATCH($B112, 'VLU costs'!$B$231:$B$248,0), MATCH(AE$104, 'VLU costs'!$D$230:$BB$230,0))
+ INDEX('Mixed costs'!$D$223:$BB$240, MATCH($B112, 'Mixed costs'!$B$223:$B$240,0), MATCH(AE$104, 'Mixed costs'!$D$222:$BB$222,0))
+INDEX('Arterial costs'!$D$223:$BB$240, MATCH($B112, 'Arterial costs'!$B$223:$B$240,0), MATCH(AE$104, 'Arterial costs'!$D$222:$BB$222,0))</f>
        <v>371221.59142803284</v>
      </c>
      <c r="AF112" s="742">
        <f>INDEX('VLU costs'!$D$231:$BB$248, MATCH($B112, 'VLU costs'!$B$231:$B$248,0), MATCH(AF$104, 'VLU costs'!$D$230:$BB$230,0))
+ INDEX('Mixed costs'!$D$223:$BB$240, MATCH($B112, 'Mixed costs'!$B$223:$B$240,0), MATCH(AF$104, 'Mixed costs'!$D$222:$BB$222,0))
+INDEX('Arterial costs'!$D$223:$BB$240, MATCH($B112, 'Arterial costs'!$B$223:$B$240,0), MATCH(AF$104, 'Arterial costs'!$D$222:$BB$222,0))</f>
        <v>390279.99807079259</v>
      </c>
      <c r="AG112" s="742">
        <f>INDEX('VLU costs'!$D$231:$BB$248, MATCH($B112, 'VLU costs'!$B$231:$B$248,0), MATCH(AG$104, 'VLU costs'!$D$230:$BB$230,0))
+ INDEX('Mixed costs'!$D$223:$BB$240, MATCH($B112, 'Mixed costs'!$B$223:$B$240,0), MATCH(AG$104, 'Mixed costs'!$D$222:$BB$222,0))
+INDEX('Arterial costs'!$D$223:$BB$240, MATCH($B112, 'Arterial costs'!$B$223:$B$240,0), MATCH(AG$104, 'Arterial costs'!$D$222:$BB$222,0))</f>
        <v>410194.17510649766</v>
      </c>
      <c r="AH112" s="742">
        <f>INDEX('VLU costs'!$D$231:$BB$248, MATCH($B112, 'VLU costs'!$B$231:$B$248,0), MATCH(AH$104, 'VLU costs'!$D$230:$BB$230,0))
+ INDEX('Mixed costs'!$D$223:$BB$240, MATCH($B112, 'Mixed costs'!$B$223:$B$240,0), MATCH(AH$104, 'Mixed costs'!$D$222:$BB$222,0))
+INDEX('Arterial costs'!$D$223:$BB$240, MATCH($B112, 'Arterial costs'!$B$223:$B$240,0), MATCH(AH$104, 'Arterial costs'!$D$222:$BB$222,0))</f>
        <v>431006.99466301093</v>
      </c>
      <c r="AI112" s="742">
        <f>INDEX('VLU costs'!$D$231:$BB$248, MATCH($B112, 'VLU costs'!$B$231:$B$248,0), MATCH(AI$104, 'VLU costs'!$D$230:$BB$230,0))
+ INDEX('Mixed costs'!$D$223:$BB$240, MATCH($B112, 'Mixed costs'!$B$223:$B$240,0), MATCH(AI$104, 'Mixed costs'!$D$222:$BB$222,0))
+INDEX('Arterial costs'!$D$223:$BB$240, MATCH($B112, 'Arterial costs'!$B$223:$B$240,0), MATCH(AI$104, 'Arterial costs'!$D$222:$BB$222,0))</f>
        <v>452786.55313412816</v>
      </c>
      <c r="AJ112" s="742">
        <f>INDEX('VLU costs'!$D$231:$BB$248, MATCH($B112, 'VLU costs'!$B$231:$B$248,0), MATCH(AJ$104, 'VLU costs'!$D$230:$BB$230,0))
+ INDEX('Mixed costs'!$D$223:$BB$240, MATCH($B112, 'Mixed costs'!$B$223:$B$240,0), MATCH(AJ$104, 'Mixed costs'!$D$222:$BB$222,0))
+INDEX('Arterial costs'!$D$223:$BB$240, MATCH($B112, 'Arterial costs'!$B$223:$B$240,0), MATCH(AJ$104, 'Arterial costs'!$D$222:$BB$222,0))</f>
        <v>475473.93976157974</v>
      </c>
      <c r="AK112" s="742">
        <f>INDEX('VLU costs'!$D$231:$BB$248, MATCH($B112, 'VLU costs'!$B$231:$B$248,0), MATCH(AK$104, 'VLU costs'!$D$230:$BB$230,0))
+ INDEX('Mixed costs'!$D$223:$BB$240, MATCH($B112, 'Mixed costs'!$B$223:$B$240,0), MATCH(AK$104, 'Mixed costs'!$D$222:$BB$222,0))
+INDEX('Arterial costs'!$D$223:$BB$240, MATCH($B112, 'Arterial costs'!$B$223:$B$240,0), MATCH(AK$104, 'Arterial costs'!$D$222:$BB$222,0))</f>
        <v>499021.56125172134</v>
      </c>
      <c r="AL112" s="742">
        <f>INDEX('VLU costs'!$D$231:$BB$248, MATCH($B112, 'VLU costs'!$B$231:$B$248,0), MATCH(AL$104, 'VLU costs'!$D$230:$BB$230,0))
+ INDEX('Mixed costs'!$D$223:$BB$240, MATCH($B112, 'Mixed costs'!$B$223:$B$240,0), MATCH(AL$104, 'Mixed costs'!$D$222:$BB$222,0))
+INDEX('Arterial costs'!$D$223:$BB$240, MATCH($B112, 'Arterial costs'!$B$223:$B$240,0), MATCH(AL$104, 'Arterial costs'!$D$222:$BB$222,0))</f>
        <v>523397.17933255405</v>
      </c>
      <c r="AM112" s="742">
        <f>INDEX('VLU costs'!$D$231:$BB$248, MATCH($B112, 'VLU costs'!$B$231:$B$248,0), MATCH(AM$104, 'VLU costs'!$D$230:$BB$230,0))
+ INDEX('Mixed costs'!$D$223:$BB$240, MATCH($B112, 'Mixed costs'!$B$223:$B$240,0), MATCH(AM$104, 'Mixed costs'!$D$222:$BB$222,0))
+INDEX('Arterial costs'!$D$223:$BB$240, MATCH($B112, 'Arterial costs'!$B$223:$B$240,0), MATCH(AM$104, 'Arterial costs'!$D$222:$BB$222,0))</f>
        <v>548653.25883553037</v>
      </c>
      <c r="AN112" s="742">
        <f>INDEX('VLU costs'!$D$231:$BB$248, MATCH($B112, 'VLU costs'!$B$231:$B$248,0), MATCH(AN$104, 'VLU costs'!$D$230:$BB$230,0))
+ INDEX('Mixed costs'!$D$223:$BB$240, MATCH($B112, 'Mixed costs'!$B$223:$B$240,0), MATCH(AN$104, 'Mixed costs'!$D$222:$BB$222,0))
+INDEX('Arterial costs'!$D$223:$BB$240, MATCH($B112, 'Arterial costs'!$B$223:$B$240,0), MATCH(AN$104, 'Arterial costs'!$D$222:$BB$222,0))</f>
        <v>574818.3927579982</v>
      </c>
      <c r="AO112" s="742">
        <f>INDEX('VLU costs'!$D$231:$BB$248, MATCH($B112, 'VLU costs'!$B$231:$B$248,0), MATCH(AO$104, 'VLU costs'!$D$230:$BB$230,0))
+ INDEX('Mixed costs'!$D$223:$BB$240, MATCH($B112, 'Mixed costs'!$B$223:$B$240,0), MATCH(AO$104, 'Mixed costs'!$D$222:$BB$222,0))
+INDEX('Arterial costs'!$D$223:$BB$240, MATCH($B112, 'Arterial costs'!$B$223:$B$240,0), MATCH(AO$104, 'Arterial costs'!$D$222:$BB$222,0))</f>
        <v>601897.92780981527</v>
      </c>
      <c r="AP112" s="742">
        <f>INDEX('VLU costs'!$D$231:$BB$248, MATCH($B112, 'VLU costs'!$B$231:$B$248,0), MATCH(AP$104, 'VLU costs'!$D$230:$BB$230,0))
+ INDEX('Mixed costs'!$D$223:$BB$240, MATCH($B112, 'Mixed costs'!$B$223:$B$240,0), MATCH(AP$104, 'Mixed costs'!$D$222:$BB$222,0))
+INDEX('Arterial costs'!$D$223:$BB$240, MATCH($B112, 'Arterial costs'!$B$223:$B$240,0), MATCH(AP$104, 'Arterial costs'!$D$222:$BB$222,0))</f>
        <v>630049.79811203596</v>
      </c>
      <c r="AQ112" s="742">
        <f>INDEX('VLU costs'!$D$231:$BB$248, MATCH($B112, 'VLU costs'!$B$231:$B$248,0), MATCH(AQ$104, 'VLU costs'!$D$230:$BB$230,0))
+ INDEX('Mixed costs'!$D$223:$BB$240, MATCH($B112, 'Mixed costs'!$B$223:$B$240,0), MATCH(AQ$104, 'Mixed costs'!$D$222:$BB$222,0))
+INDEX('Arterial costs'!$D$223:$BB$240, MATCH($B112, 'Arterial costs'!$B$223:$B$240,0), MATCH(AQ$104, 'Arterial costs'!$D$222:$BB$222,0))</f>
        <v>659469.77829404676</v>
      </c>
      <c r="AR112" s="742">
        <f>INDEX('VLU costs'!$D$231:$BB$248, MATCH($B112, 'VLU costs'!$B$231:$B$248,0), MATCH(AR$104, 'VLU costs'!$D$230:$BB$230,0))
+ INDEX('Mixed costs'!$D$223:$BB$240, MATCH($B112, 'Mixed costs'!$B$223:$B$240,0), MATCH(AR$104, 'Mixed costs'!$D$222:$BB$222,0))
+INDEX('Arterial costs'!$D$223:$BB$240, MATCH($B112, 'Arterial costs'!$B$223:$B$240,0), MATCH(AR$104, 'Arterial costs'!$D$222:$BB$222,0))</f>
        <v>690345.55096537038</v>
      </c>
      <c r="AS112" s="742">
        <f>INDEX('VLU costs'!$D$231:$BB$248, MATCH($B112, 'VLU costs'!$B$231:$B$248,0), MATCH(AS$104, 'VLU costs'!$D$230:$BB$230,0))
+ INDEX('Mixed costs'!$D$223:$BB$240, MATCH($B112, 'Mixed costs'!$B$223:$B$240,0), MATCH(AS$104, 'Mixed costs'!$D$222:$BB$222,0))
+INDEX('Arterial costs'!$D$223:$BB$240, MATCH($B112, 'Arterial costs'!$B$223:$B$240,0), MATCH(AS$104, 'Arterial costs'!$D$222:$BB$222,0))</f>
        <v>721845.99734599784</v>
      </c>
      <c r="AU112" s="738" t="s">
        <v>217</v>
      </c>
    </row>
    <row r="113" spans="1:47" ht="29">
      <c r="B113" s="741" t="s">
        <v>107</v>
      </c>
      <c r="C113" s="742">
        <f>INDEX('VLU costs'!$D$231:$BB$248, MATCH($B113, 'VLU costs'!$B$231:$B$248,0), MATCH(C$104, 'VLU costs'!$D$230:$BB$230,0))
+ INDEX('Mixed costs'!$D$223:$BB$240, MATCH($B113, 'Mixed costs'!$B$223:$B$240,0), MATCH(C$104, 'Mixed costs'!$D$222:$BB$222,0))
+INDEX('Arterial costs'!$D$223:$BB$240, MATCH($B113, 'Arterial costs'!$B$223:$B$240,0), MATCH(C$104, 'Arterial costs'!$D$222:$BB$222,0))</f>
        <v>166949.17596706437</v>
      </c>
      <c r="D113" s="742">
        <f>INDEX('VLU costs'!$D$231:$BB$248, MATCH($B113, 'VLU costs'!$B$231:$B$248,0), MATCH(D$104, 'VLU costs'!$D$230:$BB$230,0))
+ INDEX('Mixed costs'!$D$223:$BB$240, MATCH($B113, 'Mixed costs'!$B$223:$B$240,0), MATCH(D$104, 'Mixed costs'!$D$222:$BB$222,0))
+INDEX('Arterial costs'!$D$223:$BB$240, MATCH($B113, 'Arterial costs'!$B$223:$B$240,0), MATCH(D$104, 'Arterial costs'!$D$222:$BB$222,0))</f>
        <v>180142.5801099409</v>
      </c>
      <c r="E113" s="742">
        <f>INDEX('VLU costs'!$D$231:$BB$248, MATCH($B113, 'VLU costs'!$B$231:$B$248,0), MATCH(E$104, 'VLU costs'!$D$230:$BB$230,0))
+ INDEX('Mixed costs'!$D$223:$BB$240, MATCH($B113, 'Mixed costs'!$B$223:$B$240,0), MATCH(E$104, 'Mixed costs'!$D$222:$BB$222,0))
+INDEX('Arterial costs'!$D$223:$BB$240, MATCH($B113, 'Arterial costs'!$B$223:$B$240,0), MATCH(E$104, 'Arterial costs'!$D$222:$BB$222,0))</f>
        <v>193235.53126924773</v>
      </c>
      <c r="F113" s="742">
        <f>INDEX('VLU costs'!$D$231:$BB$248, MATCH($B113, 'VLU costs'!$B$231:$B$248,0), MATCH(F$104, 'VLU costs'!$D$230:$BB$230,0))
+ INDEX('Mixed costs'!$D$223:$BB$240, MATCH($B113, 'Mixed costs'!$B$223:$B$240,0), MATCH(F$104, 'Mixed costs'!$D$222:$BB$222,0))
+INDEX('Arterial costs'!$D$223:$BB$240, MATCH($B113, 'Arterial costs'!$B$223:$B$240,0), MATCH(F$104, 'Arterial costs'!$D$222:$BB$222,0))</f>
        <v>206455.97783614107</v>
      </c>
      <c r="G113" s="742">
        <f>INDEX('VLU costs'!$D$231:$BB$248, MATCH($B113, 'VLU costs'!$B$231:$B$248,0), MATCH(G$104, 'VLU costs'!$D$230:$BB$230,0))
+ INDEX('Mixed costs'!$D$223:$BB$240, MATCH($B113, 'Mixed costs'!$B$223:$B$240,0), MATCH(G$104, 'Mixed costs'!$D$222:$BB$222,0))
+INDEX('Arterial costs'!$D$223:$BB$240, MATCH($B113, 'Arterial costs'!$B$223:$B$240,0), MATCH(G$104, 'Arterial costs'!$D$222:$BB$222,0))</f>
        <v>220048.13600483269</v>
      </c>
      <c r="H113" s="742">
        <f>INDEX('VLU costs'!$D$231:$BB$248, MATCH($B113, 'VLU costs'!$B$231:$B$248,0), MATCH(H$104, 'VLU costs'!$D$230:$BB$230,0))
+ INDEX('Mixed costs'!$D$223:$BB$240, MATCH($B113, 'Mixed costs'!$B$223:$B$240,0), MATCH(H$104, 'Mixed costs'!$D$222:$BB$222,0))
+INDEX('Arterial costs'!$D$223:$BB$240, MATCH($B113, 'Arterial costs'!$B$223:$B$240,0), MATCH(H$104, 'Arterial costs'!$D$222:$BB$222,0))</f>
        <v>234170.11852526505</v>
      </c>
      <c r="I113" s="742">
        <f>INDEX('VLU costs'!$D$231:$BB$248, MATCH($B113, 'VLU costs'!$B$231:$B$248,0), MATCH(I$104, 'VLU costs'!$D$230:$BB$230,0))
+ INDEX('Mixed costs'!$D$223:$BB$240, MATCH($B113, 'Mixed costs'!$B$223:$B$240,0), MATCH(I$104, 'Mixed costs'!$D$222:$BB$222,0))
+INDEX('Arterial costs'!$D$223:$BB$240, MATCH($B113, 'Arterial costs'!$B$223:$B$240,0), MATCH(I$104, 'Arterial costs'!$D$222:$BB$222,0))</f>
        <v>248844.08097867708</v>
      </c>
      <c r="J113" s="742">
        <f>INDEX('VLU costs'!$D$231:$BB$248, MATCH($B113, 'VLU costs'!$B$231:$B$248,0), MATCH(J$104, 'VLU costs'!$D$230:$BB$230,0))
+ INDEX('Mixed costs'!$D$223:$BB$240, MATCH($B113, 'Mixed costs'!$B$223:$B$240,0), MATCH(J$104, 'Mixed costs'!$D$222:$BB$222,0))
+INDEX('Arterial costs'!$D$223:$BB$240, MATCH($B113, 'Arterial costs'!$B$223:$B$240,0), MATCH(J$104, 'Arterial costs'!$D$222:$BB$222,0))</f>
        <v>264168.64568016381</v>
      </c>
      <c r="K113" s="742">
        <f>INDEX('VLU costs'!$D$231:$BB$248, MATCH($B113, 'VLU costs'!$B$231:$B$248,0), MATCH(K$104, 'VLU costs'!$D$230:$BB$230,0))
+ INDEX('Mixed costs'!$D$223:$BB$240, MATCH($B113, 'Mixed costs'!$B$223:$B$240,0), MATCH(K$104, 'Mixed costs'!$D$222:$BB$222,0))
+INDEX('Arterial costs'!$D$223:$BB$240, MATCH($B113, 'Arterial costs'!$B$223:$B$240,0), MATCH(K$104, 'Arterial costs'!$D$222:$BB$222,0))</f>
        <v>280679.30646322377</v>
      </c>
      <c r="L113" s="742">
        <f>INDEX('VLU costs'!$D$231:$BB$248, MATCH($B113, 'VLU costs'!$B$231:$B$248,0), MATCH(L$104, 'VLU costs'!$D$230:$BB$230,0))
+ INDEX('Mixed costs'!$D$223:$BB$240, MATCH($B113, 'Mixed costs'!$B$223:$B$240,0), MATCH(L$104, 'Mixed costs'!$D$222:$BB$222,0))
+INDEX('Arterial costs'!$D$223:$BB$240, MATCH($B113, 'Arterial costs'!$B$223:$B$240,0), MATCH(L$104, 'Arterial costs'!$D$222:$BB$222,0))</f>
        <v>298124.5256051945</v>
      </c>
      <c r="M113" s="742">
        <f>INDEX('VLU costs'!$D$231:$BB$248, MATCH($B113, 'VLU costs'!$B$231:$B$248,0), MATCH(M$104, 'VLU costs'!$D$230:$BB$230,0))
+ INDEX('Mixed costs'!$D$223:$BB$240, MATCH($B113, 'Mixed costs'!$B$223:$B$240,0), MATCH(M$104, 'Mixed costs'!$D$222:$BB$222,0))
+INDEX('Arterial costs'!$D$223:$BB$240, MATCH($B113, 'Arterial costs'!$B$223:$B$240,0), MATCH(M$104, 'Arterial costs'!$D$222:$BB$222,0))</f>
        <v>316387.5216656889</v>
      </c>
      <c r="N113" s="742">
        <f>INDEX('VLU costs'!$D$231:$BB$248, MATCH($B113, 'VLU costs'!$B$231:$B$248,0), MATCH(N$104, 'VLU costs'!$D$230:$BB$230,0))
+ INDEX('Mixed costs'!$D$223:$BB$240, MATCH($B113, 'Mixed costs'!$B$223:$B$240,0), MATCH(N$104, 'Mixed costs'!$D$222:$BB$222,0))
+INDEX('Arterial costs'!$D$223:$BB$240, MATCH($B113, 'Arterial costs'!$B$223:$B$240,0), MATCH(N$104, 'Arterial costs'!$D$222:$BB$222,0))</f>
        <v>335428.60580117948</v>
      </c>
      <c r="O113" s="742">
        <f>INDEX('VLU costs'!$D$231:$BB$248, MATCH($B113, 'VLU costs'!$B$231:$B$248,0), MATCH(O$104, 'VLU costs'!$D$230:$BB$230,0))
+ INDEX('Mixed costs'!$D$223:$BB$240, MATCH($B113, 'Mixed costs'!$B$223:$B$240,0), MATCH(O$104, 'Mixed costs'!$D$222:$BB$222,0))
+INDEX('Arterial costs'!$D$223:$BB$240, MATCH($B113, 'Arterial costs'!$B$223:$B$240,0), MATCH(O$104, 'Arterial costs'!$D$222:$BB$222,0))</f>
        <v>355229.54771505011</v>
      </c>
      <c r="P113" s="742">
        <f>INDEX('VLU costs'!$D$231:$BB$248, MATCH($B113, 'VLU costs'!$B$231:$B$248,0), MATCH(P$104, 'VLU costs'!$D$230:$BB$230,0))
+ INDEX('Mixed costs'!$D$223:$BB$240, MATCH($B113, 'Mixed costs'!$B$223:$B$240,0), MATCH(P$104, 'Mixed costs'!$D$222:$BB$222,0))
+INDEX('Arterial costs'!$D$223:$BB$240, MATCH($B113, 'Arterial costs'!$B$223:$B$240,0), MATCH(P$104, 'Arterial costs'!$D$222:$BB$222,0))</f>
        <v>375922.47166133614</v>
      </c>
      <c r="Q113" s="742">
        <f>INDEX('VLU costs'!$D$231:$BB$248, MATCH($B113, 'VLU costs'!$B$231:$B$248,0), MATCH(Q$104, 'VLU costs'!$D$230:$BB$230,0))
+ INDEX('Mixed costs'!$D$223:$BB$240, MATCH($B113, 'Mixed costs'!$B$223:$B$240,0), MATCH(Q$104, 'Mixed costs'!$D$222:$BB$222,0))
+INDEX('Arterial costs'!$D$223:$BB$240, MATCH($B113, 'Arterial costs'!$B$223:$B$240,0), MATCH(Q$104, 'Arterial costs'!$D$222:$BB$222,0))</f>
        <v>397673.76228043839</v>
      </c>
      <c r="R113" s="742">
        <f>INDEX('VLU costs'!$D$231:$BB$248, MATCH($B113, 'VLU costs'!$B$231:$B$248,0), MATCH(R$104, 'VLU costs'!$D$230:$BB$230,0))
+ INDEX('Mixed costs'!$D$223:$BB$240, MATCH($B113, 'Mixed costs'!$B$223:$B$240,0), MATCH(R$104, 'Mixed costs'!$D$222:$BB$222,0))
+INDEX('Arterial costs'!$D$223:$BB$240, MATCH($B113, 'Arterial costs'!$B$223:$B$240,0), MATCH(R$104, 'Arterial costs'!$D$222:$BB$222,0))</f>
        <v>420552.01669117034</v>
      </c>
      <c r="S113" s="742">
        <f>INDEX('VLU costs'!$D$231:$BB$248, MATCH($B113, 'VLU costs'!$B$231:$B$248,0), MATCH(S$104, 'VLU costs'!$D$230:$BB$230,0))
+ INDEX('Mixed costs'!$D$223:$BB$240, MATCH($B113, 'Mixed costs'!$B$223:$B$240,0), MATCH(S$104, 'Mixed costs'!$D$222:$BB$222,0))
+INDEX('Arterial costs'!$D$223:$BB$240, MATCH($B113, 'Arterial costs'!$B$223:$B$240,0), MATCH(S$104, 'Arterial costs'!$D$222:$BB$222,0))</f>
        <v>444497.48981660249</v>
      </c>
      <c r="T113" s="742">
        <f>INDEX('VLU costs'!$D$231:$BB$248, MATCH($B113, 'VLU costs'!$B$231:$B$248,0), MATCH(T$104, 'VLU costs'!$D$230:$BB$230,0))
+ INDEX('Mixed costs'!$D$223:$BB$240, MATCH($B113, 'Mixed costs'!$B$223:$B$240,0), MATCH(T$104, 'Mixed costs'!$D$222:$BB$222,0))
+INDEX('Arterial costs'!$D$223:$BB$240, MATCH($B113, 'Arterial costs'!$B$223:$B$240,0), MATCH(T$104, 'Arterial costs'!$D$222:$BB$222,0))</f>
        <v>469573.0603613875</v>
      </c>
      <c r="U113" s="742">
        <f>INDEX('VLU costs'!$D$231:$BB$248, MATCH($B113, 'VLU costs'!$B$231:$B$248,0), MATCH(U$104, 'VLU costs'!$D$230:$BB$230,0))
+ INDEX('Mixed costs'!$D$223:$BB$240, MATCH($B113, 'Mixed costs'!$B$223:$B$240,0), MATCH(U$104, 'Mixed costs'!$D$222:$BB$222,0))
+INDEX('Arterial costs'!$D$223:$BB$240, MATCH($B113, 'Arterial costs'!$B$223:$B$240,0), MATCH(U$104, 'Arterial costs'!$D$222:$BB$222,0))</f>
        <v>496119.60869558767</v>
      </c>
      <c r="V113" s="742">
        <f>INDEX('VLU costs'!$D$231:$BB$248, MATCH($B113, 'VLU costs'!$B$231:$B$248,0), MATCH(V$104, 'VLU costs'!$D$230:$BB$230,0))
+ INDEX('Mixed costs'!$D$223:$BB$240, MATCH($B113, 'Mixed costs'!$B$223:$B$240,0), MATCH(V$104, 'Mixed costs'!$D$222:$BB$222,0))
+INDEX('Arterial costs'!$D$223:$BB$240, MATCH($B113, 'Arterial costs'!$B$223:$B$240,0), MATCH(V$104, 'Arterial costs'!$D$222:$BB$222,0))</f>
        <v>523963.71748196025</v>
      </c>
      <c r="W113" s="742">
        <f>INDEX('VLU costs'!$D$231:$BB$248, MATCH($B113, 'VLU costs'!$B$231:$B$248,0), MATCH(W$104, 'VLU costs'!$D$230:$BB$230,0))
+ INDEX('Mixed costs'!$D$223:$BB$240, MATCH($B113, 'Mixed costs'!$B$223:$B$240,0), MATCH(W$104, 'Mixed costs'!$D$222:$BB$222,0))
+INDEX('Arterial costs'!$D$223:$BB$240, MATCH($B113, 'Arterial costs'!$B$223:$B$240,0), MATCH(W$104, 'Arterial costs'!$D$222:$BB$222,0))</f>
        <v>553088.35140277527</v>
      </c>
      <c r="X113" s="742">
        <f>INDEX('VLU costs'!$D$231:$BB$248, MATCH($B113, 'VLU costs'!$B$231:$B$248,0), MATCH(X$104, 'VLU costs'!$D$230:$BB$230,0))
+ INDEX('Mixed costs'!$D$223:$BB$240, MATCH($B113, 'Mixed costs'!$B$223:$B$240,0), MATCH(X$104, 'Mixed costs'!$D$222:$BB$222,0))
+INDEX('Arterial costs'!$D$223:$BB$240, MATCH($B113, 'Arterial costs'!$B$223:$B$240,0), MATCH(X$104, 'Arterial costs'!$D$222:$BB$222,0))</f>
        <v>583533.55989796703</v>
      </c>
      <c r="Y113" s="742">
        <f>INDEX('VLU costs'!$D$231:$BB$248, MATCH($B113, 'VLU costs'!$B$231:$B$248,0), MATCH(Y$104, 'VLU costs'!$D$230:$BB$230,0))
+ INDEX('Mixed costs'!$D$223:$BB$240, MATCH($B113, 'Mixed costs'!$B$223:$B$240,0), MATCH(Y$104, 'Mixed costs'!$D$222:$BB$222,0))
+INDEX('Arterial costs'!$D$223:$BB$240, MATCH($B113, 'Arterial costs'!$B$223:$B$240,0), MATCH(Y$104, 'Arterial costs'!$D$222:$BB$222,0))</f>
        <v>615490.75148307323</v>
      </c>
      <c r="Z113" s="742">
        <f>INDEX('VLU costs'!$D$231:$BB$248, MATCH($B113, 'VLU costs'!$B$231:$B$248,0), MATCH(Z$104, 'VLU costs'!$D$230:$BB$230,0))
+ INDEX('Mixed costs'!$D$223:$BB$240, MATCH($B113, 'Mixed costs'!$B$223:$B$240,0), MATCH(Z$104, 'Mixed costs'!$D$222:$BB$222,0))
+INDEX('Arterial costs'!$D$223:$BB$240, MATCH($B113, 'Arterial costs'!$B$223:$B$240,0), MATCH(Z$104, 'Arterial costs'!$D$222:$BB$222,0))</f>
        <v>648997.04615440138</v>
      </c>
      <c r="AA113" s="742">
        <f>INDEX('VLU costs'!$D$231:$BB$248, MATCH($B113, 'VLU costs'!$B$231:$B$248,0), MATCH(AA$104, 'VLU costs'!$D$230:$BB$230,0))
+ INDEX('Mixed costs'!$D$223:$BB$240, MATCH($B113, 'Mixed costs'!$B$223:$B$240,0), MATCH(AA$104, 'Mixed costs'!$D$222:$BB$222,0))
+INDEX('Arterial costs'!$D$223:$BB$240, MATCH($B113, 'Arterial costs'!$B$223:$B$240,0), MATCH(AA$104, 'Arterial costs'!$D$222:$BB$222,0))</f>
        <v>684059.63669267157</v>
      </c>
      <c r="AB113" s="742">
        <f>INDEX('VLU costs'!$D$231:$BB$248, MATCH($B113, 'VLU costs'!$B$231:$B$248,0), MATCH(AB$104, 'VLU costs'!$D$230:$BB$230,0))
+ INDEX('Mixed costs'!$D$223:$BB$240, MATCH($B113, 'Mixed costs'!$B$223:$B$240,0), MATCH(AB$104, 'Mixed costs'!$D$222:$BB$222,0))
+INDEX('Arterial costs'!$D$223:$BB$240, MATCH($B113, 'Arterial costs'!$B$223:$B$240,0), MATCH(AB$104, 'Arterial costs'!$D$222:$BB$222,0))</f>
        <v>720693.67757926683</v>
      </c>
      <c r="AC113" s="742">
        <f>INDEX('VLU costs'!$D$231:$BB$248, MATCH($B113, 'VLU costs'!$B$231:$B$248,0), MATCH(AC$104, 'VLU costs'!$D$230:$BB$230,0))
+ INDEX('Mixed costs'!$D$223:$BB$240, MATCH($B113, 'Mixed costs'!$B$223:$B$240,0), MATCH(AC$104, 'Mixed costs'!$D$222:$BB$222,0))
+INDEX('Arterial costs'!$D$223:$BB$240, MATCH($B113, 'Arterial costs'!$B$223:$B$240,0), MATCH(AC$104, 'Arterial costs'!$D$222:$BB$222,0))</f>
        <v>758909.05411274917</v>
      </c>
      <c r="AD113" s="742">
        <f>INDEX('VLU costs'!$D$231:$BB$248, MATCH($B113, 'VLU costs'!$B$231:$B$248,0), MATCH(AD$104, 'VLU costs'!$D$230:$BB$230,0))
+ INDEX('Mixed costs'!$D$223:$BB$240, MATCH($B113, 'Mixed costs'!$B$223:$B$240,0), MATCH(AD$104, 'Mixed costs'!$D$222:$BB$222,0))
+INDEX('Arterial costs'!$D$223:$BB$240, MATCH($B113, 'Arterial costs'!$B$223:$B$240,0), MATCH(AD$104, 'Arterial costs'!$D$222:$BB$222,0))</f>
        <v>798723.81287386664</v>
      </c>
      <c r="AE113" s="742">
        <f>INDEX('VLU costs'!$D$231:$BB$248, MATCH($B113, 'VLU costs'!$B$231:$B$248,0), MATCH(AE$104, 'VLU costs'!$D$230:$BB$230,0))
+ INDEX('Mixed costs'!$D$223:$BB$240, MATCH($B113, 'Mixed costs'!$B$223:$B$240,0), MATCH(AE$104, 'Mixed costs'!$D$222:$BB$222,0))
+INDEX('Arterial costs'!$D$223:$BB$240, MATCH($B113, 'Arterial costs'!$B$223:$B$240,0), MATCH(AE$104, 'Arterial costs'!$D$222:$BB$222,0))</f>
        <v>840155.09193949646</v>
      </c>
      <c r="AF113" s="742">
        <f>INDEX('VLU costs'!$D$231:$BB$248, MATCH($B113, 'VLU costs'!$B$231:$B$248,0), MATCH(AF$104, 'VLU costs'!$D$230:$BB$230,0))
+ INDEX('Mixed costs'!$D$223:$BB$240, MATCH($B113, 'Mixed costs'!$B$223:$B$240,0), MATCH(AF$104, 'Mixed costs'!$D$222:$BB$222,0))
+INDEX('Arterial costs'!$D$223:$BB$240, MATCH($B113, 'Arterial costs'!$B$223:$B$240,0), MATCH(AF$104, 'Arterial costs'!$D$222:$BB$222,0))</f>
        <v>883288.40572001308</v>
      </c>
      <c r="AG113" s="742">
        <f>INDEX('VLU costs'!$D$231:$BB$248, MATCH($B113, 'VLU costs'!$B$231:$B$248,0), MATCH(AG$104, 'VLU costs'!$D$230:$BB$230,0))
+ INDEX('Mixed costs'!$D$223:$BB$240, MATCH($B113, 'Mixed costs'!$B$223:$B$240,0), MATCH(AG$104, 'Mixed costs'!$D$222:$BB$222,0))
+INDEX('Arterial costs'!$D$223:$BB$240, MATCH($B113, 'Arterial costs'!$B$223:$B$240,0), MATCH(AG$104, 'Arterial costs'!$D$222:$BB$222,0))</f>
        <v>928358.51377587975</v>
      </c>
      <c r="AH113" s="742">
        <f>INDEX('VLU costs'!$D$231:$BB$248, MATCH($B113, 'VLU costs'!$B$231:$B$248,0), MATCH(AH$104, 'VLU costs'!$D$230:$BB$230,0))
+ INDEX('Mixed costs'!$D$223:$BB$240, MATCH($B113, 'Mixed costs'!$B$223:$B$240,0), MATCH(AH$104, 'Mixed costs'!$D$222:$BB$222,0))
+INDEX('Arterial costs'!$D$223:$BB$240, MATCH($B113, 'Arterial costs'!$B$223:$B$240,0), MATCH(AH$104, 'Arterial costs'!$D$222:$BB$222,0))</f>
        <v>975462.44504441554</v>
      </c>
      <c r="AI113" s="742">
        <f>INDEX('VLU costs'!$D$231:$BB$248, MATCH($B113, 'VLU costs'!$B$231:$B$248,0), MATCH(AI$104, 'VLU costs'!$D$230:$BB$230,0))
+ INDEX('Mixed costs'!$D$223:$BB$240, MATCH($B113, 'Mixed costs'!$B$223:$B$240,0), MATCH(AI$104, 'Mixed costs'!$D$222:$BB$222,0))
+INDEX('Arterial costs'!$D$223:$BB$240, MATCH($B113, 'Arterial costs'!$B$223:$B$240,0), MATCH(AI$104, 'Arterial costs'!$D$222:$BB$222,0))</f>
        <v>1024754.3164555385</v>
      </c>
      <c r="AJ113" s="742">
        <f>INDEX('VLU costs'!$D$231:$BB$248, MATCH($B113, 'VLU costs'!$B$231:$B$248,0), MATCH(AJ$104, 'VLU costs'!$D$230:$BB$230,0))
+ INDEX('Mixed costs'!$D$223:$BB$240, MATCH($B113, 'Mixed costs'!$B$223:$B$240,0), MATCH(AJ$104, 'Mixed costs'!$D$222:$BB$222,0))
+INDEX('Arterial costs'!$D$223:$BB$240, MATCH($B113, 'Arterial costs'!$B$223:$B$240,0), MATCH(AJ$104, 'Arterial costs'!$D$222:$BB$222,0))</f>
        <v>1076100.8001676772</v>
      </c>
      <c r="AK113" s="742">
        <f>INDEX('VLU costs'!$D$231:$BB$248, MATCH($B113, 'VLU costs'!$B$231:$B$248,0), MATCH(AK$104, 'VLU costs'!$D$230:$BB$230,0))
+ INDEX('Mixed costs'!$D$223:$BB$240, MATCH($B113, 'Mixed costs'!$B$223:$B$240,0), MATCH(AK$104, 'Mixed costs'!$D$222:$BB$222,0))
+INDEX('Arterial costs'!$D$223:$BB$240, MATCH($B113, 'Arterial costs'!$B$223:$B$240,0), MATCH(AK$104, 'Arterial costs'!$D$222:$BB$222,0))</f>
        <v>1129394.1822198944</v>
      </c>
      <c r="AL113" s="742">
        <f>INDEX('VLU costs'!$D$231:$BB$248, MATCH($B113, 'VLU costs'!$B$231:$B$248,0), MATCH(AL$104, 'VLU costs'!$D$230:$BB$230,0))
+ INDEX('Mixed costs'!$D$223:$BB$240, MATCH($B113, 'Mixed costs'!$B$223:$B$240,0), MATCH(AL$104, 'Mixed costs'!$D$222:$BB$222,0))
+INDEX('Arterial costs'!$D$223:$BB$240, MATCH($B113, 'Arterial costs'!$B$223:$B$240,0), MATCH(AL$104, 'Arterial costs'!$D$222:$BB$222,0))</f>
        <v>1184561.5004004005</v>
      </c>
      <c r="AM113" s="742">
        <f>INDEX('VLU costs'!$D$231:$BB$248, MATCH($B113, 'VLU costs'!$B$231:$B$248,0), MATCH(AM$104, 'VLU costs'!$D$230:$BB$230,0))
+ INDEX('Mixed costs'!$D$223:$BB$240, MATCH($B113, 'Mixed costs'!$B$223:$B$240,0), MATCH(AM$104, 'Mixed costs'!$D$222:$BB$222,0))
+INDEX('Arterial costs'!$D$223:$BB$240, MATCH($B113, 'Arterial costs'!$B$223:$B$240,0), MATCH(AM$104, 'Arterial costs'!$D$222:$BB$222,0))</f>
        <v>1241721.4940183039</v>
      </c>
      <c r="AN113" s="742">
        <f>INDEX('VLU costs'!$D$231:$BB$248, MATCH($B113, 'VLU costs'!$B$231:$B$248,0), MATCH(AN$104, 'VLU costs'!$D$230:$BB$230,0))
+ INDEX('Mixed costs'!$D$223:$BB$240, MATCH($B113, 'Mixed costs'!$B$223:$B$240,0), MATCH(AN$104, 'Mixed costs'!$D$222:$BB$222,0))
+INDEX('Arterial costs'!$D$223:$BB$240, MATCH($B113, 'Arterial costs'!$B$223:$B$240,0), MATCH(AN$104, 'Arterial costs'!$D$222:$BB$222,0))</f>
        <v>1300938.8752370952</v>
      </c>
      <c r="AO113" s="742">
        <f>INDEX('VLU costs'!$D$231:$BB$248, MATCH($B113, 'VLU costs'!$B$231:$B$248,0), MATCH(AO$104, 'VLU costs'!$D$230:$BB$230,0))
+ INDEX('Mixed costs'!$D$223:$BB$240, MATCH($B113, 'Mixed costs'!$B$223:$B$240,0), MATCH(AO$104, 'Mixed costs'!$D$222:$BB$222,0))
+INDEX('Arterial costs'!$D$223:$BB$240, MATCH($B113, 'Arterial costs'!$B$223:$B$240,0), MATCH(AO$104, 'Arterial costs'!$D$222:$BB$222,0))</f>
        <v>1362225.7448225052</v>
      </c>
      <c r="AP113" s="742">
        <f>INDEX('VLU costs'!$D$231:$BB$248, MATCH($B113, 'VLU costs'!$B$231:$B$248,0), MATCH(AP$104, 'VLU costs'!$D$230:$BB$230,0))
+ INDEX('Mixed costs'!$D$223:$BB$240, MATCH($B113, 'Mixed costs'!$B$223:$B$240,0), MATCH(AP$104, 'Mixed costs'!$D$222:$BB$222,0))
+INDEX('Arterial costs'!$D$223:$BB$240, MATCH($B113, 'Arterial costs'!$B$223:$B$240,0), MATCH(AP$104, 'Arterial costs'!$D$222:$BB$222,0))</f>
        <v>1425939.5419942851</v>
      </c>
      <c r="AQ113" s="742">
        <f>INDEX('VLU costs'!$D$231:$BB$248, MATCH($B113, 'VLU costs'!$B$231:$B$248,0), MATCH(AQ$104, 'VLU costs'!$D$230:$BB$230,0))
+ INDEX('Mixed costs'!$D$223:$BB$240, MATCH($B113, 'Mixed costs'!$B$223:$B$240,0), MATCH(AQ$104, 'Mixed costs'!$D$222:$BB$222,0))
+INDEX('Arterial costs'!$D$223:$BB$240, MATCH($B113, 'Arterial costs'!$B$223:$B$240,0), MATCH(AQ$104, 'Arterial costs'!$D$222:$BB$222,0))</f>
        <v>1492523.347261623</v>
      </c>
      <c r="AR113" s="742">
        <f>INDEX('VLU costs'!$D$231:$BB$248, MATCH($B113, 'VLU costs'!$B$231:$B$248,0), MATCH(AR$104, 'VLU costs'!$D$230:$BB$230,0))
+ INDEX('Mixed costs'!$D$223:$BB$240, MATCH($B113, 'Mixed costs'!$B$223:$B$240,0), MATCH(AR$104, 'Mixed costs'!$D$222:$BB$222,0))
+INDEX('Arterial costs'!$D$223:$BB$240, MATCH($B113, 'Arterial costs'!$B$223:$B$240,0), MATCH(AR$104, 'Arterial costs'!$D$222:$BB$222,0))</f>
        <v>1562401.9271351425</v>
      </c>
      <c r="AS113" s="742">
        <f>INDEX('VLU costs'!$D$231:$BB$248, MATCH($B113, 'VLU costs'!$B$231:$B$248,0), MATCH(AS$104, 'VLU costs'!$D$230:$BB$230,0))
+ INDEX('Mixed costs'!$D$223:$BB$240, MATCH($B113, 'Mixed costs'!$B$223:$B$240,0), MATCH(AS$104, 'Mixed costs'!$D$222:$BB$222,0))
+INDEX('Arterial costs'!$D$223:$BB$240, MATCH($B113, 'Arterial costs'!$B$223:$B$240,0), MATCH(AS$104, 'Arterial costs'!$D$222:$BB$222,0))</f>
        <v>1633694.2792939793</v>
      </c>
      <c r="AU113" s="804" t="s">
        <v>217</v>
      </c>
    </row>
    <row r="114" spans="1:47" s="73" customFormat="1">
      <c r="B114" s="801" t="s">
        <v>2863</v>
      </c>
      <c r="C114" s="742">
        <f>INDEX('VLU costs'!$D$231:$BB$248, MATCH($B114, 'VLU costs'!$B$231:$B$248,0), MATCH(C$104, 'VLU costs'!$D$230:$BB$230,0))
+ INDEX('Mixed costs'!$D$223:$BB$240, MATCH($B114, 'Mixed costs'!$B$223:$B$240,0), MATCH(C$104, 'Mixed costs'!$D$222:$BB$222,0))
+INDEX('Arterial costs'!$D$223:$BB$240, MATCH($B114, 'Arterial costs'!$B$223:$B$240,0), MATCH(C$104, 'Arterial costs'!$D$222:$BB$222,0))</f>
        <v>11385.255597071493</v>
      </c>
      <c r="D114" s="742">
        <f>INDEX('VLU costs'!$D$231:$BB$248, MATCH($B114, 'VLU costs'!$B$231:$B$248,0), MATCH(D$104, 'VLU costs'!$D$230:$BB$230,0))
+ INDEX('Mixed costs'!$D$223:$BB$240, MATCH($B114, 'Mixed costs'!$B$223:$B$240,0), MATCH(D$104, 'Mixed costs'!$D$222:$BB$222,0))
+INDEX('Arterial costs'!$D$223:$BB$240, MATCH($B114, 'Arterial costs'!$B$223:$B$240,0), MATCH(D$104, 'Arterial costs'!$D$222:$BB$222,0))</f>
        <v>12155.550197876957</v>
      </c>
      <c r="E114" s="742">
        <f>INDEX('VLU costs'!$D$231:$BB$248, MATCH($B114, 'VLU costs'!$B$231:$B$248,0), MATCH(E$104, 'VLU costs'!$D$230:$BB$230,0))
+ INDEX('Mixed costs'!$D$223:$BB$240, MATCH($B114, 'Mixed costs'!$B$223:$B$240,0), MATCH(E$104, 'Mixed costs'!$D$222:$BB$222,0))
+INDEX('Arterial costs'!$D$223:$BB$240, MATCH($B114, 'Arterial costs'!$B$223:$B$240,0), MATCH(E$104, 'Arterial costs'!$D$222:$BB$222,0))</f>
        <v>12903.215701633097</v>
      </c>
      <c r="F114" s="742">
        <f>INDEX('VLU costs'!$D$231:$BB$248, MATCH($B114, 'VLU costs'!$B$231:$B$248,0), MATCH(F$104, 'VLU costs'!$D$230:$BB$230,0))
+ INDEX('Mixed costs'!$D$223:$BB$240, MATCH($B114, 'Mixed costs'!$B$223:$B$240,0), MATCH(F$104, 'Mixed costs'!$D$222:$BB$222,0))
+INDEX('Arterial costs'!$D$223:$BB$240, MATCH($B114, 'Arterial costs'!$B$223:$B$240,0), MATCH(F$104, 'Arterial costs'!$D$222:$BB$222,0))</f>
        <v>13642.708465782038</v>
      </c>
      <c r="G114" s="742">
        <f>INDEX('VLU costs'!$D$231:$BB$248, MATCH($B114, 'VLU costs'!$B$231:$B$248,0), MATCH(G$104, 'VLU costs'!$D$230:$BB$230,0))
+ INDEX('Mixed costs'!$D$223:$BB$240, MATCH($B114, 'Mixed costs'!$B$223:$B$240,0), MATCH(G$104, 'Mixed costs'!$D$222:$BB$222,0))
+INDEX('Arterial costs'!$D$223:$BB$240, MATCH($B114, 'Arterial costs'!$B$223:$B$240,0), MATCH(G$104, 'Arterial costs'!$D$222:$BB$222,0))</f>
        <v>14388.421610792571</v>
      </c>
      <c r="H114" s="742">
        <f>INDEX('VLU costs'!$D$231:$BB$248, MATCH($B114, 'VLU costs'!$B$231:$B$248,0), MATCH(H$104, 'VLU costs'!$D$230:$BB$230,0))
+ INDEX('Mixed costs'!$D$223:$BB$240, MATCH($B114, 'Mixed costs'!$B$223:$B$240,0), MATCH(H$104, 'Mixed costs'!$D$222:$BB$222,0))
+INDEX('Arterial costs'!$D$223:$BB$240, MATCH($B114, 'Arterial costs'!$B$223:$B$240,0), MATCH(H$104, 'Arterial costs'!$D$222:$BB$222,0))</f>
        <v>15148.90791056618</v>
      </c>
      <c r="I114" s="742">
        <f>INDEX('VLU costs'!$D$231:$BB$248, MATCH($B114, 'VLU costs'!$B$231:$B$248,0), MATCH(I$104, 'VLU costs'!$D$230:$BB$230,0))
+ INDEX('Mixed costs'!$D$223:$BB$240, MATCH($B114, 'Mixed costs'!$B$223:$B$240,0), MATCH(I$104, 'Mixed costs'!$D$222:$BB$222,0))
+INDEX('Arterial costs'!$D$223:$BB$240, MATCH($B114, 'Arterial costs'!$B$223:$B$240,0), MATCH(I$104, 'Arterial costs'!$D$222:$BB$222,0))</f>
        <v>15924.653442828487</v>
      </c>
      <c r="J114" s="742">
        <f>INDEX('VLU costs'!$D$231:$BB$248, MATCH($B114, 'VLU costs'!$B$231:$B$248,0), MATCH(J$104, 'VLU costs'!$D$230:$BB$230,0))
+ INDEX('Mixed costs'!$D$223:$BB$240, MATCH($B114, 'Mixed costs'!$B$223:$B$240,0), MATCH(J$104, 'Mixed costs'!$D$222:$BB$222,0))
+INDEX('Arterial costs'!$D$223:$BB$240, MATCH($B114, 'Arterial costs'!$B$223:$B$240,0), MATCH(J$104, 'Arterial costs'!$D$222:$BB$222,0))</f>
        <v>16720.217766230315</v>
      </c>
      <c r="K114" s="742">
        <f>INDEX('VLU costs'!$D$231:$BB$248, MATCH($B114, 'VLU costs'!$B$231:$B$248,0), MATCH(K$104, 'VLU costs'!$D$230:$BB$230,0))
+ INDEX('Mixed costs'!$D$223:$BB$240, MATCH($B114, 'Mixed costs'!$B$223:$B$240,0), MATCH(K$104, 'Mixed costs'!$D$222:$BB$222,0))
+INDEX('Arterial costs'!$D$223:$BB$240, MATCH($B114, 'Arterial costs'!$B$223:$B$240,0), MATCH(K$104, 'Arterial costs'!$D$222:$BB$222,0))</f>
        <v>17562.776756051739</v>
      </c>
      <c r="L114" s="742">
        <f>INDEX('VLU costs'!$D$231:$BB$248, MATCH($B114, 'VLU costs'!$B$231:$B$248,0), MATCH(L$104, 'VLU costs'!$D$230:$BB$230,0))
+ INDEX('Mixed costs'!$D$223:$BB$240, MATCH($B114, 'Mixed costs'!$B$223:$B$240,0), MATCH(L$104, 'Mixed costs'!$D$222:$BB$222,0))
+INDEX('Arterial costs'!$D$223:$BB$240, MATCH($B114, 'Arterial costs'!$B$223:$B$240,0), MATCH(L$104, 'Arterial costs'!$D$222:$BB$222,0))</f>
        <v>18437.114465618724</v>
      </c>
      <c r="M114" s="742">
        <f>INDEX('VLU costs'!$D$231:$BB$248, MATCH($B114, 'VLU costs'!$B$231:$B$248,0), MATCH(M$104, 'VLU costs'!$D$230:$BB$230,0))
+ INDEX('Mixed costs'!$D$223:$BB$240, MATCH($B114, 'Mixed costs'!$B$223:$B$240,0), MATCH(M$104, 'Mixed costs'!$D$222:$BB$222,0))
+INDEX('Arterial costs'!$D$223:$BB$240, MATCH($B114, 'Arterial costs'!$B$223:$B$240,0), MATCH(M$104, 'Arterial costs'!$D$222:$BB$222,0))</f>
        <v>19335.847526353133</v>
      </c>
      <c r="N114" s="742">
        <f>INDEX('VLU costs'!$D$231:$BB$248, MATCH($B114, 'VLU costs'!$B$231:$B$248,0), MATCH(N$104, 'VLU costs'!$D$230:$BB$230,0))
+ INDEX('Mixed costs'!$D$223:$BB$240, MATCH($B114, 'Mixed costs'!$B$223:$B$240,0), MATCH(N$104, 'Mixed costs'!$D$222:$BB$222,0))
+INDEX('Arterial costs'!$D$223:$BB$240, MATCH($B114, 'Arterial costs'!$B$223:$B$240,0), MATCH(N$104, 'Arterial costs'!$D$222:$BB$222,0))</f>
        <v>20246.421001271789</v>
      </c>
      <c r="O114" s="742">
        <f>INDEX('VLU costs'!$D$231:$BB$248, MATCH($B114, 'VLU costs'!$B$231:$B$248,0), MATCH(O$104, 'VLU costs'!$D$230:$BB$230,0))
+ INDEX('Mixed costs'!$D$223:$BB$240, MATCH($B114, 'Mixed costs'!$B$223:$B$240,0), MATCH(O$104, 'Mixed costs'!$D$222:$BB$222,0))
+INDEX('Arterial costs'!$D$223:$BB$240, MATCH($B114, 'Arterial costs'!$B$223:$B$240,0), MATCH(O$104, 'Arterial costs'!$D$222:$BB$222,0))</f>
        <v>21175.770251510668</v>
      </c>
      <c r="P114" s="742">
        <f>INDEX('VLU costs'!$D$231:$BB$248, MATCH($B114, 'VLU costs'!$B$231:$B$248,0), MATCH(P$104, 'VLU costs'!$D$230:$BB$230,0))
+ INDEX('Mixed costs'!$D$223:$BB$240, MATCH($B114, 'Mixed costs'!$B$223:$B$240,0), MATCH(P$104, 'Mixed costs'!$D$222:$BB$222,0))
+INDEX('Arterial costs'!$D$223:$BB$240, MATCH($B114, 'Arterial costs'!$B$223:$B$240,0), MATCH(P$104, 'Arterial costs'!$D$222:$BB$222,0))</f>
        <v>22129.270209075123</v>
      </c>
      <c r="Q114" s="742">
        <f>INDEX('VLU costs'!$D$231:$BB$248, MATCH($B114, 'VLU costs'!$B$231:$B$248,0), MATCH(Q$104, 'VLU costs'!$D$230:$BB$230,0))
+ INDEX('Mixed costs'!$D$223:$BB$240, MATCH($B114, 'Mixed costs'!$B$223:$B$240,0), MATCH(Q$104, 'Mixed costs'!$D$222:$BB$222,0))
+INDEX('Arterial costs'!$D$223:$BB$240, MATCH($B114, 'Arterial costs'!$B$223:$B$240,0), MATCH(Q$104, 'Arterial costs'!$D$222:$BB$222,0))</f>
        <v>23113.467585382579</v>
      </c>
      <c r="R114" s="742">
        <f>INDEX('VLU costs'!$D$231:$BB$248, MATCH($B114, 'VLU costs'!$B$231:$B$248,0), MATCH(R$104, 'VLU costs'!$D$230:$BB$230,0))
+ INDEX('Mixed costs'!$D$223:$BB$240, MATCH($B114, 'Mixed costs'!$B$223:$B$240,0), MATCH(R$104, 'Mixed costs'!$D$222:$BB$222,0))
+INDEX('Arterial costs'!$D$223:$BB$240, MATCH($B114, 'Arterial costs'!$B$223:$B$240,0), MATCH(R$104, 'Arterial costs'!$D$222:$BB$222,0))</f>
        <v>24130.016079141285</v>
      </c>
      <c r="S114" s="742">
        <f>INDEX('VLU costs'!$D$231:$BB$248, MATCH($B114, 'VLU costs'!$B$231:$B$248,0), MATCH(S$104, 'VLU costs'!$D$230:$BB$230,0))
+ INDEX('Mixed costs'!$D$223:$BB$240, MATCH($B114, 'Mixed costs'!$B$223:$B$240,0), MATCH(S$104, 'Mixed costs'!$D$222:$BB$222,0))
+INDEX('Arterial costs'!$D$223:$BB$240, MATCH($B114, 'Arterial costs'!$B$223:$B$240,0), MATCH(S$104, 'Arterial costs'!$D$222:$BB$222,0))</f>
        <v>25174.778709859689</v>
      </c>
      <c r="T114" s="742">
        <f>INDEX('VLU costs'!$D$231:$BB$248, MATCH($B114, 'VLU costs'!$B$231:$B$248,0), MATCH(T$104, 'VLU costs'!$D$230:$BB$230,0))
+ INDEX('Mixed costs'!$D$223:$BB$240, MATCH($B114, 'Mixed costs'!$B$223:$B$240,0), MATCH(T$104, 'Mixed costs'!$D$222:$BB$222,0))
+INDEX('Arterial costs'!$D$223:$BB$240, MATCH($B114, 'Arterial costs'!$B$223:$B$240,0), MATCH(T$104, 'Arterial costs'!$D$222:$BB$222,0))</f>
        <v>26249.174364365714</v>
      </c>
      <c r="U114" s="742">
        <f>INDEX('VLU costs'!$D$231:$BB$248, MATCH($B114, 'VLU costs'!$B$231:$B$248,0), MATCH(U$104, 'VLU costs'!$D$230:$BB$230,0))
+ INDEX('Mixed costs'!$D$223:$BB$240, MATCH($B114, 'Mixed costs'!$B$223:$B$240,0), MATCH(U$104, 'Mixed costs'!$D$222:$BB$222,0))
+INDEX('Arterial costs'!$D$223:$BB$240, MATCH($B114, 'Arterial costs'!$B$223:$B$240,0), MATCH(U$104, 'Arterial costs'!$D$222:$BB$222,0))</f>
        <v>27366.203397713285</v>
      </c>
      <c r="V114" s="742">
        <f>INDEX('VLU costs'!$D$231:$BB$248, MATCH($B114, 'VLU costs'!$B$231:$B$248,0), MATCH(V$104, 'VLU costs'!$D$230:$BB$230,0))
+ INDEX('Mixed costs'!$D$223:$BB$240, MATCH($B114, 'Mixed costs'!$B$223:$B$240,0), MATCH(V$104, 'Mixed costs'!$D$222:$BB$222,0))
+INDEX('Arterial costs'!$D$223:$BB$240, MATCH($B114, 'Arterial costs'!$B$223:$B$240,0), MATCH(V$104, 'Arterial costs'!$D$222:$BB$222,0))</f>
        <v>28516.714809580273</v>
      </c>
      <c r="W114" s="742">
        <f>INDEX('VLU costs'!$D$231:$BB$248, MATCH($B114, 'VLU costs'!$B$231:$B$248,0), MATCH(W$104, 'VLU costs'!$D$230:$BB$230,0))
+ INDEX('Mixed costs'!$D$223:$BB$240, MATCH($B114, 'Mixed costs'!$B$223:$B$240,0), MATCH(W$104, 'Mixed costs'!$D$222:$BB$222,0))
+INDEX('Arterial costs'!$D$223:$BB$240, MATCH($B114, 'Arterial costs'!$B$223:$B$240,0), MATCH(W$104, 'Arterial costs'!$D$222:$BB$222,0))</f>
        <v>29698.498201468479</v>
      </c>
      <c r="X114" s="742">
        <f>INDEX('VLU costs'!$D$231:$BB$248, MATCH($B114, 'VLU costs'!$B$231:$B$248,0), MATCH(X$104, 'VLU costs'!$D$230:$BB$230,0))
+ INDEX('Mixed costs'!$D$223:$BB$240, MATCH($B114, 'Mixed costs'!$B$223:$B$240,0), MATCH(X$104, 'Mixed costs'!$D$222:$BB$222,0))
+INDEX('Arterial costs'!$D$223:$BB$240, MATCH($B114, 'Arterial costs'!$B$223:$B$240,0), MATCH(X$104, 'Arterial costs'!$D$222:$BB$222,0))</f>
        <v>30911.738778903382</v>
      </c>
      <c r="Y114" s="742">
        <f>INDEX('VLU costs'!$D$231:$BB$248, MATCH($B114, 'VLU costs'!$B$231:$B$248,0), MATCH(Y$104, 'VLU costs'!$D$230:$BB$230,0))
+ INDEX('Mixed costs'!$D$223:$BB$240, MATCH($B114, 'Mixed costs'!$B$223:$B$240,0), MATCH(Y$104, 'Mixed costs'!$D$222:$BB$222,0))
+INDEX('Arterial costs'!$D$223:$BB$240, MATCH($B114, 'Arterial costs'!$B$223:$B$240,0), MATCH(Y$104, 'Arterial costs'!$D$222:$BB$222,0))</f>
        <v>32162.427478996287</v>
      </c>
      <c r="Z114" s="742">
        <f>INDEX('VLU costs'!$D$231:$BB$248, MATCH($B114, 'VLU costs'!$B$231:$B$248,0), MATCH(Z$104, 'VLU costs'!$D$230:$BB$230,0))
+ INDEX('Mixed costs'!$D$223:$BB$240, MATCH($B114, 'Mixed costs'!$B$223:$B$240,0), MATCH(Z$104, 'Mixed costs'!$D$222:$BB$222,0))
+INDEX('Arterial costs'!$D$223:$BB$240, MATCH($B114, 'Arterial costs'!$B$223:$B$240,0), MATCH(Z$104, 'Arterial costs'!$D$222:$BB$222,0))</f>
        <v>33450.296806078302</v>
      </c>
      <c r="AA114" s="742">
        <f>INDEX('VLU costs'!$D$231:$BB$248, MATCH($B114, 'VLU costs'!$B$231:$B$248,0), MATCH(AA$104, 'VLU costs'!$D$230:$BB$230,0))
+ INDEX('Mixed costs'!$D$223:$BB$240, MATCH($B114, 'Mixed costs'!$B$223:$B$240,0), MATCH(AA$104, 'Mixed costs'!$D$222:$BB$222,0))
+INDEX('Arterial costs'!$D$223:$BB$240, MATCH($B114, 'Arterial costs'!$B$223:$B$240,0), MATCH(AA$104, 'Arterial costs'!$D$222:$BB$222,0))</f>
        <v>34773.971001438855</v>
      </c>
      <c r="AB114" s="742">
        <f>INDEX('VLU costs'!$D$231:$BB$248, MATCH($B114, 'VLU costs'!$B$231:$B$248,0), MATCH(AB$104, 'VLU costs'!$D$230:$BB$230,0))
+ INDEX('Mixed costs'!$D$223:$BB$240, MATCH($B114, 'Mixed costs'!$B$223:$B$240,0), MATCH(AB$104, 'Mixed costs'!$D$222:$BB$222,0))
+INDEX('Arterial costs'!$D$223:$BB$240, MATCH($B114, 'Arterial costs'!$B$223:$B$240,0), MATCH(AB$104, 'Arterial costs'!$D$222:$BB$222,0))</f>
        <v>36132.435823765933</v>
      </c>
      <c r="AC114" s="742">
        <f>INDEX('VLU costs'!$D$231:$BB$248, MATCH($B114, 'VLU costs'!$B$231:$B$248,0), MATCH(AC$104, 'VLU costs'!$D$230:$BB$230,0))
+ INDEX('Mixed costs'!$D$223:$BB$240, MATCH($B114, 'Mixed costs'!$B$223:$B$240,0), MATCH(AC$104, 'Mixed costs'!$D$222:$BB$222,0))
+INDEX('Arterial costs'!$D$223:$BB$240, MATCH($B114, 'Arterial costs'!$B$223:$B$240,0), MATCH(AC$104, 'Arterial costs'!$D$222:$BB$222,0))</f>
        <v>37524.546224125559</v>
      </c>
      <c r="AD114" s="742">
        <f>INDEX('VLU costs'!$D$231:$BB$248, MATCH($B114, 'VLU costs'!$B$231:$B$248,0), MATCH(AD$104, 'VLU costs'!$D$230:$BB$230,0))
+ INDEX('Mixed costs'!$D$223:$BB$240, MATCH($B114, 'Mixed costs'!$B$223:$B$240,0), MATCH(AD$104, 'Mixed costs'!$D$222:$BB$222,0))
+INDEX('Arterial costs'!$D$223:$BB$240, MATCH($B114, 'Arterial costs'!$B$223:$B$240,0), MATCH(AD$104, 'Arterial costs'!$D$222:$BB$222,0))</f>
        <v>38949.510539481576</v>
      </c>
      <c r="AE114" s="742">
        <f>INDEX('VLU costs'!$D$231:$BB$248, MATCH($B114, 'VLU costs'!$B$231:$B$248,0), MATCH(AE$104, 'VLU costs'!$D$230:$BB$230,0))
+ INDEX('Mixed costs'!$D$223:$BB$240, MATCH($B114, 'Mixed costs'!$B$223:$B$240,0), MATCH(AE$104, 'Mixed costs'!$D$222:$BB$222,0))
+INDEX('Arterial costs'!$D$223:$BB$240, MATCH($B114, 'Arterial costs'!$B$223:$B$240,0), MATCH(AE$104, 'Arterial costs'!$D$222:$BB$222,0))</f>
        <v>40406.550574138535</v>
      </c>
      <c r="AF114" s="742">
        <f>INDEX('VLU costs'!$D$231:$BB$248, MATCH($B114, 'VLU costs'!$B$231:$B$248,0), MATCH(AF$104, 'VLU costs'!$D$230:$BB$230,0))
+ INDEX('Mixed costs'!$D$223:$BB$240, MATCH($B114, 'Mixed costs'!$B$223:$B$240,0), MATCH(AF$104, 'Mixed costs'!$D$222:$BB$222,0))
+INDEX('Arterial costs'!$D$223:$BB$240, MATCH($B114, 'Arterial costs'!$B$223:$B$240,0), MATCH(AF$104, 'Arterial costs'!$D$222:$BB$222,0))</f>
        <v>41897.179104312461</v>
      </c>
      <c r="AG114" s="742">
        <f>INDEX('VLU costs'!$D$231:$BB$248, MATCH($B114, 'VLU costs'!$B$231:$B$248,0), MATCH(AG$104, 'VLU costs'!$D$230:$BB$230,0))
+ INDEX('Mixed costs'!$D$223:$BB$240, MATCH($B114, 'Mixed costs'!$B$223:$B$240,0), MATCH(AG$104, 'Mixed costs'!$D$222:$BB$222,0))
+INDEX('Arterial costs'!$D$223:$BB$240, MATCH($B114, 'Arterial costs'!$B$223:$B$240,0), MATCH(AG$104, 'Arterial costs'!$D$222:$BB$222,0))</f>
        <v>43427.617146476827</v>
      </c>
      <c r="AH114" s="742">
        <f>INDEX('VLU costs'!$D$231:$BB$248, MATCH($B114, 'VLU costs'!$B$231:$B$248,0), MATCH(AH$104, 'VLU costs'!$D$230:$BB$230,0))
+ INDEX('Mixed costs'!$D$223:$BB$240, MATCH($B114, 'Mixed costs'!$B$223:$B$240,0), MATCH(AH$104, 'Mixed costs'!$D$222:$BB$222,0))
+INDEX('Arterial costs'!$D$223:$BB$240, MATCH($B114, 'Arterial costs'!$B$223:$B$240,0), MATCH(AH$104, 'Arterial costs'!$D$222:$BB$222,0))</f>
        <v>44999.283315587672</v>
      </c>
      <c r="AI114" s="742">
        <f>INDEX('VLU costs'!$D$231:$BB$248, MATCH($B114, 'VLU costs'!$B$231:$B$248,0), MATCH(AI$104, 'VLU costs'!$D$230:$BB$230,0))
+ INDEX('Mixed costs'!$D$223:$BB$240, MATCH($B114, 'Mixed costs'!$B$223:$B$240,0), MATCH(AI$104, 'Mixed costs'!$D$222:$BB$222,0))
+INDEX('Arterial costs'!$D$223:$BB$240, MATCH($B114, 'Arterial costs'!$B$223:$B$240,0), MATCH(AI$104, 'Arterial costs'!$D$222:$BB$222,0))</f>
        <v>46615.243341572801</v>
      </c>
      <c r="AJ114" s="742">
        <f>INDEX('VLU costs'!$D$231:$BB$248, MATCH($B114, 'VLU costs'!$B$231:$B$248,0), MATCH(AJ$104, 'VLU costs'!$D$230:$BB$230,0))
+ INDEX('Mixed costs'!$D$223:$BB$240, MATCH($B114, 'Mixed costs'!$B$223:$B$240,0), MATCH(AJ$104, 'Mixed costs'!$D$222:$BB$222,0))
+INDEX('Arterial costs'!$D$223:$BB$240, MATCH($B114, 'Arterial costs'!$B$223:$B$240,0), MATCH(AJ$104, 'Arterial costs'!$D$222:$BB$222,0))</f>
        <v>48269.641005086705</v>
      </c>
      <c r="AK114" s="742">
        <f>INDEX('VLU costs'!$D$231:$BB$248, MATCH($B114, 'VLU costs'!$B$231:$B$248,0), MATCH(AK$104, 'VLU costs'!$D$230:$BB$230,0))
+ INDEX('Mixed costs'!$D$223:$BB$240, MATCH($B114, 'Mixed costs'!$B$223:$B$240,0), MATCH(AK$104, 'Mixed costs'!$D$222:$BB$222,0))
+INDEX('Arterial costs'!$D$223:$BB$240, MATCH($B114, 'Arterial costs'!$B$223:$B$240,0), MATCH(AK$104, 'Arterial costs'!$D$222:$BB$222,0))</f>
        <v>49957.782832561847</v>
      </c>
      <c r="AL114" s="742">
        <f>INDEX('VLU costs'!$D$231:$BB$248, MATCH($B114, 'VLU costs'!$B$231:$B$248,0), MATCH(AL$104, 'VLU costs'!$D$230:$BB$230,0))
+ INDEX('Mixed costs'!$D$223:$BB$240, MATCH($B114, 'Mixed costs'!$B$223:$B$240,0), MATCH(AL$104, 'Mixed costs'!$D$222:$BB$222,0))
+INDEX('Arterial costs'!$D$223:$BB$240, MATCH($B114, 'Arterial costs'!$B$223:$B$240,0), MATCH(AL$104, 'Arterial costs'!$D$222:$BB$222,0))</f>
        <v>51676.310514471959</v>
      </c>
      <c r="AM114" s="742">
        <f>INDEX('VLU costs'!$D$231:$BB$248, MATCH($B114, 'VLU costs'!$B$231:$B$248,0), MATCH(AM$104, 'VLU costs'!$D$230:$BB$230,0))
+ INDEX('Mixed costs'!$D$223:$BB$240, MATCH($B114, 'Mixed costs'!$B$223:$B$240,0), MATCH(AM$104, 'Mixed costs'!$D$222:$BB$222,0))
+INDEX('Arterial costs'!$D$223:$BB$240, MATCH($B114, 'Arterial costs'!$B$223:$B$240,0), MATCH(AM$104, 'Arterial costs'!$D$222:$BB$222,0))</f>
        <v>53427.525135879332</v>
      </c>
      <c r="AN114" s="742">
        <f>INDEX('VLU costs'!$D$231:$BB$248, MATCH($B114, 'VLU costs'!$B$231:$B$248,0), MATCH(AN$104, 'VLU costs'!$D$230:$BB$230,0))
+ INDEX('Mixed costs'!$D$223:$BB$240, MATCH($B114, 'Mixed costs'!$B$223:$B$240,0), MATCH(AN$104, 'Mixed costs'!$D$222:$BB$222,0))
+INDEX('Arterial costs'!$D$223:$BB$240, MATCH($B114, 'Arterial costs'!$B$223:$B$240,0), MATCH(AN$104, 'Arterial costs'!$D$222:$BB$222,0))</f>
        <v>55212.073243656589</v>
      </c>
      <c r="AO114" s="742">
        <f>INDEX('VLU costs'!$D$231:$BB$248, MATCH($B114, 'VLU costs'!$B$231:$B$248,0), MATCH(AO$104, 'VLU costs'!$D$230:$BB$230,0))
+ INDEX('Mixed costs'!$D$223:$BB$240, MATCH($B114, 'Mixed costs'!$B$223:$B$240,0), MATCH(AO$104, 'Mixed costs'!$D$222:$BB$222,0))
+INDEX('Arterial costs'!$D$223:$BB$240, MATCH($B114, 'Arterial costs'!$B$223:$B$240,0), MATCH(AO$104, 'Arterial costs'!$D$222:$BB$222,0))</f>
        <v>57029.136152682389</v>
      </c>
      <c r="AP114" s="742">
        <f>INDEX('VLU costs'!$D$231:$BB$248, MATCH($B114, 'VLU costs'!$B$231:$B$248,0), MATCH(AP$104, 'VLU costs'!$D$230:$BB$230,0))
+ INDEX('Mixed costs'!$D$223:$BB$240, MATCH($B114, 'Mixed costs'!$B$223:$B$240,0), MATCH(AP$104, 'Mixed costs'!$D$222:$BB$222,0))
+INDEX('Arterial costs'!$D$223:$BB$240, MATCH($B114, 'Arterial costs'!$B$223:$B$240,0), MATCH(AP$104, 'Arterial costs'!$D$222:$BB$222,0))</f>
        <v>58887.092723440961</v>
      </c>
      <c r="AQ114" s="742">
        <f>INDEX('VLU costs'!$D$231:$BB$248, MATCH($B114, 'VLU costs'!$B$231:$B$248,0), MATCH(AQ$104, 'VLU costs'!$D$230:$BB$230,0))
+ INDEX('Mixed costs'!$D$223:$BB$240, MATCH($B114, 'Mixed costs'!$B$223:$B$240,0), MATCH(AQ$104, 'Mixed costs'!$D$222:$BB$222,0))
+INDEX('Arterial costs'!$D$223:$BB$240, MATCH($B114, 'Arterial costs'!$B$223:$B$240,0), MATCH(AQ$104, 'Arterial costs'!$D$222:$BB$222,0))</f>
        <v>60795.938899531626</v>
      </c>
      <c r="AR114" s="742">
        <f>INDEX('VLU costs'!$D$231:$BB$248, MATCH($B114, 'VLU costs'!$B$231:$B$248,0), MATCH(AR$104, 'VLU costs'!$D$230:$BB$230,0))
+ INDEX('Mixed costs'!$D$223:$BB$240, MATCH($B114, 'Mixed costs'!$B$223:$B$240,0), MATCH(AR$104, 'Mixed costs'!$D$222:$BB$222,0))
+INDEX('Arterial costs'!$D$223:$BB$240, MATCH($B114, 'Arterial costs'!$B$223:$B$240,0), MATCH(AR$104, 'Arterial costs'!$D$222:$BB$222,0))</f>
        <v>62764.480260649856</v>
      </c>
      <c r="AS114" s="742">
        <f>INDEX('VLU costs'!$D$231:$BB$248, MATCH($B114, 'VLU costs'!$B$231:$B$248,0), MATCH(AS$104, 'VLU costs'!$D$230:$BB$230,0))
+ INDEX('Mixed costs'!$D$223:$BB$240, MATCH($B114, 'Mixed costs'!$B$223:$B$240,0), MATCH(AS$104, 'Mixed costs'!$D$222:$BB$222,0))
+INDEX('Arterial costs'!$D$223:$BB$240, MATCH($B114, 'Arterial costs'!$B$223:$B$240,0), MATCH(AS$104, 'Arterial costs'!$D$222:$BB$222,0))</f>
        <v>64743.809505832171</v>
      </c>
      <c r="AU114" s="804" t="s">
        <v>3714</v>
      </c>
    </row>
    <row r="115" spans="1:47" s="73" customFormat="1">
      <c r="B115" s="801" t="s">
        <v>2862</v>
      </c>
      <c r="C115" s="742">
        <f>INDEX('VLU costs'!$D$231:$BB$248, MATCH($B115, 'VLU costs'!$B$231:$B$248,0), MATCH(C$104, 'VLU costs'!$D$230:$BB$230,0))
+ INDEX('Mixed costs'!$D$223:$BB$240, MATCH($B115, 'Mixed costs'!$B$223:$B$240,0), MATCH(C$104, 'Mixed costs'!$D$222:$BB$222,0))
+INDEX('Arterial costs'!$D$223:$BB$240, MATCH($B115, 'Arterial costs'!$B$223:$B$240,0), MATCH(C$104, 'Arterial costs'!$D$222:$BB$222,0))</f>
        <v>14773.60634744098</v>
      </c>
      <c r="D115" s="742">
        <f>INDEX('VLU costs'!$D$231:$BB$248, MATCH($B115, 'VLU costs'!$B$231:$B$248,0), MATCH(D$104, 'VLU costs'!$D$230:$BB$230,0))
+ INDEX('Mixed costs'!$D$223:$BB$240, MATCH($B115, 'Mixed costs'!$B$223:$B$240,0), MATCH(D$104, 'Mixed costs'!$D$222:$BB$222,0))
+INDEX('Arterial costs'!$D$223:$BB$240, MATCH($B115, 'Arterial costs'!$B$223:$B$240,0), MATCH(D$104, 'Arterial costs'!$D$222:$BB$222,0))</f>
        <v>15773.147298176093</v>
      </c>
      <c r="E115" s="742">
        <f>INDEX('VLU costs'!$D$231:$BB$248, MATCH($B115, 'VLU costs'!$B$231:$B$248,0), MATCH(E$104, 'VLU costs'!$D$230:$BB$230,0))
+ INDEX('Mixed costs'!$D$223:$BB$240, MATCH($B115, 'Mixed costs'!$B$223:$B$240,0), MATCH(E$104, 'Mixed costs'!$D$222:$BB$222,0))
+INDEX('Arterial costs'!$D$223:$BB$240, MATCH($B115, 'Arterial costs'!$B$223:$B$240,0), MATCH(E$104, 'Arterial costs'!$D$222:$BB$222,0))</f>
        <v>16743.324536436387</v>
      </c>
      <c r="F115" s="742">
        <f>INDEX('VLU costs'!$D$231:$BB$248, MATCH($B115, 'VLU costs'!$B$231:$B$248,0), MATCH(F$104, 'VLU costs'!$D$230:$BB$230,0))
+ INDEX('Mixed costs'!$D$223:$BB$240, MATCH($B115, 'Mixed costs'!$B$223:$B$240,0), MATCH(F$104, 'Mixed costs'!$D$222:$BB$222,0))
+INDEX('Arterial costs'!$D$223:$BB$240, MATCH($B115, 'Arterial costs'!$B$223:$B$240,0), MATCH(F$104, 'Arterial costs'!$D$222:$BB$222,0))</f>
        <v>17702.896756943017</v>
      </c>
      <c r="G115" s="742">
        <f>INDEX('VLU costs'!$D$231:$BB$248, MATCH($B115, 'VLU costs'!$B$231:$B$248,0), MATCH(G$104, 'VLU costs'!$D$230:$BB$230,0))
+ INDEX('Mixed costs'!$D$223:$BB$240, MATCH($B115, 'Mixed costs'!$B$223:$B$240,0), MATCH(G$104, 'Mixed costs'!$D$222:$BB$222,0))
+INDEX('Arterial costs'!$D$223:$BB$240, MATCH($B115, 'Arterial costs'!$B$223:$B$240,0), MATCH(G$104, 'Arterial costs'!$D$222:$BB$222,0))</f>
        <v>18670.540597572432</v>
      </c>
      <c r="H115" s="742">
        <f>INDEX('VLU costs'!$D$231:$BB$248, MATCH($B115, 'VLU costs'!$B$231:$B$248,0), MATCH(H$104, 'VLU costs'!$D$230:$BB$230,0))
+ INDEX('Mixed costs'!$D$223:$BB$240, MATCH($B115, 'Mixed costs'!$B$223:$B$240,0), MATCH(H$104, 'Mixed costs'!$D$222:$BB$222,0))
+INDEX('Arterial costs'!$D$223:$BB$240, MATCH($B115, 'Arterial costs'!$B$223:$B$240,0), MATCH(H$104, 'Arterial costs'!$D$222:$BB$222,0))</f>
        <v>19657.354211872596</v>
      </c>
      <c r="I115" s="742">
        <f>INDEX('VLU costs'!$D$231:$BB$248, MATCH($B115, 'VLU costs'!$B$231:$B$248,0), MATCH(I$104, 'VLU costs'!$D$230:$BB$230,0))
+ INDEX('Mixed costs'!$D$223:$BB$240, MATCH($B115, 'Mixed costs'!$B$223:$B$240,0), MATCH(I$104, 'Mixed costs'!$D$222:$BB$222,0))
+INDEX('Arterial costs'!$D$223:$BB$240, MATCH($B115, 'Arterial costs'!$B$223:$B$240,0), MATCH(I$104, 'Arterial costs'!$D$222:$BB$222,0))</f>
        <v>20663.968338513485</v>
      </c>
      <c r="J115" s="742">
        <f>INDEX('VLU costs'!$D$231:$BB$248, MATCH($B115, 'VLU costs'!$B$231:$B$248,0), MATCH(J$104, 'VLU costs'!$D$230:$BB$230,0))
+ INDEX('Mixed costs'!$D$223:$BB$240, MATCH($B115, 'Mixed costs'!$B$223:$B$240,0), MATCH(J$104, 'Mixed costs'!$D$222:$BB$222,0))
+INDEX('Arterial costs'!$D$223:$BB$240, MATCH($B115, 'Arterial costs'!$B$223:$B$240,0), MATCH(J$104, 'Arterial costs'!$D$222:$BB$222,0))</f>
        <v>21696.299500321569</v>
      </c>
      <c r="K115" s="742">
        <f>INDEX('VLU costs'!$D$231:$BB$248, MATCH($B115, 'VLU costs'!$B$231:$B$248,0), MATCH(K$104, 'VLU costs'!$D$230:$BB$230,0))
+ INDEX('Mixed costs'!$D$223:$BB$240, MATCH($B115, 'Mixed costs'!$B$223:$B$240,0), MATCH(K$104, 'Mixed costs'!$D$222:$BB$222,0))
+INDEX('Arterial costs'!$D$223:$BB$240, MATCH($B115, 'Arterial costs'!$B$223:$B$240,0), MATCH(K$104, 'Arterial costs'!$D$222:$BB$222,0))</f>
        <v>22789.611348614293</v>
      </c>
      <c r="L115" s="742">
        <f>INDEX('VLU costs'!$D$231:$BB$248, MATCH($B115, 'VLU costs'!$B$231:$B$248,0), MATCH(L$104, 'VLU costs'!$D$230:$BB$230,0))
+ INDEX('Mixed costs'!$D$223:$BB$240, MATCH($B115, 'Mixed costs'!$B$223:$B$240,0), MATCH(L$104, 'Mixed costs'!$D$222:$BB$222,0))
+INDEX('Arterial costs'!$D$223:$BB$240, MATCH($B115, 'Arterial costs'!$B$223:$B$240,0), MATCH(L$104, 'Arterial costs'!$D$222:$BB$222,0))</f>
        <v>23924.159539099215</v>
      </c>
      <c r="M115" s="742">
        <f>INDEX('VLU costs'!$D$231:$BB$248, MATCH($B115, 'VLU costs'!$B$231:$B$248,0), MATCH(M$104, 'VLU costs'!$D$230:$BB$230,0))
+ INDEX('Mixed costs'!$D$223:$BB$240, MATCH($B115, 'Mixed costs'!$B$223:$B$240,0), MATCH(M$104, 'Mixed costs'!$D$222:$BB$222,0))
+INDEX('Arterial costs'!$D$223:$BB$240, MATCH($B115, 'Arterial costs'!$B$223:$B$240,0), MATCH(M$104, 'Arterial costs'!$D$222:$BB$222,0))</f>
        <v>25090.363348712079</v>
      </c>
      <c r="N115" s="742">
        <f>INDEX('VLU costs'!$D$231:$BB$248, MATCH($B115, 'VLU costs'!$B$231:$B$248,0), MATCH(N$104, 'VLU costs'!$D$230:$BB$230,0))
+ INDEX('Mixed costs'!$D$223:$BB$240, MATCH($B115, 'Mixed costs'!$B$223:$B$240,0), MATCH(N$104, 'Mixed costs'!$D$222:$BB$222,0))
+INDEX('Arterial costs'!$D$223:$BB$240, MATCH($B115, 'Arterial costs'!$B$223:$B$240,0), MATCH(N$104, 'Arterial costs'!$D$222:$BB$222,0))</f>
        <v>26271.9313824003</v>
      </c>
      <c r="O115" s="742">
        <f>INDEX('VLU costs'!$D$231:$BB$248, MATCH($B115, 'VLU costs'!$B$231:$B$248,0), MATCH(O$104, 'VLU costs'!$D$230:$BB$230,0))
+ INDEX('Mixed costs'!$D$223:$BB$240, MATCH($B115, 'Mixed costs'!$B$223:$B$240,0), MATCH(O$104, 'Mixed costs'!$D$222:$BB$222,0))
+INDEX('Arterial costs'!$D$223:$BB$240, MATCH($B115, 'Arterial costs'!$B$223:$B$240,0), MATCH(O$104, 'Arterial costs'!$D$222:$BB$222,0))</f>
        <v>27477.863024887993</v>
      </c>
      <c r="P115" s="742">
        <f>INDEX('VLU costs'!$D$231:$BB$248, MATCH($B115, 'VLU costs'!$B$231:$B$248,0), MATCH(P$104, 'VLU costs'!$D$230:$BB$230,0))
+ INDEX('Mixed costs'!$D$223:$BB$240, MATCH($B115, 'Mixed costs'!$B$223:$B$240,0), MATCH(P$104, 'Mixed costs'!$D$222:$BB$222,0))
+INDEX('Arterial costs'!$D$223:$BB$240, MATCH($B115, 'Arterial costs'!$B$223:$B$240,0), MATCH(P$104, 'Arterial costs'!$D$222:$BB$222,0))</f>
        <v>28715.132834533921</v>
      </c>
      <c r="Q115" s="742">
        <f>INDEX('VLU costs'!$D$231:$BB$248, MATCH($B115, 'VLU costs'!$B$231:$B$248,0), MATCH(Q$104, 'VLU costs'!$D$230:$BB$230,0))
+ INDEX('Mixed costs'!$D$223:$BB$240, MATCH($B115, 'Mixed costs'!$B$223:$B$240,0), MATCH(Q$104, 'Mixed costs'!$D$222:$BB$222,0))
+INDEX('Arterial costs'!$D$223:$BB$240, MATCH($B115, 'Arterial costs'!$B$223:$B$240,0), MATCH(Q$104, 'Arterial costs'!$D$222:$BB$222,0))</f>
        <v>29992.235880818687</v>
      </c>
      <c r="R115" s="742">
        <f>INDEX('VLU costs'!$D$231:$BB$248, MATCH($B115, 'VLU costs'!$B$231:$B$248,0), MATCH(R$104, 'VLU costs'!$D$230:$BB$230,0))
+ INDEX('Mixed costs'!$D$223:$BB$240, MATCH($B115, 'Mixed costs'!$B$223:$B$240,0), MATCH(R$104, 'Mixed costs'!$D$222:$BB$222,0))
+INDEX('Arterial costs'!$D$223:$BB$240, MATCH($B115, 'Arterial costs'!$B$223:$B$240,0), MATCH(R$104, 'Arterial costs'!$D$222:$BB$222,0))</f>
        <v>31311.31801751996</v>
      </c>
      <c r="S115" s="742">
        <f>INDEX('VLU costs'!$D$231:$BB$248, MATCH($B115, 'VLU costs'!$B$231:$B$248,0), MATCH(S$104, 'VLU costs'!$D$230:$BB$230,0))
+ INDEX('Mixed costs'!$D$223:$BB$240, MATCH($B115, 'Mixed costs'!$B$223:$B$240,0), MATCH(S$104, 'Mixed costs'!$D$222:$BB$222,0))
+INDEX('Arterial costs'!$D$223:$BB$240, MATCH($B115, 'Arterial costs'!$B$223:$B$240,0), MATCH(S$104, 'Arterial costs'!$D$222:$BB$222,0))</f>
        <v>32667.011062893551</v>
      </c>
      <c r="T115" s="742">
        <f>INDEX('VLU costs'!$D$231:$BB$248, MATCH($B115, 'VLU costs'!$B$231:$B$248,0), MATCH(T$104, 'VLU costs'!$D$230:$BB$230,0))
+ INDEX('Mixed costs'!$D$223:$BB$240, MATCH($B115, 'Mixed costs'!$B$223:$B$240,0), MATCH(T$104, 'Mixed costs'!$D$222:$BB$222,0))
+INDEX('Arterial costs'!$D$223:$BB$240, MATCH($B115, 'Arterial costs'!$B$223:$B$240,0), MATCH(T$104, 'Arterial costs'!$D$222:$BB$222,0))</f>
        <v>34061.156176785931</v>
      </c>
      <c r="U115" s="742">
        <f>INDEX('VLU costs'!$D$231:$BB$248, MATCH($B115, 'VLU costs'!$B$231:$B$248,0), MATCH(U$104, 'VLU costs'!$D$230:$BB$230,0))
+ INDEX('Mixed costs'!$D$223:$BB$240, MATCH($B115, 'Mixed costs'!$B$223:$B$240,0), MATCH(U$104, 'Mixed costs'!$D$222:$BB$222,0))
+INDEX('Arterial costs'!$D$223:$BB$240, MATCH($B115, 'Arterial costs'!$B$223:$B$240,0), MATCH(U$104, 'Arterial costs'!$D$222:$BB$222,0))</f>
        <v>35510.622732599077</v>
      </c>
      <c r="V115" s="742">
        <f>INDEX('VLU costs'!$D$231:$BB$248, MATCH($B115, 'VLU costs'!$B$231:$B$248,0), MATCH(V$104, 'VLU costs'!$D$230:$BB$230,0))
+ INDEX('Mixed costs'!$D$223:$BB$240, MATCH($B115, 'Mixed costs'!$B$223:$B$240,0), MATCH(V$104, 'Mixed costs'!$D$222:$BB$222,0))
+INDEX('Arterial costs'!$D$223:$BB$240, MATCH($B115, 'Arterial costs'!$B$223:$B$240,0), MATCH(V$104, 'Arterial costs'!$D$222:$BB$222,0))</f>
        <v>37003.536312996293</v>
      </c>
      <c r="W115" s="742">
        <f>INDEX('VLU costs'!$D$231:$BB$248, MATCH($B115, 'VLU costs'!$B$231:$B$248,0), MATCH(W$104, 'VLU costs'!$D$230:$BB$230,0))
+ INDEX('Mixed costs'!$D$223:$BB$240, MATCH($B115, 'Mixed costs'!$B$223:$B$240,0), MATCH(W$104, 'Mixed costs'!$D$222:$BB$222,0))
+INDEX('Arterial costs'!$D$223:$BB$240, MATCH($B115, 'Arterial costs'!$B$223:$B$240,0), MATCH(W$104, 'Arterial costs'!$D$222:$BB$222,0))</f>
        <v>38537.028685727113</v>
      </c>
      <c r="X115" s="742">
        <f>INDEX('VLU costs'!$D$231:$BB$248, MATCH($B115, 'VLU costs'!$B$231:$B$248,0), MATCH(X$104, 'VLU costs'!$D$230:$BB$230,0))
+ INDEX('Mixed costs'!$D$223:$BB$240, MATCH($B115, 'Mixed costs'!$B$223:$B$240,0), MATCH(X$104, 'Mixed costs'!$D$222:$BB$222,0))
+INDEX('Arterial costs'!$D$223:$BB$240, MATCH($B115, 'Arterial costs'!$B$223:$B$240,0), MATCH(X$104, 'Arterial costs'!$D$222:$BB$222,0))</f>
        <v>40111.340175086698</v>
      </c>
      <c r="Y115" s="742">
        <f>INDEX('VLU costs'!$D$231:$BB$248, MATCH($B115, 'VLU costs'!$B$231:$B$248,0), MATCH(Y$104, 'VLU costs'!$D$230:$BB$230,0))
+ INDEX('Mixed costs'!$D$223:$BB$240, MATCH($B115, 'Mixed costs'!$B$223:$B$240,0), MATCH(Y$104, 'Mixed costs'!$D$222:$BB$222,0))
+INDEX('Arterial costs'!$D$223:$BB$240, MATCH($B115, 'Arterial costs'!$B$223:$B$240,0), MATCH(Y$104, 'Arterial costs'!$D$222:$BB$222,0))</f>
        <v>41734.244672998713</v>
      </c>
      <c r="Z115" s="742">
        <f>INDEX('VLU costs'!$D$231:$BB$248, MATCH($B115, 'VLU costs'!$B$231:$B$248,0), MATCH(Z$104, 'VLU costs'!$D$230:$BB$230,0))
+ INDEX('Mixed costs'!$D$223:$BB$240, MATCH($B115, 'Mixed costs'!$B$223:$B$240,0), MATCH(Z$104, 'Mixed costs'!$D$222:$BB$222,0))
+INDEX('Arterial costs'!$D$223:$BB$240, MATCH($B115, 'Arterial costs'!$B$223:$B$240,0), MATCH(Z$104, 'Arterial costs'!$D$222:$BB$222,0))</f>
        <v>43405.395074764601</v>
      </c>
      <c r="AA115" s="742">
        <f>INDEX('VLU costs'!$D$231:$BB$248, MATCH($B115, 'VLU costs'!$B$231:$B$248,0), MATCH(AA$104, 'VLU costs'!$D$230:$BB$230,0))
+ INDEX('Mixed costs'!$D$223:$BB$240, MATCH($B115, 'Mixed costs'!$B$223:$B$240,0), MATCH(AA$104, 'Mixed costs'!$D$222:$BB$222,0))
+INDEX('Arterial costs'!$D$223:$BB$240, MATCH($B115, 'Arterial costs'!$B$223:$B$240,0), MATCH(AA$104, 'Arterial costs'!$D$222:$BB$222,0))</f>
        <v>45123.006183956786</v>
      </c>
      <c r="AB115" s="742">
        <f>INDEX('VLU costs'!$D$231:$BB$248, MATCH($B115, 'VLU costs'!$B$231:$B$248,0), MATCH(AB$104, 'VLU costs'!$D$230:$BB$230,0))
+ INDEX('Mixed costs'!$D$223:$BB$240, MATCH($B115, 'Mixed costs'!$B$223:$B$240,0), MATCH(AB$104, 'Mixed costs'!$D$222:$BB$222,0))
+INDEX('Arterial costs'!$D$223:$BB$240, MATCH($B115, 'Arterial costs'!$B$223:$B$240,0), MATCH(AB$104, 'Arterial costs'!$D$222:$BB$222,0))</f>
        <v>46885.7619122576</v>
      </c>
      <c r="AC115" s="742">
        <f>INDEX('VLU costs'!$D$231:$BB$248, MATCH($B115, 'VLU costs'!$B$231:$B$248,0), MATCH(AC$104, 'VLU costs'!$D$230:$BB$230,0))
+ INDEX('Mixed costs'!$D$223:$BB$240, MATCH($B115, 'Mixed costs'!$B$223:$B$240,0), MATCH(AC$104, 'Mixed costs'!$D$222:$BB$222,0))
+INDEX('Arterial costs'!$D$223:$BB$240, MATCH($B115, 'Arterial costs'!$B$223:$B$240,0), MATCH(AC$104, 'Arterial costs'!$D$222:$BB$222,0))</f>
        <v>48692.176434245288</v>
      </c>
      <c r="AD115" s="742">
        <f>INDEX('VLU costs'!$D$231:$BB$248, MATCH($B115, 'VLU costs'!$B$231:$B$248,0), MATCH(AD$104, 'VLU costs'!$D$230:$BB$230,0))
+ INDEX('Mixed costs'!$D$223:$BB$240, MATCH($B115, 'Mixed costs'!$B$223:$B$240,0), MATCH(AD$104, 'Mixed costs'!$D$222:$BB$222,0))
+INDEX('Arterial costs'!$D$223:$BB$240, MATCH($B115, 'Arterial costs'!$B$223:$B$240,0), MATCH(AD$104, 'Arterial costs'!$D$222:$BB$222,0))</f>
        <v>50541.222481102188</v>
      </c>
      <c r="AE115" s="742">
        <f>INDEX('VLU costs'!$D$231:$BB$248, MATCH($B115, 'VLU costs'!$B$231:$B$248,0), MATCH(AE$104, 'VLU costs'!$D$230:$BB$230,0))
+ INDEX('Mixed costs'!$D$223:$BB$240, MATCH($B115, 'Mixed costs'!$B$223:$B$240,0), MATCH(AE$104, 'Mixed costs'!$D$222:$BB$222,0))
+INDEX('Arterial costs'!$D$223:$BB$240, MATCH($B115, 'Arterial costs'!$B$223:$B$240,0), MATCH(AE$104, 'Arterial costs'!$D$222:$BB$222,0))</f>
        <v>52431.890259348693</v>
      </c>
      <c r="AF115" s="742">
        <f>INDEX('VLU costs'!$D$231:$BB$248, MATCH($B115, 'VLU costs'!$B$231:$B$248,0), MATCH(AF$104, 'VLU costs'!$D$230:$BB$230,0))
+ INDEX('Mixed costs'!$D$223:$BB$240, MATCH($B115, 'Mixed costs'!$B$223:$B$240,0), MATCH(AF$104, 'Mixed costs'!$D$222:$BB$222,0))
+INDEX('Arterial costs'!$D$223:$BB$240, MATCH($B115, 'Arterial costs'!$B$223:$B$240,0), MATCH(AF$104, 'Arterial costs'!$D$222:$BB$222,0))</f>
        <v>54366.142760515067</v>
      </c>
      <c r="AG115" s="742">
        <f>INDEX('VLU costs'!$D$231:$BB$248, MATCH($B115, 'VLU costs'!$B$231:$B$248,0), MATCH(AG$104, 'VLU costs'!$D$230:$BB$230,0))
+ INDEX('Mixed costs'!$D$223:$BB$240, MATCH($B115, 'Mixed costs'!$B$223:$B$240,0), MATCH(AG$104, 'Mixed costs'!$D$222:$BB$222,0))
+INDEX('Arterial costs'!$D$223:$BB$240, MATCH($B115, 'Arterial costs'!$B$223:$B$240,0), MATCH(AG$104, 'Arterial costs'!$D$222:$BB$222,0))</f>
        <v>56352.052429499614</v>
      </c>
      <c r="AH115" s="742">
        <f>INDEX('VLU costs'!$D$231:$BB$248, MATCH($B115, 'VLU costs'!$B$231:$B$248,0), MATCH(AH$104, 'VLU costs'!$D$230:$BB$230,0))
+ INDEX('Mixed costs'!$D$223:$BB$240, MATCH($B115, 'Mixed costs'!$B$223:$B$240,0), MATCH(AH$104, 'Mixed costs'!$D$222:$BB$222,0))
+INDEX('Arterial costs'!$D$223:$BB$240, MATCH($B115, 'Arterial costs'!$B$223:$B$240,0), MATCH(AH$104, 'Arterial costs'!$D$222:$BB$222,0))</f>
        <v>58391.460073365488</v>
      </c>
      <c r="AI115" s="742">
        <f>INDEX('VLU costs'!$D$231:$BB$248, MATCH($B115, 'VLU costs'!$B$231:$B$248,0), MATCH(AI$104, 'VLU costs'!$D$230:$BB$230,0))
+ INDEX('Mixed costs'!$D$223:$BB$240, MATCH($B115, 'Mixed costs'!$B$223:$B$240,0), MATCH(AI$104, 'Mixed costs'!$D$222:$BB$222,0))
+INDEX('Arterial costs'!$D$223:$BB$240, MATCH($B115, 'Arterial costs'!$B$223:$B$240,0), MATCH(AI$104, 'Arterial costs'!$D$222:$BB$222,0))</f>
        <v>60488.343809840007</v>
      </c>
      <c r="AJ115" s="742">
        <f>INDEX('VLU costs'!$D$231:$BB$248, MATCH($B115, 'VLU costs'!$B$231:$B$248,0), MATCH(AJ$104, 'VLU costs'!$D$230:$BB$230,0))
+ INDEX('Mixed costs'!$D$223:$BB$240, MATCH($B115, 'Mixed costs'!$B$223:$B$240,0), MATCH(AJ$104, 'Mixed costs'!$D$222:$BB$222,0))
+INDEX('Arterial costs'!$D$223:$BB$240, MATCH($B115, 'Arterial costs'!$B$223:$B$240,0), MATCH(AJ$104, 'Arterial costs'!$D$222:$BB$222,0))</f>
        <v>62635.104557940162</v>
      </c>
      <c r="AK115" s="742">
        <f>INDEX('VLU costs'!$D$231:$BB$248, MATCH($B115, 'VLU costs'!$B$231:$B$248,0), MATCH(AK$104, 'VLU costs'!$D$230:$BB$230,0))
+ INDEX('Mixed costs'!$D$223:$BB$240, MATCH($B115, 'Mixed costs'!$B$223:$B$240,0), MATCH(AK$104, 'Mixed costs'!$D$222:$BB$222,0))
+INDEX('Arterial costs'!$D$223:$BB$240, MATCH($B115, 'Arterial costs'!$B$223:$B$240,0), MATCH(AK$104, 'Arterial costs'!$D$222:$BB$222,0))</f>
        <v>64825.652025682764</v>
      </c>
      <c r="AL115" s="742">
        <f>INDEX('VLU costs'!$D$231:$BB$248, MATCH($B115, 'VLU costs'!$B$231:$B$248,0), MATCH(AL$104, 'VLU costs'!$D$230:$BB$230,0))
+ INDEX('Mixed costs'!$D$223:$BB$240, MATCH($B115, 'Mixed costs'!$B$223:$B$240,0), MATCH(AL$104, 'Mixed costs'!$D$222:$BB$222,0))
+INDEX('Arterial costs'!$D$223:$BB$240, MATCH($B115, 'Arterial costs'!$B$223:$B$240,0), MATCH(AL$104, 'Arterial costs'!$D$222:$BB$222,0))</f>
        <v>67055.628441517547</v>
      </c>
      <c r="AM115" s="742">
        <f>INDEX('VLU costs'!$D$231:$BB$248, MATCH($B115, 'VLU costs'!$B$231:$B$248,0), MATCH(AM$104, 'VLU costs'!$D$230:$BB$230,0))
+ INDEX('Mixed costs'!$D$223:$BB$240, MATCH($B115, 'Mixed costs'!$B$223:$B$240,0), MATCH(AM$104, 'Mixed costs'!$D$222:$BB$222,0))
+INDEX('Arterial costs'!$D$223:$BB$240, MATCH($B115, 'Arterial costs'!$B$223:$B$240,0), MATCH(AM$104, 'Arterial costs'!$D$222:$BB$222,0))</f>
        <v>69328.01971336655</v>
      </c>
      <c r="AN115" s="742">
        <f>INDEX('VLU costs'!$D$231:$BB$248, MATCH($B115, 'VLU costs'!$B$231:$B$248,0), MATCH(AN$104, 'VLU costs'!$D$230:$BB$230,0))
+ INDEX('Mixed costs'!$D$223:$BB$240, MATCH($B115, 'Mixed costs'!$B$223:$B$240,0), MATCH(AN$104, 'Mixed costs'!$D$222:$BB$222,0))
+INDEX('Arterial costs'!$D$223:$BB$240, MATCH($B115, 'Arterial costs'!$B$223:$B$240,0), MATCH(AN$104, 'Arterial costs'!$D$222:$BB$222,0))</f>
        <v>71643.664806055836</v>
      </c>
      <c r="AO115" s="742">
        <f>INDEX('VLU costs'!$D$231:$BB$248, MATCH($B115, 'VLU costs'!$B$231:$B$248,0), MATCH(AO$104, 'VLU costs'!$D$230:$BB$230,0))
+ INDEX('Mixed costs'!$D$223:$BB$240, MATCH($B115, 'Mixed costs'!$B$223:$B$240,0), MATCH(AO$104, 'Mixed costs'!$D$222:$BB$222,0))
+INDEX('Arterial costs'!$D$223:$BB$240, MATCH($B115, 'Arterial costs'!$B$223:$B$240,0), MATCH(AO$104, 'Arterial costs'!$D$222:$BB$222,0))</f>
        <v>74001.50138667578</v>
      </c>
      <c r="AP115" s="742">
        <f>INDEX('VLU costs'!$D$231:$BB$248, MATCH($B115, 'VLU costs'!$B$231:$B$248,0), MATCH(AP$104, 'VLU costs'!$D$230:$BB$230,0))
+ INDEX('Mixed costs'!$D$223:$BB$240, MATCH($B115, 'Mixed costs'!$B$223:$B$240,0), MATCH(AP$104, 'Mixed costs'!$D$222:$BB$222,0))
+INDEX('Arterial costs'!$D$223:$BB$240, MATCH($B115, 'Arterial costs'!$B$223:$B$240,0), MATCH(AP$104, 'Arterial costs'!$D$222:$BB$222,0))</f>
        <v>76412.40193721668</v>
      </c>
      <c r="AQ115" s="742">
        <f>INDEX('VLU costs'!$D$231:$BB$248, MATCH($B115, 'VLU costs'!$B$231:$B$248,0), MATCH(AQ$104, 'VLU costs'!$D$230:$BB$230,0))
+ INDEX('Mixed costs'!$D$223:$BB$240, MATCH($B115, 'Mixed costs'!$B$223:$B$240,0), MATCH(AQ$104, 'Mixed costs'!$D$222:$BB$222,0))
+INDEX('Arterial costs'!$D$223:$BB$240, MATCH($B115, 'Arterial costs'!$B$223:$B$240,0), MATCH(AQ$104, 'Arterial costs'!$D$222:$BB$222,0))</f>
        <v>78889.337280735475</v>
      </c>
      <c r="AR115" s="742">
        <f>INDEX('VLU costs'!$D$231:$BB$248, MATCH($B115, 'VLU costs'!$B$231:$B$248,0), MATCH(AR$104, 'VLU costs'!$D$230:$BB$230,0))
+ INDEX('Mixed costs'!$D$223:$BB$240, MATCH($B115, 'Mixed costs'!$B$223:$B$240,0), MATCH(AR$104, 'Mixed costs'!$D$222:$BB$222,0))
+INDEX('Arterial costs'!$D$223:$BB$240, MATCH($B115, 'Arterial costs'!$B$223:$B$240,0), MATCH(AR$104, 'Arterial costs'!$D$222:$BB$222,0))</f>
        <v>81443.733613769669</v>
      </c>
      <c r="AS115" s="742">
        <f>INDEX('VLU costs'!$D$231:$BB$248, MATCH($B115, 'VLU costs'!$B$231:$B$248,0), MATCH(AS$104, 'VLU costs'!$D$230:$BB$230,0))
+ INDEX('Mixed costs'!$D$223:$BB$240, MATCH($B115, 'Mixed costs'!$B$223:$B$240,0), MATCH(AS$104, 'Mixed costs'!$D$222:$BB$222,0))
+INDEX('Arterial costs'!$D$223:$BB$240, MATCH($B115, 'Arterial costs'!$B$223:$B$240,0), MATCH(AS$104, 'Arterial costs'!$D$222:$BB$222,0))</f>
        <v>84012.128398672212</v>
      </c>
      <c r="AU115" s="804" t="s">
        <v>3714</v>
      </c>
    </row>
    <row r="116" spans="1:47" s="73" customFormat="1">
      <c r="B116" s="801" t="s">
        <v>131</v>
      </c>
      <c r="C116" s="742">
        <f>INDEX('VLU costs'!$D$231:$BB$248, MATCH($B116, 'VLU costs'!$B$231:$B$248,0), MATCH(C$104, 'VLU costs'!$D$230:$BB$230,0))
+ INDEX('Mixed costs'!$D$223:$BB$240, MATCH($B116, 'Mixed costs'!$B$223:$B$240,0), MATCH(C$104, 'Mixed costs'!$D$222:$BB$222,0))
+INDEX('Arterial costs'!$D$223:$BB$240, MATCH($B116, 'Arterial costs'!$B$223:$B$240,0), MATCH(C$104, 'Arterial costs'!$D$222:$BB$222,0))</f>
        <v>1747.8563805090146</v>
      </c>
      <c r="D116" s="742">
        <f>INDEX('VLU costs'!$D$231:$BB$248, MATCH($B116, 'VLU costs'!$B$231:$B$248,0), MATCH(D$104, 'VLU costs'!$D$230:$BB$230,0))
+ INDEX('Mixed costs'!$D$223:$BB$240, MATCH($B116, 'Mixed costs'!$B$223:$B$240,0), MATCH(D$104, 'Mixed costs'!$D$222:$BB$222,0))
+INDEX('Arterial costs'!$D$223:$BB$240, MATCH($B116, 'Arterial costs'!$B$223:$B$240,0), MATCH(D$104, 'Arterial costs'!$D$222:$BB$222,0))</f>
        <v>1841.9432869540124</v>
      </c>
      <c r="E116" s="742">
        <f>INDEX('VLU costs'!$D$231:$BB$248, MATCH($B116, 'VLU costs'!$B$231:$B$248,0), MATCH(E$104, 'VLU costs'!$D$230:$BB$230,0))
+ INDEX('Mixed costs'!$D$223:$BB$240, MATCH($B116, 'Mixed costs'!$B$223:$B$240,0), MATCH(E$104, 'Mixed costs'!$D$222:$BB$222,0))
+INDEX('Arterial costs'!$D$223:$BB$240, MATCH($B116, 'Arterial costs'!$B$223:$B$240,0), MATCH(E$104, 'Arterial costs'!$D$222:$BB$222,0))</f>
        <v>1930.0339358617452</v>
      </c>
      <c r="F116" s="742">
        <f>INDEX('VLU costs'!$D$231:$BB$248, MATCH($B116, 'VLU costs'!$B$231:$B$248,0), MATCH(F$104, 'VLU costs'!$D$230:$BB$230,0))
+ INDEX('Mixed costs'!$D$223:$BB$240, MATCH($B116, 'Mixed costs'!$B$223:$B$240,0), MATCH(F$104, 'Mixed costs'!$D$222:$BB$222,0))
+INDEX('Arterial costs'!$D$223:$BB$240, MATCH($B116, 'Arterial costs'!$B$223:$B$240,0), MATCH(F$104, 'Arterial costs'!$D$222:$BB$222,0))</f>
        <v>2014.6718044124727</v>
      </c>
      <c r="G116" s="742">
        <f>INDEX('VLU costs'!$D$231:$BB$248, MATCH($B116, 'VLU costs'!$B$231:$B$248,0), MATCH(G$104, 'VLU costs'!$D$230:$BB$230,0))
+ INDEX('Mixed costs'!$D$223:$BB$240, MATCH($B116, 'Mixed costs'!$B$223:$B$240,0), MATCH(G$104, 'Mixed costs'!$D$222:$BB$222,0))
+INDEX('Arterial costs'!$D$223:$BB$240, MATCH($B116, 'Arterial costs'!$B$223:$B$240,0), MATCH(G$104, 'Arterial costs'!$D$222:$BB$222,0))</f>
        <v>2098.3290543587627</v>
      </c>
      <c r="H116" s="742">
        <f>INDEX('VLU costs'!$D$231:$BB$248, MATCH($B116, 'VLU costs'!$B$231:$B$248,0), MATCH(H$104, 'VLU costs'!$D$230:$BB$230,0))
+ INDEX('Mixed costs'!$D$223:$BB$240, MATCH($B116, 'Mixed costs'!$B$223:$B$240,0), MATCH(H$104, 'Mixed costs'!$D$222:$BB$222,0))
+INDEX('Arterial costs'!$D$223:$BB$240, MATCH($B116, 'Arterial costs'!$B$223:$B$240,0), MATCH(H$104, 'Arterial costs'!$D$222:$BB$222,0))</f>
        <v>2182.4184347269152</v>
      </c>
      <c r="I116" s="742">
        <f>INDEX('VLU costs'!$D$231:$BB$248, MATCH($B116, 'VLU costs'!$B$231:$B$248,0), MATCH(I$104, 'VLU costs'!$D$230:$BB$230,0))
+ INDEX('Mixed costs'!$D$223:$BB$240, MATCH($B116, 'Mixed costs'!$B$223:$B$240,0), MATCH(I$104, 'Mixed costs'!$D$222:$BB$222,0))
+INDEX('Arterial costs'!$D$223:$BB$240, MATCH($B116, 'Arterial costs'!$B$223:$B$240,0), MATCH(I$104, 'Arterial costs'!$D$222:$BB$222,0))</f>
        <v>2266.938467653059</v>
      </c>
      <c r="J116" s="742">
        <f>INDEX('VLU costs'!$D$231:$BB$248, MATCH($B116, 'VLU costs'!$B$231:$B$248,0), MATCH(J$104, 'VLU costs'!$D$230:$BB$230,0))
+ INDEX('Mixed costs'!$D$223:$BB$240, MATCH($B116, 'Mixed costs'!$B$223:$B$240,0), MATCH(J$104, 'Mixed costs'!$D$222:$BB$222,0))
+INDEX('Arterial costs'!$D$223:$BB$240, MATCH($B116, 'Arterial costs'!$B$223:$B$240,0), MATCH(J$104, 'Arterial costs'!$D$222:$BB$222,0))</f>
        <v>2352.5935940094905</v>
      </c>
      <c r="K116" s="742">
        <f>INDEX('VLU costs'!$D$231:$BB$248, MATCH($B116, 'VLU costs'!$B$231:$B$248,0), MATCH(K$104, 'VLU costs'!$D$230:$BB$230,0))
+ INDEX('Mixed costs'!$D$223:$BB$240, MATCH($B116, 'Mixed costs'!$B$223:$B$240,0), MATCH(K$104, 'Mixed costs'!$D$222:$BB$222,0))
+INDEX('Arterial costs'!$D$223:$BB$240, MATCH($B116, 'Arterial costs'!$B$223:$B$240,0), MATCH(K$104, 'Arterial costs'!$D$222:$BB$222,0))</f>
        <v>2443.9608656735436</v>
      </c>
      <c r="L116" s="742">
        <f>INDEX('VLU costs'!$D$231:$BB$248, MATCH($B116, 'VLU costs'!$B$231:$B$248,0), MATCH(L$104, 'VLU costs'!$D$230:$BB$230,0))
+ INDEX('Mixed costs'!$D$223:$BB$240, MATCH($B116, 'Mixed costs'!$B$223:$B$240,0), MATCH(L$104, 'Mixed costs'!$D$222:$BB$222,0))
+INDEX('Arterial costs'!$D$223:$BB$240, MATCH($B116, 'Arterial costs'!$B$223:$B$240,0), MATCH(L$104, 'Arterial costs'!$D$222:$BB$222,0))</f>
        <v>2538.2275642228265</v>
      </c>
      <c r="M116" s="742">
        <f>INDEX('VLU costs'!$D$231:$BB$248, MATCH($B116, 'VLU costs'!$B$231:$B$248,0), MATCH(M$104, 'VLU costs'!$D$230:$BB$230,0))
+ INDEX('Mixed costs'!$D$223:$BB$240, MATCH($B116, 'Mixed costs'!$B$223:$B$240,0), MATCH(M$104, 'Mixed costs'!$D$222:$BB$222,0))
+INDEX('Arterial costs'!$D$223:$BB$240, MATCH($B116, 'Arterial costs'!$B$223:$B$240,0), MATCH(M$104, 'Arterial costs'!$D$222:$BB$222,0))</f>
        <v>2634.0029496805164</v>
      </c>
      <c r="N116" s="742">
        <f>INDEX('VLU costs'!$D$231:$BB$248, MATCH($B116, 'VLU costs'!$B$231:$B$248,0), MATCH(N$104, 'VLU costs'!$D$230:$BB$230,0))
+ INDEX('Mixed costs'!$D$223:$BB$240, MATCH($B116, 'Mixed costs'!$B$223:$B$240,0), MATCH(N$104, 'Mixed costs'!$D$222:$BB$222,0))
+INDEX('Arterial costs'!$D$223:$BB$240, MATCH($B116, 'Arterial costs'!$B$223:$B$240,0), MATCH(N$104, 'Arterial costs'!$D$222:$BB$222,0))</f>
        <v>2730.6718378519226</v>
      </c>
      <c r="O116" s="742">
        <f>INDEX('VLU costs'!$D$231:$BB$248, MATCH($B116, 'VLU costs'!$B$231:$B$248,0), MATCH(O$104, 'VLU costs'!$D$230:$BB$230,0))
+ INDEX('Mixed costs'!$D$223:$BB$240, MATCH($B116, 'Mixed costs'!$B$223:$B$240,0), MATCH(O$104, 'Mixed costs'!$D$222:$BB$222,0))
+INDEX('Arterial costs'!$D$223:$BB$240, MATCH($B116, 'Arterial costs'!$B$223:$B$240,0), MATCH(O$104, 'Arterial costs'!$D$222:$BB$222,0))</f>
        <v>2827.8477354400302</v>
      </c>
      <c r="P116" s="742">
        <f>INDEX('VLU costs'!$D$231:$BB$248, MATCH($B116, 'VLU costs'!$B$231:$B$248,0), MATCH(P$104, 'VLU costs'!$D$230:$BB$230,0))
+ INDEX('Mixed costs'!$D$223:$BB$240, MATCH($B116, 'Mixed costs'!$B$223:$B$240,0), MATCH(P$104, 'Mixed costs'!$D$222:$BB$222,0))
+INDEX('Arterial costs'!$D$223:$BB$240, MATCH($B116, 'Arterial costs'!$B$223:$B$240,0), MATCH(P$104, 'Arterial costs'!$D$222:$BB$222,0))</f>
        <v>2926.3887150983878</v>
      </c>
      <c r="Q116" s="742">
        <f>INDEX('VLU costs'!$D$231:$BB$248, MATCH($B116, 'VLU costs'!$B$231:$B$248,0), MATCH(Q$104, 'VLU costs'!$D$230:$BB$230,0))
+ INDEX('Mixed costs'!$D$223:$BB$240, MATCH($B116, 'Mixed costs'!$B$223:$B$240,0), MATCH(Q$104, 'Mixed costs'!$D$222:$BB$222,0))
+INDEX('Arterial costs'!$D$223:$BB$240, MATCH($B116, 'Arterial costs'!$B$223:$B$240,0), MATCH(Q$104, 'Arterial costs'!$D$222:$BB$222,0))</f>
        <v>3027.3341584934906</v>
      </c>
      <c r="R116" s="742">
        <f>INDEX('VLU costs'!$D$231:$BB$248, MATCH($B116, 'VLU costs'!$B$231:$B$248,0), MATCH(R$104, 'VLU costs'!$D$230:$BB$230,0))
+ INDEX('Mixed costs'!$D$223:$BB$240, MATCH($B116, 'Mixed costs'!$B$223:$B$240,0), MATCH(R$104, 'Mixed costs'!$D$222:$BB$222,0))
+INDEX('Arterial costs'!$D$223:$BB$240, MATCH($B116, 'Arterial costs'!$B$223:$B$240,0), MATCH(R$104, 'Arterial costs'!$D$222:$BB$222,0))</f>
        <v>3130.8593774261876</v>
      </c>
      <c r="S116" s="742">
        <f>INDEX('VLU costs'!$D$231:$BB$248, MATCH($B116, 'VLU costs'!$B$231:$B$248,0), MATCH(S$104, 'VLU costs'!$D$230:$BB$230,0))
+ INDEX('Mixed costs'!$D$223:$BB$240, MATCH($B116, 'Mixed costs'!$B$223:$B$240,0), MATCH(S$104, 'Mixed costs'!$D$222:$BB$222,0))
+INDEX('Arterial costs'!$D$223:$BB$240, MATCH($B116, 'Arterial costs'!$B$223:$B$240,0), MATCH(S$104, 'Arterial costs'!$D$222:$BB$222,0))</f>
        <v>3236.1424039809622</v>
      </c>
      <c r="T116" s="742">
        <f>INDEX('VLU costs'!$D$231:$BB$248, MATCH($B116, 'VLU costs'!$B$231:$B$248,0), MATCH(T$104, 'VLU costs'!$D$230:$BB$230,0))
+ INDEX('Mixed costs'!$D$223:$BB$240, MATCH($B116, 'Mixed costs'!$B$223:$B$240,0), MATCH(T$104, 'Mixed costs'!$D$222:$BB$222,0))
+INDEX('Arterial costs'!$D$223:$BB$240, MATCH($B116, 'Arterial costs'!$B$223:$B$240,0), MATCH(T$104, 'Arterial costs'!$D$222:$BB$222,0))</f>
        <v>3343.3359031697378</v>
      </c>
      <c r="U116" s="742">
        <f>INDEX('VLU costs'!$D$231:$BB$248, MATCH($B116, 'VLU costs'!$B$231:$B$248,0), MATCH(U$104, 'VLU costs'!$D$230:$BB$230,0))
+ INDEX('Mixed costs'!$D$223:$BB$240, MATCH($B116, 'Mixed costs'!$B$223:$B$240,0), MATCH(U$104, 'Mixed costs'!$D$222:$BB$222,0))
+INDEX('Arterial costs'!$D$223:$BB$240, MATCH($B116, 'Arterial costs'!$B$223:$B$240,0), MATCH(U$104, 'Arterial costs'!$D$222:$BB$222,0))</f>
        <v>3454.5778293139388</v>
      </c>
      <c r="V116" s="742">
        <f>INDEX('VLU costs'!$D$231:$BB$248, MATCH($B116, 'VLU costs'!$B$231:$B$248,0), MATCH(V$104, 'VLU costs'!$D$230:$BB$230,0))
+ INDEX('Mixed costs'!$D$223:$BB$240, MATCH($B116, 'Mixed costs'!$B$223:$B$240,0), MATCH(V$104, 'Mixed costs'!$D$222:$BB$222,0))
+INDEX('Arterial costs'!$D$223:$BB$240, MATCH($B116, 'Arterial costs'!$B$223:$B$240,0), MATCH(V$104, 'Arterial costs'!$D$222:$BB$222,0))</f>
        <v>3568.1517591496736</v>
      </c>
      <c r="W116" s="742">
        <f>INDEX('VLU costs'!$D$231:$BB$248, MATCH($B116, 'VLU costs'!$B$231:$B$248,0), MATCH(W$104, 'VLU costs'!$D$230:$BB$230,0))
+ INDEX('Mixed costs'!$D$223:$BB$240, MATCH($B116, 'Mixed costs'!$B$223:$B$240,0), MATCH(W$104, 'Mixed costs'!$D$222:$BB$222,0))
+INDEX('Arterial costs'!$D$223:$BB$240, MATCH($B116, 'Arterial costs'!$B$223:$B$240,0), MATCH(W$104, 'Arterial costs'!$D$222:$BB$222,0))</f>
        <v>3683.5739097540813</v>
      </c>
      <c r="X116" s="742">
        <f>INDEX('VLU costs'!$D$231:$BB$248, MATCH($B116, 'VLU costs'!$B$231:$B$248,0), MATCH(X$104, 'VLU costs'!$D$230:$BB$230,0))
+ INDEX('Mixed costs'!$D$223:$BB$240, MATCH($B116, 'Mixed costs'!$B$223:$B$240,0), MATCH(X$104, 'Mixed costs'!$D$222:$BB$222,0))
+INDEX('Arterial costs'!$D$223:$BB$240, MATCH($B116, 'Arterial costs'!$B$223:$B$240,0), MATCH(X$104, 'Arterial costs'!$D$222:$BB$222,0))</f>
        <v>3800.7809909037069</v>
      </c>
      <c r="Y116" s="742">
        <f>INDEX('VLU costs'!$D$231:$BB$248, MATCH($B116, 'VLU costs'!$B$231:$B$248,0), MATCH(Y$104, 'VLU costs'!$D$230:$BB$230,0))
+ INDEX('Mixed costs'!$D$223:$BB$240, MATCH($B116, 'Mixed costs'!$B$223:$B$240,0), MATCH(Y$104, 'Mixed costs'!$D$222:$BB$222,0))
+INDEX('Arterial costs'!$D$223:$BB$240, MATCH($B116, 'Arterial costs'!$B$223:$B$240,0), MATCH(Y$104, 'Arterial costs'!$D$222:$BB$222,0))</f>
        <v>3920.705817255578</v>
      </c>
      <c r="Z116" s="742">
        <f>INDEX('VLU costs'!$D$231:$BB$248, MATCH($B116, 'VLU costs'!$B$231:$B$248,0), MATCH(Z$104, 'VLU costs'!$D$230:$BB$230,0))
+ INDEX('Mixed costs'!$D$223:$BB$240, MATCH($B116, 'Mixed costs'!$B$223:$B$240,0), MATCH(Z$104, 'Mixed costs'!$D$222:$BB$222,0))
+INDEX('Arterial costs'!$D$223:$BB$240, MATCH($B116, 'Arterial costs'!$B$223:$B$240,0), MATCH(Z$104, 'Arterial costs'!$D$222:$BB$222,0))</f>
        <v>4043.1807285255095</v>
      </c>
      <c r="AA116" s="742">
        <f>INDEX('VLU costs'!$D$231:$BB$248, MATCH($B116, 'VLU costs'!$B$231:$B$248,0), MATCH(AA$104, 'VLU costs'!$D$230:$BB$230,0))
+ INDEX('Mixed costs'!$D$223:$BB$240, MATCH($B116, 'Mixed costs'!$B$223:$B$240,0), MATCH(AA$104, 'Mixed costs'!$D$222:$BB$222,0))
+INDEX('Arterial costs'!$D$223:$BB$240, MATCH($B116, 'Arterial costs'!$B$223:$B$240,0), MATCH(AA$104, 'Arterial costs'!$D$222:$BB$222,0))</f>
        <v>4167.8513107541685</v>
      </c>
      <c r="AB116" s="742">
        <f>INDEX('VLU costs'!$D$231:$BB$248, MATCH($B116, 'VLU costs'!$B$231:$B$248,0), MATCH(AB$104, 'VLU costs'!$D$230:$BB$230,0))
+ INDEX('Mixed costs'!$D$223:$BB$240, MATCH($B116, 'Mixed costs'!$B$223:$B$240,0), MATCH(AB$104, 'Mixed costs'!$D$222:$BB$222,0))
+INDEX('Arterial costs'!$D$223:$BB$240, MATCH($B116, 'Arterial costs'!$B$223:$B$240,0), MATCH(AB$104, 'Arterial costs'!$D$222:$BB$222,0))</f>
        <v>4294.4332070843093</v>
      </c>
      <c r="AC116" s="742">
        <f>INDEX('VLU costs'!$D$231:$BB$248, MATCH($B116, 'VLU costs'!$B$231:$B$248,0), MATCH(AC$104, 'VLU costs'!$D$230:$BB$230,0))
+ INDEX('Mixed costs'!$D$223:$BB$240, MATCH($B116, 'Mixed costs'!$B$223:$B$240,0), MATCH(AC$104, 'Mixed costs'!$D$222:$BB$222,0))
+INDEX('Arterial costs'!$D$223:$BB$240, MATCH($B116, 'Arterial costs'!$B$223:$B$240,0), MATCH(AC$104, 'Arterial costs'!$D$222:$BB$222,0))</f>
        <v>4422.6245424973295</v>
      </c>
      <c r="AD116" s="742">
        <f>INDEX('VLU costs'!$D$231:$BB$248, MATCH($B116, 'VLU costs'!$B$231:$B$248,0), MATCH(AD$104, 'VLU costs'!$D$230:$BB$230,0))
+ INDEX('Mixed costs'!$D$223:$BB$240, MATCH($B116, 'Mixed costs'!$B$223:$B$240,0), MATCH(AD$104, 'Mixed costs'!$D$222:$BB$222,0))
+INDEX('Arterial costs'!$D$223:$BB$240, MATCH($B116, 'Arterial costs'!$B$223:$B$240,0), MATCH(AD$104, 'Arterial costs'!$D$222:$BB$222,0))</f>
        <v>4552.1882933016923</v>
      </c>
      <c r="AE116" s="742">
        <f>INDEX('VLU costs'!$D$231:$BB$248, MATCH($B116, 'VLU costs'!$B$231:$B$248,0), MATCH(AE$104, 'VLU costs'!$D$230:$BB$230,0))
+ INDEX('Mixed costs'!$D$223:$BB$240, MATCH($B116, 'Mixed costs'!$B$223:$B$240,0), MATCH(AE$104, 'Mixed costs'!$D$222:$BB$222,0))
+INDEX('Arterial costs'!$D$223:$BB$240, MATCH($B116, 'Arterial costs'!$B$223:$B$240,0), MATCH(AE$104, 'Arterial costs'!$D$222:$BB$222,0))</f>
        <v>4682.8929208485006</v>
      </c>
      <c r="AF116" s="742">
        <f>INDEX('VLU costs'!$D$231:$BB$248, MATCH($B116, 'VLU costs'!$B$231:$B$248,0), MATCH(AF$104, 'VLU costs'!$D$230:$BB$230,0))
+ INDEX('Mixed costs'!$D$223:$BB$240, MATCH($B116, 'Mixed costs'!$B$223:$B$240,0), MATCH(AF$104, 'Mixed costs'!$D$222:$BB$222,0))
+INDEX('Arterial costs'!$D$223:$BB$240, MATCH($B116, 'Arterial costs'!$B$223:$B$240,0), MATCH(AF$104, 'Arterial costs'!$D$222:$BB$222,0))</f>
        <v>4814.905172764853</v>
      </c>
      <c r="AG116" s="742">
        <f>INDEX('VLU costs'!$D$231:$BB$248, MATCH($B116, 'VLU costs'!$B$231:$B$248,0), MATCH(AG$104, 'VLU costs'!$D$230:$BB$230,0))
+ INDEX('Mixed costs'!$D$223:$BB$240, MATCH($B116, 'Mixed costs'!$B$223:$B$240,0), MATCH(AG$104, 'Mixed costs'!$D$222:$BB$222,0))
+INDEX('Arterial costs'!$D$223:$BB$240, MATCH($B116, 'Arterial costs'!$B$223:$B$240,0), MATCH(AG$104, 'Arterial costs'!$D$222:$BB$222,0))</f>
        <v>4949.1920493503476</v>
      </c>
      <c r="AH116" s="742">
        <f>INDEX('VLU costs'!$D$231:$BB$248, MATCH($B116, 'VLU costs'!$B$231:$B$248,0), MATCH(AH$104, 'VLU costs'!$D$230:$BB$230,0))
+ INDEX('Mixed costs'!$D$223:$BB$240, MATCH($B116, 'Mixed costs'!$B$223:$B$240,0), MATCH(AH$104, 'Mixed costs'!$D$222:$BB$222,0))
+INDEX('Arterial costs'!$D$223:$BB$240, MATCH($B116, 'Arterial costs'!$B$223:$B$240,0), MATCH(AH$104, 'Arterial costs'!$D$222:$BB$222,0))</f>
        <v>5085.8689328615919</v>
      </c>
      <c r="AI116" s="742">
        <f>INDEX('VLU costs'!$D$231:$BB$248, MATCH($B116, 'VLU costs'!$B$231:$B$248,0), MATCH(AI$104, 'VLU costs'!$D$230:$BB$230,0))
+ INDEX('Mixed costs'!$D$223:$BB$240, MATCH($B116, 'Mixed costs'!$B$223:$B$240,0), MATCH(AI$104, 'Mixed costs'!$D$222:$BB$222,0))
+INDEX('Arterial costs'!$D$223:$BB$240, MATCH($B116, 'Arterial costs'!$B$223:$B$240,0), MATCH(AI$104, 'Arterial costs'!$D$222:$BB$222,0))</f>
        <v>5225.3297687401546</v>
      </c>
      <c r="AJ116" s="742">
        <f>INDEX('VLU costs'!$D$231:$BB$248, MATCH($B116, 'VLU costs'!$B$231:$B$248,0), MATCH(AJ$104, 'VLU costs'!$D$230:$BB$230,0))
+ INDEX('Mixed costs'!$D$223:$BB$240, MATCH($B116, 'Mixed costs'!$B$223:$B$240,0), MATCH(AJ$104, 'Mixed costs'!$D$222:$BB$222,0))
+INDEX('Arterial costs'!$D$223:$BB$240, MATCH($B116, 'Arterial costs'!$B$223:$B$240,0), MATCH(AJ$104, 'Arterial costs'!$D$222:$BB$222,0))</f>
        <v>5366.4254690173148</v>
      </c>
      <c r="AK116" s="742">
        <f>INDEX('VLU costs'!$D$231:$BB$248, MATCH($B116, 'VLU costs'!$B$231:$B$248,0), MATCH(AK$104, 'VLU costs'!$D$230:$BB$230,0))
+ INDEX('Mixed costs'!$D$223:$BB$240, MATCH($B116, 'Mixed costs'!$B$223:$B$240,0), MATCH(AK$104, 'Mixed costs'!$D$222:$BB$222,0))
+INDEX('Arterial costs'!$D$223:$BB$240, MATCH($B116, 'Arterial costs'!$B$223:$B$240,0), MATCH(AK$104, 'Arterial costs'!$D$222:$BB$222,0))</f>
        <v>5508.2331702855945</v>
      </c>
      <c r="AL116" s="742">
        <f>INDEX('VLU costs'!$D$231:$BB$248, MATCH($B116, 'VLU costs'!$B$231:$B$248,0), MATCH(AL$104, 'VLU costs'!$D$230:$BB$230,0))
+ INDEX('Mixed costs'!$D$223:$BB$240, MATCH($B116, 'Mixed costs'!$B$223:$B$240,0), MATCH(AL$104, 'Mixed costs'!$D$222:$BB$222,0))
+INDEX('Arterial costs'!$D$223:$BB$240, MATCH($B116, 'Arterial costs'!$B$223:$B$240,0), MATCH(AL$104, 'Arterial costs'!$D$222:$BB$222,0))</f>
        <v>5650.0786630992352</v>
      </c>
      <c r="AM116" s="742">
        <f>INDEX('VLU costs'!$D$231:$BB$248, MATCH($B116, 'VLU costs'!$B$231:$B$248,0), MATCH(AM$104, 'VLU costs'!$D$230:$BB$230,0))
+ INDEX('Mixed costs'!$D$223:$BB$240, MATCH($B116, 'Mixed costs'!$B$223:$B$240,0), MATCH(AM$104, 'Mixed costs'!$D$222:$BB$222,0))
+INDEX('Arterial costs'!$D$223:$BB$240, MATCH($B116, 'Arterial costs'!$B$223:$B$240,0), MATCH(AM$104, 'Arterial costs'!$D$222:$BB$222,0))</f>
        <v>5792.2723455531695</v>
      </c>
      <c r="AN116" s="742">
        <f>INDEX('VLU costs'!$D$231:$BB$248, MATCH($B116, 'VLU costs'!$B$231:$B$248,0), MATCH(AN$104, 'VLU costs'!$D$230:$BB$230,0))
+ INDEX('Mixed costs'!$D$223:$BB$240, MATCH($B116, 'Mixed costs'!$B$223:$B$240,0), MATCH(AN$104, 'Mixed costs'!$D$222:$BB$222,0))
+INDEX('Arterial costs'!$D$223:$BB$240, MATCH($B116, 'Arterial costs'!$B$223:$B$240,0), MATCH(AN$104, 'Arterial costs'!$D$222:$BB$222,0))</f>
        <v>5934.8283741465575</v>
      </c>
      <c r="AO116" s="742">
        <f>INDEX('VLU costs'!$D$231:$BB$248, MATCH($B116, 'VLU costs'!$B$231:$B$248,0), MATCH(AO$104, 'VLU costs'!$D$230:$BB$230,0))
+ INDEX('Mixed costs'!$D$223:$BB$240, MATCH($B116, 'Mixed costs'!$B$223:$B$240,0), MATCH(AO$104, 'Mixed costs'!$D$222:$BB$222,0))
+INDEX('Arterial costs'!$D$223:$BB$240, MATCH($B116, 'Arterial costs'!$B$223:$B$240,0), MATCH(AO$104, 'Arterial costs'!$D$222:$BB$222,0))</f>
        <v>6077.5052337268598</v>
      </c>
      <c r="AP116" s="742">
        <f>INDEX('VLU costs'!$D$231:$BB$248, MATCH($B116, 'VLU costs'!$B$231:$B$248,0), MATCH(AP$104, 'VLU costs'!$D$230:$BB$230,0))
+ INDEX('Mixed costs'!$D$223:$BB$240, MATCH($B116, 'Mixed costs'!$B$223:$B$240,0), MATCH(AP$104, 'Mixed costs'!$D$222:$BB$222,0))
+INDEX('Arterial costs'!$D$223:$BB$240, MATCH($B116, 'Arterial costs'!$B$223:$B$240,0), MATCH(AP$104, 'Arterial costs'!$D$222:$BB$222,0))</f>
        <v>6221.6439574111564</v>
      </c>
      <c r="AQ116" s="742">
        <f>INDEX('VLU costs'!$D$231:$BB$248, MATCH($B116, 'VLU costs'!$B$231:$B$248,0), MATCH(AQ$104, 'VLU costs'!$D$230:$BB$230,0))
+ INDEX('Mixed costs'!$D$223:$BB$240, MATCH($B116, 'Mixed costs'!$B$223:$B$240,0), MATCH(AQ$104, 'Mixed costs'!$D$222:$BB$222,0))
+INDEX('Arterial costs'!$D$223:$BB$240, MATCH($B116, 'Arterial costs'!$B$223:$B$240,0), MATCH(AQ$104, 'Arterial costs'!$D$222:$BB$222,0))</f>
        <v>6368.8276013256818</v>
      </c>
      <c r="AR116" s="742">
        <f>INDEX('VLU costs'!$D$231:$BB$248, MATCH($B116, 'VLU costs'!$B$231:$B$248,0), MATCH(AR$104, 'VLU costs'!$D$230:$BB$230,0))
+ INDEX('Mixed costs'!$D$223:$BB$240, MATCH($B116, 'Mixed costs'!$B$223:$B$240,0), MATCH(AR$104, 'Mixed costs'!$D$222:$BB$222,0))
+INDEX('Arterial costs'!$D$223:$BB$240, MATCH($B116, 'Arterial costs'!$B$223:$B$240,0), MATCH(AR$104, 'Arterial costs'!$D$222:$BB$222,0))</f>
        <v>6520.395408764909</v>
      </c>
      <c r="AS116" s="742">
        <f>INDEX('VLU costs'!$D$231:$BB$248, MATCH($B116, 'VLU costs'!$B$231:$B$248,0), MATCH(AS$104, 'VLU costs'!$D$230:$BB$230,0))
+ INDEX('Mixed costs'!$D$223:$BB$240, MATCH($B116, 'Mixed costs'!$B$223:$B$240,0), MATCH(AS$104, 'Mixed costs'!$D$222:$BB$222,0))
+INDEX('Arterial costs'!$D$223:$BB$240, MATCH($B116, 'Arterial costs'!$B$223:$B$240,0), MATCH(AS$104, 'Arterial costs'!$D$222:$BB$222,0))</f>
        <v>6667.7396723298434</v>
      </c>
      <c r="AU116" s="804" t="s">
        <v>3714</v>
      </c>
    </row>
    <row r="117" spans="1:47" s="73" customFormat="1" ht="29">
      <c r="B117" s="801" t="s">
        <v>2869</v>
      </c>
      <c r="C117" s="742">
        <f>INDEX('VLU costs'!$D$231:$BB$248, MATCH($B117, 'VLU costs'!$B$231:$B$248,0), MATCH(C$104, 'VLU costs'!$D$230:$BB$230,0))
+ INDEX('Mixed costs'!$D$223:$BB$240, MATCH($B117, 'Mixed costs'!$B$223:$B$240,0), MATCH(C$104, 'Mixed costs'!$D$222:$BB$222,0))
+INDEX('Arterial costs'!$D$223:$BB$240, MATCH($B117, 'Arterial costs'!$B$223:$B$240,0), MATCH(C$104, 'Arterial costs'!$D$222:$BB$222,0))</f>
        <v>84361.671742460909</v>
      </c>
      <c r="D117" s="742">
        <f>INDEX('VLU costs'!$D$231:$BB$248, MATCH($B117, 'VLU costs'!$B$231:$B$248,0), MATCH(D$104, 'VLU costs'!$D$230:$BB$230,0))
+ INDEX('Mixed costs'!$D$223:$BB$240, MATCH($B117, 'Mixed costs'!$B$223:$B$240,0), MATCH(D$104, 'Mixed costs'!$D$222:$BB$222,0))
+INDEX('Arterial costs'!$D$223:$BB$240, MATCH($B117, 'Arterial costs'!$B$223:$B$240,0), MATCH(D$104, 'Arterial costs'!$D$222:$BB$222,0))</f>
        <v>90877.920662427583</v>
      </c>
      <c r="E117" s="742">
        <f>INDEX('VLU costs'!$D$231:$BB$248, MATCH($B117, 'VLU costs'!$B$231:$B$248,0), MATCH(E$104, 'VLU costs'!$D$230:$BB$230,0))
+ INDEX('Mixed costs'!$D$223:$BB$240, MATCH($B117, 'Mixed costs'!$B$223:$B$240,0), MATCH(E$104, 'Mixed costs'!$D$222:$BB$222,0))
+INDEX('Arterial costs'!$D$223:$BB$240, MATCH($B117, 'Arterial costs'!$B$223:$B$240,0), MATCH(E$104, 'Arterial costs'!$D$222:$BB$222,0))</f>
        <v>97322.558738278225</v>
      </c>
      <c r="F117" s="742">
        <f>INDEX('VLU costs'!$D$231:$BB$248, MATCH($B117, 'VLU costs'!$B$231:$B$248,0), MATCH(F$104, 'VLU costs'!$D$230:$BB$230,0))
+ INDEX('Mixed costs'!$D$223:$BB$240, MATCH($B117, 'Mixed costs'!$B$223:$B$240,0), MATCH(F$104, 'Mixed costs'!$D$222:$BB$222,0))
+INDEX('Arterial costs'!$D$223:$BB$240, MATCH($B117, 'Arterial costs'!$B$223:$B$240,0), MATCH(F$104, 'Arterial costs'!$D$222:$BB$222,0))</f>
        <v>103791.34881518807</v>
      </c>
      <c r="G117" s="742">
        <f>INDEX('VLU costs'!$D$231:$BB$248, MATCH($B117, 'VLU costs'!$B$231:$B$248,0), MATCH(G$104, 'VLU costs'!$D$230:$BB$230,0))
+ INDEX('Mixed costs'!$D$223:$BB$240, MATCH($B117, 'Mixed costs'!$B$223:$B$240,0), MATCH(G$104, 'Mixed costs'!$D$222:$BB$222,0))
+INDEX('Arterial costs'!$D$223:$BB$240, MATCH($B117, 'Arterial costs'!$B$223:$B$240,0), MATCH(G$104, 'Arterial costs'!$D$222:$BB$222,0))</f>
        <v>110381.39972643269</v>
      </c>
      <c r="H117" s="742">
        <f>INDEX('VLU costs'!$D$231:$BB$248, MATCH($B117, 'VLU costs'!$B$231:$B$248,0), MATCH(H$104, 'VLU costs'!$D$230:$BB$230,0))
+ INDEX('Mixed costs'!$D$223:$BB$240, MATCH($B117, 'Mixed costs'!$B$223:$B$240,0), MATCH(H$104, 'Mixed costs'!$D$222:$BB$222,0))
+INDEX('Arterial costs'!$D$223:$BB$240, MATCH($B117, 'Arterial costs'!$B$223:$B$240,0), MATCH(H$104, 'Arterial costs'!$D$222:$BB$222,0))</f>
        <v>117151.94887594764</v>
      </c>
      <c r="I117" s="742">
        <f>INDEX('VLU costs'!$D$231:$BB$248, MATCH($B117, 'VLU costs'!$B$231:$B$248,0), MATCH(I$104, 'VLU costs'!$D$230:$BB$230,0))
+ INDEX('Mixed costs'!$D$223:$BB$240, MATCH($B117, 'Mixed costs'!$B$223:$B$240,0), MATCH(I$104, 'Mixed costs'!$D$222:$BB$222,0))
+INDEX('Arterial costs'!$D$223:$BB$240, MATCH($B117, 'Arterial costs'!$B$223:$B$240,0), MATCH(I$104, 'Arterial costs'!$D$222:$BB$222,0))</f>
        <v>124108.51329734433</v>
      </c>
      <c r="J117" s="742">
        <f>INDEX('VLU costs'!$D$231:$BB$248, MATCH($B117, 'VLU costs'!$B$231:$B$248,0), MATCH(J$104, 'VLU costs'!$D$230:$BB$230,0))
+ INDEX('Mixed costs'!$D$223:$BB$240, MATCH($B117, 'Mixed costs'!$B$223:$B$240,0), MATCH(J$104, 'Mixed costs'!$D$222:$BB$222,0))
+INDEX('Arterial costs'!$D$223:$BB$240, MATCH($B117, 'Arterial costs'!$B$223:$B$240,0), MATCH(J$104, 'Arterial costs'!$D$222:$BB$222,0))</f>
        <v>131284.17524469263</v>
      </c>
      <c r="K117" s="742">
        <f>INDEX('VLU costs'!$D$231:$BB$248, MATCH($B117, 'VLU costs'!$B$231:$B$248,0), MATCH(K$104, 'VLU costs'!$D$230:$BB$230,0))
+ INDEX('Mixed costs'!$D$223:$BB$240, MATCH($B117, 'Mixed costs'!$B$223:$B$240,0), MATCH(K$104, 'Mixed costs'!$D$222:$BB$222,0))
+INDEX('Arterial costs'!$D$223:$BB$240, MATCH($B117, 'Arterial costs'!$B$223:$B$240,0), MATCH(K$104, 'Arterial costs'!$D$222:$BB$222,0))</f>
        <v>138865.79121903033</v>
      </c>
      <c r="L117" s="742">
        <f>INDEX('VLU costs'!$D$231:$BB$248, MATCH($B117, 'VLU costs'!$B$231:$B$248,0), MATCH(L$104, 'VLU costs'!$D$230:$BB$230,0))
+ INDEX('Mixed costs'!$D$223:$BB$240, MATCH($B117, 'Mixed costs'!$B$223:$B$240,0), MATCH(L$104, 'Mixed costs'!$D$222:$BB$222,0))
+INDEX('Arterial costs'!$D$223:$BB$240, MATCH($B117, 'Arterial costs'!$B$223:$B$240,0), MATCH(L$104, 'Arterial costs'!$D$222:$BB$222,0))</f>
        <v>146756.1418069487</v>
      </c>
      <c r="M117" s="742">
        <f>INDEX('VLU costs'!$D$231:$BB$248, MATCH($B117, 'VLU costs'!$B$231:$B$248,0), MATCH(M$104, 'VLU costs'!$D$230:$BB$230,0))
+ INDEX('Mixed costs'!$D$223:$BB$240, MATCH($B117, 'Mixed costs'!$B$223:$B$240,0), MATCH(M$104, 'Mixed costs'!$D$222:$BB$222,0))
+INDEX('Arterial costs'!$D$223:$BB$240, MATCH($B117, 'Arterial costs'!$B$223:$B$240,0), MATCH(M$104, 'Arterial costs'!$D$222:$BB$222,0))</f>
        <v>154909.06545834179</v>
      </c>
      <c r="N117" s="742">
        <f>INDEX('VLU costs'!$D$231:$BB$248, MATCH($B117, 'VLU costs'!$B$231:$B$248,0), MATCH(N$104, 'VLU costs'!$D$230:$BB$230,0))
+ INDEX('Mixed costs'!$D$223:$BB$240, MATCH($B117, 'Mixed costs'!$B$223:$B$240,0), MATCH(N$104, 'Mixed costs'!$D$222:$BB$222,0))
+INDEX('Arterial costs'!$D$223:$BB$240, MATCH($B117, 'Arterial costs'!$B$223:$B$240,0), MATCH(N$104, 'Arterial costs'!$D$222:$BB$222,0))</f>
        <v>163306.57969122709</v>
      </c>
      <c r="O117" s="742">
        <f>INDEX('VLU costs'!$D$231:$BB$248, MATCH($B117, 'VLU costs'!$B$231:$B$248,0), MATCH(O$104, 'VLU costs'!$D$230:$BB$230,0))
+ INDEX('Mixed costs'!$D$223:$BB$240, MATCH($B117, 'Mixed costs'!$B$223:$B$240,0), MATCH(O$104, 'Mixed costs'!$D$222:$BB$222,0))
+INDEX('Arterial costs'!$D$223:$BB$240, MATCH($B117, 'Arterial costs'!$B$223:$B$240,0), MATCH(O$104, 'Arterial costs'!$D$222:$BB$222,0))</f>
        <v>171938.71760002658</v>
      </c>
      <c r="P117" s="742">
        <f>INDEX('VLU costs'!$D$231:$BB$248, MATCH($B117, 'VLU costs'!$B$231:$B$248,0), MATCH(P$104, 'VLU costs'!$D$230:$BB$230,0))
+ INDEX('Mixed costs'!$D$223:$BB$240, MATCH($B117, 'Mixed costs'!$B$223:$B$240,0), MATCH(P$104, 'Mixed costs'!$D$222:$BB$222,0))
+INDEX('Arterial costs'!$D$223:$BB$240, MATCH($B117, 'Arterial costs'!$B$223:$B$240,0), MATCH(P$104, 'Arterial costs'!$D$222:$BB$222,0))</f>
        <v>180844.04256365373</v>
      </c>
      <c r="Q117" s="742">
        <f>INDEX('VLU costs'!$D$231:$BB$248, MATCH($B117, 'VLU costs'!$B$231:$B$248,0), MATCH(Q$104, 'VLU costs'!$D$230:$BB$230,0))
+ INDEX('Mixed costs'!$D$223:$BB$240, MATCH($B117, 'Mixed costs'!$B$223:$B$240,0), MATCH(Q$104, 'Mixed costs'!$D$222:$BB$222,0))
+INDEX('Arterial costs'!$D$223:$BB$240, MATCH($B117, 'Arterial costs'!$B$223:$B$240,0), MATCH(Q$104, 'Arterial costs'!$D$222:$BB$222,0))</f>
        <v>190069.80917684379</v>
      </c>
      <c r="R117" s="742">
        <f>INDEX('VLU costs'!$D$231:$BB$248, MATCH($B117, 'VLU costs'!$B$231:$B$248,0), MATCH(R$104, 'VLU costs'!$D$230:$BB$230,0))
+ INDEX('Mixed costs'!$D$223:$BB$240, MATCH($B117, 'Mixed costs'!$B$223:$B$240,0), MATCH(R$104, 'Mixed costs'!$D$222:$BB$222,0))
+INDEX('Arterial costs'!$D$223:$BB$240, MATCH($B117, 'Arterial costs'!$B$223:$B$240,0), MATCH(R$104, 'Arterial costs'!$D$222:$BB$222,0))</f>
        <v>199630.98231166782</v>
      </c>
      <c r="S117" s="742">
        <f>INDEX('VLU costs'!$D$231:$BB$248, MATCH($B117, 'VLU costs'!$B$231:$B$248,0), MATCH(S$104, 'VLU costs'!$D$230:$BB$230,0))
+ INDEX('Mixed costs'!$D$223:$BB$240, MATCH($B117, 'Mixed costs'!$B$223:$B$240,0), MATCH(S$104, 'Mixed costs'!$D$222:$BB$222,0))
+INDEX('Arterial costs'!$D$223:$BB$240, MATCH($B117, 'Arterial costs'!$B$223:$B$240,0), MATCH(S$104, 'Arterial costs'!$D$222:$BB$222,0))</f>
        <v>209503.49751630612</v>
      </c>
      <c r="T117" s="742">
        <f>INDEX('VLU costs'!$D$231:$BB$248, MATCH($B117, 'VLU costs'!$B$231:$B$248,0), MATCH(T$104, 'VLU costs'!$D$230:$BB$230,0))
+ INDEX('Mixed costs'!$D$223:$BB$240, MATCH($B117, 'Mixed costs'!$B$223:$B$240,0), MATCH(T$104, 'Mixed costs'!$D$222:$BB$222,0))
+INDEX('Arterial costs'!$D$223:$BB$240, MATCH($B117, 'Arterial costs'!$B$223:$B$240,0), MATCH(T$104, 'Arterial costs'!$D$222:$BB$222,0))</f>
        <v>219700.41133445676</v>
      </c>
      <c r="U117" s="742">
        <f>INDEX('VLU costs'!$D$231:$BB$248, MATCH($B117, 'VLU costs'!$B$231:$B$248,0), MATCH(U$104, 'VLU costs'!$D$230:$BB$230,0))
+ INDEX('Mixed costs'!$D$223:$BB$240, MATCH($B117, 'Mixed costs'!$B$223:$B$240,0), MATCH(U$104, 'Mixed costs'!$D$222:$BB$222,0))
+INDEX('Arterial costs'!$D$223:$BB$240, MATCH($B117, 'Arterial costs'!$B$223:$B$240,0), MATCH(U$104, 'Arterial costs'!$D$222:$BB$222,0))</f>
        <v>230313.4761445779</v>
      </c>
      <c r="V117" s="742">
        <f>INDEX('VLU costs'!$D$231:$BB$248, MATCH($B117, 'VLU costs'!$B$231:$B$248,0), MATCH(V$104, 'VLU costs'!$D$230:$BB$230,0))
+ INDEX('Mixed costs'!$D$223:$BB$240, MATCH($B117, 'Mixed costs'!$B$223:$B$240,0), MATCH(V$104, 'Mixed costs'!$D$222:$BB$222,0))
+INDEX('Arterial costs'!$D$223:$BB$240, MATCH($B117, 'Arterial costs'!$B$223:$B$240,0), MATCH(V$104, 'Arterial costs'!$D$222:$BB$222,0))</f>
        <v>241286.05807169719</v>
      </c>
      <c r="W117" s="742">
        <f>INDEX('VLU costs'!$D$231:$BB$248, MATCH($B117, 'VLU costs'!$B$231:$B$248,0), MATCH(W$104, 'VLU costs'!$D$230:$BB$230,0))
+ INDEX('Mixed costs'!$D$223:$BB$240, MATCH($B117, 'Mixed costs'!$B$223:$B$240,0), MATCH(W$104, 'Mixed costs'!$D$222:$BB$222,0))
+INDEX('Arterial costs'!$D$223:$BB$240, MATCH($B117, 'Arterial costs'!$B$223:$B$240,0), MATCH(W$104, 'Arterial costs'!$D$222:$BB$222,0))</f>
        <v>252607.29850269441</v>
      </c>
      <c r="X117" s="742">
        <f>INDEX('VLU costs'!$D$231:$BB$248, MATCH($B117, 'VLU costs'!$B$231:$B$248,0), MATCH(X$104, 'VLU costs'!$D$230:$BB$230,0))
+ INDEX('Mixed costs'!$D$223:$BB$240, MATCH($B117, 'Mixed costs'!$B$223:$B$240,0), MATCH(X$104, 'Mixed costs'!$D$222:$BB$222,0))
+INDEX('Arterial costs'!$D$223:$BB$240, MATCH($B117, 'Arterial costs'!$B$223:$B$240,0), MATCH(X$104, 'Arterial costs'!$D$222:$BB$222,0))</f>
        <v>264282.25439087593</v>
      </c>
      <c r="Y117" s="742">
        <f>INDEX('VLU costs'!$D$231:$BB$248, MATCH($B117, 'VLU costs'!$B$231:$B$248,0), MATCH(Y$104, 'VLU costs'!$D$230:$BB$230,0))
+ INDEX('Mixed costs'!$D$223:$BB$240, MATCH($B117, 'Mixed costs'!$B$223:$B$240,0), MATCH(Y$104, 'Mixed costs'!$D$222:$BB$222,0))
+INDEX('Arterial costs'!$D$223:$BB$240, MATCH($B117, 'Arterial costs'!$B$223:$B$240,0), MATCH(Y$104, 'Arterial costs'!$D$222:$BB$222,0))</f>
        <v>276355.34444635583</v>
      </c>
      <c r="Z117" s="742">
        <f>INDEX('VLU costs'!$D$231:$BB$248, MATCH($B117, 'VLU costs'!$B$231:$B$248,0), MATCH(Z$104, 'VLU costs'!$D$230:$BB$230,0))
+ INDEX('Mixed costs'!$D$223:$BB$240, MATCH($B117, 'Mixed costs'!$B$223:$B$240,0), MATCH(Z$104, 'Mixed costs'!$D$222:$BB$222,0))
+INDEX('Arterial costs'!$D$223:$BB$240, MATCH($B117, 'Arterial costs'!$B$223:$B$240,0), MATCH(Z$104, 'Arterial costs'!$D$222:$BB$222,0))</f>
        <v>288829.29823510267</v>
      </c>
      <c r="AA117" s="742">
        <f>INDEX('VLU costs'!$D$231:$BB$248, MATCH($B117, 'VLU costs'!$B$231:$B$248,0), MATCH(AA$104, 'VLU costs'!$D$230:$BB$230,0))
+ INDEX('Mixed costs'!$D$223:$BB$240, MATCH($B117, 'Mixed costs'!$B$223:$B$240,0), MATCH(AA$104, 'Mixed costs'!$D$222:$BB$222,0))
+INDEX('Arterial costs'!$D$223:$BB$240, MATCH($B117, 'Arterial costs'!$B$223:$B$240,0), MATCH(AA$104, 'Arterial costs'!$D$222:$BB$222,0))</f>
        <v>301699.31856636924</v>
      </c>
      <c r="AB117" s="742">
        <f>INDEX('VLU costs'!$D$231:$BB$248, MATCH($B117, 'VLU costs'!$B$231:$B$248,0), MATCH(AB$104, 'VLU costs'!$D$230:$BB$230,0))
+ INDEX('Mixed costs'!$D$223:$BB$240, MATCH($B117, 'Mixed costs'!$B$223:$B$240,0), MATCH(AB$104, 'Mixed costs'!$D$222:$BB$222,0))
+INDEX('Arterial costs'!$D$223:$BB$240, MATCH($B117, 'Arterial costs'!$B$223:$B$240,0), MATCH(AB$104, 'Arterial costs'!$D$222:$BB$222,0))</f>
        <v>314962.92184565781</v>
      </c>
      <c r="AC117" s="742">
        <f>INDEX('VLU costs'!$D$231:$BB$248, MATCH($B117, 'VLU costs'!$B$231:$B$248,0), MATCH(AC$104, 'VLU costs'!$D$230:$BB$230,0))
+ INDEX('Mixed costs'!$D$223:$BB$240, MATCH($B117, 'Mixed costs'!$B$223:$B$240,0), MATCH(AC$104, 'Mixed costs'!$D$222:$BB$222,0))
+INDEX('Arterial costs'!$D$223:$BB$240, MATCH($B117, 'Arterial costs'!$B$223:$B$240,0), MATCH(AC$104, 'Arterial costs'!$D$222:$BB$222,0))</f>
        <v>328616.62491086929</v>
      </c>
      <c r="AD117" s="742">
        <f>INDEX('VLU costs'!$D$231:$BB$248, MATCH($B117, 'VLU costs'!$B$231:$B$248,0), MATCH(AD$104, 'VLU costs'!$D$230:$BB$230,0))
+ INDEX('Mixed costs'!$D$223:$BB$240, MATCH($B117, 'Mixed costs'!$B$223:$B$240,0), MATCH(AD$104, 'Mixed costs'!$D$222:$BB$222,0))
+INDEX('Arterial costs'!$D$223:$BB$240, MATCH($B117, 'Arterial costs'!$B$223:$B$240,0), MATCH(AD$104, 'Arterial costs'!$D$222:$BB$222,0))</f>
        <v>342659.18087902258</v>
      </c>
      <c r="AE117" s="742">
        <f>INDEX('VLU costs'!$D$231:$BB$248, MATCH($B117, 'VLU costs'!$B$231:$B$248,0), MATCH(AE$104, 'VLU costs'!$D$230:$BB$230,0))
+ INDEX('Mixed costs'!$D$223:$BB$240, MATCH($B117, 'Mixed costs'!$B$223:$B$240,0), MATCH(AE$104, 'Mixed costs'!$D$222:$BB$222,0))
+INDEX('Arterial costs'!$D$223:$BB$240, MATCH($B117, 'Arterial costs'!$B$223:$B$240,0), MATCH(AE$104, 'Arterial costs'!$D$222:$BB$222,0))</f>
        <v>357089.35754427855</v>
      </c>
      <c r="AF117" s="742">
        <f>INDEX('VLU costs'!$D$231:$BB$248, MATCH($B117, 'VLU costs'!$B$231:$B$248,0), MATCH(AF$104, 'VLU costs'!$D$230:$BB$230,0))
+ INDEX('Mixed costs'!$D$223:$BB$240, MATCH($B117, 'Mixed costs'!$B$223:$B$240,0), MATCH(AF$104, 'Mixed costs'!$D$222:$BB$222,0))
+INDEX('Arterial costs'!$D$223:$BB$240, MATCH($B117, 'Arterial costs'!$B$223:$B$240,0), MATCH(AF$104, 'Arterial costs'!$D$222:$BB$222,0))</f>
        <v>371921.45095799735</v>
      </c>
      <c r="AG117" s="742">
        <f>INDEX('VLU costs'!$D$231:$BB$248, MATCH($B117, 'VLU costs'!$B$231:$B$248,0), MATCH(AG$104, 'VLU costs'!$D$230:$BB$230,0))
+ INDEX('Mixed costs'!$D$223:$BB$240, MATCH($B117, 'Mixed costs'!$B$223:$B$240,0), MATCH(AG$104, 'Mixed costs'!$D$222:$BB$222,0))
+INDEX('Arterial costs'!$D$223:$BB$240, MATCH($B117, 'Arterial costs'!$B$223:$B$240,0), MATCH(AG$104, 'Arterial costs'!$D$222:$BB$222,0))</f>
        <v>387201.81809507153</v>
      </c>
      <c r="AH117" s="742">
        <f>INDEX('VLU costs'!$D$231:$BB$248, MATCH($B117, 'VLU costs'!$B$231:$B$248,0), MATCH(AH$104, 'VLU costs'!$D$230:$BB$230,0))
+ INDEX('Mixed costs'!$D$223:$BB$240, MATCH($B117, 'Mixed costs'!$B$223:$B$240,0), MATCH(AH$104, 'Mixed costs'!$D$222:$BB$222,0))
+INDEX('Arterial costs'!$D$223:$BB$240, MATCH($B117, 'Arterial costs'!$B$223:$B$240,0), MATCH(AH$104, 'Arterial costs'!$D$222:$BB$222,0))</f>
        <v>402945.02687726257</v>
      </c>
      <c r="AI117" s="742">
        <f>INDEX('VLU costs'!$D$231:$BB$248, MATCH($B117, 'VLU costs'!$B$231:$B$248,0), MATCH(AI$104, 'VLU costs'!$D$230:$BB$230,0))
+ INDEX('Mixed costs'!$D$223:$BB$240, MATCH($B117, 'Mixed costs'!$B$223:$B$240,0), MATCH(AI$104, 'Mixed costs'!$D$222:$BB$222,0))
+INDEX('Arterial costs'!$D$223:$BB$240, MATCH($B117, 'Arterial costs'!$B$223:$B$240,0), MATCH(AI$104, 'Arterial costs'!$D$222:$BB$222,0))</f>
        <v>419176.97368163709</v>
      </c>
      <c r="AJ117" s="742">
        <f>INDEX('VLU costs'!$D$231:$BB$248, MATCH($B117, 'VLU costs'!$B$231:$B$248,0), MATCH(AJ$104, 'VLU costs'!$D$230:$BB$230,0))
+ INDEX('Mixed costs'!$D$223:$BB$240, MATCH($B117, 'Mixed costs'!$B$223:$B$240,0), MATCH(AJ$104, 'Mixed costs'!$D$222:$BB$222,0))
+INDEX('Arterial costs'!$D$223:$BB$240, MATCH($B117, 'Arterial costs'!$B$223:$B$240,0), MATCH(AJ$104, 'Arterial costs'!$D$222:$BB$222,0))</f>
        <v>435863.48334777611</v>
      </c>
      <c r="AK117" s="742">
        <f>INDEX('VLU costs'!$D$231:$BB$248, MATCH($B117, 'VLU costs'!$B$231:$B$248,0), MATCH(AK$104, 'VLU costs'!$D$230:$BB$230,0))
+ INDEX('Mixed costs'!$D$223:$BB$240, MATCH($B117, 'Mixed costs'!$B$223:$B$240,0), MATCH(AK$104, 'Mixed costs'!$D$222:$BB$222,0))
+INDEX('Arterial costs'!$D$223:$BB$240, MATCH($B117, 'Arterial costs'!$B$223:$B$240,0), MATCH(AK$104, 'Arterial costs'!$D$222:$BB$222,0))</f>
        <v>452977.52303685341</v>
      </c>
      <c r="AL117" s="742">
        <f>INDEX('VLU costs'!$D$231:$BB$248, MATCH($B117, 'VLU costs'!$B$231:$B$248,0), MATCH(AL$104, 'VLU costs'!$D$230:$BB$230,0))
+ INDEX('Mixed costs'!$D$223:$BB$240, MATCH($B117, 'Mixed costs'!$B$223:$B$240,0), MATCH(AL$104, 'Mixed costs'!$D$222:$BB$222,0))
+INDEX('Arterial costs'!$D$223:$BB$240, MATCH($B117, 'Arterial costs'!$B$223:$B$240,0), MATCH(AL$104, 'Arterial costs'!$D$222:$BB$222,0))</f>
        <v>470500.53454722685</v>
      </c>
      <c r="AM117" s="742">
        <f>INDEX('VLU costs'!$D$231:$BB$248, MATCH($B117, 'VLU costs'!$B$231:$B$248,0), MATCH(AM$104, 'VLU costs'!$D$230:$BB$230,0))
+ INDEX('Mixed costs'!$D$223:$BB$240, MATCH($B117, 'Mixed costs'!$B$223:$B$240,0), MATCH(AM$104, 'Mixed costs'!$D$222:$BB$222,0))
+INDEX('Arterial costs'!$D$223:$BB$240, MATCH($B117, 'Arterial costs'!$B$223:$B$240,0), MATCH(AM$104, 'Arterial costs'!$D$222:$BB$222,0))</f>
        <v>488451.92828633997</v>
      </c>
      <c r="AN117" s="742">
        <f>INDEX('VLU costs'!$D$231:$BB$248, MATCH($B117, 'VLU costs'!$B$231:$B$248,0), MATCH(AN$104, 'VLU costs'!$D$230:$BB$230,0))
+ INDEX('Mixed costs'!$D$223:$BB$240, MATCH($B117, 'Mixed costs'!$B$223:$B$240,0), MATCH(AN$104, 'Mixed costs'!$D$222:$BB$222,0))
+INDEX('Arterial costs'!$D$223:$BB$240, MATCH($B117, 'Arterial costs'!$B$223:$B$240,0), MATCH(AN$104, 'Arterial costs'!$D$222:$BB$222,0))</f>
        <v>506840.21237890935</v>
      </c>
      <c r="AO117" s="742">
        <f>INDEX('VLU costs'!$D$231:$BB$248, MATCH($B117, 'VLU costs'!$B$231:$B$248,0), MATCH(AO$104, 'VLU costs'!$D$230:$BB$230,0))
+ INDEX('Mixed costs'!$D$223:$BB$240, MATCH($B117, 'Mixed costs'!$B$223:$B$240,0), MATCH(AO$104, 'Mixed costs'!$D$222:$BB$222,0))
+INDEX('Arterial costs'!$D$223:$BB$240, MATCH($B117, 'Arterial costs'!$B$223:$B$240,0), MATCH(AO$104, 'Arterial costs'!$D$222:$BB$222,0))</f>
        <v>525664.06070978462</v>
      </c>
      <c r="AP117" s="742">
        <f>INDEX('VLU costs'!$D$231:$BB$248, MATCH($B117, 'VLU costs'!$B$231:$B$248,0), MATCH(AP$104, 'VLU costs'!$D$230:$BB$230,0))
+ INDEX('Mixed costs'!$D$223:$BB$240, MATCH($B117, 'Mixed costs'!$B$223:$B$240,0), MATCH(AP$104, 'Mixed costs'!$D$222:$BB$222,0))
+INDEX('Arterial costs'!$D$223:$BB$240, MATCH($B117, 'Arterial costs'!$B$223:$B$240,0), MATCH(AP$104, 'Arterial costs'!$D$222:$BB$222,0))</f>
        <v>544984.40199366154</v>
      </c>
      <c r="AQ117" s="742">
        <f>INDEX('VLU costs'!$D$231:$BB$248, MATCH($B117, 'VLU costs'!$B$231:$B$248,0), MATCH(AQ$104, 'VLU costs'!$D$230:$BB$230,0))
+ INDEX('Mixed costs'!$D$223:$BB$240, MATCH($B117, 'Mixed costs'!$B$223:$B$240,0), MATCH(AQ$104, 'Mixed costs'!$D$222:$BB$222,0))
+INDEX('Arterial costs'!$D$223:$BB$240, MATCH($B117, 'Arterial costs'!$B$223:$B$240,0), MATCH(AQ$104, 'Arterial costs'!$D$222:$BB$222,0))</f>
        <v>564874.18582959124</v>
      </c>
      <c r="AR117" s="742">
        <f>INDEX('VLU costs'!$D$231:$BB$248, MATCH($B117, 'VLU costs'!$B$231:$B$248,0), MATCH(AR$104, 'VLU costs'!$D$230:$BB$230,0))
+ INDEX('Mixed costs'!$D$223:$BB$240, MATCH($B117, 'Mixed costs'!$B$223:$B$240,0), MATCH(AR$104, 'Mixed costs'!$D$222:$BB$222,0))
+INDEX('Arterial costs'!$D$223:$BB$240, MATCH($B117, 'Arterial costs'!$B$223:$B$240,0), MATCH(AR$104, 'Arterial costs'!$D$222:$BB$222,0))</f>
        <v>585399.55015874887</v>
      </c>
      <c r="AS117" s="742">
        <f>INDEX('VLU costs'!$D$231:$BB$248, MATCH($B117, 'VLU costs'!$B$231:$B$248,0), MATCH(AS$104, 'VLU costs'!$D$230:$BB$230,0))
+ INDEX('Mixed costs'!$D$223:$BB$240, MATCH($B117, 'Mixed costs'!$B$223:$B$240,0), MATCH(AS$104, 'Mixed costs'!$D$222:$BB$222,0))
+INDEX('Arterial costs'!$D$223:$BB$240, MATCH($B117, 'Arterial costs'!$B$223:$B$240,0), MATCH(AS$104, 'Arterial costs'!$D$222:$BB$222,0))</f>
        <v>606236.49664853513</v>
      </c>
      <c r="AU117" s="804" t="s">
        <v>3714</v>
      </c>
    </row>
    <row r="118" spans="1:47" s="73" customFormat="1" ht="29">
      <c r="B118" s="801" t="s">
        <v>2870</v>
      </c>
      <c r="C118" s="742">
        <f>INDEX('VLU costs'!$D$231:$BB$248, MATCH($B118, 'VLU costs'!$B$231:$B$248,0), MATCH(C$104, 'VLU costs'!$D$230:$BB$230,0))
+ INDEX('Mixed costs'!$D$223:$BB$240, MATCH($B118, 'Mixed costs'!$B$223:$B$240,0), MATCH(C$104, 'Mixed costs'!$D$222:$BB$222,0))
+INDEX('Arterial costs'!$D$223:$BB$240, MATCH($B118, 'Arterial costs'!$B$223:$B$240,0), MATCH(C$104, 'Arterial costs'!$D$222:$BB$222,0))</f>
        <v>56131.76227974311</v>
      </c>
      <c r="D118" s="742">
        <f>INDEX('VLU costs'!$D$231:$BB$248, MATCH($B118, 'VLU costs'!$B$231:$B$248,0), MATCH(D$104, 'VLU costs'!$D$230:$BB$230,0))
+ INDEX('Mixed costs'!$D$223:$BB$240, MATCH($B118, 'Mixed costs'!$B$223:$B$240,0), MATCH(D$104, 'Mixed costs'!$D$222:$BB$222,0))
+INDEX('Arterial costs'!$D$223:$BB$240, MATCH($B118, 'Arterial costs'!$B$223:$B$240,0), MATCH(D$104, 'Arterial costs'!$D$222:$BB$222,0))</f>
        <v>59204.388246346585</v>
      </c>
      <c r="E118" s="742">
        <f>INDEX('VLU costs'!$D$231:$BB$248, MATCH($B118, 'VLU costs'!$B$231:$B$248,0), MATCH(E$104, 'VLU costs'!$D$230:$BB$230,0))
+ INDEX('Mixed costs'!$D$223:$BB$240, MATCH($B118, 'Mixed costs'!$B$223:$B$240,0), MATCH(E$104, 'Mixed costs'!$D$222:$BB$222,0))
+INDEX('Arterial costs'!$D$223:$BB$240, MATCH($B118, 'Arterial costs'!$B$223:$B$240,0), MATCH(E$104, 'Arterial costs'!$D$222:$BB$222,0))</f>
        <v>62082.520890442269</v>
      </c>
      <c r="F118" s="742">
        <f>INDEX('VLU costs'!$D$231:$BB$248, MATCH($B118, 'VLU costs'!$B$231:$B$248,0), MATCH(F$104, 'VLU costs'!$D$230:$BB$230,0))
+ INDEX('Mixed costs'!$D$223:$BB$240, MATCH($B118, 'Mixed costs'!$B$223:$B$240,0), MATCH(F$104, 'Mixed costs'!$D$222:$BB$222,0))
+INDEX('Arterial costs'!$D$223:$BB$240, MATCH($B118, 'Arterial costs'!$B$223:$B$240,0), MATCH(F$104, 'Arterial costs'!$D$222:$BB$222,0))</f>
        <v>64846.553703063888</v>
      </c>
      <c r="G118" s="742">
        <f>INDEX('VLU costs'!$D$231:$BB$248, MATCH($B118, 'VLU costs'!$B$231:$B$248,0), MATCH(G$104, 'VLU costs'!$D$230:$BB$230,0))
+ INDEX('Mixed costs'!$D$223:$BB$240, MATCH($B118, 'Mixed costs'!$B$223:$B$240,0), MATCH(G$104, 'Mixed costs'!$D$222:$BB$222,0))
+INDEX('Arterial costs'!$D$223:$BB$240, MATCH($B118, 'Arterial costs'!$B$223:$B$240,0), MATCH(G$104, 'Arterial costs'!$D$222:$BB$222,0))</f>
        <v>67575.039132044258</v>
      </c>
      <c r="H118" s="742">
        <f>INDEX('VLU costs'!$D$231:$BB$248, MATCH($B118, 'VLU costs'!$B$231:$B$248,0), MATCH(H$104, 'VLU costs'!$D$230:$BB$230,0))
+ INDEX('Mixed costs'!$D$223:$BB$240, MATCH($B118, 'Mixed costs'!$B$223:$B$240,0), MATCH(H$104, 'Mixed costs'!$D$222:$BB$222,0))
+INDEX('Arterial costs'!$D$223:$BB$240, MATCH($B118, 'Arterial costs'!$B$223:$B$240,0), MATCH(H$104, 'Arterial costs'!$D$222:$BB$222,0))</f>
        <v>70313.380338710864</v>
      </c>
      <c r="I118" s="742">
        <f>INDEX('VLU costs'!$D$231:$BB$248, MATCH($B118, 'VLU costs'!$B$231:$B$248,0), MATCH(I$104, 'VLU costs'!$D$230:$BB$230,0))
+ INDEX('Mixed costs'!$D$223:$BB$240, MATCH($B118, 'Mixed costs'!$B$223:$B$240,0), MATCH(I$104, 'Mixed costs'!$D$222:$BB$222,0))
+INDEX('Arterial costs'!$D$223:$BB$240, MATCH($B118, 'Arterial costs'!$B$223:$B$240,0), MATCH(I$104, 'Arterial costs'!$D$222:$BB$222,0))</f>
        <v>73062.382790328062</v>
      </c>
      <c r="J118" s="742">
        <f>INDEX('VLU costs'!$D$231:$BB$248, MATCH($B118, 'VLU costs'!$B$231:$B$248,0), MATCH(J$104, 'VLU costs'!$D$230:$BB$230,0))
+ INDEX('Mixed costs'!$D$223:$BB$240, MATCH($B118, 'Mixed costs'!$B$223:$B$240,0), MATCH(J$104, 'Mixed costs'!$D$222:$BB$222,0))
+INDEX('Arterial costs'!$D$223:$BB$240, MATCH($B118, 'Arterial costs'!$B$223:$B$240,0), MATCH(J$104, 'Arterial costs'!$D$222:$BB$222,0))</f>
        <v>75844.974790804117</v>
      </c>
      <c r="K118" s="742">
        <f>INDEX('VLU costs'!$D$231:$BB$248, MATCH($B118, 'VLU costs'!$B$231:$B$248,0), MATCH(K$104, 'VLU costs'!$D$230:$BB$230,0))
+ INDEX('Mixed costs'!$D$223:$BB$240, MATCH($B118, 'Mixed costs'!$B$223:$B$240,0), MATCH(K$104, 'Mixed costs'!$D$222:$BB$222,0))
+INDEX('Arterial costs'!$D$223:$BB$240, MATCH($B118, 'Arterial costs'!$B$223:$B$240,0), MATCH(K$104, 'Arterial costs'!$D$222:$BB$222,0))</f>
        <v>78806.389310692131</v>
      </c>
      <c r="L118" s="742">
        <f>INDEX('VLU costs'!$D$231:$BB$248, MATCH($B118, 'VLU costs'!$B$231:$B$248,0), MATCH(L$104, 'VLU costs'!$D$230:$BB$230,0))
+ INDEX('Mixed costs'!$D$223:$BB$240, MATCH($B118, 'Mixed costs'!$B$223:$B$240,0), MATCH(L$104, 'Mixed costs'!$D$222:$BB$222,0))
+INDEX('Arterial costs'!$D$223:$BB$240, MATCH($B118, 'Arterial costs'!$B$223:$B$240,0), MATCH(L$104, 'Arterial costs'!$D$222:$BB$222,0))</f>
        <v>81859.058360904542</v>
      </c>
      <c r="M118" s="742">
        <f>INDEX('VLU costs'!$D$231:$BB$248, MATCH($B118, 'VLU costs'!$B$231:$B$248,0), MATCH(M$104, 'VLU costs'!$D$230:$BB$230,0))
+ INDEX('Mixed costs'!$D$223:$BB$240, MATCH($B118, 'Mixed costs'!$B$223:$B$240,0), MATCH(M$104, 'Mixed costs'!$D$222:$BB$222,0))
+INDEX('Arterial costs'!$D$223:$BB$240, MATCH($B118, 'Arterial costs'!$B$223:$B$240,0), MATCH(M$104, 'Arterial costs'!$D$222:$BB$222,0))</f>
        <v>84959.601060149842</v>
      </c>
      <c r="N118" s="742">
        <f>INDEX('VLU costs'!$D$231:$BB$248, MATCH($B118, 'VLU costs'!$B$231:$B$248,0), MATCH(N$104, 'VLU costs'!$D$230:$BB$230,0))
+ INDEX('Mixed costs'!$D$223:$BB$240, MATCH($B118, 'Mixed costs'!$B$223:$B$240,0), MATCH(N$104, 'Mixed costs'!$D$222:$BB$222,0))
+INDEX('Arterial costs'!$D$223:$BB$240, MATCH($B118, 'Arterial costs'!$B$223:$B$240,0), MATCH(N$104, 'Arterial costs'!$D$222:$BB$222,0))</f>
        <v>88088.790749349791</v>
      </c>
      <c r="O118" s="742">
        <f>INDEX('VLU costs'!$D$231:$BB$248, MATCH($B118, 'VLU costs'!$B$231:$B$248,0), MATCH(O$104, 'VLU costs'!$D$230:$BB$230,0))
+ INDEX('Mixed costs'!$D$223:$BB$240, MATCH($B118, 'Mixed costs'!$B$223:$B$240,0), MATCH(O$104, 'Mixed costs'!$D$222:$BB$222,0))
+INDEX('Arterial costs'!$D$223:$BB$240, MATCH($B118, 'Arterial costs'!$B$223:$B$240,0), MATCH(O$104, 'Arterial costs'!$D$222:$BB$222,0))</f>
        <v>91234.480207358938</v>
      </c>
      <c r="P118" s="742">
        <f>INDEX('VLU costs'!$D$231:$BB$248, MATCH($B118, 'VLU costs'!$B$231:$B$248,0), MATCH(P$104, 'VLU costs'!$D$230:$BB$230,0))
+ INDEX('Mixed costs'!$D$223:$BB$240, MATCH($B118, 'Mixed costs'!$B$223:$B$240,0), MATCH(P$104, 'Mixed costs'!$D$222:$BB$222,0))
+INDEX('Arterial costs'!$D$223:$BB$240, MATCH($B118, 'Arterial costs'!$B$223:$B$240,0), MATCH(P$104, 'Arterial costs'!$D$222:$BB$222,0))</f>
        <v>94423.758474478644</v>
      </c>
      <c r="Q118" s="742">
        <f>INDEX('VLU costs'!$D$231:$BB$248, MATCH($B118, 'VLU costs'!$B$231:$B$248,0), MATCH(Q$104, 'VLU costs'!$D$230:$BB$230,0))
+ INDEX('Mixed costs'!$D$223:$BB$240, MATCH($B118, 'Mixed costs'!$B$223:$B$240,0), MATCH(Q$104, 'Mixed costs'!$D$222:$BB$222,0))
+INDEX('Arterial costs'!$D$223:$BB$240, MATCH($B118, 'Arterial costs'!$B$223:$B$240,0), MATCH(Q$104, 'Arterial costs'!$D$222:$BB$222,0))</f>
        <v>97689.587323274056</v>
      </c>
      <c r="R118" s="742">
        <f>INDEX('VLU costs'!$D$231:$BB$248, MATCH($B118, 'VLU costs'!$B$231:$B$248,0), MATCH(R$104, 'VLU costs'!$D$230:$BB$230,0))
+ INDEX('Mixed costs'!$D$223:$BB$240, MATCH($B118, 'Mixed costs'!$B$223:$B$240,0), MATCH(R$104, 'Mixed costs'!$D$222:$BB$222,0))
+INDEX('Arterial costs'!$D$223:$BB$240, MATCH($B118, 'Arterial costs'!$B$223:$B$240,0), MATCH(R$104, 'Arterial costs'!$D$222:$BB$222,0))</f>
        <v>101037.78027035011</v>
      </c>
      <c r="S118" s="742">
        <f>INDEX('VLU costs'!$D$231:$BB$248, MATCH($B118, 'VLU costs'!$B$231:$B$248,0), MATCH(S$104, 'VLU costs'!$D$230:$BB$230,0))
+ INDEX('Mixed costs'!$D$223:$BB$240, MATCH($B118, 'Mixed costs'!$B$223:$B$240,0), MATCH(S$104, 'Mixed costs'!$D$222:$BB$222,0))
+INDEX('Arterial costs'!$D$223:$BB$240, MATCH($B118, 'Arterial costs'!$B$223:$B$240,0), MATCH(S$104, 'Arterial costs'!$D$222:$BB$222,0))</f>
        <v>104442.62140603758</v>
      </c>
      <c r="T118" s="742">
        <f>INDEX('VLU costs'!$D$231:$BB$248, MATCH($B118, 'VLU costs'!$B$231:$B$248,0), MATCH(T$104, 'VLU costs'!$D$230:$BB$230,0))
+ INDEX('Mixed costs'!$D$223:$BB$240, MATCH($B118, 'Mixed costs'!$B$223:$B$240,0), MATCH(T$104, 'Mixed costs'!$D$222:$BB$222,0))
+INDEX('Arterial costs'!$D$223:$BB$240, MATCH($B118, 'Arterial costs'!$B$223:$B$240,0), MATCH(T$104, 'Arterial costs'!$D$222:$BB$222,0))</f>
        <v>107908.99378865442</v>
      </c>
      <c r="U118" s="742">
        <f>INDEX('VLU costs'!$D$231:$BB$248, MATCH($B118, 'VLU costs'!$B$231:$B$248,0), MATCH(U$104, 'VLU costs'!$D$230:$BB$230,0))
+ INDEX('Mixed costs'!$D$223:$BB$240, MATCH($B118, 'Mixed costs'!$B$223:$B$240,0), MATCH(U$104, 'Mixed costs'!$D$222:$BB$222,0))
+INDEX('Arterial costs'!$D$223:$BB$240, MATCH($B118, 'Arterial costs'!$B$223:$B$240,0), MATCH(U$104, 'Arterial costs'!$D$222:$BB$222,0))</f>
        <v>111504.50407678138</v>
      </c>
      <c r="V118" s="742">
        <f>INDEX('VLU costs'!$D$231:$BB$248, MATCH($B118, 'VLU costs'!$B$231:$B$248,0), MATCH(V$104, 'VLU costs'!$D$230:$BB$230,0))
+ INDEX('Mixed costs'!$D$223:$BB$240, MATCH($B118, 'Mixed costs'!$B$223:$B$240,0), MATCH(V$104, 'Mixed costs'!$D$222:$BB$222,0))
+INDEX('Arterial costs'!$D$223:$BB$240, MATCH($B118, 'Arterial costs'!$B$223:$B$240,0), MATCH(V$104, 'Arterial costs'!$D$222:$BB$222,0))</f>
        <v>115175.34762462242</v>
      </c>
      <c r="W118" s="742">
        <f>INDEX('VLU costs'!$D$231:$BB$248, MATCH($B118, 'VLU costs'!$B$231:$B$248,0), MATCH(W$104, 'VLU costs'!$D$230:$BB$230,0))
+ INDEX('Mixed costs'!$D$223:$BB$240, MATCH($B118, 'Mixed costs'!$B$223:$B$240,0), MATCH(W$104, 'Mixed costs'!$D$222:$BB$222,0))
+INDEX('Arterial costs'!$D$223:$BB$240, MATCH($B118, 'Arterial costs'!$B$223:$B$240,0), MATCH(W$104, 'Arterial costs'!$D$222:$BB$222,0))</f>
        <v>118906.28622543179</v>
      </c>
      <c r="X118" s="742">
        <f>INDEX('VLU costs'!$D$231:$BB$248, MATCH($B118, 'VLU costs'!$B$231:$B$248,0), MATCH(X$104, 'VLU costs'!$D$230:$BB$230,0))
+ INDEX('Mixed costs'!$D$223:$BB$240, MATCH($B118, 'Mixed costs'!$B$223:$B$240,0), MATCH(X$104, 'Mixed costs'!$D$222:$BB$222,0))
+INDEX('Arterial costs'!$D$223:$BB$240, MATCH($B118, 'Arterial costs'!$B$223:$B$240,0), MATCH(X$104, 'Arterial costs'!$D$222:$BB$222,0))</f>
        <v>122695.27486379388</v>
      </c>
      <c r="Y118" s="742">
        <f>INDEX('VLU costs'!$D$231:$BB$248, MATCH($B118, 'VLU costs'!$B$231:$B$248,0), MATCH(Y$104, 'VLU costs'!$D$230:$BB$230,0))
+ INDEX('Mixed costs'!$D$223:$BB$240, MATCH($B118, 'Mixed costs'!$B$223:$B$240,0), MATCH(Y$104, 'Mixed costs'!$D$222:$BB$222,0))
+INDEX('Arterial costs'!$D$223:$BB$240, MATCH($B118, 'Arterial costs'!$B$223:$B$240,0), MATCH(Y$104, 'Arterial costs'!$D$222:$BB$222,0))</f>
        <v>126571.73212335151</v>
      </c>
      <c r="Z118" s="742">
        <f>INDEX('VLU costs'!$D$231:$BB$248, MATCH($B118, 'VLU costs'!$B$231:$B$248,0), MATCH(Z$104, 'VLU costs'!$D$230:$BB$230,0))
+ INDEX('Mixed costs'!$D$223:$BB$240, MATCH($B118, 'Mixed costs'!$B$223:$B$240,0), MATCH(Z$104, 'Mixed costs'!$D$222:$BB$222,0))
+INDEX('Arterial costs'!$D$223:$BB$240, MATCH($B118, 'Arterial costs'!$B$223:$B$240,0), MATCH(Z$104, 'Arterial costs'!$D$222:$BB$222,0))</f>
        <v>130530.47955298821</v>
      </c>
      <c r="AA118" s="742">
        <f>INDEX('VLU costs'!$D$231:$BB$248, MATCH($B118, 'VLU costs'!$B$231:$B$248,0), MATCH(AA$104, 'VLU costs'!$D$230:$BB$230,0))
+ INDEX('Mixed costs'!$D$223:$BB$240, MATCH($B118, 'Mixed costs'!$B$223:$B$240,0), MATCH(AA$104, 'Mixed costs'!$D$222:$BB$222,0))
+INDEX('Arterial costs'!$D$223:$BB$240, MATCH($B118, 'Arterial costs'!$B$223:$B$240,0), MATCH(AA$104, 'Arterial costs'!$D$222:$BB$222,0))</f>
        <v>134560.38757549433</v>
      </c>
      <c r="AB118" s="742">
        <f>INDEX('VLU costs'!$D$231:$BB$248, MATCH($B118, 'VLU costs'!$B$231:$B$248,0), MATCH(AB$104, 'VLU costs'!$D$230:$BB$230,0))
+ INDEX('Mixed costs'!$D$223:$BB$240, MATCH($B118, 'Mixed costs'!$B$223:$B$240,0), MATCH(AB$104, 'Mixed costs'!$D$222:$BB$222,0))
+INDEX('Arterial costs'!$D$223:$BB$240, MATCH($B118, 'Arterial costs'!$B$223:$B$240,0), MATCH(AB$104, 'Arterial costs'!$D$222:$BB$222,0))</f>
        <v>138652.46725684369</v>
      </c>
      <c r="AC118" s="742">
        <f>INDEX('VLU costs'!$D$231:$BB$248, MATCH($B118, 'VLU costs'!$B$231:$B$248,0), MATCH(AC$104, 'VLU costs'!$D$230:$BB$230,0))
+ INDEX('Mixed costs'!$D$223:$BB$240, MATCH($B118, 'Mixed costs'!$B$223:$B$240,0), MATCH(AC$104, 'Mixed costs'!$D$222:$BB$222,0))
+INDEX('Arterial costs'!$D$223:$BB$240, MATCH($B118, 'Arterial costs'!$B$223:$B$240,0), MATCH(AC$104, 'Arterial costs'!$D$222:$BB$222,0))</f>
        <v>142797.13050167623</v>
      </c>
      <c r="AD118" s="742">
        <f>INDEX('VLU costs'!$D$231:$BB$248, MATCH($B118, 'VLU costs'!$B$231:$B$248,0), MATCH(AD$104, 'VLU costs'!$D$230:$BB$230,0))
+ INDEX('Mixed costs'!$D$223:$BB$240, MATCH($B118, 'Mixed costs'!$B$223:$B$240,0), MATCH(AD$104, 'Mixed costs'!$D$222:$BB$222,0))
+INDEX('Arterial costs'!$D$223:$BB$240, MATCH($B118, 'Arterial costs'!$B$223:$B$240,0), MATCH(AD$104, 'Arterial costs'!$D$222:$BB$222,0))</f>
        <v>146986.79843110702</v>
      </c>
      <c r="AE118" s="742">
        <f>INDEX('VLU costs'!$D$231:$BB$248, MATCH($B118, 'VLU costs'!$B$231:$B$248,0), MATCH(AE$104, 'VLU costs'!$D$230:$BB$230,0))
+ INDEX('Mixed costs'!$D$223:$BB$240, MATCH($B118, 'Mixed costs'!$B$223:$B$240,0), MATCH(AE$104, 'Mixed costs'!$D$222:$BB$222,0))
+INDEX('Arterial costs'!$D$223:$BB$240, MATCH($B118, 'Arterial costs'!$B$223:$B$240,0), MATCH(AE$104, 'Arterial costs'!$D$222:$BB$222,0))</f>
        <v>151214.04498128541</v>
      </c>
      <c r="AF118" s="742">
        <f>INDEX('VLU costs'!$D$231:$BB$248, MATCH($B118, 'VLU costs'!$B$231:$B$248,0), MATCH(AF$104, 'VLU costs'!$D$230:$BB$230,0))
+ INDEX('Mixed costs'!$D$223:$BB$240, MATCH($B118, 'Mixed costs'!$B$223:$B$240,0), MATCH(AF$104, 'Mixed costs'!$D$222:$BB$222,0))
+INDEX('Arterial costs'!$D$223:$BB$240, MATCH($B118, 'Arterial costs'!$B$223:$B$240,0), MATCH(AF$104, 'Arterial costs'!$D$222:$BB$222,0))</f>
        <v>155484.00971255475</v>
      </c>
      <c r="AG118" s="742">
        <f>INDEX('VLU costs'!$D$231:$BB$248, MATCH($B118, 'VLU costs'!$B$231:$B$248,0), MATCH(AG$104, 'VLU costs'!$D$230:$BB$230,0))
+ INDEX('Mixed costs'!$D$223:$BB$240, MATCH($B118, 'Mixed costs'!$B$223:$B$240,0), MATCH(AG$104, 'Mixed costs'!$D$222:$BB$222,0))
+INDEX('Arterial costs'!$D$223:$BB$240, MATCH($B118, 'Arterial costs'!$B$223:$B$240,0), MATCH(AG$104, 'Arterial costs'!$D$222:$BB$222,0))</f>
        <v>159827.16426126735</v>
      </c>
      <c r="AH118" s="742">
        <f>INDEX('VLU costs'!$D$231:$BB$248, MATCH($B118, 'VLU costs'!$B$231:$B$248,0), MATCH(AH$104, 'VLU costs'!$D$230:$BB$230,0))
+ INDEX('Mixed costs'!$D$223:$BB$240, MATCH($B118, 'Mixed costs'!$B$223:$B$240,0), MATCH(AH$104, 'Mixed costs'!$D$222:$BB$222,0))
+INDEX('Arterial costs'!$D$223:$BB$240, MATCH($B118, 'Arterial costs'!$B$223:$B$240,0), MATCH(AH$104, 'Arterial costs'!$D$222:$BB$222,0))</f>
        <v>164247.25523442664</v>
      </c>
      <c r="AI118" s="742">
        <f>INDEX('VLU costs'!$D$231:$BB$248, MATCH($B118, 'VLU costs'!$B$231:$B$248,0), MATCH(AI$104, 'VLU costs'!$D$230:$BB$230,0))
+ INDEX('Mixed costs'!$D$223:$BB$240, MATCH($B118, 'Mixed costs'!$B$223:$B$240,0), MATCH(AI$104, 'Mixed costs'!$D$222:$BB$222,0))
+INDEX('Arterial costs'!$D$223:$BB$240, MATCH($B118, 'Arterial costs'!$B$223:$B$240,0), MATCH(AI$104, 'Arterial costs'!$D$222:$BB$222,0))</f>
        <v>168756.82659315458</v>
      </c>
      <c r="AJ118" s="742">
        <f>INDEX('VLU costs'!$D$231:$BB$248, MATCH($B118, 'VLU costs'!$B$231:$B$248,0), MATCH(AJ$104, 'VLU costs'!$D$230:$BB$230,0))
+ INDEX('Mixed costs'!$D$223:$BB$240, MATCH($B118, 'Mixed costs'!$B$223:$B$240,0), MATCH(AJ$104, 'Mixed costs'!$D$222:$BB$222,0))
+INDEX('Arterial costs'!$D$223:$BB$240, MATCH($B118, 'Arterial costs'!$B$223:$B$240,0), MATCH(AJ$104, 'Arterial costs'!$D$222:$BB$222,0))</f>
        <v>173319.72618197545</v>
      </c>
      <c r="AK118" s="742">
        <f>INDEX('VLU costs'!$D$231:$BB$248, MATCH($B118, 'VLU costs'!$B$231:$B$248,0), MATCH(AK$104, 'VLU costs'!$D$230:$BB$230,0))
+ INDEX('Mixed costs'!$D$223:$BB$240, MATCH($B118, 'Mixed costs'!$B$223:$B$240,0), MATCH(AK$104, 'Mixed costs'!$D$222:$BB$222,0))
+INDEX('Arterial costs'!$D$223:$BB$240, MATCH($B118, 'Arterial costs'!$B$223:$B$240,0), MATCH(AK$104, 'Arterial costs'!$D$222:$BB$222,0))</f>
        <v>177906.72725658896</v>
      </c>
      <c r="AL118" s="742">
        <f>INDEX('VLU costs'!$D$231:$BB$248, MATCH($B118, 'VLU costs'!$B$231:$B$248,0), MATCH(AL$104, 'VLU costs'!$D$230:$BB$230,0))
+ INDEX('Mixed costs'!$D$223:$BB$240, MATCH($B118, 'Mixed costs'!$B$223:$B$240,0), MATCH(AL$104, 'Mixed costs'!$D$222:$BB$222,0))
+INDEX('Arterial costs'!$D$223:$BB$240, MATCH($B118, 'Arterial costs'!$B$223:$B$240,0), MATCH(AL$104, 'Arterial costs'!$D$222:$BB$222,0))</f>
        <v>182496.31987679799</v>
      </c>
      <c r="AM118" s="742">
        <f>INDEX('VLU costs'!$D$231:$BB$248, MATCH($B118, 'VLU costs'!$B$231:$B$248,0), MATCH(AM$104, 'VLU costs'!$D$230:$BB$230,0))
+ INDEX('Mixed costs'!$D$223:$BB$240, MATCH($B118, 'Mixed costs'!$B$223:$B$240,0), MATCH(AM$104, 'Mixed costs'!$D$222:$BB$222,0))
+INDEX('Arterial costs'!$D$223:$BB$240, MATCH($B118, 'Arterial costs'!$B$223:$B$240,0), MATCH(AM$104, 'Arterial costs'!$D$222:$BB$222,0))</f>
        <v>187098.02756890736</v>
      </c>
      <c r="AN118" s="742">
        <f>INDEX('VLU costs'!$D$231:$BB$248, MATCH($B118, 'VLU costs'!$B$231:$B$248,0), MATCH(AN$104, 'VLU costs'!$D$230:$BB$230,0))
+ INDEX('Mixed costs'!$D$223:$BB$240, MATCH($B118, 'Mixed costs'!$B$223:$B$240,0), MATCH(AN$104, 'Mixed costs'!$D$222:$BB$222,0))
+INDEX('Arterial costs'!$D$223:$BB$240, MATCH($B118, 'Arterial costs'!$B$223:$B$240,0), MATCH(AN$104, 'Arterial costs'!$D$222:$BB$222,0))</f>
        <v>191712.12562509207</v>
      </c>
      <c r="AO118" s="742">
        <f>INDEX('VLU costs'!$D$231:$BB$248, MATCH($B118, 'VLU costs'!$B$231:$B$248,0), MATCH(AO$104, 'VLU costs'!$D$230:$BB$230,0))
+ INDEX('Mixed costs'!$D$223:$BB$240, MATCH($B118, 'Mixed costs'!$B$223:$B$240,0), MATCH(AO$104, 'Mixed costs'!$D$222:$BB$222,0))
+INDEX('Arterial costs'!$D$223:$BB$240, MATCH($B118, 'Arterial costs'!$B$223:$B$240,0), MATCH(AO$104, 'Arterial costs'!$D$222:$BB$222,0))</f>
        <v>196330.85095730063</v>
      </c>
      <c r="AP118" s="742">
        <f>INDEX('VLU costs'!$D$231:$BB$248, MATCH($B118, 'VLU costs'!$B$231:$B$248,0), MATCH(AP$104, 'VLU costs'!$D$230:$BB$230,0))
+ INDEX('Mixed costs'!$D$223:$BB$240, MATCH($B118, 'Mixed costs'!$B$223:$B$240,0), MATCH(AP$104, 'Mixed costs'!$D$222:$BB$222,0))
+INDEX('Arterial costs'!$D$223:$BB$240, MATCH($B118, 'Arterial costs'!$B$223:$B$240,0), MATCH(AP$104, 'Arterial costs'!$D$222:$BB$222,0))</f>
        <v>200996.41707920015</v>
      </c>
      <c r="AQ118" s="742">
        <f>INDEX('VLU costs'!$D$231:$BB$248, MATCH($B118, 'VLU costs'!$B$231:$B$248,0), MATCH(AQ$104, 'VLU costs'!$D$230:$BB$230,0))
+ INDEX('Mixed costs'!$D$223:$BB$240, MATCH($B118, 'Mixed costs'!$B$223:$B$240,0), MATCH(AQ$104, 'Mixed costs'!$D$222:$BB$222,0))
+INDEX('Arterial costs'!$D$223:$BB$240, MATCH($B118, 'Arterial costs'!$B$223:$B$240,0), MATCH(AQ$104, 'Arterial costs'!$D$222:$BB$222,0))</f>
        <v>205758.93517907648</v>
      </c>
      <c r="AR118" s="742">
        <f>INDEX('VLU costs'!$D$231:$BB$248, MATCH($B118, 'VLU costs'!$B$231:$B$248,0), MATCH(AR$104, 'VLU costs'!$D$230:$BB$230,0))
+ INDEX('Mixed costs'!$D$223:$BB$240, MATCH($B118, 'Mixed costs'!$B$223:$B$240,0), MATCH(AR$104, 'Mixed costs'!$D$222:$BB$222,0))
+INDEX('Arterial costs'!$D$223:$BB$240, MATCH($B118, 'Arterial costs'!$B$223:$B$240,0), MATCH(AR$104, 'Arterial costs'!$D$222:$BB$222,0))</f>
        <v>210661.05585910424</v>
      </c>
      <c r="AS118" s="742">
        <f>INDEX('VLU costs'!$D$231:$BB$248, MATCH($B118, 'VLU costs'!$B$231:$B$248,0), MATCH(AS$104, 'VLU costs'!$D$230:$BB$230,0))
+ INDEX('Mixed costs'!$D$223:$BB$240, MATCH($B118, 'Mixed costs'!$B$223:$B$240,0), MATCH(AS$104, 'Mixed costs'!$D$222:$BB$222,0))
+INDEX('Arterial costs'!$D$223:$BB$240, MATCH($B118, 'Arterial costs'!$B$223:$B$240,0), MATCH(AS$104, 'Arterial costs'!$D$222:$BB$222,0))</f>
        <v>215431.37916404702</v>
      </c>
      <c r="AU118" s="804" t="s">
        <v>3714</v>
      </c>
    </row>
    <row r="119" spans="1:47" s="73" customFormat="1">
      <c r="B119" s="801" t="s">
        <v>102</v>
      </c>
      <c r="C119" s="742">
        <f>INDEX('VLU costs'!$D$231:$BB$248, MATCH($B119, 'VLU costs'!$B$231:$B$248,0), MATCH(C$104, 'VLU costs'!$D$230:$BB$230,0))
+ INDEX('Mixed costs'!$D$223:$BB$240, MATCH($B119, 'Mixed costs'!$B$223:$B$240,0), MATCH(C$104, 'Mixed costs'!$D$222:$BB$222,0))
+INDEX('Arterial costs'!$D$223:$BB$240, MATCH($B119, 'Arterial costs'!$B$223:$B$240,0), MATCH(C$104, 'Arterial costs'!$D$222:$BB$222,0))</f>
        <v>2696.1643307111453</v>
      </c>
      <c r="D119" s="742">
        <f>INDEX('VLU costs'!$D$231:$BB$248, MATCH($B119, 'VLU costs'!$B$231:$B$248,0), MATCH(D$104, 'VLU costs'!$D$230:$BB$230,0))
+ INDEX('Mixed costs'!$D$223:$BB$240, MATCH($B119, 'Mixed costs'!$B$223:$B$240,0), MATCH(D$104, 'Mixed costs'!$D$222:$BB$222,0))
+INDEX('Arterial costs'!$D$223:$BB$240, MATCH($B119, 'Arterial costs'!$B$223:$B$240,0), MATCH(D$104, 'Arterial costs'!$D$222:$BB$222,0))</f>
        <v>3445.6916018709667</v>
      </c>
      <c r="E119" s="742">
        <f>INDEX('VLU costs'!$D$231:$BB$248, MATCH($B119, 'VLU costs'!$B$231:$B$248,0), MATCH(E$104, 'VLU costs'!$D$230:$BB$230,0))
+ INDEX('Mixed costs'!$D$223:$BB$240, MATCH($B119, 'Mixed costs'!$B$223:$B$240,0), MATCH(E$104, 'Mixed costs'!$D$222:$BB$222,0))
+INDEX('Arterial costs'!$D$223:$BB$240, MATCH($B119, 'Arterial costs'!$B$223:$B$240,0), MATCH(E$104, 'Arterial costs'!$D$222:$BB$222,0))</f>
        <v>4230.5299818038357</v>
      </c>
      <c r="F119" s="742">
        <f>INDEX('VLU costs'!$D$231:$BB$248, MATCH($B119, 'VLU costs'!$B$231:$B$248,0), MATCH(F$104, 'VLU costs'!$D$230:$BB$230,0))
+ INDEX('Mixed costs'!$D$223:$BB$240, MATCH($B119, 'Mixed costs'!$B$223:$B$240,0), MATCH(F$104, 'Mixed costs'!$D$222:$BB$222,0))
+INDEX('Arterial costs'!$D$223:$BB$240, MATCH($B119, 'Arterial costs'!$B$223:$B$240,0), MATCH(F$104, 'Arterial costs'!$D$222:$BB$222,0))</f>
        <v>5053.351991734944</v>
      </c>
      <c r="G119" s="742">
        <f>INDEX('VLU costs'!$D$231:$BB$248, MATCH($B119, 'VLU costs'!$B$231:$B$248,0), MATCH(G$104, 'VLU costs'!$D$230:$BB$230,0))
+ INDEX('Mixed costs'!$D$223:$BB$240, MATCH($B119, 'Mixed costs'!$B$223:$B$240,0), MATCH(G$104, 'Mixed costs'!$D$222:$BB$222,0))
+INDEX('Arterial costs'!$D$223:$BB$240, MATCH($B119, 'Arterial costs'!$B$223:$B$240,0), MATCH(G$104, 'Arterial costs'!$D$222:$BB$222,0))</f>
        <v>5917.5629113344194</v>
      </c>
      <c r="H119" s="742">
        <f>INDEX('VLU costs'!$D$231:$BB$248, MATCH($B119, 'VLU costs'!$B$231:$B$248,0), MATCH(H$104, 'VLU costs'!$D$230:$BB$230,0))
+ INDEX('Mixed costs'!$D$223:$BB$240, MATCH($B119, 'Mixed costs'!$B$223:$B$240,0), MATCH(H$104, 'Mixed costs'!$D$222:$BB$222,0))
+INDEX('Arterial costs'!$D$223:$BB$240, MATCH($B119, 'Arterial costs'!$B$223:$B$240,0), MATCH(H$104, 'Arterial costs'!$D$222:$BB$222,0))</f>
        <v>6825.7740380928526</v>
      </c>
      <c r="I119" s="742">
        <f>INDEX('VLU costs'!$D$231:$BB$248, MATCH($B119, 'VLU costs'!$B$231:$B$248,0), MATCH(I$104, 'VLU costs'!$D$230:$BB$230,0))
+ INDEX('Mixed costs'!$D$223:$BB$240, MATCH($B119, 'Mixed costs'!$B$223:$B$240,0), MATCH(I$104, 'Mixed costs'!$D$222:$BB$222,0))
+INDEX('Arterial costs'!$D$223:$BB$240, MATCH($B119, 'Arterial costs'!$B$223:$B$240,0), MATCH(I$104, 'Arterial costs'!$D$222:$BB$222,0))</f>
        <v>7778.9144423515809</v>
      </c>
      <c r="J119" s="742">
        <f>INDEX('VLU costs'!$D$231:$BB$248, MATCH($B119, 'VLU costs'!$B$231:$B$248,0), MATCH(J$104, 'VLU costs'!$D$230:$BB$230,0))
+ INDEX('Mixed costs'!$D$223:$BB$240, MATCH($B119, 'Mixed costs'!$B$223:$B$240,0), MATCH(J$104, 'Mixed costs'!$D$222:$BB$222,0))
+INDEX('Arterial costs'!$D$223:$BB$240, MATCH($B119, 'Arterial costs'!$B$223:$B$240,0), MATCH(J$104, 'Arterial costs'!$D$222:$BB$222,0))</f>
        <v>8779.0270329010636</v>
      </c>
      <c r="K119" s="742">
        <f>INDEX('VLU costs'!$D$231:$BB$248, MATCH($B119, 'VLU costs'!$B$231:$B$248,0), MATCH(K$104, 'VLU costs'!$D$230:$BB$230,0))
+ INDEX('Mixed costs'!$D$223:$BB$240, MATCH($B119, 'Mixed costs'!$B$223:$B$240,0), MATCH(K$104, 'Mixed costs'!$D$222:$BB$222,0))
+INDEX('Arterial costs'!$D$223:$BB$240, MATCH($B119, 'Arterial costs'!$B$223:$B$240,0), MATCH(K$104, 'Arterial costs'!$D$222:$BB$222,0))</f>
        <v>9834.3876076935394</v>
      </c>
      <c r="L119" s="742">
        <f>INDEX('VLU costs'!$D$231:$BB$248, MATCH($B119, 'VLU costs'!$B$231:$B$248,0), MATCH(L$104, 'VLU costs'!$D$230:$BB$230,0))
+ INDEX('Mixed costs'!$D$223:$BB$240, MATCH($B119, 'Mixed costs'!$B$223:$B$240,0), MATCH(L$104, 'Mixed costs'!$D$222:$BB$222,0))
+INDEX('Arterial costs'!$D$223:$BB$240, MATCH($B119, 'Arterial costs'!$B$223:$B$240,0), MATCH(L$104, 'Arterial costs'!$D$222:$BB$222,0))</f>
        <v>10943.471938050558</v>
      </c>
      <c r="M119" s="742">
        <f>INDEX('VLU costs'!$D$231:$BB$248, MATCH($B119, 'VLU costs'!$B$231:$B$248,0), MATCH(M$104, 'VLU costs'!$D$230:$BB$230,0))
+ INDEX('Mixed costs'!$D$223:$BB$240, MATCH($B119, 'Mixed costs'!$B$223:$B$240,0), MATCH(M$104, 'Mixed costs'!$D$222:$BB$222,0))
+INDEX('Arterial costs'!$D$223:$BB$240, MATCH($B119, 'Arterial costs'!$B$223:$B$240,0), MATCH(M$104, 'Arterial costs'!$D$222:$BB$222,0))</f>
        <v>12106.056247598488</v>
      </c>
      <c r="N119" s="742">
        <f>INDEX('VLU costs'!$D$231:$BB$248, MATCH($B119, 'VLU costs'!$B$231:$B$248,0), MATCH(N$104, 'VLU costs'!$D$230:$BB$230,0))
+ INDEX('Mixed costs'!$D$223:$BB$240, MATCH($B119, 'Mixed costs'!$B$223:$B$240,0), MATCH(N$104, 'Mixed costs'!$D$222:$BB$222,0))
+INDEX('Arterial costs'!$D$223:$BB$240, MATCH($B119, 'Arterial costs'!$B$223:$B$240,0), MATCH(N$104, 'Arterial costs'!$D$222:$BB$222,0))</f>
        <v>12593.295008111812</v>
      </c>
      <c r="O119" s="742">
        <f>INDEX('VLU costs'!$D$231:$BB$248, MATCH($B119, 'VLU costs'!$B$231:$B$248,0), MATCH(O$104, 'VLU costs'!$D$230:$BB$230,0))
+ INDEX('Mixed costs'!$D$223:$BB$240, MATCH($B119, 'Mixed costs'!$B$223:$B$240,0), MATCH(O$104, 'Mixed costs'!$D$222:$BB$222,0))
+INDEX('Arterial costs'!$D$223:$BB$240, MATCH($B119, 'Arterial costs'!$B$223:$B$240,0), MATCH(O$104, 'Arterial costs'!$D$222:$BB$222,0))</f>
        <v>13081.491770038105</v>
      </c>
      <c r="P119" s="742">
        <f>INDEX('VLU costs'!$D$231:$BB$248, MATCH($B119, 'VLU costs'!$B$231:$B$248,0), MATCH(P$104, 'VLU costs'!$D$230:$BB$230,0))
+ INDEX('Mixed costs'!$D$223:$BB$240, MATCH($B119, 'Mixed costs'!$B$223:$B$240,0), MATCH(P$104, 'Mixed costs'!$D$222:$BB$222,0))
+INDEX('Arterial costs'!$D$223:$BB$240, MATCH($B119, 'Arterial costs'!$B$223:$B$240,0), MATCH(P$104, 'Arterial costs'!$D$222:$BB$222,0))</f>
        <v>13574.677513293027</v>
      </c>
      <c r="Q119" s="742">
        <f>INDEX('VLU costs'!$D$231:$BB$248, MATCH($B119, 'VLU costs'!$B$231:$B$248,0), MATCH(Q$104, 'VLU costs'!$D$230:$BB$230,0))
+ INDEX('Mixed costs'!$D$223:$BB$240, MATCH($B119, 'Mixed costs'!$B$223:$B$240,0), MATCH(Q$104, 'Mixed costs'!$D$222:$BB$222,0))
+INDEX('Arterial costs'!$D$223:$BB$240, MATCH($B119, 'Arterial costs'!$B$223:$B$240,0), MATCH(Q$104, 'Arterial costs'!$D$222:$BB$222,0))</f>
        <v>14076.461660976505</v>
      </c>
      <c r="R119" s="742">
        <f>INDEX('VLU costs'!$D$231:$BB$248, MATCH($B119, 'VLU costs'!$B$231:$B$248,0), MATCH(R$104, 'VLU costs'!$D$230:$BB$230,0))
+ INDEX('Mixed costs'!$D$223:$BB$240, MATCH($B119, 'Mixed costs'!$B$223:$B$240,0), MATCH(R$104, 'Mixed costs'!$D$222:$BB$222,0))
+INDEX('Arterial costs'!$D$223:$BB$240, MATCH($B119, 'Arterial costs'!$B$223:$B$240,0), MATCH(R$104, 'Arterial costs'!$D$222:$BB$222,0))</f>
        <v>14588.494815514408</v>
      </c>
      <c r="S119" s="742">
        <f>INDEX('VLU costs'!$D$231:$BB$248, MATCH($B119, 'VLU costs'!$B$231:$B$248,0), MATCH(S$104, 'VLU costs'!$D$230:$BB$230,0))
+ INDEX('Mixed costs'!$D$223:$BB$240, MATCH($B119, 'Mixed costs'!$B$223:$B$240,0), MATCH(S$104, 'Mixed costs'!$D$222:$BB$222,0))
+INDEX('Arterial costs'!$D$223:$BB$240, MATCH($B119, 'Arterial costs'!$B$223:$B$240,0), MATCH(S$104, 'Arterial costs'!$D$222:$BB$222,0))</f>
        <v>15110.389477234548</v>
      </c>
      <c r="T119" s="742">
        <f>INDEX('VLU costs'!$D$231:$BB$248, MATCH($B119, 'VLU costs'!$B$231:$B$248,0), MATCH(T$104, 'VLU costs'!$D$230:$BB$230,0))
+ INDEX('Mixed costs'!$D$223:$BB$240, MATCH($B119, 'Mixed costs'!$B$223:$B$240,0), MATCH(T$104, 'Mixed costs'!$D$222:$BB$222,0))
+INDEX('Arterial costs'!$D$223:$BB$240, MATCH($B119, 'Arterial costs'!$B$223:$B$240,0), MATCH(T$104, 'Arterial costs'!$D$222:$BB$222,0))</f>
        <v>15642.98891802435</v>
      </c>
      <c r="U119" s="742">
        <f>INDEX('VLU costs'!$D$231:$BB$248, MATCH($B119, 'VLU costs'!$B$231:$B$248,0), MATCH(U$104, 'VLU costs'!$D$230:$BB$230,0))
+ INDEX('Mixed costs'!$D$223:$BB$240, MATCH($B119, 'Mixed costs'!$B$223:$B$240,0), MATCH(U$104, 'Mixed costs'!$D$222:$BB$222,0))
+INDEX('Arterial costs'!$D$223:$BB$240, MATCH($B119, 'Arterial costs'!$B$223:$B$240,0), MATCH(U$104, 'Arterial costs'!$D$222:$BB$222,0))</f>
        <v>16189.96200632386</v>
      </c>
      <c r="V119" s="742">
        <f>INDEX('VLU costs'!$D$231:$BB$248, MATCH($B119, 'VLU costs'!$B$231:$B$248,0), MATCH(V$104, 'VLU costs'!$D$230:$BB$230,0))
+ INDEX('Mixed costs'!$D$223:$BB$240, MATCH($B119, 'Mixed costs'!$B$223:$B$240,0), MATCH(V$104, 'Mixed costs'!$D$222:$BB$222,0))
+INDEX('Arterial costs'!$D$223:$BB$240, MATCH($B119, 'Arterial costs'!$B$223:$B$240,0), MATCH(V$104, 'Arterial costs'!$D$222:$BB$222,0))</f>
        <v>16747.886635110506</v>
      </c>
      <c r="W119" s="742">
        <f>INDEX('VLU costs'!$D$231:$BB$248, MATCH($B119, 'VLU costs'!$B$231:$B$248,0), MATCH(W$104, 'VLU costs'!$D$230:$BB$230,0))
+ INDEX('Mixed costs'!$D$223:$BB$240, MATCH($B119, 'Mixed costs'!$B$223:$B$240,0), MATCH(W$104, 'Mixed costs'!$D$222:$BB$222,0))
+INDEX('Arterial costs'!$D$223:$BB$240, MATCH($B119, 'Arterial costs'!$B$223:$B$240,0), MATCH(W$104, 'Arterial costs'!$D$222:$BB$222,0))</f>
        <v>17315.782750362625</v>
      </c>
      <c r="X119" s="742">
        <f>INDEX('VLU costs'!$D$231:$BB$248, MATCH($B119, 'VLU costs'!$B$231:$B$248,0), MATCH(X$104, 'VLU costs'!$D$230:$BB$230,0))
+ INDEX('Mixed costs'!$D$223:$BB$240, MATCH($B119, 'Mixed costs'!$B$223:$B$240,0), MATCH(X$104, 'Mixed costs'!$D$222:$BB$222,0))
+INDEX('Arterial costs'!$D$223:$BB$240, MATCH($B119, 'Arterial costs'!$B$223:$B$240,0), MATCH(X$104, 'Arterial costs'!$D$222:$BB$222,0))</f>
        <v>17893.713029330091</v>
      </c>
      <c r="Y119" s="742">
        <f>INDEX('VLU costs'!$D$231:$BB$248, MATCH($B119, 'VLU costs'!$B$231:$B$248,0), MATCH(Y$104, 'VLU costs'!$D$230:$BB$230,0))
+ INDEX('Mixed costs'!$D$223:$BB$240, MATCH($B119, 'Mixed costs'!$B$223:$B$240,0), MATCH(Y$104, 'Mixed costs'!$D$222:$BB$222,0))
+INDEX('Arterial costs'!$D$223:$BB$240, MATCH($B119, 'Arterial costs'!$B$223:$B$240,0), MATCH(Y$104, 'Arterial costs'!$D$222:$BB$222,0))</f>
        <v>18483.505953449738</v>
      </c>
      <c r="Z119" s="742">
        <f>INDEX('VLU costs'!$D$231:$BB$248, MATCH($B119, 'VLU costs'!$B$231:$B$248,0), MATCH(Z$104, 'VLU costs'!$D$230:$BB$230,0))
+ INDEX('Mixed costs'!$D$223:$BB$240, MATCH($B119, 'Mixed costs'!$B$223:$B$240,0), MATCH(Z$104, 'Mixed costs'!$D$222:$BB$222,0))
+INDEX('Arterial costs'!$D$223:$BB$240, MATCH($B119, 'Arterial costs'!$B$223:$B$240,0), MATCH(Z$104, 'Arterial costs'!$D$222:$BB$222,0))</f>
        <v>19085.776378453749</v>
      </c>
      <c r="AA119" s="742">
        <f>INDEX('VLU costs'!$D$231:$BB$248, MATCH($B119, 'VLU costs'!$B$231:$B$248,0), MATCH(AA$104, 'VLU costs'!$D$230:$BB$230,0))
+ INDEX('Mixed costs'!$D$223:$BB$240, MATCH($B119, 'Mixed costs'!$B$223:$B$240,0), MATCH(AA$104, 'Mixed costs'!$D$222:$BB$222,0))
+INDEX('Arterial costs'!$D$223:$BB$240, MATCH($B119, 'Arterial costs'!$B$223:$B$240,0), MATCH(AA$104, 'Arterial costs'!$D$222:$BB$222,0))</f>
        <v>19700.460192397688</v>
      </c>
      <c r="AB119" s="742">
        <f>INDEX('VLU costs'!$D$231:$BB$248, MATCH($B119, 'VLU costs'!$B$231:$B$248,0), MATCH(AB$104, 'VLU costs'!$D$230:$BB$230,0))
+ INDEX('Mixed costs'!$D$223:$BB$240, MATCH($B119, 'Mixed costs'!$B$223:$B$240,0), MATCH(AB$104, 'Mixed costs'!$D$222:$BB$222,0))
+INDEX('Arterial costs'!$D$223:$BB$240, MATCH($B119, 'Arterial costs'!$B$223:$B$240,0), MATCH(AB$104, 'Arterial costs'!$D$222:$BB$222,0))</f>
        <v>20327.062212903089</v>
      </c>
      <c r="AC119" s="742">
        <f>INDEX('VLU costs'!$D$231:$BB$248, MATCH($B119, 'VLU costs'!$B$231:$B$248,0), MATCH(AC$104, 'VLU costs'!$D$230:$BB$230,0))
+ INDEX('Mixed costs'!$D$223:$BB$240, MATCH($B119, 'Mixed costs'!$B$223:$B$240,0), MATCH(AC$104, 'Mixed costs'!$D$222:$BB$222,0))
+INDEX('Arterial costs'!$D$223:$BB$240, MATCH($B119, 'Arterial costs'!$B$223:$B$240,0), MATCH(AC$104, 'Arterial costs'!$D$222:$BB$222,0))</f>
        <v>20964.886728915182</v>
      </c>
      <c r="AD119" s="742">
        <f>INDEX('VLU costs'!$D$231:$BB$248, MATCH($B119, 'VLU costs'!$B$231:$B$248,0), MATCH(AD$104, 'VLU costs'!$D$230:$BB$230,0))
+ INDEX('Mixed costs'!$D$223:$BB$240, MATCH($B119, 'Mixed costs'!$B$223:$B$240,0), MATCH(AD$104, 'Mixed costs'!$D$222:$BB$222,0))
+INDEX('Arterial costs'!$D$223:$BB$240, MATCH($B119, 'Arterial costs'!$B$223:$B$240,0), MATCH(AD$104, 'Arterial costs'!$D$222:$BB$222,0))</f>
        <v>21613.564295428627</v>
      </c>
      <c r="AE119" s="742">
        <f>INDEX('VLU costs'!$D$231:$BB$248, MATCH($B119, 'VLU costs'!$B$231:$B$248,0), MATCH(AE$104, 'VLU costs'!$D$230:$BB$230,0))
+ INDEX('Mixed costs'!$D$223:$BB$240, MATCH($B119, 'Mixed costs'!$B$223:$B$240,0), MATCH(AE$104, 'Mixed costs'!$D$222:$BB$222,0))
+INDEX('Arterial costs'!$D$223:$BB$240, MATCH($B119, 'Arterial costs'!$B$223:$B$240,0), MATCH(AE$104, 'Arterial costs'!$D$222:$BB$222,0))</f>
        <v>22272.588761451203</v>
      </c>
      <c r="AF119" s="742">
        <f>INDEX('VLU costs'!$D$231:$BB$248, MATCH($B119, 'VLU costs'!$B$231:$B$248,0), MATCH(AF$104, 'VLU costs'!$D$230:$BB$230,0))
+ INDEX('Mixed costs'!$D$223:$BB$240, MATCH($B119, 'Mixed costs'!$B$223:$B$240,0), MATCH(AF$104, 'Mixed costs'!$D$222:$BB$222,0))
+INDEX('Arterial costs'!$D$223:$BB$240, MATCH($B119, 'Arterial costs'!$B$223:$B$240,0), MATCH(AF$104, 'Arterial costs'!$D$222:$BB$222,0))</f>
        <v>22941.106681194688</v>
      </c>
      <c r="AG119" s="742">
        <f>INDEX('VLU costs'!$D$231:$BB$248, MATCH($B119, 'VLU costs'!$B$231:$B$248,0), MATCH(AG$104, 'VLU costs'!$D$230:$BB$230,0))
+ INDEX('Mixed costs'!$D$223:$BB$240, MATCH($B119, 'Mixed costs'!$B$223:$B$240,0), MATCH(AG$104, 'Mixed costs'!$D$222:$BB$222,0))
+INDEX('Arterial costs'!$D$223:$BB$240, MATCH($B119, 'Arterial costs'!$B$223:$B$240,0), MATCH(AG$104, 'Arterial costs'!$D$222:$BB$222,0))</f>
        <v>23620.231057610628</v>
      </c>
      <c r="AH119" s="742">
        <f>INDEX('VLU costs'!$D$231:$BB$248, MATCH($B119, 'VLU costs'!$B$231:$B$248,0), MATCH(AH$104, 'VLU costs'!$D$230:$BB$230,0))
+ INDEX('Mixed costs'!$D$223:$BB$240, MATCH($B119, 'Mixed costs'!$B$223:$B$240,0), MATCH(AH$104, 'Mixed costs'!$D$222:$BB$222,0))
+INDEX('Arterial costs'!$D$223:$BB$240, MATCH($B119, 'Arterial costs'!$B$223:$B$240,0), MATCH(AH$104, 'Arterial costs'!$D$222:$BB$222,0))</f>
        <v>24310.281694923699</v>
      </c>
      <c r="AI119" s="742">
        <f>INDEX('VLU costs'!$D$231:$BB$248, MATCH($B119, 'VLU costs'!$B$231:$B$248,0), MATCH(AI$104, 'VLU costs'!$D$230:$BB$230,0))
+ INDEX('Mixed costs'!$D$223:$BB$240, MATCH($B119, 'Mixed costs'!$B$223:$B$240,0), MATCH(AI$104, 'Mixed costs'!$D$222:$BB$222,0))
+INDEX('Arterial costs'!$D$223:$BB$240, MATCH($B119, 'Arterial costs'!$B$223:$B$240,0), MATCH(AI$104, 'Arterial costs'!$D$222:$BB$222,0))</f>
        <v>25012.077282045604</v>
      </c>
      <c r="AJ119" s="742">
        <f>INDEX('VLU costs'!$D$231:$BB$248, MATCH($B119, 'VLU costs'!$B$231:$B$248,0), MATCH(AJ$104, 'VLU costs'!$D$230:$BB$230,0))
+ INDEX('Mixed costs'!$D$223:$BB$240, MATCH($B119, 'Mixed costs'!$B$223:$B$240,0), MATCH(AJ$104, 'Mixed costs'!$D$222:$BB$222,0))
+INDEX('Arterial costs'!$D$223:$BB$240, MATCH($B119, 'Arterial costs'!$B$223:$B$240,0), MATCH(AJ$104, 'Arterial costs'!$D$222:$BB$222,0))</f>
        <v>25723.815603433053</v>
      </c>
      <c r="AK119" s="742">
        <f>INDEX('VLU costs'!$D$231:$BB$248, MATCH($B119, 'VLU costs'!$B$231:$B$248,0), MATCH(AK$104, 'VLU costs'!$D$230:$BB$230,0))
+ INDEX('Mixed costs'!$D$223:$BB$240, MATCH($B119, 'Mixed costs'!$B$223:$B$240,0), MATCH(AK$104, 'Mixed costs'!$D$222:$BB$222,0))
+INDEX('Arterial costs'!$D$223:$BB$240, MATCH($B119, 'Arterial costs'!$B$223:$B$240,0), MATCH(AK$104, 'Arterial costs'!$D$222:$BB$222,0))</f>
        <v>26443.720047404033</v>
      </c>
      <c r="AL119" s="742">
        <f>INDEX('VLU costs'!$D$231:$BB$248, MATCH($B119, 'VLU costs'!$B$231:$B$248,0), MATCH(AL$104, 'VLU costs'!$D$230:$BB$230,0))
+ INDEX('Mixed costs'!$D$223:$BB$240, MATCH($B119, 'Mixed costs'!$B$223:$B$240,0), MATCH(AL$104, 'Mixed costs'!$D$222:$BB$222,0))
+INDEX('Arterial costs'!$D$223:$BB$240, MATCH($B119, 'Arterial costs'!$B$223:$B$240,0), MATCH(AL$104, 'Arterial costs'!$D$222:$BB$222,0))</f>
        <v>27170.220090640996</v>
      </c>
      <c r="AM119" s="742">
        <f>INDEX('VLU costs'!$D$231:$BB$248, MATCH($B119, 'VLU costs'!$B$231:$B$248,0), MATCH(AM$104, 'VLU costs'!$D$230:$BB$230,0))
+ INDEX('Mixed costs'!$D$223:$BB$240, MATCH($B119, 'Mixed costs'!$B$223:$B$240,0), MATCH(AM$104, 'Mixed costs'!$D$222:$BB$222,0))
+INDEX('Arterial costs'!$D$223:$BB$240, MATCH($B119, 'Arterial costs'!$B$223:$B$240,0), MATCH(AM$104, 'Arterial costs'!$D$222:$BB$222,0))</f>
        <v>27903.137516241179</v>
      </c>
      <c r="AN119" s="742">
        <f>INDEX('VLU costs'!$D$231:$BB$248, MATCH($B119, 'VLU costs'!$B$231:$B$248,0), MATCH(AN$104, 'VLU costs'!$D$230:$BB$230,0))
+ INDEX('Mixed costs'!$D$223:$BB$240, MATCH($B119, 'Mixed costs'!$B$223:$B$240,0), MATCH(AN$104, 'Mixed costs'!$D$222:$BB$222,0))
+INDEX('Arterial costs'!$D$223:$BB$240, MATCH($B119, 'Arterial costs'!$B$223:$B$240,0), MATCH(AN$104, 'Arterial costs'!$D$222:$BB$222,0))</f>
        <v>28642.052437605289</v>
      </c>
      <c r="AO119" s="742">
        <f>INDEX('VLU costs'!$D$231:$BB$248, MATCH($B119, 'VLU costs'!$B$231:$B$248,0), MATCH(AO$104, 'VLU costs'!$D$230:$BB$230,0))
+ INDEX('Mixed costs'!$D$223:$BB$240, MATCH($B119, 'Mixed costs'!$B$223:$B$240,0), MATCH(AO$104, 'Mixed costs'!$D$222:$BB$222,0))
+INDEX('Arterial costs'!$D$223:$BB$240, MATCH($B119, 'Arterial costs'!$B$223:$B$240,0), MATCH(AO$104, 'Arterial costs'!$D$222:$BB$222,0))</f>
        <v>29386.244092065255</v>
      </c>
      <c r="AP119" s="742">
        <f>INDEX('VLU costs'!$D$231:$BB$248, MATCH($B119, 'VLU costs'!$B$231:$B$248,0), MATCH(AP$104, 'VLU costs'!$D$230:$BB$230,0))
+ INDEX('Mixed costs'!$D$223:$BB$240, MATCH($B119, 'Mixed costs'!$B$223:$B$240,0), MATCH(AP$104, 'Mixed costs'!$D$222:$BB$222,0))
+INDEX('Arterial costs'!$D$223:$BB$240, MATCH($B119, 'Arterial costs'!$B$223:$B$240,0), MATCH(AP$104, 'Arterial costs'!$D$222:$BB$222,0))</f>
        <v>30137.436791667893</v>
      </c>
      <c r="AQ119" s="742">
        <f>INDEX('VLU costs'!$D$231:$BB$248, MATCH($B119, 'VLU costs'!$B$231:$B$248,0), MATCH(AQ$104, 'VLU costs'!$D$230:$BB$230,0))
+ INDEX('Mixed costs'!$D$223:$BB$240, MATCH($B119, 'Mixed costs'!$B$223:$B$240,0), MATCH(AQ$104, 'Mixed costs'!$D$222:$BB$222,0))
+INDEX('Arterial costs'!$D$223:$BB$240, MATCH($B119, 'Arterial costs'!$B$223:$B$240,0), MATCH(AQ$104, 'Arterial costs'!$D$222:$BB$222,0))</f>
        <v>30898.10957173675</v>
      </c>
      <c r="AR119" s="742">
        <f>INDEX('VLU costs'!$D$231:$BB$248, MATCH($B119, 'VLU costs'!$B$231:$B$248,0), MATCH(AR$104, 'VLU costs'!$D$230:$BB$230,0))
+ INDEX('Mixed costs'!$D$223:$BB$240, MATCH($B119, 'Mixed costs'!$B$223:$B$240,0), MATCH(AR$104, 'Mixed costs'!$D$222:$BB$222,0))
+INDEX('Arterial costs'!$D$223:$BB$240, MATCH($B119, 'Arterial costs'!$B$223:$B$240,0), MATCH(AR$104, 'Arterial costs'!$D$222:$BB$222,0))</f>
        <v>31670.510644580012</v>
      </c>
      <c r="AS119" s="742">
        <f>INDEX('VLU costs'!$D$231:$BB$248, MATCH($B119, 'VLU costs'!$B$231:$B$248,0), MATCH(AS$104, 'VLU costs'!$D$230:$BB$230,0))
+ INDEX('Mixed costs'!$D$223:$BB$240, MATCH($B119, 'Mixed costs'!$B$223:$B$240,0), MATCH(AS$104, 'Mixed costs'!$D$222:$BB$222,0))
+INDEX('Arterial costs'!$D$223:$BB$240, MATCH($B119, 'Arterial costs'!$B$223:$B$240,0), MATCH(AS$104, 'Arterial costs'!$D$222:$BB$222,0))</f>
        <v>32441.973655613074</v>
      </c>
      <c r="AU119" s="804" t="s">
        <v>102</v>
      </c>
    </row>
    <row r="120" spans="1:47" s="73" customFormat="1">
      <c r="B120" s="801" t="s">
        <v>2831</v>
      </c>
      <c r="C120" s="742">
        <f>INDEX('VLU costs'!$D$231:$BB$248, MATCH($B120, 'VLU costs'!$B$231:$B$248,0), MATCH(C$104, 'VLU costs'!$D$230:$BB$230,0))
+ INDEX('Mixed costs'!$D$223:$BB$240, MATCH($B120, 'Mixed costs'!$B$223:$B$240,0), MATCH(C$104, 'Mixed costs'!$D$222:$BB$222,0))
+INDEX('Arterial costs'!$D$223:$BB$240, MATCH($B120, 'Arterial costs'!$B$223:$B$240,0), MATCH(C$104, 'Arterial costs'!$D$222:$BB$222,0))</f>
        <v>287416.85360564466</v>
      </c>
      <c r="D120" s="742">
        <f>INDEX('VLU costs'!$D$231:$BB$248, MATCH($B120, 'VLU costs'!$B$231:$B$248,0), MATCH(D$104, 'VLU costs'!$D$230:$BB$230,0))
+ INDEX('Mixed costs'!$D$223:$BB$240, MATCH($B120, 'Mixed costs'!$B$223:$B$240,0), MATCH(D$104, 'Mixed costs'!$D$222:$BB$222,0))
+INDEX('Arterial costs'!$D$223:$BB$240, MATCH($B120, 'Arterial costs'!$B$223:$B$240,0), MATCH(D$104, 'Arterial costs'!$D$222:$BB$222,0))</f>
        <v>307660.7703565206</v>
      </c>
      <c r="E120" s="742">
        <f>INDEX('VLU costs'!$D$231:$BB$248, MATCH($B120, 'VLU costs'!$B$231:$B$248,0), MATCH(E$104, 'VLU costs'!$D$230:$BB$230,0))
+ INDEX('Mixed costs'!$D$223:$BB$240, MATCH($B120, 'Mixed costs'!$B$223:$B$240,0), MATCH(E$104, 'Mixed costs'!$D$222:$BB$222,0))
+INDEX('Arterial costs'!$D$223:$BB$240, MATCH($B120, 'Arterial costs'!$B$223:$B$240,0), MATCH(E$104, 'Arterial costs'!$D$222:$BB$222,0))</f>
        <v>327431.65391659143</v>
      </c>
      <c r="F120" s="742">
        <f>INDEX('VLU costs'!$D$231:$BB$248, MATCH($B120, 'VLU costs'!$B$231:$B$248,0), MATCH(F$104, 'VLU costs'!$D$230:$BB$230,0))
+ INDEX('Mixed costs'!$D$223:$BB$240, MATCH($B120, 'Mixed costs'!$B$223:$B$240,0), MATCH(F$104, 'Mixed costs'!$D$222:$BB$222,0))
+INDEX('Arterial costs'!$D$223:$BB$240, MATCH($B120, 'Arterial costs'!$B$223:$B$240,0), MATCH(F$104, 'Arterial costs'!$D$222:$BB$222,0))</f>
        <v>347098.15641360992</v>
      </c>
      <c r="G120" s="742">
        <f>INDEX('VLU costs'!$D$231:$BB$248, MATCH($B120, 'VLU costs'!$B$231:$B$248,0), MATCH(G$104, 'VLU costs'!$D$230:$BB$230,0))
+ INDEX('Mixed costs'!$D$223:$BB$240, MATCH($B120, 'Mixed costs'!$B$223:$B$240,0), MATCH(G$104, 'Mixed costs'!$D$222:$BB$222,0))
+INDEX('Arterial costs'!$D$223:$BB$240, MATCH($B120, 'Arterial costs'!$B$223:$B$240,0), MATCH(G$104, 'Arterial costs'!$D$222:$BB$222,0))</f>
        <v>367032.00967767317</v>
      </c>
      <c r="H120" s="742">
        <f>INDEX('VLU costs'!$D$231:$BB$248, MATCH($B120, 'VLU costs'!$B$231:$B$248,0), MATCH(H$104, 'VLU costs'!$D$230:$BB$230,0))
+ INDEX('Mixed costs'!$D$223:$BB$240, MATCH($B120, 'Mixed costs'!$B$223:$B$240,0), MATCH(H$104, 'Mixed costs'!$D$222:$BB$222,0))
+INDEX('Arterial costs'!$D$223:$BB$240, MATCH($B120, 'Arterial costs'!$B$223:$B$240,0), MATCH(H$104, 'Arterial costs'!$D$222:$BB$222,0))</f>
        <v>387457.57927890157</v>
      </c>
      <c r="I120" s="742">
        <f>INDEX('VLU costs'!$D$231:$BB$248, MATCH($B120, 'VLU costs'!$B$231:$B$248,0), MATCH(I$104, 'VLU costs'!$D$230:$BB$230,0))
+ INDEX('Mixed costs'!$D$223:$BB$240, MATCH($B120, 'Mixed costs'!$B$223:$B$240,0), MATCH(I$104, 'Mixed costs'!$D$222:$BB$222,0))
+INDEX('Arterial costs'!$D$223:$BB$240, MATCH($B120, 'Arterial costs'!$B$223:$B$240,0), MATCH(I$104, 'Arterial costs'!$D$222:$BB$222,0))</f>
        <v>408391.21253639966</v>
      </c>
      <c r="J120" s="742">
        <f>INDEX('VLU costs'!$D$231:$BB$248, MATCH($B120, 'VLU costs'!$B$231:$B$248,0), MATCH(J$104, 'VLU costs'!$D$230:$BB$230,0))
+ INDEX('Mixed costs'!$D$223:$BB$240, MATCH($B120, 'Mixed costs'!$B$223:$B$240,0), MATCH(J$104, 'Mixed costs'!$D$222:$BB$222,0))
+INDEX('Arterial costs'!$D$223:$BB$240, MATCH($B120, 'Arterial costs'!$B$223:$B$240,0), MATCH(J$104, 'Arterial costs'!$D$222:$BB$222,0))</f>
        <v>429956.38760319806</v>
      </c>
      <c r="K120" s="742">
        <f>INDEX('VLU costs'!$D$231:$BB$248, MATCH($B120, 'VLU costs'!$B$231:$B$248,0), MATCH(K$104, 'VLU costs'!$D$230:$BB$230,0))
+ INDEX('Mixed costs'!$D$223:$BB$240, MATCH($B120, 'Mixed costs'!$B$223:$B$240,0), MATCH(K$104, 'Mixed costs'!$D$222:$BB$222,0))
+INDEX('Arterial costs'!$D$223:$BB$240, MATCH($B120, 'Arterial costs'!$B$223:$B$240,0), MATCH(K$104, 'Arterial costs'!$D$222:$BB$222,0))</f>
        <v>452873.88791991153</v>
      </c>
      <c r="L120" s="742">
        <f>INDEX('VLU costs'!$D$231:$BB$248, MATCH($B120, 'VLU costs'!$B$231:$B$248,0), MATCH(L$104, 'VLU costs'!$D$230:$BB$230,0))
+ INDEX('Mixed costs'!$D$223:$BB$240, MATCH($B120, 'Mixed costs'!$B$223:$B$240,0), MATCH(L$104, 'Mixed costs'!$D$222:$BB$222,0))
+INDEX('Arterial costs'!$D$223:$BB$240, MATCH($B120, 'Arterial costs'!$B$223:$B$240,0), MATCH(L$104, 'Arterial costs'!$D$222:$BB$222,0))</f>
        <v>476752.88313669508</v>
      </c>
      <c r="M120" s="742">
        <f>INDEX('VLU costs'!$D$231:$BB$248, MATCH($B120, 'VLU costs'!$B$231:$B$248,0), MATCH(M$104, 'VLU costs'!$D$230:$BB$230,0))
+ INDEX('Mixed costs'!$D$223:$BB$240, MATCH($B120, 'Mixed costs'!$B$223:$B$240,0), MATCH(M$104, 'Mixed costs'!$D$222:$BB$222,0))
+INDEX('Arterial costs'!$D$223:$BB$240, MATCH($B120, 'Arterial costs'!$B$223:$B$240,0), MATCH(M$104, 'Arterial costs'!$D$222:$BB$222,0))</f>
        <v>501405.42862881941</v>
      </c>
      <c r="N120" s="742">
        <f>INDEX('VLU costs'!$D$231:$BB$248, MATCH($B120, 'VLU costs'!$B$231:$B$248,0), MATCH(N$104, 'VLU costs'!$D$230:$BB$230,0))
+ INDEX('Mixed costs'!$D$223:$BB$240, MATCH($B120, 'Mixed costs'!$B$223:$B$240,0), MATCH(N$104, 'Mixed costs'!$D$222:$BB$222,0))
+INDEX('Arterial costs'!$D$223:$BB$240, MATCH($B120, 'Arterial costs'!$B$223:$B$240,0), MATCH(N$104, 'Arterial costs'!$D$222:$BB$222,0))</f>
        <v>526382.3209115169</v>
      </c>
      <c r="O120" s="742">
        <f>INDEX('VLU costs'!$D$231:$BB$248, MATCH($B120, 'VLU costs'!$B$231:$B$248,0), MATCH(O$104, 'VLU costs'!$D$230:$BB$230,0))
+ INDEX('Mixed costs'!$D$223:$BB$240, MATCH($B120, 'Mixed costs'!$B$223:$B$240,0), MATCH(O$104, 'Mixed costs'!$D$222:$BB$222,0))
+INDEX('Arterial costs'!$D$223:$BB$240, MATCH($B120, 'Arterial costs'!$B$223:$B$240,0), MATCH(O$104, 'Arterial costs'!$D$222:$BB$222,0))</f>
        <v>551983.00679871754</v>
      </c>
      <c r="P120" s="742">
        <f>INDEX('VLU costs'!$D$231:$BB$248, MATCH($B120, 'VLU costs'!$B$231:$B$248,0), MATCH(P$104, 'VLU costs'!$D$230:$BB$230,0))
+ INDEX('Mixed costs'!$D$223:$BB$240, MATCH($B120, 'Mixed costs'!$B$223:$B$240,0), MATCH(P$104, 'Mixed costs'!$D$222:$BB$222,0))
+INDEX('Arterial costs'!$D$223:$BB$240, MATCH($B120, 'Arterial costs'!$B$223:$B$240,0), MATCH(P$104, 'Arterial costs'!$D$222:$BB$222,0))</f>
        <v>578356.86480486591</v>
      </c>
      <c r="Q120" s="742">
        <f>INDEX('VLU costs'!$D$231:$BB$248, MATCH($B120, 'VLU costs'!$B$231:$B$248,0), MATCH(Q$104, 'VLU costs'!$D$230:$BB$230,0))
+ INDEX('Mixed costs'!$D$223:$BB$240, MATCH($B120, 'Mixed costs'!$B$223:$B$240,0), MATCH(Q$104, 'Mixed costs'!$D$222:$BB$222,0))
+INDEX('Arterial costs'!$D$223:$BB$240, MATCH($B120, 'Arterial costs'!$B$223:$B$240,0), MATCH(Q$104, 'Arterial costs'!$D$222:$BB$222,0))</f>
        <v>605686.5295951583</v>
      </c>
      <c r="R120" s="742">
        <f>INDEX('VLU costs'!$D$231:$BB$248, MATCH($B120, 'VLU costs'!$B$231:$B$248,0), MATCH(R$104, 'VLU costs'!$D$230:$BB$230,0))
+ INDEX('Mixed costs'!$D$223:$BB$240, MATCH($B120, 'Mixed costs'!$B$223:$B$240,0), MATCH(R$104, 'Mixed costs'!$D$222:$BB$222,0))
+INDEX('Arterial costs'!$D$223:$BB$240, MATCH($B120, 'Arterial costs'!$B$223:$B$240,0), MATCH(R$104, 'Arterial costs'!$D$222:$BB$222,0))</f>
        <v>634024.46557488246</v>
      </c>
      <c r="S120" s="742">
        <f>INDEX('VLU costs'!$D$231:$BB$248, MATCH($B120, 'VLU costs'!$B$231:$B$248,0), MATCH(S$104, 'VLU costs'!$D$230:$BB$230,0))
+ INDEX('Mixed costs'!$D$223:$BB$240, MATCH($B120, 'Mixed costs'!$B$223:$B$240,0), MATCH(S$104, 'Mixed costs'!$D$222:$BB$222,0))
+INDEX('Arterial costs'!$D$223:$BB$240, MATCH($B120, 'Arterial costs'!$B$223:$B$240,0), MATCH(S$104, 'Arterial costs'!$D$222:$BB$222,0))</f>
        <v>663266.52524459246</v>
      </c>
      <c r="T120" s="742">
        <f>INDEX('VLU costs'!$D$231:$BB$248, MATCH($B120, 'VLU costs'!$B$231:$B$248,0), MATCH(T$104, 'VLU costs'!$D$230:$BB$230,0))
+ INDEX('Mixed costs'!$D$223:$BB$240, MATCH($B120, 'Mixed costs'!$B$223:$B$240,0), MATCH(T$104, 'Mixed costs'!$D$222:$BB$222,0))
+INDEX('Arterial costs'!$D$223:$BB$240, MATCH($B120, 'Arterial costs'!$B$223:$B$240,0), MATCH(T$104, 'Arterial costs'!$D$222:$BB$222,0))</f>
        <v>693458.51707410684</v>
      </c>
      <c r="U120" s="742">
        <f>INDEX('VLU costs'!$D$231:$BB$248, MATCH($B120, 'VLU costs'!$B$231:$B$248,0), MATCH(U$104, 'VLU costs'!$D$230:$BB$230,0))
+ INDEX('Mixed costs'!$D$223:$BB$240, MATCH($B120, 'Mixed costs'!$B$223:$B$240,0), MATCH(U$104, 'Mixed costs'!$D$222:$BB$222,0))
+INDEX('Arterial costs'!$D$223:$BB$240, MATCH($B120, 'Arterial costs'!$B$223:$B$240,0), MATCH(U$104, 'Arterial costs'!$D$222:$BB$222,0))</f>
        <v>724963.35730802582</v>
      </c>
      <c r="V120" s="742">
        <f>INDEX('VLU costs'!$D$231:$BB$248, MATCH($B120, 'VLU costs'!$B$231:$B$248,0), MATCH(V$104, 'VLU costs'!$D$230:$BB$230,0))
+ INDEX('Mixed costs'!$D$223:$BB$240, MATCH($B120, 'Mixed costs'!$B$223:$B$240,0), MATCH(V$104, 'Mixed costs'!$D$222:$BB$222,0))
+INDEX('Arterial costs'!$D$223:$BB$240, MATCH($B120, 'Arterial costs'!$B$223:$B$240,0), MATCH(V$104, 'Arterial costs'!$D$222:$BB$222,0))</f>
        <v>757540.33552668744</v>
      </c>
      <c r="W120" s="742">
        <f>INDEX('VLU costs'!$D$231:$BB$248, MATCH($B120, 'VLU costs'!$B$231:$B$248,0), MATCH(W$104, 'VLU costs'!$D$230:$BB$230,0))
+ INDEX('Mixed costs'!$D$223:$BB$240, MATCH($B120, 'Mixed costs'!$B$223:$B$240,0), MATCH(W$104, 'Mixed costs'!$D$222:$BB$222,0))
+INDEX('Arterial costs'!$D$223:$BB$240, MATCH($B120, 'Arterial costs'!$B$223:$B$240,0), MATCH(W$104, 'Arterial costs'!$D$222:$BB$222,0))</f>
        <v>791136.98063370166</v>
      </c>
      <c r="X120" s="742">
        <f>INDEX('VLU costs'!$D$231:$BB$248, MATCH($B120, 'VLU costs'!$B$231:$B$248,0), MATCH(X$104, 'VLU costs'!$D$230:$BB$230,0))
+ INDEX('Mixed costs'!$D$223:$BB$240, MATCH($B120, 'Mixed costs'!$B$223:$B$240,0), MATCH(X$104, 'Mixed costs'!$D$222:$BB$222,0))
+INDEX('Arterial costs'!$D$223:$BB$240, MATCH($B120, 'Arterial costs'!$B$223:$B$240,0), MATCH(X$104, 'Arterial costs'!$D$222:$BB$222,0))</f>
        <v>825766.4119122267</v>
      </c>
      <c r="Y120" s="742">
        <f>INDEX('VLU costs'!$D$231:$BB$248, MATCH($B120, 'VLU costs'!$B$231:$B$248,0), MATCH(Y$104, 'VLU costs'!$D$230:$BB$230,0))
+ INDEX('Mixed costs'!$D$223:$BB$240, MATCH($B120, 'Mixed costs'!$B$223:$B$240,0), MATCH(Y$104, 'Mixed costs'!$D$222:$BB$222,0))
+INDEX('Arterial costs'!$D$223:$BB$240, MATCH($B120, 'Arterial costs'!$B$223:$B$240,0), MATCH(Y$104, 'Arterial costs'!$D$222:$BB$222,0))</f>
        <v>861602.99474993406</v>
      </c>
      <c r="Z120" s="742">
        <f>INDEX('VLU costs'!$D$231:$BB$248, MATCH($B120, 'VLU costs'!$B$231:$B$248,0), MATCH(Z$104, 'VLU costs'!$D$230:$BB$230,0))
+ INDEX('Mixed costs'!$D$223:$BB$240, MATCH($B120, 'Mixed costs'!$B$223:$B$240,0), MATCH(Z$104, 'Mixed costs'!$D$222:$BB$222,0))
+INDEX('Arterial costs'!$D$223:$BB$240, MATCH($B120, 'Arterial costs'!$B$223:$B$240,0), MATCH(Z$104, 'Arterial costs'!$D$222:$BB$222,0))</f>
        <v>898648.95383965713</v>
      </c>
      <c r="AA120" s="742">
        <f>INDEX('VLU costs'!$D$231:$BB$248, MATCH($B120, 'VLU costs'!$B$231:$B$248,0), MATCH(AA$104, 'VLU costs'!$D$230:$BB$230,0))
+ INDEX('Mixed costs'!$D$223:$BB$240, MATCH($B120, 'Mixed costs'!$B$223:$B$240,0), MATCH(AA$104, 'Mixed costs'!$D$222:$BB$222,0))
+INDEX('Arterial costs'!$D$223:$BB$240, MATCH($B120, 'Arterial costs'!$B$223:$B$240,0), MATCH(AA$104, 'Arterial costs'!$D$222:$BB$222,0))</f>
        <v>936875.42887810711</v>
      </c>
      <c r="AB120" s="742">
        <f>INDEX('VLU costs'!$D$231:$BB$248, MATCH($B120, 'VLU costs'!$B$231:$B$248,0), MATCH(AB$104, 'VLU costs'!$D$230:$BB$230,0))
+ INDEX('Mixed costs'!$D$223:$BB$240, MATCH($B120, 'Mixed costs'!$B$223:$B$240,0), MATCH(AB$104, 'Mixed costs'!$D$222:$BB$222,0))
+INDEX('Arterial costs'!$D$223:$BB$240, MATCH($B120, 'Arterial costs'!$B$223:$B$240,0), MATCH(AB$104, 'Arterial costs'!$D$222:$BB$222,0))</f>
        <v>976263.18868714897</v>
      </c>
      <c r="AC120" s="742">
        <f>INDEX('VLU costs'!$D$231:$BB$248, MATCH($B120, 'VLU costs'!$B$231:$B$248,0), MATCH(AC$104, 'VLU costs'!$D$230:$BB$230,0))
+ INDEX('Mixed costs'!$D$223:$BB$240, MATCH($B120, 'Mixed costs'!$B$223:$B$240,0), MATCH(AC$104, 'Mixed costs'!$D$222:$BB$222,0))
+INDEX('Arterial costs'!$D$223:$BB$240, MATCH($B120, 'Arterial costs'!$B$223:$B$240,0), MATCH(AC$104, 'Arterial costs'!$D$222:$BB$222,0))</f>
        <v>1016788.9814590676</v>
      </c>
      <c r="AD120" s="742">
        <f>INDEX('VLU costs'!$D$231:$BB$248, MATCH($B120, 'VLU costs'!$B$231:$B$248,0), MATCH(AD$104, 'VLU costs'!$D$230:$BB$230,0))
+ INDEX('Mixed costs'!$D$223:$BB$240, MATCH($B120, 'Mixed costs'!$B$223:$B$240,0), MATCH(AD$104, 'Mixed costs'!$D$222:$BB$222,0))
+INDEX('Arterial costs'!$D$223:$BB$240, MATCH($B120, 'Arterial costs'!$B$223:$B$240,0), MATCH(AD$104, 'Arterial costs'!$D$222:$BB$222,0))</f>
        <v>1058439.2282137629</v>
      </c>
      <c r="AE120" s="742">
        <f>INDEX('VLU costs'!$D$231:$BB$248, MATCH($B120, 'VLU costs'!$B$231:$B$248,0), MATCH(AE$104, 'VLU costs'!$D$230:$BB$230,0))
+ INDEX('Mixed costs'!$D$223:$BB$240, MATCH($B120, 'Mixed costs'!$B$223:$B$240,0), MATCH(AE$104, 'Mixed costs'!$D$222:$BB$222,0))
+INDEX('Arterial costs'!$D$223:$BB$240, MATCH($B120, 'Arterial costs'!$B$223:$B$240,0), MATCH(AE$104, 'Arterial costs'!$D$222:$BB$222,0))</f>
        <v>1101200.4675781291</v>
      </c>
      <c r="AF120" s="742">
        <f>INDEX('VLU costs'!$D$231:$BB$248, MATCH($B120, 'VLU costs'!$B$231:$B$248,0), MATCH(AF$104, 'VLU costs'!$D$230:$BB$230,0))
+ INDEX('Mixed costs'!$D$223:$BB$240, MATCH($B120, 'Mixed costs'!$B$223:$B$240,0), MATCH(AF$104, 'Mixed costs'!$D$222:$BB$222,0))
+INDEX('Arterial costs'!$D$223:$BB$240, MATCH($B120, 'Arterial costs'!$B$223:$B$240,0), MATCH(AF$104, 'Arterial costs'!$D$222:$BB$222,0))</f>
        <v>1145124.0807949314</v>
      </c>
      <c r="AG120" s="742">
        <f>INDEX('VLU costs'!$D$231:$BB$248, MATCH($B120, 'VLU costs'!$B$231:$B$248,0), MATCH(AG$104, 'VLU costs'!$D$230:$BB$230,0))
+ INDEX('Mixed costs'!$D$223:$BB$240, MATCH($B120, 'Mixed costs'!$B$223:$B$240,0), MATCH(AG$104, 'Mixed costs'!$D$222:$BB$222,0))
+INDEX('Arterial costs'!$D$223:$BB$240, MATCH($B120, 'Arterial costs'!$B$223:$B$240,0), MATCH(AG$104, 'Arterial costs'!$D$222:$BB$222,0))</f>
        <v>1190396.7406537049</v>
      </c>
      <c r="AH120" s="742">
        <f>INDEX('VLU costs'!$D$231:$BB$248, MATCH($B120, 'VLU costs'!$B$231:$B$248,0), MATCH(AH$104, 'VLU costs'!$D$230:$BB$230,0))
+ INDEX('Mixed costs'!$D$223:$BB$240, MATCH($B120, 'Mixed costs'!$B$223:$B$240,0), MATCH(AH$104, 'Mixed costs'!$D$222:$BB$222,0))
+INDEX('Arterial costs'!$D$223:$BB$240, MATCH($B120, 'Arterial costs'!$B$223:$B$240,0), MATCH(AH$104, 'Arterial costs'!$D$222:$BB$222,0))</f>
        <v>1237069.6421499129</v>
      </c>
      <c r="AI120" s="742">
        <f>INDEX('VLU costs'!$D$231:$BB$248, MATCH($B120, 'VLU costs'!$B$231:$B$248,0), MATCH(AI$104, 'VLU costs'!$D$230:$BB$230,0))
+ INDEX('Mixed costs'!$D$223:$BB$240, MATCH($B120, 'Mixed costs'!$B$223:$B$240,0), MATCH(AI$104, 'Mixed costs'!$D$222:$BB$222,0))
+INDEX('Arterial costs'!$D$223:$BB$240, MATCH($B120, 'Arterial costs'!$B$223:$B$240,0), MATCH(AI$104, 'Arterial costs'!$D$222:$BB$222,0))</f>
        <v>1285241.9943296718</v>
      </c>
      <c r="AJ120" s="742">
        <f>INDEX('VLU costs'!$D$231:$BB$248, MATCH($B120, 'VLU costs'!$B$231:$B$248,0), MATCH(AJ$104, 'VLU costs'!$D$230:$BB$230,0))
+ INDEX('Mixed costs'!$D$223:$BB$240, MATCH($B120, 'Mixed costs'!$B$223:$B$240,0), MATCH(AJ$104, 'Mixed costs'!$D$222:$BB$222,0))
+INDEX('Arterial costs'!$D$223:$BB$240, MATCH($B120, 'Arterial costs'!$B$223:$B$240,0), MATCH(AJ$104, 'Arterial costs'!$D$222:$BB$222,0))</f>
        <v>1334756.1879326794</v>
      </c>
      <c r="AK120" s="742">
        <f>INDEX('VLU costs'!$D$231:$BB$248, MATCH($B120, 'VLU costs'!$B$231:$B$248,0), MATCH(AK$104, 'VLU costs'!$D$230:$BB$230,0))
+ INDEX('Mixed costs'!$D$223:$BB$240, MATCH($B120, 'Mixed costs'!$B$223:$B$240,0), MATCH(AK$104, 'Mixed costs'!$D$222:$BB$222,0))
+INDEX('Arterial costs'!$D$223:$BB$240, MATCH($B120, 'Arterial costs'!$B$223:$B$240,0), MATCH(AK$104, 'Arterial costs'!$D$222:$BB$222,0))</f>
        <v>1385486.2722321849</v>
      </c>
      <c r="AL120" s="742">
        <f>INDEX('VLU costs'!$D$231:$BB$248, MATCH($B120, 'VLU costs'!$B$231:$B$248,0), MATCH(AL$104, 'VLU costs'!$D$230:$BB$230,0))
+ INDEX('Mixed costs'!$D$223:$BB$240, MATCH($B120, 'Mixed costs'!$B$223:$B$240,0), MATCH(AL$104, 'Mixed costs'!$D$222:$BB$222,0))
+INDEX('Arterial costs'!$D$223:$BB$240, MATCH($B120, 'Arterial costs'!$B$223:$B$240,0), MATCH(AL$104, 'Arterial costs'!$D$222:$BB$222,0))</f>
        <v>1437343.5139330267</v>
      </c>
      <c r="AM120" s="742">
        <f>INDEX('VLU costs'!$D$231:$BB$248, MATCH($B120, 'VLU costs'!$B$231:$B$248,0), MATCH(AM$104, 'VLU costs'!$D$230:$BB$230,0))
+ INDEX('Mixed costs'!$D$223:$BB$240, MATCH($B120, 'Mixed costs'!$B$223:$B$240,0), MATCH(AM$104, 'Mixed costs'!$D$222:$BB$222,0))
+INDEX('Arterial costs'!$D$223:$BB$240, MATCH($B120, 'Arterial costs'!$B$223:$B$240,0), MATCH(AM$104, 'Arterial costs'!$D$222:$BB$222,0))</f>
        <v>1490403.4227921613</v>
      </c>
      <c r="AN120" s="742">
        <f>INDEX('VLU costs'!$D$231:$BB$248, MATCH($B120, 'VLU costs'!$B$231:$B$248,0), MATCH(AN$104, 'VLU costs'!$D$230:$BB$230,0))
+ INDEX('Mixed costs'!$D$223:$BB$240, MATCH($B120, 'Mixed costs'!$B$223:$B$240,0), MATCH(AN$104, 'Mixed costs'!$D$222:$BB$222,0))
+INDEX('Arterial costs'!$D$223:$BB$240, MATCH($B120, 'Arterial costs'!$B$223:$B$240,0), MATCH(AN$104, 'Arterial costs'!$D$222:$BB$222,0))</f>
        <v>1544693.84777943</v>
      </c>
      <c r="AO120" s="742">
        <f>INDEX('VLU costs'!$D$231:$BB$248, MATCH($B120, 'VLU costs'!$B$231:$B$248,0), MATCH(AO$104, 'VLU costs'!$D$230:$BB$230,0))
+ INDEX('Mixed costs'!$D$223:$BB$240, MATCH($B120, 'Mixed costs'!$B$223:$B$240,0), MATCH(AO$104, 'Mixed costs'!$D$222:$BB$222,0))
+INDEX('Arterial costs'!$D$223:$BB$240, MATCH($B120, 'Arterial costs'!$B$223:$B$240,0), MATCH(AO$104, 'Arterial costs'!$D$222:$BB$222,0))</f>
        <v>1600199.7642142689</v>
      </c>
      <c r="AP120" s="742">
        <f>INDEX('VLU costs'!$D$231:$BB$248, MATCH($B120, 'VLU costs'!$B$231:$B$248,0), MATCH(AP$104, 'VLU costs'!$D$230:$BB$230,0))
+ INDEX('Mixed costs'!$D$223:$BB$240, MATCH($B120, 'Mixed costs'!$B$223:$B$240,0), MATCH(AP$104, 'Mixed costs'!$D$222:$BB$222,0))
+INDEX('Arterial costs'!$D$223:$BB$240, MATCH($B120, 'Arterial costs'!$B$223:$B$240,0), MATCH(AP$104, 'Arterial costs'!$D$222:$BB$222,0))</f>
        <v>1657177.7824124093</v>
      </c>
      <c r="AQ120" s="742">
        <f>INDEX('VLU costs'!$D$231:$BB$248, MATCH($B120, 'VLU costs'!$B$231:$B$248,0), MATCH(AQ$104, 'VLU costs'!$D$230:$BB$230,0))
+ INDEX('Mixed costs'!$D$223:$BB$240, MATCH($B120, 'Mixed costs'!$B$223:$B$240,0), MATCH(AQ$104, 'Mixed costs'!$D$222:$BB$222,0))
+INDEX('Arterial costs'!$D$223:$BB$240, MATCH($B120, 'Arterial costs'!$B$223:$B$240,0), MATCH(AQ$104, 'Arterial costs'!$D$222:$BB$222,0))</f>
        <v>1715935.6551932399</v>
      </c>
      <c r="AR120" s="742">
        <f>INDEX('VLU costs'!$D$231:$BB$248, MATCH($B120, 'VLU costs'!$B$231:$B$248,0), MATCH(AR$104, 'VLU costs'!$D$230:$BB$230,0))
+ INDEX('Mixed costs'!$D$223:$BB$240, MATCH($B120, 'Mixed costs'!$B$223:$B$240,0), MATCH(AR$104, 'Mixed costs'!$D$222:$BB$222,0))
+INDEX('Arterial costs'!$D$223:$BB$240, MATCH($B120, 'Arterial costs'!$B$223:$B$240,0), MATCH(AR$104, 'Arterial costs'!$D$222:$BB$222,0))</f>
        <v>1776749.4331941102</v>
      </c>
      <c r="AS120" s="742">
        <f>INDEX('VLU costs'!$D$231:$BB$248, MATCH($B120, 'VLU costs'!$B$231:$B$248,0), MATCH(AS$104, 'VLU costs'!$D$230:$BB$230,0))
+ INDEX('Mixed costs'!$D$223:$BB$240, MATCH($B120, 'Mixed costs'!$B$223:$B$240,0), MATCH(AS$104, 'Mixed costs'!$D$222:$BB$222,0))
+INDEX('Arterial costs'!$D$223:$BB$240, MATCH($B120, 'Arterial costs'!$B$223:$B$240,0), MATCH(AS$104, 'Arterial costs'!$D$222:$BB$222,0))</f>
        <v>1838173.3047379656</v>
      </c>
      <c r="AU120" s="804" t="s">
        <v>2831</v>
      </c>
    </row>
    <row r="121" spans="1:47" s="73" customFormat="1">
      <c r="B121" s="801" t="s">
        <v>2832</v>
      </c>
      <c r="C121" s="742">
        <f>INDEX('VLU costs'!$D$231:$BB$248, MATCH($B121, 'VLU costs'!$B$231:$B$248,0), MATCH(C$104, 'VLU costs'!$D$230:$BB$230,0))
+ INDEX('Mixed costs'!$D$223:$BB$240, MATCH($B121, 'Mixed costs'!$B$223:$B$240,0), MATCH(C$104, 'Mixed costs'!$D$222:$BB$222,0))
+INDEX('Arterial costs'!$D$223:$BB$240, MATCH($B121, 'Arterial costs'!$B$223:$B$240,0), MATCH(C$104, 'Arterial costs'!$D$222:$BB$222,0))</f>
        <v>115059.52680700402</v>
      </c>
      <c r="D121" s="742">
        <f>INDEX('VLU costs'!$D$231:$BB$248, MATCH($B121, 'VLU costs'!$B$231:$B$248,0), MATCH(D$104, 'VLU costs'!$D$230:$BB$230,0))
+ INDEX('Mixed costs'!$D$223:$BB$240, MATCH($B121, 'Mixed costs'!$B$223:$B$240,0), MATCH(D$104, 'Mixed costs'!$D$222:$BB$222,0))
+INDEX('Arterial costs'!$D$223:$BB$240, MATCH($B121, 'Arterial costs'!$B$223:$B$240,0), MATCH(D$104, 'Arterial costs'!$D$222:$BB$222,0))</f>
        <v>123160.74572347444</v>
      </c>
      <c r="E121" s="742">
        <f>INDEX('VLU costs'!$D$231:$BB$248, MATCH($B121, 'VLU costs'!$B$231:$B$248,0), MATCH(E$104, 'VLU costs'!$D$230:$BB$230,0))
+ INDEX('Mixed costs'!$D$223:$BB$240, MATCH($B121, 'Mixed costs'!$B$223:$B$240,0), MATCH(E$104, 'Mixed costs'!$D$222:$BB$222,0))
+INDEX('Arterial costs'!$D$223:$BB$240, MATCH($B121, 'Arterial costs'!$B$223:$B$240,0), MATCH(E$104, 'Arterial costs'!$D$222:$BB$222,0))</f>
        <v>131068.95648290426</v>
      </c>
      <c r="F121" s="742">
        <f>INDEX('VLU costs'!$D$231:$BB$248, MATCH($B121, 'VLU costs'!$B$231:$B$248,0), MATCH(F$104, 'VLU costs'!$D$230:$BB$230,0))
+ INDEX('Mixed costs'!$D$223:$BB$240, MATCH($B121, 'Mixed costs'!$B$223:$B$240,0), MATCH(F$104, 'Mixed costs'!$D$222:$BB$222,0))
+INDEX('Arterial costs'!$D$223:$BB$240, MATCH($B121, 'Arterial costs'!$B$223:$B$240,0), MATCH(F$104, 'Arterial costs'!$D$222:$BB$222,0))</f>
        <v>138932.5879929412</v>
      </c>
      <c r="G121" s="742">
        <f>INDEX('VLU costs'!$D$231:$BB$248, MATCH($B121, 'VLU costs'!$B$231:$B$248,0), MATCH(G$104, 'VLU costs'!$D$230:$BB$230,0))
+ INDEX('Mixed costs'!$D$223:$BB$240, MATCH($B121, 'Mixed costs'!$B$223:$B$240,0), MATCH(G$104, 'Mixed costs'!$D$222:$BB$222,0))
+INDEX('Arterial costs'!$D$223:$BB$240, MATCH($B121, 'Arterial costs'!$B$223:$B$240,0), MATCH(G$104, 'Arterial costs'!$D$222:$BB$222,0))</f>
        <v>146901.25069858384</v>
      </c>
      <c r="H121" s="742">
        <f>INDEX('VLU costs'!$D$231:$BB$248, MATCH($B121, 'VLU costs'!$B$231:$B$248,0), MATCH(H$104, 'VLU costs'!$D$230:$BB$230,0))
+ INDEX('Mixed costs'!$D$223:$BB$240, MATCH($B121, 'Mixed costs'!$B$223:$B$240,0), MATCH(H$104, 'Mixed costs'!$D$222:$BB$222,0))
+INDEX('Arterial costs'!$D$223:$BB$240, MATCH($B121, 'Arterial costs'!$B$223:$B$240,0), MATCH(H$104, 'Arterial costs'!$D$222:$BB$222,0))</f>
        <v>155065.17804348489</v>
      </c>
      <c r="I121" s="742">
        <f>INDEX('VLU costs'!$D$231:$BB$248, MATCH($B121, 'VLU costs'!$B$231:$B$248,0), MATCH(I$104, 'VLU costs'!$D$230:$BB$230,0))
+ INDEX('Mixed costs'!$D$223:$BB$240, MATCH($B121, 'Mixed costs'!$B$223:$B$240,0), MATCH(I$104, 'Mixed costs'!$D$222:$BB$222,0))
+INDEX('Arterial costs'!$D$223:$BB$240, MATCH($B121, 'Arterial costs'!$B$223:$B$240,0), MATCH(I$104, 'Arterial costs'!$D$222:$BB$222,0))</f>
        <v>163430.8371348755</v>
      </c>
      <c r="J121" s="742">
        <f>INDEX('VLU costs'!$D$231:$BB$248, MATCH($B121, 'VLU costs'!$B$231:$B$248,0), MATCH(J$104, 'VLU costs'!$D$230:$BB$230,0))
+ INDEX('Mixed costs'!$D$223:$BB$240, MATCH($B121, 'Mixed costs'!$B$223:$B$240,0), MATCH(J$104, 'Mixed costs'!$D$222:$BB$222,0))
+INDEX('Arterial costs'!$D$223:$BB$240, MATCH($B121, 'Arterial costs'!$B$223:$B$240,0), MATCH(J$104, 'Arterial costs'!$D$222:$BB$222,0))</f>
        <v>172047.82440446728</v>
      </c>
      <c r="K121" s="742">
        <f>INDEX('VLU costs'!$D$231:$BB$248, MATCH($B121, 'VLU costs'!$B$231:$B$248,0), MATCH(K$104, 'VLU costs'!$D$230:$BB$230,0))
+ INDEX('Mixed costs'!$D$223:$BB$240, MATCH($B121, 'Mixed costs'!$B$223:$B$240,0), MATCH(K$104, 'Mixed costs'!$D$222:$BB$222,0))
+INDEX('Arterial costs'!$D$223:$BB$240, MATCH($B121, 'Arterial costs'!$B$223:$B$240,0), MATCH(K$104, 'Arterial costs'!$D$222:$BB$222,0))</f>
        <v>181206.16535202382</v>
      </c>
      <c r="L121" s="742">
        <f>INDEX('VLU costs'!$D$231:$BB$248, MATCH($B121, 'VLU costs'!$B$231:$B$248,0), MATCH(L$104, 'VLU costs'!$D$230:$BB$230,0))
+ INDEX('Mixed costs'!$D$223:$BB$240, MATCH($B121, 'Mixed costs'!$B$223:$B$240,0), MATCH(L$104, 'Mixed costs'!$D$222:$BB$222,0))
+INDEX('Arterial costs'!$D$223:$BB$240, MATCH($B121, 'Arterial costs'!$B$223:$B$240,0), MATCH(L$104, 'Arterial costs'!$D$222:$BB$222,0))</f>
        <v>190748.30078640761</v>
      </c>
      <c r="M121" s="742">
        <f>INDEX('VLU costs'!$D$231:$BB$248, MATCH($B121, 'VLU costs'!$B$231:$B$248,0), MATCH(M$104, 'VLU costs'!$D$230:$BB$230,0))
+ INDEX('Mixed costs'!$D$223:$BB$240, MATCH($B121, 'Mixed costs'!$B$223:$B$240,0), MATCH(M$104, 'Mixed costs'!$D$222:$BB$222,0))
+INDEX('Arterial costs'!$D$223:$BB$240, MATCH($B121, 'Arterial costs'!$B$223:$B$240,0), MATCH(M$104, 'Arterial costs'!$D$222:$BB$222,0))</f>
        <v>200598.41466479943</v>
      </c>
      <c r="N121" s="742">
        <f>INDEX('VLU costs'!$D$231:$BB$248, MATCH($B121, 'VLU costs'!$B$231:$B$248,0), MATCH(N$104, 'VLU costs'!$D$230:$BB$230,0))
+ INDEX('Mixed costs'!$D$223:$BB$240, MATCH($B121, 'Mixed costs'!$B$223:$B$240,0), MATCH(N$104, 'Mixed costs'!$D$222:$BB$222,0))
+INDEX('Arterial costs'!$D$223:$BB$240, MATCH($B121, 'Arterial costs'!$B$223:$B$240,0), MATCH(N$104, 'Arterial costs'!$D$222:$BB$222,0))</f>
        <v>210481.01392166331</v>
      </c>
      <c r="O121" s="742">
        <f>INDEX('VLU costs'!$D$231:$BB$248, MATCH($B121, 'VLU costs'!$B$231:$B$248,0), MATCH(O$104, 'VLU costs'!$D$230:$BB$230,0))
+ INDEX('Mixed costs'!$D$223:$BB$240, MATCH($B121, 'Mixed costs'!$B$223:$B$240,0), MATCH(O$104, 'Mixed costs'!$D$222:$BB$222,0))
+INDEX('Arterial costs'!$D$223:$BB$240, MATCH($B121, 'Arterial costs'!$B$223:$B$240,0), MATCH(O$104, 'Arterial costs'!$D$222:$BB$222,0))</f>
        <v>220603.36603098456</v>
      </c>
      <c r="P121" s="742">
        <f>INDEX('VLU costs'!$D$231:$BB$248, MATCH($B121, 'VLU costs'!$B$231:$B$248,0), MATCH(P$104, 'VLU costs'!$D$230:$BB$230,0))
+ INDEX('Mixed costs'!$D$223:$BB$240, MATCH($B121, 'Mixed costs'!$B$223:$B$240,0), MATCH(P$104, 'Mixed costs'!$D$222:$BB$222,0))
+INDEX('Arterial costs'!$D$223:$BB$240, MATCH($B121, 'Arterial costs'!$B$223:$B$240,0), MATCH(P$104, 'Arterial costs'!$D$222:$BB$222,0))</f>
        <v>231025.61234651037</v>
      </c>
      <c r="Q121" s="742">
        <f>INDEX('VLU costs'!$D$231:$BB$248, MATCH($B121, 'VLU costs'!$B$231:$B$248,0), MATCH(Q$104, 'VLU costs'!$D$230:$BB$230,0))
+ INDEX('Mixed costs'!$D$223:$BB$240, MATCH($B121, 'Mixed costs'!$B$223:$B$240,0), MATCH(Q$104, 'Mixed costs'!$D$222:$BB$222,0))
+INDEX('Arterial costs'!$D$223:$BB$240, MATCH($B121, 'Arterial costs'!$B$223:$B$240,0), MATCH(Q$104, 'Arterial costs'!$D$222:$BB$222,0))</f>
        <v>241821.12674343577</v>
      </c>
      <c r="R121" s="742">
        <f>INDEX('VLU costs'!$D$231:$BB$248, MATCH($B121, 'VLU costs'!$B$231:$B$248,0), MATCH(R$104, 'VLU costs'!$D$230:$BB$230,0))
+ INDEX('Mixed costs'!$D$223:$BB$240, MATCH($B121, 'Mixed costs'!$B$223:$B$240,0), MATCH(R$104, 'Mixed costs'!$D$222:$BB$222,0))
+INDEX('Arterial costs'!$D$223:$BB$240, MATCH($B121, 'Arterial costs'!$B$223:$B$240,0), MATCH(R$104, 'Arterial costs'!$D$222:$BB$222,0))</f>
        <v>253010.72295181814</v>
      </c>
      <c r="S121" s="742">
        <f>INDEX('VLU costs'!$D$231:$BB$248, MATCH($B121, 'VLU costs'!$B$231:$B$248,0), MATCH(S$104, 'VLU costs'!$D$230:$BB$230,0))
+ INDEX('Mixed costs'!$D$223:$BB$240, MATCH($B121, 'Mixed costs'!$B$223:$B$240,0), MATCH(S$104, 'Mixed costs'!$D$222:$BB$222,0))
+INDEX('Arterial costs'!$D$223:$BB$240, MATCH($B121, 'Arterial costs'!$B$223:$B$240,0), MATCH(S$104, 'Arterial costs'!$D$222:$BB$222,0))</f>
        <v>264552.08411846368</v>
      </c>
      <c r="T121" s="742">
        <f>INDEX('VLU costs'!$D$231:$BB$248, MATCH($B121, 'VLU costs'!$B$231:$B$248,0), MATCH(T$104, 'VLU costs'!$D$230:$BB$230,0))
+ INDEX('Mixed costs'!$D$223:$BB$240, MATCH($B121, 'Mixed costs'!$B$223:$B$240,0), MATCH(T$104, 'Mixed costs'!$D$222:$BB$222,0))
+INDEX('Arterial costs'!$D$223:$BB$240, MATCH($B121, 'Arterial costs'!$B$223:$B$240,0), MATCH(T$104, 'Arterial costs'!$D$222:$BB$222,0))</f>
        <v>276463.26884642115</v>
      </c>
      <c r="U121" s="742">
        <f>INDEX('VLU costs'!$D$231:$BB$248, MATCH($B121, 'VLU costs'!$B$231:$B$248,0), MATCH(U$104, 'VLU costs'!$D$230:$BB$230,0))
+ INDEX('Mixed costs'!$D$223:$BB$240, MATCH($B121, 'Mixed costs'!$B$223:$B$240,0), MATCH(U$104, 'Mixed costs'!$D$222:$BB$222,0))
+INDEX('Arterial costs'!$D$223:$BB$240, MATCH($B121, 'Arterial costs'!$B$223:$B$240,0), MATCH(U$104, 'Arterial costs'!$D$222:$BB$222,0))</f>
        <v>288889.93389657862</v>
      </c>
      <c r="V121" s="742">
        <f>INDEX('VLU costs'!$D$231:$BB$248, MATCH($B121, 'VLU costs'!$B$231:$B$248,0), MATCH(V$104, 'VLU costs'!$D$230:$BB$230,0))
+ INDEX('Mixed costs'!$D$223:$BB$240, MATCH($B121, 'Mixed costs'!$B$223:$B$240,0), MATCH(V$104, 'Mixed costs'!$D$222:$BB$222,0))
+INDEX('Arterial costs'!$D$223:$BB$240, MATCH($B121, 'Arterial costs'!$B$223:$B$240,0), MATCH(V$104, 'Arterial costs'!$D$222:$BB$222,0))</f>
        <v>301734.43202194385</v>
      </c>
      <c r="W121" s="742">
        <f>INDEX('VLU costs'!$D$231:$BB$248, MATCH($B121, 'VLU costs'!$B$231:$B$248,0), MATCH(W$104, 'VLU costs'!$D$230:$BB$230,0))
+ INDEX('Mixed costs'!$D$223:$BB$240, MATCH($B121, 'Mixed costs'!$B$223:$B$240,0), MATCH(W$104, 'Mixed costs'!$D$222:$BB$222,0))
+INDEX('Arterial costs'!$D$223:$BB$240, MATCH($B121, 'Arterial costs'!$B$223:$B$240,0), MATCH(W$104, 'Arterial costs'!$D$222:$BB$222,0))</f>
        <v>314975.06853203342</v>
      </c>
      <c r="X121" s="742">
        <f>INDEX('VLU costs'!$D$231:$BB$248, MATCH($B121, 'VLU costs'!$B$231:$B$248,0), MATCH(X$104, 'VLU costs'!$D$230:$BB$230,0))
+ INDEX('Mixed costs'!$D$223:$BB$240, MATCH($B121, 'Mixed costs'!$B$223:$B$240,0), MATCH(X$104, 'Mixed costs'!$D$222:$BB$222,0))
+INDEX('Arterial costs'!$D$223:$BB$240, MATCH($B121, 'Arterial costs'!$B$223:$B$240,0), MATCH(X$104, 'Arterial costs'!$D$222:$BB$222,0))</f>
        <v>328616.62469789758</v>
      </c>
      <c r="Y121" s="742">
        <f>INDEX('VLU costs'!$D$231:$BB$248, MATCH($B121, 'VLU costs'!$B$231:$B$248,0), MATCH(Y$104, 'VLU costs'!$D$230:$BB$230,0))
+ INDEX('Mixed costs'!$D$223:$BB$240, MATCH($B121, 'Mixed costs'!$B$223:$B$240,0), MATCH(Y$104, 'Mixed costs'!$D$222:$BB$222,0))
+INDEX('Arterial costs'!$D$223:$BB$240, MATCH($B121, 'Arterial costs'!$B$223:$B$240,0), MATCH(Y$104, 'Arterial costs'!$D$222:$BB$222,0))</f>
        <v>342728.81276512489</v>
      </c>
      <c r="Z121" s="742">
        <f>INDEX('VLU costs'!$D$231:$BB$248, MATCH($B121, 'VLU costs'!$B$231:$B$248,0), MATCH(Z$104, 'VLU costs'!$D$230:$BB$230,0))
+ INDEX('Mixed costs'!$D$223:$BB$240, MATCH($B121, 'Mixed costs'!$B$223:$B$240,0), MATCH(Z$104, 'Mixed costs'!$D$222:$BB$222,0))
+INDEX('Arterial costs'!$D$223:$BB$240, MATCH($B121, 'Arterial costs'!$B$223:$B$240,0), MATCH(Z$104, 'Arterial costs'!$D$222:$BB$222,0))</f>
        <v>357312.03542506759</v>
      </c>
      <c r="AA121" s="742">
        <f>INDEX('VLU costs'!$D$231:$BB$248, MATCH($B121, 'VLU costs'!$B$231:$B$248,0), MATCH(AA$104, 'VLU costs'!$D$230:$BB$230,0))
+ INDEX('Mixed costs'!$D$223:$BB$240, MATCH($B121, 'Mixed costs'!$B$223:$B$240,0), MATCH(AA$104, 'Mixed costs'!$D$222:$BB$222,0))
+INDEX('Arterial costs'!$D$223:$BB$240, MATCH($B121, 'Arterial costs'!$B$223:$B$240,0), MATCH(AA$104, 'Arterial costs'!$D$222:$BB$222,0))</f>
        <v>372354.12718338019</v>
      </c>
      <c r="AB121" s="742">
        <f>INDEX('VLU costs'!$D$231:$BB$248, MATCH($B121, 'VLU costs'!$B$231:$B$248,0), MATCH(AB$104, 'VLU costs'!$D$230:$BB$230,0))
+ INDEX('Mixed costs'!$D$223:$BB$240, MATCH($B121, 'Mixed costs'!$B$223:$B$240,0), MATCH(AB$104, 'Mixed costs'!$D$222:$BB$222,0))
+INDEX('Arterial costs'!$D$223:$BB$240, MATCH($B121, 'Arterial costs'!$B$223:$B$240,0), MATCH(AB$104, 'Arterial costs'!$D$222:$BB$222,0))</f>
        <v>387846.7356861725</v>
      </c>
      <c r="AC121" s="742">
        <f>INDEX('VLU costs'!$D$231:$BB$248, MATCH($B121, 'VLU costs'!$B$231:$B$248,0), MATCH(AC$104, 'VLU costs'!$D$230:$BB$230,0))
+ INDEX('Mixed costs'!$D$223:$BB$240, MATCH($B121, 'Mixed costs'!$B$223:$B$240,0), MATCH(AC$104, 'Mixed costs'!$D$222:$BB$222,0))
+INDEX('Arterial costs'!$D$223:$BB$240, MATCH($B121, 'Arterial costs'!$B$223:$B$240,0), MATCH(AC$104, 'Arterial costs'!$D$222:$BB$222,0))</f>
        <v>403779.87075009529</v>
      </c>
      <c r="AD121" s="742">
        <f>INDEX('VLU costs'!$D$231:$BB$248, MATCH($B121, 'VLU costs'!$B$231:$B$248,0), MATCH(AD$104, 'VLU costs'!$D$230:$BB$230,0))
+ INDEX('Mixed costs'!$D$223:$BB$240, MATCH($B121, 'Mixed costs'!$B$223:$B$240,0), MATCH(AD$104, 'Mixed costs'!$D$222:$BB$222,0))
+INDEX('Arterial costs'!$D$223:$BB$240, MATCH($B121, 'Arterial costs'!$B$223:$B$240,0), MATCH(AD$104, 'Arterial costs'!$D$222:$BB$222,0))</f>
        <v>420147.47249396803</v>
      </c>
      <c r="AE121" s="742">
        <f>INDEX('VLU costs'!$D$231:$BB$248, MATCH($B121, 'VLU costs'!$B$231:$B$248,0), MATCH(AE$104, 'VLU costs'!$D$230:$BB$230,0))
+ INDEX('Mixed costs'!$D$223:$BB$240, MATCH($B121, 'Mixed costs'!$B$223:$B$240,0), MATCH(AE$104, 'Mixed costs'!$D$222:$BB$222,0))
+INDEX('Arterial costs'!$D$223:$BB$240, MATCH($B121, 'Arterial costs'!$B$223:$B$240,0), MATCH(AE$104, 'Arterial costs'!$D$222:$BB$222,0))</f>
        <v>436943.50960154412</v>
      </c>
      <c r="AF121" s="742">
        <f>INDEX('VLU costs'!$D$231:$BB$248, MATCH($B121, 'VLU costs'!$B$231:$B$248,0), MATCH(AF$104, 'VLU costs'!$D$230:$BB$230,0))
+ INDEX('Mixed costs'!$D$223:$BB$240, MATCH($B121, 'Mixed costs'!$B$223:$B$240,0), MATCH(AF$104, 'Mixed costs'!$D$222:$BB$222,0))
+INDEX('Arterial costs'!$D$223:$BB$240, MATCH($B121, 'Arterial costs'!$B$223:$B$240,0), MATCH(AF$104, 'Arterial costs'!$D$222:$BB$222,0))</f>
        <v>454187.92039266601</v>
      </c>
      <c r="AG121" s="742">
        <f>INDEX('VLU costs'!$D$231:$BB$248, MATCH($B121, 'VLU costs'!$B$231:$B$248,0), MATCH(AG$104, 'VLU costs'!$D$230:$BB$230,0))
+ INDEX('Mixed costs'!$D$223:$BB$240, MATCH($B121, 'Mixed costs'!$B$223:$B$240,0), MATCH(AG$104, 'Mixed costs'!$D$222:$BB$222,0))
+INDEX('Arterial costs'!$D$223:$BB$240, MATCH($B121, 'Arterial costs'!$B$223:$B$240,0), MATCH(AG$104, 'Arterial costs'!$D$222:$BB$222,0))</f>
        <v>471955.17587900179</v>
      </c>
      <c r="AH121" s="742">
        <f>INDEX('VLU costs'!$D$231:$BB$248, MATCH($B121, 'VLU costs'!$B$231:$B$248,0), MATCH(AH$104, 'VLU costs'!$D$230:$BB$230,0))
+ INDEX('Mixed costs'!$D$223:$BB$240, MATCH($B121, 'Mixed costs'!$B$223:$B$240,0), MATCH(AH$104, 'Mixed costs'!$D$222:$BB$222,0))
+INDEX('Arterial costs'!$D$223:$BB$240, MATCH($B121, 'Arterial costs'!$B$223:$B$240,0), MATCH(AH$104, 'Arterial costs'!$D$222:$BB$222,0))</f>
        <v>490265.19504111138</v>
      </c>
      <c r="AI121" s="742">
        <f>INDEX('VLU costs'!$D$231:$BB$248, MATCH($B121, 'VLU costs'!$B$231:$B$248,0), MATCH(AI$104, 'VLU costs'!$D$230:$BB$230,0))
+ INDEX('Mixed costs'!$D$223:$BB$240, MATCH($B121, 'Mixed costs'!$B$223:$B$240,0), MATCH(AI$104, 'Mixed costs'!$D$222:$BB$222,0))
+INDEX('Arterial costs'!$D$223:$BB$240, MATCH($B121, 'Arterial costs'!$B$223:$B$240,0), MATCH(AI$104, 'Arterial costs'!$D$222:$BB$222,0))</f>
        <v>509157.20852739323</v>
      </c>
      <c r="AJ121" s="742">
        <f>INDEX('VLU costs'!$D$231:$BB$248, MATCH($B121, 'VLU costs'!$B$231:$B$248,0), MATCH(AJ$104, 'VLU costs'!$D$230:$BB$230,0))
+ INDEX('Mixed costs'!$D$223:$BB$240, MATCH($B121, 'Mixed costs'!$B$223:$B$240,0), MATCH(AJ$104, 'Mixed costs'!$D$222:$BB$222,0))
+INDEX('Arterial costs'!$D$223:$BB$240, MATCH($B121, 'Arterial costs'!$B$223:$B$240,0), MATCH(AJ$104, 'Arterial costs'!$D$222:$BB$222,0))</f>
        <v>528566.9841997308</v>
      </c>
      <c r="AK121" s="742">
        <f>INDEX('VLU costs'!$D$231:$BB$248, MATCH($B121, 'VLU costs'!$B$231:$B$248,0), MATCH(AK$104, 'VLU costs'!$D$230:$BB$230,0))
+ INDEX('Mixed costs'!$D$223:$BB$240, MATCH($B121, 'Mixed costs'!$B$223:$B$240,0), MATCH(AK$104, 'Mixed costs'!$D$222:$BB$222,0))
+INDEX('Arterial costs'!$D$223:$BB$240, MATCH($B121, 'Arterial costs'!$B$223:$B$240,0), MATCH(AK$104, 'Arterial costs'!$D$222:$BB$222,0))</f>
        <v>548443.05448032089</v>
      </c>
      <c r="AL121" s="742">
        <f>INDEX('VLU costs'!$D$231:$BB$248, MATCH($B121, 'VLU costs'!$B$231:$B$248,0), MATCH(AL$104, 'VLU costs'!$D$230:$BB$230,0))
+ INDEX('Mixed costs'!$D$223:$BB$240, MATCH($B121, 'Mixed costs'!$B$223:$B$240,0), MATCH(AL$104, 'Mixed costs'!$D$222:$BB$222,0))
+INDEX('Arterial costs'!$D$223:$BB$240, MATCH($B121, 'Arterial costs'!$B$223:$B$240,0), MATCH(AL$104, 'Arterial costs'!$D$222:$BB$222,0))</f>
        <v>568748.9579832654</v>
      </c>
      <c r="AM121" s="742">
        <f>INDEX('VLU costs'!$D$231:$BB$248, MATCH($B121, 'VLU costs'!$B$231:$B$248,0), MATCH(AM$104, 'VLU costs'!$D$230:$BB$230,0))
+ INDEX('Mixed costs'!$D$223:$BB$240, MATCH($B121, 'Mixed costs'!$B$223:$B$240,0), MATCH(AM$104, 'Mixed costs'!$D$222:$BB$222,0))
+INDEX('Arterial costs'!$D$223:$BB$240, MATCH($B121, 'Arterial costs'!$B$223:$B$240,0), MATCH(AM$104, 'Arterial costs'!$D$222:$BB$222,0))</f>
        <v>589514.36253931047</v>
      </c>
      <c r="AN121" s="742">
        <f>INDEX('VLU costs'!$D$231:$BB$248, MATCH($B121, 'VLU costs'!$B$231:$B$248,0), MATCH(AN$104, 'VLU costs'!$D$230:$BB$230,0))
+ INDEX('Mixed costs'!$D$223:$BB$240, MATCH($B121, 'Mixed costs'!$B$223:$B$240,0), MATCH(AN$104, 'Mixed costs'!$D$222:$BB$222,0))
+INDEX('Arterial costs'!$D$223:$BB$240, MATCH($B121, 'Arterial costs'!$B$223:$B$240,0), MATCH(AN$104, 'Arterial costs'!$D$222:$BB$222,0))</f>
        <v>610749.73887889506</v>
      </c>
      <c r="AO121" s="742">
        <f>INDEX('VLU costs'!$D$231:$BB$248, MATCH($B121, 'VLU costs'!$B$231:$B$248,0), MATCH(AO$104, 'VLU costs'!$D$230:$BB$230,0))
+ INDEX('Mixed costs'!$D$223:$BB$240, MATCH($B121, 'Mixed costs'!$B$223:$B$240,0), MATCH(AO$104, 'Mixed costs'!$D$222:$BB$222,0))
+INDEX('Arterial costs'!$D$223:$BB$240, MATCH($B121, 'Arterial costs'!$B$223:$B$240,0), MATCH(AO$104, 'Arterial costs'!$D$222:$BB$222,0))</f>
        <v>632448.29278824851</v>
      </c>
      <c r="AP121" s="742">
        <f>INDEX('VLU costs'!$D$231:$BB$248, MATCH($B121, 'VLU costs'!$B$231:$B$248,0), MATCH(AP$104, 'VLU costs'!$D$230:$BB$230,0))
+ INDEX('Mixed costs'!$D$223:$BB$240, MATCH($B121, 'Mixed costs'!$B$223:$B$240,0), MATCH(AP$104, 'Mixed costs'!$D$222:$BB$222,0))
+INDEX('Arterial costs'!$D$223:$BB$240, MATCH($B121, 'Arterial costs'!$B$223:$B$240,0), MATCH(AP$104, 'Arterial costs'!$D$222:$BB$222,0))</f>
        <v>654712.57649411215</v>
      </c>
      <c r="AQ121" s="742">
        <f>INDEX('VLU costs'!$D$231:$BB$248, MATCH($B121, 'VLU costs'!$B$231:$B$248,0), MATCH(AQ$104, 'VLU costs'!$D$230:$BB$230,0))
+ INDEX('Mixed costs'!$D$223:$BB$240, MATCH($B121, 'Mixed costs'!$B$223:$B$240,0), MATCH(AQ$104, 'Mixed costs'!$D$222:$BB$222,0))
+INDEX('Arterial costs'!$D$223:$BB$240, MATCH($B121, 'Arterial costs'!$B$223:$B$240,0), MATCH(AQ$104, 'Arterial costs'!$D$222:$BB$222,0))</f>
        <v>677665.66385176592</v>
      </c>
      <c r="AR121" s="742">
        <f>INDEX('VLU costs'!$D$231:$BB$248, MATCH($B121, 'VLU costs'!$B$231:$B$248,0), MATCH(AR$104, 'VLU costs'!$D$230:$BB$230,0))
+ INDEX('Mixed costs'!$D$223:$BB$240, MATCH($B121, 'Mixed costs'!$B$223:$B$240,0), MATCH(AR$104, 'Mixed costs'!$D$222:$BB$222,0))
+INDEX('Arterial costs'!$D$223:$BB$240, MATCH($B121, 'Arterial costs'!$B$223:$B$240,0), MATCH(AR$104, 'Arterial costs'!$D$222:$BB$222,0))</f>
        <v>701417.7474496481</v>
      </c>
      <c r="AS121" s="742">
        <f>INDEX('VLU costs'!$D$231:$BB$248, MATCH($B121, 'VLU costs'!$B$231:$B$248,0), MATCH(AS$104, 'VLU costs'!$D$230:$BB$230,0))
+ INDEX('Mixed costs'!$D$223:$BB$240, MATCH($B121, 'Mixed costs'!$B$223:$B$240,0), MATCH(AS$104, 'Mixed costs'!$D$222:$BB$222,0))
+INDEX('Arterial costs'!$D$223:$BB$240, MATCH($B121, 'Arterial costs'!$B$223:$B$240,0), MATCH(AS$104, 'Arterial costs'!$D$222:$BB$222,0))</f>
        <v>725385.82573956321</v>
      </c>
      <c r="AU121" s="804" t="s">
        <v>2832</v>
      </c>
    </row>
    <row r="122" spans="1:47" s="73" customFormat="1">
      <c r="B122" s="801" t="s">
        <v>2871</v>
      </c>
      <c r="C122" s="742">
        <f>INDEX('VLU costs'!$D$231:$BB$248, MATCH($B122, 'VLU costs'!$B$231:$B$248,0), MATCH(C$104, 'VLU costs'!$D$230:$BB$230,0))
+ INDEX('Mixed costs'!$D$223:$BB$240, MATCH($B122, 'Mixed costs'!$B$223:$B$240,0), MATCH(C$104, 'Mixed costs'!$D$222:$BB$222,0))
+INDEX('Arterial costs'!$D$223:$BB$240, MATCH($B122, 'Arterial costs'!$B$223:$B$240,0), MATCH(C$104, 'Arterial costs'!$D$222:$BB$222,0))</f>
        <v>6379.1431736518007</v>
      </c>
      <c r="D122" s="742">
        <f>INDEX('VLU costs'!$D$231:$BB$248, MATCH($B122, 'VLU costs'!$B$231:$B$248,0), MATCH(D$104, 'VLU costs'!$D$230:$BB$230,0))
+ INDEX('Mixed costs'!$D$223:$BB$240, MATCH($B122, 'Mixed costs'!$B$223:$B$240,0), MATCH(D$104, 'Mixed costs'!$D$222:$BB$222,0))
+INDEX('Arterial costs'!$D$223:$BB$240, MATCH($B122, 'Arterial costs'!$B$223:$B$240,0), MATCH(D$104, 'Arterial costs'!$D$222:$BB$222,0))</f>
        <v>6728.3344365656558</v>
      </c>
      <c r="E122" s="742">
        <f>INDEX('VLU costs'!$D$231:$BB$248, MATCH($B122, 'VLU costs'!$B$231:$B$248,0), MATCH(E$104, 'VLU costs'!$D$230:$BB$230,0))
+ INDEX('Mixed costs'!$D$223:$BB$240, MATCH($B122, 'Mixed costs'!$B$223:$B$240,0), MATCH(E$104, 'Mixed costs'!$D$222:$BB$222,0))
+INDEX('Arterial costs'!$D$223:$BB$240, MATCH($B122, 'Arterial costs'!$B$223:$B$240,0), MATCH(E$104, 'Arterial costs'!$D$222:$BB$222,0))</f>
        <v>7055.4223358898716</v>
      </c>
      <c r="F122" s="742">
        <f>INDEX('VLU costs'!$D$231:$BB$248, MATCH($B122, 'VLU costs'!$B$231:$B$248,0), MATCH(F$104, 'VLU costs'!$D$230:$BB$230,0))
+ INDEX('Mixed costs'!$D$223:$BB$240, MATCH($B122, 'Mixed costs'!$B$223:$B$240,0), MATCH(F$104, 'Mixed costs'!$D$222:$BB$222,0))
+INDEX('Arterial costs'!$D$223:$BB$240, MATCH($B122, 'Arterial costs'!$B$223:$B$240,0), MATCH(F$104, 'Arterial costs'!$D$222:$BB$222,0))</f>
        <v>7369.5432601628636</v>
      </c>
      <c r="G122" s="742">
        <f>INDEX('VLU costs'!$D$231:$BB$248, MATCH($B122, 'VLU costs'!$B$231:$B$248,0), MATCH(G$104, 'VLU costs'!$D$230:$BB$230,0))
+ INDEX('Mixed costs'!$D$223:$BB$240, MATCH($B122, 'Mixed costs'!$B$223:$B$240,0), MATCH(G$104, 'Mixed costs'!$D$222:$BB$222,0))
+INDEX('Arterial costs'!$D$223:$BB$240, MATCH($B122, 'Arterial costs'!$B$223:$B$240,0), MATCH(G$104, 'Arterial costs'!$D$222:$BB$222,0))</f>
        <v>7679.6243709597329</v>
      </c>
      <c r="H122" s="742">
        <f>INDEX('VLU costs'!$D$231:$BB$248, MATCH($B122, 'VLU costs'!$B$231:$B$248,0), MATCH(H$104, 'VLU costs'!$D$230:$BB$230,0))
+ INDEX('Mixed costs'!$D$223:$BB$240, MATCH($B122, 'Mixed costs'!$B$223:$B$240,0), MATCH(H$104, 'Mixed costs'!$D$222:$BB$222,0))
+INDEX('Arterial costs'!$D$223:$BB$240, MATCH($B122, 'Arterial costs'!$B$223:$B$240,0), MATCH(H$104, 'Arterial costs'!$D$222:$BB$222,0))</f>
        <v>7990.8255502239854</v>
      </c>
      <c r="I122" s="742">
        <f>INDEX('VLU costs'!$D$231:$BB$248, MATCH($B122, 'VLU costs'!$B$231:$B$248,0), MATCH(I$104, 'VLU costs'!$D$230:$BB$230,0))
+ INDEX('Mixed costs'!$D$223:$BB$240, MATCH($B122, 'Mixed costs'!$B$223:$B$240,0), MATCH(I$104, 'Mixed costs'!$D$222:$BB$222,0))
+INDEX('Arterial costs'!$D$223:$BB$240, MATCH($B122, 'Arterial costs'!$B$223:$B$240,0), MATCH(I$104, 'Arterial costs'!$D$222:$BB$222,0))</f>
        <v>8303.2383359867144</v>
      </c>
      <c r="J122" s="742">
        <f>INDEX('VLU costs'!$D$231:$BB$248, MATCH($B122, 'VLU costs'!$B$231:$B$248,0), MATCH(J$104, 'VLU costs'!$D$230:$BB$230,0))
+ INDEX('Mixed costs'!$D$223:$BB$240, MATCH($B122, 'Mixed costs'!$B$223:$B$240,0), MATCH(J$104, 'Mixed costs'!$D$222:$BB$222,0))
+INDEX('Arterial costs'!$D$223:$BB$240, MATCH($B122, 'Arterial costs'!$B$223:$B$240,0), MATCH(J$104, 'Arterial costs'!$D$222:$BB$222,0))</f>
        <v>8619.4684353809171</v>
      </c>
      <c r="K122" s="742">
        <f>INDEX('VLU costs'!$D$231:$BB$248, MATCH($B122, 'VLU costs'!$B$231:$B$248,0), MATCH(K$104, 'VLU costs'!$D$230:$BB$230,0))
+ INDEX('Mixed costs'!$D$223:$BB$240, MATCH($B122, 'Mixed costs'!$B$223:$B$240,0), MATCH(K$104, 'Mixed costs'!$D$222:$BB$222,0))
+INDEX('Arterial costs'!$D$223:$BB$240, MATCH($B122, 'Arterial costs'!$B$223:$B$240,0), MATCH(K$104, 'Arterial costs'!$D$222:$BB$222,0))</f>
        <v>8956.020976253385</v>
      </c>
      <c r="L122" s="742">
        <f>INDEX('VLU costs'!$D$231:$BB$248, MATCH($B122, 'VLU costs'!$B$231:$B$248,0), MATCH(L$104, 'VLU costs'!$D$230:$BB$230,0))
+ INDEX('Mixed costs'!$D$223:$BB$240, MATCH($B122, 'Mixed costs'!$B$223:$B$240,0), MATCH(L$104, 'Mixed costs'!$D$222:$BB$222,0))
+INDEX('Arterial costs'!$D$223:$BB$240, MATCH($B122, 'Arterial costs'!$B$223:$B$240,0), MATCH(L$104, 'Arterial costs'!$D$222:$BB$222,0))</f>
        <v>9302.944217965116</v>
      </c>
      <c r="M122" s="742">
        <f>INDEX('VLU costs'!$D$231:$BB$248, MATCH($B122, 'VLU costs'!$B$231:$B$248,0), MATCH(M$104, 'VLU costs'!$D$230:$BB$230,0))
+ INDEX('Mixed costs'!$D$223:$BB$240, MATCH($B122, 'Mixed costs'!$B$223:$B$240,0), MATCH(M$104, 'Mixed costs'!$D$222:$BB$222,0))
+INDEX('Arterial costs'!$D$223:$BB$240, MATCH($B122, 'Arterial costs'!$B$223:$B$240,0), MATCH(M$104, 'Arterial costs'!$D$222:$BB$222,0))</f>
        <v>9655.3081023544073</v>
      </c>
      <c r="N122" s="742">
        <f>INDEX('VLU costs'!$D$231:$BB$248, MATCH($B122, 'VLU costs'!$B$231:$B$248,0), MATCH(N$104, 'VLU costs'!$D$230:$BB$230,0))
+ INDEX('Mixed costs'!$D$223:$BB$240, MATCH($B122, 'Mixed costs'!$B$223:$B$240,0), MATCH(N$104, 'Mixed costs'!$D$222:$BB$222,0))
+INDEX('Arterial costs'!$D$223:$BB$240, MATCH($B122, 'Arterial costs'!$B$223:$B$240,0), MATCH(N$104, 'Arterial costs'!$D$222:$BB$222,0))</f>
        <v>10010.927598949565</v>
      </c>
      <c r="O122" s="742">
        <f>INDEX('VLU costs'!$D$231:$BB$248, MATCH($B122, 'VLU costs'!$B$231:$B$248,0), MATCH(O$104, 'VLU costs'!$D$230:$BB$230,0))
+ INDEX('Mixed costs'!$D$223:$BB$240, MATCH($B122, 'Mixed costs'!$B$223:$B$240,0), MATCH(O$104, 'Mixed costs'!$D$222:$BB$222,0))
+INDEX('Arterial costs'!$D$223:$BB$240, MATCH($B122, 'Arterial costs'!$B$223:$B$240,0), MATCH(O$104, 'Arterial costs'!$D$222:$BB$222,0))</f>
        <v>10368.42222618897</v>
      </c>
      <c r="P122" s="742">
        <f>INDEX('VLU costs'!$D$231:$BB$248, MATCH($B122, 'VLU costs'!$B$231:$B$248,0), MATCH(P$104, 'VLU costs'!$D$230:$BB$230,0))
+ INDEX('Mixed costs'!$D$223:$BB$240, MATCH($B122, 'Mixed costs'!$B$223:$B$240,0), MATCH(P$104, 'Mixed costs'!$D$222:$BB$222,0))
+INDEX('Arterial costs'!$D$223:$BB$240, MATCH($B122, 'Arterial costs'!$B$223:$B$240,0), MATCH(P$104, 'Arterial costs'!$D$222:$BB$222,0))</f>
        <v>10730.870541728757</v>
      </c>
      <c r="Q122" s="742">
        <f>INDEX('VLU costs'!$D$231:$BB$248, MATCH($B122, 'VLU costs'!$B$231:$B$248,0), MATCH(Q$104, 'VLU costs'!$D$230:$BB$230,0))
+ INDEX('Mixed costs'!$D$223:$BB$240, MATCH($B122, 'Mixed costs'!$B$223:$B$240,0), MATCH(Q$104, 'Mixed costs'!$D$222:$BB$222,0))
+INDEX('Arterial costs'!$D$223:$BB$240, MATCH($B122, 'Arterial costs'!$B$223:$B$240,0), MATCH(Q$104, 'Arterial costs'!$D$222:$BB$222,0))</f>
        <v>11102.018515014937</v>
      </c>
      <c r="R122" s="742">
        <f>INDEX('VLU costs'!$D$231:$BB$248, MATCH($B122, 'VLU costs'!$B$231:$B$248,0), MATCH(R$104, 'VLU costs'!$D$230:$BB$230,0))
+ INDEX('Mixed costs'!$D$223:$BB$240, MATCH($B122, 'Mixed costs'!$B$223:$B$240,0), MATCH(R$104, 'Mixed costs'!$D$222:$BB$222,0))
+INDEX('Arterial costs'!$D$223:$BB$240, MATCH($B122, 'Arterial costs'!$B$223:$B$240,0), MATCH(R$104, 'Arterial costs'!$D$222:$BB$222,0))</f>
        <v>11482.526828222082</v>
      </c>
      <c r="S122" s="742">
        <f>INDEX('VLU costs'!$D$231:$BB$248, MATCH($B122, 'VLU costs'!$B$231:$B$248,0), MATCH(S$104, 'VLU costs'!$D$230:$BB$230,0))
+ INDEX('Mixed costs'!$D$223:$BB$240, MATCH($B122, 'Mixed costs'!$B$223:$B$240,0), MATCH(S$104, 'Mixed costs'!$D$222:$BB$222,0))
+INDEX('Arterial costs'!$D$223:$BB$240, MATCH($B122, 'Arterial costs'!$B$223:$B$240,0), MATCH(S$104, 'Arterial costs'!$D$222:$BB$222,0))</f>
        <v>11869.472974324603</v>
      </c>
      <c r="T122" s="742">
        <f>INDEX('VLU costs'!$D$231:$BB$248, MATCH($B122, 'VLU costs'!$B$231:$B$248,0), MATCH(T$104, 'VLU costs'!$D$230:$BB$230,0))
+ INDEX('Mixed costs'!$D$223:$BB$240, MATCH($B122, 'Mixed costs'!$B$223:$B$240,0), MATCH(T$104, 'Mixed costs'!$D$222:$BB$222,0))
+INDEX('Arterial costs'!$D$223:$BB$240, MATCH($B122, 'Arterial costs'!$B$223:$B$240,0), MATCH(T$104, 'Arterial costs'!$D$222:$BB$222,0))</f>
        <v>12263.411892751996</v>
      </c>
      <c r="U122" s="742">
        <f>INDEX('VLU costs'!$D$231:$BB$248, MATCH($B122, 'VLU costs'!$B$231:$B$248,0), MATCH(U$104, 'VLU costs'!$D$230:$BB$230,0))
+ INDEX('Mixed costs'!$D$223:$BB$240, MATCH($B122, 'Mixed costs'!$B$223:$B$240,0), MATCH(U$104, 'Mixed costs'!$D$222:$BB$222,0))
+INDEX('Arterial costs'!$D$223:$BB$240, MATCH($B122, 'Arterial costs'!$B$223:$B$240,0), MATCH(U$104, 'Arterial costs'!$D$222:$BB$222,0))</f>
        <v>12672.026801295086</v>
      </c>
      <c r="V122" s="742">
        <f>INDEX('VLU costs'!$D$231:$BB$248, MATCH($B122, 'VLU costs'!$B$231:$B$248,0), MATCH(V$104, 'VLU costs'!$D$230:$BB$230,0))
+ INDEX('Mixed costs'!$D$223:$BB$240, MATCH($B122, 'Mixed costs'!$B$223:$B$240,0), MATCH(V$104, 'Mixed costs'!$D$222:$BB$222,0))
+INDEX('Arterial costs'!$D$223:$BB$240, MATCH($B122, 'Arterial costs'!$B$223:$B$240,0), MATCH(V$104, 'Arterial costs'!$D$222:$BB$222,0))</f>
        <v>13089.203023966518</v>
      </c>
      <c r="W122" s="742">
        <f>INDEX('VLU costs'!$D$231:$BB$248, MATCH($B122, 'VLU costs'!$B$231:$B$248,0), MATCH(W$104, 'VLU costs'!$D$230:$BB$230,0))
+ INDEX('Mixed costs'!$D$223:$BB$240, MATCH($B122, 'Mixed costs'!$B$223:$B$240,0), MATCH(W$104, 'Mixed costs'!$D$222:$BB$222,0))
+INDEX('Arterial costs'!$D$223:$BB$240, MATCH($B122, 'Arterial costs'!$B$223:$B$240,0), MATCH(W$104, 'Arterial costs'!$D$222:$BB$222,0))</f>
        <v>13513.208801445129</v>
      </c>
      <c r="X122" s="742">
        <f>INDEX('VLU costs'!$D$231:$BB$248, MATCH($B122, 'VLU costs'!$B$231:$B$248,0), MATCH(X$104, 'VLU costs'!$D$230:$BB$230,0))
+ INDEX('Mixed costs'!$D$223:$BB$240, MATCH($B122, 'Mixed costs'!$B$223:$B$240,0), MATCH(X$104, 'Mixed costs'!$D$222:$BB$222,0))
+INDEX('Arterial costs'!$D$223:$BB$240, MATCH($B122, 'Arterial costs'!$B$223:$B$240,0), MATCH(X$104, 'Arterial costs'!$D$222:$BB$222,0))</f>
        <v>13943.811726167029</v>
      </c>
      <c r="Y122" s="742">
        <f>INDEX('VLU costs'!$D$231:$BB$248, MATCH($B122, 'VLU costs'!$B$231:$B$248,0), MATCH(Y$104, 'VLU costs'!$D$230:$BB$230,0))
+ INDEX('Mixed costs'!$D$223:$BB$240, MATCH($B122, 'Mixed costs'!$B$223:$B$240,0), MATCH(Y$104, 'Mixed costs'!$D$222:$BB$222,0))
+INDEX('Arterial costs'!$D$223:$BB$240, MATCH($B122, 'Arterial costs'!$B$223:$B$240,0), MATCH(Y$104, 'Arterial costs'!$D$222:$BB$222,0))</f>
        <v>14384.355098777014</v>
      </c>
      <c r="Z122" s="742">
        <f>INDEX('VLU costs'!$D$231:$BB$248, MATCH($B122, 'VLU costs'!$B$231:$B$248,0), MATCH(Z$104, 'VLU costs'!$D$230:$BB$230,0))
+ INDEX('Mixed costs'!$D$223:$BB$240, MATCH($B122, 'Mixed costs'!$B$223:$B$240,0), MATCH(Z$104, 'Mixed costs'!$D$222:$BB$222,0))
+INDEX('Arterial costs'!$D$223:$BB$240, MATCH($B122, 'Arterial costs'!$B$223:$B$240,0), MATCH(Z$104, 'Arterial costs'!$D$222:$BB$222,0))</f>
        <v>14834.25040967289</v>
      </c>
      <c r="AA122" s="742">
        <f>INDEX('VLU costs'!$D$231:$BB$248, MATCH($B122, 'VLU costs'!$B$231:$B$248,0), MATCH(AA$104, 'VLU costs'!$D$230:$BB$230,0))
+ INDEX('Mixed costs'!$D$223:$BB$240, MATCH($B122, 'Mixed costs'!$B$223:$B$240,0), MATCH(AA$104, 'Mixed costs'!$D$222:$BB$222,0))
+INDEX('Arterial costs'!$D$223:$BB$240, MATCH($B122, 'Arterial costs'!$B$223:$B$240,0), MATCH(AA$104, 'Arterial costs'!$D$222:$BB$222,0))</f>
        <v>15292.232828327364</v>
      </c>
      <c r="AB122" s="742">
        <f>INDEX('VLU costs'!$D$231:$BB$248, MATCH($B122, 'VLU costs'!$B$231:$B$248,0), MATCH(AB$104, 'VLU costs'!$D$230:$BB$230,0))
+ INDEX('Mixed costs'!$D$223:$BB$240, MATCH($B122, 'Mixed costs'!$B$223:$B$240,0), MATCH(AB$104, 'Mixed costs'!$D$222:$BB$222,0))
+INDEX('Arterial costs'!$D$223:$BB$240, MATCH($B122, 'Arterial costs'!$B$223:$B$240,0), MATCH(AB$104, 'Arterial costs'!$D$222:$BB$222,0))</f>
        <v>15757.280799478262</v>
      </c>
      <c r="AC122" s="742">
        <f>INDEX('VLU costs'!$D$231:$BB$248, MATCH($B122, 'VLU costs'!$B$231:$B$248,0), MATCH(AC$104, 'VLU costs'!$D$230:$BB$230,0))
+ INDEX('Mixed costs'!$D$223:$BB$240, MATCH($B122, 'Mixed costs'!$B$223:$B$240,0), MATCH(AC$104, 'Mixed costs'!$D$222:$BB$222,0))
+INDEX('Arterial costs'!$D$223:$BB$240, MATCH($B122, 'Arterial costs'!$B$223:$B$240,0), MATCH(AC$104, 'Arterial costs'!$D$222:$BB$222,0))</f>
        <v>16228.304675650068</v>
      </c>
      <c r="AD122" s="742">
        <f>INDEX('VLU costs'!$D$231:$BB$248, MATCH($B122, 'VLU costs'!$B$231:$B$248,0), MATCH(AD$104, 'VLU costs'!$D$230:$BB$230,0))
+ INDEX('Mixed costs'!$D$223:$BB$240, MATCH($B122, 'Mixed costs'!$B$223:$B$240,0), MATCH(AD$104, 'Mixed costs'!$D$222:$BB$222,0))
+INDEX('Arterial costs'!$D$223:$BB$240, MATCH($B122, 'Arterial costs'!$B$223:$B$240,0), MATCH(AD$104, 'Arterial costs'!$D$222:$BB$222,0))</f>
        <v>16704.443148529284</v>
      </c>
      <c r="AE122" s="742">
        <f>INDEX('VLU costs'!$D$231:$BB$248, MATCH($B122, 'VLU costs'!$B$231:$B$248,0), MATCH(AE$104, 'VLU costs'!$D$230:$BB$230,0))
+ INDEX('Mixed costs'!$D$223:$BB$240, MATCH($B122, 'Mixed costs'!$B$223:$B$240,0), MATCH(AE$104, 'Mixed costs'!$D$222:$BB$222,0))
+INDEX('Arterial costs'!$D$223:$BB$240, MATCH($B122, 'Arterial costs'!$B$223:$B$240,0), MATCH(AE$104, 'Arterial costs'!$D$222:$BB$222,0))</f>
        <v>17184.85227660053</v>
      </c>
      <c r="AF122" s="742">
        <f>INDEX('VLU costs'!$D$231:$BB$248, MATCH($B122, 'VLU costs'!$B$231:$B$248,0), MATCH(AF$104, 'VLU costs'!$D$230:$BB$230,0))
+ INDEX('Mixed costs'!$D$223:$BB$240, MATCH($B122, 'Mixed costs'!$B$223:$B$240,0), MATCH(AF$104, 'Mixed costs'!$D$222:$BB$222,0))
+INDEX('Arterial costs'!$D$223:$BB$240, MATCH($B122, 'Arterial costs'!$B$223:$B$240,0), MATCH(AF$104, 'Arterial costs'!$D$222:$BB$222,0))</f>
        <v>17670.116149690093</v>
      </c>
      <c r="AG122" s="742">
        <f>INDEX('VLU costs'!$D$231:$BB$248, MATCH($B122, 'VLU costs'!$B$231:$B$248,0), MATCH(AG$104, 'VLU costs'!$D$230:$BB$230,0))
+ INDEX('Mixed costs'!$D$223:$BB$240, MATCH($B122, 'Mixed costs'!$B$223:$B$240,0), MATCH(AG$104, 'Mixed costs'!$D$222:$BB$222,0))
+INDEX('Arterial costs'!$D$223:$BB$240, MATCH($B122, 'Arterial costs'!$B$223:$B$240,0), MATCH(AG$104, 'Arterial costs'!$D$222:$BB$222,0))</f>
        <v>18163.697743538127</v>
      </c>
      <c r="AH122" s="742">
        <f>INDEX('VLU costs'!$D$231:$BB$248, MATCH($B122, 'VLU costs'!$B$231:$B$248,0), MATCH(AH$104, 'VLU costs'!$D$230:$BB$230,0))
+ INDEX('Mixed costs'!$D$223:$BB$240, MATCH($B122, 'Mixed costs'!$B$223:$B$240,0), MATCH(AH$104, 'Mixed costs'!$D$222:$BB$222,0))
+INDEX('Arterial costs'!$D$223:$BB$240, MATCH($B122, 'Arterial costs'!$B$223:$B$240,0), MATCH(AH$104, 'Arterial costs'!$D$222:$BB$222,0))</f>
        <v>18666.022844571424</v>
      </c>
      <c r="AI122" s="742">
        <f>INDEX('VLU costs'!$D$231:$BB$248, MATCH($B122, 'VLU costs'!$B$231:$B$248,0), MATCH(AI$104, 'VLU costs'!$D$230:$BB$230,0))
+ INDEX('Mixed costs'!$D$223:$BB$240, MATCH($B122, 'Mixed costs'!$B$223:$B$240,0), MATCH(AI$104, 'Mixed costs'!$D$222:$BB$222,0))
+INDEX('Arterial costs'!$D$223:$BB$240, MATCH($B122, 'Arterial costs'!$B$223:$B$240,0), MATCH(AI$104, 'Arterial costs'!$D$222:$BB$222,0))</f>
        <v>19178.517022212927</v>
      </c>
      <c r="AJ122" s="742">
        <f>INDEX('VLU costs'!$D$231:$BB$248, MATCH($B122, 'VLU costs'!$B$231:$B$248,0), MATCH(AJ$104, 'VLU costs'!$D$230:$BB$230,0))
+ INDEX('Mixed costs'!$D$223:$BB$240, MATCH($B122, 'Mixed costs'!$B$223:$B$240,0), MATCH(AJ$104, 'Mixed costs'!$D$222:$BB$222,0))
+INDEX('Arterial costs'!$D$223:$BB$240, MATCH($B122, 'Arterial costs'!$B$223:$B$240,0), MATCH(AJ$104, 'Arterial costs'!$D$222:$BB$222,0))</f>
        <v>19697.071733162906</v>
      </c>
      <c r="AK122" s="742">
        <f>INDEX('VLU costs'!$D$231:$BB$248, MATCH($B122, 'VLU costs'!$B$231:$B$248,0), MATCH(AK$104, 'VLU costs'!$D$230:$BB$230,0))
+ INDEX('Mixed costs'!$D$223:$BB$240, MATCH($B122, 'Mixed costs'!$B$223:$B$240,0), MATCH(AK$104, 'Mixed costs'!$D$222:$BB$222,0))
+INDEX('Arterial costs'!$D$223:$BB$240, MATCH($B122, 'Arterial costs'!$B$223:$B$240,0), MATCH(AK$104, 'Arterial costs'!$D$222:$BB$222,0))</f>
        <v>20218.365478526284</v>
      </c>
      <c r="AL122" s="742">
        <f>INDEX('VLU costs'!$D$231:$BB$248, MATCH($B122, 'VLU costs'!$B$231:$B$248,0), MATCH(AL$104, 'VLU costs'!$D$230:$BB$230,0))
+ INDEX('Mixed costs'!$D$223:$BB$240, MATCH($B122, 'Mixed costs'!$B$223:$B$240,0), MATCH(AL$104, 'Mixed costs'!$D$222:$BB$222,0))
+INDEX('Arterial costs'!$D$223:$BB$240, MATCH($B122, 'Arterial costs'!$B$223:$B$240,0), MATCH(AL$104, 'Arterial costs'!$D$222:$BB$222,0))</f>
        <v>20739.953742353428</v>
      </c>
      <c r="AM122" s="742">
        <f>INDEX('VLU costs'!$D$231:$BB$248, MATCH($B122, 'VLU costs'!$B$231:$B$248,0), MATCH(AM$104, 'VLU costs'!$D$230:$BB$230,0))
+ INDEX('Mixed costs'!$D$223:$BB$240, MATCH($B122, 'Mixed costs'!$B$223:$B$240,0), MATCH(AM$104, 'Mixed costs'!$D$222:$BB$222,0))
+INDEX('Arterial costs'!$D$223:$BB$240, MATCH($B122, 'Arterial costs'!$B$223:$B$240,0), MATCH(AM$104, 'Arterial costs'!$D$222:$BB$222,0))</f>
        <v>21262.918834113148</v>
      </c>
      <c r="AN122" s="742">
        <f>INDEX('VLU costs'!$D$231:$BB$248, MATCH($B122, 'VLU costs'!$B$231:$B$248,0), MATCH(AN$104, 'VLU costs'!$D$230:$BB$230,0))
+ INDEX('Mixed costs'!$D$223:$BB$240, MATCH($B122, 'Mixed costs'!$B$223:$B$240,0), MATCH(AN$104, 'Mixed costs'!$D$222:$BB$222,0))
+INDEX('Arterial costs'!$D$223:$BB$240, MATCH($B122, 'Arterial costs'!$B$223:$B$240,0), MATCH(AN$104, 'Arterial costs'!$D$222:$BB$222,0))</f>
        <v>21787.292039625227</v>
      </c>
      <c r="AO122" s="742">
        <f>INDEX('VLU costs'!$D$231:$BB$248, MATCH($B122, 'VLU costs'!$B$231:$B$248,0), MATCH(AO$104, 'VLU costs'!$D$230:$BB$230,0))
+ INDEX('Mixed costs'!$D$223:$BB$240, MATCH($B122, 'Mixed costs'!$B$223:$B$240,0), MATCH(AO$104, 'Mixed costs'!$D$222:$BB$222,0))
+INDEX('Arterial costs'!$D$223:$BB$240, MATCH($B122, 'Arterial costs'!$B$223:$B$240,0), MATCH(AO$104, 'Arterial costs'!$D$222:$BB$222,0))</f>
        <v>22312.191115964462</v>
      </c>
      <c r="AP122" s="742">
        <f>INDEX('VLU costs'!$D$231:$BB$248, MATCH($B122, 'VLU costs'!$B$231:$B$248,0), MATCH(AP$104, 'VLU costs'!$D$230:$BB$230,0))
+ INDEX('Mixed costs'!$D$223:$BB$240, MATCH($B122, 'Mixed costs'!$B$223:$B$240,0), MATCH(AP$104, 'Mixed costs'!$D$222:$BB$222,0))
+INDEX('Arterial costs'!$D$223:$BB$240, MATCH($B122, 'Arterial costs'!$B$223:$B$240,0), MATCH(AP$104, 'Arterial costs'!$D$222:$BB$222,0))</f>
        <v>22842.413454778813</v>
      </c>
      <c r="AQ122" s="742">
        <f>INDEX('VLU costs'!$D$231:$BB$248, MATCH($B122, 'VLU costs'!$B$231:$B$248,0), MATCH(AQ$104, 'VLU costs'!$D$230:$BB$230,0))
+ INDEX('Mixed costs'!$D$223:$BB$240, MATCH($B122, 'Mixed costs'!$B$223:$B$240,0), MATCH(AQ$104, 'Mixed costs'!$D$222:$BB$222,0))
+INDEX('Arterial costs'!$D$223:$BB$240, MATCH($B122, 'Arterial costs'!$B$223:$B$240,0), MATCH(AQ$104, 'Arterial costs'!$D$222:$BB$222,0))</f>
        <v>23383.653985849451</v>
      </c>
      <c r="AR122" s="742">
        <f>INDEX('VLU costs'!$D$231:$BB$248, MATCH($B122, 'VLU costs'!$B$231:$B$248,0), MATCH(AR$104, 'VLU costs'!$D$230:$BB$230,0))
+ INDEX('Mixed costs'!$D$223:$BB$240, MATCH($B122, 'Mixed costs'!$B$223:$B$240,0), MATCH(AR$104, 'Mixed costs'!$D$222:$BB$222,0))
+INDEX('Arterial costs'!$D$223:$BB$240, MATCH($B122, 'Arterial costs'!$B$223:$B$240,0), MATCH(AR$104, 'Arterial costs'!$D$222:$BB$222,0))</f>
        <v>23940.759774129714</v>
      </c>
      <c r="AS122" s="742">
        <f>INDEX('VLU costs'!$D$231:$BB$248, MATCH($B122, 'VLU costs'!$B$231:$B$248,0), MATCH(AS$104, 'VLU costs'!$D$230:$BB$230,0))
+ INDEX('Mixed costs'!$D$223:$BB$240, MATCH($B122, 'Mixed costs'!$B$223:$B$240,0), MATCH(AS$104, 'Mixed costs'!$D$222:$BB$222,0))
+INDEX('Arterial costs'!$D$223:$BB$240, MATCH($B122, 'Arterial costs'!$B$223:$B$240,0), MATCH(AS$104, 'Arterial costs'!$D$222:$BB$222,0))</f>
        <v>24482.88733455052</v>
      </c>
      <c r="AU122" s="804" t="s">
        <v>3714</v>
      </c>
    </row>
    <row r="123" spans="1:47">
      <c r="B123" s="743" t="s">
        <v>22</v>
      </c>
      <c r="C123" s="744">
        <f t="shared" ref="C123:AO123" si="15">SUM(C105:C122)</f>
        <v>1857670.8902109973</v>
      </c>
      <c r="D123" s="744">
        <f t="shared" si="15"/>
        <v>1984957.7777199771</v>
      </c>
      <c r="E123" s="744">
        <f t="shared" si="15"/>
        <v>2108712.2937463033</v>
      </c>
      <c r="F123" s="744">
        <f t="shared" si="15"/>
        <v>2231354.9957164326</v>
      </c>
      <c r="G123" s="744">
        <f t="shared" si="15"/>
        <v>2355327.7576995753</v>
      </c>
      <c r="H123" s="744">
        <f t="shared" si="15"/>
        <v>2482105.0345807988</v>
      </c>
      <c r="I123" s="744">
        <f t="shared" si="15"/>
        <v>2611793.0090165683</v>
      </c>
      <c r="J123" s="744">
        <f t="shared" si="15"/>
        <v>2745202.2337865215</v>
      </c>
      <c r="K123" s="744">
        <f t="shared" si="15"/>
        <v>2887081.5265266579</v>
      </c>
      <c r="L123" s="744">
        <f t="shared" si="15"/>
        <v>3034849.9708090462</v>
      </c>
      <c r="M123" s="744">
        <f t="shared" si="15"/>
        <v>3187260.9127098978</v>
      </c>
      <c r="N123" s="744">
        <f t="shared" si="15"/>
        <v>3342437.0377569273</v>
      </c>
      <c r="O123" s="744">
        <f t="shared" si="15"/>
        <v>3501346.0552625661</v>
      </c>
      <c r="P123" s="744">
        <f t="shared" si="15"/>
        <v>3664970.2446623184</v>
      </c>
      <c r="Q123" s="744">
        <f t="shared" si="15"/>
        <v>3834516.915299722</v>
      </c>
      <c r="R123" s="744">
        <f t="shared" si="15"/>
        <v>4010332.175658456</v>
      </c>
      <c r="S123" s="744">
        <f t="shared" si="15"/>
        <v>4191720.1592035363</v>
      </c>
      <c r="T123" s="744">
        <f t="shared" si="15"/>
        <v>4378983.276512417</v>
      </c>
      <c r="U123" s="744">
        <f t="shared" si="15"/>
        <v>4574545.646894102</v>
      </c>
      <c r="V123" s="744">
        <f t="shared" si="15"/>
        <v>4776800.7649634937</v>
      </c>
      <c r="W123" s="744">
        <f t="shared" si="15"/>
        <v>4985396.5370503254</v>
      </c>
      <c r="X123" s="744">
        <f t="shared" si="15"/>
        <v>5200419.358117885</v>
      </c>
      <c r="Y123" s="744">
        <f t="shared" si="15"/>
        <v>5423041.7681243904</v>
      </c>
      <c r="Z123" s="744">
        <f t="shared" si="15"/>
        <v>5653279.7309183674</v>
      </c>
      <c r="AA123" s="744">
        <f t="shared" si="15"/>
        <v>5890939.4231553907</v>
      </c>
      <c r="AB123" s="744">
        <f t="shared" si="15"/>
        <v>6135891.8457512232</v>
      </c>
      <c r="AC123" s="744">
        <f t="shared" si="15"/>
        <v>6387979.9942182954</v>
      </c>
      <c r="AD123" s="744">
        <f t="shared" si="15"/>
        <v>6647111.1209016535</v>
      </c>
      <c r="AE123" s="744">
        <f t="shared" si="15"/>
        <v>6913192.6644326095</v>
      </c>
      <c r="AF123" s="744">
        <f t="shared" si="15"/>
        <v>7186576.5721711358</v>
      </c>
      <c r="AG123" s="744">
        <f t="shared" si="15"/>
        <v>7468543.7807209753</v>
      </c>
      <c r="AH123" s="744">
        <f t="shared" si="15"/>
        <v>7759451.3365024664</v>
      </c>
      <c r="AI123" s="744">
        <f t="shared" si="15"/>
        <v>8059989.3543979917</v>
      </c>
      <c r="AJ123" s="744">
        <f t="shared" si="15"/>
        <v>8369076.9174202476</v>
      </c>
      <c r="AK123" s="744">
        <f t="shared" si="15"/>
        <v>8685843.7201354336</v>
      </c>
      <c r="AL123" s="744">
        <f t="shared" si="15"/>
        <v>9009670.6934100762</v>
      </c>
      <c r="AM123" s="744">
        <f t="shared" si="15"/>
        <v>9341078.9424508736</v>
      </c>
      <c r="AN123" s="744">
        <f t="shared" si="15"/>
        <v>9680259.4786935356</v>
      </c>
      <c r="AO123" s="744">
        <f t="shared" si="15"/>
        <v>10027102.872413287</v>
      </c>
      <c r="AP123" s="744">
        <f t="shared" ref="AP123" si="16">SUM(AP105:AP122)</f>
        <v>10383410.973244494</v>
      </c>
      <c r="AQ123" s="744">
        <f t="shared" ref="AQ123" si="17">SUM(AQ105:AQ122)</f>
        <v>10751362.752576619</v>
      </c>
      <c r="AR123" s="744">
        <f t="shared" ref="AR123" si="18">SUM(AR105:AR122)</f>
        <v>11132932.506560214</v>
      </c>
      <c r="AS123" s="744">
        <f t="shared" ref="AS123" si="19">SUM(AS105:AS122)</f>
        <v>11517857.595166156</v>
      </c>
    </row>
    <row r="124" spans="1:47">
      <c r="B124" s="114"/>
      <c r="C124" s="151" t="b">
        <f>C123=SUM('Baseline Summary'!C22:C24)</f>
        <v>1</v>
      </c>
      <c r="D124" s="151" t="b">
        <f>D123=SUM('Baseline Summary'!D22:D24)</f>
        <v>1</v>
      </c>
      <c r="E124" s="151" t="b">
        <f>E123=SUM('Baseline Summary'!E22:E24)</f>
        <v>1</v>
      </c>
      <c r="F124" s="151" t="b">
        <f>F123=SUM('Baseline Summary'!F22:F24)</f>
        <v>1</v>
      </c>
      <c r="G124" s="151" t="b">
        <f>G123=SUM('Baseline Summary'!G22:G24)</f>
        <v>1</v>
      </c>
      <c r="H124" s="151" t="b">
        <f>H123=SUM('Baseline Summary'!H22:H24)</f>
        <v>1</v>
      </c>
      <c r="I124" s="151" t="b">
        <f>I123=SUM('Baseline Summary'!I22:I24)</f>
        <v>1</v>
      </c>
      <c r="J124" s="151" t="b">
        <f>J123=SUM('Baseline Summary'!J22:J24)</f>
        <v>1</v>
      </c>
      <c r="K124" s="151" t="b">
        <f>K123=SUM('Baseline Summary'!K22:K24)</f>
        <v>1</v>
      </c>
      <c r="L124" s="151" t="b">
        <f>L123=SUM('Baseline Summary'!L22:L24)</f>
        <v>1</v>
      </c>
      <c r="M124" s="151" t="b">
        <f>M123=SUM('Baseline Summary'!M22:M24)</f>
        <v>1</v>
      </c>
      <c r="N124" s="151" t="b">
        <f>N123=SUM('Baseline Summary'!N22:N24)</f>
        <v>1</v>
      </c>
      <c r="O124" s="151" t="b">
        <f>O123=SUM('Baseline Summary'!O22:O24)</f>
        <v>1</v>
      </c>
      <c r="P124" s="151" t="b">
        <f>P123=SUM('Baseline Summary'!P22:P24)</f>
        <v>1</v>
      </c>
      <c r="Q124" s="151" t="b">
        <f>Q123=SUM('Baseline Summary'!Q22:Q24)</f>
        <v>1</v>
      </c>
      <c r="R124" s="151" t="b">
        <f>R123=SUM('Baseline Summary'!R22:R24)</f>
        <v>1</v>
      </c>
      <c r="S124" s="151" t="b">
        <f>S123=SUM('Baseline Summary'!S22:S24)</f>
        <v>1</v>
      </c>
      <c r="T124" s="151" t="b">
        <f>T123=SUM('Baseline Summary'!T22:T24)</f>
        <v>1</v>
      </c>
      <c r="U124" s="151" t="b">
        <f>U123=SUM('Baseline Summary'!U22:U24)</f>
        <v>1</v>
      </c>
      <c r="V124" s="151" t="b">
        <f>V123=SUM('Baseline Summary'!V22:V24)</f>
        <v>1</v>
      </c>
      <c r="W124" s="151" t="b">
        <f>W123=SUM('Baseline Summary'!W22:W24)</f>
        <v>1</v>
      </c>
      <c r="X124" s="151" t="b">
        <f>X123=SUM('Baseline Summary'!X22:X24)</f>
        <v>0</v>
      </c>
      <c r="Y124" s="151" t="b">
        <f>Y123=SUM('Baseline Summary'!Y22:Y24)</f>
        <v>1</v>
      </c>
      <c r="Z124" s="151" t="b">
        <f>Z123=SUM('Baseline Summary'!Z22:Z24)</f>
        <v>1</v>
      </c>
      <c r="AA124" s="151" t="b">
        <f>AA123=SUM('Baseline Summary'!AA22:AA24)</f>
        <v>1</v>
      </c>
      <c r="AB124" s="151" t="b">
        <f>AB123=SUM('Baseline Summary'!AB22:AB24)</f>
        <v>1</v>
      </c>
      <c r="AC124" s="151" t="b">
        <f>AC123=SUM('Baseline Summary'!AC22:AC24)</f>
        <v>1</v>
      </c>
      <c r="AD124" s="151" t="b">
        <f>AD123=SUM('Baseline Summary'!AD22:AD24)</f>
        <v>1</v>
      </c>
      <c r="AE124" s="151" t="b">
        <f>AE123=SUM('Baseline Summary'!AE22:AE24)</f>
        <v>1</v>
      </c>
      <c r="AF124" s="151" t="b">
        <f>AF123=SUM('Baseline Summary'!AF22:AF24)</f>
        <v>0</v>
      </c>
      <c r="AG124" s="151" t="b">
        <f>AG123=SUM('Baseline Summary'!AG22:AG24)</f>
        <v>1</v>
      </c>
      <c r="AH124" s="151" t="b">
        <f>AH123=SUM('Baseline Summary'!AH22:AH24)</f>
        <v>1</v>
      </c>
      <c r="AI124" s="151" t="b">
        <f>AI123=SUM('Baseline Summary'!AI22:AI24)</f>
        <v>1</v>
      </c>
      <c r="AJ124" s="151" t="b">
        <f>AJ123=SUM('Baseline Summary'!AJ22:AJ24)</f>
        <v>1</v>
      </c>
      <c r="AK124" s="151" t="b">
        <f>AK123=SUM('Baseline Summary'!AK22:AK24)</f>
        <v>1</v>
      </c>
      <c r="AL124" s="151" t="b">
        <f>AL123=SUM('Baseline Summary'!AL22:AL24)</f>
        <v>1</v>
      </c>
      <c r="AM124" s="151" t="b">
        <f>AM123=SUM('Baseline Summary'!AM22:AM24)</f>
        <v>1</v>
      </c>
      <c r="AN124" s="151" t="b">
        <f>AN123=SUM('Baseline Summary'!AN22:AN24)</f>
        <v>0</v>
      </c>
      <c r="AO124" s="151" t="b">
        <f>AO123=SUM('Baseline Summary'!AO22:AO24)</f>
        <v>1</v>
      </c>
      <c r="AP124" s="151" t="b">
        <f>AP123=SUM('Baseline Summary'!AP22:AP24)</f>
        <v>0</v>
      </c>
      <c r="AQ124" s="151" t="b">
        <f>AQ123=SUM('Baseline Summary'!AQ22:AQ24)</f>
        <v>0</v>
      </c>
      <c r="AR124" s="151" t="b">
        <f>AR123=SUM('Baseline Summary'!AR22:AR24)</f>
        <v>0</v>
      </c>
      <c r="AS124" s="151" t="b">
        <f>AS123=SUM('Baseline Summary'!AS22:AS24)</f>
        <v>0</v>
      </c>
    </row>
    <row r="125" spans="1:47">
      <c r="B125" s="114"/>
      <c r="M125" s="736"/>
    </row>
    <row r="126" spans="1:47">
      <c r="A126" s="9" t="s">
        <v>10</v>
      </c>
      <c r="B126" s="9" t="s">
        <v>3480</v>
      </c>
      <c r="J126" s="15"/>
    </row>
    <row r="128" spans="1:47">
      <c r="B128" s="84" t="s">
        <v>125</v>
      </c>
      <c r="C128" s="34">
        <f t="shared" ref="C128:AO128" si="20">C21</f>
        <v>2020</v>
      </c>
      <c r="D128" s="34">
        <f t="shared" si="20"/>
        <v>2021</v>
      </c>
      <c r="E128" s="34">
        <f t="shared" si="20"/>
        <v>2022</v>
      </c>
      <c r="F128" s="34">
        <f t="shared" si="20"/>
        <v>2023</v>
      </c>
      <c r="G128" s="34">
        <f t="shared" si="20"/>
        <v>2024</v>
      </c>
      <c r="H128" s="34">
        <f t="shared" si="20"/>
        <v>2025</v>
      </c>
      <c r="I128" s="34">
        <f t="shared" si="20"/>
        <v>2026</v>
      </c>
      <c r="J128" s="34">
        <f t="shared" si="20"/>
        <v>2027</v>
      </c>
      <c r="K128" s="34">
        <f t="shared" si="20"/>
        <v>2028</v>
      </c>
      <c r="L128" s="34">
        <f t="shared" si="20"/>
        <v>2029</v>
      </c>
      <c r="M128" s="34">
        <f t="shared" si="20"/>
        <v>2030</v>
      </c>
      <c r="N128" s="34">
        <f t="shared" si="20"/>
        <v>2031</v>
      </c>
      <c r="O128" s="34">
        <f t="shared" si="20"/>
        <v>2032</v>
      </c>
      <c r="P128" s="34">
        <f t="shared" si="20"/>
        <v>2033</v>
      </c>
      <c r="Q128" s="34">
        <f t="shared" si="20"/>
        <v>2034</v>
      </c>
      <c r="R128" s="34">
        <f t="shared" si="20"/>
        <v>2035</v>
      </c>
      <c r="S128" s="34">
        <f t="shared" si="20"/>
        <v>2036</v>
      </c>
      <c r="T128" s="34">
        <f t="shared" si="20"/>
        <v>2037</v>
      </c>
      <c r="U128" s="34">
        <f t="shared" si="20"/>
        <v>2038</v>
      </c>
      <c r="V128" s="34">
        <f t="shared" si="20"/>
        <v>2039</v>
      </c>
      <c r="W128" s="34">
        <f t="shared" si="20"/>
        <v>2040</v>
      </c>
      <c r="X128" s="34">
        <f t="shared" si="20"/>
        <v>2041</v>
      </c>
      <c r="Y128" s="34">
        <f t="shared" si="20"/>
        <v>2042</v>
      </c>
      <c r="Z128" s="34">
        <f t="shared" si="20"/>
        <v>2043</v>
      </c>
      <c r="AA128" s="34">
        <f t="shared" si="20"/>
        <v>2044</v>
      </c>
      <c r="AB128" s="34">
        <f t="shared" si="20"/>
        <v>2045</v>
      </c>
      <c r="AC128" s="34">
        <f t="shared" si="20"/>
        <v>2046</v>
      </c>
      <c r="AD128" s="34">
        <f t="shared" si="20"/>
        <v>2047</v>
      </c>
      <c r="AE128" s="34">
        <f t="shared" si="20"/>
        <v>2048</v>
      </c>
      <c r="AF128" s="34">
        <f t="shared" si="20"/>
        <v>2049</v>
      </c>
      <c r="AG128" s="34">
        <f t="shared" si="20"/>
        <v>2050</v>
      </c>
      <c r="AH128" s="34">
        <f t="shared" si="20"/>
        <v>2051</v>
      </c>
      <c r="AI128" s="34">
        <f t="shared" si="20"/>
        <v>2052</v>
      </c>
      <c r="AJ128" s="34">
        <f t="shared" si="20"/>
        <v>2053</v>
      </c>
      <c r="AK128" s="34">
        <f t="shared" si="20"/>
        <v>2054</v>
      </c>
      <c r="AL128" s="34">
        <f t="shared" si="20"/>
        <v>2055</v>
      </c>
      <c r="AM128" s="34">
        <f t="shared" si="20"/>
        <v>2056</v>
      </c>
      <c r="AN128" s="34">
        <f t="shared" si="20"/>
        <v>2057</v>
      </c>
      <c r="AO128" s="34">
        <f t="shared" si="20"/>
        <v>2058</v>
      </c>
      <c r="AP128" s="34">
        <f>AO128+1</f>
        <v>2059</v>
      </c>
      <c r="AQ128" s="34">
        <f t="shared" ref="AQ128:AS128" si="21">AP128+1</f>
        <v>2060</v>
      </c>
      <c r="AR128" s="34">
        <f t="shared" si="21"/>
        <v>2061</v>
      </c>
      <c r="AS128" s="34">
        <f t="shared" si="21"/>
        <v>2062</v>
      </c>
    </row>
    <row r="129" spans="2:54">
      <c r="B129" s="6" t="s">
        <v>11</v>
      </c>
      <c r="C129" s="742">
        <f>INDEX('VLU costs INT'!$D$235:$BB$252, MATCH($B129, 'VLU costs INT'!$B$235:$B$252,0), MATCH(C$128, 'VLU costs INT'!$D$234:$BB$234,0))
+ INDEX('Mixed costs INT'!$D$226:$BB$243, MATCH($B129, 'Mixed costs INT'!$B$226:$B$243,0), MATCH(C$128, 'Mixed costs INT'!$D$225:$BB$225,0))
+ INDEX('Arterial costs'!$D$223:$BB$240, MATCH($B129, 'Arterial costs'!$B$223:$B$240,0), MATCH(C$128, 'Arterial costs'!$D$222:$BB$222,0))</f>
        <v>162275.67023773913</v>
      </c>
      <c r="D129" s="742">
        <f>INDEX('VLU costs INT'!$D$235:$BB$252, MATCH($B129, 'VLU costs INT'!$B$235:$B$252,0), MATCH(D$128, 'VLU costs INT'!$D$234:$BB$234,0))
+ INDEX('Mixed costs INT'!$D$226:$BB$243, MATCH($B129, 'Mixed costs INT'!$B$226:$B$243,0), MATCH(D$128, 'Mixed costs INT'!$D$225:$BB$225,0))
+ INDEX('Arterial costs'!$D$223:$BB$240, MATCH($B129, 'Arterial costs'!$B$223:$B$240,0), MATCH(D$128, 'Arterial costs'!$D$222:$BB$222,0))</f>
        <v>172556.86654689643</v>
      </c>
      <c r="E129" s="742">
        <f>INDEX('VLU costs INT'!$D$235:$BB$252, MATCH($B129, 'VLU costs INT'!$B$235:$B$252,0), MATCH(E$128, 'VLU costs INT'!$D$234:$BB$234,0))
+ INDEX('Mixed costs INT'!$D$226:$BB$243, MATCH($B129, 'Mixed costs INT'!$B$226:$B$243,0), MATCH(E$128, 'Mixed costs INT'!$D$225:$BB$225,0))
+ INDEX('Arterial costs'!$D$223:$BB$240, MATCH($B129, 'Arterial costs'!$B$223:$B$240,0), MATCH(E$128, 'Arterial costs'!$D$222:$BB$222,0))</f>
        <v>182417.94444463748</v>
      </c>
      <c r="F129" s="742">
        <f>INDEX('VLU costs INT'!$D$235:$BB$252, MATCH($B129, 'VLU costs INT'!$B$235:$B$252,0), MATCH(F$128, 'VLU costs INT'!$D$234:$BB$234,0))
+ INDEX('Mixed costs INT'!$D$226:$BB$243, MATCH($B129, 'Mixed costs INT'!$B$226:$B$243,0), MATCH(F$128, 'Mixed costs INT'!$D$225:$BB$225,0))
+ INDEX('Arterial costs'!$D$223:$BB$240, MATCH($B129, 'Arterial costs'!$B$223:$B$240,0), MATCH(F$128, 'Arterial costs'!$D$222:$BB$222,0))</f>
        <v>192077.38393437874</v>
      </c>
      <c r="G129" s="742">
        <f>INDEX('VLU costs INT'!$D$235:$BB$252, MATCH($B129, 'VLU costs INT'!$B$235:$B$252,0), MATCH(G$128, 'VLU costs INT'!$D$234:$BB$234,0))
+ INDEX('Mixed costs INT'!$D$226:$BB$243, MATCH($B129, 'Mixed costs INT'!$B$226:$B$243,0), MATCH(G$128, 'Mixed costs INT'!$D$225:$BB$225,0))
+ INDEX('Arterial costs'!$D$223:$BB$240, MATCH($B129, 'Arterial costs'!$B$223:$B$240,0), MATCH(G$128, 'Arterial costs'!$D$222:$BB$222,0))</f>
        <v>177508.8384092185</v>
      </c>
      <c r="H129" s="742">
        <f>INDEX('VLU costs INT'!$D$235:$BB$252, MATCH($B129, 'VLU costs INT'!$B$235:$B$252,0), MATCH(H$128, 'VLU costs INT'!$D$234:$BB$234,0))
+ INDEX('Mixed costs INT'!$D$226:$BB$243, MATCH($B129, 'Mixed costs INT'!$B$226:$B$243,0), MATCH(H$128, 'Mixed costs INT'!$D$225:$BB$225,0))
+ INDEX('Arterial costs'!$D$223:$BB$240, MATCH($B129, 'Arterial costs'!$B$223:$B$240,0), MATCH(H$128, 'Arterial costs'!$D$222:$BB$222,0))</f>
        <v>165563.11436956387</v>
      </c>
      <c r="I129" s="742">
        <f>INDEX('VLU costs INT'!$D$235:$BB$252, MATCH($B129, 'VLU costs INT'!$B$235:$B$252,0), MATCH(I$128, 'VLU costs INT'!$D$234:$BB$234,0))
+ INDEX('Mixed costs INT'!$D$226:$BB$243, MATCH($B129, 'Mixed costs INT'!$B$226:$B$243,0), MATCH(I$128, 'Mixed costs INT'!$D$225:$BB$225,0))
+ INDEX('Arterial costs'!$D$223:$BB$240, MATCH($B129, 'Arterial costs'!$B$223:$B$240,0), MATCH(I$128, 'Arterial costs'!$D$222:$BB$222,0))</f>
        <v>159970.13775047401</v>
      </c>
      <c r="J129" s="742">
        <f>INDEX('VLU costs INT'!$D$235:$BB$252, MATCH($B129, 'VLU costs INT'!$B$235:$B$252,0), MATCH(J$128, 'VLU costs INT'!$D$234:$BB$234,0))
+ INDEX('Mixed costs INT'!$D$226:$BB$243, MATCH($B129, 'Mixed costs INT'!$B$226:$B$243,0), MATCH(J$128, 'Mixed costs INT'!$D$225:$BB$225,0))
+ INDEX('Arterial costs'!$D$223:$BB$240, MATCH($B129, 'Arterial costs'!$B$223:$B$240,0), MATCH(J$128, 'Arterial costs'!$D$222:$BB$222,0))</f>
        <v>158657.28062106951</v>
      </c>
      <c r="K129" s="742">
        <f>INDEX('VLU costs INT'!$D$235:$BB$252, MATCH($B129, 'VLU costs INT'!$B$235:$B$252,0), MATCH(K$128, 'VLU costs INT'!$D$234:$BB$234,0))
+ INDEX('Mixed costs INT'!$D$226:$BB$243, MATCH($B129, 'Mixed costs INT'!$B$226:$B$243,0), MATCH(K$128, 'Mixed costs INT'!$D$225:$BB$225,0))
+ INDEX('Arterial costs'!$D$223:$BB$240, MATCH($B129, 'Arterial costs'!$B$223:$B$240,0), MATCH(K$128, 'Arterial costs'!$D$222:$BB$222,0))</f>
        <v>160505.32830242268</v>
      </c>
      <c r="L129" s="742">
        <f>INDEX('VLU costs INT'!$D$235:$BB$252, MATCH($B129, 'VLU costs INT'!$B$235:$B$252,0), MATCH(L$128, 'VLU costs INT'!$D$234:$BB$234,0))
+ INDEX('Mixed costs INT'!$D$226:$BB$243, MATCH($B129, 'Mixed costs INT'!$B$226:$B$243,0), MATCH(L$128, 'Mixed costs INT'!$D$225:$BB$225,0))
+ INDEX('Arterial costs'!$D$223:$BB$240, MATCH($B129, 'Arterial costs'!$B$223:$B$240,0), MATCH(L$128, 'Arterial costs'!$D$222:$BB$222,0))</f>
        <v>164390.75757863396</v>
      </c>
      <c r="M129" s="742">
        <f>INDEX('VLU costs INT'!$D$235:$BB$252, MATCH($B129, 'VLU costs INT'!$B$235:$B$252,0), MATCH(M$128, 'VLU costs INT'!$D$234:$BB$234,0))
+ INDEX('Mixed costs INT'!$D$226:$BB$243, MATCH($B129, 'Mixed costs INT'!$B$226:$B$243,0), MATCH(M$128, 'Mixed costs INT'!$D$225:$BB$225,0))
+ INDEX('Arterial costs'!$D$223:$BB$240, MATCH($B129, 'Arterial costs'!$B$223:$B$240,0), MATCH(M$128, 'Arterial costs'!$D$222:$BB$222,0))</f>
        <v>169640.36283863327</v>
      </c>
      <c r="N129" s="742">
        <f>INDEX('VLU costs INT'!$D$235:$BB$252, MATCH($B129, 'VLU costs INT'!$B$235:$B$252,0), MATCH(N$128, 'VLU costs INT'!$D$234:$BB$234,0))
+ INDEX('Mixed costs INT'!$D$226:$BB$243, MATCH($B129, 'Mixed costs INT'!$B$226:$B$243,0), MATCH(N$128, 'Mixed costs INT'!$D$225:$BB$225,0))
+ INDEX('Arterial costs'!$D$223:$BB$240, MATCH($B129, 'Arterial costs'!$B$223:$B$240,0), MATCH(N$128, 'Arterial costs'!$D$222:$BB$222,0))</f>
        <v>175939.8476380668</v>
      </c>
      <c r="O129" s="742">
        <f>INDEX('VLU costs INT'!$D$235:$BB$252, MATCH($B129, 'VLU costs INT'!$B$235:$B$252,0), MATCH(O$128, 'VLU costs INT'!$D$234:$BB$234,0))
+ INDEX('Mixed costs INT'!$D$226:$BB$243, MATCH($B129, 'Mixed costs INT'!$B$226:$B$243,0), MATCH(O$128, 'Mixed costs INT'!$D$225:$BB$225,0))
+ INDEX('Arterial costs'!$D$223:$BB$240, MATCH($B129, 'Arterial costs'!$B$223:$B$240,0), MATCH(O$128, 'Arterial costs'!$D$222:$BB$222,0))</f>
        <v>182890.41343948868</v>
      </c>
      <c r="P129" s="742">
        <f>INDEX('VLU costs INT'!$D$235:$BB$252, MATCH($B129, 'VLU costs INT'!$B$235:$B$252,0), MATCH(P$128, 'VLU costs INT'!$D$234:$BB$234,0))
+ INDEX('Mixed costs INT'!$D$226:$BB$243, MATCH($B129, 'Mixed costs INT'!$B$226:$B$243,0), MATCH(P$128, 'Mixed costs INT'!$D$225:$BB$225,0))
+ INDEX('Arterial costs'!$D$223:$BB$240, MATCH($B129, 'Arterial costs'!$B$223:$B$240,0), MATCH(P$128, 'Arterial costs'!$D$222:$BB$222,0))</f>
        <v>190329.10795532423</v>
      </c>
      <c r="Q129" s="742">
        <f>INDEX('VLU costs INT'!$D$235:$BB$252, MATCH($B129, 'VLU costs INT'!$B$235:$B$252,0), MATCH(Q$128, 'VLU costs INT'!$D$234:$BB$234,0))
+ INDEX('Mixed costs INT'!$D$226:$BB$243, MATCH($B129, 'Mixed costs INT'!$B$226:$B$243,0), MATCH(Q$128, 'Mixed costs INT'!$D$225:$BB$225,0))
+ INDEX('Arterial costs'!$D$223:$BB$240, MATCH($B129, 'Arterial costs'!$B$223:$B$240,0), MATCH(Q$128, 'Arterial costs'!$D$222:$BB$222,0))</f>
        <v>198199.64916901436</v>
      </c>
      <c r="R129" s="742">
        <f>INDEX('VLU costs INT'!$D$235:$BB$252, MATCH($B129, 'VLU costs INT'!$B$235:$B$252,0), MATCH(R$128, 'VLU costs INT'!$D$234:$BB$234,0))
+ INDEX('Mixed costs INT'!$D$226:$BB$243, MATCH($B129, 'Mixed costs INT'!$B$226:$B$243,0), MATCH(R$128, 'Mixed costs INT'!$D$225:$BB$225,0))
+ INDEX('Arterial costs'!$D$223:$BB$240, MATCH($B129, 'Arterial costs'!$B$223:$B$240,0), MATCH(R$128, 'Arterial costs'!$D$222:$BB$222,0))</f>
        <v>206447.34675319071</v>
      </c>
      <c r="S129" s="742">
        <f>INDEX('VLU costs INT'!$D$235:$BB$252, MATCH($B129, 'VLU costs INT'!$B$235:$B$252,0), MATCH(S$128, 'VLU costs INT'!$D$234:$BB$234,0))
+ INDEX('Mixed costs INT'!$D$226:$BB$243, MATCH($B129, 'Mixed costs INT'!$B$226:$B$243,0), MATCH(S$128, 'Mixed costs INT'!$D$225:$BB$225,0))
+ INDEX('Arterial costs'!$D$223:$BB$240, MATCH($B129, 'Arterial costs'!$B$223:$B$240,0), MATCH(S$128, 'Arterial costs'!$D$222:$BB$222,0))</f>
        <v>215022.78939438608</v>
      </c>
      <c r="T129" s="742">
        <f>INDEX('VLU costs INT'!$D$235:$BB$252, MATCH($B129, 'VLU costs INT'!$B$235:$B$252,0), MATCH(T$128, 'VLU costs INT'!$D$234:$BB$234,0))
+ INDEX('Mixed costs INT'!$D$226:$BB$243, MATCH($B129, 'Mixed costs INT'!$B$226:$B$243,0), MATCH(T$128, 'Mixed costs INT'!$D$225:$BB$225,0))
+ INDEX('Arterial costs'!$D$223:$BB$240, MATCH($B129, 'Arterial costs'!$B$223:$B$240,0), MATCH(T$128, 'Arterial costs'!$D$222:$BB$222,0))</f>
        <v>223938.73753828189</v>
      </c>
      <c r="U129" s="742">
        <f>INDEX('VLU costs INT'!$D$235:$BB$252, MATCH($B129, 'VLU costs INT'!$B$235:$B$252,0), MATCH(U$128, 'VLU costs INT'!$D$234:$BB$234,0))
+ INDEX('Mixed costs INT'!$D$226:$BB$243, MATCH($B129, 'Mixed costs INT'!$B$226:$B$243,0), MATCH(U$128, 'Mixed costs INT'!$D$225:$BB$225,0))
+ INDEX('Arterial costs'!$D$223:$BB$240, MATCH($B129, 'Arterial costs'!$B$223:$B$240,0), MATCH(U$128, 'Arterial costs'!$D$222:$BB$222,0))</f>
        <v>233294.77997018368</v>
      </c>
      <c r="V129" s="742">
        <f>INDEX('VLU costs INT'!$D$235:$BB$252, MATCH($B129, 'VLU costs INT'!$B$235:$B$252,0), MATCH(V$128, 'VLU costs INT'!$D$234:$BB$234,0))
+ INDEX('Mixed costs INT'!$D$226:$BB$243, MATCH($B129, 'Mixed costs INT'!$B$226:$B$243,0), MATCH(V$128, 'Mixed costs INT'!$D$225:$BB$225,0))
+ INDEX('Arterial costs'!$D$223:$BB$240, MATCH($B129, 'Arterial costs'!$B$223:$B$240,0), MATCH(V$128, 'Arterial costs'!$D$222:$BB$222,0))</f>
        <v>242958.13067009352</v>
      </c>
      <c r="W129" s="742">
        <f>INDEX('VLU costs INT'!$D$235:$BB$252, MATCH($B129, 'VLU costs INT'!$B$235:$B$252,0), MATCH(W$128, 'VLU costs INT'!$D$234:$BB$234,0))
+ INDEX('Mixed costs INT'!$D$226:$BB$243, MATCH($B129, 'Mixed costs INT'!$B$226:$B$243,0), MATCH(W$128, 'Mixed costs INT'!$D$225:$BB$225,0))
+ INDEX('Arterial costs'!$D$223:$BB$240, MATCH($B129, 'Arterial costs'!$B$223:$B$240,0), MATCH(W$128, 'Arterial costs'!$D$222:$BB$222,0))</f>
        <v>252906.84023254827</v>
      </c>
      <c r="X129" s="742">
        <f>INDEX('VLU costs INT'!$D$235:$BB$252, MATCH($B129, 'VLU costs INT'!$B$235:$B$252,0), MATCH(X$128, 'VLU costs INT'!$D$234:$BB$234,0))
+ INDEX('Mixed costs INT'!$D$226:$BB$243, MATCH($B129, 'Mixed costs INT'!$B$226:$B$243,0), MATCH(X$128, 'Mixed costs INT'!$D$225:$BB$225,0))
+ INDEX('Arterial costs'!$D$223:$BB$240, MATCH($B129, 'Arterial costs'!$B$223:$B$240,0), MATCH(X$128, 'Arterial costs'!$D$222:$BB$222,0))</f>
        <v>263200.27241113147</v>
      </c>
      <c r="Y129" s="742">
        <f>INDEX('VLU costs INT'!$D$235:$BB$252, MATCH($B129, 'VLU costs INT'!$B$235:$B$252,0), MATCH(Y$128, 'VLU costs INT'!$D$234:$BB$234,0))
+ INDEX('Mixed costs INT'!$D$226:$BB$243, MATCH($B129, 'Mixed costs INT'!$B$226:$B$243,0), MATCH(Y$128, 'Mixed costs INT'!$D$225:$BB$225,0))
+ INDEX('Arterial costs'!$D$223:$BB$240, MATCH($B129, 'Arterial costs'!$B$223:$B$240,0), MATCH(Y$128, 'Arterial costs'!$D$222:$BB$222,0))</f>
        <v>273820.6055404701</v>
      </c>
      <c r="Z129" s="742">
        <f>INDEX('VLU costs INT'!$D$235:$BB$252, MATCH($B129, 'VLU costs INT'!$B$235:$B$252,0), MATCH(Z$128, 'VLU costs INT'!$D$234:$BB$234,0))
+ INDEX('Mixed costs INT'!$D$226:$BB$243, MATCH($B129, 'Mixed costs INT'!$B$226:$B$243,0), MATCH(Z$128, 'Mixed costs INT'!$D$225:$BB$225,0))
+ INDEX('Arterial costs'!$D$223:$BB$240, MATCH($B129, 'Arterial costs'!$B$223:$B$240,0), MATCH(Z$128, 'Arterial costs'!$D$222:$BB$222,0))</f>
        <v>284752.69565847039</v>
      </c>
      <c r="AA129" s="742">
        <f>INDEX('VLU costs INT'!$D$235:$BB$252, MATCH($B129, 'VLU costs INT'!$B$235:$B$252,0), MATCH(AA$128, 'VLU costs INT'!$D$234:$BB$234,0))
+ INDEX('Mixed costs INT'!$D$226:$BB$243, MATCH($B129, 'Mixed costs INT'!$B$226:$B$243,0), MATCH(AA$128, 'Mixed costs INT'!$D$225:$BB$225,0))
+ INDEX('Arterial costs'!$D$223:$BB$240, MATCH($B129, 'Arterial costs'!$B$223:$B$240,0), MATCH(AA$128, 'Arterial costs'!$D$222:$BB$222,0))</f>
        <v>295987.55870421516</v>
      </c>
      <c r="AB129" s="742">
        <f>INDEX('VLU costs INT'!$D$235:$BB$252, MATCH($B129, 'VLU costs INT'!$B$235:$B$252,0), MATCH(AB$128, 'VLU costs INT'!$D$234:$BB$234,0))
+ INDEX('Mixed costs INT'!$D$226:$BB$243, MATCH($B129, 'Mixed costs INT'!$B$226:$B$243,0), MATCH(AB$128, 'Mixed costs INT'!$D$225:$BB$225,0))
+ INDEX('Arterial costs'!$D$223:$BB$240, MATCH($B129, 'Arterial costs'!$B$223:$B$240,0), MATCH(AB$128, 'Arterial costs'!$D$222:$BB$222,0))</f>
        <v>307547.73185108718</v>
      </c>
      <c r="AC129" s="742">
        <f>INDEX('VLU costs INT'!$D$235:$BB$252, MATCH($B129, 'VLU costs INT'!$B$235:$B$252,0), MATCH(AC$128, 'VLU costs INT'!$D$234:$BB$234,0))
+ INDEX('Mixed costs INT'!$D$226:$BB$243, MATCH($B129, 'Mixed costs INT'!$B$226:$B$243,0), MATCH(AC$128, 'Mixed costs INT'!$D$225:$BB$225,0))
+ INDEX('Arterial costs'!$D$223:$BB$240, MATCH($B129, 'Arterial costs'!$B$223:$B$240,0), MATCH(AC$128, 'Arterial costs'!$D$222:$BB$222,0))</f>
        <v>319410.15480592538</v>
      </c>
      <c r="AD129" s="742">
        <f>INDEX('VLU costs INT'!$D$235:$BB$252, MATCH($B129, 'VLU costs INT'!$B$235:$B$252,0), MATCH(AD$128, 'VLU costs INT'!$D$234:$BB$234,0))
+ INDEX('Mixed costs INT'!$D$226:$BB$243, MATCH($B129, 'Mixed costs INT'!$B$226:$B$243,0), MATCH(AD$128, 'Mixed costs INT'!$D$225:$BB$225,0))
+ INDEX('Arterial costs'!$D$223:$BB$240, MATCH($B129, 'Arterial costs'!$B$223:$B$240,0), MATCH(AD$128, 'Arterial costs'!$D$222:$BB$222,0))</f>
        <v>331553.73756055429</v>
      </c>
      <c r="AE129" s="742">
        <f>INDEX('VLU costs INT'!$D$235:$BB$252, MATCH($B129, 'VLU costs INT'!$B$235:$B$252,0), MATCH(AE$128, 'VLU costs INT'!$D$234:$BB$234,0))
+ INDEX('Mixed costs INT'!$D$226:$BB$243, MATCH($B129, 'Mixed costs INT'!$B$226:$B$243,0), MATCH(AE$128, 'Mixed costs INT'!$D$225:$BB$225,0))
+ INDEX('Arterial costs'!$D$223:$BB$240, MATCH($B129, 'Arterial costs'!$B$223:$B$240,0), MATCH(AE$128, 'Arterial costs'!$D$222:$BB$222,0))</f>
        <v>343964.29469998856</v>
      </c>
      <c r="AF129" s="742">
        <f>INDEX('VLU costs INT'!$D$235:$BB$252, MATCH($B129, 'VLU costs INT'!$B$235:$B$252,0), MATCH(AF$128, 'VLU costs INT'!$D$234:$BB$234,0))
+ INDEX('Mixed costs INT'!$D$226:$BB$243, MATCH($B129, 'Mixed costs INT'!$B$226:$B$243,0), MATCH(AF$128, 'Mixed costs INT'!$D$225:$BB$225,0))
+ INDEX('Arterial costs'!$D$223:$BB$240, MATCH($B129, 'Arterial costs'!$B$223:$B$240,0), MATCH(AF$128, 'Arterial costs'!$D$222:$BB$222,0))</f>
        <v>356652.29379971616</v>
      </c>
      <c r="AG129" s="742">
        <f>INDEX('VLU costs INT'!$D$235:$BB$252, MATCH($B129, 'VLU costs INT'!$B$235:$B$252,0), MATCH(AG$128, 'VLU costs INT'!$D$234:$BB$234,0))
+ INDEX('Mixed costs INT'!$D$226:$BB$243, MATCH($B129, 'Mixed costs INT'!$B$226:$B$243,0), MATCH(AG$128, 'Mixed costs INT'!$D$225:$BB$225,0))
+ INDEX('Arterial costs'!$D$223:$BB$240, MATCH($B129, 'Arterial costs'!$B$223:$B$240,0), MATCH(AG$128, 'Arterial costs'!$D$222:$BB$222,0))</f>
        <v>369678.85660437902</v>
      </c>
      <c r="AH129" s="742">
        <f>INDEX('VLU costs INT'!$D$235:$BB$252, MATCH($B129, 'VLU costs INT'!$B$235:$B$252,0), MATCH(AH$128, 'VLU costs INT'!$D$234:$BB$234,0))
+ INDEX('Mixed costs INT'!$D$226:$BB$243, MATCH($B129, 'Mixed costs INT'!$B$226:$B$243,0), MATCH(AH$128, 'Mixed costs INT'!$D$225:$BB$225,0))
+ INDEX('Arterial costs'!$D$223:$BB$240, MATCH($B129, 'Arterial costs'!$B$223:$B$240,0), MATCH(AH$128, 'Arterial costs'!$D$222:$BB$222,0))</f>
        <v>383057.9616891187</v>
      </c>
      <c r="AI129" s="742">
        <f>INDEX('VLU costs INT'!$D$235:$BB$252, MATCH($B129, 'VLU costs INT'!$B$235:$B$252,0), MATCH(AI$128, 'VLU costs INT'!$D$234:$BB$234,0))
+ INDEX('Mixed costs INT'!$D$226:$BB$243, MATCH($B129, 'Mixed costs INT'!$B$226:$B$243,0), MATCH(AI$128, 'Mixed costs INT'!$D$225:$BB$225,0))
+ INDEX('Arterial costs'!$D$223:$BB$240, MATCH($B129, 'Arterial costs'!$B$223:$B$240,0), MATCH(AI$128, 'Arterial costs'!$D$222:$BB$222,0))</f>
        <v>396832.42189982714</v>
      </c>
      <c r="AJ129" s="742">
        <f>INDEX('VLU costs INT'!$D$235:$BB$252, MATCH($B129, 'VLU costs INT'!$B$235:$B$252,0), MATCH(AJ$128, 'VLU costs INT'!$D$234:$BB$234,0))
+ INDEX('Mixed costs INT'!$D$226:$BB$243, MATCH($B129, 'Mixed costs INT'!$B$226:$B$243,0), MATCH(AJ$128, 'Mixed costs INT'!$D$225:$BB$225,0))
+ INDEX('Arterial costs'!$D$223:$BB$240, MATCH($B129, 'Arterial costs'!$B$223:$B$240,0), MATCH(AJ$128, 'Arterial costs'!$D$222:$BB$222,0))</f>
        <v>410975.60017716157</v>
      </c>
      <c r="AK129" s="742">
        <f>INDEX('VLU costs INT'!$D$235:$BB$252, MATCH($B129, 'VLU costs INT'!$B$235:$B$252,0), MATCH(AK$128, 'VLU costs INT'!$D$234:$BB$234,0))
+ INDEX('Mixed costs INT'!$D$226:$BB$243, MATCH($B129, 'Mixed costs INT'!$B$226:$B$243,0), MATCH(AK$128, 'Mixed costs INT'!$D$225:$BB$225,0))
+ INDEX('Arterial costs'!$D$223:$BB$240, MATCH($B129, 'Arterial costs'!$B$223:$B$240,0), MATCH(AK$128, 'Arterial costs'!$D$222:$BB$222,0))</f>
        <v>425434.76844542689</v>
      </c>
      <c r="AL129" s="742">
        <f>INDEX('VLU costs INT'!$D$235:$BB$252, MATCH($B129, 'VLU costs INT'!$B$235:$B$252,0), MATCH(AL$128, 'VLU costs INT'!$D$234:$BB$234,0))
+ INDEX('Mixed costs INT'!$D$226:$BB$243, MATCH($B129, 'Mixed costs INT'!$B$226:$B$243,0), MATCH(AL$128, 'Mixed costs INT'!$D$225:$BB$225,0))
+ INDEX('Arterial costs'!$D$223:$BB$240, MATCH($B129, 'Arterial costs'!$B$223:$B$240,0), MATCH(AL$128, 'Arterial costs'!$D$222:$BB$222,0))</f>
        <v>440180.70107533998</v>
      </c>
      <c r="AM129" s="742">
        <f>INDEX('VLU costs INT'!$D$235:$BB$252, MATCH($B129, 'VLU costs INT'!$B$235:$B$252,0), MATCH(AM$128, 'VLU costs INT'!$D$234:$BB$234,0))
+ INDEX('Mixed costs INT'!$D$226:$BB$243, MATCH($B129, 'Mixed costs INT'!$B$226:$B$243,0), MATCH(AM$128, 'Mixed costs INT'!$D$225:$BB$225,0))
+ INDEX('Arterial costs'!$D$223:$BB$240, MATCH($B129, 'Arterial costs'!$B$223:$B$240,0), MATCH(AM$128, 'Arterial costs'!$D$222:$BB$222,0))</f>
        <v>455192.02818638133</v>
      </c>
      <c r="AN129" s="742">
        <f>INDEX('VLU costs INT'!$D$235:$BB$252, MATCH($B129, 'VLU costs INT'!$B$235:$B$252,0), MATCH(AN$128, 'VLU costs INT'!$D$234:$BB$234,0))
+ INDEX('Mixed costs INT'!$D$226:$BB$243, MATCH($B129, 'Mixed costs INT'!$B$226:$B$243,0), MATCH(AN$128, 'Mixed costs INT'!$D$225:$BB$225,0))
+ INDEX('Arterial costs'!$D$223:$BB$240, MATCH($B129, 'Arterial costs'!$B$223:$B$240,0), MATCH(AN$128, 'Arterial costs'!$D$222:$BB$222,0))</f>
        <v>470453.37085830129</v>
      </c>
      <c r="AO129" s="742">
        <f>INDEX('VLU costs INT'!$D$235:$BB$252, MATCH($B129, 'VLU costs INT'!$B$235:$B$252,0), MATCH(AO$128, 'VLU costs INT'!$D$234:$BB$234,0))
+ INDEX('Mixed costs INT'!$D$226:$BB$243, MATCH($B129, 'Mixed costs INT'!$B$226:$B$243,0), MATCH(AO$128, 'Mixed costs INT'!$D$225:$BB$225,0))
+ INDEX('Arterial costs'!$D$223:$BB$240, MATCH($B129, 'Arterial costs'!$B$223:$B$240,0), MATCH(AO$128, 'Arterial costs'!$D$222:$BB$222,0))</f>
        <v>485949.84977108979</v>
      </c>
      <c r="AP129" s="742">
        <f>INDEX('VLU costs INT'!$D$235:$BB$252, MATCH($B129, 'VLU costs INT'!$B$235:$B$252,0), MATCH(AP$128, 'VLU costs INT'!$D$234:$BB$234,0))
+ INDEX('Mixed costs INT'!$D$226:$BB$243, MATCH($B129, 'Mixed costs INT'!$B$226:$B$243,0), MATCH(AP$128, 'Mixed costs INT'!$D$225:$BB$225,0))
+ INDEX('Arterial costs'!$D$223:$BB$240, MATCH($B129, 'Arterial costs'!$B$223:$B$240,0), MATCH(AP$128, 'Arterial costs'!$D$222:$BB$222,0))</f>
        <v>501793.83801358374</v>
      </c>
      <c r="AQ129" s="742">
        <f>INDEX('VLU costs INT'!$D$235:$BB$252, MATCH($B129, 'VLU costs INT'!$B$235:$B$252,0), MATCH(AQ$128, 'VLU costs INT'!$D$234:$BB$234,0))
+ INDEX('Mixed costs INT'!$D$226:$BB$243, MATCH($B129, 'Mixed costs INT'!$B$226:$B$243,0), MATCH(AQ$128, 'Mixed costs INT'!$D$225:$BB$225,0))
+ INDEX('Arterial costs'!$D$223:$BB$240, MATCH($B129, 'Arterial costs'!$B$223:$B$240,0), MATCH(AQ$128, 'Arterial costs'!$D$222:$BB$222,0))</f>
        <v>518096.30875802226</v>
      </c>
      <c r="AR129" s="742">
        <f>INDEX('VLU costs INT'!$D$235:$BB$252, MATCH($B129, 'VLU costs INT'!$B$235:$B$252,0), MATCH(AR$128, 'VLU costs INT'!$D$234:$BB$234,0))
+ INDEX('Mixed costs INT'!$D$226:$BB$243, MATCH($B129, 'Mixed costs INT'!$B$226:$B$243,0), MATCH(AR$128, 'Mixed costs INT'!$D$225:$BB$225,0))
+ INDEX('Arterial costs'!$D$223:$BB$240, MATCH($B129, 'Arterial costs'!$B$223:$B$240,0), MATCH(AR$128, 'Arterial costs'!$D$222:$BB$222,0))</f>
        <v>534945.73753406899</v>
      </c>
      <c r="AS129" s="742">
        <f>INDEX('VLU costs INT'!$D$235:$BB$252, MATCH($B129, 'VLU costs INT'!$B$235:$B$252,0), MATCH(AS$128, 'VLU costs INT'!$D$234:$BB$234,0))
+ INDEX('Mixed costs INT'!$D$226:$BB$243, MATCH($B129, 'Mixed costs INT'!$B$226:$B$243,0), MATCH(AS$128, 'Mixed costs INT'!$D$225:$BB$225,0))
+ INDEX('Arterial costs'!$D$223:$BB$240, MATCH($B129, 'Arterial costs'!$B$223:$B$240,0), MATCH(AS$128, 'Arterial costs'!$D$222:$BB$222,0))</f>
        <v>551883.92361806426</v>
      </c>
    </row>
    <row r="130" spans="2:54">
      <c r="B130" s="6" t="s">
        <v>14</v>
      </c>
      <c r="C130" s="742">
        <f>INDEX('VLU costs INT'!$D$235:$BB$252, MATCH($B130, 'VLU costs INT'!$B$235:$B$252,0), MATCH(C$128, 'VLU costs INT'!$D$234:$BB$234,0))
+ INDEX('Mixed costs INT'!$D$226:$BB$243, MATCH($B130, 'Mixed costs INT'!$B$226:$B$243,0), MATCH(C$128, 'Mixed costs INT'!$D$225:$BB$225,0))
+ INDEX('Arterial costs'!$D$223:$BB$240, MATCH($B130, 'Arterial costs'!$B$223:$B$240,0), MATCH(C$128, 'Arterial costs'!$D$222:$BB$222,0))</f>
        <v>330.23812390692063</v>
      </c>
      <c r="D130" s="742">
        <f>INDEX('VLU costs INT'!$D$235:$BB$252, MATCH($B130, 'VLU costs INT'!$B$235:$B$252,0), MATCH(D$128, 'VLU costs INT'!$D$234:$BB$234,0))
+ INDEX('Mixed costs INT'!$D$226:$BB$243, MATCH($B130, 'Mixed costs INT'!$B$226:$B$243,0), MATCH(D$128, 'Mixed costs INT'!$D$225:$BB$225,0))
+ INDEX('Arterial costs'!$D$223:$BB$240, MATCH($B130, 'Arterial costs'!$B$223:$B$240,0), MATCH(D$128, 'Arterial costs'!$D$222:$BB$222,0))</f>
        <v>349.31260194424755</v>
      </c>
      <c r="E130" s="742">
        <f>INDEX('VLU costs INT'!$D$235:$BB$252, MATCH($B130, 'VLU costs INT'!$B$235:$B$252,0), MATCH(E$128, 'VLU costs INT'!$D$234:$BB$234,0))
+ INDEX('Mixed costs INT'!$D$226:$BB$243, MATCH($B130, 'Mixed costs INT'!$B$226:$B$243,0), MATCH(E$128, 'Mixed costs INT'!$D$225:$BB$225,0))
+ INDEX('Arterial costs'!$D$223:$BB$240, MATCH($B130, 'Arterial costs'!$B$223:$B$240,0), MATCH(E$128, 'Arterial costs'!$D$222:$BB$222,0))</f>
        <v>367.38335858178647</v>
      </c>
      <c r="F130" s="742">
        <f>INDEX('VLU costs INT'!$D$235:$BB$252, MATCH($B130, 'VLU costs INT'!$B$235:$B$252,0), MATCH(F$128, 'VLU costs INT'!$D$234:$BB$234,0))
+ INDEX('Mixed costs INT'!$D$226:$BB$243, MATCH($B130, 'Mixed costs INT'!$B$226:$B$243,0), MATCH(F$128, 'Mixed costs INT'!$D$225:$BB$225,0))
+ INDEX('Arterial costs'!$D$223:$BB$240, MATCH($B130, 'Arterial costs'!$B$223:$B$240,0), MATCH(F$128, 'Arterial costs'!$D$222:$BB$222,0))</f>
        <v>384.92434429551099</v>
      </c>
      <c r="G130" s="742">
        <f>INDEX('VLU costs INT'!$D$235:$BB$252, MATCH($B130, 'VLU costs INT'!$B$235:$B$252,0), MATCH(G$128, 'VLU costs INT'!$D$234:$BB$234,0))
+ INDEX('Mixed costs INT'!$D$226:$BB$243, MATCH($B130, 'Mixed costs INT'!$B$226:$B$243,0), MATCH(G$128, 'Mixed costs INT'!$D$225:$BB$225,0))
+ INDEX('Arterial costs'!$D$223:$BB$240, MATCH($B130, 'Arterial costs'!$B$223:$B$240,0), MATCH(G$128, 'Arterial costs'!$D$222:$BB$222,0))</f>
        <v>407.063985142212</v>
      </c>
      <c r="H130" s="742">
        <f>INDEX('VLU costs INT'!$D$235:$BB$252, MATCH($B130, 'VLU costs INT'!$B$235:$B$252,0), MATCH(H$128, 'VLU costs INT'!$D$234:$BB$234,0))
+ INDEX('Mixed costs INT'!$D$226:$BB$243, MATCH($B130, 'Mixed costs INT'!$B$226:$B$243,0), MATCH(H$128, 'Mixed costs INT'!$D$225:$BB$225,0))
+ INDEX('Arterial costs'!$D$223:$BB$240, MATCH($B130, 'Arterial costs'!$B$223:$B$240,0), MATCH(H$128, 'Arterial costs'!$D$222:$BB$222,0))</f>
        <v>369.75330660221232</v>
      </c>
      <c r="I130" s="742">
        <f>INDEX('VLU costs INT'!$D$235:$BB$252, MATCH($B130, 'VLU costs INT'!$B$235:$B$252,0), MATCH(I$128, 'VLU costs INT'!$D$234:$BB$234,0))
+ INDEX('Mixed costs INT'!$D$226:$BB$243, MATCH($B130, 'Mixed costs INT'!$B$226:$B$243,0), MATCH(I$128, 'Mixed costs INT'!$D$225:$BB$225,0))
+ INDEX('Arterial costs'!$D$223:$BB$240, MATCH($B130, 'Arterial costs'!$B$223:$B$240,0), MATCH(I$128, 'Arterial costs'!$D$222:$BB$222,0))</f>
        <v>350.25582020708288</v>
      </c>
      <c r="J130" s="742">
        <f>INDEX('VLU costs INT'!$D$235:$BB$252, MATCH($B130, 'VLU costs INT'!$B$235:$B$252,0), MATCH(J$128, 'VLU costs INT'!$D$234:$BB$234,0))
+ INDEX('Mixed costs INT'!$D$226:$BB$243, MATCH($B130, 'Mixed costs INT'!$B$226:$B$243,0), MATCH(J$128, 'Mixed costs INT'!$D$225:$BB$225,0))
+ INDEX('Arterial costs'!$D$223:$BB$240, MATCH($B130, 'Arterial costs'!$B$223:$B$240,0), MATCH(J$128, 'Arterial costs'!$D$222:$BB$222,0))</f>
        <v>342.3812976655978</v>
      </c>
      <c r="K130" s="742">
        <f>INDEX('VLU costs INT'!$D$235:$BB$252, MATCH($B130, 'VLU costs INT'!$B$235:$B$252,0), MATCH(K$128, 'VLU costs INT'!$D$234:$BB$234,0))
+ INDEX('Mixed costs INT'!$D$226:$BB$243, MATCH($B130, 'Mixed costs INT'!$B$226:$B$243,0), MATCH(K$128, 'Mixed costs INT'!$D$225:$BB$225,0))
+ INDEX('Arterial costs'!$D$223:$BB$240, MATCH($B130, 'Arterial costs'!$B$223:$B$240,0), MATCH(K$128, 'Arterial costs'!$D$222:$BB$222,0))</f>
        <v>342.73329057005947</v>
      </c>
      <c r="L130" s="742">
        <f>INDEX('VLU costs INT'!$D$235:$BB$252, MATCH($B130, 'VLU costs INT'!$B$235:$B$252,0), MATCH(L$128, 'VLU costs INT'!$D$234:$BB$234,0))
+ INDEX('Mixed costs INT'!$D$226:$BB$243, MATCH($B130, 'Mixed costs INT'!$B$226:$B$243,0), MATCH(L$128, 'Mixed costs INT'!$D$225:$BB$225,0))
+ INDEX('Arterial costs'!$D$223:$BB$240, MATCH($B130, 'Arterial costs'!$B$223:$B$240,0), MATCH(L$128, 'Arterial costs'!$D$222:$BB$222,0))</f>
        <v>348.17463533325764</v>
      </c>
      <c r="M130" s="742">
        <f>INDEX('VLU costs INT'!$D$235:$BB$252, MATCH($B130, 'VLU costs INT'!$B$235:$B$252,0), MATCH(M$128, 'VLU costs INT'!$D$234:$BB$234,0))
+ INDEX('Mixed costs INT'!$D$226:$BB$243, MATCH($B130, 'Mixed costs INT'!$B$226:$B$243,0), MATCH(M$128, 'Mixed costs INT'!$D$225:$BB$225,0))
+ INDEX('Arterial costs'!$D$223:$BB$240, MATCH($B130, 'Arterial costs'!$B$223:$B$240,0), MATCH(M$128, 'Arterial costs'!$D$222:$BB$222,0))</f>
        <v>356.85583490162264</v>
      </c>
      <c r="N130" s="742">
        <f>INDEX('VLU costs INT'!$D$235:$BB$252, MATCH($B130, 'VLU costs INT'!$B$235:$B$252,0), MATCH(N$128, 'VLU costs INT'!$D$234:$BB$234,0))
+ INDEX('Mixed costs INT'!$D$226:$BB$243, MATCH($B130, 'Mixed costs INT'!$B$226:$B$243,0), MATCH(N$128, 'Mixed costs INT'!$D$225:$BB$225,0))
+ INDEX('Arterial costs'!$D$223:$BB$240, MATCH($B130, 'Arterial costs'!$B$223:$B$240,0), MATCH(N$128, 'Arterial costs'!$D$222:$BB$222,0))</f>
        <v>367.92494764919695</v>
      </c>
      <c r="O130" s="742">
        <f>INDEX('VLU costs INT'!$D$235:$BB$252, MATCH($B130, 'VLU costs INT'!$B$235:$B$252,0), MATCH(O$128, 'VLU costs INT'!$D$234:$BB$234,0))
+ INDEX('Mixed costs INT'!$D$226:$BB$243, MATCH($B130, 'Mixed costs INT'!$B$226:$B$243,0), MATCH(O$128, 'Mixed costs INT'!$D$225:$BB$225,0))
+ INDEX('Arterial costs'!$D$223:$BB$240, MATCH($B130, 'Arterial costs'!$B$223:$B$240,0), MATCH(O$128, 'Arterial costs'!$D$222:$BB$222,0))</f>
        <v>380.31851379540853</v>
      </c>
      <c r="P130" s="742">
        <f>INDEX('VLU costs INT'!$D$235:$BB$252, MATCH($B130, 'VLU costs INT'!$B$235:$B$252,0), MATCH(P$128, 'VLU costs INT'!$D$234:$BB$234,0))
+ INDEX('Mixed costs INT'!$D$226:$BB$243, MATCH($B130, 'Mixed costs INT'!$B$226:$B$243,0), MATCH(P$128, 'Mixed costs INT'!$D$225:$BB$225,0))
+ INDEX('Arterial costs'!$D$223:$BB$240, MATCH($B130, 'Arterial costs'!$B$223:$B$240,0), MATCH(P$128, 'Arterial costs'!$D$222:$BB$222,0))</f>
        <v>393.60837780824659</v>
      </c>
      <c r="Q130" s="742">
        <f>INDEX('VLU costs INT'!$D$235:$BB$252, MATCH($B130, 'VLU costs INT'!$B$235:$B$252,0), MATCH(Q$128, 'VLU costs INT'!$D$234:$BB$234,0))
+ INDEX('Mixed costs INT'!$D$226:$BB$243, MATCH($B130, 'Mixed costs INT'!$B$226:$B$243,0), MATCH(Q$128, 'Mixed costs INT'!$D$225:$BB$225,0))
+ INDEX('Arterial costs'!$D$223:$BB$240, MATCH($B130, 'Arterial costs'!$B$223:$B$240,0), MATCH(Q$128, 'Arterial costs'!$D$222:$BB$222,0))</f>
        <v>407.65018463771423</v>
      </c>
      <c r="R130" s="742">
        <f>INDEX('VLU costs INT'!$D$235:$BB$252, MATCH($B130, 'VLU costs INT'!$B$235:$B$252,0), MATCH(R$128, 'VLU costs INT'!$D$234:$BB$234,0))
+ INDEX('Mixed costs INT'!$D$226:$BB$243, MATCH($B130, 'Mixed costs INT'!$B$226:$B$243,0), MATCH(R$128, 'Mixed costs INT'!$D$225:$BB$225,0))
+ INDEX('Arterial costs'!$D$223:$BB$240, MATCH($B130, 'Arterial costs'!$B$223:$B$240,0), MATCH(R$128, 'Arterial costs'!$D$222:$BB$222,0))</f>
        <v>422.30922220901772</v>
      </c>
      <c r="S130" s="742">
        <f>INDEX('VLU costs INT'!$D$235:$BB$252, MATCH($B130, 'VLU costs INT'!$B$235:$B$252,0), MATCH(S$128, 'VLU costs INT'!$D$234:$BB$234,0))
+ INDEX('Mixed costs INT'!$D$226:$BB$243, MATCH($B130, 'Mixed costs INT'!$B$226:$B$243,0), MATCH(S$128, 'Mixed costs INT'!$D$225:$BB$225,0))
+ INDEX('Arterial costs'!$D$223:$BB$240, MATCH($B130, 'Arterial costs'!$B$223:$B$240,0), MATCH(S$128, 'Arterial costs'!$D$222:$BB$222,0))</f>
        <v>437.47150421154788</v>
      </c>
      <c r="T130" s="742">
        <f>INDEX('VLU costs INT'!$D$235:$BB$252, MATCH($B130, 'VLU costs INT'!$B$235:$B$252,0), MATCH(T$128, 'VLU costs INT'!$D$234:$BB$234,0))
+ INDEX('Mixed costs INT'!$D$226:$BB$243, MATCH($B130, 'Mixed costs INT'!$B$226:$B$243,0), MATCH(T$128, 'Mixed costs INT'!$D$225:$BB$225,0))
+ INDEX('Arterial costs'!$D$223:$BB$240, MATCH($B130, 'Arterial costs'!$B$223:$B$240,0), MATCH(T$128, 'Arterial costs'!$D$222:$BB$222,0))</f>
        <v>453.17130875804901</v>
      </c>
      <c r="U130" s="742">
        <f>INDEX('VLU costs INT'!$D$235:$BB$252, MATCH($B130, 'VLU costs INT'!$B$235:$B$252,0), MATCH(U$128, 'VLU costs INT'!$D$234:$BB$234,0))
+ INDEX('Mixed costs INT'!$D$226:$BB$243, MATCH($B130, 'Mixed costs INT'!$B$226:$B$243,0), MATCH(U$128, 'Mixed costs INT'!$D$225:$BB$225,0))
+ INDEX('Arterial costs'!$D$223:$BB$240, MATCH($B130, 'Arterial costs'!$B$223:$B$240,0), MATCH(U$128, 'Arterial costs'!$D$222:$BB$222,0))</f>
        <v>469.64387931768107</v>
      </c>
      <c r="V130" s="742">
        <f>INDEX('VLU costs INT'!$D$235:$BB$252, MATCH($B130, 'VLU costs INT'!$B$235:$B$252,0), MATCH(V$128, 'VLU costs INT'!$D$234:$BB$234,0))
+ INDEX('Mixed costs INT'!$D$226:$BB$243, MATCH($B130, 'Mixed costs INT'!$B$226:$B$243,0), MATCH(V$128, 'Mixed costs INT'!$D$225:$BB$225,0))
+ INDEX('Arterial costs'!$D$223:$BB$240, MATCH($B130, 'Arterial costs'!$B$223:$B$240,0), MATCH(V$128, 'Arterial costs'!$D$222:$BB$222,0))</f>
        <v>486.54853603158477</v>
      </c>
      <c r="W130" s="742">
        <f>INDEX('VLU costs INT'!$D$235:$BB$252, MATCH($B130, 'VLU costs INT'!$B$235:$B$252,0), MATCH(W$128, 'VLU costs INT'!$D$234:$BB$234,0))
+ INDEX('Mixed costs INT'!$D$226:$BB$243, MATCH($B130, 'Mixed costs INT'!$B$226:$B$243,0), MATCH(W$128, 'Mixed costs INT'!$D$225:$BB$225,0))
+ INDEX('Arterial costs'!$D$223:$BB$240, MATCH($B130, 'Arterial costs'!$B$223:$B$240,0), MATCH(W$128, 'Arterial costs'!$D$222:$BB$222,0))</f>
        <v>503.82835411165291</v>
      </c>
      <c r="X130" s="742">
        <f>INDEX('VLU costs INT'!$D$235:$BB$252, MATCH($B130, 'VLU costs INT'!$B$235:$B$252,0), MATCH(X$128, 'VLU costs INT'!$D$234:$BB$234,0))
+ INDEX('Mixed costs INT'!$D$226:$BB$243, MATCH($B130, 'Mixed costs INT'!$B$226:$B$243,0), MATCH(X$128, 'Mixed costs INT'!$D$225:$BB$225,0))
+ INDEX('Arterial costs'!$D$223:$BB$240, MATCH($B130, 'Arterial costs'!$B$223:$B$240,0), MATCH(X$128, 'Arterial costs'!$D$222:$BB$222,0))</f>
        <v>521.63414981666165</v>
      </c>
      <c r="Y130" s="742">
        <f>INDEX('VLU costs INT'!$D$235:$BB$252, MATCH($B130, 'VLU costs INT'!$B$235:$B$252,0), MATCH(Y$128, 'VLU costs INT'!$D$234:$BB$234,0))
+ INDEX('Mixed costs INT'!$D$226:$BB$243, MATCH($B130, 'Mixed costs INT'!$B$226:$B$243,0), MATCH(Y$128, 'Mixed costs INT'!$D$225:$BB$225,0))
+ INDEX('Arterial costs'!$D$223:$BB$240, MATCH($B130, 'Arterial costs'!$B$223:$B$240,0), MATCH(Y$128, 'Arterial costs'!$D$222:$BB$222,0))</f>
        <v>539.89682430310916</v>
      </c>
      <c r="Z130" s="742">
        <f>INDEX('VLU costs INT'!$D$235:$BB$252, MATCH($B130, 'VLU costs INT'!$B$235:$B$252,0), MATCH(Z$128, 'VLU costs INT'!$D$234:$BB$234,0))
+ INDEX('Mixed costs INT'!$D$226:$BB$243, MATCH($B130, 'Mixed costs INT'!$B$226:$B$243,0), MATCH(Z$128, 'Mixed costs INT'!$D$225:$BB$225,0))
+ INDEX('Arterial costs'!$D$223:$BB$240, MATCH($B130, 'Arterial costs'!$B$223:$B$240,0), MATCH(Z$128, 'Arterial costs'!$D$222:$BB$222,0))</f>
        <v>558.56909633209</v>
      </c>
      <c r="AA130" s="742">
        <f>INDEX('VLU costs INT'!$D$235:$BB$252, MATCH($B130, 'VLU costs INT'!$B$235:$B$252,0), MATCH(AA$128, 'VLU costs INT'!$D$234:$BB$234,0))
+ INDEX('Mixed costs INT'!$D$226:$BB$243, MATCH($B130, 'Mixed costs INT'!$B$226:$B$243,0), MATCH(AA$128, 'Mixed costs INT'!$D$225:$BB$225,0))
+ INDEX('Arterial costs'!$D$223:$BB$240, MATCH($B130, 'Arterial costs'!$B$223:$B$240,0), MATCH(AA$128, 'Arterial costs'!$D$222:$BB$222,0))</f>
        <v>577.62172771255848</v>
      </c>
      <c r="AB130" s="742">
        <f>INDEX('VLU costs INT'!$D$235:$BB$252, MATCH($B130, 'VLU costs INT'!$B$235:$B$252,0), MATCH(AB$128, 'VLU costs INT'!$D$234:$BB$234,0))
+ INDEX('Mixed costs INT'!$D$226:$BB$243, MATCH($B130, 'Mixed costs INT'!$B$226:$B$243,0), MATCH(AB$128, 'Mixed costs INT'!$D$225:$BB$225,0))
+ INDEX('Arterial costs'!$D$223:$BB$240, MATCH($B130, 'Arterial costs'!$B$223:$B$240,0), MATCH(AB$128, 'Arterial costs'!$D$222:$BB$222,0))</f>
        <v>597.10673672733162</v>
      </c>
      <c r="AC130" s="742">
        <f>INDEX('VLU costs INT'!$D$235:$BB$252, MATCH($B130, 'VLU costs INT'!$B$235:$B$252,0), MATCH(AC$128, 'VLU costs INT'!$D$234:$BB$234,0))
+ INDEX('Mixed costs INT'!$D$226:$BB$243, MATCH($B130, 'Mixed costs INT'!$B$226:$B$243,0), MATCH(AC$128, 'Mixed costs INT'!$D$225:$BB$225,0))
+ INDEX('Arterial costs'!$D$223:$BB$240, MATCH($B130, 'Arterial costs'!$B$223:$B$240,0), MATCH(AC$128, 'Arterial costs'!$D$222:$BB$222,0))</f>
        <v>616.95391616572761</v>
      </c>
      <c r="AD130" s="742">
        <f>INDEX('VLU costs INT'!$D$235:$BB$252, MATCH($B130, 'VLU costs INT'!$B$235:$B$252,0), MATCH(AD$128, 'VLU costs INT'!$D$234:$BB$234,0))
+ INDEX('Mixed costs INT'!$D$226:$BB$243, MATCH($B130, 'Mixed costs INT'!$B$226:$B$243,0), MATCH(AD$128, 'Mixed costs INT'!$D$225:$BB$225,0))
+ INDEX('Arterial costs'!$D$223:$BB$240, MATCH($B130, 'Arterial costs'!$B$223:$B$240,0), MATCH(AD$128, 'Arterial costs'!$D$222:$BB$222,0))</f>
        <v>637.09900929636535</v>
      </c>
      <c r="AE130" s="742">
        <f>INDEX('VLU costs INT'!$D$235:$BB$252, MATCH($B130, 'VLU costs INT'!$B$235:$B$252,0), MATCH(AE$128, 'VLU costs INT'!$D$234:$BB$234,0))
+ INDEX('Mixed costs INT'!$D$226:$BB$243, MATCH($B130, 'Mixed costs INT'!$B$226:$B$243,0), MATCH(AE$128, 'Mixed costs INT'!$D$225:$BB$225,0))
+ INDEX('Arterial costs'!$D$223:$BB$240, MATCH($B130, 'Arterial costs'!$B$223:$B$240,0), MATCH(AE$128, 'Arterial costs'!$D$222:$BB$222,0))</f>
        <v>657.49690231982174</v>
      </c>
      <c r="AF130" s="742">
        <f>INDEX('VLU costs INT'!$D$235:$BB$252, MATCH($B130, 'VLU costs INT'!$B$235:$B$252,0), MATCH(AF$128, 'VLU costs INT'!$D$234:$BB$234,0))
+ INDEX('Mixed costs INT'!$D$226:$BB$243, MATCH($B130, 'Mixed costs INT'!$B$226:$B$243,0), MATCH(AF$128, 'Mixed costs INT'!$D$225:$BB$225,0))
+ INDEX('Arterial costs'!$D$223:$BB$240, MATCH($B130, 'Arterial costs'!$B$223:$B$240,0), MATCH(AF$128, 'Arterial costs'!$D$222:$BB$222,0))</f>
        <v>678.16308319244649</v>
      </c>
      <c r="AG130" s="742">
        <f>INDEX('VLU costs INT'!$D$235:$BB$252, MATCH($B130, 'VLU costs INT'!$B$235:$B$252,0), MATCH(AG$128, 'VLU costs INT'!$D$234:$BB$234,0))
+ INDEX('Mixed costs INT'!$D$226:$BB$243, MATCH($B130, 'Mixed costs INT'!$B$226:$B$243,0), MATCH(AG$128, 'Mixed costs INT'!$D$225:$BB$225,0))
+ INDEX('Arterial costs'!$D$223:$BB$240, MATCH($B130, 'Arterial costs'!$B$223:$B$240,0), MATCH(AG$128, 'Arterial costs'!$D$222:$BB$222,0))</f>
        <v>699.23606209296838</v>
      </c>
      <c r="AH130" s="742">
        <f>INDEX('VLU costs INT'!$D$235:$BB$252, MATCH($B130, 'VLU costs INT'!$B$235:$B$252,0), MATCH(AH$128, 'VLU costs INT'!$D$234:$BB$234,0))
+ INDEX('Mixed costs INT'!$D$226:$BB$243, MATCH($B130, 'Mixed costs INT'!$B$226:$B$243,0), MATCH(AH$128, 'Mixed costs INT'!$D$225:$BB$225,0))
+ INDEX('Arterial costs'!$D$223:$BB$240, MATCH($B130, 'Arterial costs'!$B$223:$B$240,0), MATCH(AH$128, 'Arterial costs'!$D$222:$BB$222,0))</f>
        <v>720.73649029501519</v>
      </c>
      <c r="AI130" s="742">
        <f>INDEX('VLU costs INT'!$D$235:$BB$252, MATCH($B130, 'VLU costs INT'!$B$235:$B$252,0), MATCH(AI$128, 'VLU costs INT'!$D$234:$BB$234,0))
+ INDEX('Mixed costs INT'!$D$226:$BB$243, MATCH($B130, 'Mixed costs INT'!$B$226:$B$243,0), MATCH(AI$128, 'Mixed costs INT'!$D$225:$BB$225,0))
+ INDEX('Arterial costs'!$D$223:$BB$240, MATCH($B130, 'Arterial costs'!$B$223:$B$240,0), MATCH(AI$128, 'Arterial costs'!$D$222:$BB$222,0))</f>
        <v>742.75681962401995</v>
      </c>
      <c r="AJ130" s="742">
        <f>INDEX('VLU costs INT'!$D$235:$BB$252, MATCH($B130, 'VLU costs INT'!$B$235:$B$252,0), MATCH(AJ$128, 'VLU costs INT'!$D$234:$BB$234,0))
+ INDEX('Mixed costs INT'!$D$226:$BB$243, MATCH($B130, 'Mixed costs INT'!$B$226:$B$243,0), MATCH(AJ$128, 'Mixed costs INT'!$D$225:$BB$225,0))
+ INDEX('Arterial costs'!$D$223:$BB$240, MATCH($B130, 'Arterial costs'!$B$223:$B$240,0), MATCH(AJ$128, 'Arterial costs'!$D$222:$BB$222,0))</f>
        <v>765.22207865906307</v>
      </c>
      <c r="AK130" s="742">
        <f>INDEX('VLU costs INT'!$D$235:$BB$252, MATCH($B130, 'VLU costs INT'!$B$235:$B$252,0), MATCH(AK$128, 'VLU costs INT'!$D$234:$BB$234,0))
+ INDEX('Mixed costs INT'!$D$226:$BB$243, MATCH($B130, 'Mixed costs INT'!$B$226:$B$243,0), MATCH(AK$128, 'Mixed costs INT'!$D$225:$BB$225,0))
+ INDEX('Arterial costs'!$D$223:$BB$240, MATCH($B130, 'Arterial costs'!$B$223:$B$240,0), MATCH(AK$128, 'Arterial costs'!$D$222:$BB$222,0))</f>
        <v>787.9872807124716</v>
      </c>
      <c r="AL130" s="742">
        <f>INDEX('VLU costs INT'!$D$235:$BB$252, MATCH($B130, 'VLU costs INT'!$B$235:$B$252,0), MATCH(AL$128, 'VLU costs INT'!$D$234:$BB$234,0))
+ INDEX('Mixed costs INT'!$D$226:$BB$243, MATCH($B130, 'Mixed costs INT'!$B$226:$B$243,0), MATCH(AL$128, 'Mixed costs INT'!$D$225:$BB$225,0))
+ INDEX('Arterial costs'!$D$223:$BB$240, MATCH($B130, 'Arterial costs'!$B$223:$B$240,0), MATCH(AL$128, 'Arterial costs'!$D$222:$BB$222,0))</f>
        <v>810.96972176395377</v>
      </c>
      <c r="AM130" s="742">
        <f>INDEX('VLU costs INT'!$D$235:$BB$252, MATCH($B130, 'VLU costs INT'!$B$235:$B$252,0), MATCH(AM$128, 'VLU costs INT'!$D$234:$BB$234,0))
+ INDEX('Mixed costs INT'!$D$226:$BB$243, MATCH($B130, 'Mixed costs INT'!$B$226:$B$243,0), MATCH(AM$128, 'Mixed costs INT'!$D$225:$BB$225,0))
+ INDEX('Arterial costs'!$D$223:$BB$240, MATCH($B130, 'Arterial costs'!$B$223:$B$240,0), MATCH(AM$128, 'Arterial costs'!$D$222:$BB$222,0))</f>
        <v>834.09752193402369</v>
      </c>
      <c r="AN130" s="742">
        <f>INDEX('VLU costs INT'!$D$235:$BB$252, MATCH($B130, 'VLU costs INT'!$B$235:$B$252,0), MATCH(AN$128, 'VLU costs INT'!$D$234:$BB$234,0))
+ INDEX('Mixed costs INT'!$D$226:$BB$243, MATCH($B130, 'Mixed costs INT'!$B$226:$B$243,0), MATCH(AN$128, 'Mixed costs INT'!$D$225:$BB$225,0))
+ INDEX('Arterial costs'!$D$223:$BB$240, MATCH($B130, 'Arterial costs'!$B$223:$B$240,0), MATCH(AN$128, 'Arterial costs'!$D$222:$BB$222,0))</f>
        <v>857.31981562953285</v>
      </c>
      <c r="AO130" s="742">
        <f>INDEX('VLU costs INT'!$D$235:$BB$252, MATCH($B130, 'VLU costs INT'!$B$235:$B$252,0), MATCH(AO$128, 'VLU costs INT'!$D$234:$BB$234,0))
+ INDEX('Mixed costs INT'!$D$226:$BB$243, MATCH($B130, 'Mixed costs INT'!$B$226:$B$243,0), MATCH(AO$128, 'Mixed costs INT'!$D$225:$BB$225,0))
+ INDEX('Arterial costs'!$D$223:$BB$240, MATCH($B130, 'Arterial costs'!$B$223:$B$240,0), MATCH(AO$128, 'Arterial costs'!$D$222:$BB$222,0))</f>
        <v>880.59023648827019</v>
      </c>
      <c r="AP130" s="742">
        <f>INDEX('VLU costs INT'!$D$235:$BB$252, MATCH($B130, 'VLU costs INT'!$B$235:$B$252,0), MATCH(AP$128, 'VLU costs INT'!$D$234:$BB$234,0))
+ INDEX('Mixed costs INT'!$D$226:$BB$243, MATCH($B130, 'Mixed costs INT'!$B$226:$B$243,0), MATCH(AP$128, 'Mixed costs INT'!$D$225:$BB$225,0))
+ INDEX('Arterial costs'!$D$223:$BB$240, MATCH($B130, 'Arterial costs'!$B$223:$B$240,0), MATCH(AP$128, 'Arterial costs'!$D$222:$BB$222,0))</f>
        <v>904.17803314035018</v>
      </c>
      <c r="AQ130" s="742">
        <f>INDEX('VLU costs INT'!$D$235:$BB$252, MATCH($B130, 'VLU costs INT'!$B$235:$B$252,0), MATCH(AQ$128, 'VLU costs INT'!$D$234:$BB$234,0))
+ INDEX('Mixed costs INT'!$D$226:$BB$243, MATCH($B130, 'Mixed costs INT'!$B$226:$B$243,0), MATCH(AQ$128, 'Mixed costs INT'!$D$225:$BB$225,0))
+ INDEX('Arterial costs'!$D$223:$BB$240, MATCH($B130, 'Arterial costs'!$B$223:$B$240,0), MATCH(AQ$128, 'Arterial costs'!$D$222:$BB$222,0))</f>
        <v>928.3386041303246</v>
      </c>
      <c r="AR130" s="742">
        <f>INDEX('VLU costs INT'!$D$235:$BB$252, MATCH($B130, 'VLU costs INT'!$B$235:$B$252,0), MATCH(AR$128, 'VLU costs INT'!$D$234:$BB$234,0))
+ INDEX('Mixed costs INT'!$D$226:$BB$243, MATCH($B130, 'Mixed costs INT'!$B$226:$B$243,0), MATCH(AR$128, 'Mixed costs INT'!$D$225:$BB$225,0))
+ INDEX('Arterial costs'!$D$223:$BB$240, MATCH($B130, 'Arterial costs'!$B$223:$B$240,0), MATCH(AR$128, 'Arterial costs'!$D$222:$BB$222,0))</f>
        <v>953.26546779480134</v>
      </c>
      <c r="AS130" s="742">
        <f>INDEX('VLU costs INT'!$D$235:$BB$252, MATCH($B130, 'VLU costs INT'!$B$235:$B$252,0), MATCH(AS$128, 'VLU costs INT'!$D$234:$BB$234,0))
+ INDEX('Mixed costs INT'!$D$226:$BB$243, MATCH($B130, 'Mixed costs INT'!$B$226:$B$243,0), MATCH(AS$128, 'Mixed costs INT'!$D$225:$BB$225,0))
+ INDEX('Arterial costs'!$D$223:$BB$240, MATCH($B130, 'Arterial costs'!$B$223:$B$240,0), MATCH(AS$128, 'Arterial costs'!$D$222:$BB$222,0))</f>
        <v>977.82854026731957</v>
      </c>
    </row>
    <row r="131" spans="2:54">
      <c r="B131" s="6" t="s">
        <v>15</v>
      </c>
      <c r="C131" s="742">
        <f>INDEX('VLU costs INT'!$D$235:$BB$252, MATCH($B131, 'VLU costs INT'!$B$235:$B$252,0), MATCH(C$128, 'VLU costs INT'!$D$234:$BB$234,0))
+ INDEX('Mixed costs INT'!$D$226:$BB$243, MATCH($B131, 'Mixed costs INT'!$B$226:$B$243,0), MATCH(C$128, 'Mixed costs INT'!$D$225:$BB$225,0))
+ INDEX('Arterial costs'!$D$223:$BB$240, MATCH($B131, 'Arterial costs'!$B$223:$B$240,0), MATCH(C$128, 'Arterial costs'!$D$222:$BB$222,0))</f>
        <v>5319.9855347552493</v>
      </c>
      <c r="D131" s="742">
        <f>INDEX('VLU costs INT'!$D$235:$BB$252, MATCH($B131, 'VLU costs INT'!$B$235:$B$252,0), MATCH(D$128, 'VLU costs INT'!$D$234:$BB$234,0))
+ INDEX('Mixed costs INT'!$D$226:$BB$243, MATCH($B131, 'Mixed costs INT'!$B$226:$B$243,0), MATCH(D$128, 'Mixed costs INT'!$D$225:$BB$225,0))
+ INDEX('Arterial costs'!$D$223:$BB$240, MATCH($B131, 'Arterial costs'!$B$223:$B$240,0), MATCH(D$128, 'Arterial costs'!$D$222:$BB$222,0))</f>
        <v>5687.0240728460049</v>
      </c>
      <c r="E131" s="742">
        <f>INDEX('VLU costs INT'!$D$235:$BB$252, MATCH($B131, 'VLU costs INT'!$B$235:$B$252,0), MATCH(E$128, 'VLU costs INT'!$D$234:$BB$234,0))
+ INDEX('Mixed costs INT'!$D$226:$BB$243, MATCH($B131, 'Mixed costs INT'!$B$226:$B$243,0), MATCH(E$128, 'Mixed costs INT'!$D$225:$BB$225,0))
+ INDEX('Arterial costs'!$D$223:$BB$240, MATCH($B131, 'Arterial costs'!$B$223:$B$240,0), MATCH(E$128, 'Arterial costs'!$D$222:$BB$222,0))</f>
        <v>6044.6586318537111</v>
      </c>
      <c r="F131" s="742">
        <f>INDEX('VLU costs INT'!$D$235:$BB$252, MATCH($B131, 'VLU costs INT'!$B$235:$B$252,0), MATCH(F$128, 'VLU costs INT'!$D$234:$BB$234,0))
+ INDEX('Mixed costs INT'!$D$226:$BB$243, MATCH($B131, 'Mixed costs INT'!$B$226:$B$243,0), MATCH(F$128, 'Mixed costs INT'!$D$225:$BB$225,0))
+ INDEX('Arterial costs'!$D$223:$BB$240, MATCH($B131, 'Arterial costs'!$B$223:$B$240,0), MATCH(F$128, 'Arterial costs'!$D$222:$BB$222,0))</f>
        <v>6399.7513812448169</v>
      </c>
      <c r="G131" s="742">
        <f>INDEX('VLU costs INT'!$D$235:$BB$252, MATCH($B131, 'VLU costs INT'!$B$235:$B$252,0), MATCH(G$128, 'VLU costs INT'!$D$234:$BB$234,0))
+ INDEX('Mixed costs INT'!$D$226:$BB$243, MATCH($B131, 'Mixed costs INT'!$B$226:$B$243,0), MATCH(G$128, 'Mixed costs INT'!$D$225:$BB$225,0))
+ INDEX('Arterial costs'!$D$223:$BB$240, MATCH($B131, 'Arterial costs'!$B$223:$B$240,0), MATCH(G$128, 'Arterial costs'!$D$222:$BB$222,0))</f>
        <v>6224.3824753140416</v>
      </c>
      <c r="H131" s="742">
        <f>INDEX('VLU costs INT'!$D$235:$BB$252, MATCH($B131, 'VLU costs INT'!$B$235:$B$252,0), MATCH(H$128, 'VLU costs INT'!$D$234:$BB$234,0))
+ INDEX('Mixed costs INT'!$D$226:$BB$243, MATCH($B131, 'Mixed costs INT'!$B$226:$B$243,0), MATCH(H$128, 'Mixed costs INT'!$D$225:$BB$225,0))
+ INDEX('Arterial costs'!$D$223:$BB$240, MATCH($B131, 'Arterial costs'!$B$223:$B$240,0), MATCH(H$128, 'Arterial costs'!$D$222:$BB$222,0))</f>
        <v>5902.631439860761</v>
      </c>
      <c r="I131" s="742">
        <f>INDEX('VLU costs INT'!$D$235:$BB$252, MATCH($B131, 'VLU costs INT'!$B$235:$B$252,0), MATCH(I$128, 'VLU costs INT'!$D$234:$BB$234,0))
+ INDEX('Mixed costs INT'!$D$226:$BB$243, MATCH($B131, 'Mixed costs INT'!$B$226:$B$243,0), MATCH(I$128, 'Mixed costs INT'!$D$225:$BB$225,0))
+ INDEX('Arterial costs'!$D$223:$BB$240, MATCH($B131, 'Arterial costs'!$B$223:$B$240,0), MATCH(I$128, 'Arterial costs'!$D$222:$BB$222,0))</f>
        <v>5794.1386627798211</v>
      </c>
      <c r="J131" s="742">
        <f>INDEX('VLU costs INT'!$D$235:$BB$252, MATCH($B131, 'VLU costs INT'!$B$235:$B$252,0), MATCH(J$128, 'VLU costs INT'!$D$234:$BB$234,0))
+ INDEX('Mixed costs INT'!$D$226:$BB$243, MATCH($B131, 'Mixed costs INT'!$B$226:$B$243,0), MATCH(J$128, 'Mixed costs INT'!$D$225:$BB$225,0))
+ INDEX('Arterial costs'!$D$223:$BB$240, MATCH($B131, 'Arterial costs'!$B$223:$B$240,0), MATCH(J$128, 'Arterial costs'!$D$222:$BB$222,0))</f>
        <v>5829.3176837640385</v>
      </c>
      <c r="K131" s="742">
        <f>INDEX('VLU costs INT'!$D$235:$BB$252, MATCH($B131, 'VLU costs INT'!$B$235:$B$252,0), MATCH(K$128, 'VLU costs INT'!$D$234:$BB$234,0))
+ INDEX('Mixed costs INT'!$D$226:$BB$243, MATCH($B131, 'Mixed costs INT'!$B$226:$B$243,0), MATCH(K$128, 'Mixed costs INT'!$D$225:$BB$225,0))
+ INDEX('Arterial costs'!$D$223:$BB$240, MATCH($B131, 'Arterial costs'!$B$223:$B$240,0), MATCH(K$128, 'Arterial costs'!$D$222:$BB$222,0))</f>
        <v>5970.9467075871926</v>
      </c>
      <c r="L131" s="742">
        <f>INDEX('VLU costs INT'!$D$235:$BB$252, MATCH($B131, 'VLU costs INT'!$B$235:$B$252,0), MATCH(L$128, 'VLU costs INT'!$D$234:$BB$234,0))
+ INDEX('Mixed costs INT'!$D$226:$BB$243, MATCH($B131, 'Mixed costs INT'!$B$226:$B$243,0), MATCH(L$128, 'Mixed costs INT'!$D$225:$BB$225,0))
+ INDEX('Arterial costs'!$D$223:$BB$240, MATCH($B131, 'Arterial costs'!$B$223:$B$240,0), MATCH(L$128, 'Arterial costs'!$D$222:$BB$222,0))</f>
        <v>6182.1747215260357</v>
      </c>
      <c r="M131" s="742">
        <f>INDEX('VLU costs INT'!$D$235:$BB$252, MATCH($B131, 'VLU costs INT'!$B$235:$B$252,0), MATCH(M$128, 'VLU costs INT'!$D$234:$BB$234,0))
+ INDEX('Mixed costs INT'!$D$226:$BB$243, MATCH($B131, 'Mixed costs INT'!$B$226:$B$243,0), MATCH(M$128, 'Mixed costs INT'!$D$225:$BB$225,0))
+ INDEX('Arterial costs'!$D$223:$BB$240, MATCH($B131, 'Arterial costs'!$B$223:$B$240,0), MATCH(M$128, 'Arterial costs'!$D$222:$BB$222,0))</f>
        <v>6441.1431903778512</v>
      </c>
      <c r="N131" s="742">
        <f>INDEX('VLU costs INT'!$D$235:$BB$252, MATCH($B131, 'VLU costs INT'!$B$235:$B$252,0), MATCH(N$128, 'VLU costs INT'!$D$234:$BB$234,0))
+ INDEX('Mixed costs INT'!$D$226:$BB$243, MATCH($B131, 'Mixed costs INT'!$B$226:$B$243,0), MATCH(N$128, 'Mixed costs INT'!$D$225:$BB$225,0))
+ INDEX('Arterial costs'!$D$223:$BB$240, MATCH($B131, 'Arterial costs'!$B$223:$B$240,0), MATCH(N$128, 'Arterial costs'!$D$222:$BB$222,0))</f>
        <v>6737.7913940652434</v>
      </c>
      <c r="O131" s="742">
        <f>INDEX('VLU costs INT'!$D$235:$BB$252, MATCH($B131, 'VLU costs INT'!$B$235:$B$252,0), MATCH(O$128, 'VLU costs INT'!$D$234:$BB$234,0))
+ INDEX('Mixed costs INT'!$D$226:$BB$243, MATCH($B131, 'Mixed costs INT'!$B$226:$B$243,0), MATCH(O$128, 'Mixed costs INT'!$D$225:$BB$225,0))
+ INDEX('Arterial costs'!$D$223:$BB$240, MATCH($B131, 'Arterial costs'!$B$223:$B$240,0), MATCH(O$128, 'Arterial costs'!$D$222:$BB$222,0))</f>
        <v>7059.4167033689309</v>
      </c>
      <c r="P131" s="742">
        <f>INDEX('VLU costs INT'!$D$235:$BB$252, MATCH($B131, 'VLU costs INT'!$B$235:$B$252,0), MATCH(P$128, 'VLU costs INT'!$D$234:$BB$234,0))
+ INDEX('Mixed costs INT'!$D$226:$BB$243, MATCH($B131, 'Mixed costs INT'!$B$226:$B$243,0), MATCH(P$128, 'Mixed costs INT'!$D$225:$BB$225,0))
+ INDEX('Arterial costs'!$D$223:$BB$240, MATCH($B131, 'Arterial costs'!$B$223:$B$240,0), MATCH(P$128, 'Arterial costs'!$D$222:$BB$222,0))</f>
        <v>7401.0847414291984</v>
      </c>
      <c r="Q131" s="742">
        <f>INDEX('VLU costs INT'!$D$235:$BB$252, MATCH($B131, 'VLU costs INT'!$B$235:$B$252,0), MATCH(Q$128, 'VLU costs INT'!$D$234:$BB$234,0))
+ INDEX('Mixed costs INT'!$D$226:$BB$243, MATCH($B131, 'Mixed costs INT'!$B$226:$B$243,0), MATCH(Q$128, 'Mixed costs INT'!$D$225:$BB$225,0))
+ INDEX('Arterial costs'!$D$223:$BB$240, MATCH($B131, 'Arterial costs'!$B$223:$B$240,0), MATCH(Q$128, 'Arterial costs'!$D$222:$BB$222,0))</f>
        <v>7761.3470783895955</v>
      </c>
      <c r="R131" s="742">
        <f>INDEX('VLU costs INT'!$D$235:$BB$252, MATCH($B131, 'VLU costs INT'!$B$235:$B$252,0), MATCH(R$128, 'VLU costs INT'!$D$234:$BB$234,0))
+ INDEX('Mixed costs INT'!$D$226:$BB$243, MATCH($B131, 'Mixed costs INT'!$B$226:$B$243,0), MATCH(R$128, 'Mixed costs INT'!$D$225:$BB$225,0))
+ INDEX('Arterial costs'!$D$223:$BB$240, MATCH($B131, 'Arterial costs'!$B$223:$B$240,0), MATCH(R$128, 'Arterial costs'!$D$222:$BB$222,0))</f>
        <v>8138.7629187324428</v>
      </c>
      <c r="S131" s="742">
        <f>INDEX('VLU costs INT'!$D$235:$BB$252, MATCH($B131, 'VLU costs INT'!$B$235:$B$252,0), MATCH(S$128, 'VLU costs INT'!$D$234:$BB$234,0))
+ INDEX('Mixed costs INT'!$D$226:$BB$243, MATCH($B131, 'Mixed costs INT'!$B$226:$B$243,0), MATCH(S$128, 'Mixed costs INT'!$D$225:$BB$225,0))
+ INDEX('Arterial costs'!$D$223:$BB$240, MATCH($B131, 'Arterial costs'!$B$223:$B$240,0), MATCH(S$128, 'Arterial costs'!$D$222:$BB$222,0))</f>
        <v>8531.9785869421466</v>
      </c>
      <c r="T131" s="742">
        <f>INDEX('VLU costs INT'!$D$235:$BB$252, MATCH($B131, 'VLU costs INT'!$B$235:$B$252,0), MATCH(T$128, 'VLU costs INT'!$D$234:$BB$234,0))
+ INDEX('Mixed costs INT'!$D$226:$BB$243, MATCH($B131, 'Mixed costs INT'!$B$226:$B$243,0), MATCH(T$128, 'Mixed costs INT'!$D$225:$BB$225,0))
+ INDEX('Arterial costs'!$D$223:$BB$240, MATCH($B131, 'Arterial costs'!$B$223:$B$240,0), MATCH(T$128, 'Arterial costs'!$D$222:$BB$222,0))</f>
        <v>8941.662396362768</v>
      </c>
      <c r="U131" s="742">
        <f>INDEX('VLU costs INT'!$D$235:$BB$252, MATCH($B131, 'VLU costs INT'!$B$235:$B$252,0), MATCH(U$128, 'VLU costs INT'!$D$234:$BB$234,0))
+ INDEX('Mixed costs INT'!$D$226:$BB$243, MATCH($B131, 'Mixed costs INT'!$B$226:$B$243,0), MATCH(U$128, 'Mixed costs INT'!$D$225:$BB$225,0))
+ INDEX('Arterial costs'!$D$223:$BB$240, MATCH($B131, 'Arterial costs'!$B$223:$B$240,0), MATCH(U$128, 'Arterial costs'!$D$222:$BB$222,0))</f>
        <v>9371.3989002356011</v>
      </c>
      <c r="V131" s="742">
        <f>INDEX('VLU costs INT'!$D$235:$BB$252, MATCH($B131, 'VLU costs INT'!$B$235:$B$252,0), MATCH(V$128, 'VLU costs INT'!$D$234:$BB$234,0))
+ INDEX('Mixed costs INT'!$D$226:$BB$243, MATCH($B131, 'Mixed costs INT'!$B$226:$B$243,0), MATCH(V$128, 'Mixed costs INT'!$D$225:$BB$225,0))
+ INDEX('Arterial costs'!$D$223:$BB$240, MATCH($B131, 'Arterial costs'!$B$223:$B$240,0), MATCH(V$128, 'Arterial costs'!$D$222:$BB$222,0))</f>
        <v>9817.0838319273025</v>
      </c>
      <c r="W131" s="742">
        <f>INDEX('VLU costs INT'!$D$235:$BB$252, MATCH($B131, 'VLU costs INT'!$B$235:$B$252,0), MATCH(W$128, 'VLU costs INT'!$D$234:$BB$234,0))
+ INDEX('Mixed costs INT'!$D$226:$BB$243, MATCH($B131, 'Mixed costs INT'!$B$226:$B$243,0), MATCH(W$128, 'Mixed costs INT'!$D$225:$BB$225,0))
+ INDEX('Arterial costs'!$D$223:$BB$240, MATCH($B131, 'Arterial costs'!$B$223:$B$240,0), MATCH(W$128, 'Arterial costs'!$D$222:$BB$222,0))</f>
        <v>10278.233686674441</v>
      </c>
      <c r="X131" s="742">
        <f>INDEX('VLU costs INT'!$D$235:$BB$252, MATCH($B131, 'VLU costs INT'!$B$235:$B$252,0), MATCH(X$128, 'VLU costs INT'!$D$234:$BB$234,0))
+ INDEX('Mixed costs INT'!$D$226:$BB$243, MATCH($B131, 'Mixed costs INT'!$B$226:$B$243,0), MATCH(X$128, 'Mixed costs INT'!$D$225:$BB$225,0))
+ INDEX('Arterial costs'!$D$223:$BB$240, MATCH($B131, 'Arterial costs'!$B$223:$B$240,0), MATCH(X$128, 'Arterial costs'!$D$222:$BB$222,0))</f>
        <v>10756.984431182111</v>
      </c>
      <c r="Y131" s="742">
        <f>INDEX('VLU costs INT'!$D$235:$BB$252, MATCH($B131, 'VLU costs INT'!$B$235:$B$252,0), MATCH(Y$128, 'VLU costs INT'!$D$234:$BB$234,0))
+ INDEX('Mixed costs INT'!$D$226:$BB$243, MATCH($B131, 'Mixed costs INT'!$B$226:$B$243,0), MATCH(Y$128, 'Mixed costs INT'!$D$225:$BB$225,0))
+ INDEX('Arterial costs'!$D$223:$BB$240, MATCH($B131, 'Arterial costs'!$B$223:$B$240,0), MATCH(Y$128, 'Arterial costs'!$D$222:$BB$222,0))</f>
        <v>11253.05560960131</v>
      </c>
      <c r="Z131" s="742">
        <f>INDEX('VLU costs INT'!$D$235:$BB$252, MATCH($B131, 'VLU costs INT'!$B$235:$B$252,0), MATCH(Z$128, 'VLU costs INT'!$D$234:$BB$234,0))
+ INDEX('Mixed costs INT'!$D$226:$BB$243, MATCH($B131, 'Mixed costs INT'!$B$226:$B$243,0), MATCH(Z$128, 'Mixed costs INT'!$D$225:$BB$225,0))
+ INDEX('Arterial costs'!$D$223:$BB$240, MATCH($B131, 'Arterial costs'!$B$223:$B$240,0), MATCH(Z$128, 'Arterial costs'!$D$222:$BB$222,0))</f>
        <v>11766.217826590404</v>
      </c>
      <c r="AA131" s="742">
        <f>INDEX('VLU costs INT'!$D$235:$BB$252, MATCH($B131, 'VLU costs INT'!$B$235:$B$252,0), MATCH(AA$128, 'VLU costs INT'!$D$234:$BB$234,0))
+ INDEX('Mixed costs INT'!$D$226:$BB$243, MATCH($B131, 'Mixed costs INT'!$B$226:$B$243,0), MATCH(AA$128, 'Mixed costs INT'!$D$225:$BB$225,0))
+ INDEX('Arterial costs'!$D$223:$BB$240, MATCH($B131, 'Arterial costs'!$B$223:$B$240,0), MATCH(AA$128, 'Arterial costs'!$D$222:$BB$222,0))</f>
        <v>12296.425515743405</v>
      </c>
      <c r="AB131" s="742">
        <f>INDEX('VLU costs INT'!$D$235:$BB$252, MATCH($B131, 'VLU costs INT'!$B$235:$B$252,0), MATCH(AB$128, 'VLU costs INT'!$D$234:$BB$234,0))
+ INDEX('Mixed costs INT'!$D$226:$BB$243, MATCH($B131, 'Mixed costs INT'!$B$226:$B$243,0), MATCH(AB$128, 'Mixed costs INT'!$D$225:$BB$225,0))
+ INDEX('Arterial costs'!$D$223:$BB$240, MATCH($B131, 'Arterial costs'!$B$223:$B$240,0), MATCH(AB$128, 'Arterial costs'!$D$222:$BB$222,0))</f>
        <v>12844.639562966579</v>
      </c>
      <c r="AC131" s="742">
        <f>INDEX('VLU costs INT'!$D$235:$BB$252, MATCH($B131, 'VLU costs INT'!$B$235:$B$252,0), MATCH(AC$128, 'VLU costs INT'!$D$234:$BB$234,0))
+ INDEX('Mixed costs INT'!$D$226:$BB$243, MATCH($B131, 'Mixed costs INT'!$B$226:$B$243,0), MATCH(AC$128, 'Mixed costs INT'!$D$225:$BB$225,0))
+ INDEX('Arterial costs'!$D$223:$BB$240, MATCH($B131, 'Arterial costs'!$B$223:$B$240,0), MATCH(AC$128, 'Arterial costs'!$D$222:$BB$222,0))</f>
        <v>13410.346058748499</v>
      </c>
      <c r="AD131" s="742">
        <f>INDEX('VLU costs INT'!$D$235:$BB$252, MATCH($B131, 'VLU costs INT'!$B$235:$B$252,0), MATCH(AD$128, 'VLU costs INT'!$D$234:$BB$234,0))
+ INDEX('Mixed costs INT'!$D$226:$BB$243, MATCH($B131, 'Mixed costs INT'!$B$226:$B$243,0), MATCH(AD$128, 'Mixed costs INT'!$D$225:$BB$225,0))
+ INDEX('Arterial costs'!$D$223:$BB$240, MATCH($B131, 'Arterial costs'!$B$223:$B$240,0), MATCH(AD$128, 'Arterial costs'!$D$222:$BB$222,0))</f>
        <v>13993.103584853368</v>
      </c>
      <c r="AE131" s="742">
        <f>INDEX('VLU costs INT'!$D$235:$BB$252, MATCH($B131, 'VLU costs INT'!$B$235:$B$252,0), MATCH(AE$128, 'VLU costs INT'!$D$234:$BB$234,0))
+ INDEX('Mixed costs INT'!$D$226:$BB$243, MATCH($B131, 'Mixed costs INT'!$B$226:$B$243,0), MATCH(AE$128, 'Mixed costs INT'!$D$225:$BB$225,0))
+ INDEX('Arterial costs'!$D$223:$BB$240, MATCH($B131, 'Arterial costs'!$B$223:$B$240,0), MATCH(AE$128, 'Arterial costs'!$D$222:$BB$222,0))</f>
        <v>14592.696446308695</v>
      </c>
      <c r="AF131" s="742">
        <f>INDEX('VLU costs INT'!$D$235:$BB$252, MATCH($B131, 'VLU costs INT'!$B$235:$B$252,0), MATCH(AF$128, 'VLU costs INT'!$D$234:$BB$234,0))
+ INDEX('Mixed costs INT'!$D$226:$BB$243, MATCH($B131, 'Mixed costs INT'!$B$226:$B$243,0), MATCH(AF$128, 'Mixed costs INT'!$D$225:$BB$225,0))
+ INDEX('Arterial costs'!$D$223:$BB$240, MATCH($B131, 'Arterial costs'!$B$223:$B$240,0), MATCH(AF$128, 'Arterial costs'!$D$222:$BB$222,0))</f>
        <v>15209.730748975871</v>
      </c>
      <c r="AG131" s="742">
        <f>INDEX('VLU costs INT'!$D$235:$BB$252, MATCH($B131, 'VLU costs INT'!$B$235:$B$252,0), MATCH(AG$128, 'VLU costs INT'!$D$234:$BB$234,0))
+ INDEX('Mixed costs INT'!$D$226:$BB$243, MATCH($B131, 'Mixed costs INT'!$B$226:$B$243,0), MATCH(AG$128, 'Mixed costs INT'!$D$225:$BB$225,0))
+ INDEX('Arterial costs'!$D$223:$BB$240, MATCH($B131, 'Arterial costs'!$B$223:$B$240,0), MATCH(AG$128, 'Arterial costs'!$D$222:$BB$222,0))</f>
        <v>15846.50678041717</v>
      </c>
      <c r="AH131" s="742">
        <f>INDEX('VLU costs INT'!$D$235:$BB$252, MATCH($B131, 'VLU costs INT'!$B$235:$B$252,0), MATCH(AH$128, 'VLU costs INT'!$D$234:$BB$234,0))
+ INDEX('Mixed costs INT'!$D$226:$BB$243, MATCH($B131, 'Mixed costs INT'!$B$226:$B$243,0), MATCH(AH$128, 'Mixed costs INT'!$D$225:$BB$225,0))
+ INDEX('Arterial costs'!$D$223:$BB$240, MATCH($B131, 'Arterial costs'!$B$223:$B$240,0), MATCH(AH$128, 'Arterial costs'!$D$222:$BB$222,0))</f>
        <v>16503.772576164625</v>
      </c>
      <c r="AI131" s="742">
        <f>INDEX('VLU costs INT'!$D$235:$BB$252, MATCH($B131, 'VLU costs INT'!$B$235:$B$252,0), MATCH(AI$128, 'VLU costs INT'!$D$234:$BB$234,0))
+ INDEX('Mixed costs INT'!$D$226:$BB$243, MATCH($B131, 'Mixed costs INT'!$B$226:$B$243,0), MATCH(AI$128, 'Mixed costs INT'!$D$225:$BB$225,0))
+ INDEX('Arterial costs'!$D$223:$BB$240, MATCH($B131, 'Arterial costs'!$B$223:$B$240,0), MATCH(AI$128, 'Arterial costs'!$D$222:$BB$222,0))</f>
        <v>17183.231186787529</v>
      </c>
      <c r="AJ131" s="742">
        <f>INDEX('VLU costs INT'!$D$235:$BB$252, MATCH($B131, 'VLU costs INT'!$B$235:$B$252,0), MATCH(AJ$128, 'VLU costs INT'!$D$234:$BB$234,0))
+ INDEX('Mixed costs INT'!$D$226:$BB$243, MATCH($B131, 'Mixed costs INT'!$B$226:$B$243,0), MATCH(AJ$128, 'Mixed costs INT'!$D$225:$BB$225,0))
+ INDEX('Arterial costs'!$D$223:$BB$240, MATCH($B131, 'Arterial costs'!$B$223:$B$240,0), MATCH(AJ$128, 'Arterial costs'!$D$222:$BB$222,0))</f>
        <v>17884.249029598672</v>
      </c>
      <c r="AK131" s="742">
        <f>INDEX('VLU costs INT'!$D$235:$BB$252, MATCH($B131, 'VLU costs INT'!$B$235:$B$252,0), MATCH(AK$128, 'VLU costs INT'!$D$234:$BB$234,0))
+ INDEX('Mixed costs INT'!$D$226:$BB$243, MATCH($B131, 'Mixed costs INT'!$B$226:$B$243,0), MATCH(AK$128, 'Mixed costs INT'!$D$225:$BB$225,0))
+ INDEX('Arterial costs'!$D$223:$BB$240, MATCH($B131, 'Arterial costs'!$B$223:$B$240,0), MATCH(AK$128, 'Arterial costs'!$D$222:$BB$222,0))</f>
        <v>18605.350143467411</v>
      </c>
      <c r="AL131" s="742">
        <f>INDEX('VLU costs INT'!$D$235:$BB$252, MATCH($B131, 'VLU costs INT'!$B$235:$B$252,0), MATCH(AL$128, 'VLU costs INT'!$D$234:$BB$234,0))
+ INDEX('Mixed costs INT'!$D$226:$BB$243, MATCH($B131, 'Mixed costs INT'!$B$226:$B$243,0), MATCH(AL$128, 'Mixed costs INT'!$D$225:$BB$225,0))
+ INDEX('Arterial costs'!$D$223:$BB$240, MATCH($B131, 'Arterial costs'!$B$223:$B$240,0), MATCH(AL$128, 'Arterial costs'!$D$222:$BB$222,0))</f>
        <v>19345.822709442924</v>
      </c>
      <c r="AM131" s="742">
        <f>INDEX('VLU costs INT'!$D$235:$BB$252, MATCH($B131, 'VLU costs INT'!$B$235:$B$252,0), MATCH(AM$128, 'VLU costs INT'!$D$234:$BB$234,0))
+ INDEX('Mixed costs INT'!$D$226:$BB$243, MATCH($B131, 'Mixed costs INT'!$B$226:$B$243,0), MATCH(AM$128, 'Mixed costs INT'!$D$225:$BB$225,0))
+ INDEX('Arterial costs'!$D$223:$BB$240, MATCH($B131, 'Arterial costs'!$B$223:$B$240,0), MATCH(AM$128, 'Arterial costs'!$D$222:$BB$222,0))</f>
        <v>20105.278508413354</v>
      </c>
      <c r="AN131" s="742">
        <f>INDEX('VLU costs INT'!$D$235:$BB$252, MATCH($B131, 'VLU costs INT'!$B$235:$B$252,0), MATCH(AN$128, 'VLU costs INT'!$D$234:$BB$234,0))
+ INDEX('Mixed costs INT'!$D$226:$BB$243, MATCH($B131, 'Mixed costs INT'!$B$226:$B$243,0), MATCH(AN$128, 'Mixed costs INT'!$D$225:$BB$225,0))
+ INDEX('Arterial costs'!$D$223:$BB$240, MATCH($B131, 'Arterial costs'!$B$223:$B$240,0), MATCH(AN$128, 'Arterial costs'!$D$222:$BB$222,0))</f>
        <v>20883.524125215601</v>
      </c>
      <c r="AO131" s="742">
        <f>INDEX('VLU costs INT'!$D$235:$BB$252, MATCH($B131, 'VLU costs INT'!$B$235:$B$252,0), MATCH(AO$128, 'VLU costs INT'!$D$234:$BB$234,0))
+ INDEX('Mixed costs INT'!$D$226:$BB$243, MATCH($B131, 'Mixed costs INT'!$B$226:$B$243,0), MATCH(AO$128, 'Mixed costs INT'!$D$225:$BB$225,0))
+ INDEX('Arterial costs'!$D$223:$BB$240, MATCH($B131, 'Arterial costs'!$B$223:$B$240,0), MATCH(AO$128, 'Arterial costs'!$D$222:$BB$222,0))</f>
        <v>21680.370616312583</v>
      </c>
      <c r="AP131" s="742">
        <f>INDEX('VLU costs INT'!$D$235:$BB$252, MATCH($B131, 'VLU costs INT'!$B$235:$B$252,0), MATCH(AP$128, 'VLU costs INT'!$D$234:$BB$234,0))
+ INDEX('Mixed costs INT'!$D$226:$BB$243, MATCH($B131, 'Mixed costs INT'!$B$226:$B$243,0), MATCH(AP$128, 'Mixed costs INT'!$D$225:$BB$225,0))
+ INDEX('Arterial costs'!$D$223:$BB$240, MATCH($B131, 'Arterial costs'!$B$223:$B$240,0), MATCH(AP$128, 'Arterial costs'!$D$222:$BB$222,0))</f>
        <v>22499.83165309488</v>
      </c>
      <c r="AQ131" s="742">
        <f>INDEX('VLU costs INT'!$D$235:$BB$252, MATCH($B131, 'VLU costs INT'!$B$235:$B$252,0), MATCH(AQ$128, 'VLU costs INT'!$D$234:$BB$234,0))
+ INDEX('Mixed costs INT'!$D$226:$BB$243, MATCH($B131, 'Mixed costs INT'!$B$226:$B$243,0), MATCH(AQ$128, 'Mixed costs INT'!$D$225:$BB$225,0))
+ INDEX('Arterial costs'!$D$223:$BB$240, MATCH($B131, 'Arterial costs'!$B$223:$B$240,0), MATCH(AQ$128, 'Arterial costs'!$D$222:$BB$222,0))</f>
        <v>23345.919821173546</v>
      </c>
      <c r="AR131" s="742">
        <f>INDEX('VLU costs INT'!$D$235:$BB$252, MATCH($B131, 'VLU costs INT'!$B$235:$B$252,0), MATCH(AR$128, 'VLU costs INT'!$D$234:$BB$234,0))
+ INDEX('Mixed costs INT'!$D$226:$BB$243, MATCH($B131, 'Mixed costs INT'!$B$226:$B$243,0), MATCH(AR$128, 'Mixed costs INT'!$D$225:$BB$225,0))
+ INDEX('Arterial costs'!$D$223:$BB$240, MATCH($B131, 'Arterial costs'!$B$223:$B$240,0), MATCH(AR$128, 'Arterial costs'!$D$222:$BB$222,0))</f>
        <v>24221.94960424455</v>
      </c>
      <c r="AS131" s="742">
        <f>INDEX('VLU costs INT'!$D$235:$BB$252, MATCH($B131, 'VLU costs INT'!$B$235:$B$252,0), MATCH(AS$128, 'VLU costs INT'!$D$234:$BB$234,0))
+ INDEX('Mixed costs INT'!$D$226:$BB$243, MATCH($B131, 'Mixed costs INT'!$B$226:$B$243,0), MATCH(AS$128, 'Mixed costs INT'!$D$225:$BB$225,0))
+ INDEX('Arterial costs'!$D$223:$BB$240, MATCH($B131, 'Arterial costs'!$B$223:$B$240,0), MATCH(AS$128, 'Arterial costs'!$D$222:$BB$222,0))</f>
        <v>25112.942243534151</v>
      </c>
    </row>
    <row r="132" spans="2:54">
      <c r="B132" s="6" t="s">
        <v>16</v>
      </c>
      <c r="C132" s="742">
        <f>INDEX('VLU costs INT'!$D$235:$BB$252, MATCH($B132, 'VLU costs INT'!$B$235:$B$252,0), MATCH(C$128, 'VLU costs INT'!$D$234:$BB$234,0))
+ INDEX('Mixed costs INT'!$D$226:$BB$243, MATCH($B132, 'Mixed costs INT'!$B$226:$B$243,0), MATCH(C$128, 'Mixed costs INT'!$D$225:$BB$225,0))
+ INDEX('Arterial costs'!$D$223:$BB$240, MATCH($B132, 'Arterial costs'!$B$223:$B$240,0), MATCH(C$128, 'Arterial costs'!$D$222:$BB$222,0))</f>
        <v>87380.366700960963</v>
      </c>
      <c r="D132" s="742">
        <f>INDEX('VLU costs INT'!$D$235:$BB$252, MATCH($B132, 'VLU costs INT'!$B$235:$B$252,0), MATCH(D$128, 'VLU costs INT'!$D$234:$BB$234,0))
+ INDEX('Mixed costs INT'!$D$226:$BB$243, MATCH($B132, 'Mixed costs INT'!$B$226:$B$243,0), MATCH(D$128, 'Mixed costs INT'!$D$225:$BB$225,0))
+ INDEX('Arterial costs'!$D$223:$BB$240, MATCH($B132, 'Arterial costs'!$B$223:$B$240,0), MATCH(D$128, 'Arterial costs'!$D$222:$BB$222,0))</f>
        <v>92802.113548902838</v>
      </c>
      <c r="E132" s="742">
        <f>INDEX('VLU costs INT'!$D$235:$BB$252, MATCH($B132, 'VLU costs INT'!$B$235:$B$252,0), MATCH(E$128, 'VLU costs INT'!$D$234:$BB$234,0))
+ INDEX('Mixed costs INT'!$D$226:$BB$243, MATCH($B132, 'Mixed costs INT'!$B$226:$B$243,0), MATCH(E$128, 'Mixed costs INT'!$D$225:$BB$225,0))
+ INDEX('Arterial costs'!$D$223:$BB$240, MATCH($B132, 'Arterial costs'!$B$223:$B$240,0), MATCH(E$128, 'Arterial costs'!$D$222:$BB$222,0))</f>
        <v>97997.833299190592</v>
      </c>
      <c r="F132" s="742">
        <f>INDEX('VLU costs INT'!$D$235:$BB$252, MATCH($B132, 'VLU costs INT'!$B$235:$B$252,0), MATCH(F$128, 'VLU costs INT'!$D$234:$BB$234,0))
+ INDEX('Mixed costs INT'!$D$226:$BB$243, MATCH($B132, 'Mixed costs INT'!$B$226:$B$243,0), MATCH(F$128, 'Mixed costs INT'!$D$225:$BB$225,0))
+ INDEX('Arterial costs'!$D$223:$BB$240, MATCH($B132, 'Arterial costs'!$B$223:$B$240,0), MATCH(F$128, 'Arterial costs'!$D$222:$BB$222,0))</f>
        <v>103087.82892152871</v>
      </c>
      <c r="G132" s="742">
        <f>INDEX('VLU costs INT'!$D$235:$BB$252, MATCH($B132, 'VLU costs INT'!$B$235:$B$252,0), MATCH(G$128, 'VLU costs INT'!$D$234:$BB$234,0))
+ INDEX('Mixed costs INT'!$D$226:$BB$243, MATCH($B132, 'Mixed costs INT'!$B$226:$B$243,0), MATCH(G$128, 'Mixed costs INT'!$D$225:$BB$225,0))
+ INDEX('Arterial costs'!$D$223:$BB$240, MATCH($B132, 'Arterial costs'!$B$223:$B$240,0), MATCH(G$128, 'Arterial costs'!$D$222:$BB$222,0))</f>
        <v>85865.99888715928</v>
      </c>
      <c r="H132" s="742">
        <f>INDEX('VLU costs INT'!$D$235:$BB$252, MATCH($B132, 'VLU costs INT'!$B$235:$B$252,0), MATCH(H$128, 'VLU costs INT'!$D$234:$BB$234,0))
+ INDEX('Mixed costs INT'!$D$226:$BB$243, MATCH($B132, 'Mixed costs INT'!$B$226:$B$243,0), MATCH(H$128, 'Mixed costs INT'!$D$225:$BB$225,0))
+ INDEX('Arterial costs'!$D$223:$BB$240, MATCH($B132, 'Arterial costs'!$B$223:$B$240,0), MATCH(H$128, 'Arterial costs'!$D$222:$BB$222,0))</f>
        <v>79546.063890650126</v>
      </c>
      <c r="I132" s="742">
        <f>INDEX('VLU costs INT'!$D$235:$BB$252, MATCH($B132, 'VLU costs INT'!$B$235:$B$252,0), MATCH(I$128, 'VLU costs INT'!$D$234:$BB$234,0))
+ INDEX('Mixed costs INT'!$D$226:$BB$243, MATCH($B132, 'Mixed costs INT'!$B$226:$B$243,0), MATCH(I$128, 'Mixed costs INT'!$D$225:$BB$225,0))
+ INDEX('Arterial costs'!$D$223:$BB$240, MATCH($B132, 'Arterial costs'!$B$223:$B$240,0), MATCH(I$128, 'Arterial costs'!$D$222:$BB$222,0))</f>
        <v>76594.874518931043</v>
      </c>
      <c r="J132" s="742">
        <f>INDEX('VLU costs INT'!$D$235:$BB$252, MATCH($B132, 'VLU costs INT'!$B$235:$B$252,0), MATCH(J$128, 'VLU costs INT'!$D$234:$BB$234,0))
+ INDEX('Mixed costs INT'!$D$226:$BB$243, MATCH($B132, 'Mixed costs INT'!$B$226:$B$243,0), MATCH(J$128, 'Mixed costs INT'!$D$225:$BB$225,0))
+ INDEX('Arterial costs'!$D$223:$BB$240, MATCH($B132, 'Arterial costs'!$B$223:$B$240,0), MATCH(J$128, 'Arterial costs'!$D$222:$BB$222,0))</f>
        <v>75872.905349658278</v>
      </c>
      <c r="K132" s="742">
        <f>INDEX('VLU costs INT'!$D$235:$BB$252, MATCH($B132, 'VLU costs INT'!$B$235:$B$252,0), MATCH(K$128, 'VLU costs INT'!$D$234:$BB$234,0))
+ INDEX('Mixed costs INT'!$D$226:$BB$243, MATCH($B132, 'Mixed costs INT'!$B$226:$B$243,0), MATCH(K$128, 'Mixed costs INT'!$D$225:$BB$225,0))
+ INDEX('Arterial costs'!$D$223:$BB$240, MATCH($B132, 'Arterial costs'!$B$223:$B$240,0), MATCH(K$128, 'Arterial costs'!$D$222:$BB$222,0))</f>
        <v>76760.967889732594</v>
      </c>
      <c r="L132" s="742">
        <f>INDEX('VLU costs INT'!$D$235:$BB$252, MATCH($B132, 'VLU costs INT'!$B$235:$B$252,0), MATCH(L$128, 'VLU costs INT'!$D$234:$BB$234,0))
+ INDEX('Mixed costs INT'!$D$226:$BB$243, MATCH($B132, 'Mixed costs INT'!$B$226:$B$243,0), MATCH(L$128, 'Mixed costs INT'!$D$225:$BB$225,0))
+ INDEX('Arterial costs'!$D$223:$BB$240, MATCH($B132, 'Arterial costs'!$B$223:$B$240,0), MATCH(L$128, 'Arterial costs'!$D$222:$BB$222,0))</f>
        <v>78669.291345093647</v>
      </c>
      <c r="M132" s="742">
        <f>INDEX('VLU costs INT'!$D$235:$BB$252, MATCH($B132, 'VLU costs INT'!$B$235:$B$252,0), MATCH(M$128, 'VLU costs INT'!$D$234:$BB$234,0))
+ INDEX('Mixed costs INT'!$D$226:$BB$243, MATCH($B132, 'Mixed costs INT'!$B$226:$B$243,0), MATCH(M$128, 'Mixed costs INT'!$D$225:$BB$225,0))
+ INDEX('Arterial costs'!$D$223:$BB$240, MATCH($B132, 'Arterial costs'!$B$223:$B$240,0), MATCH(M$128, 'Arterial costs'!$D$222:$BB$222,0))</f>
        <v>81248.902665745423</v>
      </c>
      <c r="N132" s="742">
        <f>INDEX('VLU costs INT'!$D$235:$BB$252, MATCH($B132, 'VLU costs INT'!$B$235:$B$252,0), MATCH(N$128, 'VLU costs INT'!$D$234:$BB$234,0))
+ INDEX('Mixed costs INT'!$D$226:$BB$243, MATCH($B132, 'Mixed costs INT'!$B$226:$B$243,0), MATCH(N$128, 'Mixed costs INT'!$D$225:$BB$225,0))
+ INDEX('Arterial costs'!$D$223:$BB$240, MATCH($B132, 'Arterial costs'!$B$223:$B$240,0), MATCH(N$128, 'Arterial costs'!$D$222:$BB$222,0))</f>
        <v>84338.876004750098</v>
      </c>
      <c r="O132" s="742">
        <f>INDEX('VLU costs INT'!$D$235:$BB$252, MATCH($B132, 'VLU costs INT'!$B$235:$B$252,0), MATCH(O$128, 'VLU costs INT'!$D$234:$BB$234,0))
+ INDEX('Mixed costs INT'!$D$226:$BB$243, MATCH($B132, 'Mixed costs INT'!$B$226:$B$243,0), MATCH(O$128, 'Mixed costs INT'!$D$225:$BB$225,0))
+ INDEX('Arterial costs'!$D$223:$BB$240, MATCH($B132, 'Arterial costs'!$B$223:$B$240,0), MATCH(O$128, 'Arterial costs'!$D$222:$BB$222,0))</f>
        <v>87737.225592163202</v>
      </c>
      <c r="P132" s="742">
        <f>INDEX('VLU costs INT'!$D$235:$BB$252, MATCH($B132, 'VLU costs INT'!$B$235:$B$252,0), MATCH(P$128, 'VLU costs INT'!$D$234:$BB$234,0))
+ INDEX('Mixed costs INT'!$D$226:$BB$243, MATCH($B132, 'Mixed costs INT'!$B$226:$B$243,0), MATCH(P$128, 'Mixed costs INT'!$D$225:$BB$225,0))
+ INDEX('Arterial costs'!$D$223:$BB$240, MATCH($B132, 'Arterial costs'!$B$223:$B$240,0), MATCH(P$128, 'Arterial costs'!$D$222:$BB$222,0))</f>
        <v>91363.461909079633</v>
      </c>
      <c r="Q132" s="742">
        <f>INDEX('VLU costs INT'!$D$235:$BB$252, MATCH($B132, 'VLU costs INT'!$B$235:$B$252,0), MATCH(Q$128, 'VLU costs INT'!$D$234:$BB$234,0))
+ INDEX('Mixed costs INT'!$D$226:$BB$243, MATCH($B132, 'Mixed costs INT'!$B$226:$B$243,0), MATCH(Q$128, 'Mixed costs INT'!$D$225:$BB$225,0))
+ INDEX('Arterial costs'!$D$223:$BB$240, MATCH($B132, 'Arterial costs'!$B$223:$B$240,0), MATCH(Q$128, 'Arterial costs'!$D$222:$BB$222,0))</f>
        <v>95191.522392055398</v>
      </c>
      <c r="R132" s="742">
        <f>INDEX('VLU costs INT'!$D$235:$BB$252, MATCH($B132, 'VLU costs INT'!$B$235:$B$252,0), MATCH(R$128, 'VLU costs INT'!$D$234:$BB$234,0))
+ INDEX('Mixed costs INT'!$D$226:$BB$243, MATCH($B132, 'Mixed costs INT'!$B$226:$B$243,0), MATCH(R$128, 'Mixed costs INT'!$D$225:$BB$225,0))
+ INDEX('Arterial costs'!$D$223:$BB$240, MATCH($B132, 'Arterial costs'!$B$223:$B$240,0), MATCH(R$128, 'Arterial costs'!$D$222:$BB$222,0))</f>
        <v>99196.49760710448</v>
      </c>
      <c r="S132" s="742">
        <f>INDEX('VLU costs INT'!$D$235:$BB$252, MATCH($B132, 'VLU costs INT'!$B$235:$B$252,0), MATCH(S$128, 'VLU costs INT'!$D$234:$BB$234,0))
+ INDEX('Mixed costs INT'!$D$226:$BB$243, MATCH($B132, 'Mixed costs INT'!$B$226:$B$243,0), MATCH(S$128, 'Mixed costs INT'!$D$225:$BB$225,0))
+ INDEX('Arterial costs'!$D$223:$BB$240, MATCH($B132, 'Arterial costs'!$B$223:$B$240,0), MATCH(S$128, 'Arterial costs'!$D$222:$BB$222,0))</f>
        <v>103356.43020509933</v>
      </c>
      <c r="T132" s="742">
        <f>INDEX('VLU costs INT'!$D$235:$BB$252, MATCH($B132, 'VLU costs INT'!$B$235:$B$252,0), MATCH(T$128, 'VLU costs INT'!$D$234:$BB$234,0))
+ INDEX('Mixed costs INT'!$D$226:$BB$243, MATCH($B132, 'Mixed costs INT'!$B$226:$B$243,0), MATCH(T$128, 'Mixed costs INT'!$D$225:$BB$225,0))
+ INDEX('Arterial costs'!$D$223:$BB$240, MATCH($B132, 'Arterial costs'!$B$223:$B$240,0), MATCH(T$128, 'Arterial costs'!$D$222:$BB$222,0))</f>
        <v>107679.20332919291</v>
      </c>
      <c r="U132" s="742">
        <f>INDEX('VLU costs INT'!$D$235:$BB$252, MATCH($B132, 'VLU costs INT'!$B$235:$B$252,0), MATCH(U$128, 'VLU costs INT'!$D$234:$BB$234,0))
+ INDEX('Mixed costs INT'!$D$226:$BB$243, MATCH($B132, 'Mixed costs INT'!$B$226:$B$243,0), MATCH(U$128, 'Mixed costs INT'!$D$225:$BB$225,0))
+ INDEX('Arterial costs'!$D$223:$BB$240, MATCH($B132, 'Arterial costs'!$B$223:$B$240,0), MATCH(U$128, 'Arterial costs'!$D$222:$BB$222,0))</f>
        <v>112214.21556455677</v>
      </c>
      <c r="V132" s="742">
        <f>INDEX('VLU costs INT'!$D$235:$BB$252, MATCH($B132, 'VLU costs INT'!$B$235:$B$252,0), MATCH(V$128, 'VLU costs INT'!$D$234:$BB$234,0))
+ INDEX('Mixed costs INT'!$D$226:$BB$243, MATCH($B132, 'Mixed costs INT'!$B$226:$B$243,0), MATCH(V$128, 'Mixed costs INT'!$D$225:$BB$225,0))
+ INDEX('Arterial costs'!$D$223:$BB$240, MATCH($B132, 'Arterial costs'!$B$223:$B$240,0), MATCH(V$128, 'Arterial costs'!$D$222:$BB$222,0))</f>
        <v>116896.31090832822</v>
      </c>
      <c r="W132" s="742">
        <f>INDEX('VLU costs INT'!$D$235:$BB$252, MATCH($B132, 'VLU costs INT'!$B$235:$B$252,0), MATCH(W$128, 'VLU costs INT'!$D$234:$BB$234,0))
+ INDEX('Mixed costs INT'!$D$226:$BB$243, MATCH($B132, 'Mixed costs INT'!$B$226:$B$243,0), MATCH(W$128, 'Mixed costs INT'!$D$225:$BB$225,0))
+ INDEX('Arterial costs'!$D$223:$BB$240, MATCH($B132, 'Arterial costs'!$B$223:$B$240,0), MATCH(W$128, 'Arterial costs'!$D$222:$BB$222,0))</f>
        <v>121715.69120875218</v>
      </c>
      <c r="X132" s="742">
        <f>INDEX('VLU costs INT'!$D$235:$BB$252, MATCH($B132, 'VLU costs INT'!$B$235:$B$252,0), MATCH(X$128, 'VLU costs INT'!$D$234:$BB$234,0))
+ INDEX('Mixed costs INT'!$D$226:$BB$243, MATCH($B132, 'Mixed costs INT'!$B$226:$B$243,0), MATCH(X$128, 'Mixed costs INT'!$D$225:$BB$225,0))
+ INDEX('Arterial costs'!$D$223:$BB$240, MATCH($B132, 'Arterial costs'!$B$223:$B$240,0), MATCH(X$128, 'Arterial costs'!$D$222:$BB$222,0))</f>
        <v>126702.9286197792</v>
      </c>
      <c r="Y132" s="742">
        <f>INDEX('VLU costs INT'!$D$235:$BB$252, MATCH($B132, 'VLU costs INT'!$B$235:$B$252,0), MATCH(Y$128, 'VLU costs INT'!$D$234:$BB$234,0))
+ INDEX('Mixed costs INT'!$D$226:$BB$243, MATCH($B132, 'Mixed costs INT'!$B$226:$B$243,0), MATCH(Y$128, 'Mixed costs INT'!$D$225:$BB$225,0))
+ INDEX('Arterial costs'!$D$223:$BB$240, MATCH($B132, 'Arterial costs'!$B$223:$B$240,0), MATCH(Y$128, 'Arterial costs'!$D$222:$BB$222,0))</f>
        <v>131848.22260047396</v>
      </c>
      <c r="Z132" s="742">
        <f>INDEX('VLU costs INT'!$D$235:$BB$252, MATCH($B132, 'VLU costs INT'!$B$235:$B$252,0), MATCH(Z$128, 'VLU costs INT'!$D$234:$BB$234,0))
+ INDEX('Mixed costs INT'!$D$226:$BB$243, MATCH($B132, 'Mixed costs INT'!$B$226:$B$243,0), MATCH(Z$128, 'Mixed costs INT'!$D$225:$BB$225,0))
+ INDEX('Arterial costs'!$D$223:$BB$240, MATCH($B132, 'Arterial costs'!$B$223:$B$240,0), MATCH(Z$128, 'Arterial costs'!$D$222:$BB$222,0))</f>
        <v>137144.51299716919</v>
      </c>
      <c r="AA132" s="742">
        <f>INDEX('VLU costs INT'!$D$235:$BB$252, MATCH($B132, 'VLU costs INT'!$B$235:$B$252,0), MATCH(AA$128, 'VLU costs INT'!$D$234:$BB$234,0))
+ INDEX('Mixed costs INT'!$D$226:$BB$243, MATCH($B132, 'Mixed costs INT'!$B$226:$B$243,0), MATCH(AA$128, 'Mixed costs INT'!$D$225:$BB$225,0))
+ INDEX('Arterial costs'!$D$223:$BB$240, MATCH($B132, 'Arterial costs'!$B$223:$B$240,0), MATCH(AA$128, 'Arterial costs'!$D$222:$BB$222,0))</f>
        <v>142587.96622419602</v>
      </c>
      <c r="AB132" s="742">
        <f>INDEX('VLU costs INT'!$D$235:$BB$252, MATCH($B132, 'VLU costs INT'!$B$235:$B$252,0), MATCH(AB$128, 'VLU costs INT'!$D$234:$BB$234,0))
+ INDEX('Mixed costs INT'!$D$226:$BB$243, MATCH($B132, 'Mixed costs INT'!$B$226:$B$243,0), MATCH(AB$128, 'Mixed costs INT'!$D$225:$BB$225,0))
+ INDEX('Arterial costs'!$D$223:$BB$240, MATCH($B132, 'Arterial costs'!$B$223:$B$240,0), MATCH(AB$128, 'Arterial costs'!$D$222:$BB$222,0))</f>
        <v>148190.42788024322</v>
      </c>
      <c r="AC132" s="742">
        <f>INDEX('VLU costs INT'!$D$235:$BB$252, MATCH($B132, 'VLU costs INT'!$B$235:$B$252,0), MATCH(AC$128, 'VLU costs INT'!$D$234:$BB$234,0))
+ INDEX('Mixed costs INT'!$D$226:$BB$243, MATCH($B132, 'Mixed costs INT'!$B$226:$B$243,0), MATCH(AC$128, 'Mixed costs INT'!$D$225:$BB$225,0))
+ INDEX('Arterial costs'!$D$223:$BB$240, MATCH($B132, 'Arterial costs'!$B$223:$B$240,0), MATCH(AC$128, 'Arterial costs'!$D$222:$BB$222,0))</f>
        <v>153940.46232008265</v>
      </c>
      <c r="AD132" s="742">
        <f>INDEX('VLU costs INT'!$D$235:$BB$252, MATCH($B132, 'VLU costs INT'!$B$235:$B$252,0), MATCH(AD$128, 'VLU costs INT'!$D$234:$BB$234,0))
+ INDEX('Mixed costs INT'!$D$226:$BB$243, MATCH($B132, 'Mixed costs INT'!$B$226:$B$243,0), MATCH(AD$128, 'Mixed costs INT'!$D$225:$BB$225,0))
+ INDEX('Arterial costs'!$D$223:$BB$240, MATCH($B132, 'Arterial costs'!$B$223:$B$240,0), MATCH(AD$128, 'Arterial costs'!$D$222:$BB$222,0))</f>
        <v>159827.75793160059</v>
      </c>
      <c r="AE132" s="742">
        <f>INDEX('VLU costs INT'!$D$235:$BB$252, MATCH($B132, 'VLU costs INT'!$B$235:$B$252,0), MATCH(AE$128, 'VLU costs INT'!$D$234:$BB$234,0))
+ INDEX('Mixed costs INT'!$D$226:$BB$243, MATCH($B132, 'Mixed costs INT'!$B$226:$B$243,0), MATCH(AE$128, 'Mixed costs INT'!$D$225:$BB$225,0))
+ INDEX('Arterial costs'!$D$223:$BB$240, MATCH($B132, 'Arterial costs'!$B$223:$B$240,0), MATCH(AE$128, 'Arterial costs'!$D$222:$BB$222,0))</f>
        <v>165845.60900792707</v>
      </c>
      <c r="AF132" s="742">
        <f>INDEX('VLU costs INT'!$D$235:$BB$252, MATCH($B132, 'VLU costs INT'!$B$235:$B$252,0), MATCH(AF$128, 'VLU costs INT'!$D$234:$BB$234,0))
+ INDEX('Mixed costs INT'!$D$226:$BB$243, MATCH($B132, 'Mixed costs INT'!$B$226:$B$243,0), MATCH(AF$128, 'Mixed costs INT'!$D$225:$BB$225,0))
+ INDEX('Arterial costs'!$D$223:$BB$240, MATCH($B132, 'Arterial costs'!$B$223:$B$240,0), MATCH(AF$128, 'Arterial costs'!$D$222:$BB$222,0))</f>
        <v>171999.44224339104</v>
      </c>
      <c r="AG132" s="742">
        <f>INDEX('VLU costs INT'!$D$235:$BB$252, MATCH($B132, 'VLU costs INT'!$B$235:$B$252,0), MATCH(AG$128, 'VLU costs INT'!$D$234:$BB$234,0))
+ INDEX('Mixed costs INT'!$D$226:$BB$243, MATCH($B132, 'Mixed costs INT'!$B$226:$B$243,0), MATCH(AG$128, 'Mixed costs INT'!$D$225:$BB$225,0))
+ INDEX('Arterial costs'!$D$223:$BB$240, MATCH($B132, 'Arterial costs'!$B$223:$B$240,0), MATCH(AG$128, 'Arterial costs'!$D$222:$BB$222,0))</f>
        <v>178319.48303233812</v>
      </c>
      <c r="AH132" s="742">
        <f>INDEX('VLU costs INT'!$D$235:$BB$252, MATCH($B132, 'VLU costs INT'!$B$235:$B$252,0), MATCH(AH$128, 'VLU costs INT'!$D$234:$BB$234,0))
+ INDEX('Mixed costs INT'!$D$226:$BB$243, MATCH($B132, 'Mixed costs INT'!$B$226:$B$243,0), MATCH(AH$128, 'Mixed costs INT'!$D$225:$BB$225,0))
+ INDEX('Arterial costs'!$D$223:$BB$240, MATCH($B132, 'Arterial costs'!$B$223:$B$240,0), MATCH(AH$128, 'Arterial costs'!$D$222:$BB$222,0))</f>
        <v>184812.64834511749</v>
      </c>
      <c r="AI132" s="742">
        <f>INDEX('VLU costs INT'!$D$235:$BB$252, MATCH($B132, 'VLU costs INT'!$B$235:$B$252,0), MATCH(AI$128, 'VLU costs INT'!$D$234:$BB$234,0))
+ INDEX('Mixed costs INT'!$D$226:$BB$243, MATCH($B132, 'Mixed costs INT'!$B$226:$B$243,0), MATCH(AI$128, 'Mixed costs INT'!$D$225:$BB$225,0))
+ INDEX('Arterial costs'!$D$223:$BB$240, MATCH($B132, 'Arterial costs'!$B$223:$B$240,0), MATCH(AI$128, 'Arterial costs'!$D$222:$BB$222,0))</f>
        <v>191500.1106793932</v>
      </c>
      <c r="AJ132" s="742">
        <f>INDEX('VLU costs INT'!$D$235:$BB$252, MATCH($B132, 'VLU costs INT'!$B$235:$B$252,0), MATCH(AJ$128, 'VLU costs INT'!$D$234:$BB$234,0))
+ INDEX('Mixed costs INT'!$D$226:$BB$243, MATCH($B132, 'Mixed costs INT'!$B$226:$B$243,0), MATCH(AJ$128, 'Mixed costs INT'!$D$225:$BB$225,0))
+ INDEX('Arterial costs'!$D$223:$BB$240, MATCH($B132, 'Arterial costs'!$B$223:$B$240,0), MATCH(AJ$128, 'Arterial costs'!$D$222:$BB$222,0))</f>
        <v>198369.10169117851</v>
      </c>
      <c r="AK132" s="742">
        <f>INDEX('VLU costs INT'!$D$235:$BB$252, MATCH($B132, 'VLU costs INT'!$B$235:$B$252,0), MATCH(AK$128, 'VLU costs INT'!$D$234:$BB$234,0))
+ INDEX('Mixed costs INT'!$D$226:$BB$243, MATCH($B132, 'Mixed costs INT'!$B$226:$B$243,0), MATCH(AK$128, 'Mixed costs INT'!$D$225:$BB$225,0))
+ INDEX('Arterial costs'!$D$223:$BB$240, MATCH($B132, 'Arterial costs'!$B$223:$B$240,0), MATCH(AK$128, 'Arterial costs'!$D$222:$BB$222,0))</f>
        <v>205393.53117332445</v>
      </c>
      <c r="AL132" s="742">
        <f>INDEX('VLU costs INT'!$D$235:$BB$252, MATCH($B132, 'VLU costs INT'!$B$235:$B$252,0), MATCH(AL$128, 'VLU costs INT'!$D$234:$BB$234,0))
+ INDEX('Mixed costs INT'!$D$226:$BB$243, MATCH($B132, 'Mixed costs INT'!$B$226:$B$243,0), MATCH(AL$128, 'Mixed costs INT'!$D$225:$BB$225,0))
+ INDEX('Arterial costs'!$D$223:$BB$240, MATCH($B132, 'Arterial costs'!$B$223:$B$240,0), MATCH(AL$128, 'Arterial costs'!$D$222:$BB$222,0))</f>
        <v>212559.25358842575</v>
      </c>
      <c r="AM132" s="742">
        <f>INDEX('VLU costs INT'!$D$235:$BB$252, MATCH($B132, 'VLU costs INT'!$B$235:$B$252,0), MATCH(AM$128, 'VLU costs INT'!$D$234:$BB$234,0))
+ INDEX('Mixed costs INT'!$D$226:$BB$243, MATCH($B132, 'Mixed costs INT'!$B$226:$B$243,0), MATCH(AM$128, 'Mixed costs INT'!$D$225:$BB$225,0))
+ INDEX('Arterial costs'!$D$223:$BB$240, MATCH($B132, 'Arterial costs'!$B$223:$B$240,0), MATCH(AM$128, 'Arterial costs'!$D$222:$BB$222,0))</f>
        <v>219855.41221001098</v>
      </c>
      <c r="AN132" s="742">
        <f>INDEX('VLU costs INT'!$D$235:$BB$252, MATCH($B132, 'VLU costs INT'!$B$235:$B$252,0), MATCH(AN$128, 'VLU costs INT'!$D$234:$BB$234,0))
+ INDEX('Mixed costs INT'!$D$226:$BB$243, MATCH($B132, 'Mixed costs INT'!$B$226:$B$243,0), MATCH(AN$128, 'Mixed costs INT'!$D$225:$BB$225,0))
+ INDEX('Arterial costs'!$D$223:$BB$240, MATCH($B132, 'Arterial costs'!$B$223:$B$240,0), MATCH(AN$128, 'Arterial costs'!$D$222:$BB$222,0))</f>
        <v>227274.74351209195</v>
      </c>
      <c r="AO132" s="742">
        <f>INDEX('VLU costs INT'!$D$235:$BB$252, MATCH($B132, 'VLU costs INT'!$B$235:$B$252,0), MATCH(AO$128, 'VLU costs INT'!$D$234:$BB$234,0))
+ INDEX('Mixed costs INT'!$D$226:$BB$243, MATCH($B132, 'Mixed costs INT'!$B$226:$B$243,0), MATCH(AO$128, 'Mixed costs INT'!$D$225:$BB$225,0))
+ INDEX('Arterial costs'!$D$223:$BB$240, MATCH($B132, 'Arterial costs'!$B$223:$B$240,0), MATCH(AO$128, 'Arterial costs'!$D$222:$BB$222,0))</f>
        <v>234810.51409883652</v>
      </c>
      <c r="AP132" s="742">
        <f>INDEX('VLU costs INT'!$D$235:$BB$252, MATCH($B132, 'VLU costs INT'!$B$235:$B$252,0), MATCH(AP$128, 'VLU costs INT'!$D$234:$BB$234,0))
+ INDEX('Mixed costs INT'!$D$226:$BB$243, MATCH($B132, 'Mixed costs INT'!$B$226:$B$243,0), MATCH(AP$128, 'Mixed costs INT'!$D$225:$BB$225,0))
+ INDEX('Arterial costs'!$D$223:$BB$240, MATCH($B132, 'Arterial costs'!$B$223:$B$240,0), MATCH(AP$128, 'Arterial costs'!$D$222:$BB$222,0))</f>
        <v>242518.70500641901</v>
      </c>
      <c r="AQ132" s="742">
        <f>INDEX('VLU costs INT'!$D$235:$BB$252, MATCH($B132, 'VLU costs INT'!$B$235:$B$252,0), MATCH(AQ$128, 'VLU costs INT'!$D$234:$BB$234,0))
+ INDEX('Mixed costs INT'!$D$226:$BB$243, MATCH($B132, 'Mixed costs INT'!$B$226:$B$243,0), MATCH(AQ$128, 'Mixed costs INT'!$D$225:$BB$225,0))
+ INDEX('Arterial costs'!$D$223:$BB$240, MATCH($B132, 'Arterial costs'!$B$223:$B$240,0), MATCH(AQ$128, 'Arterial costs'!$D$222:$BB$222,0))</f>
        <v>250453.74006230282</v>
      </c>
      <c r="AR132" s="742">
        <f>INDEX('VLU costs INT'!$D$235:$BB$252, MATCH($B132, 'VLU costs INT'!$B$235:$B$252,0), MATCH(AR$128, 'VLU costs INT'!$D$234:$BB$234,0))
+ INDEX('Mixed costs INT'!$D$226:$BB$243, MATCH($B132, 'Mixed costs INT'!$B$226:$B$243,0), MATCH(AR$128, 'Mixed costs INT'!$D$225:$BB$225,0))
+ INDEX('Arterial costs'!$D$223:$BB$240, MATCH($B132, 'Arterial costs'!$B$223:$B$240,0), MATCH(AR$128, 'Arterial costs'!$D$222:$BB$222,0))</f>
        <v>258658.54545211198</v>
      </c>
      <c r="AS132" s="742">
        <f>INDEX('VLU costs INT'!$D$235:$BB$252, MATCH($B132, 'VLU costs INT'!$B$235:$B$252,0), MATCH(AS$128, 'VLU costs INT'!$D$234:$BB$234,0))
+ INDEX('Mixed costs INT'!$D$226:$BB$243, MATCH($B132, 'Mixed costs INT'!$B$226:$B$243,0), MATCH(AS$128, 'Mixed costs INT'!$D$225:$BB$225,0))
+ INDEX('Arterial costs'!$D$223:$BB$240, MATCH($B132, 'Arterial costs'!$B$223:$B$240,0), MATCH(AS$128, 'Arterial costs'!$D$222:$BB$222,0))</f>
        <v>266908.8002622365</v>
      </c>
    </row>
    <row r="133" spans="2:54">
      <c r="B133" s="6" t="s">
        <v>103</v>
      </c>
      <c r="C133" s="742">
        <f>INDEX('VLU costs INT'!$D$235:$BB$252, MATCH($B133, 'VLU costs INT'!$B$235:$B$252,0), MATCH(C$128, 'VLU costs INT'!$D$234:$BB$234,0))
+ INDEX('Mixed costs INT'!$D$226:$BB$243, MATCH($B133, 'Mixed costs INT'!$B$226:$B$243,0), MATCH(C$128, 'Mixed costs INT'!$D$225:$BB$225,0))
+ INDEX('Arterial costs'!$D$223:$BB$240, MATCH($B133, 'Arterial costs'!$B$223:$B$240,0), MATCH(C$128, 'Arterial costs'!$D$222:$BB$222,0))</f>
        <v>666527.69409990811</v>
      </c>
      <c r="D133" s="742">
        <f>INDEX('VLU costs INT'!$D$235:$BB$252, MATCH($B133, 'VLU costs INT'!$B$235:$B$252,0), MATCH(D$128, 'VLU costs INT'!$D$234:$BB$234,0))
+ INDEX('Mixed costs INT'!$D$226:$BB$243, MATCH($B133, 'Mixed costs INT'!$B$226:$B$243,0), MATCH(D$128, 'Mixed costs INT'!$D$225:$BB$225,0))
+ INDEX('Arterial costs'!$D$223:$BB$240, MATCH($B133, 'Arterial costs'!$B$223:$B$240,0), MATCH(D$128, 'Arterial costs'!$D$222:$BB$222,0))</f>
        <v>710556.55052116187</v>
      </c>
      <c r="E133" s="742">
        <f>INDEX('VLU costs INT'!$D$235:$BB$252, MATCH($B133, 'VLU costs INT'!$B$235:$B$252,0), MATCH(E$128, 'VLU costs INT'!$D$234:$BB$234,0))
+ INDEX('Mixed costs INT'!$D$226:$BB$243, MATCH($B133, 'Mixed costs INT'!$B$226:$B$243,0), MATCH(E$128, 'Mixed costs INT'!$D$225:$BB$225,0))
+ INDEX('Arterial costs'!$D$223:$BB$240, MATCH($B133, 'Arterial costs'!$B$223:$B$240,0), MATCH(E$128, 'Arterial costs'!$D$222:$BB$222,0))</f>
        <v>753125.612983778</v>
      </c>
      <c r="F133" s="742">
        <f>INDEX('VLU costs INT'!$D$235:$BB$252, MATCH($B133, 'VLU costs INT'!$B$235:$B$252,0), MATCH(F$128, 'VLU costs INT'!$D$234:$BB$234,0))
+ INDEX('Mixed costs INT'!$D$226:$BB$243, MATCH($B133, 'Mixed costs INT'!$B$226:$B$243,0), MATCH(F$128, 'Mixed costs INT'!$D$225:$BB$225,0))
+ INDEX('Arterial costs'!$D$223:$BB$240, MATCH($B133, 'Arterial costs'!$B$223:$B$240,0), MATCH(F$128, 'Arterial costs'!$D$222:$BB$222,0))</f>
        <v>795087.77366257727</v>
      </c>
      <c r="G133" s="742">
        <f>INDEX('VLU costs INT'!$D$235:$BB$252, MATCH($B133, 'VLU costs INT'!$B$235:$B$252,0), MATCH(G$128, 'VLU costs INT'!$D$234:$BB$234,0))
+ INDEX('Mixed costs INT'!$D$226:$BB$243, MATCH($B133, 'Mixed costs INT'!$B$226:$B$243,0), MATCH(G$128, 'Mixed costs INT'!$D$225:$BB$225,0))
+ INDEX('Arterial costs'!$D$223:$BB$240, MATCH($B133, 'Arterial costs'!$B$223:$B$240,0), MATCH(G$128, 'Arterial costs'!$D$222:$BB$222,0))</f>
        <v>974122.63248567318</v>
      </c>
      <c r="H133" s="742">
        <f>INDEX('VLU costs INT'!$D$235:$BB$252, MATCH($B133, 'VLU costs INT'!$B$235:$B$252,0), MATCH(H$128, 'VLU costs INT'!$D$234:$BB$234,0))
+ INDEX('Mixed costs INT'!$D$226:$BB$243, MATCH($B133, 'Mixed costs INT'!$B$226:$B$243,0), MATCH(H$128, 'Mixed costs INT'!$D$225:$BB$225,0))
+ INDEX('Arterial costs'!$D$223:$BB$240, MATCH($B133, 'Arterial costs'!$B$223:$B$240,0), MATCH(H$128, 'Arterial costs'!$D$222:$BB$222,0))</f>
        <v>915599.54736596579</v>
      </c>
      <c r="I133" s="742">
        <f>INDEX('VLU costs INT'!$D$235:$BB$252, MATCH($B133, 'VLU costs INT'!$B$235:$B$252,0), MATCH(I$128, 'VLU costs INT'!$D$234:$BB$234,0))
+ INDEX('Mixed costs INT'!$D$226:$BB$243, MATCH($B133, 'Mixed costs INT'!$B$226:$B$243,0), MATCH(I$128, 'Mixed costs INT'!$D$225:$BB$225,0))
+ INDEX('Arterial costs'!$D$223:$BB$240, MATCH($B133, 'Arterial costs'!$B$223:$B$240,0), MATCH(I$128, 'Arterial costs'!$D$222:$BB$222,0))</f>
        <v>891324.35175607039</v>
      </c>
      <c r="J133" s="742">
        <f>INDEX('VLU costs INT'!$D$235:$BB$252, MATCH($B133, 'VLU costs INT'!$B$235:$B$252,0), MATCH(J$128, 'VLU costs INT'!$D$234:$BB$234,0))
+ INDEX('Mixed costs INT'!$D$226:$BB$243, MATCH($B133, 'Mixed costs INT'!$B$226:$B$243,0), MATCH(J$128, 'Mixed costs INT'!$D$225:$BB$225,0))
+ INDEX('Arterial costs'!$D$223:$BB$240, MATCH($B133, 'Arterial costs'!$B$223:$B$240,0), MATCH(J$128, 'Arterial costs'!$D$222:$BB$222,0))</f>
        <v>889882.14476231812</v>
      </c>
      <c r="K133" s="742">
        <f>INDEX('VLU costs INT'!$D$235:$BB$252, MATCH($B133, 'VLU costs INT'!$B$235:$B$252,0), MATCH(K$128, 'VLU costs INT'!$D$234:$BB$234,0))
+ INDEX('Mixed costs INT'!$D$226:$BB$243, MATCH($B133, 'Mixed costs INT'!$B$226:$B$243,0), MATCH(K$128, 'Mixed costs INT'!$D$225:$BB$225,0))
+ INDEX('Arterial costs'!$D$223:$BB$240, MATCH($B133, 'Arterial costs'!$B$223:$B$240,0), MATCH(K$128, 'Arterial costs'!$D$222:$BB$222,0))</f>
        <v>905118.13339703763</v>
      </c>
      <c r="L133" s="742">
        <f>INDEX('VLU costs INT'!$D$235:$BB$252, MATCH($B133, 'VLU costs INT'!$B$235:$B$252,0), MATCH(L$128, 'VLU costs INT'!$D$234:$BB$234,0))
+ INDEX('Mixed costs INT'!$D$226:$BB$243, MATCH($B133, 'Mixed costs INT'!$B$226:$B$243,0), MATCH(L$128, 'Mixed costs INT'!$D$225:$BB$225,0))
+ INDEX('Arterial costs'!$D$223:$BB$240, MATCH($B133, 'Arterial costs'!$B$223:$B$240,0), MATCH(L$128, 'Arterial costs'!$D$222:$BB$222,0))</f>
        <v>931032.23761065665</v>
      </c>
      <c r="M133" s="742">
        <f>INDEX('VLU costs INT'!$D$235:$BB$252, MATCH($B133, 'VLU costs INT'!$B$235:$B$252,0), MATCH(M$128, 'VLU costs INT'!$D$234:$BB$234,0))
+ INDEX('Mixed costs INT'!$D$226:$BB$243, MATCH($B133, 'Mixed costs INT'!$B$226:$B$243,0), MATCH(M$128, 'Mixed costs INT'!$D$225:$BB$225,0))
+ INDEX('Arterial costs'!$D$223:$BB$240, MATCH($B133, 'Arterial costs'!$B$223:$B$240,0), MATCH(M$128, 'Arterial costs'!$D$222:$BB$222,0))</f>
        <v>964062.70633231639</v>
      </c>
      <c r="N133" s="742">
        <f>INDEX('VLU costs INT'!$D$235:$BB$252, MATCH($B133, 'VLU costs INT'!$B$235:$B$252,0), MATCH(N$128, 'VLU costs INT'!$D$234:$BB$234,0))
+ INDEX('Mixed costs INT'!$D$226:$BB$243, MATCH($B133, 'Mixed costs INT'!$B$226:$B$243,0), MATCH(N$128, 'Mixed costs INT'!$D$225:$BB$225,0))
+ INDEX('Arterial costs'!$D$223:$BB$240, MATCH($B133, 'Arterial costs'!$B$223:$B$240,0), MATCH(N$128, 'Arterial costs'!$D$222:$BB$222,0))</f>
        <v>1002545.8996387825</v>
      </c>
      <c r="O133" s="742">
        <f>INDEX('VLU costs INT'!$D$235:$BB$252, MATCH($B133, 'VLU costs INT'!$B$235:$B$252,0), MATCH(O$128, 'VLU costs INT'!$D$234:$BB$234,0))
+ INDEX('Mixed costs INT'!$D$226:$BB$243, MATCH($B133, 'Mixed costs INT'!$B$226:$B$243,0), MATCH(O$128, 'Mixed costs INT'!$D$225:$BB$225,0))
+ INDEX('Arterial costs'!$D$223:$BB$240, MATCH($B133, 'Arterial costs'!$B$223:$B$240,0), MATCH(O$128, 'Arterial costs'!$D$222:$BB$222,0))</f>
        <v>1044427.2503207891</v>
      </c>
      <c r="P133" s="742">
        <f>INDEX('VLU costs INT'!$D$235:$BB$252, MATCH($B133, 'VLU costs INT'!$B$235:$B$252,0), MATCH(P$128, 'VLU costs INT'!$D$234:$BB$234,0))
+ INDEX('Mixed costs INT'!$D$226:$BB$243, MATCH($B133, 'Mixed costs INT'!$B$226:$B$243,0), MATCH(P$128, 'Mixed costs INT'!$D$225:$BB$225,0))
+ INDEX('Arterial costs'!$D$223:$BB$240, MATCH($B133, 'Arterial costs'!$B$223:$B$240,0), MATCH(P$128, 'Arterial costs'!$D$222:$BB$222,0))</f>
        <v>1088886.0957041238</v>
      </c>
      <c r="Q133" s="742">
        <f>INDEX('VLU costs INT'!$D$235:$BB$252, MATCH($B133, 'VLU costs INT'!$B$235:$B$252,0), MATCH(Q$128, 'VLU costs INT'!$D$234:$BB$234,0))
+ INDEX('Mixed costs INT'!$D$226:$BB$243, MATCH($B133, 'Mixed costs INT'!$B$226:$B$243,0), MATCH(Q$128, 'Mixed costs INT'!$D$225:$BB$225,0))
+ INDEX('Arterial costs'!$D$223:$BB$240, MATCH($B133, 'Arterial costs'!$B$223:$B$240,0), MATCH(Q$128, 'Arterial costs'!$D$222:$BB$222,0))</f>
        <v>1135652.6376643497</v>
      </c>
      <c r="R133" s="742">
        <f>INDEX('VLU costs INT'!$D$235:$BB$252, MATCH($B133, 'VLU costs INT'!$B$235:$B$252,0), MATCH(R$128, 'VLU costs INT'!$D$234:$BB$234,0))
+ INDEX('Mixed costs INT'!$D$226:$BB$243, MATCH($B133, 'Mixed costs INT'!$B$226:$B$243,0), MATCH(R$128, 'Mixed costs INT'!$D$225:$BB$225,0))
+ INDEX('Arterial costs'!$D$223:$BB$240, MATCH($B133, 'Arterial costs'!$B$223:$B$240,0), MATCH(R$128, 'Arterial costs'!$D$222:$BB$222,0))</f>
        <v>1184464.3841451257</v>
      </c>
      <c r="S133" s="742">
        <f>INDEX('VLU costs INT'!$D$235:$BB$252, MATCH($B133, 'VLU costs INT'!$B$235:$B$252,0), MATCH(S$128, 'VLU costs INT'!$D$234:$BB$234,0))
+ INDEX('Mixed costs INT'!$D$226:$BB$243, MATCH($B133, 'Mixed costs INT'!$B$226:$B$243,0), MATCH(S$128, 'Mixed costs INT'!$D$225:$BB$225,0))
+ INDEX('Arterial costs'!$D$223:$BB$240, MATCH($B133, 'Arterial costs'!$B$223:$B$240,0), MATCH(S$128, 'Arterial costs'!$D$222:$BB$222,0))</f>
        <v>1235080.030188604</v>
      </c>
      <c r="T133" s="742">
        <f>INDEX('VLU costs INT'!$D$235:$BB$252, MATCH($B133, 'VLU costs INT'!$B$235:$B$252,0), MATCH(T$128, 'VLU costs INT'!$D$234:$BB$234,0))
+ INDEX('Mixed costs INT'!$D$226:$BB$243, MATCH($B133, 'Mixed costs INT'!$B$226:$B$243,0), MATCH(T$128, 'Mixed costs INT'!$D$225:$BB$225,0))
+ INDEX('Arterial costs'!$D$223:$BB$240, MATCH($B133, 'Arterial costs'!$B$223:$B$240,0), MATCH(T$128, 'Arterial costs'!$D$222:$BB$222,0))</f>
        <v>1287569.4999342796</v>
      </c>
      <c r="U133" s="742">
        <f>INDEX('VLU costs INT'!$D$235:$BB$252, MATCH($B133, 'VLU costs INT'!$B$235:$B$252,0), MATCH(U$128, 'VLU costs INT'!$D$234:$BB$234,0))
+ INDEX('Mixed costs INT'!$D$226:$BB$243, MATCH($B133, 'Mixed costs INT'!$B$226:$B$243,0), MATCH(U$128, 'Mixed costs INT'!$D$225:$BB$225,0))
+ INDEX('Arterial costs'!$D$223:$BB$240, MATCH($B133, 'Arterial costs'!$B$223:$B$240,0), MATCH(U$128, 'Arterial costs'!$D$222:$BB$222,0))</f>
        <v>1342439.5830134451</v>
      </c>
      <c r="V133" s="742">
        <f>INDEX('VLU costs INT'!$D$235:$BB$252, MATCH($B133, 'VLU costs INT'!$B$235:$B$252,0), MATCH(V$128, 'VLU costs INT'!$D$234:$BB$234,0))
+ INDEX('Mixed costs INT'!$D$226:$BB$243, MATCH($B133, 'Mixed costs INT'!$B$226:$B$243,0), MATCH(V$128, 'Mixed costs INT'!$D$225:$BB$225,0))
+ INDEX('Arterial costs'!$D$223:$BB$240, MATCH($B133, 'Arterial costs'!$B$223:$B$240,0), MATCH(V$128, 'Arterial costs'!$D$222:$BB$222,0))</f>
        <v>1399030.5226558261</v>
      </c>
      <c r="W133" s="742">
        <f>INDEX('VLU costs INT'!$D$235:$BB$252, MATCH($B133, 'VLU costs INT'!$B$235:$B$252,0), MATCH(W$128, 'VLU costs INT'!$D$234:$BB$234,0))
+ INDEX('Mixed costs INT'!$D$226:$BB$243, MATCH($B133, 'Mixed costs INT'!$B$226:$B$243,0), MATCH(W$128, 'Mixed costs INT'!$D$225:$BB$225,0))
+ INDEX('Arterial costs'!$D$223:$BB$240, MATCH($B133, 'Arterial costs'!$B$223:$B$240,0), MATCH(W$128, 'Arterial costs'!$D$222:$BB$222,0))</f>
        <v>1457238.5483622369</v>
      </c>
      <c r="X133" s="742">
        <f>INDEX('VLU costs INT'!$D$235:$BB$252, MATCH($B133, 'VLU costs INT'!$B$235:$B$252,0), MATCH(X$128, 'VLU costs INT'!$D$234:$BB$234,0))
+ INDEX('Mixed costs INT'!$D$226:$BB$243, MATCH($B133, 'Mixed costs INT'!$B$226:$B$243,0), MATCH(X$128, 'Mixed costs INT'!$D$225:$BB$225,0))
+ INDEX('Arterial costs'!$D$223:$BB$240, MATCH($B133, 'Arterial costs'!$B$223:$B$240,0), MATCH(X$128, 'Arterial costs'!$D$222:$BB$222,0))</f>
        <v>1517356.5051949911</v>
      </c>
      <c r="Y133" s="742">
        <f>INDEX('VLU costs INT'!$D$235:$BB$252, MATCH($B133, 'VLU costs INT'!$B$235:$B$252,0), MATCH(Y$128, 'VLU costs INT'!$D$234:$BB$234,0))
+ INDEX('Mixed costs INT'!$D$226:$BB$243, MATCH($B133, 'Mixed costs INT'!$B$226:$B$243,0), MATCH(Y$128, 'Mixed costs INT'!$D$225:$BB$225,0))
+ INDEX('Arterial costs'!$D$223:$BB$240, MATCH($B133, 'Arterial costs'!$B$223:$B$240,0), MATCH(Y$128, 'Arterial costs'!$D$222:$BB$222,0))</f>
        <v>1579304.4892042601</v>
      </c>
      <c r="Z133" s="742">
        <f>INDEX('VLU costs INT'!$D$235:$BB$252, MATCH($B133, 'VLU costs INT'!$B$235:$B$252,0), MATCH(Z$128, 'VLU costs INT'!$D$234:$BB$234,0))
+ INDEX('Mixed costs INT'!$D$226:$BB$243, MATCH($B133, 'Mixed costs INT'!$B$226:$B$243,0), MATCH(Z$128, 'Mixed costs INT'!$D$225:$BB$225,0))
+ INDEX('Arterial costs'!$D$223:$BB$240, MATCH($B133, 'Arterial costs'!$B$223:$B$240,0), MATCH(Z$128, 'Arterial costs'!$D$222:$BB$222,0))</f>
        <v>1643014.1187651032</v>
      </c>
      <c r="AA133" s="742">
        <f>INDEX('VLU costs INT'!$D$235:$BB$252, MATCH($B133, 'VLU costs INT'!$B$235:$B$252,0), MATCH(AA$128, 'VLU costs INT'!$D$234:$BB$234,0))
+ INDEX('Mixed costs INT'!$D$226:$BB$243, MATCH($B133, 'Mixed costs INT'!$B$226:$B$243,0), MATCH(AA$128, 'Mixed costs INT'!$D$225:$BB$225,0))
+ INDEX('Arterial costs'!$D$223:$BB$240, MATCH($B133, 'Arterial costs'!$B$223:$B$240,0), MATCH(AA$128, 'Arterial costs'!$D$222:$BB$222,0))</f>
        <v>1708446.0931666926</v>
      </c>
      <c r="AB133" s="742">
        <f>INDEX('VLU costs INT'!$D$235:$BB$252, MATCH($B133, 'VLU costs INT'!$B$235:$B$252,0), MATCH(AB$128, 'VLU costs INT'!$D$234:$BB$234,0))
+ INDEX('Mixed costs INT'!$D$226:$BB$243, MATCH($B133, 'Mixed costs INT'!$B$226:$B$243,0), MATCH(AB$128, 'Mixed costs INT'!$D$225:$BB$225,0))
+ INDEX('Arterial costs'!$D$223:$BB$240, MATCH($B133, 'Arterial costs'!$B$223:$B$240,0), MATCH(AB$128, 'Arterial costs'!$D$222:$BB$222,0))</f>
        <v>1775711.5703315651</v>
      </c>
      <c r="AC133" s="742">
        <f>INDEX('VLU costs INT'!$D$235:$BB$252, MATCH($B133, 'VLU costs INT'!$B$235:$B$252,0), MATCH(AC$128, 'VLU costs INT'!$D$234:$BB$234,0))
+ INDEX('Mixed costs INT'!$D$226:$BB$243, MATCH($B133, 'Mixed costs INT'!$B$226:$B$243,0), MATCH(AC$128, 'Mixed costs INT'!$D$225:$BB$225,0))
+ INDEX('Arterial costs'!$D$223:$BB$240, MATCH($B133, 'Arterial costs'!$B$223:$B$240,0), MATCH(AC$128, 'Arterial costs'!$D$222:$BB$222,0))</f>
        <v>1844701.1608919865</v>
      </c>
      <c r="AD133" s="742">
        <f>INDEX('VLU costs INT'!$D$235:$BB$252, MATCH($B133, 'VLU costs INT'!$B$235:$B$252,0), MATCH(AD$128, 'VLU costs INT'!$D$234:$BB$234,0))
+ INDEX('Mixed costs INT'!$D$226:$BB$243, MATCH($B133, 'Mixed costs INT'!$B$226:$B$243,0), MATCH(AD$128, 'Mixed costs INT'!$D$225:$BB$225,0))
+ INDEX('Arterial costs'!$D$223:$BB$240, MATCH($B133, 'Arterial costs'!$B$223:$B$240,0), MATCH(AD$128, 'Arterial costs'!$D$222:$BB$222,0))</f>
        <v>1915317.3683802166</v>
      </c>
      <c r="AE133" s="742">
        <f>INDEX('VLU costs INT'!$D$235:$BB$252, MATCH($B133, 'VLU costs INT'!$B$235:$B$252,0), MATCH(AE$128, 'VLU costs INT'!$D$234:$BB$234,0))
+ INDEX('Mixed costs INT'!$D$226:$BB$243, MATCH($B133, 'Mixed costs INT'!$B$226:$B$243,0), MATCH(AE$128, 'Mixed costs INT'!$D$225:$BB$225,0))
+ INDEX('Arterial costs'!$D$223:$BB$240, MATCH($B133, 'Arterial costs'!$B$223:$B$240,0), MATCH(AE$128, 'Arterial costs'!$D$222:$BB$222,0))</f>
        <v>1987497.1861233197</v>
      </c>
      <c r="AF133" s="742">
        <f>INDEX('VLU costs INT'!$D$235:$BB$252, MATCH($B133, 'VLU costs INT'!$B$235:$B$252,0), MATCH(AF$128, 'VLU costs INT'!$D$234:$BB$234,0))
+ INDEX('Mixed costs INT'!$D$226:$BB$243, MATCH($B133, 'Mixed costs INT'!$B$226:$B$243,0), MATCH(AF$128, 'Mixed costs INT'!$D$225:$BB$225,0))
+ INDEX('Arterial costs'!$D$223:$BB$240, MATCH($B133, 'Arterial costs'!$B$223:$B$240,0), MATCH(AF$128, 'Arterial costs'!$D$222:$BB$222,0))</f>
        <v>2061297.4542636329</v>
      </c>
      <c r="AG133" s="742">
        <f>INDEX('VLU costs INT'!$D$235:$BB$252, MATCH($B133, 'VLU costs INT'!$B$235:$B$252,0), MATCH(AG$128, 'VLU costs INT'!$D$234:$BB$234,0))
+ INDEX('Mixed costs INT'!$D$226:$BB$243, MATCH($B133, 'Mixed costs INT'!$B$226:$B$243,0), MATCH(AG$128, 'Mixed costs INT'!$D$225:$BB$225,0))
+ INDEX('Arterial costs'!$D$223:$BB$240, MATCH($B133, 'Arterial costs'!$B$223:$B$240,0), MATCH(AG$128, 'Arterial costs'!$D$222:$BB$222,0))</f>
        <v>2137018.2081321767</v>
      </c>
      <c r="AH133" s="742">
        <f>INDEX('VLU costs INT'!$D$235:$BB$252, MATCH($B133, 'VLU costs INT'!$B$235:$B$252,0), MATCH(AH$128, 'VLU costs INT'!$D$234:$BB$234,0))
+ INDEX('Mixed costs INT'!$D$226:$BB$243, MATCH($B133, 'Mixed costs INT'!$B$226:$B$243,0), MATCH(AH$128, 'Mixed costs INT'!$D$225:$BB$225,0))
+ INDEX('Arterial costs'!$D$223:$BB$240, MATCH($B133, 'Arterial costs'!$B$223:$B$240,0), MATCH(AH$128, 'Arterial costs'!$D$222:$BB$222,0))</f>
        <v>2214730.7613127539</v>
      </c>
      <c r="AI133" s="742">
        <f>INDEX('VLU costs INT'!$D$235:$BB$252, MATCH($B133, 'VLU costs INT'!$B$235:$B$252,0), MATCH(AI$128, 'VLU costs INT'!$D$234:$BB$234,0))
+ INDEX('Mixed costs INT'!$D$226:$BB$243, MATCH($B133, 'Mixed costs INT'!$B$226:$B$243,0), MATCH(AI$128, 'Mixed costs INT'!$D$225:$BB$225,0))
+ INDEX('Arterial costs'!$D$223:$BB$240, MATCH($B133, 'Arterial costs'!$B$223:$B$240,0), MATCH(AI$128, 'Arterial costs'!$D$222:$BB$222,0))</f>
        <v>2294642.3293338092</v>
      </c>
      <c r="AJ133" s="742">
        <f>INDEX('VLU costs INT'!$D$235:$BB$252, MATCH($B133, 'VLU costs INT'!$B$235:$B$252,0), MATCH(AJ$128, 'VLU costs INT'!$D$234:$BB$234,0))
+ INDEX('Mixed costs INT'!$D$226:$BB$243, MATCH($B133, 'Mixed costs INT'!$B$226:$B$243,0), MATCH(AJ$128, 'Mixed costs INT'!$D$225:$BB$225,0))
+ INDEX('Arterial costs'!$D$223:$BB$240, MATCH($B133, 'Arterial costs'!$B$223:$B$240,0), MATCH(AJ$128, 'Arterial costs'!$D$222:$BB$222,0))</f>
        <v>2376624.4453561991</v>
      </c>
      <c r="AK133" s="742">
        <f>INDEX('VLU costs INT'!$D$235:$BB$252, MATCH($B133, 'VLU costs INT'!$B$235:$B$252,0), MATCH(AK$128, 'VLU costs INT'!$D$234:$BB$234,0))
+ INDEX('Mixed costs INT'!$D$226:$BB$243, MATCH($B133, 'Mixed costs INT'!$B$226:$B$243,0), MATCH(AK$128, 'Mixed costs INT'!$D$225:$BB$225,0))
+ INDEX('Arterial costs'!$D$223:$BB$240, MATCH($B133, 'Arterial costs'!$B$223:$B$240,0), MATCH(AK$128, 'Arterial costs'!$D$222:$BB$222,0))</f>
        <v>2460429.0138561008</v>
      </c>
      <c r="AL133" s="742">
        <f>INDEX('VLU costs INT'!$D$235:$BB$252, MATCH($B133, 'VLU costs INT'!$B$235:$B$252,0), MATCH(AL$128, 'VLU costs INT'!$D$234:$BB$234,0))
+ INDEX('Mixed costs INT'!$D$226:$BB$243, MATCH($B133, 'Mixed costs INT'!$B$226:$B$243,0), MATCH(AL$128, 'Mixed costs INT'!$D$225:$BB$225,0))
+ INDEX('Arterial costs'!$D$223:$BB$240, MATCH($B133, 'Arterial costs'!$B$223:$B$240,0), MATCH(AL$128, 'Arterial costs'!$D$222:$BB$222,0))</f>
        <v>2545920.8218902852</v>
      </c>
      <c r="AM133" s="742">
        <f>INDEX('VLU costs INT'!$D$235:$BB$252, MATCH($B133, 'VLU costs INT'!$B$235:$B$252,0), MATCH(AM$128, 'VLU costs INT'!$D$234:$BB$234,0))
+ INDEX('Mixed costs INT'!$D$226:$BB$243, MATCH($B133, 'Mixed costs INT'!$B$226:$B$243,0), MATCH(AM$128, 'Mixed costs INT'!$D$225:$BB$225,0))
+ INDEX('Arterial costs'!$D$223:$BB$240, MATCH($B133, 'Arterial costs'!$B$223:$B$240,0), MATCH(AM$128, 'Arterial costs'!$D$222:$BB$222,0))</f>
        <v>2633009.1507904129</v>
      </c>
      <c r="AN133" s="742">
        <f>INDEX('VLU costs INT'!$D$235:$BB$252, MATCH($B133, 'VLU costs INT'!$B$235:$B$252,0), MATCH(AN$128, 'VLU costs INT'!$D$234:$BB$234,0))
+ INDEX('Mixed costs INT'!$D$226:$BB$243, MATCH($B133, 'Mixed costs INT'!$B$226:$B$243,0), MATCH(AN$128, 'Mixed costs INT'!$D$225:$BB$225,0))
+ INDEX('Arterial costs'!$D$223:$BB$240, MATCH($B133, 'Arterial costs'!$B$223:$B$240,0), MATCH(AN$128, 'Arterial costs'!$D$222:$BB$222,0))</f>
        <v>2721632.6279364927</v>
      </c>
      <c r="AO133" s="742">
        <f>INDEX('VLU costs INT'!$D$235:$BB$252, MATCH($B133, 'VLU costs INT'!$B$235:$B$252,0), MATCH(AO$128, 'VLU costs INT'!$D$234:$BB$234,0))
+ INDEX('Mixed costs INT'!$D$226:$BB$243, MATCH($B133, 'Mixed costs INT'!$B$226:$B$243,0), MATCH(AO$128, 'Mixed costs INT'!$D$225:$BB$225,0))
+ INDEX('Arterial costs'!$D$223:$BB$240, MATCH($B133, 'Arterial costs'!$B$223:$B$240,0), MATCH(AO$128, 'Arterial costs'!$D$222:$BB$222,0))</f>
        <v>2811732.0089899786</v>
      </c>
      <c r="AP133" s="742">
        <f>INDEX('VLU costs INT'!$D$235:$BB$252, MATCH($B133, 'VLU costs INT'!$B$235:$B$252,0), MATCH(AP$128, 'VLU costs INT'!$D$234:$BB$234,0))
+ INDEX('Mixed costs INT'!$D$226:$BB$243, MATCH($B133, 'Mixed costs INT'!$B$226:$B$243,0), MATCH(AP$128, 'Mixed costs INT'!$D$225:$BB$225,0))
+ INDEX('Arterial costs'!$D$223:$BB$240, MATCH($B133, 'Arterial costs'!$B$223:$B$240,0), MATCH(AP$128, 'Arterial costs'!$D$222:$BB$222,0))</f>
        <v>2903837.0624963446</v>
      </c>
      <c r="AQ133" s="742">
        <f>INDEX('VLU costs INT'!$D$235:$BB$252, MATCH($B133, 'VLU costs INT'!$B$235:$B$252,0), MATCH(AQ$128, 'VLU costs INT'!$D$234:$BB$234,0))
+ INDEX('Mixed costs INT'!$D$226:$BB$243, MATCH($B133, 'Mixed costs INT'!$B$226:$B$243,0), MATCH(AQ$128, 'Mixed costs INT'!$D$225:$BB$225,0))
+ INDEX('Arterial costs'!$D$223:$BB$240, MATCH($B133, 'Arterial costs'!$B$223:$B$240,0), MATCH(AQ$128, 'Arterial costs'!$D$222:$BB$222,0))</f>
        <v>2998466.812263506</v>
      </c>
      <c r="AR133" s="742">
        <f>INDEX('VLU costs INT'!$D$235:$BB$252, MATCH($B133, 'VLU costs INT'!$B$235:$B$252,0), MATCH(AR$128, 'VLU costs INT'!$D$234:$BB$234,0))
+ INDEX('Mixed costs INT'!$D$226:$BB$243, MATCH($B133, 'Mixed costs INT'!$B$226:$B$243,0), MATCH(AR$128, 'Mixed costs INT'!$D$225:$BB$225,0))
+ INDEX('Arterial costs'!$D$223:$BB$240, MATCH($B133, 'Arterial costs'!$B$223:$B$240,0), MATCH(AR$128, 'Arterial costs'!$D$222:$BB$222,0))</f>
        <v>3096033.2211490399</v>
      </c>
      <c r="AS133" s="742">
        <f>INDEX('VLU costs INT'!$D$235:$BB$252, MATCH($B133, 'VLU costs INT'!$B$235:$B$252,0), MATCH(AS$128, 'VLU costs INT'!$D$234:$BB$234,0))
+ INDEX('Mixed costs INT'!$D$226:$BB$243, MATCH($B133, 'Mixed costs INT'!$B$226:$B$243,0), MATCH(AS$128, 'Mixed costs INT'!$D$225:$BB$225,0))
+ INDEX('Arterial costs'!$D$223:$BB$240, MATCH($B133, 'Arterial costs'!$B$223:$B$240,0), MATCH(AS$128, 'Arterial costs'!$D$222:$BB$222,0))</f>
        <v>3194421.1465344406</v>
      </c>
    </row>
    <row r="134" spans="2:54">
      <c r="B134" s="6" t="s">
        <v>104</v>
      </c>
      <c r="C134" s="742">
        <f>INDEX('VLU costs INT'!$D$235:$BB$252, MATCH($B134, 'VLU costs INT'!$B$235:$B$252,0), MATCH(C$128, 'VLU costs INT'!$D$234:$BB$234,0))
+ INDEX('Mixed costs INT'!$D$226:$BB$243, MATCH($B134, 'Mixed costs INT'!$B$226:$B$243,0), MATCH(C$128, 'Mixed costs INT'!$D$225:$BB$225,0))
+ INDEX('Arterial costs'!$D$223:$BB$240, MATCH($B134, 'Arterial costs'!$B$223:$B$240,0), MATCH(C$128, 'Arterial costs'!$D$222:$BB$222,0))</f>
        <v>77072.310579558907</v>
      </c>
      <c r="D134" s="742">
        <f>INDEX('VLU costs INT'!$D$235:$BB$252, MATCH($B134, 'VLU costs INT'!$B$235:$B$252,0), MATCH(D$128, 'VLU costs INT'!$D$234:$BB$234,0))
+ INDEX('Mixed costs INT'!$D$226:$BB$243, MATCH($B134, 'Mixed costs INT'!$B$226:$B$243,0), MATCH(D$128, 'Mixed costs INT'!$D$225:$BB$225,0))
+ INDEX('Arterial costs'!$D$223:$BB$240, MATCH($B134, 'Arterial costs'!$B$223:$B$240,0), MATCH(D$128, 'Arterial costs'!$D$222:$BB$222,0))</f>
        <v>81512.185897722549</v>
      </c>
      <c r="E134" s="742">
        <f>INDEX('VLU costs INT'!$D$235:$BB$252, MATCH($B134, 'VLU costs INT'!$B$235:$B$252,0), MATCH(E$128, 'VLU costs INT'!$D$234:$BB$234,0))
+ INDEX('Mixed costs INT'!$D$226:$BB$243, MATCH($B134, 'Mixed costs INT'!$B$226:$B$243,0), MATCH(E$128, 'Mixed costs INT'!$D$225:$BB$225,0))
+ INDEX('Arterial costs'!$D$223:$BB$240, MATCH($B134, 'Arterial costs'!$B$223:$B$240,0), MATCH(E$128, 'Arterial costs'!$D$222:$BB$222,0))</f>
        <v>85700.07390143408</v>
      </c>
      <c r="F134" s="742">
        <f>INDEX('VLU costs INT'!$D$235:$BB$252, MATCH($B134, 'VLU costs INT'!$B$235:$B$252,0), MATCH(F$128, 'VLU costs INT'!$D$234:$BB$234,0))
+ INDEX('Mixed costs INT'!$D$226:$BB$243, MATCH($B134, 'Mixed costs INT'!$B$226:$B$243,0), MATCH(F$128, 'Mixed costs INT'!$D$225:$BB$225,0))
+ INDEX('Arterial costs'!$D$223:$BB$240, MATCH($B134, 'Arterial costs'!$B$223:$B$240,0), MATCH(F$128, 'Arterial costs'!$D$222:$BB$222,0))</f>
        <v>89742.61079800014</v>
      </c>
      <c r="G134" s="742">
        <f>INDEX('VLU costs INT'!$D$235:$BB$252, MATCH($B134, 'VLU costs INT'!$B$235:$B$252,0), MATCH(G$128, 'VLU costs INT'!$D$234:$BB$234,0))
+ INDEX('Mixed costs INT'!$D$226:$BB$243, MATCH($B134, 'Mixed costs INT'!$B$226:$B$243,0), MATCH(G$128, 'Mixed costs INT'!$D$225:$BB$225,0))
+ INDEX('Arterial costs'!$D$223:$BB$240, MATCH($B134, 'Arterial costs'!$B$223:$B$240,0), MATCH(G$128, 'Arterial costs'!$D$222:$BB$222,0))</f>
        <v>104035.51505819138</v>
      </c>
      <c r="H134" s="742">
        <f>INDEX('VLU costs INT'!$D$235:$BB$252, MATCH($B134, 'VLU costs INT'!$B$235:$B$252,0), MATCH(H$128, 'VLU costs INT'!$D$234:$BB$234,0))
+ INDEX('Mixed costs INT'!$D$226:$BB$243, MATCH($B134, 'Mixed costs INT'!$B$226:$B$243,0), MATCH(H$128, 'Mixed costs INT'!$D$225:$BB$225,0))
+ INDEX('Arterial costs'!$D$223:$BB$240, MATCH($B134, 'Arterial costs'!$B$223:$B$240,0), MATCH(H$128, 'Arterial costs'!$D$222:$BB$222,0))</f>
        <v>96021.554071656094</v>
      </c>
      <c r="I134" s="742">
        <f>INDEX('VLU costs INT'!$D$235:$BB$252, MATCH($B134, 'VLU costs INT'!$B$235:$B$252,0), MATCH(I$128, 'VLU costs INT'!$D$234:$BB$234,0))
+ INDEX('Mixed costs INT'!$D$226:$BB$243, MATCH($B134, 'Mixed costs INT'!$B$226:$B$243,0), MATCH(I$128, 'Mixed costs INT'!$D$225:$BB$225,0))
+ INDEX('Arterial costs'!$D$223:$BB$240, MATCH($B134, 'Arterial costs'!$B$223:$B$240,0), MATCH(I$128, 'Arterial costs'!$D$222:$BB$222,0))</f>
        <v>91810.991513196976</v>
      </c>
      <c r="J134" s="742">
        <f>INDEX('VLU costs INT'!$D$235:$BB$252, MATCH($B134, 'VLU costs INT'!$B$235:$B$252,0), MATCH(J$128, 'VLU costs INT'!$D$234:$BB$234,0))
+ INDEX('Mixed costs INT'!$D$226:$BB$243, MATCH($B134, 'Mixed costs INT'!$B$226:$B$243,0), MATCH(J$128, 'Mixed costs INT'!$D$225:$BB$225,0))
+ INDEX('Arterial costs'!$D$223:$BB$240, MATCH($B134, 'Arterial costs'!$B$223:$B$240,0), MATCH(J$128, 'Arterial costs'!$D$222:$BB$222,0))</f>
        <v>90146.754125155523</v>
      </c>
      <c r="K134" s="742">
        <f>INDEX('VLU costs INT'!$D$235:$BB$252, MATCH($B134, 'VLU costs INT'!$B$235:$B$252,0), MATCH(K$128, 'VLU costs INT'!$D$234:$BB$234,0))
+ INDEX('Mixed costs INT'!$D$226:$BB$243, MATCH($B134, 'Mixed costs INT'!$B$226:$B$243,0), MATCH(K$128, 'Mixed costs INT'!$D$225:$BB$225,0))
+ INDEX('Arterial costs'!$D$223:$BB$240, MATCH($B134, 'Arterial costs'!$B$223:$B$240,0), MATCH(K$128, 'Arterial costs'!$D$222:$BB$222,0))</f>
        <v>90344.71719284523</v>
      </c>
      <c r="L134" s="742">
        <f>INDEX('VLU costs INT'!$D$235:$BB$252, MATCH($B134, 'VLU costs INT'!$B$235:$B$252,0), MATCH(L$128, 'VLU costs INT'!$D$234:$BB$234,0))
+ INDEX('Mixed costs INT'!$D$226:$BB$243, MATCH($B134, 'Mixed costs INT'!$B$226:$B$243,0), MATCH(L$128, 'Mixed costs INT'!$D$225:$BB$225,0))
+ INDEX('Arterial costs'!$D$223:$BB$240, MATCH($B134, 'Arterial costs'!$B$223:$B$240,0), MATCH(L$128, 'Arterial costs'!$D$222:$BB$222,0))</f>
        <v>91722.829358301737</v>
      </c>
      <c r="M134" s="742">
        <f>INDEX('VLU costs INT'!$D$235:$BB$252, MATCH($B134, 'VLU costs INT'!$B$235:$B$252,0), MATCH(M$128, 'VLU costs INT'!$D$234:$BB$234,0))
+ INDEX('Mixed costs INT'!$D$226:$BB$243, MATCH($B134, 'Mixed costs INT'!$B$226:$B$243,0), MATCH(M$128, 'Mixed costs INT'!$D$225:$BB$225,0))
+ INDEX('Arterial costs'!$D$223:$BB$240, MATCH($B134, 'Arterial costs'!$B$223:$B$240,0), MATCH(M$128, 'Arterial costs'!$D$222:$BB$222,0))</f>
        <v>93871.330589542515</v>
      </c>
      <c r="N134" s="742">
        <f>INDEX('VLU costs INT'!$D$235:$BB$252, MATCH($B134, 'VLU costs INT'!$B$235:$B$252,0), MATCH(N$128, 'VLU costs INT'!$D$234:$BB$234,0))
+ INDEX('Mixed costs INT'!$D$226:$BB$243, MATCH($B134, 'Mixed costs INT'!$B$226:$B$243,0), MATCH(N$128, 'Mixed costs INT'!$D$225:$BB$225,0))
+ INDEX('Arterial costs'!$D$223:$BB$240, MATCH($B134, 'Arterial costs'!$B$223:$B$240,0), MATCH(N$128, 'Arterial costs'!$D$222:$BB$222,0))</f>
        <v>96595.99945809471</v>
      </c>
      <c r="O134" s="742">
        <f>INDEX('VLU costs INT'!$D$235:$BB$252, MATCH($B134, 'VLU costs INT'!$B$235:$B$252,0), MATCH(O$128, 'VLU costs INT'!$D$234:$BB$234,0))
+ INDEX('Mixed costs INT'!$D$226:$BB$243, MATCH($B134, 'Mixed costs INT'!$B$226:$B$243,0), MATCH(O$128, 'Mixed costs INT'!$D$225:$BB$225,0))
+ INDEX('Arterial costs'!$D$223:$BB$240, MATCH($B134, 'Arterial costs'!$B$223:$B$240,0), MATCH(O$128, 'Arterial costs'!$D$222:$BB$222,0))</f>
        <v>99655.172901377649</v>
      </c>
      <c r="P134" s="742">
        <f>INDEX('VLU costs INT'!$D$235:$BB$252, MATCH($B134, 'VLU costs INT'!$B$235:$B$252,0), MATCH(P$128, 'VLU costs INT'!$D$234:$BB$234,0))
+ INDEX('Mixed costs INT'!$D$226:$BB$243, MATCH($B134, 'Mixed costs INT'!$B$226:$B$243,0), MATCH(P$128, 'Mixed costs INT'!$D$225:$BB$225,0))
+ INDEX('Arterial costs'!$D$223:$BB$240, MATCH($B134, 'Arterial costs'!$B$223:$B$240,0), MATCH(P$128, 'Arterial costs'!$D$222:$BB$222,0))</f>
        <v>102947.4159944264</v>
      </c>
      <c r="Q134" s="742">
        <f>INDEX('VLU costs INT'!$D$235:$BB$252, MATCH($B134, 'VLU costs INT'!$B$235:$B$252,0), MATCH(Q$128, 'VLU costs INT'!$D$234:$BB$234,0))
+ INDEX('Mixed costs INT'!$D$226:$BB$243, MATCH($B134, 'Mixed costs INT'!$B$226:$B$243,0), MATCH(Q$128, 'Mixed costs INT'!$D$225:$BB$225,0))
+ INDEX('Arterial costs'!$D$223:$BB$240, MATCH($B134, 'Arterial costs'!$B$223:$B$240,0), MATCH(Q$128, 'Arterial costs'!$D$222:$BB$222,0))</f>
        <v>106434.58070082252</v>
      </c>
      <c r="R134" s="742">
        <f>INDEX('VLU costs INT'!$D$235:$BB$252, MATCH($B134, 'VLU costs INT'!$B$235:$B$252,0), MATCH(R$128, 'VLU costs INT'!$D$234:$BB$234,0))
+ INDEX('Mixed costs INT'!$D$226:$BB$243, MATCH($B134, 'Mixed costs INT'!$B$226:$B$243,0), MATCH(R$128, 'Mixed costs INT'!$D$225:$BB$225,0))
+ INDEX('Arterial costs'!$D$223:$BB$240, MATCH($B134, 'Arterial costs'!$B$223:$B$240,0), MATCH(R$128, 'Arterial costs'!$D$222:$BB$222,0))</f>
        <v>110080.26674647932</v>
      </c>
      <c r="S134" s="742">
        <f>INDEX('VLU costs INT'!$D$235:$BB$252, MATCH($B134, 'VLU costs INT'!$B$235:$B$252,0), MATCH(S$128, 'VLU costs INT'!$D$234:$BB$234,0))
+ INDEX('Mixed costs INT'!$D$226:$BB$243, MATCH($B134, 'Mixed costs INT'!$B$226:$B$243,0), MATCH(S$128, 'Mixed costs INT'!$D$225:$BB$225,0))
+ INDEX('Arterial costs'!$D$223:$BB$240, MATCH($B134, 'Arterial costs'!$B$223:$B$240,0), MATCH(S$128, 'Arterial costs'!$D$222:$BB$222,0))</f>
        <v>113852.19655297996</v>
      </c>
      <c r="T134" s="742">
        <f>INDEX('VLU costs INT'!$D$235:$BB$252, MATCH($B134, 'VLU costs INT'!$B$235:$B$252,0), MATCH(T$128, 'VLU costs INT'!$D$234:$BB$234,0))
+ INDEX('Mixed costs INT'!$D$226:$BB$243, MATCH($B134, 'Mixed costs INT'!$B$226:$B$243,0), MATCH(T$128, 'Mixed costs INT'!$D$225:$BB$225,0))
+ INDEX('Arterial costs'!$D$223:$BB$240, MATCH($B134, 'Arterial costs'!$B$223:$B$240,0), MATCH(T$128, 'Arterial costs'!$D$222:$BB$222,0))</f>
        <v>117754.35169855047</v>
      </c>
      <c r="U134" s="742">
        <f>INDEX('VLU costs INT'!$D$235:$BB$252, MATCH($B134, 'VLU costs INT'!$B$235:$B$252,0), MATCH(U$128, 'VLU costs INT'!$D$234:$BB$234,0))
+ INDEX('Mixed costs INT'!$D$226:$BB$243, MATCH($B134, 'Mixed costs INT'!$B$226:$B$243,0), MATCH(U$128, 'Mixed costs INT'!$D$225:$BB$225,0))
+ INDEX('Arterial costs'!$D$223:$BB$240, MATCH($B134, 'Arterial costs'!$B$223:$B$240,0), MATCH(U$128, 'Arterial costs'!$D$222:$BB$222,0))</f>
        <v>121839.83582266381</v>
      </c>
      <c r="V134" s="742">
        <f>INDEX('VLU costs INT'!$D$235:$BB$252, MATCH($B134, 'VLU costs INT'!$B$235:$B$252,0), MATCH(V$128, 'VLU costs INT'!$D$234:$BB$234,0))
+ INDEX('Mixed costs INT'!$D$226:$BB$243, MATCH($B134, 'Mixed costs INT'!$B$226:$B$243,0), MATCH(V$128, 'Mixed costs INT'!$D$225:$BB$225,0))
+ INDEX('Arterial costs'!$D$223:$BB$240, MATCH($B134, 'Arterial costs'!$B$223:$B$240,0), MATCH(V$128, 'Arterial costs'!$D$222:$BB$222,0))</f>
        <v>126029.20457313488</v>
      </c>
      <c r="W134" s="742">
        <f>INDEX('VLU costs INT'!$D$235:$BB$252, MATCH($B134, 'VLU costs INT'!$B$235:$B$252,0), MATCH(W$128, 'VLU costs INT'!$D$234:$BB$234,0))
+ INDEX('Mixed costs INT'!$D$226:$BB$243, MATCH($B134, 'Mixed costs INT'!$B$226:$B$243,0), MATCH(W$128, 'Mixed costs INT'!$D$225:$BB$225,0))
+ INDEX('Arterial costs'!$D$223:$BB$240, MATCH($B134, 'Arterial costs'!$B$223:$B$240,0), MATCH(W$128, 'Arterial costs'!$D$222:$BB$222,0))</f>
        <v>130307.05565540201</v>
      </c>
      <c r="X134" s="742">
        <f>INDEX('VLU costs INT'!$D$235:$BB$252, MATCH($B134, 'VLU costs INT'!$B$235:$B$252,0), MATCH(X$128, 'VLU costs INT'!$D$234:$BB$234,0))
+ INDEX('Mixed costs INT'!$D$226:$BB$243, MATCH($B134, 'Mixed costs INT'!$B$226:$B$243,0), MATCH(X$128, 'Mixed costs INT'!$D$225:$BB$225,0))
+ INDEX('Arterial costs'!$D$223:$BB$240, MATCH($B134, 'Arterial costs'!$B$223:$B$240,0), MATCH(X$128, 'Arterial costs'!$D$222:$BB$222,0))</f>
        <v>134704.42093547573</v>
      </c>
      <c r="Y134" s="742">
        <f>INDEX('VLU costs INT'!$D$235:$BB$252, MATCH($B134, 'VLU costs INT'!$B$235:$B$252,0), MATCH(Y$128, 'VLU costs INT'!$D$234:$BB$234,0))
+ INDEX('Mixed costs INT'!$D$226:$BB$243, MATCH($B134, 'Mixed costs INT'!$B$226:$B$243,0), MATCH(Y$128, 'Mixed costs INT'!$D$225:$BB$225,0))
+ INDEX('Arterial costs'!$D$223:$BB$240, MATCH($B134, 'Arterial costs'!$B$223:$B$240,0), MATCH(Y$128, 'Arterial costs'!$D$222:$BB$222,0))</f>
        <v>139207.80525755271</v>
      </c>
      <c r="Z134" s="742">
        <f>INDEX('VLU costs INT'!$D$235:$BB$252, MATCH($B134, 'VLU costs INT'!$B$235:$B$252,0), MATCH(Z$128, 'VLU costs INT'!$D$234:$BB$234,0))
+ INDEX('Mixed costs INT'!$D$226:$BB$243, MATCH($B134, 'Mixed costs INT'!$B$226:$B$243,0), MATCH(Z$128, 'Mixed costs INT'!$D$225:$BB$225,0))
+ INDEX('Arterial costs'!$D$223:$BB$240, MATCH($B134, 'Arterial costs'!$B$223:$B$240,0), MATCH(Z$128, 'Arterial costs'!$D$222:$BB$222,0))</f>
        <v>143805.56945661939</v>
      </c>
      <c r="AA134" s="742">
        <f>INDEX('VLU costs INT'!$D$235:$BB$252, MATCH($B134, 'VLU costs INT'!$B$235:$B$252,0), MATCH(AA$128, 'VLU costs INT'!$D$234:$BB$234,0))
+ INDEX('Mixed costs INT'!$D$226:$BB$243, MATCH($B134, 'Mixed costs INT'!$B$226:$B$243,0), MATCH(AA$128, 'Mixed costs INT'!$D$225:$BB$225,0))
+ INDEX('Arterial costs'!$D$223:$BB$240, MATCH($B134, 'Arterial costs'!$B$223:$B$240,0), MATCH(AA$128, 'Arterial costs'!$D$222:$BB$222,0))</f>
        <v>148489.78651202359</v>
      </c>
      <c r="AB134" s="742">
        <f>INDEX('VLU costs INT'!$D$235:$BB$252, MATCH($B134, 'VLU costs INT'!$B$235:$B$252,0), MATCH(AB$128, 'VLU costs INT'!$D$234:$BB$234,0))
+ INDEX('Mixed costs INT'!$D$226:$BB$243, MATCH($B134, 'Mixed costs INT'!$B$226:$B$243,0), MATCH(AB$128, 'Mixed costs INT'!$D$225:$BB$225,0))
+ INDEX('Arterial costs'!$D$223:$BB$240, MATCH($B134, 'Arterial costs'!$B$223:$B$240,0), MATCH(AB$128, 'Arterial costs'!$D$222:$BB$222,0))</f>
        <v>153270.34607676734</v>
      </c>
      <c r="AC134" s="742">
        <f>INDEX('VLU costs INT'!$D$235:$BB$252, MATCH($B134, 'VLU costs INT'!$B$235:$B$252,0), MATCH(AC$128, 'VLU costs INT'!$D$234:$BB$234,0))
+ INDEX('Mixed costs INT'!$D$226:$BB$243, MATCH($B134, 'Mixed costs INT'!$B$226:$B$243,0), MATCH(AC$128, 'Mixed costs INT'!$D$225:$BB$225,0))
+ INDEX('Arterial costs'!$D$223:$BB$240, MATCH($B134, 'Arterial costs'!$B$223:$B$240,0), MATCH(AC$128, 'Arterial costs'!$D$222:$BB$222,0))</f>
        <v>158131.61759470421</v>
      </c>
      <c r="AD134" s="742">
        <f>INDEX('VLU costs INT'!$D$235:$BB$252, MATCH($B134, 'VLU costs INT'!$B$235:$B$252,0), MATCH(AD$128, 'VLU costs INT'!$D$234:$BB$234,0))
+ INDEX('Mixed costs INT'!$D$226:$BB$243, MATCH($B134, 'Mixed costs INT'!$B$226:$B$243,0), MATCH(AD$128, 'Mixed costs INT'!$D$225:$BB$225,0))
+ INDEX('Arterial costs'!$D$223:$BB$240, MATCH($B134, 'Arterial costs'!$B$223:$B$240,0), MATCH(AD$128, 'Arterial costs'!$D$222:$BB$222,0))</f>
        <v>163059.22271088816</v>
      </c>
      <c r="AE134" s="742">
        <f>INDEX('VLU costs INT'!$D$235:$BB$252, MATCH($B134, 'VLU costs INT'!$B$235:$B$252,0), MATCH(AE$128, 'VLU costs INT'!$D$234:$BB$234,0))
+ INDEX('Mixed costs INT'!$D$226:$BB$243, MATCH($B134, 'Mixed costs INT'!$B$226:$B$243,0), MATCH(AE$128, 'Mixed costs INT'!$D$225:$BB$225,0))
+ INDEX('Arterial costs'!$D$223:$BB$240, MATCH($B134, 'Arterial costs'!$B$223:$B$240,0), MATCH(AE$128, 'Arterial costs'!$D$222:$BB$222,0))</f>
        <v>168042.78170363672</v>
      </c>
      <c r="AF134" s="742">
        <f>INDEX('VLU costs INT'!$D$235:$BB$252, MATCH($B134, 'VLU costs INT'!$B$235:$B$252,0), MATCH(AF$128, 'VLU costs INT'!$D$234:$BB$234,0))
+ INDEX('Mixed costs INT'!$D$226:$BB$243, MATCH($B134, 'Mixed costs INT'!$B$226:$B$243,0), MATCH(AF$128, 'Mixed costs INT'!$D$225:$BB$225,0))
+ INDEX('Arterial costs'!$D$223:$BB$240, MATCH($B134, 'Arterial costs'!$B$223:$B$240,0), MATCH(AF$128, 'Arterial costs'!$D$222:$BB$222,0))</f>
        <v>173085.4911065585</v>
      </c>
      <c r="AG134" s="742">
        <f>INDEX('VLU costs INT'!$D$235:$BB$252, MATCH($B134, 'VLU costs INT'!$B$235:$B$252,0), MATCH(AG$128, 'VLU costs INT'!$D$234:$BB$234,0))
+ INDEX('Mixed costs INT'!$D$226:$BB$243, MATCH($B134, 'Mixed costs INT'!$B$226:$B$243,0), MATCH(AG$128, 'Mixed costs INT'!$D$225:$BB$225,0))
+ INDEX('Arterial costs'!$D$223:$BB$240, MATCH($B134, 'Arterial costs'!$B$223:$B$240,0), MATCH(AG$128, 'Arterial costs'!$D$222:$BB$222,0))</f>
        <v>178217.95381639272</v>
      </c>
      <c r="AH134" s="742">
        <f>INDEX('VLU costs INT'!$D$235:$BB$252, MATCH($B134, 'VLU costs INT'!$B$235:$B$252,0), MATCH(AH$128, 'VLU costs INT'!$D$234:$BB$234,0))
+ INDEX('Mixed costs INT'!$D$226:$BB$243, MATCH($B134, 'Mixed costs INT'!$B$226:$B$243,0), MATCH(AH$128, 'Mixed costs INT'!$D$225:$BB$225,0))
+ INDEX('Arterial costs'!$D$223:$BB$240, MATCH($B134, 'Arterial costs'!$B$223:$B$240,0), MATCH(AH$128, 'Arterial costs'!$D$222:$BB$222,0))</f>
        <v>183444.7061589752</v>
      </c>
      <c r="AI134" s="742">
        <f>INDEX('VLU costs INT'!$D$235:$BB$252, MATCH($B134, 'VLU costs INT'!$B$235:$B$252,0), MATCH(AI$128, 'VLU costs INT'!$D$234:$BB$234,0))
+ INDEX('Mixed costs INT'!$D$226:$BB$243, MATCH($B134, 'Mixed costs INT'!$B$226:$B$243,0), MATCH(AI$128, 'Mixed costs INT'!$D$225:$BB$225,0))
+ INDEX('Arterial costs'!$D$223:$BB$240, MATCH($B134, 'Arterial costs'!$B$223:$B$240,0), MATCH(AI$128, 'Arterial costs'!$D$222:$BB$222,0))</f>
        <v>188785.7760478913</v>
      </c>
      <c r="AJ134" s="742">
        <f>INDEX('VLU costs INT'!$D$235:$BB$252, MATCH($B134, 'VLU costs INT'!$B$235:$B$252,0), MATCH(AJ$128, 'VLU costs INT'!$D$234:$BB$234,0))
+ INDEX('Mixed costs INT'!$D$226:$BB$243, MATCH($B134, 'Mixed costs INT'!$B$226:$B$243,0), MATCH(AJ$128, 'Mixed costs INT'!$D$225:$BB$225,0))
+ INDEX('Arterial costs'!$D$223:$BB$240, MATCH($B134, 'Arterial costs'!$B$223:$B$240,0), MATCH(AJ$128, 'Arterial costs'!$D$222:$BB$222,0))</f>
        <v>194223.73869985656</v>
      </c>
      <c r="AK134" s="742">
        <f>INDEX('VLU costs INT'!$D$235:$BB$252, MATCH($B134, 'VLU costs INT'!$B$235:$B$252,0), MATCH(AK$128, 'VLU costs INT'!$D$234:$BB$234,0))
+ INDEX('Mixed costs INT'!$D$226:$BB$243, MATCH($B134, 'Mixed costs INT'!$B$226:$B$243,0), MATCH(AK$128, 'Mixed costs INT'!$D$225:$BB$225,0))
+ INDEX('Arterial costs'!$D$223:$BB$240, MATCH($B134, 'Arterial costs'!$B$223:$B$240,0), MATCH(AK$128, 'Arterial costs'!$D$222:$BB$222,0))</f>
        <v>199727.32004870585</v>
      </c>
      <c r="AL134" s="742">
        <f>INDEX('VLU costs INT'!$D$235:$BB$252, MATCH($B134, 'VLU costs INT'!$B$235:$B$252,0), MATCH(AL$128, 'VLU costs INT'!$D$234:$BB$234,0))
+ INDEX('Mixed costs INT'!$D$226:$BB$243, MATCH($B134, 'Mixed costs INT'!$B$226:$B$243,0), MATCH(AL$128, 'Mixed costs INT'!$D$225:$BB$225,0))
+ INDEX('Arterial costs'!$D$223:$BB$240, MATCH($B134, 'Arterial costs'!$B$223:$B$240,0), MATCH(AL$128, 'Arterial costs'!$D$222:$BB$222,0))</f>
        <v>205278.32271389809</v>
      </c>
      <c r="AM134" s="742">
        <f>INDEX('VLU costs INT'!$D$235:$BB$252, MATCH($B134, 'VLU costs INT'!$B$235:$B$252,0), MATCH(AM$128, 'VLU costs INT'!$D$234:$BB$234,0))
+ INDEX('Mixed costs INT'!$D$226:$BB$243, MATCH($B134, 'Mixed costs INT'!$B$226:$B$243,0), MATCH(AM$128, 'Mixed costs INT'!$D$225:$BB$225,0))
+ INDEX('Arterial costs'!$D$223:$BB$240, MATCH($B134, 'Arterial costs'!$B$223:$B$240,0), MATCH(AM$128, 'Arterial costs'!$D$222:$BB$222,0))</f>
        <v>210862.62475771556</v>
      </c>
      <c r="AN134" s="742">
        <f>INDEX('VLU costs INT'!$D$235:$BB$252, MATCH($B134, 'VLU costs INT'!$B$235:$B$252,0), MATCH(AN$128, 'VLU costs INT'!$D$234:$BB$234,0))
+ INDEX('Mixed costs INT'!$D$226:$BB$243, MATCH($B134, 'Mixed costs INT'!$B$226:$B$243,0), MATCH(AN$128, 'Mixed costs INT'!$D$225:$BB$225,0))
+ INDEX('Arterial costs'!$D$223:$BB$240, MATCH($B134, 'Arterial costs'!$B$223:$B$240,0), MATCH(AN$128, 'Arterial costs'!$D$222:$BB$222,0))</f>
        <v>216469.47422032125</v>
      </c>
      <c r="AO134" s="742">
        <f>INDEX('VLU costs INT'!$D$235:$BB$252, MATCH($B134, 'VLU costs INT'!$B$235:$B$252,0), MATCH(AO$128, 'VLU costs INT'!$D$234:$BB$234,0))
+ INDEX('Mixed costs INT'!$D$226:$BB$243, MATCH($B134, 'Mixed costs INT'!$B$226:$B$243,0), MATCH(AO$128, 'Mixed costs INT'!$D$225:$BB$225,0))
+ INDEX('Arterial costs'!$D$223:$BB$240, MATCH($B134, 'Arterial costs'!$B$223:$B$240,0), MATCH(AO$128, 'Arterial costs'!$D$222:$BB$222,0))</f>
        <v>222088.59949290089</v>
      </c>
      <c r="AP134" s="742">
        <f>INDEX('VLU costs INT'!$D$235:$BB$252, MATCH($B134, 'VLU costs INT'!$B$235:$B$252,0), MATCH(AP$128, 'VLU costs INT'!$D$234:$BB$234,0))
+ INDEX('Mixed costs INT'!$D$226:$BB$243, MATCH($B134, 'Mixed costs INT'!$B$226:$B$243,0), MATCH(AP$128, 'Mixed costs INT'!$D$225:$BB$225,0))
+ INDEX('Arterial costs'!$D$223:$BB$240, MATCH($B134, 'Arterial costs'!$B$223:$B$240,0), MATCH(AP$128, 'Arterial costs'!$D$222:$BB$222,0))</f>
        <v>227776.89967140759</v>
      </c>
      <c r="AQ134" s="742">
        <f>INDEX('VLU costs INT'!$D$235:$BB$252, MATCH($B134, 'VLU costs INT'!$B$235:$B$252,0), MATCH(AQ$128, 'VLU costs INT'!$D$234:$BB$234,0))
+ INDEX('Mixed costs INT'!$D$226:$BB$243, MATCH($B134, 'Mixed costs INT'!$B$226:$B$243,0), MATCH(AQ$128, 'Mixed costs INT'!$D$225:$BB$225,0))
+ INDEX('Arterial costs'!$D$223:$BB$240, MATCH($B134, 'Arterial costs'!$B$223:$B$240,0), MATCH(AQ$128, 'Arterial costs'!$D$222:$BB$222,0))</f>
        <v>233589.45647258178</v>
      </c>
      <c r="AR134" s="742">
        <f>INDEX('VLU costs INT'!$D$235:$BB$252, MATCH($B134, 'VLU costs INT'!$B$235:$B$252,0), MATCH(AR$128, 'VLU costs INT'!$D$234:$BB$234,0))
+ INDEX('Mixed costs INT'!$D$226:$BB$243, MATCH($B134, 'Mixed costs INT'!$B$226:$B$243,0), MATCH(AR$128, 'Mixed costs INT'!$D$225:$BB$225,0))
+ INDEX('Arterial costs'!$D$223:$BB$240, MATCH($B134, 'Arterial costs'!$B$223:$B$240,0), MATCH(AR$128, 'Arterial costs'!$D$222:$BB$222,0))</f>
        <v>239568.50930992319</v>
      </c>
      <c r="AS134" s="742">
        <f>INDEX('VLU costs INT'!$D$235:$BB$252, MATCH($B134, 'VLU costs INT'!$B$235:$B$252,0), MATCH(AS$128, 'VLU costs INT'!$D$234:$BB$234,0))
+ INDEX('Mixed costs INT'!$D$226:$BB$243, MATCH($B134, 'Mixed costs INT'!$B$226:$B$243,0), MATCH(AS$128, 'Mixed costs INT'!$D$225:$BB$225,0))
+ INDEX('Arterial costs'!$D$223:$BB$240, MATCH($B134, 'Arterial costs'!$B$223:$B$240,0), MATCH(AS$128, 'Arterial costs'!$D$222:$BB$222,0))</f>
        <v>245472.2880103644</v>
      </c>
    </row>
    <row r="135" spans="2:54">
      <c r="B135" s="6" t="s">
        <v>17</v>
      </c>
      <c r="C135" s="742">
        <f>INDEX('VLU costs INT'!$D$235:$BB$252, MATCH($B135, 'VLU costs INT'!$B$235:$B$252,0), MATCH(C$128, 'VLU costs INT'!$D$234:$BB$234,0))
+ INDEX('Mixed costs INT'!$D$226:$BB$243, MATCH($B135, 'Mixed costs INT'!$B$226:$B$243,0), MATCH(C$128, 'Mixed costs INT'!$D$225:$BB$225,0))
+ INDEX('Arterial costs'!$D$223:$BB$240, MATCH($B135, 'Arterial costs'!$B$223:$B$240,0), MATCH(C$128, 'Arterial costs'!$D$222:$BB$222,0))</f>
        <v>38097.301285716727</v>
      </c>
      <c r="D135" s="742">
        <f>INDEX('VLU costs INT'!$D$235:$BB$252, MATCH($B135, 'VLU costs INT'!$B$235:$B$252,0), MATCH(D$128, 'VLU costs INT'!$D$234:$BB$234,0))
+ INDEX('Mixed costs INT'!$D$226:$BB$243, MATCH($B135, 'Mixed costs INT'!$B$226:$B$243,0), MATCH(D$128, 'Mixed costs INT'!$D$225:$BB$225,0))
+ INDEX('Arterial costs'!$D$223:$BB$240, MATCH($B135, 'Arterial costs'!$B$223:$B$240,0), MATCH(D$128, 'Arterial costs'!$D$222:$BB$222,0))</f>
        <v>40906.854270320982</v>
      </c>
      <c r="E135" s="742">
        <f>INDEX('VLU costs INT'!$D$235:$BB$252, MATCH($B135, 'VLU costs INT'!$B$235:$B$252,0), MATCH(E$128, 'VLU costs INT'!$D$234:$BB$234,0))
+ INDEX('Mixed costs INT'!$D$226:$BB$243, MATCH($B135, 'Mixed costs INT'!$B$226:$B$243,0), MATCH(E$128, 'Mixed costs INT'!$D$225:$BB$225,0))
+ INDEX('Arterial costs'!$D$223:$BB$240, MATCH($B135, 'Arterial costs'!$B$223:$B$240,0), MATCH(E$128, 'Arterial costs'!$D$222:$BB$222,0))</f>
        <v>43674.135113716038</v>
      </c>
      <c r="F135" s="742">
        <f>INDEX('VLU costs INT'!$D$235:$BB$252, MATCH($B135, 'VLU costs INT'!$B$235:$B$252,0), MATCH(F$128, 'VLU costs INT'!$D$234:$BB$234,0))
+ INDEX('Mixed costs INT'!$D$226:$BB$243, MATCH($B135, 'Mixed costs INT'!$B$226:$B$243,0), MATCH(F$128, 'Mixed costs INT'!$D$225:$BB$225,0))
+ INDEX('Arterial costs'!$D$223:$BB$240, MATCH($B135, 'Arterial costs'!$B$223:$B$240,0), MATCH(F$128, 'Arterial costs'!$D$222:$BB$222,0))</f>
        <v>46444.581822599452</v>
      </c>
      <c r="G135" s="742">
        <f>INDEX('VLU costs INT'!$D$235:$BB$252, MATCH($B135, 'VLU costs INT'!$B$235:$B$252,0), MATCH(G$128, 'VLU costs INT'!$D$234:$BB$234,0))
+ INDEX('Mixed costs INT'!$D$226:$BB$243, MATCH($B135, 'Mixed costs INT'!$B$226:$B$243,0), MATCH(G$128, 'Mixed costs INT'!$D$225:$BB$225,0))
+ INDEX('Arterial costs'!$D$223:$BB$240, MATCH($B135, 'Arterial costs'!$B$223:$B$240,0), MATCH(G$128, 'Arterial costs'!$D$222:$BB$222,0))</f>
        <v>46641.988690959624</v>
      </c>
      <c r="H135" s="742">
        <f>INDEX('VLU costs INT'!$D$235:$BB$252, MATCH($B135, 'VLU costs INT'!$B$235:$B$252,0), MATCH(H$128, 'VLU costs INT'!$D$234:$BB$234,0))
+ INDEX('Mixed costs INT'!$D$226:$BB$243, MATCH($B135, 'Mixed costs INT'!$B$226:$B$243,0), MATCH(H$128, 'Mixed costs INT'!$D$225:$BB$225,0))
+ INDEX('Arterial costs'!$D$223:$BB$240, MATCH($B135, 'Arterial costs'!$B$223:$B$240,0), MATCH(H$128, 'Arterial costs'!$D$222:$BB$222,0))</f>
        <v>45148.401806071684</v>
      </c>
      <c r="I135" s="742">
        <f>INDEX('VLU costs INT'!$D$235:$BB$252, MATCH($B135, 'VLU costs INT'!$B$235:$B$252,0), MATCH(I$128, 'VLU costs INT'!$D$234:$BB$234,0))
+ INDEX('Mixed costs INT'!$D$226:$BB$243, MATCH($B135, 'Mixed costs INT'!$B$226:$B$243,0), MATCH(I$128, 'Mixed costs INT'!$D$225:$BB$225,0))
+ INDEX('Arterial costs'!$D$223:$BB$240, MATCH($B135, 'Arterial costs'!$B$223:$B$240,0), MATCH(I$128, 'Arterial costs'!$D$222:$BB$222,0))</f>
        <v>45109.576275394727</v>
      </c>
      <c r="J135" s="742">
        <f>INDEX('VLU costs INT'!$D$235:$BB$252, MATCH($B135, 'VLU costs INT'!$B$235:$B$252,0), MATCH(J$128, 'VLU costs INT'!$D$234:$BB$234,0))
+ INDEX('Mixed costs INT'!$D$226:$BB$243, MATCH($B135, 'Mixed costs INT'!$B$226:$B$243,0), MATCH(J$128, 'Mixed costs INT'!$D$225:$BB$225,0))
+ INDEX('Arterial costs'!$D$223:$BB$240, MATCH($B135, 'Arterial costs'!$B$223:$B$240,0), MATCH(J$128, 'Arterial costs'!$D$222:$BB$222,0))</f>
        <v>46045.774388595433</v>
      </c>
      <c r="K135" s="742">
        <f>INDEX('VLU costs INT'!$D$235:$BB$252, MATCH($B135, 'VLU costs INT'!$B$235:$B$252,0), MATCH(K$128, 'VLU costs INT'!$D$234:$BB$234,0))
+ INDEX('Mixed costs INT'!$D$226:$BB$243, MATCH($B135, 'Mixed costs INT'!$B$226:$B$243,0), MATCH(K$128, 'Mixed costs INT'!$D$225:$BB$225,0))
+ INDEX('Arterial costs'!$D$223:$BB$240, MATCH($B135, 'Arterial costs'!$B$223:$B$240,0), MATCH(K$128, 'Arterial costs'!$D$222:$BB$222,0))</f>
        <v>47703.52902978065</v>
      </c>
      <c r="L135" s="742">
        <f>INDEX('VLU costs INT'!$D$235:$BB$252, MATCH($B135, 'VLU costs INT'!$B$235:$B$252,0), MATCH(L$128, 'VLU costs INT'!$D$234:$BB$234,0))
+ INDEX('Mixed costs INT'!$D$226:$BB$243, MATCH($B135, 'Mixed costs INT'!$B$226:$B$243,0), MATCH(L$128, 'Mixed costs INT'!$D$225:$BB$225,0))
+ INDEX('Arterial costs'!$D$223:$BB$240, MATCH($B135, 'Arterial costs'!$B$223:$B$240,0), MATCH(L$128, 'Arterial costs'!$D$222:$BB$222,0))</f>
        <v>49836.404852587068</v>
      </c>
      <c r="M135" s="742">
        <f>INDEX('VLU costs INT'!$D$235:$BB$252, MATCH($B135, 'VLU costs INT'!$B$235:$B$252,0), MATCH(M$128, 'VLU costs INT'!$D$234:$BB$234,0))
+ INDEX('Mixed costs INT'!$D$226:$BB$243, MATCH($B135, 'Mixed costs INT'!$B$226:$B$243,0), MATCH(M$128, 'Mixed costs INT'!$D$225:$BB$225,0))
+ INDEX('Arterial costs'!$D$223:$BB$240, MATCH($B135, 'Arterial costs'!$B$223:$B$240,0), MATCH(M$128, 'Arterial costs'!$D$222:$BB$222,0))</f>
        <v>52299.970424524421</v>
      </c>
      <c r="N135" s="742">
        <f>INDEX('VLU costs INT'!$D$235:$BB$252, MATCH($B135, 'VLU costs INT'!$B$235:$B$252,0), MATCH(N$128, 'VLU costs INT'!$D$234:$BB$234,0))
+ INDEX('Mixed costs INT'!$D$226:$BB$243, MATCH($B135, 'Mixed costs INT'!$B$226:$B$243,0), MATCH(N$128, 'Mixed costs INT'!$D$225:$BB$225,0))
+ INDEX('Arterial costs'!$D$223:$BB$240, MATCH($B135, 'Arterial costs'!$B$223:$B$240,0), MATCH(N$128, 'Arterial costs'!$D$222:$BB$222,0))</f>
        <v>55027.9776846241</v>
      </c>
      <c r="O135" s="742">
        <f>INDEX('VLU costs INT'!$D$235:$BB$252, MATCH($B135, 'VLU costs INT'!$B$235:$B$252,0), MATCH(O$128, 'VLU costs INT'!$D$234:$BB$234,0))
+ INDEX('Mixed costs INT'!$D$226:$BB$243, MATCH($B135, 'Mixed costs INT'!$B$226:$B$243,0), MATCH(O$128, 'Mixed costs INT'!$D$225:$BB$225,0))
+ INDEX('Arterial costs'!$D$223:$BB$240, MATCH($B135, 'Arterial costs'!$B$223:$B$240,0), MATCH(O$128, 'Arterial costs'!$D$222:$BB$222,0))</f>
        <v>57939.168359505347</v>
      </c>
      <c r="P135" s="742">
        <f>INDEX('VLU costs INT'!$D$235:$BB$252, MATCH($B135, 'VLU costs INT'!$B$235:$B$252,0), MATCH(P$128, 'VLU costs INT'!$D$234:$BB$234,0))
+ INDEX('Mixed costs INT'!$D$226:$BB$243, MATCH($B135, 'Mixed costs INT'!$B$226:$B$243,0), MATCH(P$128, 'Mixed costs INT'!$D$225:$BB$225,0))
+ INDEX('Arterial costs'!$D$223:$BB$240, MATCH($B135, 'Arterial costs'!$B$223:$B$240,0), MATCH(P$128, 'Arterial costs'!$D$222:$BB$222,0))</f>
        <v>61003.663531715982</v>
      </c>
      <c r="Q135" s="742">
        <f>INDEX('VLU costs INT'!$D$235:$BB$252, MATCH($B135, 'VLU costs INT'!$B$235:$B$252,0), MATCH(Q$128, 'VLU costs INT'!$D$234:$BB$234,0))
+ INDEX('Mixed costs INT'!$D$226:$BB$243, MATCH($B135, 'Mixed costs INT'!$B$226:$B$243,0), MATCH(Q$128, 'Mixed costs INT'!$D$225:$BB$225,0))
+ INDEX('Arterial costs'!$D$223:$BB$240, MATCH($B135, 'Arterial costs'!$B$223:$B$240,0), MATCH(Q$128, 'Arterial costs'!$D$222:$BB$222,0))</f>
        <v>64214.2338106526</v>
      </c>
      <c r="R135" s="742">
        <f>INDEX('VLU costs INT'!$D$235:$BB$252, MATCH($B135, 'VLU costs INT'!$B$235:$B$252,0), MATCH(R$128, 'VLU costs INT'!$D$234:$BB$234,0))
+ INDEX('Mixed costs INT'!$D$226:$BB$243, MATCH($B135, 'Mixed costs INT'!$B$226:$B$243,0), MATCH(R$128, 'Mixed costs INT'!$D$225:$BB$225,0))
+ INDEX('Arterial costs'!$D$223:$BB$240, MATCH($B135, 'Arterial costs'!$B$223:$B$240,0), MATCH(R$128, 'Arterial costs'!$D$222:$BB$222,0))</f>
        <v>67563.265232372418</v>
      </c>
      <c r="S135" s="742">
        <f>INDEX('VLU costs INT'!$D$235:$BB$252, MATCH($B135, 'VLU costs INT'!$B$235:$B$252,0), MATCH(S$128, 'VLU costs INT'!$D$234:$BB$234,0))
+ INDEX('Mixed costs INT'!$D$226:$BB$243, MATCH($B135, 'Mixed costs INT'!$B$226:$B$243,0), MATCH(S$128, 'Mixed costs INT'!$D$225:$BB$225,0))
+ INDEX('Arterial costs'!$D$223:$BB$240, MATCH($B135, 'Arterial costs'!$B$223:$B$240,0), MATCH(S$128, 'Arterial costs'!$D$222:$BB$222,0))</f>
        <v>71042.842352638952</v>
      </c>
      <c r="T135" s="742">
        <f>INDEX('VLU costs INT'!$D$235:$BB$252, MATCH($B135, 'VLU costs INT'!$B$235:$B$252,0), MATCH(T$128, 'VLU costs INT'!$D$234:$BB$234,0))
+ INDEX('Mixed costs INT'!$D$226:$BB$243, MATCH($B135, 'Mixed costs INT'!$B$226:$B$243,0), MATCH(T$128, 'Mixed costs INT'!$D$225:$BB$225,0))
+ INDEX('Arterial costs'!$D$223:$BB$240, MATCH($B135, 'Arterial costs'!$B$223:$B$240,0), MATCH(T$128, 'Arterial costs'!$D$222:$BB$222,0))</f>
        <v>74658.068125491453</v>
      </c>
      <c r="U135" s="742">
        <f>INDEX('VLU costs INT'!$D$235:$BB$252, MATCH($B135, 'VLU costs INT'!$B$235:$B$252,0), MATCH(U$128, 'VLU costs INT'!$D$234:$BB$234,0))
+ INDEX('Mixed costs INT'!$D$226:$BB$243, MATCH($B135, 'Mixed costs INT'!$B$226:$B$243,0), MATCH(U$128, 'Mixed costs INT'!$D$225:$BB$225,0))
+ INDEX('Arterial costs'!$D$223:$BB$240, MATCH($B135, 'Arterial costs'!$B$223:$B$240,0), MATCH(U$128, 'Arterial costs'!$D$222:$BB$222,0))</f>
        <v>78433.51106488466</v>
      </c>
      <c r="V135" s="742">
        <f>INDEX('VLU costs INT'!$D$235:$BB$252, MATCH($B135, 'VLU costs INT'!$B$235:$B$252,0), MATCH(V$128, 'VLU costs INT'!$D$234:$BB$234,0))
+ INDEX('Mixed costs INT'!$D$226:$BB$243, MATCH($B135, 'Mixed costs INT'!$B$226:$B$243,0), MATCH(V$128, 'Mixed costs INT'!$D$225:$BB$225,0))
+ INDEX('Arterial costs'!$D$223:$BB$240, MATCH($B135, 'Arterial costs'!$B$223:$B$240,0), MATCH(V$128, 'Arterial costs'!$D$222:$BB$222,0))</f>
        <v>82343.673893136191</v>
      </c>
      <c r="W135" s="742">
        <f>INDEX('VLU costs INT'!$D$235:$BB$252, MATCH($B135, 'VLU costs INT'!$B$235:$B$252,0), MATCH(W$128, 'VLU costs INT'!$D$234:$BB$234,0))
+ INDEX('Mixed costs INT'!$D$226:$BB$243, MATCH($B135, 'Mixed costs INT'!$B$226:$B$243,0), MATCH(W$128, 'Mixed costs INT'!$D$225:$BB$225,0))
+ INDEX('Arterial costs'!$D$223:$BB$240, MATCH($B135, 'Arterial costs'!$B$223:$B$240,0), MATCH(W$128, 'Arterial costs'!$D$222:$BB$222,0))</f>
        <v>86386.151186493269</v>
      </c>
      <c r="X135" s="742">
        <f>INDEX('VLU costs INT'!$D$235:$BB$252, MATCH($B135, 'VLU costs INT'!$B$235:$B$252,0), MATCH(X$128, 'VLU costs INT'!$D$234:$BB$234,0))
+ INDEX('Mixed costs INT'!$D$226:$BB$243, MATCH($B135, 'Mixed costs INT'!$B$226:$B$243,0), MATCH(X$128, 'Mixed costs INT'!$D$225:$BB$225,0))
+ INDEX('Arterial costs'!$D$223:$BB$240, MATCH($B135, 'Arterial costs'!$B$223:$B$240,0), MATCH(X$128, 'Arterial costs'!$D$222:$BB$222,0))</f>
        <v>90574.590503422165</v>
      </c>
      <c r="Y135" s="742">
        <f>INDEX('VLU costs INT'!$D$235:$BB$252, MATCH($B135, 'VLU costs INT'!$B$235:$B$252,0), MATCH(Y$128, 'VLU costs INT'!$D$234:$BB$234,0))
+ INDEX('Mixed costs INT'!$D$226:$BB$243, MATCH($B135, 'Mixed costs INT'!$B$226:$B$243,0), MATCH(Y$128, 'Mixed costs INT'!$D$225:$BB$225,0))
+ INDEX('Arterial costs'!$D$223:$BB$240, MATCH($B135, 'Arterial costs'!$B$223:$B$240,0), MATCH(Y$128, 'Arterial costs'!$D$222:$BB$222,0))</f>
        <v>94908.724456057724</v>
      </c>
      <c r="Z135" s="742">
        <f>INDEX('VLU costs INT'!$D$235:$BB$252, MATCH($B135, 'VLU costs INT'!$B$235:$B$252,0), MATCH(Z$128, 'VLU costs INT'!$D$234:$BB$234,0))
+ INDEX('Mixed costs INT'!$D$226:$BB$243, MATCH($B135, 'Mixed costs INT'!$B$226:$B$243,0), MATCH(Z$128, 'Mixed costs INT'!$D$225:$BB$225,0))
+ INDEX('Arterial costs'!$D$223:$BB$240, MATCH($B135, 'Arterial costs'!$B$223:$B$240,0), MATCH(Z$128, 'Arterial costs'!$D$222:$BB$222,0))</f>
        <v>99388.017076323333</v>
      </c>
      <c r="AA135" s="742">
        <f>INDEX('VLU costs INT'!$D$235:$BB$252, MATCH($B135, 'VLU costs INT'!$B$235:$B$252,0), MATCH(AA$128, 'VLU costs INT'!$D$234:$BB$234,0))
+ INDEX('Mixed costs INT'!$D$226:$BB$243, MATCH($B135, 'Mixed costs INT'!$B$226:$B$243,0), MATCH(AA$128, 'Mixed costs INT'!$D$225:$BB$225,0))
+ INDEX('Arterial costs'!$D$223:$BB$240, MATCH($B135, 'Arterial costs'!$B$223:$B$240,0), MATCH(AA$128, 'Arterial costs'!$D$222:$BB$222,0))</f>
        <v>104012.86280616804</v>
      </c>
      <c r="AB135" s="742">
        <f>INDEX('VLU costs INT'!$D$235:$BB$252, MATCH($B135, 'VLU costs INT'!$B$235:$B$252,0), MATCH(AB$128, 'VLU costs INT'!$D$234:$BB$234,0))
+ INDEX('Mixed costs INT'!$D$226:$BB$243, MATCH($B135, 'Mixed costs INT'!$B$226:$B$243,0), MATCH(AB$128, 'Mixed costs INT'!$D$225:$BB$225,0))
+ INDEX('Arterial costs'!$D$223:$BB$240, MATCH($B135, 'Arterial costs'!$B$223:$B$240,0), MATCH(AB$128, 'Arterial costs'!$D$222:$BB$222,0))</f>
        <v>108789.60681911939</v>
      </c>
      <c r="AC135" s="742">
        <f>INDEX('VLU costs INT'!$D$235:$BB$252, MATCH($B135, 'VLU costs INT'!$B$235:$B$252,0), MATCH(AC$128, 'VLU costs INT'!$D$234:$BB$234,0))
+ INDEX('Mixed costs INT'!$D$226:$BB$243, MATCH($B135, 'Mixed costs INT'!$B$226:$B$243,0), MATCH(AC$128, 'Mixed costs INT'!$D$225:$BB$225,0))
+ INDEX('Arterial costs'!$D$223:$BB$240, MATCH($B135, 'Arterial costs'!$B$223:$B$240,0), MATCH(AC$128, 'Arterial costs'!$D$222:$BB$222,0))</f>
        <v>113715.65698138185</v>
      </c>
      <c r="AD135" s="742">
        <f>INDEX('VLU costs INT'!$D$235:$BB$252, MATCH($B135, 'VLU costs INT'!$B$235:$B$252,0), MATCH(AD$128, 'VLU costs INT'!$D$234:$BB$234,0))
+ INDEX('Mixed costs INT'!$D$226:$BB$243, MATCH($B135, 'Mixed costs INT'!$B$226:$B$243,0), MATCH(AD$128, 'Mixed costs INT'!$D$225:$BB$225,0))
+ INDEX('Arterial costs'!$D$223:$BB$240, MATCH($B135, 'Arterial costs'!$B$223:$B$240,0), MATCH(AD$128, 'Arterial costs'!$D$222:$BB$222,0))</f>
        <v>118788.95332750129</v>
      </c>
      <c r="AE135" s="742">
        <f>INDEX('VLU costs INT'!$D$235:$BB$252, MATCH($B135, 'VLU costs INT'!$B$235:$B$252,0), MATCH(AE$128, 'VLU costs INT'!$D$234:$BB$234,0))
+ INDEX('Mixed costs INT'!$D$226:$BB$243, MATCH($B135, 'Mixed costs INT'!$B$226:$B$243,0), MATCH(AE$128, 'Mixed costs INT'!$D$225:$BB$225,0))
+ INDEX('Arterial costs'!$D$223:$BB$240, MATCH($B135, 'Arterial costs'!$B$223:$B$240,0), MATCH(AE$128, 'Arterial costs'!$D$222:$BB$222,0))</f>
        <v>124008.80834307158</v>
      </c>
      <c r="AF135" s="742">
        <f>INDEX('VLU costs INT'!$D$235:$BB$252, MATCH($B135, 'VLU costs INT'!$B$235:$B$252,0), MATCH(AF$128, 'VLU costs INT'!$D$234:$BB$234,0))
+ INDEX('Mixed costs INT'!$D$226:$BB$243, MATCH($B135, 'Mixed costs INT'!$B$226:$B$243,0), MATCH(AF$128, 'Mixed costs INT'!$D$225:$BB$225,0))
+ INDEX('Arterial costs'!$D$223:$BB$240, MATCH($B135, 'Arterial costs'!$B$223:$B$240,0), MATCH(AF$128, 'Arterial costs'!$D$222:$BB$222,0))</f>
        <v>129379.71212878685</v>
      </c>
      <c r="AG135" s="742">
        <f>INDEX('VLU costs INT'!$D$235:$BB$252, MATCH($B135, 'VLU costs INT'!$B$235:$B$252,0), MATCH(AG$128, 'VLU costs INT'!$D$234:$BB$234,0))
+ INDEX('Mixed costs INT'!$D$226:$BB$243, MATCH($B135, 'Mixed costs INT'!$B$226:$B$243,0), MATCH(AG$128, 'Mixed costs INT'!$D$225:$BB$225,0))
+ INDEX('Arterial costs'!$D$223:$BB$240, MATCH($B135, 'Arterial costs'!$B$223:$B$240,0), MATCH(AG$128, 'Arterial costs'!$D$222:$BB$222,0))</f>
        <v>134916.78891508174</v>
      </c>
      <c r="AH135" s="742">
        <f>INDEX('VLU costs INT'!$D$235:$BB$252, MATCH($B135, 'VLU costs INT'!$B$235:$B$252,0), MATCH(AH$128, 'VLU costs INT'!$D$234:$BB$234,0))
+ INDEX('Mixed costs INT'!$D$226:$BB$243, MATCH($B135, 'Mixed costs INT'!$B$226:$B$243,0), MATCH(AH$128, 'Mixed costs INT'!$D$225:$BB$225,0))
+ INDEX('Arterial costs'!$D$223:$BB$240, MATCH($B135, 'Arterial costs'!$B$223:$B$240,0), MATCH(AH$128, 'Arterial costs'!$D$222:$BB$222,0))</f>
        <v>140625.41650797825</v>
      </c>
      <c r="AI135" s="742">
        <f>INDEX('VLU costs INT'!$D$235:$BB$252, MATCH($B135, 'VLU costs INT'!$B$235:$B$252,0), MATCH(AI$128, 'VLU costs INT'!$D$234:$BB$234,0))
+ INDEX('Mixed costs INT'!$D$226:$BB$243, MATCH($B135, 'Mixed costs INT'!$B$226:$B$243,0), MATCH(AI$128, 'Mixed costs INT'!$D$225:$BB$225,0))
+ INDEX('Arterial costs'!$D$223:$BB$240, MATCH($B135, 'Arterial costs'!$B$223:$B$240,0), MATCH(AI$128, 'Arterial costs'!$D$222:$BB$222,0))</f>
        <v>146516.76191165007</v>
      </c>
      <c r="AJ135" s="742">
        <f>INDEX('VLU costs INT'!$D$235:$BB$252, MATCH($B135, 'VLU costs INT'!$B$235:$B$252,0), MATCH(AJ$128, 'VLU costs INT'!$D$234:$BB$234,0))
+ INDEX('Mixed costs INT'!$D$226:$BB$243, MATCH($B135, 'Mixed costs INT'!$B$226:$B$243,0), MATCH(AJ$128, 'Mixed costs INT'!$D$225:$BB$225,0))
+ INDEX('Arterial costs'!$D$223:$BB$240, MATCH($B135, 'Arterial costs'!$B$223:$B$240,0), MATCH(AJ$128, 'Arterial costs'!$D$222:$BB$222,0))</f>
        <v>152587.05520593378</v>
      </c>
      <c r="AK135" s="742">
        <f>INDEX('VLU costs INT'!$D$235:$BB$252, MATCH($B135, 'VLU costs INT'!$B$235:$B$252,0), MATCH(AK$128, 'VLU costs INT'!$D$234:$BB$234,0))
+ INDEX('Mixed costs INT'!$D$226:$BB$243, MATCH($B135, 'Mixed costs INT'!$B$226:$B$243,0), MATCH(AK$128, 'Mixed costs INT'!$D$225:$BB$225,0))
+ INDEX('Arterial costs'!$D$223:$BB$240, MATCH($B135, 'Arterial costs'!$B$223:$B$240,0), MATCH(AK$128, 'Arterial costs'!$D$222:$BB$222,0))</f>
        <v>158827.68585808121</v>
      </c>
      <c r="AL135" s="742">
        <f>INDEX('VLU costs INT'!$D$235:$BB$252, MATCH($B135, 'VLU costs INT'!$B$235:$B$252,0), MATCH(AL$128, 'VLU costs INT'!$D$234:$BB$234,0))
+ INDEX('Mixed costs INT'!$D$226:$BB$243, MATCH($B135, 'Mixed costs INT'!$B$226:$B$243,0), MATCH(AL$128, 'Mixed costs INT'!$D$225:$BB$225,0))
+ INDEX('Arterial costs'!$D$223:$BB$240, MATCH($B135, 'Arterial costs'!$B$223:$B$240,0), MATCH(AL$128, 'Arterial costs'!$D$222:$BB$222,0))</f>
        <v>165234.62731677477</v>
      </c>
      <c r="AM135" s="742">
        <f>INDEX('VLU costs INT'!$D$235:$BB$252, MATCH($B135, 'VLU costs INT'!$B$235:$B$252,0), MATCH(AM$128, 'VLU costs INT'!$D$234:$BB$234,0))
+ INDEX('Mixed costs INT'!$D$226:$BB$243, MATCH($B135, 'Mixed costs INT'!$B$226:$B$243,0), MATCH(AM$128, 'Mixed costs INT'!$D$225:$BB$225,0))
+ INDEX('Arterial costs'!$D$223:$BB$240, MATCH($B135, 'Arterial costs'!$B$223:$B$240,0), MATCH(AM$128, 'Arterial costs'!$D$222:$BB$222,0))</f>
        <v>171806.5603722102</v>
      </c>
      <c r="AN135" s="742">
        <f>INDEX('VLU costs INT'!$D$235:$BB$252, MATCH($B135, 'VLU costs INT'!$B$235:$B$252,0), MATCH(AN$128, 'VLU costs INT'!$D$234:$BB$234,0))
+ INDEX('Mixed costs INT'!$D$226:$BB$243, MATCH($B135, 'Mixed costs INT'!$B$226:$B$243,0), MATCH(AN$128, 'Mixed costs INT'!$D$225:$BB$225,0))
+ INDEX('Arterial costs'!$D$223:$BB$240, MATCH($B135, 'Arterial costs'!$B$223:$B$240,0), MATCH(AN$128, 'Arterial costs'!$D$222:$BB$222,0))</f>
        <v>178543.22878658498</v>
      </c>
      <c r="AO135" s="742">
        <f>INDEX('VLU costs INT'!$D$235:$BB$252, MATCH($B135, 'VLU costs INT'!$B$235:$B$252,0), MATCH(AO$128, 'VLU costs INT'!$D$234:$BB$234,0))
+ INDEX('Mixed costs INT'!$D$226:$BB$243, MATCH($B135, 'Mixed costs INT'!$B$226:$B$243,0), MATCH(AO$128, 'Mixed costs INT'!$D$225:$BB$225,0))
+ INDEX('Arterial costs'!$D$223:$BB$240, MATCH($B135, 'Arterial costs'!$B$223:$B$240,0), MATCH(AO$128, 'Arterial costs'!$D$222:$BB$222,0))</f>
        <v>185444.23738618626</v>
      </c>
      <c r="AP135" s="742">
        <f>INDEX('VLU costs INT'!$D$235:$BB$252, MATCH($B135, 'VLU costs INT'!$B$235:$B$252,0), MATCH(AP$128, 'VLU costs INT'!$D$234:$BB$234,0))
+ INDEX('Mixed costs INT'!$D$226:$BB$243, MATCH($B135, 'Mixed costs INT'!$B$226:$B$243,0), MATCH(AP$128, 'Mixed costs INT'!$D$225:$BB$225,0))
+ INDEX('Arterial costs'!$D$223:$BB$240, MATCH($B135, 'Arterial costs'!$B$223:$B$240,0), MATCH(AP$128, 'Arterial costs'!$D$222:$BB$222,0))</f>
        <v>192534.3186123753</v>
      </c>
      <c r="AQ135" s="742">
        <f>INDEX('VLU costs INT'!$D$235:$BB$252, MATCH($B135, 'VLU costs INT'!$B$235:$B$252,0), MATCH(AQ$128, 'VLU costs INT'!$D$234:$BB$234,0))
+ INDEX('Mixed costs INT'!$D$226:$BB$243, MATCH($B135, 'Mixed costs INT'!$B$226:$B$243,0), MATCH(AQ$128, 'Mixed costs INT'!$D$225:$BB$225,0))
+ INDEX('Arterial costs'!$D$223:$BB$240, MATCH($B135, 'Arterial costs'!$B$223:$B$240,0), MATCH(AQ$128, 'Arterial costs'!$D$222:$BB$222,0))</f>
        <v>199838.36553677128</v>
      </c>
      <c r="AR135" s="742">
        <f>INDEX('VLU costs INT'!$D$235:$BB$252, MATCH($B135, 'VLU costs INT'!$B$235:$B$252,0), MATCH(AR$128, 'VLU costs INT'!$D$234:$BB$234,0))
+ INDEX('Mixed costs INT'!$D$226:$BB$243, MATCH($B135, 'Mixed costs INT'!$B$226:$B$243,0), MATCH(AR$128, 'Mixed costs INT'!$D$225:$BB$225,0))
+ INDEX('Arterial costs'!$D$223:$BB$240, MATCH($B135, 'Arterial costs'!$B$223:$B$240,0), MATCH(AR$128, 'Arterial costs'!$D$222:$BB$222,0))</f>
        <v>207377.22466773458</v>
      </c>
      <c r="AS135" s="742">
        <f>INDEX('VLU costs INT'!$D$235:$BB$252, MATCH($B135, 'VLU costs INT'!$B$235:$B$252,0), MATCH(AS$128, 'VLU costs INT'!$D$234:$BB$234,0))
+ INDEX('Mixed costs INT'!$D$226:$BB$243, MATCH($B135, 'Mixed costs INT'!$B$226:$B$243,0), MATCH(AS$128, 'Mixed costs INT'!$D$225:$BB$225,0))
+ INDEX('Arterial costs'!$D$223:$BB$240, MATCH($B135, 'Arterial costs'!$B$223:$B$240,0), MATCH(AS$128, 'Arterial costs'!$D$222:$BB$222,0))</f>
        <v>215060.64343448455</v>
      </c>
    </row>
    <row r="136" spans="2:54" ht="29">
      <c r="B136" s="6" t="s">
        <v>106</v>
      </c>
      <c r="C136" s="742">
        <f>INDEX('VLU costs INT'!$D$235:$BB$252, MATCH($B136, 'VLU costs INT'!$B$235:$B$252,0), MATCH(C$128, 'VLU costs INT'!$D$234:$BB$234,0))
+ INDEX('Mixed costs INT'!$D$226:$BB$243, MATCH($B136, 'Mixed costs INT'!$B$226:$B$243,0), MATCH(C$128, 'Mixed costs INT'!$D$225:$BB$225,0))
+ INDEX('Arterial costs'!$D$223:$BB$240, MATCH($B136, 'Arterial costs'!$B$223:$B$240,0), MATCH(C$128, 'Arterial costs'!$D$222:$BB$222,0))</f>
        <v>73766.307417149437</v>
      </c>
      <c r="D136" s="742">
        <f>INDEX('VLU costs INT'!$D$235:$BB$252, MATCH($B136, 'VLU costs INT'!$B$235:$B$252,0), MATCH(D$128, 'VLU costs INT'!$D$234:$BB$234,0))
+ INDEX('Mixed costs INT'!$D$226:$BB$243, MATCH($B136, 'Mixed costs INT'!$B$226:$B$243,0), MATCH(D$128, 'Mixed costs INT'!$D$225:$BB$225,0))
+ INDEX('Arterial costs'!$D$223:$BB$240, MATCH($B136, 'Arterial costs'!$B$223:$B$240,0), MATCH(D$128, 'Arterial costs'!$D$222:$BB$222,0))</f>
        <v>79595.79834002837</v>
      </c>
      <c r="E136" s="742">
        <f>INDEX('VLU costs INT'!$D$235:$BB$252, MATCH($B136, 'VLU costs INT'!$B$235:$B$252,0), MATCH(E$128, 'VLU costs INT'!$D$234:$BB$234,0))
+ INDEX('Mixed costs INT'!$D$226:$BB$243, MATCH($B136, 'Mixed costs INT'!$B$226:$B$243,0), MATCH(E$128, 'Mixed costs INT'!$D$225:$BB$225,0))
+ INDEX('Arterial costs'!$D$223:$BB$240, MATCH($B136, 'Arterial costs'!$B$223:$B$240,0), MATCH(E$128, 'Arterial costs'!$D$222:$BB$222,0))</f>
        <v>85380.904224023223</v>
      </c>
      <c r="F136" s="742">
        <f>INDEX('VLU costs INT'!$D$235:$BB$252, MATCH($B136, 'VLU costs INT'!$B$235:$B$252,0), MATCH(F$128, 'VLU costs INT'!$D$234:$BB$234,0))
+ INDEX('Mixed costs INT'!$D$226:$BB$243, MATCH($B136, 'Mixed costs INT'!$B$226:$B$243,0), MATCH(F$128, 'Mixed costs INT'!$D$225:$BB$225,0))
+ INDEX('Arterial costs'!$D$223:$BB$240, MATCH($B136, 'Arterial costs'!$B$223:$B$240,0), MATCH(F$128, 'Arterial costs'!$D$222:$BB$222,0))</f>
        <v>91222.343811828308</v>
      </c>
      <c r="G136" s="742">
        <f>INDEX('VLU costs INT'!$D$235:$BB$252, MATCH($B136, 'VLU costs INT'!$B$235:$B$252,0), MATCH(G$128, 'VLU costs INT'!$D$234:$BB$234,0))
+ INDEX('Mixed costs INT'!$D$226:$BB$243, MATCH($B136, 'Mixed costs INT'!$B$226:$B$243,0), MATCH(G$128, 'Mixed costs INT'!$D$225:$BB$225,0))
+ INDEX('Arterial costs'!$D$223:$BB$240, MATCH($B136, 'Arterial costs'!$B$223:$B$240,0), MATCH(G$128, 'Arterial costs'!$D$222:$BB$222,0))</f>
        <v>80988.192212223963</v>
      </c>
      <c r="H136" s="742">
        <f>INDEX('VLU costs INT'!$D$235:$BB$252, MATCH($B136, 'VLU costs INT'!$B$235:$B$252,0), MATCH(H$128, 'VLU costs INT'!$D$234:$BB$234,0))
+ INDEX('Mixed costs INT'!$D$226:$BB$243, MATCH($B136, 'Mixed costs INT'!$B$226:$B$243,0), MATCH(H$128, 'Mixed costs INT'!$D$225:$BB$225,0))
+ INDEX('Arterial costs'!$D$223:$BB$240, MATCH($B136, 'Arterial costs'!$B$223:$B$240,0), MATCH(H$128, 'Arterial costs'!$D$222:$BB$222,0))</f>
        <v>75746.969919752664</v>
      </c>
      <c r="I136" s="742">
        <f>INDEX('VLU costs INT'!$D$235:$BB$252, MATCH($B136, 'VLU costs INT'!$B$235:$B$252,0), MATCH(I$128, 'VLU costs INT'!$D$234:$BB$234,0))
+ INDEX('Mixed costs INT'!$D$226:$BB$243, MATCH($B136, 'Mixed costs INT'!$B$226:$B$243,0), MATCH(I$128, 'Mixed costs INT'!$D$225:$BB$225,0))
+ INDEX('Arterial costs'!$D$223:$BB$240, MATCH($B136, 'Arterial costs'!$B$223:$B$240,0), MATCH(I$128, 'Arterial costs'!$D$222:$BB$222,0))</f>
        <v>73540.523387531211</v>
      </c>
      <c r="J136" s="742">
        <f>INDEX('VLU costs INT'!$D$235:$BB$252, MATCH($B136, 'VLU costs INT'!$B$235:$B$252,0), MATCH(J$128, 'VLU costs INT'!$D$234:$BB$234,0))
+ INDEX('Mixed costs INT'!$D$226:$BB$243, MATCH($B136, 'Mixed costs INT'!$B$226:$B$243,0), MATCH(J$128, 'Mixed costs INT'!$D$225:$BB$225,0))
+ INDEX('Arterial costs'!$D$223:$BB$240, MATCH($B136, 'Arterial costs'!$B$223:$B$240,0), MATCH(J$128, 'Arterial costs'!$D$222:$BB$222,0))</f>
        <v>73439.220061977117</v>
      </c>
      <c r="K136" s="742">
        <f>INDEX('VLU costs INT'!$D$235:$BB$252, MATCH($B136, 'VLU costs INT'!$B$235:$B$252,0), MATCH(K$128, 'VLU costs INT'!$D$234:$BB$234,0))
+ INDEX('Mixed costs INT'!$D$226:$BB$243, MATCH($B136, 'Mixed costs INT'!$B$226:$B$243,0), MATCH(K$128, 'Mixed costs INT'!$D$225:$BB$225,0))
+ INDEX('Arterial costs'!$D$223:$BB$240, MATCH($B136, 'Arterial costs'!$B$223:$B$240,0), MATCH(K$128, 'Arterial costs'!$D$222:$BB$222,0))</f>
        <v>74949.870103466659</v>
      </c>
      <c r="L136" s="742">
        <f>INDEX('VLU costs INT'!$D$235:$BB$252, MATCH($B136, 'VLU costs INT'!$B$235:$B$252,0), MATCH(L$128, 'VLU costs INT'!$D$234:$BB$234,0))
+ INDEX('Mixed costs INT'!$D$226:$BB$243, MATCH($B136, 'Mixed costs INT'!$B$226:$B$243,0), MATCH(L$128, 'Mixed costs INT'!$D$225:$BB$225,0))
+ INDEX('Arterial costs'!$D$223:$BB$240, MATCH($B136, 'Arterial costs'!$B$223:$B$240,0), MATCH(L$128, 'Arterial costs'!$D$222:$BB$222,0))</f>
        <v>77548.822105119078</v>
      </c>
      <c r="M136" s="742">
        <f>INDEX('VLU costs INT'!$D$235:$BB$252, MATCH($B136, 'VLU costs INT'!$B$235:$B$252,0), MATCH(M$128, 'VLU costs INT'!$D$234:$BB$234,0))
+ INDEX('Mixed costs INT'!$D$226:$BB$243, MATCH($B136, 'Mixed costs INT'!$B$226:$B$243,0), MATCH(M$128, 'Mixed costs INT'!$D$225:$BB$225,0))
+ INDEX('Arterial costs'!$D$223:$BB$240, MATCH($B136, 'Arterial costs'!$B$223:$B$240,0), MATCH(M$128, 'Arterial costs'!$D$222:$BB$222,0))</f>
        <v>80921.152682239685</v>
      </c>
      <c r="N136" s="742">
        <f>INDEX('VLU costs INT'!$D$235:$BB$252, MATCH($B136, 'VLU costs INT'!$B$235:$B$252,0), MATCH(N$128, 'VLU costs INT'!$D$234:$BB$234,0))
+ INDEX('Mixed costs INT'!$D$226:$BB$243, MATCH($B136, 'Mixed costs INT'!$B$226:$B$243,0), MATCH(N$128, 'Mixed costs INT'!$D$225:$BB$225,0))
+ INDEX('Arterial costs'!$D$223:$BB$240, MATCH($B136, 'Arterial costs'!$B$223:$B$240,0), MATCH(N$128, 'Arterial costs'!$D$222:$BB$222,0))</f>
        <v>84929.352549688672</v>
      </c>
      <c r="O136" s="742">
        <f>INDEX('VLU costs INT'!$D$235:$BB$252, MATCH($B136, 'VLU costs INT'!$B$235:$B$252,0), MATCH(O$128, 'VLU costs INT'!$D$234:$BB$234,0))
+ INDEX('Mixed costs INT'!$D$226:$BB$243, MATCH($B136, 'Mixed costs INT'!$B$226:$B$243,0), MATCH(O$128, 'Mixed costs INT'!$D$225:$BB$225,0))
+ INDEX('Arterial costs'!$D$223:$BB$240, MATCH($B136, 'Arterial costs'!$B$223:$B$240,0), MATCH(O$128, 'Arterial costs'!$D$222:$BB$222,0))</f>
        <v>89375.959436262652</v>
      </c>
      <c r="P136" s="742">
        <f>INDEX('VLU costs INT'!$D$235:$BB$252, MATCH($B136, 'VLU costs INT'!$B$235:$B$252,0), MATCH(P$128, 'VLU costs INT'!$D$234:$BB$234,0))
+ INDEX('Mixed costs INT'!$D$226:$BB$243, MATCH($B136, 'Mixed costs INT'!$B$226:$B$243,0), MATCH(P$128, 'Mixed costs INT'!$D$225:$BB$225,0))
+ INDEX('Arterial costs'!$D$223:$BB$240, MATCH($B136, 'Arterial costs'!$B$223:$B$240,0), MATCH(P$128, 'Arterial costs'!$D$222:$BB$222,0))</f>
        <v>94184.577128695528</v>
      </c>
      <c r="Q136" s="742">
        <f>INDEX('VLU costs INT'!$D$235:$BB$252, MATCH($B136, 'VLU costs INT'!$B$235:$B$252,0), MATCH(Q$128, 'VLU costs INT'!$D$234:$BB$234,0))
+ INDEX('Mixed costs INT'!$D$226:$BB$243, MATCH($B136, 'Mixed costs INT'!$B$226:$B$243,0), MATCH(Q$128, 'Mixed costs INT'!$D$225:$BB$225,0))
+ INDEX('Arterial costs'!$D$223:$BB$240, MATCH($B136, 'Arterial costs'!$B$223:$B$240,0), MATCH(Q$128, 'Arterial costs'!$D$222:$BB$222,0))</f>
        <v>99335.397180462722</v>
      </c>
      <c r="R136" s="742">
        <f>INDEX('VLU costs INT'!$D$235:$BB$252, MATCH($B136, 'VLU costs INT'!$B$235:$B$252,0), MATCH(R$128, 'VLU costs INT'!$D$234:$BB$234,0))
+ INDEX('Mixed costs INT'!$D$226:$BB$243, MATCH($B136, 'Mixed costs INT'!$B$226:$B$243,0), MATCH(R$128, 'Mixed costs INT'!$D$225:$BB$225,0))
+ INDEX('Arterial costs'!$D$223:$BB$240, MATCH($B136, 'Arterial costs'!$B$223:$B$240,0), MATCH(R$128, 'Arterial costs'!$D$222:$BB$222,0))</f>
        <v>104808.16805435468</v>
      </c>
      <c r="S136" s="742">
        <f>INDEX('VLU costs INT'!$D$235:$BB$252, MATCH($B136, 'VLU costs INT'!$B$235:$B$252,0), MATCH(S$128, 'VLU costs INT'!$D$234:$BB$234,0))
+ INDEX('Mixed costs INT'!$D$226:$BB$243, MATCH($B136, 'Mixed costs INT'!$B$226:$B$243,0), MATCH(S$128, 'Mixed costs INT'!$D$225:$BB$225,0))
+ INDEX('Arterial costs'!$D$223:$BB$240, MATCH($B136, 'Arterial costs'!$B$223:$B$240,0), MATCH(S$128, 'Arterial costs'!$D$222:$BB$222,0))</f>
        <v>110584.92048927188</v>
      </c>
      <c r="T136" s="742">
        <f>INDEX('VLU costs INT'!$D$235:$BB$252, MATCH($B136, 'VLU costs INT'!$B$235:$B$252,0), MATCH(T$128, 'VLU costs INT'!$D$234:$BB$234,0))
+ INDEX('Mixed costs INT'!$D$226:$BB$243, MATCH($B136, 'Mixed costs INT'!$B$226:$B$243,0), MATCH(T$128, 'Mixed costs INT'!$D$225:$BB$225,0))
+ INDEX('Arterial costs'!$D$223:$BB$240, MATCH($B136, 'Arterial costs'!$B$223:$B$240,0), MATCH(T$128, 'Arterial costs'!$D$222:$BB$222,0))</f>
        <v>116683.52373903994</v>
      </c>
      <c r="U136" s="742">
        <f>INDEX('VLU costs INT'!$D$235:$BB$252, MATCH($B136, 'VLU costs INT'!$B$235:$B$252,0), MATCH(U$128, 'VLU costs INT'!$D$234:$BB$234,0))
+ INDEX('Mixed costs INT'!$D$226:$BB$243, MATCH($B136, 'Mixed costs INT'!$B$226:$B$243,0), MATCH(U$128, 'Mixed costs INT'!$D$225:$BB$225,0))
+ INDEX('Arterial costs'!$D$223:$BB$240, MATCH($B136, 'Arterial costs'!$B$223:$B$240,0), MATCH(U$128, 'Arterial costs'!$D$222:$BB$222,0))</f>
        <v>123175.12838390941</v>
      </c>
      <c r="V136" s="742">
        <f>INDEX('VLU costs INT'!$D$235:$BB$252, MATCH($B136, 'VLU costs INT'!$B$235:$B$252,0), MATCH(V$128, 'VLU costs INT'!$D$234:$BB$234,0))
+ INDEX('Mixed costs INT'!$D$226:$BB$243, MATCH($B136, 'Mixed costs INT'!$B$226:$B$243,0), MATCH(V$128, 'Mixed costs INT'!$D$225:$BB$225,0))
+ INDEX('Arterial costs'!$D$223:$BB$240, MATCH($B136, 'Arterial costs'!$B$223:$B$240,0), MATCH(V$128, 'Arterial costs'!$D$222:$BB$222,0))</f>
        <v>129988.88353725184</v>
      </c>
      <c r="W136" s="742">
        <f>INDEX('VLU costs INT'!$D$235:$BB$252, MATCH($B136, 'VLU costs INT'!$B$235:$B$252,0), MATCH(W$128, 'VLU costs INT'!$D$234:$BB$234,0))
+ INDEX('Mixed costs INT'!$D$226:$BB$243, MATCH($B136, 'Mixed costs INT'!$B$226:$B$243,0), MATCH(W$128, 'Mixed costs INT'!$D$225:$BB$225,0))
+ INDEX('Arterial costs'!$D$223:$BB$240, MATCH($B136, 'Arterial costs'!$B$223:$B$240,0), MATCH(W$128, 'Arterial costs'!$D$222:$BB$222,0))</f>
        <v>137120.37915498309</v>
      </c>
      <c r="X136" s="742">
        <f>INDEX('VLU costs INT'!$D$235:$BB$252, MATCH($B136, 'VLU costs INT'!$B$235:$B$252,0), MATCH(X$128, 'VLU costs INT'!$D$234:$BB$234,0))
+ INDEX('Mixed costs INT'!$D$226:$BB$243, MATCH($B136, 'Mixed costs INT'!$B$226:$B$243,0), MATCH(X$128, 'Mixed costs INT'!$D$225:$BB$225,0))
+ INDEX('Arterial costs'!$D$223:$BB$240, MATCH($B136, 'Arterial costs'!$B$223:$B$240,0), MATCH(X$128, 'Arterial costs'!$D$222:$BB$222,0))</f>
        <v>144618.73572290235</v>
      </c>
      <c r="Y136" s="742">
        <f>INDEX('VLU costs INT'!$D$235:$BB$252, MATCH($B136, 'VLU costs INT'!$B$235:$B$252,0), MATCH(Y$128, 'VLU costs INT'!$D$234:$BB$234,0))
+ INDEX('Mixed costs INT'!$D$226:$BB$243, MATCH($B136, 'Mixed costs INT'!$B$226:$B$243,0), MATCH(Y$128, 'Mixed costs INT'!$D$225:$BB$225,0))
+ INDEX('Arterial costs'!$D$223:$BB$240, MATCH($B136, 'Arterial costs'!$B$223:$B$240,0), MATCH(Y$128, 'Arterial costs'!$D$222:$BB$222,0))</f>
        <v>152481.27008903603</v>
      </c>
      <c r="Z136" s="742">
        <f>INDEX('VLU costs INT'!$D$235:$BB$252, MATCH($B136, 'VLU costs INT'!$B$235:$B$252,0), MATCH(Z$128, 'VLU costs INT'!$D$234:$BB$234,0))
+ INDEX('Mixed costs INT'!$D$226:$BB$243, MATCH($B136, 'Mixed costs INT'!$B$226:$B$243,0), MATCH(Z$128, 'Mixed costs INT'!$D$225:$BB$225,0))
+ INDEX('Arterial costs'!$D$223:$BB$240, MATCH($B136, 'Arterial costs'!$B$223:$B$240,0), MATCH(Z$128, 'Arterial costs'!$D$222:$BB$222,0))</f>
        <v>160707.86653726388</v>
      </c>
      <c r="AA136" s="742">
        <f>INDEX('VLU costs INT'!$D$235:$BB$252, MATCH($B136, 'VLU costs INT'!$B$235:$B$252,0), MATCH(AA$128, 'VLU costs INT'!$D$234:$BB$234,0))
+ INDEX('Mixed costs INT'!$D$226:$BB$243, MATCH($B136, 'Mixed costs INT'!$B$226:$B$243,0), MATCH(AA$128, 'Mixed costs INT'!$D$225:$BB$225,0))
+ INDEX('Arterial costs'!$D$223:$BB$240, MATCH($B136, 'Arterial costs'!$B$223:$B$240,0), MATCH(AA$128, 'Arterial costs'!$D$222:$BB$222,0))</f>
        <v>169302.4958037046</v>
      </c>
      <c r="AB136" s="742">
        <f>INDEX('VLU costs INT'!$D$235:$BB$252, MATCH($B136, 'VLU costs INT'!$B$235:$B$252,0), MATCH(AB$128, 'VLU costs INT'!$D$234:$BB$234,0))
+ INDEX('Mixed costs INT'!$D$226:$BB$243, MATCH($B136, 'Mixed costs INT'!$B$226:$B$243,0), MATCH(AB$128, 'Mixed costs INT'!$D$225:$BB$225,0))
+ INDEX('Arterial costs'!$D$223:$BB$240, MATCH($B136, 'Arterial costs'!$B$223:$B$240,0), MATCH(AB$128, 'Arterial costs'!$D$222:$BB$222,0))</f>
        <v>178291.68630277368</v>
      </c>
      <c r="AC136" s="742">
        <f>INDEX('VLU costs INT'!$D$235:$BB$252, MATCH($B136, 'VLU costs INT'!$B$235:$B$252,0), MATCH(AC$128, 'VLU costs INT'!$D$234:$BB$234,0))
+ INDEX('Mixed costs INT'!$D$226:$BB$243, MATCH($B136, 'Mixed costs INT'!$B$226:$B$243,0), MATCH(AC$128, 'Mixed costs INT'!$D$225:$BB$225,0))
+ INDEX('Arterial costs'!$D$223:$BB$240, MATCH($B136, 'Arterial costs'!$B$223:$B$240,0), MATCH(AC$128, 'Arterial costs'!$D$222:$BB$222,0))</f>
        <v>187669.51730225765</v>
      </c>
      <c r="AD136" s="742">
        <f>INDEX('VLU costs INT'!$D$235:$BB$252, MATCH($B136, 'VLU costs INT'!$B$235:$B$252,0), MATCH(AD$128, 'VLU costs INT'!$D$234:$BB$234,0))
+ INDEX('Mixed costs INT'!$D$226:$BB$243, MATCH($B136, 'Mixed costs INT'!$B$226:$B$243,0), MATCH(AD$128, 'Mixed costs INT'!$D$225:$BB$225,0))
+ INDEX('Arterial costs'!$D$223:$BB$240, MATCH($B136, 'Arterial costs'!$B$223:$B$240,0), MATCH(AD$128, 'Arterial costs'!$D$222:$BB$222,0))</f>
        <v>197430.47364559126</v>
      </c>
      <c r="AE136" s="742">
        <f>INDEX('VLU costs INT'!$D$235:$BB$252, MATCH($B136, 'VLU costs INT'!$B$235:$B$252,0), MATCH(AE$128, 'VLU costs INT'!$D$234:$BB$234,0))
+ INDEX('Mixed costs INT'!$D$226:$BB$243, MATCH($B136, 'Mixed costs INT'!$B$226:$B$243,0), MATCH(AE$128, 'Mixed costs INT'!$D$225:$BB$225,0))
+ INDEX('Arterial costs'!$D$223:$BB$240, MATCH($B136, 'Arterial costs'!$B$223:$B$240,0), MATCH(AE$128, 'Arterial costs'!$D$222:$BB$222,0))</f>
        <v>207573.38521454323</v>
      </c>
      <c r="AF136" s="742">
        <f>INDEX('VLU costs INT'!$D$235:$BB$252, MATCH($B136, 'VLU costs INT'!$B$235:$B$252,0), MATCH(AF$128, 'VLU costs INT'!$D$234:$BB$234,0))
+ INDEX('Mixed costs INT'!$D$226:$BB$243, MATCH($B136, 'Mixed costs INT'!$B$226:$B$243,0), MATCH(AF$128, 'Mixed costs INT'!$D$225:$BB$225,0))
+ INDEX('Arterial costs'!$D$223:$BB$240, MATCH($B136, 'Arterial costs'!$B$223:$B$240,0), MATCH(AF$128, 'Arterial costs'!$D$222:$BB$222,0))</f>
        <v>218115.03155754891</v>
      </c>
      <c r="AG136" s="742">
        <f>INDEX('VLU costs INT'!$D$235:$BB$252, MATCH($B136, 'VLU costs INT'!$B$235:$B$252,0), MATCH(AG$128, 'VLU costs INT'!$D$234:$BB$234,0))
+ INDEX('Mixed costs INT'!$D$226:$BB$243, MATCH($B136, 'Mixed costs INT'!$B$226:$B$243,0), MATCH(AG$128, 'Mixed costs INT'!$D$225:$BB$225,0))
+ INDEX('Arterial costs'!$D$223:$BB$240, MATCH($B136, 'Arterial costs'!$B$223:$B$240,0), MATCH(AG$128, 'Arterial costs'!$D$222:$BB$222,0))</f>
        <v>229111.63310665666</v>
      </c>
      <c r="AH136" s="742">
        <f>INDEX('VLU costs INT'!$D$235:$BB$252, MATCH($B136, 'VLU costs INT'!$B$235:$B$252,0), MATCH(AH$128, 'VLU costs INT'!$D$234:$BB$234,0))
+ INDEX('Mixed costs INT'!$D$226:$BB$243, MATCH($B136, 'Mixed costs INT'!$B$226:$B$243,0), MATCH(AH$128, 'Mixed costs INT'!$D$225:$BB$225,0))
+ INDEX('Arterial costs'!$D$223:$BB$240, MATCH($B136, 'Arterial costs'!$B$223:$B$240,0), MATCH(AH$128, 'Arterial costs'!$D$222:$BB$222,0))</f>
        <v>240585.69312972683</v>
      </c>
      <c r="AI136" s="742">
        <f>INDEX('VLU costs INT'!$D$235:$BB$252, MATCH($B136, 'VLU costs INT'!$B$235:$B$252,0), MATCH(AI$128, 'VLU costs INT'!$D$234:$BB$234,0))
+ INDEX('Mixed costs INT'!$D$226:$BB$243, MATCH($B136, 'Mixed costs INT'!$B$226:$B$243,0), MATCH(AI$128, 'Mixed costs INT'!$D$225:$BB$225,0))
+ INDEX('Arterial costs'!$D$223:$BB$240, MATCH($B136, 'Arterial costs'!$B$223:$B$240,0), MATCH(AI$128, 'Arterial costs'!$D$222:$BB$222,0))</f>
        <v>252583.84520137822</v>
      </c>
      <c r="AJ136" s="742">
        <f>INDEX('VLU costs INT'!$D$235:$BB$252, MATCH($B136, 'VLU costs INT'!$B$235:$B$252,0), MATCH(AJ$128, 'VLU costs INT'!$D$234:$BB$234,0))
+ INDEX('Mixed costs INT'!$D$226:$BB$243, MATCH($B136, 'Mixed costs INT'!$B$226:$B$243,0), MATCH(AJ$128, 'Mixed costs INT'!$D$225:$BB$225,0))
+ INDEX('Arterial costs'!$D$223:$BB$240, MATCH($B136, 'Arterial costs'!$B$223:$B$240,0), MATCH(AJ$128, 'Arterial costs'!$D$222:$BB$222,0))</f>
        <v>265099.56948810379</v>
      </c>
      <c r="AK136" s="742">
        <f>INDEX('VLU costs INT'!$D$235:$BB$252, MATCH($B136, 'VLU costs INT'!$B$235:$B$252,0), MATCH(AK$128, 'VLU costs INT'!$D$234:$BB$234,0))
+ INDEX('Mixed costs INT'!$D$226:$BB$243, MATCH($B136, 'Mixed costs INT'!$B$226:$B$243,0), MATCH(AK$128, 'Mixed costs INT'!$D$225:$BB$225,0))
+ INDEX('Arterial costs'!$D$223:$BB$240, MATCH($B136, 'Arterial costs'!$B$223:$B$240,0), MATCH(AK$128, 'Arterial costs'!$D$222:$BB$222,0))</f>
        <v>278102.57673852309</v>
      </c>
      <c r="AL136" s="742">
        <f>INDEX('VLU costs INT'!$D$235:$BB$252, MATCH($B136, 'VLU costs INT'!$B$235:$B$252,0), MATCH(AL$128, 'VLU costs INT'!$D$234:$BB$234,0))
+ INDEX('Mixed costs INT'!$D$226:$BB$243, MATCH($B136, 'Mixed costs INT'!$B$226:$B$243,0), MATCH(AL$128, 'Mixed costs INT'!$D$225:$BB$225,0))
+ INDEX('Arterial costs'!$D$223:$BB$240, MATCH($B136, 'Arterial costs'!$B$223:$B$240,0), MATCH(AL$128, 'Arterial costs'!$D$222:$BB$222,0))</f>
        <v>291580.01034496765</v>
      </c>
      <c r="AM136" s="742">
        <f>INDEX('VLU costs INT'!$D$235:$BB$252, MATCH($B136, 'VLU costs INT'!$B$235:$B$252,0), MATCH(AM$128, 'VLU costs INT'!$D$234:$BB$234,0))
+ INDEX('Mixed costs INT'!$D$226:$BB$243, MATCH($B136, 'Mixed costs INT'!$B$226:$B$243,0), MATCH(AM$128, 'Mixed costs INT'!$D$225:$BB$225,0))
+ INDEX('Arterial costs'!$D$223:$BB$240, MATCH($B136, 'Arterial costs'!$B$223:$B$240,0), MATCH(AM$128, 'Arterial costs'!$D$222:$BB$222,0))</f>
        <v>305522.52419479232</v>
      </c>
      <c r="AN136" s="742">
        <f>INDEX('VLU costs INT'!$D$235:$BB$252, MATCH($B136, 'VLU costs INT'!$B$235:$B$252,0), MATCH(AN$128, 'VLU costs INT'!$D$234:$BB$234,0))
+ INDEX('Mixed costs INT'!$D$226:$BB$243, MATCH($B136, 'Mixed costs INT'!$B$226:$B$243,0), MATCH(AN$128, 'Mixed costs INT'!$D$225:$BB$225,0))
+ INDEX('Arterial costs'!$D$223:$BB$240, MATCH($B136, 'Arterial costs'!$B$223:$B$240,0), MATCH(AN$128, 'Arterial costs'!$D$222:$BB$222,0))</f>
        <v>319925.33704066311</v>
      </c>
      <c r="AO136" s="742">
        <f>INDEX('VLU costs INT'!$D$235:$BB$252, MATCH($B136, 'VLU costs INT'!$B$235:$B$252,0), MATCH(AO$128, 'VLU costs INT'!$D$234:$BB$234,0))
+ INDEX('Mixed costs INT'!$D$226:$BB$243, MATCH($B136, 'Mixed costs INT'!$B$226:$B$243,0), MATCH(AO$128, 'Mixed costs INT'!$D$225:$BB$225,0))
+ INDEX('Arterial costs'!$D$223:$BB$240, MATCH($B136, 'Arterial costs'!$B$223:$B$240,0), MATCH(AO$128, 'Arterial costs'!$D$222:$BB$222,0))</f>
        <v>334783.5928527473</v>
      </c>
      <c r="AP136" s="742">
        <f>INDEX('VLU costs INT'!$D$235:$BB$252, MATCH($B136, 'VLU costs INT'!$B$235:$B$252,0), MATCH(AP$128, 'VLU costs INT'!$D$234:$BB$234,0))
+ INDEX('Mixed costs INT'!$D$226:$BB$243, MATCH($B136, 'Mixed costs INT'!$B$226:$B$243,0), MATCH(AP$128, 'Mixed costs INT'!$D$225:$BB$225,0))
+ INDEX('Arterial costs'!$D$223:$BB$240, MATCH($B136, 'Arterial costs'!$B$223:$B$240,0), MATCH(AP$128, 'Arterial costs'!$D$222:$BB$222,0))</f>
        <v>350207.69671593199</v>
      </c>
      <c r="AQ136" s="742">
        <f>INDEX('VLU costs INT'!$D$235:$BB$252, MATCH($B136, 'VLU costs INT'!$B$235:$B$252,0), MATCH(AQ$128, 'VLU costs INT'!$D$234:$BB$234,0))
+ INDEX('Mixed costs INT'!$D$226:$BB$243, MATCH($B136, 'Mixed costs INT'!$B$226:$B$243,0), MATCH(AQ$128, 'Mixed costs INT'!$D$225:$BB$225,0))
+ INDEX('Arterial costs'!$D$223:$BB$240, MATCH($B136, 'Arterial costs'!$B$223:$B$240,0), MATCH(AQ$128, 'Arterial costs'!$D$222:$BB$222,0))</f>
        <v>366312.66488790541</v>
      </c>
      <c r="AR136" s="742">
        <f>INDEX('VLU costs INT'!$D$235:$BB$252, MATCH($B136, 'VLU costs INT'!$B$235:$B$252,0), MATCH(AR$128, 'VLU costs INT'!$D$234:$BB$234,0))
+ INDEX('Mixed costs INT'!$D$226:$BB$243, MATCH($B136, 'Mixed costs INT'!$B$226:$B$243,0), MATCH(AR$128, 'Mixed costs INT'!$D$225:$BB$225,0))
+ INDEX('Arterial costs'!$D$223:$BB$240, MATCH($B136, 'Arterial costs'!$B$223:$B$240,0), MATCH(AR$128, 'Arterial costs'!$D$222:$BB$222,0))</f>
        <v>383198.67226413439</v>
      </c>
      <c r="AS136" s="742">
        <f>INDEX('VLU costs INT'!$D$235:$BB$252, MATCH($B136, 'VLU costs INT'!$B$235:$B$252,0), MATCH(AS$128, 'VLU costs INT'!$D$234:$BB$234,0))
+ INDEX('Mixed costs INT'!$D$226:$BB$243, MATCH($B136, 'Mixed costs INT'!$B$226:$B$243,0), MATCH(AS$128, 'Mixed costs INT'!$D$225:$BB$225,0))
+ INDEX('Arterial costs'!$D$223:$BB$240, MATCH($B136, 'Arterial costs'!$B$223:$B$240,0), MATCH(AS$128, 'Arterial costs'!$D$222:$BB$222,0))</f>
        <v>400451.19743102981</v>
      </c>
    </row>
    <row r="137" spans="2:54" ht="29">
      <c r="B137" s="6" t="s">
        <v>107</v>
      </c>
      <c r="C137" s="742">
        <f>INDEX('VLU costs INT'!$D$235:$BB$252, MATCH($B137, 'VLU costs INT'!$B$235:$B$252,0), MATCH(C$128, 'VLU costs INT'!$D$234:$BB$234,0))
+ INDEX('Mixed costs INT'!$D$226:$BB$243, MATCH($B137, 'Mixed costs INT'!$B$226:$B$243,0), MATCH(C$128, 'Mixed costs INT'!$D$225:$BB$225,0))
+ INDEX('Arterial costs'!$D$223:$BB$240, MATCH($B137, 'Arterial costs'!$B$223:$B$240,0), MATCH(C$128, 'Arterial costs'!$D$222:$BB$222,0))</f>
        <v>166949.17596706437</v>
      </c>
      <c r="D137" s="742">
        <f>INDEX('VLU costs INT'!$D$235:$BB$252, MATCH($B137, 'VLU costs INT'!$B$235:$B$252,0), MATCH(D$128, 'VLU costs INT'!$D$234:$BB$234,0))
+ INDEX('Mixed costs INT'!$D$226:$BB$243, MATCH($B137, 'Mixed costs INT'!$B$226:$B$243,0), MATCH(D$128, 'Mixed costs INT'!$D$225:$BB$225,0))
+ INDEX('Arterial costs'!$D$223:$BB$240, MATCH($B137, 'Arterial costs'!$B$223:$B$240,0), MATCH(D$128, 'Arterial costs'!$D$222:$BB$222,0))</f>
        <v>180142.5801099409</v>
      </c>
      <c r="E137" s="742">
        <f>INDEX('VLU costs INT'!$D$235:$BB$252, MATCH($B137, 'VLU costs INT'!$B$235:$B$252,0), MATCH(E$128, 'VLU costs INT'!$D$234:$BB$234,0))
+ INDEX('Mixed costs INT'!$D$226:$BB$243, MATCH($B137, 'Mixed costs INT'!$B$226:$B$243,0), MATCH(E$128, 'Mixed costs INT'!$D$225:$BB$225,0))
+ INDEX('Arterial costs'!$D$223:$BB$240, MATCH($B137, 'Arterial costs'!$B$223:$B$240,0), MATCH(E$128, 'Arterial costs'!$D$222:$BB$222,0))</f>
        <v>193235.53126924773</v>
      </c>
      <c r="F137" s="742">
        <f>INDEX('VLU costs INT'!$D$235:$BB$252, MATCH($B137, 'VLU costs INT'!$B$235:$B$252,0), MATCH(F$128, 'VLU costs INT'!$D$234:$BB$234,0))
+ INDEX('Mixed costs INT'!$D$226:$BB$243, MATCH($B137, 'Mixed costs INT'!$B$226:$B$243,0), MATCH(F$128, 'Mixed costs INT'!$D$225:$BB$225,0))
+ INDEX('Arterial costs'!$D$223:$BB$240, MATCH($B137, 'Arterial costs'!$B$223:$B$240,0), MATCH(F$128, 'Arterial costs'!$D$222:$BB$222,0))</f>
        <v>206455.97783614107</v>
      </c>
      <c r="G137" s="742">
        <f>INDEX('VLU costs INT'!$D$235:$BB$252, MATCH($B137, 'VLU costs INT'!$B$235:$B$252,0), MATCH(G$128, 'VLU costs INT'!$D$234:$BB$234,0))
+ INDEX('Mixed costs INT'!$D$226:$BB$243, MATCH($B137, 'Mixed costs INT'!$B$226:$B$243,0), MATCH(G$128, 'Mixed costs INT'!$D$225:$BB$225,0))
+ INDEX('Arterial costs'!$D$223:$BB$240, MATCH($B137, 'Arterial costs'!$B$223:$B$240,0), MATCH(G$128, 'Arterial costs'!$D$222:$BB$222,0))</f>
        <v>182883.44347994871</v>
      </c>
      <c r="H137" s="742">
        <f>INDEX('VLU costs INT'!$D$235:$BB$252, MATCH($B137, 'VLU costs INT'!$B$235:$B$252,0), MATCH(H$128, 'VLU costs INT'!$D$234:$BB$234,0))
+ INDEX('Mixed costs INT'!$D$226:$BB$243, MATCH($B137, 'Mixed costs INT'!$B$226:$B$243,0), MATCH(H$128, 'Mixed costs INT'!$D$225:$BB$225,0))
+ INDEX('Arterial costs'!$D$223:$BB$240, MATCH($B137, 'Arterial costs'!$B$223:$B$240,0), MATCH(H$128, 'Arterial costs'!$D$222:$BB$222,0))</f>
        <v>171046.9610016185</v>
      </c>
      <c r="I137" s="742">
        <f>INDEX('VLU costs INT'!$D$235:$BB$252, MATCH($B137, 'VLU costs INT'!$B$235:$B$252,0), MATCH(I$128, 'VLU costs INT'!$D$234:$BB$234,0))
+ INDEX('Mixed costs INT'!$D$226:$BB$243, MATCH($B137, 'Mixed costs INT'!$B$226:$B$243,0), MATCH(I$128, 'Mixed costs INT'!$D$225:$BB$225,0))
+ INDEX('Arterial costs'!$D$223:$BB$240, MATCH($B137, 'Arterial costs'!$B$223:$B$240,0), MATCH(I$128, 'Arterial costs'!$D$222:$BB$222,0))</f>
        <v>166063.98534788802</v>
      </c>
      <c r="J137" s="742">
        <f>INDEX('VLU costs INT'!$D$235:$BB$252, MATCH($B137, 'VLU costs INT'!$B$235:$B$252,0), MATCH(J$128, 'VLU costs INT'!$D$234:$BB$234,0))
+ INDEX('Mixed costs INT'!$D$226:$BB$243, MATCH($B137, 'Mixed costs INT'!$B$226:$B$243,0), MATCH(J$128, 'Mixed costs INT'!$D$225:$BB$225,0))
+ INDEX('Arterial costs'!$D$223:$BB$240, MATCH($B137, 'Arterial costs'!$B$223:$B$240,0), MATCH(J$128, 'Arterial costs'!$D$222:$BB$222,0))</f>
        <v>165835.03020688077</v>
      </c>
      <c r="K137" s="742">
        <f>INDEX('VLU costs INT'!$D$235:$BB$252, MATCH($B137, 'VLU costs INT'!$B$235:$B$252,0), MATCH(K$128, 'VLU costs INT'!$D$234:$BB$234,0))
+ INDEX('Mixed costs INT'!$D$226:$BB$243, MATCH($B137, 'Mixed costs INT'!$B$226:$B$243,0), MATCH(K$128, 'Mixed costs INT'!$D$225:$BB$225,0))
+ INDEX('Arterial costs'!$D$223:$BB$240, MATCH($B137, 'Arterial costs'!$B$223:$B$240,0), MATCH(K$128, 'Arterial costs'!$D$222:$BB$222,0))</f>
        <v>169246.26115002893</v>
      </c>
      <c r="L137" s="742">
        <f>INDEX('VLU costs INT'!$D$235:$BB$252, MATCH($B137, 'VLU costs INT'!$B$235:$B$252,0), MATCH(L$128, 'VLU costs INT'!$D$234:$BB$234,0))
+ INDEX('Mixed costs INT'!$D$226:$BB$243, MATCH($B137, 'Mixed costs INT'!$B$226:$B$243,0), MATCH(L$128, 'Mixed costs INT'!$D$225:$BB$225,0))
+ INDEX('Arterial costs'!$D$223:$BB$240, MATCH($B137, 'Arterial costs'!$B$223:$B$240,0), MATCH(L$128, 'Arterial costs'!$D$222:$BB$222,0))</f>
        <v>175115.10998608146</v>
      </c>
      <c r="M137" s="742">
        <f>INDEX('VLU costs INT'!$D$235:$BB$252, MATCH($B137, 'VLU costs INT'!$B$235:$B$252,0), MATCH(M$128, 'VLU costs INT'!$D$234:$BB$234,0))
+ INDEX('Mixed costs INT'!$D$226:$BB$243, MATCH($B137, 'Mixed costs INT'!$B$226:$B$243,0), MATCH(M$128, 'Mixed costs INT'!$D$225:$BB$225,0))
+ INDEX('Arterial costs'!$D$223:$BB$240, MATCH($B137, 'Arterial costs'!$B$223:$B$240,0), MATCH(M$128, 'Arterial costs'!$D$222:$BB$222,0))</f>
        <v>182730.38838194445</v>
      </c>
      <c r="N137" s="742">
        <f>INDEX('VLU costs INT'!$D$235:$BB$252, MATCH($B137, 'VLU costs INT'!$B$235:$B$252,0), MATCH(N$128, 'VLU costs INT'!$D$234:$BB$234,0))
+ INDEX('Mixed costs INT'!$D$226:$BB$243, MATCH($B137, 'Mixed costs INT'!$B$226:$B$243,0), MATCH(N$128, 'Mixed costs INT'!$D$225:$BB$225,0))
+ INDEX('Arterial costs'!$D$223:$BB$240, MATCH($B137, 'Arterial costs'!$B$223:$B$240,0), MATCH(N$128, 'Arterial costs'!$D$222:$BB$222,0))</f>
        <v>191781.56248286151</v>
      </c>
      <c r="O137" s="742">
        <f>INDEX('VLU costs INT'!$D$235:$BB$252, MATCH($B137, 'VLU costs INT'!$B$235:$B$252,0), MATCH(O$128, 'VLU costs INT'!$D$234:$BB$234,0))
+ INDEX('Mixed costs INT'!$D$226:$BB$243, MATCH($B137, 'Mixed costs INT'!$B$226:$B$243,0), MATCH(O$128, 'Mixed costs INT'!$D$225:$BB$225,0))
+ INDEX('Arterial costs'!$D$223:$BB$240, MATCH($B137, 'Arterial costs'!$B$223:$B$240,0), MATCH(O$128, 'Arterial costs'!$D$222:$BB$222,0))</f>
        <v>201822.71390036022</v>
      </c>
      <c r="P137" s="742">
        <f>INDEX('VLU costs INT'!$D$235:$BB$252, MATCH($B137, 'VLU costs INT'!$B$235:$B$252,0), MATCH(P$128, 'VLU costs INT'!$D$234:$BB$234,0))
+ INDEX('Mixed costs INT'!$D$226:$BB$243, MATCH($B137, 'Mixed costs INT'!$B$226:$B$243,0), MATCH(P$128, 'Mixed costs INT'!$D$225:$BB$225,0))
+ INDEX('Arterial costs'!$D$223:$BB$240, MATCH($B137, 'Arterial costs'!$B$223:$B$240,0), MATCH(P$128, 'Arterial costs'!$D$222:$BB$222,0))</f>
        <v>212681.32424002042</v>
      </c>
      <c r="Q137" s="742">
        <f>INDEX('VLU costs INT'!$D$235:$BB$252, MATCH($B137, 'VLU costs INT'!$B$235:$B$252,0), MATCH(Q$128, 'VLU costs INT'!$D$234:$BB$234,0))
+ INDEX('Mixed costs INT'!$D$226:$BB$243, MATCH($B137, 'Mixed costs INT'!$B$226:$B$243,0), MATCH(Q$128, 'Mixed costs INT'!$D$225:$BB$225,0))
+ INDEX('Arterial costs'!$D$223:$BB$240, MATCH($B137, 'Arterial costs'!$B$223:$B$240,0), MATCH(Q$128, 'Arterial costs'!$D$222:$BB$222,0))</f>
        <v>224312.66473031344</v>
      </c>
      <c r="R137" s="742">
        <f>INDEX('VLU costs INT'!$D$235:$BB$252, MATCH($B137, 'VLU costs INT'!$B$235:$B$252,0), MATCH(R$128, 'VLU costs INT'!$D$234:$BB$234,0))
+ INDEX('Mixed costs INT'!$D$226:$BB$243, MATCH($B137, 'Mixed costs INT'!$B$226:$B$243,0), MATCH(R$128, 'Mixed costs INT'!$D$225:$BB$225,0))
+ INDEX('Arterial costs'!$D$223:$BB$240, MATCH($B137, 'Arterial costs'!$B$223:$B$240,0), MATCH(R$128, 'Arterial costs'!$D$222:$BB$222,0))</f>
        <v>236671.00705910139</v>
      </c>
      <c r="S137" s="742">
        <f>INDEX('VLU costs INT'!$D$235:$BB$252, MATCH($B137, 'VLU costs INT'!$B$235:$B$252,0), MATCH(S$128, 'VLU costs INT'!$D$234:$BB$234,0))
+ INDEX('Mixed costs INT'!$D$226:$BB$243, MATCH($B137, 'Mixed costs INT'!$B$226:$B$243,0), MATCH(S$128, 'Mixed costs INT'!$D$225:$BB$225,0))
+ INDEX('Arterial costs'!$D$223:$BB$240, MATCH($B137, 'Arterial costs'!$B$223:$B$240,0), MATCH(S$128, 'Arterial costs'!$D$222:$BB$222,0))</f>
        <v>249715.77778231041</v>
      </c>
      <c r="T137" s="742">
        <f>INDEX('VLU costs INT'!$D$235:$BB$252, MATCH($B137, 'VLU costs INT'!$B$235:$B$252,0), MATCH(T$128, 'VLU costs INT'!$D$234:$BB$234,0))
+ INDEX('Mixed costs INT'!$D$226:$BB$243, MATCH($B137, 'Mixed costs INT'!$B$226:$B$243,0), MATCH(T$128, 'Mixed costs INT'!$D$225:$BB$225,0))
+ INDEX('Arterial costs'!$D$223:$BB$240, MATCH($B137, 'Arterial costs'!$B$223:$B$240,0), MATCH(T$128, 'Arterial costs'!$D$222:$BB$222,0))</f>
        <v>263487.33193719905</v>
      </c>
      <c r="U137" s="742">
        <f>INDEX('VLU costs INT'!$D$235:$BB$252, MATCH($B137, 'VLU costs INT'!$B$235:$B$252,0), MATCH(U$128, 'VLU costs INT'!$D$234:$BB$234,0))
+ INDEX('Mixed costs INT'!$D$226:$BB$243, MATCH($B137, 'Mixed costs INT'!$B$226:$B$243,0), MATCH(U$128, 'Mixed costs INT'!$D$225:$BB$225,0))
+ INDEX('Arterial costs'!$D$223:$BB$240, MATCH($B137, 'Arterial costs'!$B$223:$B$240,0), MATCH(U$128, 'Arterial costs'!$D$222:$BB$222,0))</f>
        <v>278146.34087844176</v>
      </c>
      <c r="V137" s="742">
        <f>INDEX('VLU costs INT'!$D$235:$BB$252, MATCH($B137, 'VLU costs INT'!$B$235:$B$252,0), MATCH(V$128, 'VLU costs INT'!$D$234:$BB$234,0))
+ INDEX('Mixed costs INT'!$D$226:$BB$243, MATCH($B137, 'Mixed costs INT'!$B$226:$B$243,0), MATCH(V$128, 'Mixed costs INT'!$D$225:$BB$225,0))
+ INDEX('Arterial costs'!$D$223:$BB$240, MATCH($B137, 'Arterial costs'!$B$223:$B$240,0), MATCH(V$128, 'Arterial costs'!$D$222:$BB$222,0))</f>
        <v>293532.81040131534</v>
      </c>
      <c r="W137" s="742">
        <f>INDEX('VLU costs INT'!$D$235:$BB$252, MATCH($B137, 'VLU costs INT'!$B$235:$B$252,0), MATCH(W$128, 'VLU costs INT'!$D$234:$BB$234,0))
+ INDEX('Mixed costs INT'!$D$226:$BB$243, MATCH($B137, 'Mixed costs INT'!$B$226:$B$243,0), MATCH(W$128, 'Mixed costs INT'!$D$225:$BB$225,0))
+ INDEX('Arterial costs'!$D$223:$BB$240, MATCH($B137, 'Arterial costs'!$B$223:$B$240,0), MATCH(W$128, 'Arterial costs'!$D$222:$BB$222,0))</f>
        <v>309636.78380974964</v>
      </c>
      <c r="X137" s="742">
        <f>INDEX('VLU costs INT'!$D$235:$BB$252, MATCH($B137, 'VLU costs INT'!$B$235:$B$252,0), MATCH(X$128, 'VLU costs INT'!$D$234:$BB$234,0))
+ INDEX('Mixed costs INT'!$D$226:$BB$243, MATCH($B137, 'Mixed costs INT'!$B$226:$B$243,0), MATCH(X$128, 'Mixed costs INT'!$D$225:$BB$225,0))
+ INDEX('Arterial costs'!$D$223:$BB$240, MATCH($B137, 'Arterial costs'!$B$223:$B$240,0), MATCH(X$128, 'Arterial costs'!$D$222:$BB$222,0))</f>
        <v>326569.18710882729</v>
      </c>
      <c r="Y137" s="742">
        <f>INDEX('VLU costs INT'!$D$235:$BB$252, MATCH($B137, 'VLU costs INT'!$B$235:$B$252,0), MATCH(Y$128, 'VLU costs INT'!$D$234:$BB$234,0))
+ INDEX('Mixed costs INT'!$D$226:$BB$243, MATCH($B137, 'Mixed costs INT'!$B$226:$B$243,0), MATCH(Y$128, 'Mixed costs INT'!$D$225:$BB$225,0))
+ INDEX('Arterial costs'!$D$223:$BB$240, MATCH($B137, 'Arterial costs'!$B$223:$B$240,0), MATCH(Y$128, 'Arterial costs'!$D$222:$BB$222,0))</f>
        <v>344323.95847494586</v>
      </c>
      <c r="Z137" s="742">
        <f>INDEX('VLU costs INT'!$D$235:$BB$252, MATCH($B137, 'VLU costs INT'!$B$235:$B$252,0), MATCH(Z$128, 'VLU costs INT'!$D$234:$BB$234,0))
+ INDEX('Mixed costs INT'!$D$226:$BB$243, MATCH($B137, 'Mixed costs INT'!$B$226:$B$243,0), MATCH(Z$128, 'Mixed costs INT'!$D$225:$BB$225,0))
+ INDEX('Arterial costs'!$D$223:$BB$240, MATCH($B137, 'Arterial costs'!$B$223:$B$240,0), MATCH(Z$128, 'Arterial costs'!$D$222:$BB$222,0))</f>
        <v>362900.83731036505</v>
      </c>
      <c r="AA137" s="742">
        <f>INDEX('VLU costs INT'!$D$235:$BB$252, MATCH($B137, 'VLU costs INT'!$B$235:$B$252,0), MATCH(AA$128, 'VLU costs INT'!$D$234:$BB$234,0))
+ INDEX('Mixed costs INT'!$D$226:$BB$243, MATCH($B137, 'Mixed costs INT'!$B$226:$B$243,0), MATCH(AA$128, 'Mixed costs INT'!$D$225:$BB$225,0))
+ INDEX('Arterial costs'!$D$223:$BB$240, MATCH($B137, 'Arterial costs'!$B$223:$B$240,0), MATCH(AA$128, 'Arterial costs'!$D$222:$BB$222,0))</f>
        <v>382308.79154879024</v>
      </c>
      <c r="AB137" s="742">
        <f>INDEX('VLU costs INT'!$D$235:$BB$252, MATCH($B137, 'VLU costs INT'!$B$235:$B$252,0), MATCH(AB$128, 'VLU costs INT'!$D$234:$BB$234,0))
+ INDEX('Mixed costs INT'!$D$226:$BB$243, MATCH($B137, 'Mixed costs INT'!$B$226:$B$243,0), MATCH(AB$128, 'Mixed costs INT'!$D$225:$BB$225,0))
+ INDEX('Arterial costs'!$D$223:$BB$240, MATCH($B137, 'Arterial costs'!$B$223:$B$240,0), MATCH(AB$128, 'Arterial costs'!$D$222:$BB$222,0))</f>
        <v>402607.72901009821</v>
      </c>
      <c r="AC137" s="742">
        <f>INDEX('VLU costs INT'!$D$235:$BB$252, MATCH($B137, 'VLU costs INT'!$B$235:$B$252,0), MATCH(AC$128, 'VLU costs INT'!$D$234:$BB$234,0))
+ INDEX('Mixed costs INT'!$D$226:$BB$243, MATCH($B137, 'Mixed costs INT'!$B$226:$B$243,0), MATCH(AC$128, 'Mixed costs INT'!$D$225:$BB$225,0))
+ INDEX('Arterial costs'!$D$223:$BB$240, MATCH($B137, 'Arterial costs'!$B$223:$B$240,0), MATCH(AC$128, 'Arterial costs'!$D$222:$BB$222,0))</f>
        <v>423784.27929286112</v>
      </c>
      <c r="AD137" s="742">
        <f>INDEX('VLU costs INT'!$D$235:$BB$252, MATCH($B137, 'VLU costs INT'!$B$235:$B$252,0), MATCH(AD$128, 'VLU costs INT'!$D$234:$BB$234,0))
+ INDEX('Mixed costs INT'!$D$226:$BB$243, MATCH($B137, 'Mixed costs INT'!$B$226:$B$243,0), MATCH(AD$128, 'Mixed costs INT'!$D$225:$BB$225,0))
+ INDEX('Arterial costs'!$D$223:$BB$240, MATCH($B137, 'Arterial costs'!$B$223:$B$240,0), MATCH(AD$128, 'Arterial costs'!$D$222:$BB$222,0))</f>
        <v>445825.98828135402</v>
      </c>
      <c r="AE137" s="742">
        <f>INDEX('VLU costs INT'!$D$235:$BB$252, MATCH($B137, 'VLU costs INT'!$B$235:$B$252,0), MATCH(AE$128, 'VLU costs INT'!$D$234:$BB$234,0))
+ INDEX('Mixed costs INT'!$D$226:$BB$243, MATCH($B137, 'Mixed costs INT'!$B$226:$B$243,0), MATCH(AE$128, 'Mixed costs INT'!$D$225:$BB$225,0))
+ INDEX('Arterial costs'!$D$223:$BB$240, MATCH($B137, 'Arterial costs'!$B$223:$B$240,0), MATCH(AE$128, 'Arterial costs'!$D$222:$BB$222,0))</f>
        <v>468730.21435665881</v>
      </c>
      <c r="AF137" s="742">
        <f>INDEX('VLU costs INT'!$D$235:$BB$252, MATCH($B137, 'VLU costs INT'!$B$235:$B$252,0), MATCH(AF$128, 'VLU costs INT'!$D$234:$BB$234,0))
+ INDEX('Mixed costs INT'!$D$226:$BB$243, MATCH($B137, 'Mixed costs INT'!$B$226:$B$243,0), MATCH(AF$128, 'Mixed costs INT'!$D$225:$BB$225,0))
+ INDEX('Arterial costs'!$D$223:$BB$240, MATCH($B137, 'Arterial costs'!$B$223:$B$240,0), MATCH(AF$128, 'Arterial costs'!$D$222:$BB$222,0))</f>
        <v>492534.84957822366</v>
      </c>
      <c r="AG137" s="742">
        <f>INDEX('VLU costs INT'!$D$235:$BB$252, MATCH($B137, 'VLU costs INT'!$B$235:$B$252,0), MATCH(AG$128, 'VLU costs INT'!$D$234:$BB$234,0))
+ INDEX('Mixed costs INT'!$D$226:$BB$243, MATCH($B137, 'Mixed costs INT'!$B$226:$B$243,0), MATCH(AG$128, 'Mixed costs INT'!$D$225:$BB$225,0))
+ INDEX('Arterial costs'!$D$223:$BB$240, MATCH($B137, 'Arterial costs'!$B$223:$B$240,0), MATCH(AG$128, 'Arterial costs'!$D$222:$BB$222,0))</f>
        <v>517366.85038662748</v>
      </c>
      <c r="AH137" s="742">
        <f>INDEX('VLU costs INT'!$D$235:$BB$252, MATCH($B137, 'VLU costs INT'!$B$235:$B$252,0), MATCH(AH$128, 'VLU costs INT'!$D$234:$BB$234,0))
+ INDEX('Mixed costs INT'!$D$226:$BB$243, MATCH($B137, 'Mixed costs INT'!$B$226:$B$243,0), MATCH(AH$128, 'Mixed costs INT'!$D$225:$BB$225,0))
+ INDEX('Arterial costs'!$D$223:$BB$240, MATCH($B137, 'Arterial costs'!$B$223:$B$240,0), MATCH(AH$128, 'Arterial costs'!$D$222:$BB$222,0))</f>
        <v>543277.03345370188</v>
      </c>
      <c r="AI137" s="742">
        <f>INDEX('VLU costs INT'!$D$235:$BB$252, MATCH($B137, 'VLU costs INT'!$B$235:$B$252,0), MATCH(AI$128, 'VLU costs INT'!$D$234:$BB$234,0))
+ INDEX('Mixed costs INT'!$D$226:$BB$243, MATCH($B137, 'Mixed costs INT'!$B$226:$B$243,0), MATCH(AI$128, 'Mixed costs INT'!$D$225:$BB$225,0))
+ INDEX('Arterial costs'!$D$223:$BB$240, MATCH($B137, 'Arterial costs'!$B$223:$B$240,0), MATCH(AI$128, 'Arterial costs'!$D$222:$BB$222,0))</f>
        <v>570370.7062940686</v>
      </c>
      <c r="AJ137" s="742">
        <f>INDEX('VLU costs INT'!$D$235:$BB$252, MATCH($B137, 'VLU costs INT'!$B$235:$B$252,0), MATCH(AJ$128, 'VLU costs INT'!$D$234:$BB$234,0))
+ INDEX('Mixed costs INT'!$D$226:$BB$243, MATCH($B137, 'Mixed costs INT'!$B$226:$B$243,0), MATCH(AJ$128, 'Mixed costs INT'!$D$225:$BB$225,0))
+ INDEX('Arterial costs'!$D$223:$BB$240, MATCH($B137, 'Arterial costs'!$B$223:$B$240,0), MATCH(AJ$128, 'Arterial costs'!$D$222:$BB$222,0))</f>
        <v>598633.14711674443</v>
      </c>
      <c r="AK137" s="742">
        <f>INDEX('VLU costs INT'!$D$235:$BB$252, MATCH($B137, 'VLU costs INT'!$B$235:$B$252,0), MATCH(AK$128, 'VLU costs INT'!$D$234:$BB$234,0))
+ INDEX('Mixed costs INT'!$D$226:$BB$243, MATCH($B137, 'Mixed costs INT'!$B$226:$B$243,0), MATCH(AK$128, 'Mixed costs INT'!$D$225:$BB$225,0))
+ INDEX('Arterial costs'!$D$223:$BB$240, MATCH($B137, 'Arterial costs'!$B$223:$B$240,0), MATCH(AK$128, 'Arterial costs'!$D$222:$BB$222,0))</f>
        <v>627995.95703079051</v>
      </c>
      <c r="AL137" s="742">
        <f>INDEX('VLU costs INT'!$D$235:$BB$252, MATCH($B137, 'VLU costs INT'!$B$235:$B$252,0), MATCH(AL$128, 'VLU costs INT'!$D$234:$BB$234,0))
+ INDEX('Mixed costs INT'!$D$226:$BB$243, MATCH($B137, 'Mixed costs INT'!$B$226:$B$243,0), MATCH(AL$128, 'Mixed costs INT'!$D$225:$BB$225,0))
+ INDEX('Arterial costs'!$D$223:$BB$240, MATCH($B137, 'Arterial costs'!$B$223:$B$240,0), MATCH(AL$128, 'Arterial costs'!$D$222:$BB$222,0))</f>
        <v>658430.1044277933</v>
      </c>
      <c r="AM137" s="742">
        <f>INDEX('VLU costs INT'!$D$235:$BB$252, MATCH($B137, 'VLU costs INT'!$B$235:$B$252,0), MATCH(AM$128, 'VLU costs INT'!$D$234:$BB$234,0))
+ INDEX('Mixed costs INT'!$D$226:$BB$243, MATCH($B137, 'Mixed costs INT'!$B$226:$B$243,0), MATCH(AM$128, 'Mixed costs INT'!$D$225:$BB$225,0))
+ INDEX('Arterial costs'!$D$223:$BB$240, MATCH($B137, 'Arterial costs'!$B$223:$B$240,0), MATCH(AM$128, 'Arterial costs'!$D$222:$BB$222,0))</f>
        <v>689914.48323659599</v>
      </c>
      <c r="AN137" s="742">
        <f>INDEX('VLU costs INT'!$D$235:$BB$252, MATCH($B137, 'VLU costs INT'!$B$235:$B$252,0), MATCH(AN$128, 'VLU costs INT'!$D$234:$BB$234,0))
+ INDEX('Mixed costs INT'!$D$226:$BB$243, MATCH($B137, 'Mixed costs INT'!$B$226:$B$243,0), MATCH(AN$128, 'Mixed costs INT'!$D$225:$BB$225,0))
+ INDEX('Arterial costs'!$D$223:$BB$240, MATCH($B137, 'Arterial costs'!$B$223:$B$240,0), MATCH(AN$128, 'Arterial costs'!$D$222:$BB$222,0))</f>
        <v>722438.29778622638</v>
      </c>
      <c r="AO137" s="742">
        <f>INDEX('VLU costs INT'!$D$235:$BB$252, MATCH($B137, 'VLU costs INT'!$B$235:$B$252,0), MATCH(AO$128, 'VLU costs INT'!$D$234:$BB$234,0))
+ INDEX('Mixed costs INT'!$D$226:$BB$243, MATCH($B137, 'Mixed costs INT'!$B$226:$B$243,0), MATCH(AO$128, 'Mixed costs INT'!$D$225:$BB$225,0))
+ INDEX('Arterial costs'!$D$223:$BB$240, MATCH($B137, 'Arterial costs'!$B$223:$B$240,0), MATCH(AO$128, 'Arterial costs'!$D$222:$BB$222,0))</f>
        <v>755990.58459494822</v>
      </c>
      <c r="AP137" s="742">
        <f>INDEX('VLU costs INT'!$D$235:$BB$252, MATCH($B137, 'VLU costs INT'!$B$235:$B$252,0), MATCH(AP$128, 'VLU costs INT'!$D$234:$BB$234,0))
+ INDEX('Mixed costs INT'!$D$226:$BB$243, MATCH($B137, 'Mixed costs INT'!$B$226:$B$243,0), MATCH(AP$128, 'Mixed costs INT'!$D$225:$BB$225,0))
+ INDEX('Arterial costs'!$D$223:$BB$240, MATCH($B137, 'Arterial costs'!$B$223:$B$240,0), MATCH(AP$128, 'Arterial costs'!$D$222:$BB$222,0))</f>
        <v>790820.66122251761</v>
      </c>
      <c r="AQ137" s="742">
        <f>INDEX('VLU costs INT'!$D$235:$BB$252, MATCH($B137, 'VLU costs INT'!$B$235:$B$252,0), MATCH(AQ$128, 'VLU costs INT'!$D$234:$BB$234,0))
+ INDEX('Mixed costs INT'!$D$226:$BB$243, MATCH($B137, 'Mixed costs INT'!$B$226:$B$243,0), MATCH(AQ$128, 'Mixed costs INT'!$D$225:$BB$225,0))
+ INDEX('Arterial costs'!$D$223:$BB$240, MATCH($B137, 'Arterial costs'!$B$223:$B$240,0), MATCH(AQ$128, 'Arterial costs'!$D$222:$BB$222,0))</f>
        <v>827188.25523735397</v>
      </c>
      <c r="AR137" s="742">
        <f>INDEX('VLU costs INT'!$D$235:$BB$252, MATCH($B137, 'VLU costs INT'!$B$235:$B$252,0), MATCH(AR$128, 'VLU costs INT'!$D$234:$BB$234,0))
+ INDEX('Mixed costs INT'!$D$226:$BB$243, MATCH($B137, 'Mixed costs INT'!$B$226:$B$243,0), MATCH(AR$128, 'Mixed costs INT'!$D$225:$BB$225,0))
+ INDEX('Arterial costs'!$D$223:$BB$240, MATCH($B137, 'Arterial costs'!$B$223:$B$240,0), MATCH(AR$128, 'Arterial costs'!$D$222:$BB$222,0))</f>
        <v>865319.57818176888</v>
      </c>
      <c r="AS137" s="742">
        <f>INDEX('VLU costs INT'!$D$235:$BB$252, MATCH($B137, 'VLU costs INT'!$B$235:$B$252,0), MATCH(AS$128, 'VLU costs INT'!$D$234:$BB$234,0))
+ INDEX('Mixed costs INT'!$D$226:$BB$243, MATCH($B137, 'Mixed costs INT'!$B$226:$B$243,0), MATCH(AS$128, 'Mixed costs INT'!$D$225:$BB$225,0))
+ INDEX('Arterial costs'!$D$223:$BB$240, MATCH($B137, 'Arterial costs'!$B$223:$B$240,0), MATCH(AS$128, 'Arterial costs'!$D$222:$BB$222,0))</f>
        <v>904278.57005358138</v>
      </c>
      <c r="AV137" t="s">
        <v>2602</v>
      </c>
      <c r="AW137" t="s">
        <v>20</v>
      </c>
      <c r="AZ137">
        <v>2023</v>
      </c>
      <c r="BA137" t="s">
        <v>20</v>
      </c>
      <c r="BB137" t="s">
        <v>2602</v>
      </c>
    </row>
    <row r="138" spans="2:54" s="73" customFormat="1">
      <c r="B138" s="26" t="s">
        <v>2863</v>
      </c>
      <c r="C138" s="742">
        <f>INDEX('VLU costs INT'!$D$235:$BB$252, MATCH($B138, 'VLU costs INT'!$B$235:$B$252,0), MATCH(C$128, 'VLU costs INT'!$D$234:$BB$234,0))
+ INDEX('Mixed costs INT'!$D$226:$BB$243, MATCH($B138, 'Mixed costs INT'!$B$226:$B$243,0), MATCH(C$128, 'Mixed costs INT'!$D$225:$BB$225,0))
+ INDEX('Arterial costs'!$D$223:$BB$240, MATCH($B138, 'Arterial costs'!$B$223:$B$240,0), MATCH(C$128, 'Arterial costs'!$D$222:$BB$222,0))</f>
        <v>11385.255597071493</v>
      </c>
      <c r="D138" s="742">
        <f>INDEX('VLU costs INT'!$D$235:$BB$252, MATCH($B138, 'VLU costs INT'!$B$235:$B$252,0), MATCH(D$128, 'VLU costs INT'!$D$234:$BB$234,0))
+ INDEX('Mixed costs INT'!$D$226:$BB$243, MATCH($B138, 'Mixed costs INT'!$B$226:$B$243,0), MATCH(D$128, 'Mixed costs INT'!$D$225:$BB$225,0))
+ INDEX('Arterial costs'!$D$223:$BB$240, MATCH($B138, 'Arterial costs'!$B$223:$B$240,0), MATCH(D$128, 'Arterial costs'!$D$222:$BB$222,0))</f>
        <v>12155.550197876957</v>
      </c>
      <c r="E138" s="742">
        <f>INDEX('VLU costs INT'!$D$235:$BB$252, MATCH($B138, 'VLU costs INT'!$B$235:$B$252,0), MATCH(E$128, 'VLU costs INT'!$D$234:$BB$234,0))
+ INDEX('Mixed costs INT'!$D$226:$BB$243, MATCH($B138, 'Mixed costs INT'!$B$226:$B$243,0), MATCH(E$128, 'Mixed costs INT'!$D$225:$BB$225,0))
+ INDEX('Arterial costs'!$D$223:$BB$240, MATCH($B138, 'Arterial costs'!$B$223:$B$240,0), MATCH(E$128, 'Arterial costs'!$D$222:$BB$222,0))</f>
        <v>12903.215701633097</v>
      </c>
      <c r="F138" s="742">
        <f>INDEX('VLU costs INT'!$D$235:$BB$252, MATCH($B138, 'VLU costs INT'!$B$235:$B$252,0), MATCH(F$128, 'VLU costs INT'!$D$234:$BB$234,0))
+ INDEX('Mixed costs INT'!$D$226:$BB$243, MATCH($B138, 'Mixed costs INT'!$B$226:$B$243,0), MATCH(F$128, 'Mixed costs INT'!$D$225:$BB$225,0))
+ INDEX('Arterial costs'!$D$223:$BB$240, MATCH($B138, 'Arterial costs'!$B$223:$B$240,0), MATCH(F$128, 'Arterial costs'!$D$222:$BB$222,0))</f>
        <v>13642.708465782038</v>
      </c>
      <c r="G138" s="742">
        <f>INDEX('VLU costs INT'!$D$235:$BB$252, MATCH($B138, 'VLU costs INT'!$B$235:$B$252,0), MATCH(G$128, 'VLU costs INT'!$D$234:$BB$234,0))
+ INDEX('Mixed costs INT'!$D$226:$BB$243, MATCH($B138, 'Mixed costs INT'!$B$226:$B$243,0), MATCH(G$128, 'Mixed costs INT'!$D$225:$BB$225,0))
+ INDEX('Arterial costs'!$D$223:$BB$240, MATCH($B138, 'Arterial costs'!$B$223:$B$240,0), MATCH(G$128, 'Arterial costs'!$D$222:$BB$222,0))</f>
        <v>11831.903705139535</v>
      </c>
      <c r="H138" s="742">
        <f>INDEX('VLU costs INT'!$D$235:$BB$252, MATCH($B138, 'VLU costs INT'!$B$235:$B$252,0), MATCH(H$128, 'VLU costs INT'!$D$234:$BB$234,0))
+ INDEX('Mixed costs INT'!$D$226:$BB$243, MATCH($B138, 'Mixed costs INT'!$B$226:$B$243,0), MATCH(H$128, 'Mixed costs INT'!$D$225:$BB$225,0))
+ INDEX('Arterial costs'!$D$223:$BB$240, MATCH($B138, 'Arterial costs'!$B$223:$B$240,0), MATCH(H$128, 'Arterial costs'!$D$222:$BB$222,0))</f>
        <v>11503.99065264684</v>
      </c>
      <c r="I138" s="742">
        <f>INDEX('VLU costs INT'!$D$235:$BB$252, MATCH($B138, 'VLU costs INT'!$B$235:$B$252,0), MATCH(I$128, 'VLU costs INT'!$D$234:$BB$234,0))
+ INDEX('Mixed costs INT'!$D$226:$BB$243, MATCH($B138, 'Mixed costs INT'!$B$226:$B$243,0), MATCH(I$128, 'Mixed costs INT'!$D$225:$BB$225,0))
+ INDEX('Arterial costs'!$D$223:$BB$240, MATCH($B138, 'Arterial costs'!$B$223:$B$240,0), MATCH(I$128, 'Arterial costs'!$D$222:$BB$222,0))</f>
        <v>11540.33752259392</v>
      </c>
      <c r="J138" s="742">
        <f>INDEX('VLU costs INT'!$D$235:$BB$252, MATCH($B138, 'VLU costs INT'!$B$235:$B$252,0), MATCH(J$128, 'VLU costs INT'!$D$234:$BB$234,0))
+ INDEX('Mixed costs INT'!$D$226:$BB$243, MATCH($B138, 'Mixed costs INT'!$B$226:$B$243,0), MATCH(J$128, 'Mixed costs INT'!$D$225:$BB$225,0))
+ INDEX('Arterial costs'!$D$223:$BB$240, MATCH($B138, 'Arterial costs'!$B$223:$B$240,0), MATCH(J$128, 'Arterial costs'!$D$222:$BB$222,0))</f>
        <v>11825.120946519946</v>
      </c>
      <c r="K138" s="742">
        <f>INDEX('VLU costs INT'!$D$235:$BB$252, MATCH($B138, 'VLU costs INT'!$B$235:$B$252,0), MATCH(K$128, 'VLU costs INT'!$D$234:$BB$234,0))
+ INDEX('Mixed costs INT'!$D$226:$BB$243, MATCH($B138, 'Mixed costs INT'!$B$226:$B$243,0), MATCH(K$128, 'Mixed costs INT'!$D$225:$BB$225,0))
+ INDEX('Arterial costs'!$D$223:$BB$240, MATCH($B138, 'Arterial costs'!$B$223:$B$240,0), MATCH(K$128, 'Arterial costs'!$D$222:$BB$222,0))</f>
        <v>12297.661181001202</v>
      </c>
      <c r="L138" s="742">
        <f>INDEX('VLU costs INT'!$D$235:$BB$252, MATCH($B138, 'VLU costs INT'!$B$235:$B$252,0), MATCH(L$128, 'VLU costs INT'!$D$234:$BB$234,0))
+ INDEX('Mixed costs INT'!$D$226:$BB$243, MATCH($B138, 'Mixed costs INT'!$B$226:$B$243,0), MATCH(L$128, 'Mixed costs INT'!$D$225:$BB$225,0))
+ INDEX('Arterial costs'!$D$223:$BB$240, MATCH($B138, 'Arterial costs'!$B$223:$B$240,0), MATCH(L$128, 'Arterial costs'!$D$222:$BB$222,0))</f>
        <v>12896.240787090563</v>
      </c>
      <c r="M138" s="742">
        <f>INDEX('VLU costs INT'!$D$235:$BB$252, MATCH($B138, 'VLU costs INT'!$B$235:$B$252,0), MATCH(M$128, 'VLU costs INT'!$D$234:$BB$234,0))
+ INDEX('Mixed costs INT'!$D$226:$BB$243, MATCH($B138, 'Mixed costs INT'!$B$226:$B$243,0), MATCH(M$128, 'Mixed costs INT'!$D$225:$BB$225,0))
+ INDEX('Arterial costs'!$D$223:$BB$240, MATCH($B138, 'Arterial costs'!$B$223:$B$240,0), MATCH(M$128, 'Arterial costs'!$D$222:$BB$222,0))</f>
        <v>13584.418081387121</v>
      </c>
      <c r="N138" s="742">
        <f>INDEX('VLU costs INT'!$D$235:$BB$252, MATCH($B138, 'VLU costs INT'!$B$235:$B$252,0), MATCH(N$128, 'VLU costs INT'!$D$234:$BB$234,0))
+ INDEX('Mixed costs INT'!$D$226:$BB$243, MATCH($B138, 'Mixed costs INT'!$B$226:$B$243,0), MATCH(N$128, 'Mixed costs INT'!$D$225:$BB$225,0))
+ INDEX('Arterial costs'!$D$223:$BB$240, MATCH($B138, 'Arterial costs'!$B$223:$B$240,0), MATCH(N$128, 'Arterial costs'!$D$222:$BB$222,0))</f>
        <v>14336.210390714718</v>
      </c>
      <c r="O138" s="742">
        <f>INDEX('VLU costs INT'!$D$235:$BB$252, MATCH($B138, 'VLU costs INT'!$B$235:$B$252,0), MATCH(O$128, 'VLU costs INT'!$D$234:$BB$234,0))
+ INDEX('Mixed costs INT'!$D$226:$BB$243, MATCH($B138, 'Mixed costs INT'!$B$226:$B$243,0), MATCH(O$128, 'Mixed costs INT'!$D$225:$BB$225,0))
+ INDEX('Arterial costs'!$D$223:$BB$240, MATCH($B138, 'Arterial costs'!$B$223:$B$240,0), MATCH(O$128, 'Arterial costs'!$D$222:$BB$222,0))</f>
        <v>15139.271347733466</v>
      </c>
      <c r="P138" s="742">
        <f>INDEX('VLU costs INT'!$D$235:$BB$252, MATCH($B138, 'VLU costs INT'!$B$235:$B$252,0), MATCH(P$128, 'VLU costs INT'!$D$234:$BB$234,0))
+ INDEX('Mixed costs INT'!$D$226:$BB$243, MATCH($B138, 'Mixed costs INT'!$B$226:$B$243,0), MATCH(P$128, 'Mixed costs INT'!$D$225:$BB$225,0))
+ INDEX('Arterial costs'!$D$223:$BB$240, MATCH($B138, 'Arterial costs'!$B$223:$B$240,0), MATCH(P$128, 'Arterial costs'!$D$222:$BB$222,0))</f>
        <v>15985.675330022663</v>
      </c>
      <c r="Q138" s="742">
        <f>INDEX('VLU costs INT'!$D$235:$BB$252, MATCH($B138, 'VLU costs INT'!$B$235:$B$252,0), MATCH(Q$128, 'VLU costs INT'!$D$234:$BB$234,0))
+ INDEX('Mixed costs INT'!$D$226:$BB$243, MATCH($B138, 'Mixed costs INT'!$B$226:$B$243,0), MATCH(Q$128, 'Mixed costs INT'!$D$225:$BB$225,0))
+ INDEX('Arterial costs'!$D$223:$BB$240, MATCH($B138, 'Arterial costs'!$B$223:$B$240,0), MATCH(Q$128, 'Arterial costs'!$D$222:$BB$222,0))</f>
        <v>16873.372131821285</v>
      </c>
      <c r="R138" s="742">
        <f>INDEX('VLU costs INT'!$D$235:$BB$252, MATCH($B138, 'VLU costs INT'!$B$235:$B$252,0), MATCH(R$128, 'VLU costs INT'!$D$234:$BB$234,0))
+ INDEX('Mixed costs INT'!$D$226:$BB$243, MATCH($B138, 'Mixed costs INT'!$B$226:$B$243,0), MATCH(R$128, 'Mixed costs INT'!$D$225:$BB$225,0))
+ INDEX('Arterial costs'!$D$223:$BB$240, MATCH($B138, 'Arterial costs'!$B$223:$B$240,0), MATCH(R$128, 'Arterial costs'!$D$222:$BB$222,0))</f>
        <v>17583.063208753374</v>
      </c>
      <c r="S138" s="742">
        <f>INDEX('VLU costs INT'!$D$235:$BB$252, MATCH($B138, 'VLU costs INT'!$B$235:$B$252,0), MATCH(S$128, 'VLU costs INT'!$D$234:$BB$234,0))
+ INDEX('Mixed costs INT'!$D$226:$BB$243, MATCH($B138, 'Mixed costs INT'!$B$226:$B$243,0), MATCH(S$128, 'Mixed costs INT'!$D$225:$BB$225,0))
+ INDEX('Arterial costs'!$D$223:$BB$240, MATCH($B138, 'Arterial costs'!$B$223:$B$240,0), MATCH(S$128, 'Arterial costs'!$D$222:$BB$222,0))</f>
        <v>18345.609221382299</v>
      </c>
      <c r="T138" s="742">
        <f>INDEX('VLU costs INT'!$D$235:$BB$252, MATCH($B138, 'VLU costs INT'!$B$235:$B$252,0), MATCH(T$128, 'VLU costs INT'!$D$234:$BB$234,0))
+ INDEX('Mixed costs INT'!$D$226:$BB$243, MATCH($B138, 'Mixed costs INT'!$B$226:$B$243,0), MATCH(T$128, 'Mixed costs INT'!$D$225:$BB$225,0))
+ INDEX('Arterial costs'!$D$223:$BB$240, MATCH($B138, 'Arterial costs'!$B$223:$B$240,0), MATCH(T$128, 'Arterial costs'!$D$222:$BB$222,0))</f>
        <v>19153.729812378126</v>
      </c>
      <c r="U138" s="742">
        <f>INDEX('VLU costs INT'!$D$235:$BB$252, MATCH($B138, 'VLU costs INT'!$B$235:$B$252,0), MATCH(U$128, 'VLU costs INT'!$D$234:$BB$234,0))
+ INDEX('Mixed costs INT'!$D$226:$BB$243, MATCH($B138, 'Mixed costs INT'!$B$226:$B$243,0), MATCH(U$128, 'Mixed costs INT'!$D$225:$BB$225,0))
+ INDEX('Arterial costs'!$D$223:$BB$240, MATCH($B138, 'Arterial costs'!$B$223:$B$240,0), MATCH(U$128, 'Arterial costs'!$D$222:$BB$222,0))</f>
        <v>20008.144774553162</v>
      </c>
      <c r="V138" s="742">
        <f>INDEX('VLU costs INT'!$D$235:$BB$252, MATCH($B138, 'VLU costs INT'!$B$235:$B$252,0), MATCH(V$128, 'VLU costs INT'!$D$234:$BB$234,0))
+ INDEX('Mixed costs INT'!$D$226:$BB$243, MATCH($B138, 'Mixed costs INT'!$B$226:$B$243,0), MATCH(V$128, 'Mixed costs INT'!$D$225:$BB$225,0))
+ INDEX('Arterial costs'!$D$223:$BB$240, MATCH($B138, 'Arterial costs'!$B$223:$B$240,0), MATCH(V$128, 'Arterial costs'!$D$222:$BB$222,0))</f>
        <v>20897.919384777528</v>
      </c>
      <c r="W138" s="742">
        <f>INDEX('VLU costs INT'!$D$235:$BB$252, MATCH($B138, 'VLU costs INT'!$B$235:$B$252,0), MATCH(W$128, 'VLU costs INT'!$D$234:$BB$234,0))
+ INDEX('Mixed costs INT'!$D$226:$BB$243, MATCH($B138, 'Mixed costs INT'!$B$226:$B$243,0), MATCH(W$128, 'Mixed costs INT'!$D$225:$BB$225,0))
+ INDEX('Arterial costs'!$D$223:$BB$240, MATCH($B138, 'Arterial costs'!$B$223:$B$240,0), MATCH(W$128, 'Arterial costs'!$D$222:$BB$222,0))</f>
        <v>21819.705999468577</v>
      </c>
      <c r="X138" s="742">
        <f>INDEX('VLU costs INT'!$D$235:$BB$252, MATCH($B138, 'VLU costs INT'!$B$235:$B$252,0), MATCH(X$128, 'VLU costs INT'!$D$234:$BB$234,0))
+ INDEX('Mixed costs INT'!$D$226:$BB$243, MATCH($B138, 'Mixed costs INT'!$B$226:$B$243,0), MATCH(X$128, 'Mixed costs INT'!$D$225:$BB$225,0))
+ INDEX('Arterial costs'!$D$223:$BB$240, MATCH($B138, 'Arterial costs'!$B$223:$B$240,0), MATCH(X$128, 'Arterial costs'!$D$222:$BB$222,0))</f>
        <v>22775.425957637202</v>
      </c>
      <c r="Y138" s="742">
        <f>INDEX('VLU costs INT'!$D$235:$BB$252, MATCH($B138, 'VLU costs INT'!$B$235:$B$252,0), MATCH(Y$128, 'VLU costs INT'!$D$234:$BB$234,0))
+ INDEX('Mixed costs INT'!$D$226:$BB$243, MATCH($B138, 'Mixed costs INT'!$B$226:$B$243,0), MATCH(Y$128, 'Mixed costs INT'!$D$225:$BB$225,0))
+ INDEX('Arterial costs'!$D$223:$BB$240, MATCH($B138, 'Arterial costs'!$B$223:$B$240,0), MATCH(Y$128, 'Arterial costs'!$D$222:$BB$222,0))</f>
        <v>23763.602813568497</v>
      </c>
      <c r="Z138" s="742">
        <f>INDEX('VLU costs INT'!$D$235:$BB$252, MATCH($B138, 'VLU costs INT'!$B$235:$B$252,0), MATCH(Z$128, 'VLU costs INT'!$D$234:$BB$234,0))
+ INDEX('Mixed costs INT'!$D$226:$BB$243, MATCH($B138, 'Mixed costs INT'!$B$226:$B$243,0), MATCH(Z$128, 'Mixed costs INT'!$D$225:$BB$225,0))
+ INDEX('Arterial costs'!$D$223:$BB$240, MATCH($B138, 'Arterial costs'!$B$223:$B$240,0), MATCH(Z$128, 'Arterial costs'!$D$222:$BB$222,0))</f>
        <v>24783.24000211645</v>
      </c>
      <c r="AA138" s="742">
        <f>INDEX('VLU costs INT'!$D$235:$BB$252, MATCH($B138, 'VLU costs INT'!$B$235:$B$252,0), MATCH(AA$128, 'VLU costs INT'!$D$234:$BB$234,0))
+ INDEX('Mixed costs INT'!$D$226:$BB$243, MATCH($B138, 'Mixed costs INT'!$B$226:$B$243,0), MATCH(AA$128, 'Mixed costs INT'!$D$225:$BB$225,0))
+ INDEX('Arterial costs'!$D$223:$BB$240, MATCH($B138, 'Arterial costs'!$B$223:$B$240,0), MATCH(AA$128, 'Arterial costs'!$D$222:$BB$222,0))</f>
        <v>25833.824896299921</v>
      </c>
      <c r="AB138" s="742">
        <f>INDEX('VLU costs INT'!$D$235:$BB$252, MATCH($B138, 'VLU costs INT'!$B$235:$B$252,0), MATCH(AB$128, 'VLU costs INT'!$D$234:$BB$234,0))
+ INDEX('Mixed costs INT'!$D$226:$BB$243, MATCH($B138, 'Mixed costs INT'!$B$226:$B$243,0), MATCH(AB$128, 'Mixed costs INT'!$D$225:$BB$225,0))
+ INDEX('Arterial costs'!$D$223:$BB$240, MATCH($B138, 'Arterial costs'!$B$223:$B$240,0), MATCH(AB$128, 'Arterial costs'!$D$222:$BB$222,0))</f>
        <v>26916.556250501606</v>
      </c>
      <c r="AC138" s="742">
        <f>INDEX('VLU costs INT'!$D$235:$BB$252, MATCH($B138, 'VLU costs INT'!$B$235:$B$252,0), MATCH(AC$128, 'VLU costs INT'!$D$234:$BB$234,0))
+ INDEX('Mixed costs INT'!$D$226:$BB$243, MATCH($B138, 'Mixed costs INT'!$B$226:$B$243,0), MATCH(AC$128, 'Mixed costs INT'!$D$225:$BB$225,0))
+ INDEX('Arterial costs'!$D$223:$BB$240, MATCH($B138, 'Arterial costs'!$B$223:$B$240,0), MATCH(AC$128, 'Arterial costs'!$D$222:$BB$222,0))</f>
        <v>28030.31782818988</v>
      </c>
      <c r="AD138" s="742">
        <f>INDEX('VLU costs INT'!$D$235:$BB$252, MATCH($B138, 'VLU costs INT'!$B$235:$B$252,0), MATCH(AD$128, 'VLU costs INT'!$D$234:$BB$234,0))
+ INDEX('Mixed costs INT'!$D$226:$BB$243, MATCH($B138, 'Mixed costs INT'!$B$226:$B$243,0), MATCH(AD$128, 'Mixed costs INT'!$D$225:$BB$225,0))
+ INDEX('Arterial costs'!$D$223:$BB$240, MATCH($B138, 'Arterial costs'!$B$223:$B$240,0), MATCH(AD$128, 'Arterial costs'!$D$222:$BB$222,0))</f>
        <v>29174.162853356713</v>
      </c>
      <c r="AE138" s="742">
        <f>INDEX('VLU costs INT'!$D$235:$BB$252, MATCH($B138, 'VLU costs INT'!$B$235:$B$252,0), MATCH(AE$128, 'VLU costs INT'!$D$234:$BB$234,0))
+ INDEX('Mixed costs INT'!$D$226:$BB$243, MATCH($B138, 'Mixed costs INT'!$B$226:$B$243,0), MATCH(AE$128, 'Mixed costs INT'!$D$225:$BB$225,0))
+ INDEX('Arterial costs'!$D$223:$BB$240, MATCH($B138, 'Arterial costs'!$B$223:$B$240,0), MATCH(AE$128, 'Arterial costs'!$D$222:$BB$222,0))</f>
        <v>30347.475480242327</v>
      </c>
      <c r="AF138" s="742">
        <f>INDEX('VLU costs INT'!$D$235:$BB$252, MATCH($B138, 'VLU costs INT'!$B$235:$B$252,0), MATCH(AF$128, 'VLU costs INT'!$D$234:$BB$234,0))
+ INDEX('Mixed costs INT'!$D$226:$BB$243, MATCH($B138, 'Mixed costs INT'!$B$226:$B$243,0), MATCH(AF$128, 'Mixed costs INT'!$D$225:$BB$225,0))
+ INDEX('Arterial costs'!$D$223:$BB$240, MATCH($B138, 'Arterial costs'!$B$223:$B$240,0), MATCH(AF$128, 'Arterial costs'!$D$222:$BB$222,0))</f>
        <v>31550.87056900563</v>
      </c>
      <c r="AG138" s="742">
        <f>INDEX('VLU costs INT'!$D$235:$BB$252, MATCH($B138, 'VLU costs INT'!$B$235:$B$252,0), MATCH(AG$128, 'VLU costs INT'!$D$234:$BB$234,0))
+ INDEX('Mixed costs INT'!$D$226:$BB$243, MATCH($B138, 'Mixed costs INT'!$B$226:$B$243,0), MATCH(AG$128, 'Mixed costs INT'!$D$225:$BB$225,0))
+ INDEX('Arterial costs'!$D$223:$BB$240, MATCH($B138, 'Arterial costs'!$B$223:$B$240,0), MATCH(AG$128, 'Arterial costs'!$D$222:$BB$222,0))</f>
        <v>32787.949091754723</v>
      </c>
      <c r="AH138" s="742">
        <f>INDEX('VLU costs INT'!$D$235:$BB$252, MATCH($B138, 'VLU costs INT'!$B$235:$B$252,0), MATCH(AH$128, 'VLU costs INT'!$D$234:$BB$234,0))
+ INDEX('Mixed costs INT'!$D$226:$BB$243, MATCH($B138, 'Mixed costs INT'!$B$226:$B$243,0), MATCH(AH$128, 'Mixed costs INT'!$D$225:$BB$225,0))
+ INDEX('Arterial costs'!$D$223:$BB$240, MATCH($B138, 'Arterial costs'!$B$223:$B$240,0), MATCH(AH$128, 'Arterial costs'!$D$222:$BB$222,0))</f>
        <v>34059.805119492856</v>
      </c>
      <c r="AI138" s="742">
        <f>INDEX('VLU costs INT'!$D$235:$BB$252, MATCH($B138, 'VLU costs INT'!$B$235:$B$252,0), MATCH(AI$128, 'VLU costs INT'!$D$234:$BB$234,0))
+ INDEX('Mixed costs INT'!$D$226:$BB$243, MATCH($B138, 'Mixed costs INT'!$B$226:$B$243,0), MATCH(AI$128, 'Mixed costs INT'!$D$225:$BB$225,0))
+ INDEX('Arterial costs'!$D$223:$BB$240, MATCH($B138, 'Arterial costs'!$B$223:$B$240,0), MATCH(AI$128, 'Arterial costs'!$D$222:$BB$222,0))</f>
        <v>35369.010697890335</v>
      </c>
      <c r="AJ138" s="742">
        <f>INDEX('VLU costs INT'!$D$235:$BB$252, MATCH($B138, 'VLU costs INT'!$B$235:$B$252,0), MATCH(AJ$128, 'VLU costs INT'!$D$234:$BB$234,0))
+ INDEX('Mixed costs INT'!$D$226:$BB$243, MATCH($B138, 'Mixed costs INT'!$B$226:$B$243,0), MATCH(AJ$128, 'Mixed costs INT'!$D$225:$BB$225,0))
+ INDEX('Arterial costs'!$D$223:$BB$240, MATCH($B138, 'Arterial costs'!$B$223:$B$240,0), MATCH(AJ$128, 'Arterial costs'!$D$222:$BB$222,0))</f>
        <v>36714.299657952317</v>
      </c>
      <c r="AK138" s="742">
        <f>INDEX('VLU costs INT'!$D$235:$BB$252, MATCH($B138, 'VLU costs INT'!$B$235:$B$252,0), MATCH(AK$128, 'VLU costs INT'!$D$234:$BB$234,0))
+ INDEX('Mixed costs INT'!$D$226:$BB$243, MATCH($B138, 'Mixed costs INT'!$B$226:$B$243,0), MATCH(AK$128, 'Mixed costs INT'!$D$225:$BB$225,0))
+ INDEX('Arterial costs'!$D$223:$BB$240, MATCH($B138, 'Arterial costs'!$B$223:$B$240,0), MATCH(AK$128, 'Arterial costs'!$D$222:$BB$222,0))</f>
        <v>38093.093620574989</v>
      </c>
      <c r="AL138" s="742">
        <f>INDEX('VLU costs INT'!$D$235:$BB$252, MATCH($B138, 'VLU costs INT'!$B$235:$B$252,0), MATCH(AL$128, 'VLU costs INT'!$D$234:$BB$234,0))
+ INDEX('Mixed costs INT'!$D$226:$BB$243, MATCH($B138, 'Mixed costs INT'!$B$226:$B$243,0), MATCH(AL$128, 'Mixed costs INT'!$D$225:$BB$225,0))
+ INDEX('Arterial costs'!$D$223:$BB$240, MATCH($B138, 'Arterial costs'!$B$223:$B$240,0), MATCH(AL$128, 'Arterial costs'!$D$222:$BB$222,0))</f>
        <v>39504.011090845139</v>
      </c>
      <c r="AM138" s="742">
        <f>INDEX('VLU costs INT'!$D$235:$BB$252, MATCH($B138, 'VLU costs INT'!$B$235:$B$252,0), MATCH(AM$128, 'VLU costs INT'!$D$234:$BB$234,0))
+ INDEX('Mixed costs INT'!$D$226:$BB$243, MATCH($B138, 'Mixed costs INT'!$B$226:$B$243,0), MATCH(AM$128, 'Mixed costs INT'!$D$225:$BB$225,0))
+ INDEX('Arterial costs'!$D$223:$BB$240, MATCH($B138, 'Arterial costs'!$B$223:$B$240,0), MATCH(AM$128, 'Arterial costs'!$D$222:$BB$222,0))</f>
        <v>40946.246248256619</v>
      </c>
      <c r="AN138" s="742">
        <f>INDEX('VLU costs INT'!$D$235:$BB$252, MATCH($B138, 'VLU costs INT'!$B$235:$B$252,0), MATCH(AN$128, 'VLU costs INT'!$D$234:$BB$234,0))
+ INDEX('Mixed costs INT'!$D$226:$BB$243, MATCH($B138, 'Mixed costs INT'!$B$226:$B$243,0), MATCH(AN$128, 'Mixed costs INT'!$D$225:$BB$225,0))
+ INDEX('Arterial costs'!$D$223:$BB$240, MATCH($B138, 'Arterial costs'!$B$223:$B$240,0), MATCH(AN$128, 'Arterial costs'!$D$222:$BB$222,0))</f>
        <v>42419.281437001642</v>
      </c>
      <c r="AO138" s="742">
        <f>INDEX('VLU costs INT'!$D$235:$BB$252, MATCH($B138, 'VLU costs INT'!$B$235:$B$252,0), MATCH(AO$128, 'VLU costs INT'!$D$234:$BB$234,0))
+ INDEX('Mixed costs INT'!$D$226:$BB$243, MATCH($B138, 'Mixed costs INT'!$B$226:$B$243,0), MATCH(AO$128, 'Mixed costs INT'!$D$225:$BB$225,0))
+ INDEX('Arterial costs'!$D$223:$BB$240, MATCH($B138, 'Arterial costs'!$B$223:$B$240,0), MATCH(AO$128, 'Arterial costs'!$D$222:$BB$222,0))</f>
        <v>43922.592791949181</v>
      </c>
      <c r="AP138" s="742">
        <f>INDEX('VLU costs INT'!$D$235:$BB$252, MATCH($B138, 'VLU costs INT'!$B$235:$B$252,0), MATCH(AP$128, 'VLU costs INT'!$D$234:$BB$234,0))
+ INDEX('Mixed costs INT'!$D$226:$BB$243, MATCH($B138, 'Mixed costs INT'!$B$226:$B$243,0), MATCH(AP$128, 'Mixed costs INT'!$D$225:$BB$225,0))
+ INDEX('Arterial costs'!$D$223:$BB$240, MATCH($B138, 'Arterial costs'!$B$223:$B$240,0), MATCH(AP$128, 'Arterial costs'!$D$222:$BB$222,0))</f>
        <v>45462.35683266478</v>
      </c>
      <c r="AQ138" s="742">
        <f>INDEX('VLU costs INT'!$D$235:$BB$252, MATCH($B138, 'VLU costs INT'!$B$235:$B$252,0), MATCH(AQ$128, 'VLU costs INT'!$D$234:$BB$234,0))
+ INDEX('Mixed costs INT'!$D$226:$BB$243, MATCH($B138, 'Mixed costs INT'!$B$226:$B$243,0), MATCH(AQ$128, 'Mixed costs INT'!$D$225:$BB$225,0))
+ INDEX('Arterial costs'!$D$223:$BB$240, MATCH($B138, 'Arterial costs'!$B$223:$B$240,0), MATCH(AQ$128, 'Arterial costs'!$D$222:$BB$222,0))</f>
        <v>47044.84178307277</v>
      </c>
      <c r="AR138" s="742">
        <f>INDEX('VLU costs INT'!$D$235:$BB$252, MATCH($B138, 'VLU costs INT'!$B$235:$B$252,0), MATCH(AR$128, 'VLU costs INT'!$D$234:$BB$234,0))
+ INDEX('Mixed costs INT'!$D$226:$BB$243, MATCH($B138, 'Mixed costs INT'!$B$226:$B$243,0), MATCH(AR$128, 'Mixed costs INT'!$D$225:$BB$225,0))
+ INDEX('Arterial costs'!$D$223:$BB$240, MATCH($B138, 'Arterial costs'!$B$223:$B$240,0), MATCH(AR$128, 'Arterial costs'!$D$222:$BB$222,0))</f>
        <v>48675.215383684896</v>
      </c>
      <c r="AS138" s="742">
        <f>INDEX('VLU costs INT'!$D$235:$BB$252, MATCH($B138, 'VLU costs INT'!$B$235:$B$252,0), MATCH(AS$128, 'VLU costs INT'!$D$234:$BB$234,0))
+ INDEX('Mixed costs INT'!$D$226:$BB$243, MATCH($B138, 'Mixed costs INT'!$B$226:$B$243,0), MATCH(AS$128, 'Mixed costs INT'!$D$225:$BB$225,0))
+ INDEX('Arterial costs'!$D$223:$BB$240, MATCH($B138, 'Arterial costs'!$B$223:$B$240,0), MATCH(AS$128, 'Arterial costs'!$D$222:$BB$222,0))</f>
        <v>50329.471782569439</v>
      </c>
      <c r="AU138" s="73" t="s">
        <v>2863</v>
      </c>
      <c r="AV138" s="800">
        <f t="shared" ref="AV138:AV144" si="22">INDEX($N$129:$N$146, MATCH(AU138,$B$129:$B$146,0))/$N$14</f>
        <v>35.819879798880706</v>
      </c>
      <c r="AW138" s="800">
        <f>INDEX($N$105:$N$122, MATCH(AU138,$B$105:$B$122,0))/'Baseline Summary'!$N$15</f>
        <v>36.901279383957302</v>
      </c>
      <c r="AX138" s="73" t="s">
        <v>2863</v>
      </c>
      <c r="AZ138" s="73" t="s">
        <v>22</v>
      </c>
      <c r="BA138" s="800">
        <f t="shared" ref="BA138:BA144" si="23">SUMIFS($AW$138:$AW$145,$AX$138:$AX$145,AZ138)</f>
        <v>589.15536408029664</v>
      </c>
      <c r="BB138" s="800">
        <f t="shared" ref="BB138:BB144" si="24">SUMIFS($AV$138:$AV$145,$AX$138:$AX$145,AZ138)</f>
        <v>752.68362352826091</v>
      </c>
    </row>
    <row r="139" spans="2:54" s="73" customFormat="1">
      <c r="B139" s="26" t="s">
        <v>2862</v>
      </c>
      <c r="C139" s="742">
        <f>INDEX('VLU costs INT'!$D$235:$BB$252, MATCH($B139, 'VLU costs INT'!$B$235:$B$252,0), MATCH(C$128, 'VLU costs INT'!$D$234:$BB$234,0))
+ INDEX('Mixed costs INT'!$D$226:$BB$243, MATCH($B139, 'Mixed costs INT'!$B$226:$B$243,0), MATCH(C$128, 'Mixed costs INT'!$D$225:$BB$225,0))
+ INDEX('Arterial costs'!$D$223:$BB$240, MATCH($B139, 'Arterial costs'!$B$223:$B$240,0), MATCH(C$128, 'Arterial costs'!$D$222:$BB$222,0))</f>
        <v>14773.60634744098</v>
      </c>
      <c r="D139" s="742">
        <f>INDEX('VLU costs INT'!$D$235:$BB$252, MATCH($B139, 'VLU costs INT'!$B$235:$B$252,0), MATCH(D$128, 'VLU costs INT'!$D$234:$BB$234,0))
+ INDEX('Mixed costs INT'!$D$226:$BB$243, MATCH($B139, 'Mixed costs INT'!$B$226:$B$243,0), MATCH(D$128, 'Mixed costs INT'!$D$225:$BB$225,0))
+ INDEX('Arterial costs'!$D$223:$BB$240, MATCH($B139, 'Arterial costs'!$B$223:$B$240,0), MATCH(D$128, 'Arterial costs'!$D$222:$BB$222,0))</f>
        <v>15773.147298176093</v>
      </c>
      <c r="E139" s="742">
        <f>INDEX('VLU costs INT'!$D$235:$BB$252, MATCH($B139, 'VLU costs INT'!$B$235:$B$252,0), MATCH(E$128, 'VLU costs INT'!$D$234:$BB$234,0))
+ INDEX('Mixed costs INT'!$D$226:$BB$243, MATCH($B139, 'Mixed costs INT'!$B$226:$B$243,0), MATCH(E$128, 'Mixed costs INT'!$D$225:$BB$225,0))
+ INDEX('Arterial costs'!$D$223:$BB$240, MATCH($B139, 'Arterial costs'!$B$223:$B$240,0), MATCH(E$128, 'Arterial costs'!$D$222:$BB$222,0))</f>
        <v>16743.324536436387</v>
      </c>
      <c r="F139" s="742">
        <f>INDEX('VLU costs INT'!$D$235:$BB$252, MATCH($B139, 'VLU costs INT'!$B$235:$B$252,0), MATCH(F$128, 'VLU costs INT'!$D$234:$BB$234,0))
+ INDEX('Mixed costs INT'!$D$226:$BB$243, MATCH($B139, 'Mixed costs INT'!$B$226:$B$243,0), MATCH(F$128, 'Mixed costs INT'!$D$225:$BB$225,0))
+ INDEX('Arterial costs'!$D$223:$BB$240, MATCH($B139, 'Arterial costs'!$B$223:$B$240,0), MATCH(F$128, 'Arterial costs'!$D$222:$BB$222,0))</f>
        <v>17702.896756943017</v>
      </c>
      <c r="G139" s="742">
        <f>INDEX('VLU costs INT'!$D$235:$BB$252, MATCH($B139, 'VLU costs INT'!$B$235:$B$252,0), MATCH(G$128, 'VLU costs INT'!$D$234:$BB$234,0))
+ INDEX('Mixed costs INT'!$D$226:$BB$243, MATCH($B139, 'Mixed costs INT'!$B$226:$B$243,0), MATCH(G$128, 'Mixed costs INT'!$D$225:$BB$225,0))
+ INDEX('Arterial costs'!$D$223:$BB$240, MATCH($B139, 'Arterial costs'!$B$223:$B$240,0), MATCH(G$128, 'Arterial costs'!$D$222:$BB$222,0))</f>
        <v>15353.180803909381</v>
      </c>
      <c r="H139" s="742">
        <f>INDEX('VLU costs INT'!$D$235:$BB$252, MATCH($B139, 'VLU costs INT'!$B$235:$B$252,0), MATCH(H$128, 'VLU costs INT'!$D$234:$BB$234,0))
+ INDEX('Mixed costs INT'!$D$226:$BB$243, MATCH($B139, 'Mixed costs INT'!$B$226:$B$243,0), MATCH(H$128, 'Mixed costs INT'!$D$225:$BB$225,0))
+ INDEX('Arterial costs'!$D$223:$BB$240, MATCH($B139, 'Arterial costs'!$B$223:$B$240,0), MATCH(H$128, 'Arterial costs'!$D$222:$BB$222,0))</f>
        <v>14927.677984722703</v>
      </c>
      <c r="I139" s="742">
        <f>INDEX('VLU costs INT'!$D$235:$BB$252, MATCH($B139, 'VLU costs INT'!$B$235:$B$252,0), MATCH(I$128, 'VLU costs INT'!$D$234:$BB$234,0))
+ INDEX('Mixed costs INT'!$D$226:$BB$243, MATCH($B139, 'Mixed costs INT'!$B$226:$B$243,0), MATCH(I$128, 'Mixed costs INT'!$D$225:$BB$225,0))
+ INDEX('Arterial costs'!$D$223:$BB$240, MATCH($B139, 'Arterial costs'!$B$223:$B$240,0), MATCH(I$128, 'Arterial costs'!$D$222:$BB$222,0))</f>
        <v>14974.841998212036</v>
      </c>
      <c r="J139" s="742">
        <f>INDEX('VLU costs INT'!$D$235:$BB$252, MATCH($B139, 'VLU costs INT'!$B$235:$B$252,0), MATCH(J$128, 'VLU costs INT'!$D$234:$BB$234,0))
+ INDEX('Mixed costs INT'!$D$226:$BB$243, MATCH($B139, 'Mixed costs INT'!$B$226:$B$243,0), MATCH(J$128, 'Mixed costs INT'!$D$225:$BB$225,0))
+ INDEX('Arterial costs'!$D$223:$BB$240, MATCH($B139, 'Arterial costs'!$B$223:$B$240,0), MATCH(J$128, 'Arterial costs'!$D$222:$BB$222,0))</f>
        <v>15344.379437533267</v>
      </c>
      <c r="K139" s="742">
        <f>INDEX('VLU costs INT'!$D$235:$BB$252, MATCH($B139, 'VLU costs INT'!$B$235:$B$252,0), MATCH(K$128, 'VLU costs INT'!$D$234:$BB$234,0))
+ INDEX('Mixed costs INT'!$D$226:$BB$243, MATCH($B139, 'Mixed costs INT'!$B$226:$B$243,0), MATCH(K$128, 'Mixed costs INT'!$D$225:$BB$225,0))
+ INDEX('Arterial costs'!$D$223:$BB$240, MATCH($B139, 'Arterial costs'!$B$223:$B$240,0), MATCH(K$128, 'Arterial costs'!$D$222:$BB$222,0))</f>
        <v>15957.551741662232</v>
      </c>
      <c r="L139" s="742">
        <f>INDEX('VLU costs INT'!$D$235:$BB$252, MATCH($B139, 'VLU costs INT'!$B$235:$B$252,0), MATCH(L$128, 'VLU costs INT'!$D$234:$BB$234,0))
+ INDEX('Mixed costs INT'!$D$226:$BB$243, MATCH($B139, 'Mixed costs INT'!$B$226:$B$243,0), MATCH(L$128, 'Mixed costs INT'!$D$225:$BB$225,0))
+ INDEX('Arterial costs'!$D$223:$BB$240, MATCH($B139, 'Arterial costs'!$B$223:$B$240,0), MATCH(L$128, 'Arterial costs'!$D$222:$BB$222,0))</f>
        <v>16734.273826869096</v>
      </c>
      <c r="M139" s="742">
        <f>INDEX('VLU costs INT'!$D$235:$BB$252, MATCH($B139, 'VLU costs INT'!$B$235:$B$252,0), MATCH(M$128, 'VLU costs INT'!$D$234:$BB$234,0))
+ INDEX('Mixed costs INT'!$D$226:$BB$243, MATCH($B139, 'Mixed costs INT'!$B$226:$B$243,0), MATCH(M$128, 'Mixed costs INT'!$D$225:$BB$225,0))
+ INDEX('Arterial costs'!$D$223:$BB$240, MATCH($B139, 'Arterial costs'!$B$223:$B$240,0), MATCH(M$128, 'Arterial costs'!$D$222:$BB$222,0))</f>
        <v>17627.258648905019</v>
      </c>
      <c r="N139" s="742">
        <f>INDEX('VLU costs INT'!$D$235:$BB$252, MATCH($B139, 'VLU costs INT'!$B$235:$B$252,0), MATCH(N$128, 'VLU costs INT'!$D$234:$BB$234,0))
+ INDEX('Mixed costs INT'!$D$226:$BB$243, MATCH($B139, 'Mixed costs INT'!$B$226:$B$243,0), MATCH(N$128, 'Mixed costs INT'!$D$225:$BB$225,0))
+ INDEX('Arterial costs'!$D$223:$BB$240, MATCH($B139, 'Arterial costs'!$B$223:$B$240,0), MATCH(N$128, 'Arterial costs'!$D$222:$BB$222,0))</f>
        <v>18602.790865845003</v>
      </c>
      <c r="O139" s="742">
        <f>INDEX('VLU costs INT'!$D$235:$BB$252, MATCH($B139, 'VLU costs INT'!$B$235:$B$252,0), MATCH(O$128, 'VLU costs INT'!$D$234:$BB$234,0))
+ INDEX('Mixed costs INT'!$D$226:$BB$243, MATCH($B139, 'Mixed costs INT'!$B$226:$B$243,0), MATCH(O$128, 'Mixed costs INT'!$D$225:$BB$225,0))
+ INDEX('Arterial costs'!$D$223:$BB$240, MATCH($B139, 'Arterial costs'!$B$223:$B$240,0), MATCH(O$128, 'Arterial costs'!$D$222:$BB$222,0))</f>
        <v>19644.849724413438</v>
      </c>
      <c r="P139" s="742">
        <f>INDEX('VLU costs INT'!$D$235:$BB$252, MATCH($B139, 'VLU costs INT'!$B$235:$B$252,0), MATCH(P$128, 'VLU costs INT'!$D$234:$BB$234,0))
+ INDEX('Mixed costs INT'!$D$226:$BB$243, MATCH($B139, 'Mixed costs INT'!$B$226:$B$243,0), MATCH(P$128, 'Mixed costs INT'!$D$225:$BB$225,0))
+ INDEX('Arterial costs'!$D$223:$BB$240, MATCH($B139, 'Arterial costs'!$B$223:$B$240,0), MATCH(P$128, 'Arterial costs'!$D$222:$BB$222,0))</f>
        <v>20743.150868259814</v>
      </c>
      <c r="Q139" s="742">
        <f>INDEX('VLU costs INT'!$D$235:$BB$252, MATCH($B139, 'VLU costs INT'!$B$235:$B$252,0), MATCH(Q$128, 'VLU costs INT'!$D$234:$BB$234,0))
+ INDEX('Mixed costs INT'!$D$226:$BB$243, MATCH($B139, 'Mixed costs INT'!$B$226:$B$243,0), MATCH(Q$128, 'Mixed costs INT'!$D$225:$BB$225,0))
+ INDEX('Arterial costs'!$D$223:$BB$240, MATCH($B139, 'Arterial costs'!$B$223:$B$240,0), MATCH(Q$128, 'Arterial costs'!$D$222:$BB$222,0))</f>
        <v>21895.033932617942</v>
      </c>
      <c r="R139" s="742">
        <f>INDEX('VLU costs INT'!$D$235:$BB$252, MATCH($B139, 'VLU costs INT'!$B$235:$B$252,0), MATCH(R$128, 'VLU costs INT'!$D$234:$BB$234,0))
+ INDEX('Mixed costs INT'!$D$226:$BB$243, MATCH($B139, 'Mixed costs INT'!$B$226:$B$243,0), MATCH(R$128, 'Mixed costs INT'!$D$225:$BB$225,0))
+ INDEX('Arterial costs'!$D$223:$BB$240, MATCH($B139, 'Arterial costs'!$B$223:$B$240,0), MATCH(R$128, 'Arterial costs'!$D$222:$BB$222,0))</f>
        <v>22815.935225478068</v>
      </c>
      <c r="S139" s="742">
        <f>INDEX('VLU costs INT'!$D$235:$BB$252, MATCH($B139, 'VLU costs INT'!$B$235:$B$252,0), MATCH(S$128, 'VLU costs INT'!$D$234:$BB$234,0))
+ INDEX('Mixed costs INT'!$D$226:$BB$243, MATCH($B139, 'Mixed costs INT'!$B$226:$B$243,0), MATCH(S$128, 'Mixed costs INT'!$D$225:$BB$225,0))
+ INDEX('Arterial costs'!$D$223:$BB$240, MATCH($B139, 'Arterial costs'!$B$223:$B$240,0), MATCH(S$128, 'Arterial costs'!$D$222:$BB$222,0))</f>
        <v>23805.421541032389</v>
      </c>
      <c r="T139" s="742">
        <f>INDEX('VLU costs INT'!$D$235:$BB$252, MATCH($B139, 'VLU costs INT'!$B$235:$B$252,0), MATCH(T$128, 'VLU costs INT'!$D$234:$BB$234,0))
+ INDEX('Mixed costs INT'!$D$226:$BB$243, MATCH($B139, 'Mixed costs INT'!$B$226:$B$243,0), MATCH(T$128, 'Mixed costs INT'!$D$225:$BB$225,0))
+ INDEX('Arterial costs'!$D$223:$BB$240, MATCH($B139, 'Arterial costs'!$B$223:$B$240,0), MATCH(T$128, 'Arterial costs'!$D$222:$BB$222,0))</f>
        <v>24854.045824505185</v>
      </c>
      <c r="U139" s="742">
        <f>INDEX('VLU costs INT'!$D$235:$BB$252, MATCH($B139, 'VLU costs INT'!$B$235:$B$252,0), MATCH(U$128, 'VLU costs INT'!$D$234:$BB$234,0))
+ INDEX('Mixed costs INT'!$D$226:$BB$243, MATCH($B139, 'Mixed costs INT'!$B$226:$B$243,0), MATCH(U$128, 'Mixed costs INT'!$D$225:$BB$225,0))
+ INDEX('Arterial costs'!$D$223:$BB$240, MATCH($B139, 'Arterial costs'!$B$223:$B$240,0), MATCH(U$128, 'Arterial costs'!$D$222:$BB$222,0))</f>
        <v>25962.742085288686</v>
      </c>
      <c r="V139" s="742">
        <f>INDEX('VLU costs INT'!$D$235:$BB$252, MATCH($B139, 'VLU costs INT'!$B$235:$B$252,0), MATCH(V$128, 'VLU costs INT'!$D$234:$BB$234,0))
+ INDEX('Mixed costs INT'!$D$226:$BB$243, MATCH($B139, 'Mixed costs INT'!$B$226:$B$243,0), MATCH(V$128, 'Mixed costs INT'!$D$225:$BB$225,0))
+ INDEX('Arterial costs'!$D$223:$BB$240, MATCH($B139, 'Arterial costs'!$B$223:$B$240,0), MATCH(V$128, 'Arterial costs'!$D$222:$BB$222,0))</f>
        <v>27117.321331870007</v>
      </c>
      <c r="W139" s="742">
        <f>INDEX('VLU costs INT'!$D$235:$BB$252, MATCH($B139, 'VLU costs INT'!$B$235:$B$252,0), MATCH(W$128, 'VLU costs INT'!$D$234:$BB$234,0))
+ INDEX('Mixed costs INT'!$D$226:$BB$243, MATCH($B139, 'Mixed costs INT'!$B$226:$B$243,0), MATCH(W$128, 'Mixed costs INT'!$D$225:$BB$225,0))
+ INDEX('Arterial costs'!$D$223:$BB$240, MATCH($B139, 'Arterial costs'!$B$223:$B$240,0), MATCH(W$128, 'Arterial costs'!$D$222:$BB$222,0))</f>
        <v>28313.439632919712</v>
      </c>
      <c r="X139" s="742">
        <f>INDEX('VLU costs INT'!$D$235:$BB$252, MATCH($B139, 'VLU costs INT'!$B$235:$B$252,0), MATCH(X$128, 'VLU costs INT'!$D$234:$BB$234,0))
+ INDEX('Mixed costs INT'!$D$226:$BB$243, MATCH($B139, 'Mixed costs INT'!$B$226:$B$243,0), MATCH(X$128, 'Mixed costs INT'!$D$225:$BB$225,0))
+ INDEX('Arterial costs'!$D$223:$BB$240, MATCH($B139, 'Arterial costs'!$B$223:$B$240,0), MATCH(X$128, 'Arterial costs'!$D$222:$BB$222,0))</f>
        <v>29553.59013459205</v>
      </c>
      <c r="Y139" s="742">
        <f>INDEX('VLU costs INT'!$D$235:$BB$252, MATCH($B139, 'VLU costs INT'!$B$235:$B$252,0), MATCH(Y$128, 'VLU costs INT'!$D$234:$BB$234,0))
+ INDEX('Mixed costs INT'!$D$226:$BB$243, MATCH($B139, 'Mixed costs INT'!$B$226:$B$243,0), MATCH(Y$128, 'Mixed costs INT'!$D$225:$BB$225,0))
+ INDEX('Arterial costs'!$D$223:$BB$240, MATCH($B139, 'Arterial costs'!$B$223:$B$240,0), MATCH(Y$128, 'Arterial costs'!$D$222:$BB$222,0))</f>
        <v>30835.856988129883</v>
      </c>
      <c r="Z139" s="742">
        <f>INDEX('VLU costs INT'!$D$235:$BB$252, MATCH($B139, 'VLU costs INT'!$B$235:$B$252,0), MATCH(Z$128, 'VLU costs INT'!$D$234:$BB$234,0))
+ INDEX('Mixed costs INT'!$D$226:$BB$243, MATCH($B139, 'Mixed costs INT'!$B$226:$B$243,0), MATCH(Z$128, 'Mixed costs INT'!$D$225:$BB$225,0))
+ INDEX('Arterial costs'!$D$223:$BB$240, MATCH($B139, 'Arterial costs'!$B$223:$B$240,0), MATCH(Z$128, 'Arterial costs'!$D$222:$BB$222,0))</f>
        <v>32158.947041961754</v>
      </c>
      <c r="AA139" s="742">
        <f>INDEX('VLU costs INT'!$D$235:$BB$252, MATCH($B139, 'VLU costs INT'!$B$235:$B$252,0), MATCH(AA$128, 'VLU costs INT'!$D$234:$BB$234,0))
+ INDEX('Mixed costs INT'!$D$226:$BB$243, MATCH($B139, 'Mixed costs INT'!$B$226:$B$243,0), MATCH(AA$128, 'Mixed costs INT'!$D$225:$BB$225,0))
+ INDEX('Arterial costs'!$D$223:$BB$240, MATCH($B139, 'Arterial costs'!$B$223:$B$240,0), MATCH(AA$128, 'Arterial costs'!$D$222:$BB$222,0))</f>
        <v>33522.195106873602</v>
      </c>
      <c r="AB139" s="742">
        <f>INDEX('VLU costs INT'!$D$235:$BB$252, MATCH($B139, 'VLU costs INT'!$B$235:$B$252,0), MATCH(AB$128, 'VLU costs INT'!$D$234:$BB$234,0))
+ INDEX('Mixed costs INT'!$D$226:$BB$243, MATCH($B139, 'Mixed costs INT'!$B$226:$B$243,0), MATCH(AB$128, 'Mixed costs INT'!$D$225:$BB$225,0))
+ INDEX('Arterial costs'!$D$223:$BB$240, MATCH($B139, 'Arterial costs'!$B$223:$B$240,0), MATCH(AB$128, 'Arterial costs'!$D$222:$BB$222,0))</f>
        <v>34927.15669694294</v>
      </c>
      <c r="AC139" s="742">
        <f>INDEX('VLU costs INT'!$D$235:$BB$252, MATCH($B139, 'VLU costs INT'!$B$235:$B$252,0), MATCH(AC$128, 'VLU costs INT'!$D$234:$BB$234,0))
+ INDEX('Mixed costs INT'!$D$226:$BB$243, MATCH($B139, 'Mixed costs INT'!$B$226:$B$243,0), MATCH(AC$128, 'Mixed costs INT'!$D$225:$BB$225,0))
+ INDEX('Arterial costs'!$D$223:$BB$240, MATCH($B139, 'Arterial costs'!$B$223:$B$240,0), MATCH(AC$128, 'Arterial costs'!$D$222:$BB$222,0))</f>
        <v>36372.383373971054</v>
      </c>
      <c r="AD139" s="742">
        <f>INDEX('VLU costs INT'!$D$235:$BB$252, MATCH($B139, 'VLU costs INT'!$B$235:$B$252,0), MATCH(AD$128, 'VLU costs INT'!$D$234:$BB$234,0))
+ INDEX('Mixed costs INT'!$D$226:$BB$243, MATCH($B139, 'Mixed costs INT'!$B$226:$B$243,0), MATCH(AD$128, 'Mixed costs INT'!$D$225:$BB$225,0))
+ INDEX('Arterial costs'!$D$223:$BB$240, MATCH($B139, 'Arterial costs'!$B$223:$B$240,0), MATCH(AD$128, 'Arterial costs'!$D$222:$BB$222,0))</f>
        <v>37856.646593203499</v>
      </c>
      <c r="AE139" s="742">
        <f>INDEX('VLU costs INT'!$D$235:$BB$252, MATCH($B139, 'VLU costs INT'!$B$235:$B$252,0), MATCH(AE$128, 'VLU costs INT'!$D$234:$BB$234,0))
+ INDEX('Mixed costs INT'!$D$226:$BB$243, MATCH($B139, 'Mixed costs INT'!$B$226:$B$243,0), MATCH(AE$128, 'Mixed costs INT'!$D$225:$BB$225,0))
+ INDEX('Arterial costs'!$D$223:$BB$240, MATCH($B139, 'Arterial costs'!$B$223:$B$240,0), MATCH(AE$128, 'Arterial costs'!$D$222:$BB$222,0))</f>
        <v>39379.147227844376</v>
      </c>
      <c r="AF139" s="742">
        <f>INDEX('VLU costs INT'!$D$235:$BB$252, MATCH($B139, 'VLU costs INT'!$B$235:$B$252,0), MATCH(AF$128, 'VLU costs INT'!$D$234:$BB$234,0))
+ INDEX('Mixed costs INT'!$D$226:$BB$243, MATCH($B139, 'Mixed costs INT'!$B$226:$B$243,0), MATCH(AF$128, 'Mixed costs INT'!$D$225:$BB$225,0))
+ INDEX('Arterial costs'!$D$223:$BB$240, MATCH($B139, 'Arterial costs'!$B$223:$B$240,0), MATCH(AF$128, 'Arterial costs'!$D$222:$BB$222,0))</f>
        <v>40940.683125765347</v>
      </c>
      <c r="AG139" s="742">
        <f>INDEX('VLU costs INT'!$D$235:$BB$252, MATCH($B139, 'VLU costs INT'!$B$235:$B$252,0), MATCH(AG$128, 'VLU costs INT'!$D$234:$BB$234,0))
+ INDEX('Mixed costs INT'!$D$226:$BB$243, MATCH($B139, 'Mixed costs INT'!$B$226:$B$243,0), MATCH(AG$128, 'Mixed costs INT'!$D$225:$BB$225,0))
+ INDEX('Arterial costs'!$D$223:$BB$240, MATCH($B139, 'Arterial costs'!$B$223:$B$240,0), MATCH(AG$128, 'Arterial costs'!$D$222:$BB$222,0))</f>
        <v>42545.926939586265</v>
      </c>
      <c r="AH139" s="742">
        <f>INDEX('VLU costs INT'!$D$235:$BB$252, MATCH($B139, 'VLU costs INT'!$B$235:$B$252,0), MATCH(AH$128, 'VLU costs INT'!$D$234:$BB$234,0))
+ INDEX('Mixed costs INT'!$D$226:$BB$243, MATCH($B139, 'Mixed costs INT'!$B$226:$B$243,0), MATCH(AH$128, 'Mixed costs INT'!$D$225:$BB$225,0))
+ INDEX('Arterial costs'!$D$223:$BB$240, MATCH($B139, 'Arterial costs'!$B$223:$B$240,0), MATCH(AH$128, 'Arterial costs'!$D$222:$BB$222,0))</f>
        <v>44196.298345324074</v>
      </c>
      <c r="AI139" s="742">
        <f>INDEX('VLU costs INT'!$D$235:$BB$252, MATCH($B139, 'VLU costs INT'!$B$235:$B$252,0), MATCH(AI$128, 'VLU costs INT'!$D$234:$BB$234,0))
+ INDEX('Mixed costs INT'!$D$226:$BB$243, MATCH($B139, 'Mixed costs INT'!$B$226:$B$243,0), MATCH(AI$128, 'Mixed costs INT'!$D$225:$BB$225,0))
+ INDEX('Arterial costs'!$D$223:$BB$240, MATCH($B139, 'Arterial costs'!$B$223:$B$240,0), MATCH(AI$128, 'Arterial costs'!$D$222:$BB$222,0))</f>
        <v>45895.134851734438</v>
      </c>
      <c r="AJ139" s="742">
        <f>INDEX('VLU costs INT'!$D$235:$BB$252, MATCH($B139, 'VLU costs INT'!$B$235:$B$252,0), MATCH(AJ$128, 'VLU costs INT'!$D$234:$BB$234,0))
+ INDEX('Mixed costs INT'!$D$226:$BB$243, MATCH($B139, 'Mixed costs INT'!$B$226:$B$243,0), MATCH(AJ$128, 'Mixed costs INT'!$D$225:$BB$225,0))
+ INDEX('Arterial costs'!$D$223:$BB$240, MATCH($B139, 'Arterial costs'!$B$223:$B$240,0), MATCH(AJ$128, 'Arterial costs'!$D$222:$BB$222,0))</f>
        <v>47640.793466954841</v>
      </c>
      <c r="AK139" s="742">
        <f>INDEX('VLU costs INT'!$D$235:$BB$252, MATCH($B139, 'VLU costs INT'!$B$235:$B$252,0), MATCH(AK$128, 'VLU costs INT'!$D$234:$BB$234,0))
+ INDEX('Mixed costs INT'!$D$226:$BB$243, MATCH($B139, 'Mixed costs INT'!$B$226:$B$243,0), MATCH(AK$128, 'Mixed costs INT'!$D$225:$BB$225,0))
+ INDEX('Arterial costs'!$D$223:$BB$240, MATCH($B139, 'Arterial costs'!$B$223:$B$240,0), MATCH(AK$128, 'Arterial costs'!$D$222:$BB$222,0))</f>
        <v>49429.928463911339</v>
      </c>
      <c r="AL139" s="742">
        <f>INDEX('VLU costs INT'!$D$235:$BB$252, MATCH($B139, 'VLU costs INT'!$B$235:$B$252,0), MATCH(AL$128, 'VLU costs INT'!$D$234:$BB$234,0))
+ INDEX('Mixed costs INT'!$D$226:$BB$243, MATCH($B139, 'Mixed costs INT'!$B$226:$B$243,0), MATCH(AL$128, 'Mixed costs INT'!$D$225:$BB$225,0))
+ INDEX('Arterial costs'!$D$223:$BB$240, MATCH($B139, 'Arterial costs'!$B$223:$B$240,0), MATCH(AL$128, 'Arterial costs'!$D$222:$BB$222,0))</f>
        <v>51260.747202830127</v>
      </c>
      <c r="AM139" s="742">
        <f>INDEX('VLU costs INT'!$D$235:$BB$252, MATCH($B139, 'VLU costs INT'!$B$235:$B$252,0), MATCH(AM$128, 'VLU costs INT'!$D$234:$BB$234,0))
+ INDEX('Mixed costs INT'!$D$226:$BB$243, MATCH($B139, 'Mixed costs INT'!$B$226:$B$243,0), MATCH(AM$128, 'Mixed costs INT'!$D$225:$BB$225,0))
+ INDEX('Arterial costs'!$D$223:$BB$240, MATCH($B139, 'Arterial costs'!$B$223:$B$240,0), MATCH(AM$128, 'Arterial costs'!$D$222:$BB$222,0))</f>
        <v>53132.204044037746</v>
      </c>
      <c r="AN139" s="742">
        <f>INDEX('VLU costs INT'!$D$235:$BB$252, MATCH($B139, 'VLU costs INT'!$B$235:$B$252,0), MATCH(AN$128, 'VLU costs INT'!$D$234:$BB$234,0))
+ INDEX('Mixed costs INT'!$D$226:$BB$243, MATCH($B139, 'Mixed costs INT'!$B$226:$B$243,0), MATCH(AN$128, 'Mixed costs INT'!$D$225:$BB$225,0))
+ INDEX('Arterial costs'!$D$223:$BB$240, MATCH($B139, 'Arterial costs'!$B$223:$B$240,0), MATCH(AN$128, 'Arterial costs'!$D$222:$BB$222,0))</f>
        <v>55043.627272871097</v>
      </c>
      <c r="AO139" s="742">
        <f>INDEX('VLU costs INT'!$D$235:$BB$252, MATCH($B139, 'VLU costs INT'!$B$235:$B$252,0), MATCH(AO$128, 'VLU costs INT'!$D$234:$BB$234,0))
+ INDEX('Mixed costs INT'!$D$226:$BB$243, MATCH($B139, 'Mixed costs INT'!$B$226:$B$243,0), MATCH(AO$128, 'Mixed costs INT'!$D$225:$BB$225,0))
+ INDEX('Arterial costs'!$D$223:$BB$240, MATCH($B139, 'Arterial costs'!$B$223:$B$240,0), MATCH(AO$128, 'Arterial costs'!$D$222:$BB$222,0))</f>
        <v>56994.337117395422</v>
      </c>
      <c r="AP139" s="742">
        <f>INDEX('VLU costs INT'!$D$235:$BB$252, MATCH($B139, 'VLU costs INT'!$B$235:$B$252,0), MATCH(AP$128, 'VLU costs INT'!$D$234:$BB$234,0))
+ INDEX('Mixed costs INT'!$D$226:$BB$243, MATCH($B139, 'Mixed costs INT'!$B$226:$B$243,0), MATCH(AP$128, 'Mixed costs INT'!$D$225:$BB$225,0))
+ INDEX('Arterial costs'!$D$223:$BB$240, MATCH($B139, 'Arterial costs'!$B$223:$B$240,0), MATCH(AP$128, 'Arterial costs'!$D$222:$BB$222,0))</f>
        <v>58992.348282935578</v>
      </c>
      <c r="AQ139" s="742">
        <f>INDEX('VLU costs INT'!$D$235:$BB$252, MATCH($B139, 'VLU costs INT'!$B$235:$B$252,0), MATCH(AQ$128, 'VLU costs INT'!$D$234:$BB$234,0))
+ INDEX('Mixed costs INT'!$D$226:$BB$243, MATCH($B139, 'Mixed costs INT'!$B$226:$B$243,0), MATCH(AQ$128, 'Mixed costs INT'!$D$225:$BB$225,0))
+ INDEX('Arterial costs'!$D$223:$BB$240, MATCH($B139, 'Arterial costs'!$B$223:$B$240,0), MATCH(AQ$128, 'Arterial costs'!$D$222:$BB$222,0))</f>
        <v>61045.794471187241</v>
      </c>
      <c r="AR139" s="742">
        <f>INDEX('VLU costs INT'!$D$235:$BB$252, MATCH($B139, 'VLU costs INT'!$B$235:$B$252,0), MATCH(AR$128, 'VLU costs INT'!$D$234:$BB$234,0))
+ INDEX('Mixed costs INT'!$D$226:$BB$243, MATCH($B139, 'Mixed costs INT'!$B$226:$B$243,0), MATCH(AR$128, 'Mixed costs INT'!$D$225:$BB$225,0))
+ INDEX('Arterial costs'!$D$223:$BB$240, MATCH($B139, 'Arterial costs'!$B$223:$B$240,0), MATCH(AR$128, 'Arterial costs'!$D$222:$BB$222,0))</f>
        <v>63161.381387031186</v>
      </c>
      <c r="AS139" s="742">
        <f>INDEX('VLU costs INT'!$D$235:$BB$252, MATCH($B139, 'VLU costs INT'!$B$235:$B$252,0), MATCH(AS$128, 'VLU costs INT'!$D$234:$BB$234,0))
+ INDEX('Mixed costs INT'!$D$226:$BB$243, MATCH($B139, 'Mixed costs INT'!$B$226:$B$243,0), MATCH(AS$128, 'Mixed costs INT'!$D$225:$BB$225,0))
+ INDEX('Arterial costs'!$D$223:$BB$240, MATCH($B139, 'Arterial costs'!$B$223:$B$240,0), MATCH(AS$128, 'Arterial costs'!$D$222:$BB$222,0))</f>
        <v>65307.958828923816</v>
      </c>
      <c r="AU139" s="73" t="s">
        <v>2862</v>
      </c>
      <c r="AV139" s="800">
        <f t="shared" si="22"/>
        <v>46.480186505205424</v>
      </c>
      <c r="AW139" s="800">
        <f>INDEX($N$105:$N$122, MATCH(AU139,$B$105:$B$122,0))/'Baseline Summary'!$N$15</f>
        <v>47.883419980114589</v>
      </c>
      <c r="AX139" s="73" t="s">
        <v>2862</v>
      </c>
      <c r="AZ139" s="73" t="s">
        <v>127</v>
      </c>
      <c r="BA139" s="800">
        <f t="shared" si="23"/>
        <v>302.62074499162429</v>
      </c>
      <c r="BB139" s="800">
        <f t="shared" si="24"/>
        <v>234.40333150524538</v>
      </c>
    </row>
    <row r="140" spans="2:54" s="73" customFormat="1">
      <c r="B140" s="26" t="s">
        <v>131</v>
      </c>
      <c r="C140" s="742">
        <f>INDEX('VLU costs INT'!$D$235:$BB$252, MATCH($B140, 'VLU costs INT'!$B$235:$B$252,0), MATCH(C$128, 'VLU costs INT'!$D$234:$BB$234,0))
+ INDEX('Mixed costs INT'!$D$226:$BB$243, MATCH($B140, 'Mixed costs INT'!$B$226:$B$243,0), MATCH(C$128, 'Mixed costs INT'!$D$225:$BB$225,0))
+ INDEX('Arterial costs'!$D$223:$BB$240, MATCH($B140, 'Arterial costs'!$B$223:$B$240,0), MATCH(C$128, 'Arterial costs'!$D$222:$BB$222,0))</f>
        <v>1747.8563805090146</v>
      </c>
      <c r="D140" s="742">
        <f>INDEX('VLU costs INT'!$D$235:$BB$252, MATCH($B140, 'VLU costs INT'!$B$235:$B$252,0), MATCH(D$128, 'VLU costs INT'!$D$234:$BB$234,0))
+ INDEX('Mixed costs INT'!$D$226:$BB$243, MATCH($B140, 'Mixed costs INT'!$B$226:$B$243,0), MATCH(D$128, 'Mixed costs INT'!$D$225:$BB$225,0))
+ INDEX('Arterial costs'!$D$223:$BB$240, MATCH($B140, 'Arterial costs'!$B$223:$B$240,0), MATCH(D$128, 'Arterial costs'!$D$222:$BB$222,0))</f>
        <v>1841.9432869540124</v>
      </c>
      <c r="E140" s="742">
        <f>INDEX('VLU costs INT'!$D$235:$BB$252, MATCH($B140, 'VLU costs INT'!$B$235:$B$252,0), MATCH(E$128, 'VLU costs INT'!$D$234:$BB$234,0))
+ INDEX('Mixed costs INT'!$D$226:$BB$243, MATCH($B140, 'Mixed costs INT'!$B$226:$B$243,0), MATCH(E$128, 'Mixed costs INT'!$D$225:$BB$225,0))
+ INDEX('Arterial costs'!$D$223:$BB$240, MATCH($B140, 'Arterial costs'!$B$223:$B$240,0), MATCH(E$128, 'Arterial costs'!$D$222:$BB$222,0))</f>
        <v>1930.0339358617452</v>
      </c>
      <c r="F140" s="742">
        <f>INDEX('VLU costs INT'!$D$235:$BB$252, MATCH($B140, 'VLU costs INT'!$B$235:$B$252,0), MATCH(F$128, 'VLU costs INT'!$D$234:$BB$234,0))
+ INDEX('Mixed costs INT'!$D$226:$BB$243, MATCH($B140, 'Mixed costs INT'!$B$226:$B$243,0), MATCH(F$128, 'Mixed costs INT'!$D$225:$BB$225,0))
+ INDEX('Arterial costs'!$D$223:$BB$240, MATCH($B140, 'Arterial costs'!$B$223:$B$240,0), MATCH(F$128, 'Arterial costs'!$D$222:$BB$222,0))</f>
        <v>2014.6718044124727</v>
      </c>
      <c r="G140" s="742">
        <f>INDEX('VLU costs INT'!$D$235:$BB$252, MATCH($B140, 'VLU costs INT'!$B$235:$B$252,0), MATCH(G$128, 'VLU costs INT'!$D$234:$BB$234,0))
+ INDEX('Mixed costs INT'!$D$226:$BB$243, MATCH($B140, 'Mixed costs INT'!$B$226:$B$243,0), MATCH(G$128, 'Mixed costs INT'!$D$225:$BB$225,0))
+ INDEX('Arterial costs'!$D$223:$BB$240, MATCH($B140, 'Arterial costs'!$B$223:$B$240,0), MATCH(G$128, 'Arterial costs'!$D$222:$BB$222,0))</f>
        <v>14855.98354836609</v>
      </c>
      <c r="H140" s="742">
        <f>INDEX('VLU costs INT'!$D$235:$BB$252, MATCH($B140, 'VLU costs INT'!$B$235:$B$252,0), MATCH(H$128, 'VLU costs INT'!$D$234:$BB$234,0))
+ INDEX('Mixed costs INT'!$D$226:$BB$243, MATCH($B140, 'Mixed costs INT'!$B$226:$B$243,0), MATCH(H$128, 'Mixed costs INT'!$D$225:$BB$225,0))
+ INDEX('Arterial costs'!$D$223:$BB$240, MATCH($B140, 'Arterial costs'!$B$223:$B$240,0), MATCH(H$128, 'Arterial costs'!$D$222:$BB$222,0))</f>
        <v>13444.178217591269</v>
      </c>
      <c r="I140" s="742">
        <f>INDEX('VLU costs INT'!$D$235:$BB$252, MATCH($B140, 'VLU costs INT'!$B$235:$B$252,0), MATCH(I$128, 'VLU costs INT'!$D$234:$BB$234,0))
+ INDEX('Mixed costs INT'!$D$226:$BB$243, MATCH($B140, 'Mixed costs INT'!$B$226:$B$243,0), MATCH(I$128, 'Mixed costs INT'!$D$225:$BB$225,0))
+ INDEX('Arterial costs'!$D$223:$BB$240, MATCH($B140, 'Arterial costs'!$B$223:$B$240,0), MATCH(I$128, 'Arterial costs'!$D$222:$BB$222,0))</f>
        <v>12687.937181827816</v>
      </c>
      <c r="J140" s="742">
        <f>INDEX('VLU costs INT'!$D$235:$BB$252, MATCH($B140, 'VLU costs INT'!$B$235:$B$252,0), MATCH(J$128, 'VLU costs INT'!$D$234:$BB$234,0))
+ INDEX('Mixed costs INT'!$D$226:$BB$243, MATCH($B140, 'Mixed costs INT'!$B$226:$B$243,0), MATCH(J$128, 'Mixed costs INT'!$D$225:$BB$225,0))
+ INDEX('Arterial costs'!$D$223:$BB$240, MATCH($B140, 'Arterial costs'!$B$223:$B$240,0), MATCH(J$128, 'Arterial costs'!$D$222:$BB$222,0))</f>
        <v>12356.604813054173</v>
      </c>
      <c r="K140" s="742">
        <f>INDEX('VLU costs INT'!$D$235:$BB$252, MATCH($B140, 'VLU costs INT'!$B$235:$B$252,0), MATCH(K$128, 'VLU costs INT'!$D$234:$BB$234,0))
+ INDEX('Mixed costs INT'!$D$226:$BB$243, MATCH($B140, 'Mixed costs INT'!$B$226:$B$243,0), MATCH(K$128, 'Mixed costs INT'!$D$225:$BB$225,0))
+ INDEX('Arterial costs'!$D$223:$BB$240, MATCH($B140, 'Arterial costs'!$B$223:$B$240,0), MATCH(K$128, 'Arterial costs'!$D$222:$BB$222,0))</f>
        <v>12323.352718317739</v>
      </c>
      <c r="L140" s="742">
        <f>INDEX('VLU costs INT'!$D$235:$BB$252, MATCH($B140, 'VLU costs INT'!$B$235:$B$252,0), MATCH(L$128, 'VLU costs INT'!$D$234:$BB$234,0))
+ INDEX('Mixed costs INT'!$D$226:$BB$243, MATCH($B140, 'Mixed costs INT'!$B$226:$B$243,0), MATCH(L$128, 'Mixed costs INT'!$D$225:$BB$225,0))
+ INDEX('Arterial costs'!$D$223:$BB$240, MATCH($B140, 'Arterial costs'!$B$223:$B$240,0), MATCH(L$128, 'Arterial costs'!$D$222:$BB$222,0))</f>
        <v>12472.490517824159</v>
      </c>
      <c r="M140" s="742">
        <f>INDEX('VLU costs INT'!$D$235:$BB$252, MATCH($B140, 'VLU costs INT'!$B$235:$B$252,0), MATCH(M$128, 'VLU costs INT'!$D$234:$BB$234,0))
+ INDEX('Mixed costs INT'!$D$226:$BB$243, MATCH($B140, 'Mixed costs INT'!$B$226:$B$243,0), MATCH(M$128, 'Mixed costs INT'!$D$225:$BB$225,0))
+ INDEX('Arterial costs'!$D$223:$BB$240, MATCH($B140, 'Arterial costs'!$B$223:$B$240,0), MATCH(M$128, 'Arterial costs'!$D$222:$BB$222,0))</f>
        <v>12735.978578745233</v>
      </c>
      <c r="N140" s="742">
        <f>INDEX('VLU costs INT'!$D$235:$BB$252, MATCH($B140, 'VLU costs INT'!$B$235:$B$252,0), MATCH(N$128, 'VLU costs INT'!$D$234:$BB$234,0))
+ INDEX('Mixed costs INT'!$D$226:$BB$243, MATCH($B140, 'Mixed costs INT'!$B$226:$B$243,0), MATCH(N$128, 'Mixed costs INT'!$D$225:$BB$225,0))
+ INDEX('Arterial costs'!$D$223:$BB$240, MATCH($B140, 'Arterial costs'!$B$223:$B$240,0), MATCH(N$128, 'Arterial costs'!$D$222:$BB$222,0))</f>
        <v>13082.243219792292</v>
      </c>
      <c r="O140" s="742">
        <f>INDEX('VLU costs INT'!$D$235:$BB$252, MATCH($B140, 'VLU costs INT'!$B$235:$B$252,0), MATCH(O$128, 'VLU costs INT'!$D$234:$BB$234,0))
+ INDEX('Mixed costs INT'!$D$226:$BB$243, MATCH($B140, 'Mixed costs INT'!$B$226:$B$243,0), MATCH(O$128, 'Mixed costs INT'!$D$225:$BB$225,0))
+ INDEX('Arterial costs'!$D$223:$BB$240, MATCH($B140, 'Arterial costs'!$B$223:$B$240,0), MATCH(O$128, 'Arterial costs'!$D$222:$BB$222,0))</f>
        <v>13472.677506148348</v>
      </c>
      <c r="P140" s="742">
        <f>INDEX('VLU costs INT'!$D$235:$BB$252, MATCH($B140, 'VLU costs INT'!$B$235:$B$252,0), MATCH(P$128, 'VLU costs INT'!$D$234:$BB$234,0))
+ INDEX('Mixed costs INT'!$D$226:$BB$243, MATCH($B140, 'Mixed costs INT'!$B$226:$B$243,0), MATCH(P$128, 'Mixed costs INT'!$D$225:$BB$225,0))
+ INDEX('Arterial costs'!$D$223:$BB$240, MATCH($B140, 'Arterial costs'!$B$223:$B$240,0), MATCH(P$128, 'Arterial costs'!$D$222:$BB$222,0))</f>
        <v>13891.663196824948</v>
      </c>
      <c r="Q140" s="742">
        <f>INDEX('VLU costs INT'!$D$235:$BB$252, MATCH($B140, 'VLU costs INT'!$B$235:$B$252,0), MATCH(Q$128, 'VLU costs INT'!$D$234:$BB$234,0))
+ INDEX('Mixed costs INT'!$D$226:$BB$243, MATCH($B140, 'Mixed costs INT'!$B$226:$B$243,0), MATCH(Q$128, 'Mixed costs INT'!$D$225:$BB$225,0))
+ INDEX('Arterial costs'!$D$223:$BB$240, MATCH($B140, 'Arterial costs'!$B$223:$B$240,0), MATCH(Q$128, 'Arterial costs'!$D$222:$BB$222,0))</f>
        <v>14333.789412601354</v>
      </c>
      <c r="R140" s="742">
        <f>INDEX('VLU costs INT'!$D$235:$BB$252, MATCH($B140, 'VLU costs INT'!$B$235:$B$252,0), MATCH(R$128, 'VLU costs INT'!$D$234:$BB$234,0))
+ INDEX('Mixed costs INT'!$D$226:$BB$243, MATCH($B140, 'Mixed costs INT'!$B$226:$B$243,0), MATCH(R$128, 'Mixed costs INT'!$D$225:$BB$225,0))
+ INDEX('Arterial costs'!$D$223:$BB$240, MATCH($B140, 'Arterial costs'!$B$223:$B$240,0), MATCH(R$128, 'Arterial costs'!$D$222:$BB$222,0))</f>
        <v>14794.06104542062</v>
      </c>
      <c r="S140" s="742">
        <f>INDEX('VLU costs INT'!$D$235:$BB$252, MATCH($B140, 'VLU costs INT'!$B$235:$B$252,0), MATCH(S$128, 'VLU costs INT'!$D$234:$BB$234,0))
+ INDEX('Mixed costs INT'!$D$226:$BB$243, MATCH($B140, 'Mixed costs INT'!$B$226:$B$243,0), MATCH(S$128, 'Mixed costs INT'!$D$225:$BB$225,0))
+ INDEX('Arterial costs'!$D$223:$BB$240, MATCH($B140, 'Arterial costs'!$B$223:$B$240,0), MATCH(S$128, 'Arterial costs'!$D$222:$BB$222,0))</f>
        <v>15268.278569282651</v>
      </c>
      <c r="T140" s="742">
        <f>INDEX('VLU costs INT'!$D$235:$BB$252, MATCH($B140, 'VLU costs INT'!$B$235:$B$252,0), MATCH(T$128, 'VLU costs INT'!$D$234:$BB$234,0))
+ INDEX('Mixed costs INT'!$D$226:$BB$243, MATCH($B140, 'Mixed costs INT'!$B$226:$B$243,0), MATCH(T$128, 'Mixed costs INT'!$D$225:$BB$225,0))
+ INDEX('Arterial costs'!$D$223:$BB$240, MATCH($B140, 'Arterial costs'!$B$223:$B$240,0), MATCH(T$128, 'Arterial costs'!$D$222:$BB$222,0))</f>
        <v>15757.458652369192</v>
      </c>
      <c r="U140" s="742">
        <f>INDEX('VLU costs INT'!$D$235:$BB$252, MATCH($B140, 'VLU costs INT'!$B$235:$B$252,0), MATCH(U$128, 'VLU costs INT'!$D$234:$BB$234,0))
+ INDEX('Mixed costs INT'!$D$226:$BB$243, MATCH($B140, 'Mixed costs INT'!$B$226:$B$243,0), MATCH(U$128, 'Mixed costs INT'!$D$225:$BB$225,0))
+ INDEX('Arterial costs'!$D$223:$BB$240, MATCH($B140, 'Arterial costs'!$B$223:$B$240,0), MATCH(U$128, 'Arterial costs'!$D$222:$BB$222,0))</f>
        <v>16269.563512283257</v>
      </c>
      <c r="V140" s="742">
        <f>INDEX('VLU costs INT'!$D$235:$BB$252, MATCH($B140, 'VLU costs INT'!$B$235:$B$252,0), MATCH(V$128, 'VLU costs INT'!$D$234:$BB$234,0))
+ INDEX('Mixed costs INT'!$D$226:$BB$243, MATCH($B140, 'Mixed costs INT'!$B$226:$B$243,0), MATCH(V$128, 'Mixed costs INT'!$D$225:$BB$225,0))
+ INDEX('Arterial costs'!$D$223:$BB$240, MATCH($B140, 'Arterial costs'!$B$223:$B$240,0), MATCH(V$128, 'Arterial costs'!$D$222:$BB$222,0))</f>
        <v>16792.558492069209</v>
      </c>
      <c r="W140" s="742">
        <f>INDEX('VLU costs INT'!$D$235:$BB$252, MATCH($B140, 'VLU costs INT'!$B$235:$B$252,0), MATCH(W$128, 'VLU costs INT'!$D$234:$BB$234,0))
+ INDEX('Mixed costs INT'!$D$226:$BB$243, MATCH($B140, 'Mixed costs INT'!$B$226:$B$243,0), MATCH(W$128, 'Mixed costs INT'!$D$225:$BB$225,0))
+ INDEX('Arterial costs'!$D$223:$BB$240, MATCH($B140, 'Arterial costs'!$B$223:$B$240,0), MATCH(W$128, 'Arterial costs'!$D$222:$BB$222,0))</f>
        <v>17324.342815388809</v>
      </c>
      <c r="X140" s="742">
        <f>INDEX('VLU costs INT'!$D$235:$BB$252, MATCH($B140, 'VLU costs INT'!$B$235:$B$252,0), MATCH(X$128, 'VLU costs INT'!$D$234:$BB$234,0))
+ INDEX('Mixed costs INT'!$D$226:$BB$243, MATCH($B140, 'Mixed costs INT'!$B$226:$B$243,0), MATCH(X$128, 'Mixed costs INT'!$D$225:$BB$225,0))
+ INDEX('Arterial costs'!$D$223:$BB$240, MATCH($B140, 'Arterial costs'!$B$223:$B$240,0), MATCH(X$128, 'Arterial costs'!$D$222:$BB$222,0))</f>
        <v>17869.962636984579</v>
      </c>
      <c r="Y140" s="742">
        <f>INDEX('VLU costs INT'!$D$235:$BB$252, MATCH($B140, 'VLU costs INT'!$B$235:$B$252,0), MATCH(Y$128, 'VLU costs INT'!$D$234:$BB$234,0))
+ INDEX('Mixed costs INT'!$D$226:$BB$243, MATCH($B140, 'Mixed costs INT'!$B$226:$B$243,0), MATCH(Y$128, 'Mixed costs INT'!$D$225:$BB$225,0))
+ INDEX('Arterial costs'!$D$223:$BB$240, MATCH($B140, 'Arterial costs'!$B$223:$B$240,0), MATCH(Y$128, 'Arterial costs'!$D$222:$BB$222,0))</f>
        <v>18426.882496050217</v>
      </c>
      <c r="Z140" s="742">
        <f>INDEX('VLU costs INT'!$D$235:$BB$252, MATCH($B140, 'VLU costs INT'!$B$235:$B$252,0), MATCH(Z$128, 'VLU costs INT'!$D$234:$BB$234,0))
+ INDEX('Mixed costs INT'!$D$226:$BB$243, MATCH($B140, 'Mixed costs INT'!$B$226:$B$243,0), MATCH(Z$128, 'Mixed costs INT'!$D$225:$BB$225,0))
+ INDEX('Arterial costs'!$D$223:$BB$240, MATCH($B140, 'Arterial costs'!$B$223:$B$240,0), MATCH(Z$128, 'Arterial costs'!$D$222:$BB$222,0))</f>
        <v>18993.345230052288</v>
      </c>
      <c r="AA140" s="742">
        <f>INDEX('VLU costs INT'!$D$235:$BB$252, MATCH($B140, 'VLU costs INT'!$B$235:$B$252,0), MATCH(AA$128, 'VLU costs INT'!$D$234:$BB$234,0))
+ INDEX('Mixed costs INT'!$D$226:$BB$243, MATCH($B140, 'Mixed costs INT'!$B$226:$B$243,0), MATCH(AA$128, 'Mixed costs INT'!$D$225:$BB$225,0))
+ INDEX('Arterial costs'!$D$223:$BB$240, MATCH($B140, 'Arterial costs'!$B$223:$B$240,0), MATCH(AA$128, 'Arterial costs'!$D$222:$BB$222,0))</f>
        <v>19568.229987506667</v>
      </c>
      <c r="AB140" s="742">
        <f>INDEX('VLU costs INT'!$D$235:$BB$252, MATCH($B140, 'VLU costs INT'!$B$235:$B$252,0), MATCH(AB$128, 'VLU costs INT'!$D$234:$BB$234,0))
+ INDEX('Mixed costs INT'!$D$226:$BB$243, MATCH($B140, 'Mixed costs INT'!$B$226:$B$243,0), MATCH(AB$128, 'Mixed costs INT'!$D$225:$BB$225,0))
+ INDEX('Arterial costs'!$D$223:$BB$240, MATCH($B140, 'Arterial costs'!$B$223:$B$240,0), MATCH(AB$128, 'Arterial costs'!$D$222:$BB$222,0))</f>
        <v>20153.174183925181</v>
      </c>
      <c r="AC140" s="742">
        <f>INDEX('VLU costs INT'!$D$235:$BB$252, MATCH($B140, 'VLU costs INT'!$B$235:$B$252,0), MATCH(AC$128, 'VLU costs INT'!$D$234:$BB$234,0))
+ INDEX('Mixed costs INT'!$D$226:$BB$243, MATCH($B140, 'Mixed costs INT'!$B$226:$B$243,0), MATCH(AC$128, 'Mixed costs INT'!$D$225:$BB$225,0))
+ INDEX('Arterial costs'!$D$223:$BB$240, MATCH($B140, 'Arterial costs'!$B$223:$B$240,0), MATCH(AC$128, 'Arterial costs'!$D$222:$BB$222,0))</f>
        <v>20745.680131673213</v>
      </c>
      <c r="AD140" s="742">
        <f>INDEX('VLU costs INT'!$D$235:$BB$252, MATCH($B140, 'VLU costs INT'!$B$235:$B$252,0), MATCH(AD$128, 'VLU costs INT'!$D$234:$BB$234,0))
+ INDEX('Mixed costs INT'!$D$226:$BB$243, MATCH($B140, 'Mixed costs INT'!$B$226:$B$243,0), MATCH(AD$128, 'Mixed costs INT'!$D$225:$BB$225,0))
+ INDEX('Arterial costs'!$D$223:$BB$240, MATCH($B140, 'Arterial costs'!$B$223:$B$240,0), MATCH(AD$128, 'Arterial costs'!$D$222:$BB$222,0))</f>
        <v>21343.485654295091</v>
      </c>
      <c r="AE140" s="742">
        <f>INDEX('VLU costs INT'!$D$235:$BB$252, MATCH($B140, 'VLU costs INT'!$B$235:$B$252,0), MATCH(AE$128, 'VLU costs INT'!$D$234:$BB$234,0))
+ INDEX('Mixed costs INT'!$D$226:$BB$243, MATCH($B140, 'Mixed costs INT'!$B$226:$B$243,0), MATCH(AE$128, 'Mixed costs INT'!$D$225:$BB$225,0))
+ INDEX('Arterial costs'!$D$223:$BB$240, MATCH($B140, 'Arterial costs'!$B$223:$B$240,0), MATCH(AE$128, 'Arterial costs'!$D$222:$BB$222,0))</f>
        <v>21945.000369596331</v>
      </c>
      <c r="AF140" s="742">
        <f>INDEX('VLU costs INT'!$D$235:$BB$252, MATCH($B140, 'VLU costs INT'!$B$235:$B$252,0), MATCH(AF$128, 'VLU costs INT'!$D$234:$BB$234,0))
+ INDEX('Mixed costs INT'!$D$226:$BB$243, MATCH($B140, 'Mixed costs INT'!$B$226:$B$243,0), MATCH(AF$128, 'Mixed costs INT'!$D$225:$BB$225,0))
+ INDEX('Arterial costs'!$D$223:$BB$240, MATCH($B140, 'Arterial costs'!$B$223:$B$240,0), MATCH(AF$128, 'Arterial costs'!$D$222:$BB$222,0))</f>
        <v>22550.672130747385</v>
      </c>
      <c r="AG140" s="742">
        <f>INDEX('VLU costs INT'!$D$235:$BB$252, MATCH($B140, 'VLU costs INT'!$B$235:$B$252,0), MATCH(AG$128, 'VLU costs INT'!$D$234:$BB$234,0))
+ INDEX('Mixed costs INT'!$D$226:$BB$243, MATCH($B140, 'Mixed costs INT'!$B$226:$B$243,0), MATCH(AG$128, 'Mixed costs INT'!$D$225:$BB$225,0))
+ INDEX('Arterial costs'!$D$223:$BB$240, MATCH($B140, 'Arterial costs'!$B$223:$B$240,0), MATCH(AG$128, 'Arterial costs'!$D$222:$BB$222,0))</f>
        <v>23165.017309264611</v>
      </c>
      <c r="AH140" s="742">
        <f>INDEX('VLU costs INT'!$D$235:$BB$252, MATCH($B140, 'VLU costs INT'!$B$235:$B$252,0), MATCH(AH$128, 'VLU costs INT'!$D$234:$BB$234,0))
+ INDEX('Mixed costs INT'!$D$226:$BB$243, MATCH($B140, 'Mixed costs INT'!$B$226:$B$243,0), MATCH(AH$128, 'Mixed costs INT'!$D$225:$BB$225,0))
+ INDEX('Arterial costs'!$D$223:$BB$240, MATCH($B140, 'Arterial costs'!$B$223:$B$240,0), MATCH(AH$128, 'Arterial costs'!$D$222:$BB$222,0))</f>
        <v>23788.594640905336</v>
      </c>
      <c r="AI140" s="742">
        <f>INDEX('VLU costs INT'!$D$235:$BB$252, MATCH($B140, 'VLU costs INT'!$B$235:$B$252,0), MATCH(AI$128, 'VLU costs INT'!$D$234:$BB$234,0))
+ INDEX('Mixed costs INT'!$D$226:$BB$243, MATCH($B140, 'Mixed costs INT'!$B$226:$B$243,0), MATCH(AI$128, 'Mixed costs INT'!$D$225:$BB$225,0))
+ INDEX('Arterial costs'!$D$223:$BB$240, MATCH($B140, 'Arterial costs'!$B$223:$B$240,0), MATCH(AI$128, 'Arterial costs'!$D$222:$BB$222,0))</f>
        <v>24424.314752164591</v>
      </c>
      <c r="AJ140" s="742">
        <f>INDEX('VLU costs INT'!$D$235:$BB$252, MATCH($B140, 'VLU costs INT'!$B$235:$B$252,0), MATCH(AJ$128, 'VLU costs INT'!$D$234:$BB$234,0))
+ INDEX('Mixed costs INT'!$D$226:$BB$243, MATCH($B140, 'Mixed costs INT'!$B$226:$B$243,0), MATCH(AJ$128, 'Mixed costs INT'!$D$225:$BB$225,0))
+ INDEX('Arterial costs'!$D$223:$BB$240, MATCH($B140, 'Arterial costs'!$B$223:$B$240,0), MATCH(AJ$128, 'Arterial costs'!$D$222:$BB$222,0))</f>
        <v>25069.559140378467</v>
      </c>
      <c r="AK140" s="742">
        <f>INDEX('VLU costs INT'!$D$235:$BB$252, MATCH($B140, 'VLU costs INT'!$B$235:$B$252,0), MATCH(AK$128, 'VLU costs INT'!$D$234:$BB$234,0))
+ INDEX('Mixed costs INT'!$D$226:$BB$243, MATCH($B140, 'Mixed costs INT'!$B$226:$B$243,0), MATCH(AK$128, 'Mixed costs INT'!$D$225:$BB$225,0))
+ INDEX('Arterial costs'!$D$223:$BB$240, MATCH($B140, 'Arterial costs'!$B$223:$B$240,0), MATCH(AK$128, 'Arterial costs'!$D$222:$BB$222,0))</f>
        <v>25719.461819941498</v>
      </c>
      <c r="AL140" s="742">
        <f>INDEX('VLU costs INT'!$D$235:$BB$252, MATCH($B140, 'VLU costs INT'!$B$235:$B$252,0), MATCH(AL$128, 'VLU costs INT'!$D$234:$BB$234,0))
+ INDEX('Mixed costs INT'!$D$226:$BB$243, MATCH($B140, 'Mixed costs INT'!$B$226:$B$243,0), MATCH(AL$128, 'Mixed costs INT'!$D$225:$BB$225,0))
+ INDEX('Arterial costs'!$D$223:$BB$240, MATCH($B140, 'Arterial costs'!$B$223:$B$240,0), MATCH(AL$128, 'Arterial costs'!$D$222:$BB$222,0))</f>
        <v>26371.253514258522</v>
      </c>
      <c r="AM140" s="742">
        <f>INDEX('VLU costs INT'!$D$235:$BB$252, MATCH($B140, 'VLU costs INT'!$B$235:$B$252,0), MATCH(AM$128, 'VLU costs INT'!$D$234:$BB$234,0))
+ INDEX('Mixed costs INT'!$D$226:$BB$243, MATCH($B140, 'Mixed costs INT'!$B$226:$B$243,0), MATCH(AM$128, 'Mixed costs INT'!$D$225:$BB$225,0))
+ INDEX('Arterial costs'!$D$223:$BB$240, MATCH($B140, 'Arterial costs'!$B$223:$B$240,0), MATCH(AM$128, 'Arterial costs'!$D$222:$BB$222,0))</f>
        <v>27022.556252162893</v>
      </c>
      <c r="AN140" s="742">
        <f>INDEX('VLU costs INT'!$D$235:$BB$252, MATCH($B140, 'VLU costs INT'!$B$235:$B$252,0), MATCH(AN$128, 'VLU costs INT'!$D$234:$BB$234,0))
+ INDEX('Mixed costs INT'!$D$226:$BB$243, MATCH($B140, 'Mixed costs INT'!$B$226:$B$243,0), MATCH(AN$128, 'Mixed costs INT'!$D$225:$BB$225,0))
+ INDEX('Arterial costs'!$D$223:$BB$240, MATCH($B140, 'Arterial costs'!$B$223:$B$240,0), MATCH(AN$128, 'Arterial costs'!$D$222:$BB$222,0))</f>
        <v>27671.705385333589</v>
      </c>
      <c r="AO140" s="742">
        <f>INDEX('VLU costs INT'!$D$235:$BB$252, MATCH($B140, 'VLU costs INT'!$B$235:$B$252,0), MATCH(AO$128, 'VLU costs INT'!$D$234:$BB$234,0))
+ INDEX('Mixed costs INT'!$D$226:$BB$243, MATCH($B140, 'Mixed costs INT'!$B$226:$B$243,0), MATCH(AO$128, 'Mixed costs INT'!$D$225:$BB$225,0))
+ INDEX('Arterial costs'!$D$223:$BB$240, MATCH($B140, 'Arterial costs'!$B$223:$B$240,0), MATCH(AO$128, 'Arterial costs'!$D$222:$BB$222,0))</f>
        <v>28317.205588056979</v>
      </c>
      <c r="AP140" s="742">
        <f>INDEX('VLU costs INT'!$D$235:$BB$252, MATCH($B140, 'VLU costs INT'!$B$235:$B$252,0), MATCH(AP$128, 'VLU costs INT'!$D$234:$BB$234,0))
+ INDEX('Mixed costs INT'!$D$226:$BB$243, MATCH($B140, 'Mixed costs INT'!$B$226:$B$243,0), MATCH(AP$128, 'Mixed costs INT'!$D$225:$BB$225,0))
+ INDEX('Arterial costs'!$D$223:$BB$240, MATCH($B140, 'Arterial costs'!$B$223:$B$240,0), MATCH(AP$128, 'Arterial costs'!$D$222:$BB$222,0))</f>
        <v>28967.695343928597</v>
      </c>
      <c r="AQ140" s="742">
        <f>INDEX('VLU costs INT'!$D$235:$BB$252, MATCH($B140, 'VLU costs INT'!$B$235:$B$252,0), MATCH(AQ$128, 'VLU costs INT'!$D$234:$BB$234,0))
+ INDEX('Mixed costs INT'!$D$226:$BB$243, MATCH($B140, 'Mixed costs INT'!$B$226:$B$243,0), MATCH(AQ$128, 'Mixed costs INT'!$D$225:$BB$225,0))
+ INDEX('Arterial costs'!$D$223:$BB$240, MATCH($B140, 'Arterial costs'!$B$223:$B$240,0), MATCH(AQ$128, 'Arterial costs'!$D$222:$BB$222,0))</f>
        <v>29631.242847547004</v>
      </c>
      <c r="AR140" s="742">
        <f>INDEX('VLU costs INT'!$D$235:$BB$252, MATCH($B140, 'VLU costs INT'!$B$235:$B$252,0), MATCH(AR$128, 'VLU costs INT'!$D$234:$BB$234,0))
+ INDEX('Mixed costs INT'!$D$226:$BB$243, MATCH($B140, 'Mixed costs INT'!$B$226:$B$243,0), MATCH(AR$128, 'Mixed costs INT'!$D$225:$BB$225,0))
+ INDEX('Arterial costs'!$D$223:$BB$240, MATCH($B140, 'Arterial costs'!$B$223:$B$240,0), MATCH(AR$128, 'Arterial costs'!$D$222:$BB$222,0))</f>
        <v>30313.8280500978</v>
      </c>
      <c r="AS140" s="742">
        <f>INDEX('VLU costs INT'!$D$235:$BB$252, MATCH($B140, 'VLU costs INT'!$B$235:$B$252,0), MATCH(AS$128, 'VLU costs INT'!$D$234:$BB$234,0))
+ INDEX('Mixed costs INT'!$D$226:$BB$243, MATCH($B140, 'Mixed costs INT'!$B$226:$B$243,0), MATCH(AS$128, 'Mixed costs INT'!$D$225:$BB$225,0))
+ INDEX('Arterial costs'!$D$223:$BB$240, MATCH($B140, 'Arterial costs'!$B$223:$B$240,0), MATCH(AS$128, 'Arterial costs'!$D$222:$BB$222,0))</f>
        <v>30979.406661167341</v>
      </c>
      <c r="AU140" s="73" t="s">
        <v>131</v>
      </c>
      <c r="AV140" s="800">
        <f t="shared" si="22"/>
        <v>32.686767762294274</v>
      </c>
      <c r="AW140" s="800">
        <f>INDEX($N$105:$N$122, MATCH(AU140,$B$105:$B$122,0))/'Baseline Summary'!$N$15</f>
        <v>4.976943055177423</v>
      </c>
      <c r="AX140" s="73" t="s">
        <v>127</v>
      </c>
      <c r="AZ140" s="73" t="s">
        <v>3569</v>
      </c>
      <c r="BA140" s="800">
        <f t="shared" si="23"/>
        <v>160.55129337834688</v>
      </c>
      <c r="BB140" s="800">
        <f t="shared" si="24"/>
        <v>120.67515318714311</v>
      </c>
    </row>
    <row r="141" spans="2:54" s="73" customFormat="1" ht="29">
      <c r="B141" s="26" t="s">
        <v>2869</v>
      </c>
      <c r="C141" s="742">
        <f>INDEX('VLU costs INT'!$D$235:$BB$252, MATCH($B141, 'VLU costs INT'!$B$235:$B$252,0), MATCH(C$128, 'VLU costs INT'!$D$234:$BB$234,0))
+ INDEX('Mixed costs INT'!$D$226:$BB$243, MATCH($B141, 'Mixed costs INT'!$B$226:$B$243,0), MATCH(C$128, 'Mixed costs INT'!$D$225:$BB$225,0))
+ INDEX('Arterial costs'!$D$223:$BB$240, MATCH($B141, 'Arterial costs'!$B$223:$B$240,0), MATCH(C$128, 'Arterial costs'!$D$222:$BB$222,0))</f>
        <v>84361.671742460909</v>
      </c>
      <c r="D141" s="742">
        <f>INDEX('VLU costs INT'!$D$235:$BB$252, MATCH($B141, 'VLU costs INT'!$B$235:$B$252,0), MATCH(D$128, 'VLU costs INT'!$D$234:$BB$234,0))
+ INDEX('Mixed costs INT'!$D$226:$BB$243, MATCH($B141, 'Mixed costs INT'!$B$226:$B$243,0), MATCH(D$128, 'Mixed costs INT'!$D$225:$BB$225,0))
+ INDEX('Arterial costs'!$D$223:$BB$240, MATCH($B141, 'Arterial costs'!$B$223:$B$240,0), MATCH(D$128, 'Arterial costs'!$D$222:$BB$222,0))</f>
        <v>90877.920662427583</v>
      </c>
      <c r="E141" s="742">
        <f>INDEX('VLU costs INT'!$D$235:$BB$252, MATCH($B141, 'VLU costs INT'!$B$235:$B$252,0), MATCH(E$128, 'VLU costs INT'!$D$234:$BB$234,0))
+ INDEX('Mixed costs INT'!$D$226:$BB$243, MATCH($B141, 'Mixed costs INT'!$B$226:$B$243,0), MATCH(E$128, 'Mixed costs INT'!$D$225:$BB$225,0))
+ INDEX('Arterial costs'!$D$223:$BB$240, MATCH($B141, 'Arterial costs'!$B$223:$B$240,0), MATCH(E$128, 'Arterial costs'!$D$222:$BB$222,0))</f>
        <v>97322.558738278225</v>
      </c>
      <c r="F141" s="742">
        <f>INDEX('VLU costs INT'!$D$235:$BB$252, MATCH($B141, 'VLU costs INT'!$B$235:$B$252,0), MATCH(F$128, 'VLU costs INT'!$D$234:$BB$234,0))
+ INDEX('Mixed costs INT'!$D$226:$BB$243, MATCH($B141, 'Mixed costs INT'!$B$226:$B$243,0), MATCH(F$128, 'Mixed costs INT'!$D$225:$BB$225,0))
+ INDEX('Arterial costs'!$D$223:$BB$240, MATCH($B141, 'Arterial costs'!$B$223:$B$240,0), MATCH(F$128, 'Arterial costs'!$D$222:$BB$222,0))</f>
        <v>103791.34881518807</v>
      </c>
      <c r="G141" s="742">
        <f>INDEX('VLU costs INT'!$D$235:$BB$252, MATCH($B141, 'VLU costs INT'!$B$235:$B$252,0), MATCH(G$128, 'VLU costs INT'!$D$234:$BB$234,0))
+ INDEX('Mixed costs INT'!$D$226:$BB$243, MATCH($B141, 'Mixed costs INT'!$B$226:$B$243,0), MATCH(G$128, 'Mixed costs INT'!$D$225:$BB$225,0))
+ INDEX('Arterial costs'!$D$223:$BB$240, MATCH($B141, 'Arterial costs'!$B$223:$B$240,0), MATCH(G$128, 'Arterial costs'!$D$222:$BB$222,0))</f>
        <v>52242.593292753314</v>
      </c>
      <c r="H141" s="742">
        <f>INDEX('VLU costs INT'!$D$235:$BB$252, MATCH($B141, 'VLU costs INT'!$B$235:$B$252,0), MATCH(H$128, 'VLU costs INT'!$D$234:$BB$234,0))
+ INDEX('Mixed costs INT'!$D$226:$BB$243, MATCH($B141, 'Mixed costs INT'!$B$226:$B$243,0), MATCH(H$128, 'Mixed costs INT'!$D$225:$BB$225,0))
+ INDEX('Arterial costs'!$D$223:$BB$240, MATCH($B141, 'Arterial costs'!$B$223:$B$240,0), MATCH(H$128, 'Arterial costs'!$D$222:$BB$222,0))</f>
        <v>54546.029646587835</v>
      </c>
      <c r="I141" s="742">
        <f>INDEX('VLU costs INT'!$D$235:$BB$252, MATCH($B141, 'VLU costs INT'!$B$235:$B$252,0), MATCH(I$128, 'VLU costs INT'!$D$234:$BB$234,0))
+ INDEX('Mixed costs INT'!$D$226:$BB$243, MATCH($B141, 'Mixed costs INT'!$B$226:$B$243,0), MATCH(I$128, 'Mixed costs INT'!$D$225:$BB$225,0))
+ INDEX('Arterial costs'!$D$223:$BB$240, MATCH($B141, 'Arterial costs'!$B$223:$B$240,0), MATCH(I$128, 'Arterial costs'!$D$222:$BB$222,0))</f>
        <v>57684.765101368466</v>
      </c>
      <c r="J141" s="742">
        <f>INDEX('VLU costs INT'!$D$235:$BB$252, MATCH($B141, 'VLU costs INT'!$B$235:$B$252,0), MATCH(J$128, 'VLU costs INT'!$D$234:$BB$234,0))
+ INDEX('Mixed costs INT'!$D$226:$BB$243, MATCH($B141, 'Mixed costs INT'!$B$226:$B$243,0), MATCH(J$128, 'Mixed costs INT'!$D$225:$BB$225,0))
+ INDEX('Arterial costs'!$D$223:$BB$240, MATCH($B141, 'Arterial costs'!$B$223:$B$240,0), MATCH(J$128, 'Arterial costs'!$D$222:$BB$222,0))</f>
        <v>61440.953670880212</v>
      </c>
      <c r="K141" s="742">
        <f>INDEX('VLU costs INT'!$D$235:$BB$252, MATCH($B141, 'VLU costs INT'!$B$235:$B$252,0), MATCH(K$128, 'VLU costs INT'!$D$234:$BB$234,0))
+ INDEX('Mixed costs INT'!$D$226:$BB$243, MATCH($B141, 'Mixed costs INT'!$B$226:$B$243,0), MATCH(K$128, 'Mixed costs INT'!$D$225:$BB$225,0))
+ INDEX('Arterial costs'!$D$223:$BB$240, MATCH($B141, 'Arterial costs'!$B$223:$B$240,0), MATCH(K$128, 'Arterial costs'!$D$222:$BB$222,0))</f>
        <v>65720.308272856753</v>
      </c>
      <c r="L141" s="742">
        <f>INDEX('VLU costs INT'!$D$235:$BB$252, MATCH($B141, 'VLU costs INT'!$B$235:$B$252,0), MATCH(L$128, 'VLU costs INT'!$D$234:$BB$234,0))
+ INDEX('Mixed costs INT'!$D$226:$BB$243, MATCH($B141, 'Mixed costs INT'!$B$226:$B$243,0), MATCH(L$128, 'Mixed costs INT'!$D$225:$BB$225,0))
+ INDEX('Arterial costs'!$D$223:$BB$240, MATCH($B141, 'Arterial costs'!$B$223:$B$240,0), MATCH(L$128, 'Arterial costs'!$D$222:$BB$222,0))</f>
        <v>70401.839750937055</v>
      </c>
      <c r="M141" s="742">
        <f>INDEX('VLU costs INT'!$D$235:$BB$252, MATCH($B141, 'VLU costs INT'!$B$235:$B$252,0), MATCH(M$128, 'VLU costs INT'!$D$234:$BB$234,0))
+ INDEX('Mixed costs INT'!$D$226:$BB$243, MATCH($B141, 'Mixed costs INT'!$B$226:$B$243,0), MATCH(M$128, 'Mixed costs INT'!$D$225:$BB$225,0))
+ INDEX('Arterial costs'!$D$223:$BB$240, MATCH($B141, 'Arterial costs'!$B$223:$B$240,0), MATCH(M$128, 'Arterial costs'!$D$222:$BB$222,0))</f>
        <v>75416.12905426271</v>
      </c>
      <c r="N141" s="742">
        <f>INDEX('VLU costs INT'!$D$235:$BB$252, MATCH($B141, 'VLU costs INT'!$B$235:$B$252,0), MATCH(N$128, 'VLU costs INT'!$D$234:$BB$234,0))
+ INDEX('Mixed costs INT'!$D$226:$BB$243, MATCH($B141, 'Mixed costs INT'!$B$226:$B$243,0), MATCH(N$128, 'Mixed costs INT'!$D$225:$BB$225,0))
+ INDEX('Arterial costs'!$D$223:$BB$240, MATCH($B141, 'Arterial costs'!$B$223:$B$240,0), MATCH(N$128, 'Arterial costs'!$D$222:$BB$222,0))</f>
        <v>80733.132365266269</v>
      </c>
      <c r="O141" s="742">
        <f>INDEX('VLU costs INT'!$D$235:$BB$252, MATCH($B141, 'VLU costs INT'!$B$235:$B$252,0), MATCH(O$128, 'VLU costs INT'!$D$234:$BB$234,0))
+ INDEX('Mixed costs INT'!$D$226:$BB$243, MATCH($B141, 'Mixed costs INT'!$B$226:$B$243,0), MATCH(O$128, 'Mixed costs INT'!$D$225:$BB$225,0))
+ INDEX('Arterial costs'!$D$223:$BB$240, MATCH($B141, 'Arterial costs'!$B$223:$B$240,0), MATCH(O$128, 'Arterial costs'!$D$222:$BB$222,0))</f>
        <v>86315.710263576897</v>
      </c>
      <c r="P141" s="742">
        <f>INDEX('VLU costs INT'!$D$235:$BB$252, MATCH($B141, 'VLU costs INT'!$B$235:$B$252,0), MATCH(P$128, 'VLU costs INT'!$D$234:$BB$234,0))
+ INDEX('Mixed costs INT'!$D$226:$BB$243, MATCH($B141, 'Mixed costs INT'!$B$226:$B$243,0), MATCH(P$128, 'Mixed costs INT'!$D$225:$BB$225,0))
+ INDEX('Arterial costs'!$D$223:$BB$240, MATCH($B141, 'Arterial costs'!$B$223:$B$240,0), MATCH(P$128, 'Arterial costs'!$D$222:$BB$222,0))</f>
        <v>92156.551009564922</v>
      </c>
      <c r="Q141" s="742">
        <f>INDEX('VLU costs INT'!$D$235:$BB$252, MATCH($B141, 'VLU costs INT'!$B$235:$B$252,0), MATCH(Q$128, 'VLU costs INT'!$D$234:$BB$234,0))
+ INDEX('Mixed costs INT'!$D$226:$BB$243, MATCH($B141, 'Mixed costs INT'!$B$226:$B$243,0), MATCH(Q$128, 'Mixed costs INT'!$D$225:$BB$225,0))
+ INDEX('Arterial costs'!$D$223:$BB$240, MATCH($B141, 'Arterial costs'!$B$223:$B$240,0), MATCH(Q$128, 'Arterial costs'!$D$222:$BB$222,0))</f>
        <v>98261.119370758679</v>
      </c>
      <c r="R141" s="742">
        <f>INDEX('VLU costs INT'!$D$235:$BB$252, MATCH($B141, 'VLU costs INT'!$B$235:$B$252,0), MATCH(R$128, 'VLU costs INT'!$D$234:$BB$234,0))
+ INDEX('Mixed costs INT'!$D$226:$BB$243, MATCH($B141, 'Mixed costs INT'!$B$226:$B$243,0), MATCH(R$128, 'Mixed costs INT'!$D$225:$BB$225,0))
+ INDEX('Arterial costs'!$D$223:$BB$240, MATCH($B141, 'Arterial costs'!$B$223:$B$240,0), MATCH(R$128, 'Arterial costs'!$D$222:$BB$222,0))</f>
        <v>104632.16770610867</v>
      </c>
      <c r="S141" s="742">
        <f>INDEX('VLU costs INT'!$D$235:$BB$252, MATCH($B141, 'VLU costs INT'!$B$235:$B$252,0), MATCH(S$128, 'VLU costs INT'!$D$234:$BB$234,0))
+ INDEX('Mixed costs INT'!$D$226:$BB$243, MATCH($B141, 'Mixed costs INT'!$B$226:$B$243,0), MATCH(S$128, 'Mixed costs INT'!$D$225:$BB$225,0))
+ INDEX('Arterial costs'!$D$223:$BB$240, MATCH($B141, 'Arterial costs'!$B$223:$B$240,0), MATCH(S$128, 'Arterial costs'!$D$222:$BB$222,0))</f>
        <v>111268.30467842327</v>
      </c>
      <c r="T141" s="742">
        <f>INDEX('VLU costs INT'!$D$235:$BB$252, MATCH($B141, 'VLU costs INT'!$B$235:$B$252,0), MATCH(T$128, 'VLU costs INT'!$D$234:$BB$234,0))
+ INDEX('Mixed costs INT'!$D$226:$BB$243, MATCH($B141, 'Mixed costs INT'!$B$226:$B$243,0), MATCH(T$128, 'Mixed costs INT'!$D$225:$BB$225,0))
+ INDEX('Arterial costs'!$D$223:$BB$240, MATCH($B141, 'Arterial costs'!$B$223:$B$240,0), MATCH(T$128, 'Arterial costs'!$D$222:$BB$222,0))</f>
        <v>118178.07296272006</v>
      </c>
      <c r="U141" s="742">
        <f>INDEX('VLU costs INT'!$D$235:$BB$252, MATCH($B141, 'VLU costs INT'!$B$235:$B$252,0), MATCH(U$128, 'VLU costs INT'!$D$234:$BB$234,0))
+ INDEX('Mixed costs INT'!$D$226:$BB$243, MATCH($B141, 'Mixed costs INT'!$B$226:$B$243,0), MATCH(U$128, 'Mixed costs INT'!$D$225:$BB$225,0))
+ INDEX('Arterial costs'!$D$223:$BB$240, MATCH($B141, 'Arterial costs'!$B$223:$B$240,0), MATCH(U$128, 'Arterial costs'!$D$222:$BB$222,0))</f>
        <v>125388.54169990358</v>
      </c>
      <c r="V141" s="742">
        <f>INDEX('VLU costs INT'!$D$235:$BB$252, MATCH($B141, 'VLU costs INT'!$B$235:$B$252,0), MATCH(V$128, 'VLU costs INT'!$D$234:$BB$234,0))
+ INDEX('Mixed costs INT'!$D$226:$BB$243, MATCH($B141, 'Mixed costs INT'!$B$226:$B$243,0), MATCH(V$128, 'Mixed costs INT'!$D$225:$BB$225,0))
+ INDEX('Arterial costs'!$D$223:$BB$240, MATCH($B141, 'Arterial costs'!$B$223:$B$240,0), MATCH(V$128, 'Arterial costs'!$D$222:$BB$222,0))</f>
        <v>132887.94210227398</v>
      </c>
      <c r="W141" s="742">
        <f>INDEX('VLU costs INT'!$D$235:$BB$252, MATCH($B141, 'VLU costs INT'!$B$235:$B$252,0), MATCH(W$128, 'VLU costs INT'!$D$234:$BB$234,0))
+ INDEX('Mixed costs INT'!$D$226:$BB$243, MATCH($B141, 'Mixed costs INT'!$B$226:$B$243,0), MATCH(W$128, 'Mixed costs INT'!$D$225:$BB$225,0))
+ INDEX('Arterial costs'!$D$223:$BB$240, MATCH($B141, 'Arterial costs'!$B$223:$B$240,0), MATCH(W$128, 'Arterial costs'!$D$222:$BB$222,0))</f>
        <v>140679.435477983</v>
      </c>
      <c r="X141" s="742">
        <f>INDEX('VLU costs INT'!$D$235:$BB$252, MATCH($B141, 'VLU costs INT'!$B$235:$B$252,0), MATCH(X$128, 'VLU costs INT'!$D$234:$BB$234,0))
+ INDEX('Mixed costs INT'!$D$226:$BB$243, MATCH($B141, 'Mixed costs INT'!$B$226:$B$243,0), MATCH(X$128, 'Mixed costs INT'!$D$225:$BB$225,0))
+ INDEX('Arterial costs'!$D$223:$BB$240, MATCH($B141, 'Arterial costs'!$B$223:$B$240,0), MATCH(X$128, 'Arterial costs'!$D$222:$BB$222,0))</f>
        <v>148775.49885942371</v>
      </c>
      <c r="Y141" s="742">
        <f>INDEX('VLU costs INT'!$D$235:$BB$252, MATCH($B141, 'VLU costs INT'!$B$235:$B$252,0), MATCH(Y$128, 'VLU costs INT'!$D$234:$BB$234,0))
+ INDEX('Mixed costs INT'!$D$226:$BB$243, MATCH($B141, 'Mixed costs INT'!$B$226:$B$243,0), MATCH(Y$128, 'Mixed costs INT'!$D$225:$BB$225,0))
+ INDEX('Arterial costs'!$D$223:$BB$240, MATCH($B141, 'Arterial costs'!$B$223:$B$240,0), MATCH(Y$128, 'Arterial costs'!$D$222:$BB$222,0))</f>
        <v>157186.27689022777</v>
      </c>
      <c r="Z141" s="742">
        <f>INDEX('VLU costs INT'!$D$235:$BB$252, MATCH($B141, 'VLU costs INT'!$B$235:$B$252,0), MATCH(Z$128, 'VLU costs INT'!$D$234:$BB$234,0))
+ INDEX('Mixed costs INT'!$D$226:$BB$243, MATCH($B141, 'Mixed costs INT'!$B$226:$B$243,0), MATCH(Z$128, 'Mixed costs INT'!$D$225:$BB$225,0))
+ INDEX('Arterial costs'!$D$223:$BB$240, MATCH($B141, 'Arterial costs'!$B$223:$B$240,0), MATCH(Z$128, 'Arterial costs'!$D$222:$BB$222,0))</f>
        <v>165918.04728143773</v>
      </c>
      <c r="AA141" s="742">
        <f>INDEX('VLU costs INT'!$D$235:$BB$252, MATCH($B141, 'VLU costs INT'!$B$235:$B$252,0), MATCH(AA$128, 'VLU costs INT'!$D$234:$BB$234,0))
+ INDEX('Mixed costs INT'!$D$226:$BB$243, MATCH($B141, 'Mixed costs INT'!$B$226:$B$243,0), MATCH(AA$128, 'Mixed costs INT'!$D$225:$BB$225,0))
+ INDEX('Arterial costs'!$D$223:$BB$240, MATCH($B141, 'Arterial costs'!$B$223:$B$240,0), MATCH(AA$128, 'Arterial costs'!$D$222:$BB$222,0))</f>
        <v>174976.68927236259</v>
      </c>
      <c r="AB141" s="742">
        <f>INDEX('VLU costs INT'!$D$235:$BB$252, MATCH($B141, 'VLU costs INT'!$B$235:$B$252,0), MATCH(AB$128, 'VLU costs INT'!$D$234:$BB$234,0))
+ INDEX('Mixed costs INT'!$D$226:$BB$243, MATCH($B141, 'Mixed costs INT'!$B$226:$B$243,0), MATCH(AB$128, 'Mixed costs INT'!$D$225:$BB$225,0))
+ INDEX('Arterial costs'!$D$223:$BB$240, MATCH($B141, 'Arterial costs'!$B$223:$B$240,0), MATCH(AB$128, 'Arterial costs'!$D$222:$BB$222,0))</f>
        <v>184371.06931699003</v>
      </c>
      <c r="AC141" s="742">
        <f>INDEX('VLU costs INT'!$D$235:$BB$252, MATCH($B141, 'VLU costs INT'!$B$235:$B$252,0), MATCH(AC$128, 'VLU costs INT'!$D$234:$BB$234,0))
+ INDEX('Mixed costs INT'!$D$226:$BB$243, MATCH($B141, 'Mixed costs INT'!$B$226:$B$243,0), MATCH(AC$128, 'Mixed costs INT'!$D$225:$BB$225,0))
+ INDEX('Arterial costs'!$D$223:$BB$240, MATCH($B141, 'Arterial costs'!$B$223:$B$240,0), MATCH(AC$128, 'Arterial costs'!$D$222:$BB$222,0))</f>
        <v>194105.46904256655</v>
      </c>
      <c r="AD141" s="742">
        <f>INDEX('VLU costs INT'!$D$235:$BB$252, MATCH($B141, 'VLU costs INT'!$B$235:$B$252,0), MATCH(AD$128, 'VLU costs INT'!$D$234:$BB$234,0))
+ INDEX('Mixed costs INT'!$D$226:$BB$243, MATCH($B141, 'Mixed costs INT'!$B$226:$B$243,0), MATCH(AD$128, 'Mixed costs INT'!$D$225:$BB$225,0))
+ INDEX('Arterial costs'!$D$223:$BB$240, MATCH($B141, 'Arterial costs'!$B$223:$B$240,0), MATCH(AD$128, 'Arterial costs'!$D$222:$BB$222,0))</f>
        <v>204184.50042876558</v>
      </c>
      <c r="AE141" s="742">
        <f>INDEX('VLU costs INT'!$D$235:$BB$252, MATCH($B141, 'VLU costs INT'!$B$235:$B$252,0), MATCH(AE$128, 'VLU costs INT'!$D$234:$BB$234,0))
+ INDEX('Mixed costs INT'!$D$226:$BB$243, MATCH($B141, 'Mixed costs INT'!$B$226:$B$243,0), MATCH(AE$128, 'Mixed costs INT'!$D$225:$BB$225,0))
+ INDEX('Arterial costs'!$D$223:$BB$240, MATCH($B141, 'Arterial costs'!$B$223:$B$240,0), MATCH(AE$128, 'Arterial costs'!$D$222:$BB$222,0))</f>
        <v>214613.32902519061</v>
      </c>
      <c r="AF141" s="742">
        <f>INDEX('VLU costs INT'!$D$235:$BB$252, MATCH($B141, 'VLU costs INT'!$B$235:$B$252,0), MATCH(AF$128, 'VLU costs INT'!$D$234:$BB$234,0))
+ INDEX('Mixed costs INT'!$D$226:$BB$243, MATCH($B141, 'Mixed costs INT'!$B$226:$B$243,0), MATCH(AF$128, 'Mixed costs INT'!$D$225:$BB$225,0))
+ INDEX('Arterial costs'!$D$223:$BB$240, MATCH($B141, 'Arterial costs'!$B$223:$B$240,0), MATCH(AF$128, 'Arterial costs'!$D$222:$BB$222,0))</f>
        <v>225401.26232355117</v>
      </c>
      <c r="AG141" s="742">
        <f>INDEX('VLU costs INT'!$D$235:$BB$252, MATCH($B141, 'VLU costs INT'!$B$235:$B$252,0), MATCH(AG$128, 'VLU costs INT'!$D$234:$BB$234,0))
+ INDEX('Mixed costs INT'!$D$226:$BB$243, MATCH($B141, 'Mixed costs INT'!$B$226:$B$243,0), MATCH(AG$128, 'Mixed costs INT'!$D$225:$BB$225,0))
+ INDEX('Arterial costs'!$D$223:$BB$240, MATCH($B141, 'Arterial costs'!$B$223:$B$240,0), MATCH(AG$128, 'Arterial costs'!$D$222:$BB$222,0))</f>
        <v>236566.60879714531</v>
      </c>
      <c r="AH141" s="742">
        <f>INDEX('VLU costs INT'!$D$235:$BB$252, MATCH($B141, 'VLU costs INT'!$B$235:$B$252,0), MATCH(AH$128, 'VLU costs INT'!$D$234:$BB$234,0))
+ INDEX('Mixed costs INT'!$D$226:$BB$243, MATCH($B141, 'Mixed costs INT'!$B$226:$B$243,0), MATCH(AH$128, 'Mixed costs INT'!$D$225:$BB$225,0))
+ INDEX('Arterial costs'!$D$223:$BB$240, MATCH($B141, 'Arterial costs'!$B$223:$B$240,0), MATCH(AH$128, 'Arterial costs'!$D$222:$BB$222,0))</f>
        <v>248120.38812212727</v>
      </c>
      <c r="AI141" s="742">
        <f>INDEX('VLU costs INT'!$D$235:$BB$252, MATCH($B141, 'VLU costs INT'!$B$235:$B$252,0), MATCH(AI$128, 'VLU costs INT'!$D$234:$BB$234,0))
+ INDEX('Mixed costs INT'!$D$226:$BB$243, MATCH($B141, 'Mixed costs INT'!$B$226:$B$243,0), MATCH(AI$128, 'Mixed costs INT'!$D$225:$BB$225,0))
+ INDEX('Arterial costs'!$D$223:$BB$240, MATCH($B141, 'Arterial costs'!$B$223:$B$240,0), MATCH(AI$128, 'Arterial costs'!$D$222:$BB$222,0))</f>
        <v>260077.94443853648</v>
      </c>
      <c r="AJ141" s="742">
        <f>INDEX('VLU costs INT'!$D$235:$BB$252, MATCH($B141, 'VLU costs INT'!$B$235:$B$252,0), MATCH(AJ$128, 'VLU costs INT'!$D$234:$BB$234,0))
+ INDEX('Mixed costs INT'!$D$226:$BB$243, MATCH($B141, 'Mixed costs INT'!$B$226:$B$243,0), MATCH(AJ$128, 'Mixed costs INT'!$D$225:$BB$225,0))
+ INDEX('Arterial costs'!$D$223:$BB$240, MATCH($B141, 'Arterial costs'!$B$223:$B$240,0), MATCH(AJ$128, 'Arterial costs'!$D$222:$BB$222,0))</f>
        <v>272441.18417456147</v>
      </c>
      <c r="AK141" s="742">
        <f>INDEX('VLU costs INT'!$D$235:$BB$252, MATCH($B141, 'VLU costs INT'!$B$235:$B$252,0), MATCH(AK$128, 'VLU costs INT'!$D$234:$BB$234,0))
+ INDEX('Mixed costs INT'!$D$226:$BB$243, MATCH($B141, 'Mixed costs INT'!$B$226:$B$243,0), MATCH(AK$128, 'Mixed costs INT'!$D$225:$BB$225,0))
+ INDEX('Arterial costs'!$D$223:$BB$240, MATCH($B141, 'Arterial costs'!$B$223:$B$240,0), MATCH(AK$128, 'Arterial costs'!$D$222:$BB$222,0))</f>
        <v>285209.56313589576</v>
      </c>
      <c r="AL141" s="742">
        <f>INDEX('VLU costs INT'!$D$235:$BB$252, MATCH($B141, 'VLU costs INT'!$B$235:$B$252,0), MATCH(AL$128, 'VLU costs INT'!$D$234:$BB$234,0))
+ INDEX('Mixed costs INT'!$D$226:$BB$243, MATCH($B141, 'Mixed costs INT'!$B$226:$B$243,0), MATCH(AL$128, 'Mixed costs INT'!$D$225:$BB$225,0))
+ INDEX('Arterial costs'!$D$223:$BB$240, MATCH($B141, 'Arterial costs'!$B$223:$B$240,0), MATCH(AL$128, 'Arterial costs'!$D$222:$BB$222,0))</f>
        <v>298384.98550997151</v>
      </c>
      <c r="AM141" s="742">
        <f>INDEX('VLU costs INT'!$D$235:$BB$252, MATCH($B141, 'VLU costs INT'!$B$235:$B$252,0), MATCH(AM$128, 'VLU costs INT'!$D$234:$BB$234,0))
+ INDEX('Mixed costs INT'!$D$226:$BB$243, MATCH($B141, 'Mixed costs INT'!$B$226:$B$243,0), MATCH(AM$128, 'Mixed costs INT'!$D$225:$BB$225,0))
+ INDEX('Arterial costs'!$D$223:$BB$240, MATCH($B141, 'Arterial costs'!$B$223:$B$240,0), MATCH(AM$128, 'Arterial costs'!$D$222:$BB$222,0))</f>
        <v>311974.36695409421</v>
      </c>
      <c r="AN141" s="742">
        <f>INDEX('VLU costs INT'!$D$235:$BB$252, MATCH($B141, 'VLU costs INT'!$B$235:$B$252,0), MATCH(AN$128, 'VLU costs INT'!$D$234:$BB$234,0))
+ INDEX('Mixed costs INT'!$D$226:$BB$243, MATCH($B141, 'Mixed costs INT'!$B$226:$B$243,0), MATCH(AN$128, 'Mixed costs INT'!$D$225:$BB$225,0))
+ INDEX('Arterial costs'!$D$223:$BB$240, MATCH($B141, 'Arterial costs'!$B$223:$B$240,0), MATCH(AN$128, 'Arterial costs'!$D$222:$BB$222,0))</f>
        <v>325984.27034183947</v>
      </c>
      <c r="AO141" s="742">
        <f>INDEX('VLU costs INT'!$D$235:$BB$252, MATCH($B141, 'VLU costs INT'!$B$235:$B$252,0), MATCH(AO$128, 'VLU costs INT'!$D$234:$BB$234,0))
+ INDEX('Mixed costs INT'!$D$226:$BB$243, MATCH($B141, 'Mixed costs INT'!$B$226:$B$243,0), MATCH(AO$128, 'Mixed costs INT'!$D$225:$BB$225,0))
+ INDEX('Arterial costs'!$D$223:$BB$240, MATCH($B141, 'Arterial costs'!$B$223:$B$240,0), MATCH(AO$128, 'Arterial costs'!$D$222:$BB$222,0))</f>
        <v>340420.21109580726</v>
      </c>
      <c r="AP141" s="742">
        <f>INDEX('VLU costs INT'!$D$235:$BB$252, MATCH($B141, 'VLU costs INT'!$B$235:$B$252,0), MATCH(AP$128, 'VLU costs INT'!$D$234:$BB$234,0))
+ INDEX('Mixed costs INT'!$D$226:$BB$243, MATCH($B141, 'Mixed costs INT'!$B$226:$B$243,0), MATCH(AP$128, 'Mixed costs INT'!$D$225:$BB$225,0))
+ INDEX('Arterial costs'!$D$223:$BB$240, MATCH($B141, 'Arterial costs'!$B$223:$B$240,0), MATCH(AP$128, 'Arterial costs'!$D$222:$BB$222,0))</f>
        <v>355306.77398441627</v>
      </c>
      <c r="AQ141" s="742">
        <f>INDEX('VLU costs INT'!$D$235:$BB$252, MATCH($B141, 'VLU costs INT'!$B$235:$B$252,0), MATCH(AQ$128, 'VLU costs INT'!$D$234:$BB$234,0))
+ INDEX('Mixed costs INT'!$D$226:$BB$243, MATCH($B141, 'Mixed costs INT'!$B$226:$B$243,0), MATCH(AQ$128, 'Mixed costs INT'!$D$225:$BB$225,0))
+ INDEX('Arterial costs'!$D$223:$BB$240, MATCH($B141, 'Arterial costs'!$B$223:$B$240,0), MATCH(AQ$128, 'Arterial costs'!$D$222:$BB$222,0))</f>
        <v>370671.31184864865</v>
      </c>
      <c r="AR141" s="742">
        <f>INDEX('VLU costs INT'!$D$235:$BB$252, MATCH($B141, 'VLU costs INT'!$B$235:$B$252,0), MATCH(AR$128, 'VLU costs INT'!$D$234:$BB$234,0))
+ INDEX('Mixed costs INT'!$D$226:$BB$243, MATCH($B141, 'Mixed costs INT'!$B$226:$B$243,0), MATCH(AR$128, 'Mixed costs INT'!$D$225:$BB$225,0))
+ INDEX('Arterial costs'!$D$223:$BB$240, MATCH($B141, 'Arterial costs'!$B$223:$B$240,0), MATCH(AR$128, 'Arterial costs'!$D$222:$BB$222,0))</f>
        <v>386540.03059826174</v>
      </c>
      <c r="AS141" s="742">
        <f>INDEX('VLU costs INT'!$D$235:$BB$252, MATCH($B141, 'VLU costs INT'!$B$235:$B$252,0), MATCH(AS$128, 'VLU costs INT'!$D$234:$BB$234,0))
+ INDEX('Mixed costs INT'!$D$226:$BB$243, MATCH($B141, 'Mixed costs INT'!$B$226:$B$243,0), MATCH(AS$128, 'Mixed costs INT'!$D$225:$BB$225,0))
+ INDEX('Arterial costs'!$D$223:$BB$240, MATCH($B141, 'Arterial costs'!$B$223:$B$240,0), MATCH(AS$128, 'Arterial costs'!$D$222:$BB$222,0))</f>
        <v>402843.06010256644</v>
      </c>
      <c r="AU141" s="73" t="s">
        <v>2869</v>
      </c>
      <c r="AV141" s="800">
        <f t="shared" si="22"/>
        <v>201.71656374295111</v>
      </c>
      <c r="AW141" s="800">
        <f>INDEX($N$105:$N$122, MATCH(AU141,$B$105:$B$122,0))/'Baseline Summary'!$N$15</f>
        <v>297.64380193644689</v>
      </c>
      <c r="AX141" s="73" t="s">
        <v>127</v>
      </c>
      <c r="AZ141" s="73" t="s">
        <v>2862</v>
      </c>
      <c r="BA141" s="800">
        <f t="shared" si="23"/>
        <v>47.883419980114589</v>
      </c>
      <c r="BB141" s="800">
        <f t="shared" si="24"/>
        <v>46.480186505205424</v>
      </c>
    </row>
    <row r="142" spans="2:54" s="73" customFormat="1" ht="29">
      <c r="B142" s="26" t="s">
        <v>2870</v>
      </c>
      <c r="C142" s="742">
        <f>INDEX('VLU costs INT'!$D$235:$BB$252, MATCH($B142, 'VLU costs INT'!$B$235:$B$252,0), MATCH(C$128, 'VLU costs INT'!$D$234:$BB$234,0))
+ INDEX('Mixed costs INT'!$D$226:$BB$243, MATCH($B142, 'Mixed costs INT'!$B$226:$B$243,0), MATCH(C$128, 'Mixed costs INT'!$D$225:$BB$225,0))
+ INDEX('Arterial costs'!$D$223:$BB$240, MATCH($B142, 'Arterial costs'!$B$223:$B$240,0), MATCH(C$128, 'Arterial costs'!$D$222:$BB$222,0))</f>
        <v>56131.76227974311</v>
      </c>
      <c r="D142" s="742">
        <f>INDEX('VLU costs INT'!$D$235:$BB$252, MATCH($B142, 'VLU costs INT'!$B$235:$B$252,0), MATCH(D$128, 'VLU costs INT'!$D$234:$BB$234,0))
+ INDEX('Mixed costs INT'!$D$226:$BB$243, MATCH($B142, 'Mixed costs INT'!$B$226:$B$243,0), MATCH(D$128, 'Mixed costs INT'!$D$225:$BB$225,0))
+ INDEX('Arterial costs'!$D$223:$BB$240, MATCH($B142, 'Arterial costs'!$B$223:$B$240,0), MATCH(D$128, 'Arterial costs'!$D$222:$BB$222,0))</f>
        <v>59204.388246346585</v>
      </c>
      <c r="E142" s="742">
        <f>INDEX('VLU costs INT'!$D$235:$BB$252, MATCH($B142, 'VLU costs INT'!$B$235:$B$252,0), MATCH(E$128, 'VLU costs INT'!$D$234:$BB$234,0))
+ INDEX('Mixed costs INT'!$D$226:$BB$243, MATCH($B142, 'Mixed costs INT'!$B$226:$B$243,0), MATCH(E$128, 'Mixed costs INT'!$D$225:$BB$225,0))
+ INDEX('Arterial costs'!$D$223:$BB$240, MATCH($B142, 'Arterial costs'!$B$223:$B$240,0), MATCH(E$128, 'Arterial costs'!$D$222:$BB$222,0))</f>
        <v>62082.520890442269</v>
      </c>
      <c r="F142" s="742">
        <f>INDEX('VLU costs INT'!$D$235:$BB$252, MATCH($B142, 'VLU costs INT'!$B$235:$B$252,0), MATCH(F$128, 'VLU costs INT'!$D$234:$BB$234,0))
+ INDEX('Mixed costs INT'!$D$226:$BB$243, MATCH($B142, 'Mixed costs INT'!$B$226:$B$243,0), MATCH(F$128, 'Mixed costs INT'!$D$225:$BB$225,0))
+ INDEX('Arterial costs'!$D$223:$BB$240, MATCH($B142, 'Arterial costs'!$B$223:$B$240,0), MATCH(F$128, 'Arterial costs'!$D$222:$BB$222,0))</f>
        <v>64846.553703063888</v>
      </c>
      <c r="G142" s="742">
        <f>INDEX('VLU costs INT'!$D$235:$BB$252, MATCH($B142, 'VLU costs INT'!$B$235:$B$252,0), MATCH(G$128, 'VLU costs INT'!$D$234:$BB$234,0))
+ INDEX('Mixed costs INT'!$D$226:$BB$243, MATCH($B142, 'Mixed costs INT'!$B$226:$B$243,0), MATCH(G$128, 'Mixed costs INT'!$D$225:$BB$225,0))
+ INDEX('Arterial costs'!$D$223:$BB$240, MATCH($B142, 'Arterial costs'!$B$223:$B$240,0), MATCH(G$128, 'Arterial costs'!$D$222:$BB$222,0))</f>
        <v>53294.500380279678</v>
      </c>
      <c r="H142" s="742">
        <f>INDEX('VLU costs INT'!$D$235:$BB$252, MATCH($B142, 'VLU costs INT'!$B$235:$B$252,0), MATCH(H$128, 'VLU costs INT'!$D$234:$BB$234,0))
+ INDEX('Mixed costs INT'!$D$226:$BB$243, MATCH($B142, 'Mixed costs INT'!$B$226:$B$243,0), MATCH(H$128, 'Mixed costs INT'!$D$225:$BB$225,0))
+ INDEX('Arterial costs'!$D$223:$BB$240, MATCH($B142, 'Arterial costs'!$B$223:$B$240,0), MATCH(H$128, 'Arterial costs'!$D$222:$BB$222,0))</f>
        <v>49030.979537820807</v>
      </c>
      <c r="I142" s="742">
        <f>INDEX('VLU costs INT'!$D$235:$BB$252, MATCH($B142, 'VLU costs INT'!$B$235:$B$252,0), MATCH(I$128, 'VLU costs INT'!$D$234:$BB$234,0))
+ INDEX('Mixed costs INT'!$D$226:$BB$243, MATCH($B142, 'Mixed costs INT'!$B$226:$B$243,0), MATCH(I$128, 'Mixed costs INT'!$D$225:$BB$225,0))
+ INDEX('Arterial costs'!$D$223:$BB$240, MATCH($B142, 'Arterial costs'!$B$223:$B$240,0), MATCH(I$128, 'Arterial costs'!$D$222:$BB$222,0))</f>
        <v>46703.557107554851</v>
      </c>
      <c r="J142" s="742">
        <f>INDEX('VLU costs INT'!$D$235:$BB$252, MATCH($B142, 'VLU costs INT'!$B$235:$B$252,0), MATCH(J$128, 'VLU costs INT'!$D$234:$BB$234,0))
+ INDEX('Mixed costs INT'!$D$226:$BB$243, MATCH($B142, 'Mixed costs INT'!$B$226:$B$243,0), MATCH(J$128, 'Mixed costs INT'!$D$225:$BB$225,0))
+ INDEX('Arterial costs'!$D$223:$BB$240, MATCH($B142, 'Arterial costs'!$B$223:$B$240,0), MATCH(J$128, 'Arterial costs'!$D$222:$BB$222,0))</f>
        <v>45677.599292750165</v>
      </c>
      <c r="K142" s="742">
        <f>INDEX('VLU costs INT'!$D$235:$BB$252, MATCH($B142, 'VLU costs INT'!$B$235:$B$252,0), MATCH(K$128, 'VLU costs INT'!$D$234:$BB$234,0))
+ INDEX('Mixed costs INT'!$D$226:$BB$243, MATCH($B142, 'Mixed costs INT'!$B$226:$B$243,0), MATCH(K$128, 'Mixed costs INT'!$D$225:$BB$225,0))
+ INDEX('Arterial costs'!$D$223:$BB$240, MATCH($B142, 'Arterial costs'!$B$223:$B$240,0), MATCH(K$128, 'Arterial costs'!$D$222:$BB$222,0))</f>
        <v>45607.279526222526</v>
      </c>
      <c r="L142" s="742">
        <f>INDEX('VLU costs INT'!$D$235:$BB$252, MATCH($B142, 'VLU costs INT'!$B$235:$B$252,0), MATCH(L$128, 'VLU costs INT'!$D$234:$BB$234,0))
+ INDEX('Mixed costs INT'!$D$226:$BB$243, MATCH($B142, 'Mixed costs INT'!$B$226:$B$243,0), MATCH(L$128, 'Mixed costs INT'!$D$225:$BB$225,0))
+ INDEX('Arterial costs'!$D$223:$BB$240, MATCH($B142, 'Arterial costs'!$B$223:$B$240,0), MATCH(L$128, 'Arterial costs'!$D$222:$BB$222,0))</f>
        <v>46142.88068459549</v>
      </c>
      <c r="M142" s="742">
        <f>INDEX('VLU costs INT'!$D$235:$BB$252, MATCH($B142, 'VLU costs INT'!$B$235:$B$252,0), MATCH(M$128, 'VLU costs INT'!$D$234:$BB$234,0))
+ INDEX('Mixed costs INT'!$D$226:$BB$243, MATCH($B142, 'Mixed costs INT'!$B$226:$B$243,0), MATCH(M$128, 'Mixed costs INT'!$D$225:$BB$225,0))
+ INDEX('Arterial costs'!$D$223:$BB$240, MATCH($B142, 'Arterial costs'!$B$223:$B$240,0), MATCH(M$128, 'Arterial costs'!$D$222:$BB$222,0))</f>
        <v>47073.283691703415</v>
      </c>
      <c r="N142" s="742">
        <f>INDEX('VLU costs INT'!$D$235:$BB$252, MATCH($B142, 'VLU costs INT'!$B$235:$B$252,0), MATCH(N$128, 'VLU costs INT'!$D$234:$BB$234,0))
+ INDEX('Mixed costs INT'!$D$226:$BB$243, MATCH($B142, 'Mixed costs INT'!$B$226:$B$243,0), MATCH(N$128, 'Mixed costs INT'!$D$225:$BB$225,0))
+ INDEX('Arterial costs'!$D$223:$BB$240, MATCH($B142, 'Arterial costs'!$B$223:$B$240,0), MATCH(N$128, 'Arterial costs'!$D$222:$BB$222,0))</f>
        <v>48297.88359805358</v>
      </c>
      <c r="O142" s="742">
        <f>INDEX('VLU costs INT'!$D$235:$BB$252, MATCH($B142, 'VLU costs INT'!$B$235:$B$252,0), MATCH(O$128, 'VLU costs INT'!$D$234:$BB$234,0))
+ INDEX('Mixed costs INT'!$D$226:$BB$243, MATCH($B142, 'Mixed costs INT'!$B$226:$B$243,0), MATCH(O$128, 'Mixed costs INT'!$D$225:$BB$225,0))
+ INDEX('Arterial costs'!$D$223:$BB$240, MATCH($B142, 'Arterial costs'!$B$223:$B$240,0), MATCH(O$128, 'Arterial costs'!$D$222:$BB$222,0))</f>
        <v>49691.092485230714</v>
      </c>
      <c r="P142" s="742">
        <f>INDEX('VLU costs INT'!$D$235:$BB$252, MATCH($B142, 'VLU costs INT'!$B$235:$B$252,0), MATCH(P$128, 'VLU costs INT'!$D$234:$BB$234,0))
+ INDEX('Mixed costs INT'!$D$226:$BB$243, MATCH($B142, 'Mixed costs INT'!$B$226:$B$243,0), MATCH(P$128, 'Mixed costs INT'!$D$225:$BB$225,0))
+ INDEX('Arterial costs'!$D$223:$BB$240, MATCH($B142, 'Arterial costs'!$B$223:$B$240,0), MATCH(P$128, 'Arterial costs'!$D$222:$BB$222,0))</f>
        <v>51199.442781045538</v>
      </c>
      <c r="Q142" s="742">
        <f>INDEX('VLU costs INT'!$D$235:$BB$252, MATCH($B142, 'VLU costs INT'!$B$235:$B$252,0), MATCH(Q$128, 'VLU costs INT'!$D$234:$BB$234,0))
+ INDEX('Mixed costs INT'!$D$226:$BB$243, MATCH($B142, 'Mixed costs INT'!$B$226:$B$243,0), MATCH(Q$128, 'Mixed costs INT'!$D$225:$BB$225,0))
+ INDEX('Arterial costs'!$D$223:$BB$240, MATCH($B142, 'Arterial costs'!$B$223:$B$240,0), MATCH(Q$128, 'Arterial costs'!$D$222:$BB$222,0))</f>
        <v>52802.147810281676</v>
      </c>
      <c r="R142" s="742">
        <f>INDEX('VLU costs INT'!$D$235:$BB$252, MATCH($B142, 'VLU costs INT'!$B$235:$B$252,0), MATCH(R$128, 'VLU costs INT'!$D$234:$BB$234,0))
+ INDEX('Mixed costs INT'!$D$226:$BB$243, MATCH($B142, 'Mixed costs INT'!$B$226:$B$243,0), MATCH(R$128, 'Mixed costs INT'!$D$225:$BB$225,0))
+ INDEX('Arterial costs'!$D$223:$BB$240, MATCH($B142, 'Arterial costs'!$B$223:$B$240,0), MATCH(R$128, 'Arterial costs'!$D$222:$BB$222,0))</f>
        <v>54479.397531346302</v>
      </c>
      <c r="S142" s="742">
        <f>INDEX('VLU costs INT'!$D$235:$BB$252, MATCH($B142, 'VLU costs INT'!$B$235:$B$252,0), MATCH(S$128, 'VLU costs INT'!$D$234:$BB$234,0))
+ INDEX('Mixed costs INT'!$D$226:$BB$243, MATCH($B142, 'Mixed costs INT'!$B$226:$B$243,0), MATCH(S$128, 'Mixed costs INT'!$D$225:$BB$225,0))
+ INDEX('Arterial costs'!$D$223:$BB$240, MATCH($B142, 'Arterial costs'!$B$223:$B$240,0), MATCH(S$128, 'Arterial costs'!$D$222:$BB$222,0))</f>
        <v>56213.681747492476</v>
      </c>
      <c r="T142" s="742">
        <f>INDEX('VLU costs INT'!$D$235:$BB$252, MATCH($B142, 'VLU costs INT'!$B$235:$B$252,0), MATCH(T$128, 'VLU costs INT'!$D$234:$BB$234,0))
+ INDEX('Mixed costs INT'!$D$226:$BB$243, MATCH($B142, 'Mixed costs INT'!$B$226:$B$243,0), MATCH(T$128, 'Mixed costs INT'!$D$225:$BB$225,0))
+ INDEX('Arterial costs'!$D$223:$BB$240, MATCH($B142, 'Arterial costs'!$B$223:$B$240,0), MATCH(T$128, 'Arterial costs'!$D$222:$BB$222,0))</f>
        <v>58006.453383994391</v>
      </c>
      <c r="U142" s="742">
        <f>INDEX('VLU costs INT'!$D$235:$BB$252, MATCH($B142, 'VLU costs INT'!$B$235:$B$252,0), MATCH(U$128, 'VLU costs INT'!$D$234:$BB$234,0))
+ INDEX('Mixed costs INT'!$D$226:$BB$243, MATCH($B142, 'Mixed costs INT'!$B$226:$B$243,0), MATCH(U$128, 'Mixed costs INT'!$D$225:$BB$225,0))
+ INDEX('Arterial costs'!$D$223:$BB$240, MATCH($B142, 'Arterial costs'!$B$223:$B$240,0), MATCH(U$128, 'Arterial costs'!$D$222:$BB$222,0))</f>
        <v>59884.674554163896</v>
      </c>
      <c r="V142" s="742">
        <f>INDEX('VLU costs INT'!$D$235:$BB$252, MATCH($B142, 'VLU costs INT'!$B$235:$B$252,0), MATCH(V$128, 'VLU costs INT'!$D$234:$BB$234,0))
+ INDEX('Mixed costs INT'!$D$226:$BB$243, MATCH($B142, 'Mixed costs INT'!$B$226:$B$243,0), MATCH(V$128, 'Mixed costs INT'!$D$225:$BB$225,0))
+ INDEX('Arterial costs'!$D$223:$BB$240, MATCH($B142, 'Arterial costs'!$B$223:$B$240,0), MATCH(V$128, 'Arterial costs'!$D$222:$BB$222,0))</f>
        <v>61806.65394913093</v>
      </c>
      <c r="W142" s="742">
        <f>INDEX('VLU costs INT'!$D$235:$BB$252, MATCH($B142, 'VLU costs INT'!$B$235:$B$252,0), MATCH(W$128, 'VLU costs INT'!$D$234:$BB$234,0))
+ INDEX('Mixed costs INT'!$D$226:$BB$243, MATCH($B142, 'Mixed costs INT'!$B$226:$B$243,0), MATCH(W$128, 'Mixed costs INT'!$D$225:$BB$225,0))
+ INDEX('Arterial costs'!$D$223:$BB$240, MATCH($B142, 'Arterial costs'!$B$223:$B$240,0), MATCH(W$128, 'Arterial costs'!$D$222:$BB$222,0))</f>
        <v>63763.902522800199</v>
      </c>
      <c r="X142" s="742">
        <f>INDEX('VLU costs INT'!$D$235:$BB$252, MATCH($B142, 'VLU costs INT'!$B$235:$B$252,0), MATCH(X$128, 'VLU costs INT'!$D$234:$BB$234,0))
+ INDEX('Mixed costs INT'!$D$226:$BB$243, MATCH($B142, 'Mixed costs INT'!$B$226:$B$243,0), MATCH(X$128, 'Mixed costs INT'!$D$225:$BB$225,0))
+ INDEX('Arterial costs'!$D$223:$BB$240, MATCH($B142, 'Arterial costs'!$B$223:$B$240,0), MATCH(X$128, 'Arterial costs'!$D$222:$BB$222,0))</f>
        <v>65772.112284983828</v>
      </c>
      <c r="Y142" s="742">
        <f>INDEX('VLU costs INT'!$D$235:$BB$252, MATCH($B142, 'VLU costs INT'!$B$235:$B$252,0), MATCH(Y$128, 'VLU costs INT'!$D$234:$BB$234,0))
+ INDEX('Mixed costs INT'!$D$226:$BB$243, MATCH($B142, 'Mixed costs INT'!$B$226:$B$243,0), MATCH(Y$128, 'Mixed costs INT'!$D$225:$BB$225,0))
+ INDEX('Arterial costs'!$D$223:$BB$240, MATCH($B142, 'Arterial costs'!$B$223:$B$240,0), MATCH(Y$128, 'Arterial costs'!$D$222:$BB$222,0))</f>
        <v>67823.884666092417</v>
      </c>
      <c r="Z142" s="742">
        <f>INDEX('VLU costs INT'!$D$235:$BB$252, MATCH($B142, 'VLU costs INT'!$B$235:$B$252,0), MATCH(Z$128, 'VLU costs INT'!$D$234:$BB$234,0))
+ INDEX('Mixed costs INT'!$D$226:$BB$243, MATCH($B142, 'Mixed costs INT'!$B$226:$B$243,0), MATCH(Z$128, 'Mixed costs INT'!$D$225:$BB$225,0))
+ INDEX('Arterial costs'!$D$223:$BB$240, MATCH($B142, 'Arterial costs'!$B$223:$B$240,0), MATCH(Z$128, 'Arterial costs'!$D$222:$BB$222,0))</f>
        <v>69912.71056211731</v>
      </c>
      <c r="AA142" s="742">
        <f>INDEX('VLU costs INT'!$D$235:$BB$252, MATCH($B142, 'VLU costs INT'!$B$235:$B$252,0), MATCH(AA$128, 'VLU costs INT'!$D$234:$BB$234,0))
+ INDEX('Mixed costs INT'!$D$226:$BB$243, MATCH($B142, 'Mixed costs INT'!$B$226:$B$243,0), MATCH(AA$128, 'Mixed costs INT'!$D$225:$BB$225,0))
+ INDEX('Arterial costs'!$D$223:$BB$240, MATCH($B142, 'Arterial costs'!$B$223:$B$240,0), MATCH(AA$128, 'Arterial costs'!$D$222:$BB$222,0))</f>
        <v>72034.032869697578</v>
      </c>
      <c r="AB142" s="742">
        <f>INDEX('VLU costs INT'!$D$235:$BB$252, MATCH($B142, 'VLU costs INT'!$B$235:$B$252,0), MATCH(AB$128, 'VLU costs INT'!$D$234:$BB$234,0))
+ INDEX('Mixed costs INT'!$D$226:$BB$243, MATCH($B142, 'Mixed costs INT'!$B$226:$B$243,0), MATCH(AB$128, 'Mixed costs INT'!$D$225:$BB$225,0))
+ INDEX('Arterial costs'!$D$223:$BB$240, MATCH($B142, 'Arterial costs'!$B$223:$B$240,0), MATCH(AB$128, 'Arterial costs'!$D$222:$BB$222,0))</f>
        <v>74192.592522054416</v>
      </c>
      <c r="AC142" s="742">
        <f>INDEX('VLU costs INT'!$D$235:$BB$252, MATCH($B142, 'VLU costs INT'!$B$235:$B$252,0), MATCH(AC$128, 'VLU costs INT'!$D$234:$BB$234,0))
+ INDEX('Mixed costs INT'!$D$226:$BB$243, MATCH($B142, 'Mixed costs INT'!$B$226:$B$243,0), MATCH(AC$128, 'Mixed costs INT'!$D$225:$BB$225,0))
+ INDEX('Arterial costs'!$D$223:$BB$240, MATCH($B142, 'Arterial costs'!$B$223:$B$240,0), MATCH(AC$128, 'Arterial costs'!$D$222:$BB$222,0))</f>
        <v>76379.934925479567</v>
      </c>
      <c r="AD142" s="742">
        <f>INDEX('VLU costs INT'!$D$235:$BB$252, MATCH($B142, 'VLU costs INT'!$B$235:$B$252,0), MATCH(AD$128, 'VLU costs INT'!$D$234:$BB$234,0))
+ INDEX('Mixed costs INT'!$D$226:$BB$243, MATCH($B142, 'Mixed costs INT'!$B$226:$B$243,0), MATCH(AD$128, 'Mixed costs INT'!$D$225:$BB$225,0))
+ INDEX('Arterial costs'!$D$223:$BB$240, MATCH($B142, 'Arterial costs'!$B$223:$B$240,0), MATCH(AD$128, 'Arterial costs'!$D$222:$BB$222,0))</f>
        <v>78588.228671972931</v>
      </c>
      <c r="AE142" s="742">
        <f>INDEX('VLU costs INT'!$D$235:$BB$252, MATCH($B142, 'VLU costs INT'!$B$235:$B$252,0), MATCH(AE$128, 'VLU costs INT'!$D$234:$BB$234,0))
+ INDEX('Mixed costs INT'!$D$226:$BB$243, MATCH($B142, 'Mixed costs INT'!$B$226:$B$243,0), MATCH(AE$128, 'Mixed costs INT'!$D$225:$BB$225,0))
+ INDEX('Arterial costs'!$D$223:$BB$240, MATCH($B142, 'Arterial costs'!$B$223:$B$240,0), MATCH(AE$128, 'Arterial costs'!$D$222:$BB$222,0))</f>
        <v>80811.70413395646</v>
      </c>
      <c r="AF142" s="742">
        <f>INDEX('VLU costs INT'!$D$235:$BB$252, MATCH($B142, 'VLU costs INT'!$B$235:$B$252,0), MATCH(AF$128, 'VLU costs INT'!$D$234:$BB$234,0))
+ INDEX('Mixed costs INT'!$D$226:$BB$243, MATCH($B142, 'Mixed costs INT'!$B$226:$B$243,0), MATCH(AF$128, 'Mixed costs INT'!$D$225:$BB$225,0))
+ INDEX('Arterial costs'!$D$223:$BB$240, MATCH($B142, 'Arterial costs'!$B$223:$B$240,0), MATCH(AF$128, 'Arterial costs'!$D$222:$BB$222,0))</f>
        <v>83051.621188730147</v>
      </c>
      <c r="AG142" s="742">
        <f>INDEX('VLU costs INT'!$D$235:$BB$252, MATCH($B142, 'VLU costs INT'!$B$235:$B$252,0), MATCH(AG$128, 'VLU costs INT'!$D$234:$BB$234,0))
+ INDEX('Mixed costs INT'!$D$226:$BB$243, MATCH($B142, 'Mixed costs INT'!$B$226:$B$243,0), MATCH(AG$128, 'Mixed costs INT'!$D$225:$BB$225,0))
+ INDEX('Arterial costs'!$D$223:$BB$240, MATCH($B142, 'Arterial costs'!$B$223:$B$240,0), MATCH(AG$128, 'Arterial costs'!$D$222:$BB$222,0))</f>
        <v>85323.42528398009</v>
      </c>
      <c r="AH142" s="742">
        <f>INDEX('VLU costs INT'!$D$235:$BB$252, MATCH($B142, 'VLU costs INT'!$B$235:$B$252,0), MATCH(AH$128, 'VLU costs INT'!$D$234:$BB$234,0))
+ INDEX('Mixed costs INT'!$D$226:$BB$243, MATCH($B142, 'Mixed costs INT'!$B$226:$B$243,0), MATCH(AH$128, 'Mixed costs INT'!$D$225:$BB$225,0))
+ INDEX('Arterial costs'!$D$223:$BB$240, MATCH($B142, 'Arterial costs'!$B$223:$B$240,0), MATCH(AH$128, 'Arterial costs'!$D$222:$BB$222,0))</f>
        <v>87629.057968511726</v>
      </c>
      <c r="AI142" s="742">
        <f>INDEX('VLU costs INT'!$D$235:$BB$252, MATCH($B142, 'VLU costs INT'!$B$235:$B$252,0), MATCH(AI$128, 'VLU costs INT'!$D$234:$BB$234,0))
+ INDEX('Mixed costs INT'!$D$226:$BB$243, MATCH($B142, 'Mixed costs INT'!$B$226:$B$243,0), MATCH(AI$128, 'Mixed costs INT'!$D$225:$BB$225,0))
+ INDEX('Arterial costs'!$D$223:$BB$240, MATCH($B142, 'Arterial costs'!$B$223:$B$240,0), MATCH(AI$128, 'Arterial costs'!$D$222:$BB$222,0))</f>
        <v>89978.486735930637</v>
      </c>
      <c r="AJ142" s="742">
        <f>INDEX('VLU costs INT'!$D$235:$BB$252, MATCH($B142, 'VLU costs INT'!$B$235:$B$252,0), MATCH(AJ$128, 'VLU costs INT'!$D$234:$BB$234,0))
+ INDEX('Mixed costs INT'!$D$226:$BB$243, MATCH($B142, 'Mixed costs INT'!$B$226:$B$243,0), MATCH(AJ$128, 'Mixed costs INT'!$D$225:$BB$225,0))
+ INDEX('Arterial costs'!$D$223:$BB$240, MATCH($B142, 'Arterial costs'!$B$223:$B$240,0), MATCH(AJ$128, 'Arterial costs'!$D$222:$BB$222,0))</f>
        <v>92362.332035205793</v>
      </c>
      <c r="AK142" s="742">
        <f>INDEX('VLU costs INT'!$D$235:$BB$252, MATCH($B142, 'VLU costs INT'!$B$235:$B$252,0), MATCH(AK$128, 'VLU costs INT'!$D$234:$BB$234,0))
+ INDEX('Mixed costs INT'!$D$226:$BB$243, MATCH($B142, 'Mixed costs INT'!$B$226:$B$243,0), MATCH(AK$128, 'Mixed costs INT'!$D$225:$BB$225,0))
+ INDEX('Arterial costs'!$D$223:$BB$240, MATCH($B142, 'Arterial costs'!$B$223:$B$240,0), MATCH(AK$128, 'Arterial costs'!$D$222:$BB$222,0))</f>
        <v>94764.053531989848</v>
      </c>
      <c r="AL142" s="742">
        <f>INDEX('VLU costs INT'!$D$235:$BB$252, MATCH($B142, 'VLU costs INT'!$B$235:$B$252,0), MATCH(AL$128, 'VLU costs INT'!$D$234:$BB$234,0))
+ INDEX('Mixed costs INT'!$D$226:$BB$243, MATCH($B142, 'Mixed costs INT'!$B$226:$B$243,0), MATCH(AL$128, 'Mixed costs INT'!$D$225:$BB$225,0))
+ INDEX('Arterial costs'!$D$223:$BB$240, MATCH($B142, 'Arterial costs'!$B$223:$B$240,0), MATCH(AL$128, 'Arterial costs'!$D$222:$BB$222,0))</f>
        <v>97173.880352166554</v>
      </c>
      <c r="AM142" s="742">
        <f>INDEX('VLU costs INT'!$D$235:$BB$252, MATCH($B142, 'VLU costs INT'!$B$235:$B$252,0), MATCH(AM$128, 'VLU costs INT'!$D$234:$BB$234,0))
+ INDEX('Mixed costs INT'!$D$226:$BB$243, MATCH($B142, 'Mixed costs INT'!$B$226:$B$243,0), MATCH(AM$128, 'Mixed costs INT'!$D$225:$BB$225,0))
+ INDEX('Arterial costs'!$D$223:$BB$240, MATCH($B142, 'Arterial costs'!$B$223:$B$240,0), MATCH(AM$128, 'Arterial costs'!$D$222:$BB$222,0))</f>
        <v>99584.093392978772</v>
      </c>
      <c r="AN142" s="742">
        <f>INDEX('VLU costs INT'!$D$235:$BB$252, MATCH($B142, 'VLU costs INT'!$B$235:$B$252,0), MATCH(AN$128, 'VLU costs INT'!$D$234:$BB$234,0))
+ INDEX('Mixed costs INT'!$D$226:$BB$243, MATCH($B142, 'Mixed costs INT'!$B$226:$B$243,0), MATCH(AN$128, 'Mixed costs INT'!$D$225:$BB$225,0))
+ INDEX('Arterial costs'!$D$223:$BB$240, MATCH($B142, 'Arterial costs'!$B$223:$B$240,0), MATCH(AN$128, 'Arterial costs'!$D$222:$BB$222,0))</f>
        <v>101988.66596380938</v>
      </c>
      <c r="AO142" s="742">
        <f>INDEX('VLU costs INT'!$D$235:$BB$252, MATCH($B142, 'VLU costs INT'!$B$235:$B$252,0), MATCH(AO$128, 'VLU costs INT'!$D$234:$BB$234,0))
+ INDEX('Mixed costs INT'!$D$226:$BB$243, MATCH($B142, 'Mixed costs INT'!$B$226:$B$243,0), MATCH(AO$128, 'Mixed costs INT'!$D$225:$BB$225,0))
+ INDEX('Arterial costs'!$D$223:$BB$240, MATCH($B142, 'Arterial costs'!$B$223:$B$240,0), MATCH(AO$128, 'Arterial costs'!$D$222:$BB$222,0))</f>
        <v>104381.82264466985</v>
      </c>
      <c r="AP142" s="742">
        <f>INDEX('VLU costs INT'!$D$235:$BB$252, MATCH($B142, 'VLU costs INT'!$B$235:$B$252,0), MATCH(AP$128, 'VLU costs INT'!$D$234:$BB$234,0))
+ INDEX('Mixed costs INT'!$D$226:$BB$243, MATCH($B142, 'Mixed costs INT'!$B$226:$B$243,0), MATCH(AP$128, 'Mixed costs INT'!$D$225:$BB$225,0))
+ INDEX('Arterial costs'!$D$223:$BB$240, MATCH($B142, 'Arterial costs'!$B$223:$B$240,0), MATCH(AP$128, 'Arterial costs'!$D$222:$BB$222,0))</f>
        <v>106792.60954730533</v>
      </c>
      <c r="AQ142" s="742">
        <f>INDEX('VLU costs INT'!$D$235:$BB$252, MATCH($B142, 'VLU costs INT'!$B$235:$B$252,0), MATCH(AQ$128, 'VLU costs INT'!$D$234:$BB$234,0))
+ INDEX('Mixed costs INT'!$D$226:$BB$243, MATCH($B142, 'Mixed costs INT'!$B$226:$B$243,0), MATCH(AQ$128, 'Mixed costs INT'!$D$225:$BB$225,0))
+ INDEX('Arterial costs'!$D$223:$BB$240, MATCH($B142, 'Arterial costs'!$B$223:$B$240,0), MATCH(AQ$128, 'Arterial costs'!$D$222:$BB$222,0))</f>
        <v>109249.14040760421</v>
      </c>
      <c r="AR142" s="742">
        <f>INDEX('VLU costs INT'!$D$235:$BB$252, MATCH($B142, 'VLU costs INT'!$B$235:$B$252,0), MATCH(AR$128, 'VLU costs INT'!$D$234:$BB$234,0))
+ INDEX('Mixed costs INT'!$D$226:$BB$243, MATCH($B142, 'Mixed costs INT'!$B$226:$B$243,0), MATCH(AR$128, 'Mixed costs INT'!$D$225:$BB$225,0))
+ INDEX('Arterial costs'!$D$223:$BB$240, MATCH($B142, 'Arterial costs'!$B$223:$B$240,0), MATCH(AR$128, 'Arterial costs'!$D$222:$BB$222,0))</f>
        <v>111772.83536174792</v>
      </c>
      <c r="AS142" s="742">
        <f>INDEX('VLU costs INT'!$D$235:$BB$252, MATCH($B142, 'VLU costs INT'!$B$235:$B$252,0), MATCH(AS$128, 'VLU costs INT'!$D$234:$BB$234,0))
+ INDEX('Mixed costs INT'!$D$226:$BB$243, MATCH($B142, 'Mixed costs INT'!$B$226:$B$243,0), MATCH(AS$128, 'Mixed costs INT'!$D$225:$BB$225,0))
+ INDEX('Arterial costs'!$D$223:$BB$240, MATCH($B142, 'Arterial costs'!$B$223:$B$240,0), MATCH(AS$128, 'Arterial costs'!$D$222:$BB$222,0))</f>
        <v>114238.16963600951</v>
      </c>
      <c r="AU142" s="73" t="s">
        <v>2870</v>
      </c>
      <c r="AV142" s="800">
        <f t="shared" si="22"/>
        <v>120.67515318714311</v>
      </c>
      <c r="AW142" s="800">
        <f>INDEX($N$105:$N$122, MATCH(AU142,$B$105:$B$122,0))/'Baseline Summary'!$N$15</f>
        <v>160.55129337834688</v>
      </c>
      <c r="AX142" s="73" t="s">
        <v>3569</v>
      </c>
      <c r="AZ142" s="73" t="s">
        <v>2863</v>
      </c>
      <c r="BA142" s="800">
        <f t="shared" si="23"/>
        <v>36.901279383957302</v>
      </c>
      <c r="BB142" s="800">
        <f t="shared" si="24"/>
        <v>35.819879798880706</v>
      </c>
    </row>
    <row r="143" spans="2:54">
      <c r="B143" s="6" t="s">
        <v>102</v>
      </c>
      <c r="C143" s="742">
        <f>INDEX('VLU costs INT'!$D$235:$BB$252, MATCH($B143, 'VLU costs INT'!$B$235:$B$252,0), MATCH(C$128, 'VLU costs INT'!$D$234:$BB$234,0))
+ INDEX('Mixed costs INT'!$D$226:$BB$243, MATCH($B143, 'Mixed costs INT'!$B$226:$B$243,0), MATCH(C$128, 'Mixed costs INT'!$D$225:$BB$225,0))
+ INDEX('Arterial costs'!$D$223:$BB$240, MATCH($B143, 'Arterial costs'!$B$223:$B$240,0), MATCH(C$128, 'Arterial costs'!$D$222:$BB$222,0))</f>
        <v>2696.1643307111453</v>
      </c>
      <c r="D143" s="742">
        <f>INDEX('VLU costs INT'!$D$235:$BB$252, MATCH($B143, 'VLU costs INT'!$B$235:$B$252,0), MATCH(D$128, 'VLU costs INT'!$D$234:$BB$234,0))
+ INDEX('Mixed costs INT'!$D$226:$BB$243, MATCH($B143, 'Mixed costs INT'!$B$226:$B$243,0), MATCH(D$128, 'Mixed costs INT'!$D$225:$BB$225,0))
+ INDEX('Arterial costs'!$D$223:$BB$240, MATCH($B143, 'Arterial costs'!$B$223:$B$240,0), MATCH(D$128, 'Arterial costs'!$D$222:$BB$222,0))</f>
        <v>3445.6916018709667</v>
      </c>
      <c r="E143" s="742">
        <f>INDEX('VLU costs INT'!$D$235:$BB$252, MATCH($B143, 'VLU costs INT'!$B$235:$B$252,0), MATCH(E$128, 'VLU costs INT'!$D$234:$BB$234,0))
+ INDEX('Mixed costs INT'!$D$226:$BB$243, MATCH($B143, 'Mixed costs INT'!$B$226:$B$243,0), MATCH(E$128, 'Mixed costs INT'!$D$225:$BB$225,0))
+ INDEX('Arterial costs'!$D$223:$BB$240, MATCH($B143, 'Arterial costs'!$B$223:$B$240,0), MATCH(E$128, 'Arterial costs'!$D$222:$BB$222,0))</f>
        <v>4230.5299818038357</v>
      </c>
      <c r="F143" s="742">
        <f>INDEX('VLU costs INT'!$D$235:$BB$252, MATCH($B143, 'VLU costs INT'!$B$235:$B$252,0), MATCH(F$128, 'VLU costs INT'!$D$234:$BB$234,0))
+ INDEX('Mixed costs INT'!$D$226:$BB$243, MATCH($B143, 'Mixed costs INT'!$B$226:$B$243,0), MATCH(F$128, 'Mixed costs INT'!$D$225:$BB$225,0))
+ INDEX('Arterial costs'!$D$223:$BB$240, MATCH($B143, 'Arterial costs'!$B$223:$B$240,0), MATCH(F$128, 'Arterial costs'!$D$222:$BB$222,0))</f>
        <v>5053.351991734944</v>
      </c>
      <c r="G143" s="742">
        <f>INDEX('VLU costs INT'!$D$235:$BB$252, MATCH($B143, 'VLU costs INT'!$B$235:$B$252,0), MATCH(G$128, 'VLU costs INT'!$D$234:$BB$234,0))
+ INDEX('Mixed costs INT'!$D$226:$BB$243, MATCH($B143, 'Mixed costs INT'!$B$226:$B$243,0), MATCH(G$128, 'Mixed costs INT'!$D$225:$BB$225,0))
+ INDEX('Arterial costs'!$D$223:$BB$240, MATCH($B143, 'Arterial costs'!$B$223:$B$240,0), MATCH(G$128, 'Arterial costs'!$D$222:$BB$222,0))</f>
        <v>28044.192043945353</v>
      </c>
      <c r="H143" s="742">
        <f>INDEX('VLU costs INT'!$D$235:$BB$252, MATCH($B143, 'VLU costs INT'!$B$235:$B$252,0), MATCH(H$128, 'VLU costs INT'!$D$234:$BB$234,0))
+ INDEX('Mixed costs INT'!$D$226:$BB$243, MATCH($B143, 'Mixed costs INT'!$B$226:$B$243,0), MATCH(H$128, 'Mixed costs INT'!$D$225:$BB$225,0))
+ INDEX('Arterial costs'!$D$223:$BB$240, MATCH($B143, 'Arterial costs'!$B$223:$B$240,0), MATCH(H$128, 'Arterial costs'!$D$222:$BB$222,0))</f>
        <v>40299.757729501995</v>
      </c>
      <c r="I143" s="742">
        <f>INDEX('VLU costs INT'!$D$235:$BB$252, MATCH($B143, 'VLU costs INT'!$B$235:$B$252,0), MATCH(I$128, 'VLU costs INT'!$D$234:$BB$234,0))
+ INDEX('Mixed costs INT'!$D$226:$BB$243, MATCH($B143, 'Mixed costs INT'!$B$226:$B$243,0), MATCH(I$128, 'Mixed costs INT'!$D$225:$BB$225,0))
+ INDEX('Arterial costs'!$D$223:$BB$240, MATCH($B143, 'Arterial costs'!$B$223:$B$240,0), MATCH(I$128, 'Arterial costs'!$D$222:$BB$222,0))</f>
        <v>52689.138959543925</v>
      </c>
      <c r="J143" s="742">
        <f>INDEX('VLU costs INT'!$D$235:$BB$252, MATCH($B143, 'VLU costs INT'!$B$235:$B$252,0), MATCH(J$128, 'VLU costs INT'!$D$234:$BB$234,0))
+ INDEX('Mixed costs INT'!$D$226:$BB$243, MATCH($B143, 'Mixed costs INT'!$B$226:$B$243,0), MATCH(J$128, 'Mixed costs INT'!$D$225:$BB$225,0))
+ INDEX('Arterial costs'!$D$223:$BB$240, MATCH($B143, 'Arterial costs'!$B$223:$B$240,0), MATCH(J$128, 'Arterial costs'!$D$222:$BB$222,0))</f>
        <v>65379.134056962503</v>
      </c>
      <c r="K143" s="742">
        <f>INDEX('VLU costs INT'!$D$235:$BB$252, MATCH($B143, 'VLU costs INT'!$B$235:$B$252,0), MATCH(K$128, 'VLU costs INT'!$D$234:$BB$234,0))
+ INDEX('Mixed costs INT'!$D$226:$BB$243, MATCH($B143, 'Mixed costs INT'!$B$226:$B$243,0), MATCH(K$128, 'Mixed costs INT'!$D$225:$BB$225,0))
+ INDEX('Arterial costs'!$D$223:$BB$240, MATCH($B143, 'Arterial costs'!$B$223:$B$240,0), MATCH(K$128, 'Arterial costs'!$D$222:$BB$222,0))</f>
        <v>78528.060892031892</v>
      </c>
      <c r="L143" s="742">
        <f>INDEX('VLU costs INT'!$D$235:$BB$252, MATCH($B143, 'VLU costs INT'!$B$235:$B$252,0), MATCH(L$128, 'VLU costs INT'!$D$234:$BB$234,0))
+ INDEX('Mixed costs INT'!$D$226:$BB$243, MATCH($B143, 'Mixed costs INT'!$B$226:$B$243,0), MATCH(L$128, 'Mixed costs INT'!$D$225:$BB$225,0))
+ INDEX('Arterial costs'!$D$223:$BB$240, MATCH($B143, 'Arterial costs'!$B$223:$B$240,0), MATCH(L$128, 'Arterial costs'!$D$222:$BB$222,0))</f>
        <v>92213.031095568498</v>
      </c>
      <c r="M143" s="742">
        <f>INDEX('VLU costs INT'!$D$235:$BB$252, MATCH($B143, 'VLU costs INT'!$B$235:$B$252,0), MATCH(M$128, 'VLU costs INT'!$D$234:$BB$234,0))
+ INDEX('Mixed costs INT'!$D$226:$BB$243, MATCH($B143, 'Mixed costs INT'!$B$226:$B$243,0), MATCH(M$128, 'Mixed costs INT'!$D$225:$BB$225,0))
+ INDEX('Arterial costs'!$D$223:$BB$240, MATCH($B143, 'Arterial costs'!$B$223:$B$240,0), MATCH(M$128, 'Arterial costs'!$D$222:$BB$222,0))</f>
        <v>106494.16136413859</v>
      </c>
      <c r="N143" s="742">
        <f>INDEX('VLU costs INT'!$D$235:$BB$252, MATCH($B143, 'VLU costs INT'!$B$235:$B$252,0), MATCH(N$128, 'VLU costs INT'!$D$234:$BB$234,0))
+ INDEX('Mixed costs INT'!$D$226:$BB$243, MATCH($B143, 'Mixed costs INT'!$B$226:$B$243,0), MATCH(N$128, 'Mixed costs INT'!$D$225:$BB$225,0))
+ INDEX('Arterial costs'!$D$223:$BB$240, MATCH($B143, 'Arterial costs'!$B$223:$B$240,0), MATCH(N$128, 'Arterial costs'!$D$222:$BB$222,0))</f>
        <v>120705.86915355535</v>
      </c>
      <c r="O143" s="742">
        <f>INDEX('VLU costs INT'!$D$235:$BB$252, MATCH($B143, 'VLU costs INT'!$B$235:$B$252,0), MATCH(O$128, 'VLU costs INT'!$D$234:$BB$234,0))
+ INDEX('Mixed costs INT'!$D$226:$BB$243, MATCH($B143, 'Mixed costs INT'!$B$226:$B$243,0), MATCH(O$128, 'Mixed costs INT'!$D$225:$BB$225,0))
+ INDEX('Arterial costs'!$D$223:$BB$240, MATCH($B143, 'Arterial costs'!$B$223:$B$240,0), MATCH(O$128, 'Arterial costs'!$D$222:$BB$222,0))</f>
        <v>135549.02083586113</v>
      </c>
      <c r="P143" s="742">
        <f>INDEX('VLU costs INT'!$D$235:$BB$252, MATCH($B143, 'VLU costs INT'!$B$235:$B$252,0), MATCH(P$128, 'VLU costs INT'!$D$234:$BB$234,0))
+ INDEX('Mixed costs INT'!$D$226:$BB$243, MATCH($B143, 'Mixed costs INT'!$B$226:$B$243,0), MATCH(P$128, 'Mixed costs INT'!$D$225:$BB$225,0))
+ INDEX('Arterial costs'!$D$223:$BB$240, MATCH($B143, 'Arterial costs'!$B$223:$B$240,0), MATCH(P$128, 'Arterial costs'!$D$222:$BB$222,0))</f>
        <v>151055.28297580319</v>
      </c>
      <c r="Q143" s="742">
        <f>INDEX('VLU costs INT'!$D$235:$BB$252, MATCH($B143, 'VLU costs INT'!$B$235:$B$252,0), MATCH(Q$128, 'VLU costs INT'!$D$234:$BB$234,0))
+ INDEX('Mixed costs INT'!$D$226:$BB$243, MATCH($B143, 'Mixed costs INT'!$B$226:$B$243,0), MATCH(Q$128, 'Mixed costs INT'!$D$225:$BB$225,0))
+ INDEX('Arterial costs'!$D$223:$BB$240, MATCH($B143, 'Arterial costs'!$B$223:$B$240,0), MATCH(Q$128, 'Arterial costs'!$D$222:$BB$222,0))</f>
        <v>167258.75575321965</v>
      </c>
      <c r="R143" s="742">
        <f>INDEX('VLU costs INT'!$D$235:$BB$252, MATCH($B143, 'VLU costs INT'!$B$235:$B$252,0), MATCH(R$128, 'VLU costs INT'!$D$234:$BB$234,0))
+ INDEX('Mixed costs INT'!$D$226:$BB$243, MATCH($B143, 'Mixed costs INT'!$B$226:$B$243,0), MATCH(R$128, 'Mixed costs INT'!$D$225:$BB$225,0))
+ INDEX('Arterial costs'!$D$223:$BB$240, MATCH($B143, 'Arterial costs'!$B$223:$B$240,0), MATCH(R$128, 'Arterial costs'!$D$222:$BB$222,0))</f>
        <v>167468.9520642453</v>
      </c>
      <c r="S143" s="742">
        <f>INDEX('VLU costs INT'!$D$235:$BB$252, MATCH($B143, 'VLU costs INT'!$B$235:$B$252,0), MATCH(S$128, 'VLU costs INT'!$D$234:$BB$234,0))
+ INDEX('Mixed costs INT'!$D$226:$BB$243, MATCH($B143, 'Mixed costs INT'!$B$226:$B$243,0), MATCH(S$128, 'Mixed costs INT'!$D$225:$BB$225,0))
+ INDEX('Arterial costs'!$D$223:$BB$240, MATCH($B143, 'Arterial costs'!$B$223:$B$240,0), MATCH(S$128, 'Arterial costs'!$D$222:$BB$222,0))</f>
        <v>169650.73922881385</v>
      </c>
      <c r="T143" s="742">
        <f>INDEX('VLU costs INT'!$D$235:$BB$252, MATCH($B143, 'VLU costs INT'!$B$235:$B$252,0), MATCH(T$128, 'VLU costs INT'!$D$234:$BB$234,0))
+ INDEX('Mixed costs INT'!$D$226:$BB$243, MATCH($B143, 'Mixed costs INT'!$B$226:$B$243,0), MATCH(T$128, 'Mixed costs INT'!$D$225:$BB$225,0))
+ INDEX('Arterial costs'!$D$223:$BB$240, MATCH($B143, 'Arterial costs'!$B$223:$B$240,0), MATCH(T$128, 'Arterial costs'!$D$222:$BB$222,0))</f>
        <v>173169.42436958596</v>
      </c>
      <c r="U143" s="742">
        <f>INDEX('VLU costs INT'!$D$235:$BB$252, MATCH($B143, 'VLU costs INT'!$B$235:$B$252,0), MATCH(U$128, 'VLU costs INT'!$D$234:$BB$234,0))
+ INDEX('Mixed costs INT'!$D$226:$BB$243, MATCH($B143, 'Mixed costs INT'!$B$226:$B$243,0), MATCH(U$128, 'Mixed costs INT'!$D$225:$BB$225,0))
+ INDEX('Arterial costs'!$D$223:$BB$240, MATCH($B143, 'Arterial costs'!$B$223:$B$240,0), MATCH(U$128, 'Arterial costs'!$D$222:$BB$222,0))</f>
        <v>177622.98427518446</v>
      </c>
      <c r="V143" s="742">
        <f>INDEX('VLU costs INT'!$D$235:$BB$252, MATCH($B143, 'VLU costs INT'!$B$235:$B$252,0), MATCH(V$128, 'VLU costs INT'!$D$234:$BB$234,0))
+ INDEX('Mixed costs INT'!$D$226:$BB$243, MATCH($B143, 'Mixed costs INT'!$B$226:$B$243,0), MATCH(V$128, 'Mixed costs INT'!$D$225:$BB$225,0))
+ INDEX('Arterial costs'!$D$223:$BB$240, MATCH($B143, 'Arterial costs'!$B$223:$B$240,0), MATCH(V$128, 'Arterial costs'!$D$222:$BB$222,0))</f>
        <v>182702.07823814059</v>
      </c>
      <c r="W143" s="742">
        <f>INDEX('VLU costs INT'!$D$235:$BB$252, MATCH($B143, 'VLU costs INT'!$B$235:$B$252,0), MATCH(W$128, 'VLU costs INT'!$D$234:$BB$234,0))
+ INDEX('Mixed costs INT'!$D$226:$BB$243, MATCH($B143, 'Mixed costs INT'!$B$226:$B$243,0), MATCH(W$128, 'Mixed costs INT'!$D$225:$BB$225,0))
+ INDEX('Arterial costs'!$D$223:$BB$240, MATCH($B143, 'Arterial costs'!$B$223:$B$240,0), MATCH(W$128, 'Arterial costs'!$D$222:$BB$222,0))</f>
        <v>188220.34464608793</v>
      </c>
      <c r="X143" s="742">
        <f>INDEX('VLU costs INT'!$D$235:$BB$252, MATCH($B143, 'VLU costs INT'!$B$235:$B$252,0), MATCH(X$128, 'VLU costs INT'!$D$234:$BB$234,0))
+ INDEX('Mixed costs INT'!$D$226:$BB$243, MATCH($B143, 'Mixed costs INT'!$B$226:$B$243,0), MATCH(X$128, 'Mixed costs INT'!$D$225:$BB$225,0))
+ INDEX('Arterial costs'!$D$223:$BB$240, MATCH($B143, 'Arterial costs'!$B$223:$B$240,0), MATCH(X$128, 'Arterial costs'!$D$222:$BB$222,0))</f>
        <v>194071.44976875573</v>
      </c>
      <c r="Y143" s="742">
        <f>INDEX('VLU costs INT'!$D$235:$BB$252, MATCH($B143, 'VLU costs INT'!$B$235:$B$252,0), MATCH(Y$128, 'VLU costs INT'!$D$234:$BB$234,0))
+ INDEX('Mixed costs INT'!$D$226:$BB$243, MATCH($B143, 'Mixed costs INT'!$B$226:$B$243,0), MATCH(Y$128, 'Mixed costs INT'!$D$225:$BB$225,0))
+ INDEX('Arterial costs'!$D$223:$BB$240, MATCH($B143, 'Arterial costs'!$B$223:$B$240,0), MATCH(Y$128, 'Arterial costs'!$D$222:$BB$222,0))</f>
        <v>200173.35946478328</v>
      </c>
      <c r="Z143" s="742">
        <f>INDEX('VLU costs INT'!$D$235:$BB$252, MATCH($B143, 'VLU costs INT'!$B$235:$B$252,0), MATCH(Z$128, 'VLU costs INT'!$D$234:$BB$234,0))
+ INDEX('Mixed costs INT'!$D$226:$BB$243, MATCH($B143, 'Mixed costs INT'!$B$226:$B$243,0), MATCH(Z$128, 'Mixed costs INT'!$D$225:$BB$225,0))
+ INDEX('Arterial costs'!$D$223:$BB$240, MATCH($B143, 'Arterial costs'!$B$223:$B$240,0), MATCH(Z$128, 'Arterial costs'!$D$222:$BB$222,0))</f>
        <v>206484.60353116418</v>
      </c>
      <c r="AA143" s="742">
        <f>INDEX('VLU costs INT'!$D$235:$BB$252, MATCH($B143, 'VLU costs INT'!$B$235:$B$252,0), MATCH(AA$128, 'VLU costs INT'!$D$234:$BB$234,0))
+ INDEX('Mixed costs INT'!$D$226:$BB$243, MATCH($B143, 'Mixed costs INT'!$B$226:$B$243,0), MATCH(AA$128, 'Mixed costs INT'!$D$225:$BB$225,0))
+ INDEX('Arterial costs'!$D$223:$BB$240, MATCH($B143, 'Arterial costs'!$B$223:$B$240,0), MATCH(AA$128, 'Arterial costs'!$D$222:$BB$222,0))</f>
        <v>212980.24828317174</v>
      </c>
      <c r="AB143" s="742">
        <f>INDEX('VLU costs INT'!$D$235:$BB$252, MATCH($B143, 'VLU costs INT'!$B$235:$B$252,0), MATCH(AB$128, 'VLU costs INT'!$D$234:$BB$234,0))
+ INDEX('Mixed costs INT'!$D$226:$BB$243, MATCH($B143, 'Mixed costs INT'!$B$226:$B$243,0), MATCH(AB$128, 'Mixed costs INT'!$D$225:$BB$225,0))
+ INDEX('Arterial costs'!$D$223:$BB$240, MATCH($B143, 'Arterial costs'!$B$223:$B$240,0), MATCH(AB$128, 'Arterial costs'!$D$222:$BB$222,0))</f>
        <v>219645.11254085359</v>
      </c>
      <c r="AC143" s="742">
        <f>INDEX('VLU costs INT'!$D$235:$BB$252, MATCH($B143, 'VLU costs INT'!$B$235:$B$252,0), MATCH(AC$128, 'VLU costs INT'!$D$234:$BB$234,0))
+ INDEX('Mixed costs INT'!$D$226:$BB$243, MATCH($B143, 'Mixed costs INT'!$B$226:$B$243,0), MATCH(AC$128, 'Mixed costs INT'!$D$225:$BB$225,0))
+ INDEX('Arterial costs'!$D$223:$BB$240, MATCH($B143, 'Arterial costs'!$B$223:$B$240,0), MATCH(AC$128, 'Arterial costs'!$D$222:$BB$222,0))</f>
        <v>226464.41532200889</v>
      </c>
      <c r="AD143" s="742">
        <f>INDEX('VLU costs INT'!$D$235:$BB$252, MATCH($B143, 'VLU costs INT'!$B$235:$B$252,0), MATCH(AD$128, 'VLU costs INT'!$D$234:$BB$234,0))
+ INDEX('Mixed costs INT'!$D$226:$BB$243, MATCH($B143, 'Mixed costs INT'!$B$226:$B$243,0), MATCH(AD$128, 'Mixed costs INT'!$D$225:$BB$225,0))
+ INDEX('Arterial costs'!$D$223:$BB$240, MATCH($B143, 'Arterial costs'!$B$223:$B$240,0), MATCH(AD$128, 'Arterial costs'!$D$222:$BB$222,0))</f>
        <v>233426.69919042088</v>
      </c>
      <c r="AE143" s="742">
        <f>INDEX('VLU costs INT'!$D$235:$BB$252, MATCH($B143, 'VLU costs INT'!$B$235:$B$252,0), MATCH(AE$128, 'VLU costs INT'!$D$234:$BB$234,0))
+ INDEX('Mixed costs INT'!$D$226:$BB$243, MATCH($B143, 'Mixed costs INT'!$B$226:$B$243,0), MATCH(AE$128, 'Mixed costs INT'!$D$225:$BB$225,0))
+ INDEX('Arterial costs'!$D$223:$BB$240, MATCH($B143, 'Arterial costs'!$B$223:$B$240,0), MATCH(AE$128, 'Arterial costs'!$D$222:$BB$222,0))</f>
        <v>240518.58510741196</v>
      </c>
      <c r="AF143" s="742">
        <f>INDEX('VLU costs INT'!$D$235:$BB$252, MATCH($B143, 'VLU costs INT'!$B$235:$B$252,0), MATCH(AF$128, 'VLU costs INT'!$D$234:$BB$234,0))
+ INDEX('Mixed costs INT'!$D$226:$BB$243, MATCH($B143, 'Mixed costs INT'!$B$226:$B$243,0), MATCH(AF$128, 'Mixed costs INT'!$D$225:$BB$225,0))
+ INDEX('Arterial costs'!$D$223:$BB$240, MATCH($B143, 'Arterial costs'!$B$223:$B$240,0), MATCH(AF$128, 'Arterial costs'!$D$222:$BB$222,0))</f>
        <v>247719.29511064861</v>
      </c>
      <c r="AG143" s="742">
        <f>INDEX('VLU costs INT'!$D$235:$BB$252, MATCH($B143, 'VLU costs INT'!$B$235:$B$252,0), MATCH(AG$128, 'VLU costs INT'!$D$234:$BB$234,0))
+ INDEX('Mixed costs INT'!$D$226:$BB$243, MATCH($B143, 'Mixed costs INT'!$B$226:$B$243,0), MATCH(AG$128, 'Mixed costs INT'!$D$225:$BB$225,0))
+ INDEX('Arterial costs'!$D$223:$BB$240, MATCH($B143, 'Arterial costs'!$B$223:$B$240,0), MATCH(AG$128, 'Arterial costs'!$D$222:$BB$222,0))</f>
        <v>255028.88911869071</v>
      </c>
      <c r="AH143" s="742">
        <f>INDEX('VLU costs INT'!$D$235:$BB$252, MATCH($B143, 'VLU costs INT'!$B$235:$B$252,0), MATCH(AH$128, 'VLU costs INT'!$D$234:$BB$234,0))
+ INDEX('Mixed costs INT'!$D$226:$BB$243, MATCH($B143, 'Mixed costs INT'!$B$226:$B$243,0), MATCH(AH$128, 'Mixed costs INT'!$D$225:$BB$225,0))
+ INDEX('Arterial costs'!$D$223:$BB$240, MATCH($B143, 'Arterial costs'!$B$223:$B$240,0), MATCH(AH$128, 'Arterial costs'!$D$222:$BB$222,0))</f>
        <v>262447.54673819564</v>
      </c>
      <c r="AI143" s="742">
        <f>INDEX('VLU costs INT'!$D$235:$BB$252, MATCH($B143, 'VLU costs INT'!$B$235:$B$252,0), MATCH(AI$128, 'VLU costs INT'!$D$234:$BB$234,0))
+ INDEX('Mixed costs INT'!$D$226:$BB$243, MATCH($B143, 'Mixed costs INT'!$B$226:$B$243,0), MATCH(AI$128, 'Mixed costs INT'!$D$225:$BB$225,0))
+ INDEX('Arterial costs'!$D$223:$BB$240, MATCH($B143, 'Arterial costs'!$B$223:$B$240,0), MATCH(AI$128, 'Arterial costs'!$D$222:$BB$222,0))</f>
        <v>269974.501479542</v>
      </c>
      <c r="AJ143" s="742">
        <f>INDEX('VLU costs INT'!$D$235:$BB$252, MATCH($B143, 'VLU costs INT'!$B$235:$B$252,0), MATCH(AJ$128, 'VLU costs INT'!$D$234:$BB$234,0))
+ INDEX('Mixed costs INT'!$D$226:$BB$243, MATCH($B143, 'Mixed costs INT'!$B$226:$B$243,0), MATCH(AJ$128, 'Mixed costs INT'!$D$225:$BB$225,0))
+ INDEX('Arterial costs'!$D$223:$BB$240, MATCH($B143, 'Arterial costs'!$B$223:$B$240,0), MATCH(AJ$128, 'Arterial costs'!$D$222:$BB$222,0))</f>
        <v>277604.87623649783</v>
      </c>
      <c r="AK143" s="742">
        <f>INDEX('VLU costs INT'!$D$235:$BB$252, MATCH($B143, 'VLU costs INT'!$B$235:$B$252,0), MATCH(AK$128, 'VLU costs INT'!$D$234:$BB$234,0))
+ INDEX('Mixed costs INT'!$D$226:$BB$243, MATCH($B143, 'Mixed costs INT'!$B$226:$B$243,0), MATCH(AK$128, 'Mixed costs INT'!$D$225:$BB$225,0))
+ INDEX('Arterial costs'!$D$223:$BB$240, MATCH($B143, 'Arterial costs'!$B$223:$B$240,0), MATCH(AK$128, 'Arterial costs'!$D$222:$BB$222,0))</f>
        <v>285329.54810428183</v>
      </c>
      <c r="AL143" s="742">
        <f>INDEX('VLU costs INT'!$D$235:$BB$252, MATCH($B143, 'VLU costs INT'!$B$235:$B$252,0), MATCH(AL$128, 'VLU costs INT'!$D$234:$BB$234,0))
+ INDEX('Mixed costs INT'!$D$226:$BB$243, MATCH($B143, 'Mixed costs INT'!$B$226:$B$243,0), MATCH(AL$128, 'Mixed costs INT'!$D$225:$BB$225,0))
+ INDEX('Arterial costs'!$D$223:$BB$240, MATCH($B143, 'Arterial costs'!$B$223:$B$240,0), MATCH(AL$128, 'Arterial costs'!$D$222:$BB$222,0))</f>
        <v>293139.75102220877</v>
      </c>
      <c r="AM143" s="742">
        <f>INDEX('VLU costs INT'!$D$235:$BB$252, MATCH($B143, 'VLU costs INT'!$B$235:$B$252,0), MATCH(AM$128, 'VLU costs INT'!$D$234:$BB$234,0))
+ INDEX('Mixed costs INT'!$D$226:$BB$243, MATCH($B143, 'Mixed costs INT'!$B$226:$B$243,0), MATCH(AM$128, 'Mixed costs INT'!$D$225:$BB$225,0))
+ INDEX('Arterial costs'!$D$223:$BB$240, MATCH($B143, 'Arterial costs'!$B$223:$B$240,0), MATCH(AM$128, 'Arterial costs'!$D$222:$BB$222,0))</f>
        <v>301022.95206630829</v>
      </c>
      <c r="AN143" s="742">
        <f>INDEX('VLU costs INT'!$D$235:$BB$252, MATCH($B143, 'VLU costs INT'!$B$235:$B$252,0), MATCH(AN$128, 'VLU costs INT'!$D$234:$BB$234,0))
+ INDEX('Mixed costs INT'!$D$226:$BB$243, MATCH($B143, 'Mixed costs INT'!$B$226:$B$243,0), MATCH(AN$128, 'Mixed costs INT'!$D$225:$BB$225,0))
+ INDEX('Arterial costs'!$D$223:$BB$240, MATCH($B143, 'Arterial costs'!$B$223:$B$240,0), MATCH(AN$128, 'Arterial costs'!$D$222:$BB$222,0))</f>
        <v>308968.29546871758</v>
      </c>
      <c r="AO143" s="742">
        <f>INDEX('VLU costs INT'!$D$235:$BB$252, MATCH($B143, 'VLU costs INT'!$B$235:$B$252,0), MATCH(AO$128, 'VLU costs INT'!$D$234:$BB$234,0))
+ INDEX('Mixed costs INT'!$D$226:$BB$243, MATCH($B143, 'Mixed costs INT'!$B$226:$B$243,0), MATCH(AO$128, 'Mixed costs INT'!$D$225:$BB$225,0))
+ INDEX('Arterial costs'!$D$223:$BB$240, MATCH($B143, 'Arterial costs'!$B$223:$B$240,0), MATCH(AO$128, 'Arterial costs'!$D$222:$BB$222,0))</f>
        <v>316966.02221425052</v>
      </c>
      <c r="AP143" s="742">
        <f>INDEX('VLU costs INT'!$D$235:$BB$252, MATCH($B143, 'VLU costs INT'!$B$235:$B$252,0), MATCH(AP$128, 'VLU costs INT'!$D$234:$BB$234,0))
+ INDEX('Mixed costs INT'!$D$226:$BB$243, MATCH($B143, 'Mixed costs INT'!$B$226:$B$243,0), MATCH(AP$128, 'Mixed costs INT'!$D$225:$BB$225,0))
+ INDEX('Arterial costs'!$D$223:$BB$240, MATCH($B143, 'Arterial costs'!$B$223:$B$240,0), MATCH(AP$128, 'Arterial costs'!$D$222:$BB$222,0))</f>
        <v>325023.82629708917</v>
      </c>
      <c r="AQ143" s="742">
        <f>INDEX('VLU costs INT'!$D$235:$BB$252, MATCH($B143, 'VLU costs INT'!$B$235:$B$252,0), MATCH(AQ$128, 'VLU costs INT'!$D$234:$BB$234,0))
+ INDEX('Mixed costs INT'!$D$226:$BB$243, MATCH($B143, 'Mixed costs INT'!$B$226:$B$243,0), MATCH(AQ$128, 'Mixed costs INT'!$D$225:$BB$225,0))
+ INDEX('Arterial costs'!$D$223:$BB$240, MATCH($B143, 'Arterial costs'!$B$223:$B$240,0), MATCH(AQ$128, 'Arterial costs'!$D$222:$BB$222,0))</f>
        <v>333156.02472656808</v>
      </c>
      <c r="AR143" s="742">
        <f>INDEX('VLU costs INT'!$D$235:$BB$252, MATCH($B143, 'VLU costs INT'!$B$235:$B$252,0), MATCH(AR$128, 'VLU costs INT'!$D$234:$BB$234,0))
+ INDEX('Mixed costs INT'!$D$226:$BB$243, MATCH($B143, 'Mixed costs INT'!$B$226:$B$243,0), MATCH(AR$128, 'Mixed costs INT'!$D$225:$BB$225,0))
+ INDEX('Arterial costs'!$D$223:$BB$240, MATCH($B143, 'Arterial costs'!$B$223:$B$240,0), MATCH(AR$128, 'Arterial costs'!$D$222:$BB$222,0))</f>
        <v>341375.99887768552</v>
      </c>
      <c r="AS143" s="742">
        <f>INDEX('VLU costs INT'!$D$235:$BB$252, MATCH($B143, 'VLU costs INT'!$B$235:$B$252,0), MATCH(AS$128, 'VLU costs INT'!$D$234:$BB$234,0))
+ INDEX('Mixed costs INT'!$D$226:$BB$243, MATCH($B143, 'Mixed costs INT'!$B$226:$B$243,0), MATCH(AS$128, 'Mixed costs INT'!$D$225:$BB$225,0))
+ INDEX('Arterial costs'!$D$223:$BB$240, MATCH($B143, 'Arterial costs'!$B$223:$B$240,0), MATCH(AS$128, 'Arterial costs'!$D$222:$BB$222,0))</f>
        <v>349630.82950801007</v>
      </c>
      <c r="AU143" t="s">
        <v>102</v>
      </c>
      <c r="AV143" s="800">
        <f t="shared" si="22"/>
        <v>301.59083929879625</v>
      </c>
      <c r="AW143" s="800">
        <f>INDEX($N$105:$N$122, MATCH(AU143,$B$105:$B$122,0))/'Baseline Summary'!$N$15</f>
        <v>22.952634316442296</v>
      </c>
      <c r="AX143" t="s">
        <v>102</v>
      </c>
      <c r="AZ143" t="s">
        <v>102</v>
      </c>
      <c r="BA143" s="800">
        <f t="shared" si="23"/>
        <v>22.952634316442296</v>
      </c>
      <c r="BB143" s="800">
        <f t="shared" si="24"/>
        <v>301.59083929879625</v>
      </c>
    </row>
    <row r="144" spans="2:54">
      <c r="B144" s="6" t="s">
        <v>2831</v>
      </c>
      <c r="C144" s="742">
        <f>INDEX('VLU costs INT'!$D$235:$BB$252, MATCH($B144, 'VLU costs INT'!$B$235:$B$252,0), MATCH(C$128, 'VLU costs INT'!$D$234:$BB$234,0))
+ INDEX('Mixed costs INT'!$D$226:$BB$243, MATCH($B144, 'Mixed costs INT'!$B$226:$B$243,0), MATCH(C$128, 'Mixed costs INT'!$D$225:$BB$225,0))
+ INDEX('Arterial costs'!$D$223:$BB$240, MATCH($B144, 'Arterial costs'!$B$223:$B$240,0), MATCH(C$128, 'Arterial costs'!$D$222:$BB$222,0))</f>
        <v>287416.85360564466</v>
      </c>
      <c r="D144" s="742">
        <f>INDEX('VLU costs INT'!$D$235:$BB$252, MATCH($B144, 'VLU costs INT'!$B$235:$B$252,0), MATCH(D$128, 'VLU costs INT'!$D$234:$BB$234,0))
+ INDEX('Mixed costs INT'!$D$226:$BB$243, MATCH($B144, 'Mixed costs INT'!$B$226:$B$243,0), MATCH(D$128, 'Mixed costs INT'!$D$225:$BB$225,0))
+ INDEX('Arterial costs'!$D$223:$BB$240, MATCH($B144, 'Arterial costs'!$B$223:$B$240,0), MATCH(D$128, 'Arterial costs'!$D$222:$BB$222,0))</f>
        <v>307660.7703565206</v>
      </c>
      <c r="E144" s="742">
        <f>INDEX('VLU costs INT'!$D$235:$BB$252, MATCH($B144, 'VLU costs INT'!$B$235:$B$252,0), MATCH(E$128, 'VLU costs INT'!$D$234:$BB$234,0))
+ INDEX('Mixed costs INT'!$D$226:$BB$243, MATCH($B144, 'Mixed costs INT'!$B$226:$B$243,0), MATCH(E$128, 'Mixed costs INT'!$D$225:$BB$225,0))
+ INDEX('Arterial costs'!$D$223:$BB$240, MATCH($B144, 'Arterial costs'!$B$223:$B$240,0), MATCH(E$128, 'Arterial costs'!$D$222:$BB$222,0))</f>
        <v>327431.65391659143</v>
      </c>
      <c r="F144" s="742">
        <f>INDEX('VLU costs INT'!$D$235:$BB$252, MATCH($B144, 'VLU costs INT'!$B$235:$B$252,0), MATCH(F$128, 'VLU costs INT'!$D$234:$BB$234,0))
+ INDEX('Mixed costs INT'!$D$226:$BB$243, MATCH($B144, 'Mixed costs INT'!$B$226:$B$243,0), MATCH(F$128, 'Mixed costs INT'!$D$225:$BB$225,0))
+ INDEX('Arterial costs'!$D$223:$BB$240, MATCH($B144, 'Arterial costs'!$B$223:$B$240,0), MATCH(F$128, 'Arterial costs'!$D$222:$BB$222,0))</f>
        <v>347098.15641360992</v>
      </c>
      <c r="G144" s="742">
        <f>INDEX('VLU costs INT'!$D$235:$BB$252, MATCH($B144, 'VLU costs INT'!$B$235:$B$252,0), MATCH(G$128, 'VLU costs INT'!$D$234:$BB$234,0))
+ INDEX('Mixed costs INT'!$D$226:$BB$243, MATCH($B144, 'Mixed costs INT'!$B$226:$B$243,0), MATCH(G$128, 'Mixed costs INT'!$D$225:$BB$225,0))
+ INDEX('Arterial costs'!$D$223:$BB$240, MATCH($B144, 'Arterial costs'!$B$223:$B$240,0), MATCH(G$128, 'Arterial costs'!$D$222:$BB$222,0))</f>
        <v>366204.63857970876</v>
      </c>
      <c r="H144" s="742">
        <f>INDEX('VLU costs INT'!$D$235:$BB$252, MATCH($B144, 'VLU costs INT'!$B$235:$B$252,0), MATCH(H$128, 'VLU costs INT'!$D$234:$BB$234,0))
+ INDEX('Mixed costs INT'!$D$226:$BB$243, MATCH($B144, 'Mixed costs INT'!$B$226:$B$243,0), MATCH(H$128, 'Mixed costs INT'!$D$225:$BB$225,0))
+ INDEX('Arterial costs'!$D$223:$BB$240, MATCH($B144, 'Arterial costs'!$B$223:$B$240,0), MATCH(H$128, 'Arterial costs'!$D$222:$BB$222,0))</f>
        <v>358338.25115610135</v>
      </c>
      <c r="I144" s="742">
        <f>INDEX('VLU costs INT'!$D$235:$BB$252, MATCH($B144, 'VLU costs INT'!$B$235:$B$252,0), MATCH(I$128, 'VLU costs INT'!$D$234:$BB$234,0))
+ INDEX('Mixed costs INT'!$D$226:$BB$243, MATCH($B144, 'Mixed costs INT'!$B$226:$B$243,0), MATCH(I$128, 'Mixed costs INT'!$D$225:$BB$225,0))
+ INDEX('Arterial costs'!$D$223:$BB$240, MATCH($B144, 'Arterial costs'!$B$223:$B$240,0), MATCH(I$128, 'Arterial costs'!$D$222:$BB$222,0))</f>
        <v>362127.50355058111</v>
      </c>
      <c r="J144" s="742">
        <f>INDEX('VLU costs INT'!$D$235:$BB$252, MATCH($B144, 'VLU costs INT'!$B$235:$B$252,0), MATCH(J$128, 'VLU costs INT'!$D$234:$BB$234,0))
+ INDEX('Mixed costs INT'!$D$226:$BB$243, MATCH($B144, 'Mixed costs INT'!$B$226:$B$243,0), MATCH(J$128, 'Mixed costs INT'!$D$225:$BB$225,0))
+ INDEX('Arterial costs'!$D$223:$BB$240, MATCH($B144, 'Arterial costs'!$B$223:$B$240,0), MATCH(J$128, 'Arterial costs'!$D$222:$BB$222,0))</f>
        <v>373997.88302037976</v>
      </c>
      <c r="K144" s="742">
        <f>INDEX('VLU costs INT'!$D$235:$BB$252, MATCH($B144, 'VLU costs INT'!$B$235:$B$252,0), MATCH(K$128, 'VLU costs INT'!$D$234:$BB$234,0))
+ INDEX('Mixed costs INT'!$D$226:$BB$243, MATCH($B144, 'Mixed costs INT'!$B$226:$B$243,0), MATCH(K$128, 'Mixed costs INT'!$D$225:$BB$225,0))
+ INDEX('Arterial costs'!$D$223:$BB$240, MATCH($B144, 'Arterial costs'!$B$223:$B$240,0), MATCH(K$128, 'Arterial costs'!$D$222:$BB$222,0))</f>
        <v>392097.69107570872</v>
      </c>
      <c r="L144" s="742">
        <f>INDEX('VLU costs INT'!$D$235:$BB$252, MATCH($B144, 'VLU costs INT'!$B$235:$B$252,0), MATCH(L$128, 'VLU costs INT'!$D$234:$BB$234,0))
+ INDEX('Mixed costs INT'!$D$226:$BB$243, MATCH($B144, 'Mixed costs INT'!$B$226:$B$243,0), MATCH(L$128, 'Mixed costs INT'!$D$225:$BB$225,0))
+ INDEX('Arterial costs'!$D$223:$BB$240, MATCH($B144, 'Arterial costs'!$B$223:$B$240,0), MATCH(L$128, 'Arterial costs'!$D$222:$BB$222,0))</f>
        <v>414500.62471367064</v>
      </c>
      <c r="M144" s="742">
        <f>INDEX('VLU costs INT'!$D$235:$BB$252, MATCH($B144, 'VLU costs INT'!$B$235:$B$252,0), MATCH(M$128, 'VLU costs INT'!$D$234:$BB$234,0))
+ INDEX('Mixed costs INT'!$D$226:$BB$243, MATCH($B144, 'Mixed costs INT'!$B$226:$B$243,0), MATCH(M$128, 'Mixed costs INT'!$D$225:$BB$225,0))
+ INDEX('Arterial costs'!$D$223:$BB$240, MATCH($B144, 'Arterial costs'!$B$223:$B$240,0), MATCH(M$128, 'Arterial costs'!$D$222:$BB$222,0))</f>
        <v>440073.19363029633</v>
      </c>
      <c r="N144" s="742">
        <f>INDEX('VLU costs INT'!$D$235:$BB$252, MATCH($B144, 'VLU costs INT'!$B$235:$B$252,0), MATCH(N$128, 'VLU costs INT'!$D$234:$BB$234,0))
+ INDEX('Mixed costs INT'!$D$226:$BB$243, MATCH($B144, 'Mixed costs INT'!$B$226:$B$243,0), MATCH(N$128, 'Mixed costs INT'!$D$225:$BB$225,0))
+ INDEX('Arterial costs'!$D$223:$BB$240, MATCH($B144, 'Arterial costs'!$B$223:$B$240,0), MATCH(N$128, 'Arterial costs'!$D$222:$BB$222,0))</f>
        <v>467762.67973938322</v>
      </c>
      <c r="O144" s="742">
        <f>INDEX('VLU costs INT'!$D$235:$BB$252, MATCH($B144, 'VLU costs INT'!$B$235:$B$252,0), MATCH(O$128, 'VLU costs INT'!$D$234:$BB$234,0))
+ INDEX('Mixed costs INT'!$D$226:$BB$243, MATCH($B144, 'Mixed costs INT'!$B$226:$B$243,0), MATCH(O$128, 'Mixed costs INT'!$D$225:$BB$225,0))
+ INDEX('Arterial costs'!$D$223:$BB$240, MATCH($B144, 'Arterial costs'!$B$223:$B$240,0), MATCH(O$128, 'Arterial costs'!$D$222:$BB$222,0))</f>
        <v>497416.04058905464</v>
      </c>
      <c r="P144" s="742">
        <f>INDEX('VLU costs INT'!$D$235:$BB$252, MATCH($B144, 'VLU costs INT'!$B$235:$B$252,0), MATCH(P$128, 'VLU costs INT'!$D$234:$BB$234,0))
+ INDEX('Mixed costs INT'!$D$226:$BB$243, MATCH($B144, 'Mixed costs INT'!$B$226:$B$243,0), MATCH(P$128, 'Mixed costs INT'!$D$225:$BB$225,0))
+ INDEX('Arterial costs'!$D$223:$BB$240, MATCH($B144, 'Arterial costs'!$B$223:$B$240,0), MATCH(P$128, 'Arterial costs'!$D$222:$BB$222,0))</f>
        <v>528792.57356723002</v>
      </c>
      <c r="Q144" s="742">
        <f>INDEX('VLU costs INT'!$D$235:$BB$252, MATCH($B144, 'VLU costs INT'!$B$235:$B$252,0), MATCH(Q$128, 'VLU costs INT'!$D$234:$BB$234,0))
+ INDEX('Mixed costs INT'!$D$226:$BB$243, MATCH($B144, 'Mixed costs INT'!$B$226:$B$243,0), MATCH(Q$128, 'Mixed costs INT'!$D$225:$BB$225,0))
+ INDEX('Arterial costs'!$D$223:$BB$240, MATCH($B144, 'Arterial costs'!$B$223:$B$240,0), MATCH(Q$128, 'Arterial costs'!$D$222:$BB$222,0))</f>
        <v>561843.79987804743</v>
      </c>
      <c r="R144" s="742">
        <f>INDEX('VLU costs INT'!$D$235:$BB$252, MATCH($B144, 'VLU costs INT'!$B$235:$B$252,0), MATCH(R$128, 'VLU costs INT'!$D$234:$BB$234,0))
+ INDEX('Mixed costs INT'!$D$226:$BB$243, MATCH($B144, 'Mixed costs INT'!$B$226:$B$243,0), MATCH(R$128, 'Mixed costs INT'!$D$225:$BB$225,0))
+ INDEX('Arterial costs'!$D$223:$BB$240, MATCH($B144, 'Arterial costs'!$B$223:$B$240,0), MATCH(R$128, 'Arterial costs'!$D$222:$BB$222,0))</f>
        <v>583485.08946942026</v>
      </c>
      <c r="S144" s="742">
        <f>INDEX('VLU costs INT'!$D$235:$BB$252, MATCH($B144, 'VLU costs INT'!$B$235:$B$252,0), MATCH(S$128, 'VLU costs INT'!$D$234:$BB$234,0))
+ INDEX('Mixed costs INT'!$D$226:$BB$243, MATCH($B144, 'Mixed costs INT'!$B$226:$B$243,0), MATCH(S$128, 'Mixed costs INT'!$D$225:$BB$225,0))
+ INDEX('Arterial costs'!$D$223:$BB$240, MATCH($B144, 'Arterial costs'!$B$223:$B$240,0), MATCH(S$128, 'Arterial costs'!$D$222:$BB$222,0))</f>
        <v>607556.10554187489</v>
      </c>
      <c r="T144" s="742">
        <f>INDEX('VLU costs INT'!$D$235:$BB$252, MATCH($B144, 'VLU costs INT'!$B$235:$B$252,0), MATCH(T$128, 'VLU costs INT'!$D$234:$BB$234,0))
+ INDEX('Mixed costs INT'!$D$226:$BB$243, MATCH($B144, 'Mixed costs INT'!$B$226:$B$243,0), MATCH(T$128, 'Mixed costs INT'!$D$225:$BB$225,0))
+ INDEX('Arterial costs'!$D$223:$BB$240, MATCH($B144, 'Arterial costs'!$B$223:$B$240,0), MATCH(T$128, 'Arterial costs'!$D$222:$BB$222,0))</f>
        <v>633611.02091408207</v>
      </c>
      <c r="U144" s="742">
        <f>INDEX('VLU costs INT'!$D$235:$BB$252, MATCH($B144, 'VLU costs INT'!$B$235:$B$252,0), MATCH(U$128, 'VLU costs INT'!$D$234:$BB$234,0))
+ INDEX('Mixed costs INT'!$D$226:$BB$243, MATCH($B144, 'Mixed costs INT'!$B$226:$B$243,0), MATCH(U$128, 'Mixed costs INT'!$D$225:$BB$225,0))
+ INDEX('Arterial costs'!$D$223:$BB$240, MATCH($B144, 'Arterial costs'!$B$223:$B$240,0), MATCH(U$128, 'Arterial costs'!$D$222:$BB$222,0))</f>
        <v>661542.2787211712</v>
      </c>
      <c r="V144" s="742">
        <f>INDEX('VLU costs INT'!$D$235:$BB$252, MATCH($B144, 'VLU costs INT'!$B$235:$B$252,0), MATCH(V$128, 'VLU costs INT'!$D$234:$BB$234,0))
+ INDEX('Mixed costs INT'!$D$226:$BB$243, MATCH($B144, 'Mixed costs INT'!$B$226:$B$243,0), MATCH(V$128, 'Mixed costs INT'!$D$225:$BB$225,0))
+ INDEX('Arterial costs'!$D$223:$BB$240, MATCH($B144, 'Arterial costs'!$B$223:$B$240,0), MATCH(V$128, 'Arterial costs'!$D$222:$BB$222,0))</f>
        <v>690887.39729288034</v>
      </c>
      <c r="W144" s="742">
        <f>INDEX('VLU costs INT'!$D$235:$BB$252, MATCH($B144, 'VLU costs INT'!$B$235:$B$252,0), MATCH(W$128, 'VLU costs INT'!$D$234:$BB$234,0))
+ INDEX('Mixed costs INT'!$D$226:$BB$243, MATCH($B144, 'Mixed costs INT'!$B$226:$B$243,0), MATCH(W$128, 'Mixed costs INT'!$D$225:$BB$225,0))
+ INDEX('Arterial costs'!$D$223:$BB$240, MATCH($B144, 'Arterial costs'!$B$223:$B$240,0), MATCH(W$128, 'Arterial costs'!$D$222:$BB$222,0))</f>
        <v>721476.58366174856</v>
      </c>
      <c r="X144" s="742">
        <f>INDEX('VLU costs INT'!$D$235:$BB$252, MATCH($B144, 'VLU costs INT'!$B$235:$B$252,0), MATCH(X$128, 'VLU costs INT'!$D$234:$BB$234,0))
+ INDEX('Mixed costs INT'!$D$226:$BB$243, MATCH($B144, 'Mixed costs INT'!$B$226:$B$243,0), MATCH(X$128, 'Mixed costs INT'!$D$225:$BB$225,0))
+ INDEX('Arterial costs'!$D$223:$BB$240, MATCH($B144, 'Arterial costs'!$B$223:$B$240,0), MATCH(X$128, 'Arterial costs'!$D$222:$BB$222,0))</f>
        <v>753345.57740485785</v>
      </c>
      <c r="Y144" s="742">
        <f>INDEX('VLU costs INT'!$D$235:$BB$252, MATCH($B144, 'VLU costs INT'!$B$235:$B$252,0), MATCH(Y$128, 'VLU costs INT'!$D$234:$BB$234,0))
+ INDEX('Mixed costs INT'!$D$226:$BB$243, MATCH($B144, 'Mixed costs INT'!$B$226:$B$243,0), MATCH(Y$128, 'Mixed costs INT'!$D$225:$BB$225,0))
+ INDEX('Arterial costs'!$D$223:$BB$240, MATCH($B144, 'Arterial costs'!$B$223:$B$240,0), MATCH(Y$128, 'Arterial costs'!$D$222:$BB$222,0))</f>
        <v>786417.9847298793</v>
      </c>
      <c r="Z144" s="742">
        <f>INDEX('VLU costs INT'!$D$235:$BB$252, MATCH($B144, 'VLU costs INT'!$B$235:$B$252,0), MATCH(Z$128, 'VLU costs INT'!$D$234:$BB$234,0))
+ INDEX('Mixed costs INT'!$D$226:$BB$243, MATCH($B144, 'Mixed costs INT'!$B$226:$B$243,0), MATCH(Z$128, 'Mixed costs INT'!$D$225:$BB$225,0))
+ INDEX('Arterial costs'!$D$223:$BB$240, MATCH($B144, 'Arterial costs'!$B$223:$B$240,0), MATCH(Z$128, 'Arterial costs'!$D$222:$BB$222,0))</f>
        <v>820650.19420193252</v>
      </c>
      <c r="AA144" s="742">
        <f>INDEX('VLU costs INT'!$D$235:$BB$252, MATCH($B144, 'VLU costs INT'!$B$235:$B$252,0), MATCH(AA$128, 'VLU costs INT'!$D$234:$BB$234,0))
+ INDEX('Mixed costs INT'!$D$226:$BB$243, MATCH($B144, 'Mixed costs INT'!$B$226:$B$243,0), MATCH(AA$128, 'Mixed costs INT'!$D$225:$BB$225,0))
+ INDEX('Arterial costs'!$D$223:$BB$240, MATCH($B144, 'Arterial costs'!$B$223:$B$240,0), MATCH(AA$128, 'Arterial costs'!$D$222:$BB$222,0))</f>
        <v>856021.33320135181</v>
      </c>
      <c r="AB144" s="742">
        <f>INDEX('VLU costs INT'!$D$235:$BB$252, MATCH($B144, 'VLU costs INT'!$B$235:$B$252,0), MATCH(AB$128, 'VLU costs INT'!$D$234:$BB$234,0))
+ INDEX('Mixed costs INT'!$D$226:$BB$243, MATCH($B144, 'Mixed costs INT'!$B$226:$B$243,0), MATCH(AB$128, 'Mixed costs INT'!$D$225:$BB$225,0))
+ INDEX('Arterial costs'!$D$223:$BB$240, MATCH($B144, 'Arterial costs'!$B$223:$B$240,0), MATCH(AB$128, 'Arterial costs'!$D$222:$BB$222,0))</f>
        <v>892573.38120922586</v>
      </c>
      <c r="AC144" s="742">
        <f>INDEX('VLU costs INT'!$D$235:$BB$252, MATCH($B144, 'VLU costs INT'!$B$235:$B$252,0), MATCH(AC$128, 'VLU costs INT'!$D$234:$BB$234,0))
+ INDEX('Mixed costs INT'!$D$226:$BB$243, MATCH($B144, 'Mixed costs INT'!$B$226:$B$243,0), MATCH(AC$128, 'Mixed costs INT'!$D$225:$BB$225,0))
+ INDEX('Arterial costs'!$D$223:$BB$240, MATCH($B144, 'Arterial costs'!$B$223:$B$240,0), MATCH(AC$128, 'Arterial costs'!$D$222:$BB$222,0))</f>
        <v>930268.16773295542</v>
      </c>
      <c r="AD144" s="742">
        <f>INDEX('VLU costs INT'!$D$235:$BB$252, MATCH($B144, 'VLU costs INT'!$B$235:$B$252,0), MATCH(AD$128, 'VLU costs INT'!$D$234:$BB$234,0))
+ INDEX('Mixed costs INT'!$D$226:$BB$243, MATCH($B144, 'Mixed costs INT'!$B$226:$B$243,0), MATCH(AD$128, 'Mixed costs INT'!$D$225:$BB$225,0))
+ INDEX('Arterial costs'!$D$223:$BB$240, MATCH($B144, 'Arterial costs'!$B$223:$B$240,0), MATCH(AD$128, 'Arterial costs'!$D$222:$BB$222,0))</f>
        <v>969073.89545393828</v>
      </c>
      <c r="AE144" s="742">
        <f>INDEX('VLU costs INT'!$D$235:$BB$252, MATCH($B144, 'VLU costs INT'!$B$235:$B$252,0), MATCH(AE$128, 'VLU costs INT'!$D$234:$BB$234,0))
+ INDEX('Mixed costs INT'!$D$226:$BB$243, MATCH($B144, 'Mixed costs INT'!$B$226:$B$243,0), MATCH(AE$128, 'Mixed costs INT'!$D$225:$BB$225,0))
+ INDEX('Arterial costs'!$D$223:$BB$240, MATCH($B144, 'Arterial costs'!$B$223:$B$240,0), MATCH(AE$128, 'Arterial costs'!$D$222:$BB$222,0))</f>
        <v>1008969.271951833</v>
      </c>
      <c r="AF144" s="742">
        <f>INDEX('VLU costs INT'!$D$235:$BB$252, MATCH($B144, 'VLU costs INT'!$B$235:$B$252,0), MATCH(AF$128, 'VLU costs INT'!$D$234:$BB$234,0))
+ INDEX('Mixed costs INT'!$D$226:$BB$243, MATCH($B144, 'Mixed costs INT'!$B$226:$B$243,0), MATCH(AF$128, 'Mixed costs INT'!$D$225:$BB$225,0))
+ INDEX('Arterial costs'!$D$223:$BB$240, MATCH($B144, 'Arterial costs'!$B$223:$B$240,0), MATCH(AF$128, 'Arterial costs'!$D$222:$BB$222,0))</f>
        <v>1049972.084696976</v>
      </c>
      <c r="AG144" s="742">
        <f>INDEX('VLU costs INT'!$D$235:$BB$252, MATCH($B144, 'VLU costs INT'!$B$235:$B$252,0), MATCH(AG$128, 'VLU costs INT'!$D$234:$BB$234,0))
+ INDEX('Mixed costs INT'!$D$226:$BB$243, MATCH($B144, 'Mixed costs INT'!$B$226:$B$243,0), MATCH(AG$128, 'Mixed costs INT'!$D$225:$BB$225,0))
+ INDEX('Arterial costs'!$D$223:$BB$240, MATCH($B144, 'Arterial costs'!$B$223:$B$240,0), MATCH(AG$128, 'Arterial costs'!$D$222:$BB$222,0))</f>
        <v>1092210.6100395336</v>
      </c>
      <c r="AH144" s="742">
        <f>INDEX('VLU costs INT'!$D$235:$BB$252, MATCH($B144, 'VLU costs INT'!$B$235:$B$252,0), MATCH(AH$128, 'VLU costs INT'!$D$234:$BB$234,0))
+ INDEX('Mixed costs INT'!$D$226:$BB$243, MATCH($B144, 'Mixed costs INT'!$B$226:$B$243,0), MATCH(AH$128, 'Mixed costs INT'!$D$225:$BB$225,0))
+ INDEX('Arterial costs'!$D$223:$BB$240, MATCH($B144, 'Arterial costs'!$B$223:$B$240,0), MATCH(AH$128, 'Arterial costs'!$D$222:$BB$222,0))</f>
        <v>1135727.7981196835</v>
      </c>
      <c r="AI144" s="742">
        <f>INDEX('VLU costs INT'!$D$235:$BB$252, MATCH($B144, 'VLU costs INT'!$B$235:$B$252,0), MATCH(AI$128, 'VLU costs INT'!$D$234:$BB$234,0))
+ INDEX('Mixed costs INT'!$D$226:$BB$243, MATCH($B144, 'Mixed costs INT'!$B$226:$B$243,0), MATCH(AI$128, 'Mixed costs INT'!$D$225:$BB$225,0))
+ INDEX('Arterial costs'!$D$223:$BB$240, MATCH($B144, 'Arterial costs'!$B$223:$B$240,0), MATCH(AI$128, 'Arterial costs'!$D$222:$BB$222,0))</f>
        <v>1180618.3957001562</v>
      </c>
      <c r="AJ144" s="742">
        <f>INDEX('VLU costs INT'!$D$235:$BB$252, MATCH($B144, 'VLU costs INT'!$B$235:$B$252,0), MATCH(AJ$128, 'VLU costs INT'!$D$234:$BB$234,0))
+ INDEX('Mixed costs INT'!$D$226:$BB$243, MATCH($B144, 'Mixed costs INT'!$B$226:$B$243,0), MATCH(AJ$128, 'Mixed costs INT'!$D$225:$BB$225,0))
+ INDEX('Arterial costs'!$D$223:$BB$240, MATCH($B144, 'Arterial costs'!$B$223:$B$240,0), MATCH(AJ$128, 'Arterial costs'!$D$222:$BB$222,0))</f>
        <v>1226844.603867243</v>
      </c>
      <c r="AK144" s="742">
        <f>INDEX('VLU costs INT'!$D$235:$BB$252, MATCH($B144, 'VLU costs INT'!$B$235:$B$252,0), MATCH(AK$128, 'VLU costs INT'!$D$234:$BB$234,0))
+ INDEX('Mixed costs INT'!$D$226:$BB$243, MATCH($B144, 'Mixed costs INT'!$B$226:$B$243,0), MATCH(AK$128, 'Mixed costs INT'!$D$225:$BB$225,0))
+ INDEX('Arterial costs'!$D$223:$BB$240, MATCH($B144, 'Arterial costs'!$B$223:$B$240,0), MATCH(AK$128, 'Arterial costs'!$D$222:$BB$222,0))</f>
        <v>1274319.1539639554</v>
      </c>
      <c r="AL144" s="742">
        <f>INDEX('VLU costs INT'!$D$235:$BB$252, MATCH($B144, 'VLU costs INT'!$B$235:$B$252,0), MATCH(AL$128, 'VLU costs INT'!$D$234:$BB$234,0))
+ INDEX('Mixed costs INT'!$D$226:$BB$243, MATCH($B144, 'Mixed costs INT'!$B$226:$B$243,0), MATCH(AL$128, 'Mixed costs INT'!$D$225:$BB$225,0))
+ INDEX('Arterial costs'!$D$223:$BB$240, MATCH($B144, 'Arterial costs'!$B$223:$B$240,0), MATCH(AL$128, 'Arterial costs'!$D$222:$BB$222,0))</f>
        <v>1322996.6504552795</v>
      </c>
      <c r="AM144" s="742">
        <f>INDEX('VLU costs INT'!$D$235:$BB$252, MATCH($B144, 'VLU costs INT'!$B$235:$B$252,0), MATCH(AM$128, 'VLU costs INT'!$D$234:$BB$234,0))
+ INDEX('Mixed costs INT'!$D$226:$BB$243, MATCH($B144, 'Mixed costs INT'!$B$226:$B$243,0), MATCH(AM$128, 'Mixed costs INT'!$D$225:$BB$225,0))
+ INDEX('Arterial costs'!$D$223:$BB$240, MATCH($B144, 'Arterial costs'!$B$223:$B$240,0), MATCH(AM$128, 'Arterial costs'!$D$222:$BB$222,0))</f>
        <v>1372846.9880586315</v>
      </c>
      <c r="AN144" s="742">
        <f>INDEX('VLU costs INT'!$D$235:$BB$252, MATCH($B144, 'VLU costs INT'!$B$235:$B$252,0), MATCH(AN$128, 'VLU costs INT'!$D$234:$BB$234,0))
+ INDEX('Mixed costs INT'!$D$226:$BB$243, MATCH($B144, 'Mixed costs INT'!$B$226:$B$243,0), MATCH(AN$128, 'Mixed costs INT'!$D$225:$BB$225,0))
+ INDEX('Arterial costs'!$D$223:$BB$240, MATCH($B144, 'Arterial costs'!$B$223:$B$240,0), MATCH(AN$128, 'Arterial costs'!$D$222:$BB$222,0))</f>
        <v>1423851.33668279</v>
      </c>
      <c r="AO144" s="742">
        <f>INDEX('VLU costs INT'!$D$235:$BB$252, MATCH($B144, 'VLU costs INT'!$B$235:$B$252,0), MATCH(AO$128, 'VLU costs INT'!$D$234:$BB$234,0))
+ INDEX('Mixed costs INT'!$D$226:$BB$243, MATCH($B144, 'Mixed costs INT'!$B$226:$B$243,0), MATCH(AO$128, 'Mixed costs INT'!$D$225:$BB$225,0))
+ INDEX('Arterial costs'!$D$223:$BB$240, MATCH($B144, 'Arterial costs'!$B$223:$B$240,0), MATCH(AO$128, 'Arterial costs'!$D$222:$BB$222,0))</f>
        <v>1475991.5781301479</v>
      </c>
      <c r="AP144" s="742">
        <f>INDEX('VLU costs INT'!$D$235:$BB$252, MATCH($B144, 'VLU costs INT'!$B$235:$B$252,0), MATCH(AP$128, 'VLU costs INT'!$D$234:$BB$234,0))
+ INDEX('Mixed costs INT'!$D$226:$BB$243, MATCH($B144, 'Mixed costs INT'!$B$226:$B$243,0), MATCH(AP$128, 'Mixed costs INT'!$D$225:$BB$225,0))
+ INDEX('Arterial costs'!$D$223:$BB$240, MATCH($B144, 'Arterial costs'!$B$223:$B$240,0), MATCH(AP$128, 'Arterial costs'!$D$222:$BB$222,0))</f>
        <v>1529495.9042278272</v>
      </c>
      <c r="AQ144" s="742">
        <f>INDEX('VLU costs INT'!$D$235:$BB$252, MATCH($B144, 'VLU costs INT'!$B$235:$B$252,0), MATCH(AQ$128, 'VLU costs INT'!$D$234:$BB$234,0))
+ INDEX('Mixed costs INT'!$D$226:$BB$243, MATCH($B144, 'Mixed costs INT'!$B$226:$B$243,0), MATCH(AQ$128, 'Mixed costs INT'!$D$225:$BB$225,0))
+ INDEX('Arterial costs'!$D$223:$BB$240, MATCH($B144, 'Arterial costs'!$B$223:$B$240,0), MATCH(AQ$128, 'Arterial costs'!$D$222:$BB$222,0))</f>
        <v>1584599.2508263825</v>
      </c>
      <c r="AR144" s="742">
        <f>INDEX('VLU costs INT'!$D$235:$BB$252, MATCH($B144, 'VLU costs INT'!$B$235:$B$252,0), MATCH(AR$128, 'VLU costs INT'!$D$234:$BB$234,0))
+ INDEX('Mixed costs INT'!$D$226:$BB$243, MATCH($B144, 'Mixed costs INT'!$B$226:$B$243,0), MATCH(AR$128, 'Mixed costs INT'!$D$225:$BB$225,0))
+ INDEX('Arterial costs'!$D$223:$BB$240, MATCH($B144, 'Arterial costs'!$B$223:$B$240,0), MATCH(AR$128, 'Arterial costs'!$D$222:$BB$222,0))</f>
        <v>1641497.9939898308</v>
      </c>
      <c r="AS144" s="742">
        <f>INDEX('VLU costs INT'!$D$235:$BB$252, MATCH($B144, 'VLU costs INT'!$B$235:$B$252,0), MATCH(AS$128, 'VLU costs INT'!$D$234:$BB$234,0))
+ INDEX('Mixed costs INT'!$D$226:$BB$243, MATCH($B144, 'Mixed costs INT'!$B$226:$B$243,0), MATCH(AS$128, 'Mixed costs INT'!$D$225:$BB$225,0))
+ INDEX('Arterial costs'!$D$223:$BB$240, MATCH($B144, 'Arterial costs'!$B$223:$B$240,0), MATCH(AS$128, 'Arterial costs'!$D$222:$BB$222,0))</f>
        <v>1699320.8868570048</v>
      </c>
      <c r="AU144" t="s">
        <v>2871</v>
      </c>
      <c r="AV144" s="800">
        <f t="shared" si="22"/>
        <v>13.714233232990029</v>
      </c>
      <c r="AW144" s="800">
        <f>INDEX($N$105:$N$122, MATCH(AU144,$B$105:$B$122,0))/'Baseline Summary'!$N$15</f>
        <v>18.245992029811184</v>
      </c>
      <c r="AX144" t="s">
        <v>2871</v>
      </c>
      <c r="AZ144" t="s">
        <v>2871</v>
      </c>
      <c r="BA144" s="800">
        <f t="shared" si="23"/>
        <v>18.245992029811184</v>
      </c>
      <c r="BB144" s="800">
        <f t="shared" si="24"/>
        <v>13.714233232990029</v>
      </c>
    </row>
    <row r="145" spans="1:55">
      <c r="B145" s="6" t="s">
        <v>2832</v>
      </c>
      <c r="C145" s="742">
        <f>INDEX('VLU costs INT'!$D$235:$BB$252, MATCH($B145, 'VLU costs INT'!$B$235:$B$252,0), MATCH(C$128, 'VLU costs INT'!$D$234:$BB$234,0))
+ INDEX('Mixed costs INT'!$D$226:$BB$243, MATCH($B145, 'Mixed costs INT'!$B$226:$B$243,0), MATCH(C$128, 'Mixed costs INT'!$D$225:$BB$225,0))
+ INDEX('Arterial costs'!$D$223:$BB$240, MATCH($B145, 'Arterial costs'!$B$223:$B$240,0), MATCH(C$128, 'Arterial costs'!$D$222:$BB$222,0))</f>
        <v>115059.52680700402</v>
      </c>
      <c r="D145" s="742">
        <f>INDEX('VLU costs INT'!$D$235:$BB$252, MATCH($B145, 'VLU costs INT'!$B$235:$B$252,0), MATCH(D$128, 'VLU costs INT'!$D$234:$BB$234,0))
+ INDEX('Mixed costs INT'!$D$226:$BB$243, MATCH($B145, 'Mixed costs INT'!$B$226:$B$243,0), MATCH(D$128, 'Mixed costs INT'!$D$225:$BB$225,0))
+ INDEX('Arterial costs'!$D$223:$BB$240, MATCH($B145, 'Arterial costs'!$B$223:$B$240,0), MATCH(D$128, 'Arterial costs'!$D$222:$BB$222,0))</f>
        <v>123160.74572347444</v>
      </c>
      <c r="E145" s="742">
        <f>INDEX('VLU costs INT'!$D$235:$BB$252, MATCH($B145, 'VLU costs INT'!$B$235:$B$252,0), MATCH(E$128, 'VLU costs INT'!$D$234:$BB$234,0))
+ INDEX('Mixed costs INT'!$D$226:$BB$243, MATCH($B145, 'Mixed costs INT'!$B$226:$B$243,0), MATCH(E$128, 'Mixed costs INT'!$D$225:$BB$225,0))
+ INDEX('Arterial costs'!$D$223:$BB$240, MATCH($B145, 'Arterial costs'!$B$223:$B$240,0), MATCH(E$128, 'Arterial costs'!$D$222:$BB$222,0))</f>
        <v>131068.95648290426</v>
      </c>
      <c r="F145" s="742">
        <f>INDEX('VLU costs INT'!$D$235:$BB$252, MATCH($B145, 'VLU costs INT'!$B$235:$B$252,0), MATCH(F$128, 'VLU costs INT'!$D$234:$BB$234,0))
+ INDEX('Mixed costs INT'!$D$226:$BB$243, MATCH($B145, 'Mixed costs INT'!$B$226:$B$243,0), MATCH(F$128, 'Mixed costs INT'!$D$225:$BB$225,0))
+ INDEX('Arterial costs'!$D$223:$BB$240, MATCH($B145, 'Arterial costs'!$B$223:$B$240,0), MATCH(F$128, 'Arterial costs'!$D$222:$BB$222,0))</f>
        <v>138932.5879929412</v>
      </c>
      <c r="G145" s="742">
        <f>INDEX('VLU costs INT'!$D$235:$BB$252, MATCH($B145, 'VLU costs INT'!$B$235:$B$252,0), MATCH(G$128, 'VLU costs INT'!$D$234:$BB$234,0))
+ INDEX('Mixed costs INT'!$D$226:$BB$243, MATCH($B145, 'Mixed costs INT'!$B$226:$B$243,0), MATCH(G$128, 'Mixed costs INT'!$D$225:$BB$225,0))
+ INDEX('Arterial costs'!$D$223:$BB$240, MATCH($B145, 'Arterial costs'!$B$223:$B$240,0), MATCH(G$128, 'Arterial costs'!$D$222:$BB$222,0))</f>
        <v>48623.360515460081</v>
      </c>
      <c r="H145" s="742">
        <f>INDEX('VLU costs INT'!$D$235:$BB$252, MATCH($B145, 'VLU costs INT'!$B$235:$B$252,0), MATCH(H$128, 'VLU costs INT'!$D$234:$BB$234,0))
+ INDEX('Mixed costs INT'!$D$226:$BB$243, MATCH($B145, 'Mixed costs INT'!$B$226:$B$243,0), MATCH(H$128, 'Mixed costs INT'!$D$225:$BB$225,0))
+ INDEX('Arterial costs'!$D$223:$BB$240, MATCH($B145, 'Arterial costs'!$B$223:$B$240,0), MATCH(H$128, 'Arterial costs'!$D$222:$BB$222,0))</f>
        <v>50062.712330931448</v>
      </c>
      <c r="I145" s="742">
        <f>INDEX('VLU costs INT'!$D$235:$BB$252, MATCH($B145, 'VLU costs INT'!$B$235:$B$252,0), MATCH(I$128, 'VLU costs INT'!$D$234:$BB$234,0))
+ INDEX('Mixed costs INT'!$D$226:$BB$243, MATCH($B145, 'Mixed costs INT'!$B$226:$B$243,0), MATCH(I$128, 'Mixed costs INT'!$D$225:$BB$225,0))
+ INDEX('Arterial costs'!$D$223:$BB$240, MATCH($B145, 'Arterial costs'!$B$223:$B$240,0), MATCH(I$128, 'Arterial costs'!$D$222:$BB$222,0))</f>
        <v>52580.957745056687</v>
      </c>
      <c r="J145" s="742">
        <f>INDEX('VLU costs INT'!$D$235:$BB$252, MATCH($B145, 'VLU costs INT'!$B$235:$B$252,0), MATCH(J$128, 'VLU costs INT'!$D$234:$BB$234,0))
+ INDEX('Mixed costs INT'!$D$226:$BB$243, MATCH($B145, 'Mixed costs INT'!$B$226:$B$243,0), MATCH(J$128, 'Mixed costs INT'!$D$225:$BB$225,0))
+ INDEX('Arterial costs'!$D$223:$BB$240, MATCH($B145, 'Arterial costs'!$B$223:$B$240,0), MATCH(J$128, 'Arterial costs'!$D$222:$BB$222,0))</f>
        <v>55887.666475301972</v>
      </c>
      <c r="K145" s="742">
        <f>INDEX('VLU costs INT'!$D$235:$BB$252, MATCH($B145, 'VLU costs INT'!$B$235:$B$252,0), MATCH(K$128, 'VLU costs INT'!$D$234:$BB$234,0))
+ INDEX('Mixed costs INT'!$D$226:$BB$243, MATCH($B145, 'Mixed costs INT'!$B$226:$B$243,0), MATCH(K$128, 'Mixed costs INT'!$D$225:$BB$225,0))
+ INDEX('Arterial costs'!$D$223:$BB$240, MATCH($B145, 'Arterial costs'!$B$223:$B$240,0), MATCH(K$128, 'Arterial costs'!$D$222:$BB$222,0))</f>
        <v>59846.803968469889</v>
      </c>
      <c r="L145" s="742">
        <f>INDEX('VLU costs INT'!$D$235:$BB$252, MATCH($B145, 'VLU costs INT'!$B$235:$B$252,0), MATCH(L$128, 'VLU costs INT'!$D$234:$BB$234,0))
+ INDEX('Mixed costs INT'!$D$226:$BB$243, MATCH($B145, 'Mixed costs INT'!$B$226:$B$243,0), MATCH(L$128, 'Mixed costs INT'!$D$225:$BB$225,0))
+ INDEX('Arterial costs'!$D$223:$BB$240, MATCH($B145, 'Arterial costs'!$B$223:$B$240,0), MATCH(L$128, 'Arterial costs'!$D$222:$BB$222,0))</f>
        <v>64298.080818291739</v>
      </c>
      <c r="M145" s="742">
        <f>INDEX('VLU costs INT'!$D$235:$BB$252, MATCH($B145, 'VLU costs INT'!$B$235:$B$252,0), MATCH(M$128, 'VLU costs INT'!$D$234:$BB$234,0))
+ INDEX('Mixed costs INT'!$D$226:$BB$243, MATCH($B145, 'Mixed costs INT'!$B$226:$B$243,0), MATCH(M$128, 'Mixed costs INT'!$D$225:$BB$225,0))
+ INDEX('Arterial costs'!$D$223:$BB$240, MATCH($B145, 'Arterial costs'!$B$223:$B$240,0), MATCH(M$128, 'Arterial costs'!$D$222:$BB$222,0))</f>
        <v>69149.155219014647</v>
      </c>
      <c r="N145" s="742">
        <f>INDEX('VLU costs INT'!$D$235:$BB$252, MATCH($B145, 'VLU costs INT'!$B$235:$B$252,0), MATCH(N$128, 'VLU costs INT'!$D$234:$BB$234,0))
+ INDEX('Mixed costs INT'!$D$226:$BB$243, MATCH($B145, 'Mixed costs INT'!$B$226:$B$243,0), MATCH(N$128, 'Mixed costs INT'!$D$225:$BB$225,0))
+ INDEX('Arterial costs'!$D$223:$BB$240, MATCH($B145, 'Arterial costs'!$B$223:$B$240,0), MATCH(N$128, 'Arterial costs'!$D$222:$BB$222,0))</f>
        <v>74301.422789770368</v>
      </c>
      <c r="O145" s="742">
        <f>INDEX('VLU costs INT'!$D$235:$BB$252, MATCH($B145, 'VLU costs INT'!$B$235:$B$252,0), MATCH(O$128, 'VLU costs INT'!$D$234:$BB$234,0))
+ INDEX('Mixed costs INT'!$D$226:$BB$243, MATCH($B145, 'Mixed costs INT'!$B$226:$B$243,0), MATCH(O$128, 'Mixed costs INT'!$D$225:$BB$225,0))
+ INDEX('Arterial costs'!$D$223:$BB$240, MATCH($B145, 'Arterial costs'!$B$223:$B$240,0), MATCH(O$128, 'Arterial costs'!$D$222:$BB$222,0))</f>
        <v>79758.559403427294</v>
      </c>
      <c r="P145" s="742">
        <f>INDEX('VLU costs INT'!$D$235:$BB$252, MATCH($B145, 'VLU costs INT'!$B$235:$B$252,0), MATCH(P$128, 'VLU costs INT'!$D$234:$BB$234,0))
+ INDEX('Mixed costs INT'!$D$226:$BB$243, MATCH($B145, 'Mixed costs INT'!$B$226:$B$243,0), MATCH(P$128, 'Mixed costs INT'!$D$225:$BB$225,0))
+ INDEX('Arterial costs'!$D$223:$BB$240, MATCH($B145, 'Arterial costs'!$B$223:$B$240,0), MATCH(P$128, 'Arterial costs'!$D$222:$BB$222,0))</f>
        <v>85507.019003095338</v>
      </c>
      <c r="Q145" s="742">
        <f>INDEX('VLU costs INT'!$D$235:$BB$252, MATCH($B145, 'VLU costs INT'!$B$235:$B$252,0), MATCH(Q$128, 'VLU costs INT'!$D$234:$BB$234,0))
+ INDEX('Mixed costs INT'!$D$226:$BB$243, MATCH($B145, 'Mixed costs INT'!$B$226:$B$243,0), MATCH(Q$128, 'Mixed costs INT'!$D$225:$BB$225,0))
+ INDEX('Arterial costs'!$D$223:$BB$240, MATCH($B145, 'Arterial costs'!$B$223:$B$240,0), MATCH(Q$128, 'Arterial costs'!$D$222:$BB$222,0))</f>
        <v>91550.608453892492</v>
      </c>
      <c r="R145" s="742">
        <f>INDEX('VLU costs INT'!$D$235:$BB$252, MATCH($B145, 'VLU costs INT'!$B$235:$B$252,0), MATCH(R$128, 'VLU costs INT'!$D$234:$BB$234,0))
+ INDEX('Mixed costs INT'!$D$226:$BB$243, MATCH($B145, 'Mixed costs INT'!$B$226:$B$243,0), MATCH(R$128, 'Mixed costs INT'!$D$225:$BB$225,0))
+ INDEX('Arterial costs'!$D$223:$BB$240, MATCH($B145, 'Arterial costs'!$B$223:$B$240,0), MATCH(R$128, 'Arterial costs'!$D$222:$BB$222,0))</f>
        <v>96467.00092673098</v>
      </c>
      <c r="S145" s="742">
        <f>INDEX('VLU costs INT'!$D$235:$BB$252, MATCH($B145, 'VLU costs INT'!$B$235:$B$252,0), MATCH(S$128, 'VLU costs INT'!$D$234:$BB$234,0))
+ INDEX('Mixed costs INT'!$D$226:$BB$243, MATCH($B145, 'Mixed costs INT'!$B$226:$B$243,0), MATCH(S$128, 'Mixed costs INT'!$D$225:$BB$225,0))
+ INDEX('Arterial costs'!$D$223:$BB$240, MATCH($B145, 'Arterial costs'!$B$223:$B$240,0), MATCH(S$128, 'Arterial costs'!$D$222:$BB$222,0))</f>
        <v>101773.82563315379</v>
      </c>
      <c r="T145" s="742">
        <f>INDEX('VLU costs INT'!$D$235:$BB$252, MATCH($B145, 'VLU costs INT'!$B$235:$B$252,0), MATCH(T$128, 'VLU costs INT'!$D$234:$BB$234,0))
+ INDEX('Mixed costs INT'!$D$226:$BB$243, MATCH($B145, 'Mixed costs INT'!$B$226:$B$243,0), MATCH(T$128, 'Mixed costs INT'!$D$225:$BB$225,0))
+ INDEX('Arterial costs'!$D$223:$BB$240, MATCH($B145, 'Arterial costs'!$B$223:$B$240,0), MATCH(T$128, 'Arterial costs'!$D$222:$BB$222,0))</f>
        <v>107426.8416380061</v>
      </c>
      <c r="U145" s="742">
        <f>INDEX('VLU costs INT'!$D$235:$BB$252, MATCH($B145, 'VLU costs INT'!$B$235:$B$252,0), MATCH(U$128, 'VLU costs INT'!$D$234:$BB$234,0))
+ INDEX('Mixed costs INT'!$D$226:$BB$243, MATCH($B145, 'Mixed costs INT'!$B$226:$B$243,0), MATCH(U$128, 'Mixed costs INT'!$D$225:$BB$225,0))
+ INDEX('Arterial costs'!$D$223:$BB$240, MATCH($B145, 'Arterial costs'!$B$223:$B$240,0), MATCH(U$128, 'Arterial costs'!$D$222:$BB$222,0))</f>
        <v>113420.27426273609</v>
      </c>
      <c r="V145" s="742">
        <f>INDEX('VLU costs INT'!$D$235:$BB$252, MATCH($B145, 'VLU costs INT'!$B$235:$B$252,0), MATCH(V$128, 'VLU costs INT'!$D$234:$BB$234,0))
+ INDEX('Mixed costs INT'!$D$226:$BB$243, MATCH($B145, 'Mixed costs INT'!$B$226:$B$243,0), MATCH(V$128, 'Mixed costs INT'!$D$225:$BB$225,0))
+ INDEX('Arterial costs'!$D$223:$BB$240, MATCH($B145, 'Arterial costs'!$B$223:$B$240,0), MATCH(V$128, 'Arterial costs'!$D$222:$BB$222,0))</f>
        <v>119711.53677452542</v>
      </c>
      <c r="W145" s="742">
        <f>INDEX('VLU costs INT'!$D$235:$BB$252, MATCH($B145, 'VLU costs INT'!$B$235:$B$252,0), MATCH(W$128, 'VLU costs INT'!$D$234:$BB$234,0))
+ INDEX('Mixed costs INT'!$D$226:$BB$243, MATCH($B145, 'Mixed costs INT'!$B$226:$B$243,0), MATCH(W$128, 'Mixed costs INT'!$D$225:$BB$225,0))
+ INDEX('Arterial costs'!$D$223:$BB$240, MATCH($B145, 'Arterial costs'!$B$223:$B$240,0), MATCH(W$128, 'Arterial costs'!$D$222:$BB$222,0))</f>
        <v>126287.2880346045</v>
      </c>
      <c r="X145" s="742">
        <f>INDEX('VLU costs INT'!$D$235:$BB$252, MATCH($B145, 'VLU costs INT'!$B$235:$B$252,0), MATCH(X$128, 'VLU costs INT'!$D$234:$BB$234,0))
+ INDEX('Mixed costs INT'!$D$226:$BB$243, MATCH($B145, 'Mixed costs INT'!$B$226:$B$243,0), MATCH(X$128, 'Mixed costs INT'!$D$225:$BB$225,0))
+ INDEX('Arterial costs'!$D$223:$BB$240, MATCH($B145, 'Arterial costs'!$B$223:$B$240,0), MATCH(X$128, 'Arterial costs'!$D$222:$BB$222,0))</f>
        <v>133153.95392536011</v>
      </c>
      <c r="Y145" s="742">
        <f>INDEX('VLU costs INT'!$D$235:$BB$252, MATCH($B145, 'VLU costs INT'!$B$235:$B$252,0), MATCH(Y$128, 'VLU costs INT'!$D$234:$BB$234,0))
+ INDEX('Mixed costs INT'!$D$226:$BB$243, MATCH($B145, 'Mixed costs INT'!$B$226:$B$243,0), MATCH(Y$128, 'Mixed costs INT'!$D$225:$BB$225,0))
+ INDEX('Arterial costs'!$D$223:$BB$240, MATCH($B145, 'Arterial costs'!$B$223:$B$240,0), MATCH(Y$128, 'Arterial costs'!$D$222:$BB$222,0))</f>
        <v>140311.85374212314</v>
      </c>
      <c r="Z145" s="742">
        <f>INDEX('VLU costs INT'!$D$235:$BB$252, MATCH($B145, 'VLU costs INT'!$B$235:$B$252,0), MATCH(Z$128, 'VLU costs INT'!$D$234:$BB$234,0))
+ INDEX('Mixed costs INT'!$D$226:$BB$243, MATCH($B145, 'Mixed costs INT'!$B$226:$B$243,0), MATCH(Z$128, 'Mixed costs INT'!$D$225:$BB$225,0))
+ INDEX('Arterial costs'!$D$223:$BB$240, MATCH($B145, 'Arterial costs'!$B$223:$B$240,0), MATCH(Z$128, 'Arterial costs'!$D$222:$BB$222,0))</f>
        <v>147762.65083093371</v>
      </c>
      <c r="AA145" s="742">
        <f>INDEX('VLU costs INT'!$D$235:$BB$252, MATCH($B145, 'VLU costs INT'!$B$235:$B$252,0), MATCH(AA$128, 'VLU costs INT'!$D$234:$BB$234,0))
+ INDEX('Mixed costs INT'!$D$226:$BB$243, MATCH($B145, 'Mixed costs INT'!$B$226:$B$243,0), MATCH(AA$128, 'Mixed costs INT'!$D$225:$BB$225,0))
+ INDEX('Arterial costs'!$D$223:$BB$240, MATCH($B145, 'Arterial costs'!$B$223:$B$240,0), MATCH(AA$128, 'Arterial costs'!$D$222:$BB$222,0))</f>
        <v>155509.77739041741</v>
      </c>
      <c r="AB145" s="742">
        <f>INDEX('VLU costs INT'!$D$235:$BB$252, MATCH($B145, 'VLU costs INT'!$B$235:$B$252,0), MATCH(AB$128, 'VLU costs INT'!$D$234:$BB$234,0))
+ INDEX('Mixed costs INT'!$D$226:$BB$243, MATCH($B145, 'Mixed costs INT'!$B$226:$B$243,0), MATCH(AB$128, 'Mixed costs INT'!$D$225:$BB$225,0))
+ INDEX('Arterial costs'!$D$223:$BB$240, MATCH($B145, 'Arterial costs'!$B$223:$B$240,0), MATCH(AB$128, 'Arterial costs'!$D$222:$BB$222,0))</f>
        <v>163562.24213769723</v>
      </c>
      <c r="AC145" s="742">
        <f>INDEX('VLU costs INT'!$D$235:$BB$252, MATCH($B145, 'VLU costs INT'!$B$235:$B$252,0), MATCH(AC$128, 'VLU costs INT'!$D$234:$BB$234,0))
+ INDEX('Mixed costs INT'!$D$226:$BB$243, MATCH($B145, 'Mixed costs INT'!$B$226:$B$243,0), MATCH(AC$128, 'Mixed costs INT'!$D$225:$BB$225,0))
+ INDEX('Arterial costs'!$D$223:$BB$240, MATCH($B145, 'Arterial costs'!$B$223:$B$240,0), MATCH(AC$128, 'Arterial costs'!$D$222:$BB$222,0))</f>
        <v>171922.24701802997</v>
      </c>
      <c r="AD145" s="742">
        <f>INDEX('VLU costs INT'!$D$235:$BB$252, MATCH($B145, 'VLU costs INT'!$B$235:$B$252,0), MATCH(AD$128, 'VLU costs INT'!$D$234:$BB$234,0))
+ INDEX('Mixed costs INT'!$D$226:$BB$243, MATCH($B145, 'Mixed costs INT'!$B$226:$B$243,0), MATCH(AD$128, 'Mixed costs INT'!$D$225:$BB$225,0))
+ INDEX('Arterial costs'!$D$223:$BB$240, MATCH($B145, 'Arterial costs'!$B$223:$B$240,0), MATCH(AD$128, 'Arterial costs'!$D$222:$BB$222,0))</f>
        <v>180592.71372938238</v>
      </c>
      <c r="AE145" s="742">
        <f>INDEX('VLU costs INT'!$D$235:$BB$252, MATCH($B145, 'VLU costs INT'!$B$235:$B$252,0), MATCH(AE$128, 'VLU costs INT'!$D$234:$BB$234,0))
+ INDEX('Mixed costs INT'!$D$226:$BB$243, MATCH($B145, 'Mixed costs INT'!$B$226:$B$243,0), MATCH(AE$128, 'Mixed costs INT'!$D$225:$BB$225,0))
+ INDEX('Arterial costs'!$D$223:$BB$240, MATCH($B145, 'Arterial costs'!$B$223:$B$240,0), MATCH(AE$128, 'Arterial costs'!$D$222:$BB$222,0))</f>
        <v>189577.40193899904</v>
      </c>
      <c r="AF145" s="742">
        <f>INDEX('VLU costs INT'!$D$235:$BB$252, MATCH($B145, 'VLU costs INT'!$B$235:$B$252,0), MATCH(AF$128, 'VLU costs INT'!$D$234:$BB$234,0))
+ INDEX('Mixed costs INT'!$D$226:$BB$243, MATCH($B145, 'Mixed costs INT'!$B$226:$B$243,0), MATCH(AF$128, 'Mixed costs INT'!$D$225:$BB$225,0))
+ INDEX('Arterial costs'!$D$223:$BB$240, MATCH($B145, 'Arterial costs'!$B$223:$B$240,0), MATCH(AF$128, 'Arterial costs'!$D$222:$BB$222,0))</f>
        <v>198884.30087704054</v>
      </c>
      <c r="AG145" s="742">
        <f>INDEX('VLU costs INT'!$D$235:$BB$252, MATCH($B145, 'VLU costs INT'!$B$235:$B$252,0), MATCH(AG$128, 'VLU costs INT'!$D$234:$BB$234,0))
+ INDEX('Mixed costs INT'!$D$226:$BB$243, MATCH($B145, 'Mixed costs INT'!$B$226:$B$243,0), MATCH(AG$128, 'Mixed costs INT'!$D$225:$BB$225,0))
+ INDEX('Arterial costs'!$D$223:$BB$240, MATCH($B145, 'Arterial costs'!$B$223:$B$240,0), MATCH(AG$128, 'Arterial costs'!$D$222:$BB$222,0))</f>
        <v>208533.64628683391</v>
      </c>
      <c r="AH145" s="742">
        <f>INDEX('VLU costs INT'!$D$235:$BB$252, MATCH($B145, 'VLU costs INT'!$B$235:$B$252,0), MATCH(AH$128, 'VLU costs INT'!$D$234:$BB$234,0))
+ INDEX('Mixed costs INT'!$D$226:$BB$243, MATCH($B145, 'Mixed costs INT'!$B$226:$B$243,0), MATCH(AH$128, 'Mixed costs INT'!$D$225:$BB$225,0))
+ INDEX('Arterial costs'!$D$223:$BB$240, MATCH($B145, 'Arterial costs'!$B$223:$B$240,0), MATCH(AH$128, 'Arterial costs'!$D$222:$BB$222,0))</f>
        <v>218536.99904235761</v>
      </c>
      <c r="AI145" s="742">
        <f>INDEX('VLU costs INT'!$D$235:$BB$252, MATCH($B145, 'VLU costs INT'!$B$235:$B$252,0), MATCH(AI$128, 'VLU costs INT'!$D$234:$BB$234,0))
+ INDEX('Mixed costs INT'!$D$226:$BB$243, MATCH($B145, 'Mixed costs INT'!$B$226:$B$243,0), MATCH(AI$128, 'Mixed costs INT'!$D$225:$BB$225,0))
+ INDEX('Arterial costs'!$D$223:$BB$240, MATCH($B145, 'Arterial costs'!$B$223:$B$240,0), MATCH(AI$128, 'Arterial costs'!$D$222:$BB$222,0))</f>
        <v>228911.32131992554</v>
      </c>
      <c r="AJ145" s="742">
        <f>INDEX('VLU costs INT'!$D$235:$BB$252, MATCH($B145, 'VLU costs INT'!$B$235:$B$252,0), MATCH(AJ$128, 'VLU costs INT'!$D$234:$BB$234,0))
+ INDEX('Mixed costs INT'!$D$226:$BB$243, MATCH($B145, 'Mixed costs INT'!$B$226:$B$243,0), MATCH(AJ$128, 'Mixed costs INT'!$D$225:$BB$225,0))
+ INDEX('Arterial costs'!$D$223:$BB$240, MATCH($B145, 'Arterial costs'!$B$223:$B$240,0), MATCH(AJ$128, 'Arterial costs'!$D$222:$BB$222,0))</f>
        <v>239658.46124176664</v>
      </c>
      <c r="AK145" s="742">
        <f>INDEX('VLU costs INT'!$D$235:$BB$252, MATCH($B145, 'VLU costs INT'!$B$235:$B$252,0), MATCH(AK$128, 'VLU costs INT'!$D$234:$BB$234,0))
+ INDEX('Mixed costs INT'!$D$226:$BB$243, MATCH($B145, 'Mixed costs INT'!$B$226:$B$243,0), MATCH(AK$128, 'Mixed costs INT'!$D$225:$BB$225,0))
+ INDEX('Arterial costs'!$D$223:$BB$240, MATCH($B145, 'Arterial costs'!$B$223:$B$240,0), MATCH(AK$128, 'Arterial costs'!$D$222:$BB$222,0))</f>
        <v>250776.01496976631</v>
      </c>
      <c r="AL145" s="742">
        <f>INDEX('VLU costs INT'!$D$235:$BB$252, MATCH($B145, 'VLU costs INT'!$B$235:$B$252,0), MATCH(AL$128, 'VLU costs INT'!$D$234:$BB$234,0))
+ INDEX('Mixed costs INT'!$D$226:$BB$243, MATCH($B145, 'Mixed costs INT'!$B$226:$B$243,0), MATCH(AL$128, 'Mixed costs INT'!$D$225:$BB$225,0))
+ INDEX('Arterial costs'!$D$223:$BB$240, MATCH($B145, 'Arterial costs'!$B$223:$B$240,0), MATCH(AL$128, 'Arterial costs'!$D$222:$BB$222,0))</f>
        <v>262265.29658175714</v>
      </c>
      <c r="AM145" s="742">
        <f>INDEX('VLU costs INT'!$D$235:$BB$252, MATCH($B145, 'VLU costs INT'!$B$235:$B$252,0), MATCH(AM$128, 'VLU costs INT'!$D$234:$BB$234,0))
+ INDEX('Mixed costs INT'!$D$226:$BB$243, MATCH($B145, 'Mixed costs INT'!$B$226:$B$243,0), MATCH(AM$128, 'Mixed costs INT'!$D$225:$BB$225,0))
+ INDEX('Arterial costs'!$D$223:$BB$240, MATCH($B145, 'Arterial costs'!$B$223:$B$240,0), MATCH(AM$128, 'Arterial costs'!$D$222:$BB$222,0))</f>
        <v>274131.31948639126</v>
      </c>
      <c r="AN145" s="742">
        <f>INDEX('VLU costs INT'!$D$235:$BB$252, MATCH($B145, 'VLU costs INT'!$B$235:$B$252,0), MATCH(AN$128, 'VLU costs INT'!$D$234:$BB$234,0))
+ INDEX('Mixed costs INT'!$D$226:$BB$243, MATCH($B145, 'Mixed costs INT'!$B$226:$B$243,0), MATCH(AN$128, 'Mixed costs INT'!$D$225:$BB$225,0))
+ INDEX('Arterial costs'!$D$223:$BB$240, MATCH($B145, 'Arterial costs'!$B$223:$B$240,0), MATCH(AN$128, 'Arterial costs'!$D$222:$BB$222,0))</f>
        <v>286379.61127061502</v>
      </c>
      <c r="AO145" s="742">
        <f>INDEX('VLU costs INT'!$D$235:$BB$252, MATCH($B145, 'VLU costs INT'!$B$235:$B$252,0), MATCH(AO$128, 'VLU costs INT'!$D$234:$BB$234,0))
+ INDEX('Mixed costs INT'!$D$226:$BB$243, MATCH($B145, 'Mixed costs INT'!$B$226:$B$243,0), MATCH(AO$128, 'Mixed costs INT'!$D$225:$BB$225,0))
+ INDEX('Arterial costs'!$D$223:$BB$240, MATCH($B145, 'Arterial costs'!$B$223:$B$240,0), MATCH(AO$128, 'Arterial costs'!$D$222:$BB$222,0))</f>
        <v>299015.21837484429</v>
      </c>
      <c r="AP145" s="742">
        <f>INDEX('VLU costs INT'!$D$235:$BB$252, MATCH($B145, 'VLU costs INT'!$B$235:$B$252,0), MATCH(AP$128, 'VLU costs INT'!$D$234:$BB$234,0))
+ INDEX('Mixed costs INT'!$D$226:$BB$243, MATCH($B145, 'Mixed costs INT'!$B$226:$B$243,0), MATCH(AP$128, 'Mixed costs INT'!$D$225:$BB$225,0))
+ INDEX('Arterial costs'!$D$223:$BB$240, MATCH($B145, 'Arterial costs'!$B$223:$B$240,0), MATCH(AP$128, 'Arterial costs'!$D$222:$BB$222,0))</f>
        <v>312068.84504091908</v>
      </c>
      <c r="AQ145" s="742">
        <f>INDEX('VLU costs INT'!$D$235:$BB$252, MATCH($B145, 'VLU costs INT'!$B$235:$B$252,0), MATCH(AQ$128, 'VLU costs INT'!$D$234:$BB$234,0))
+ INDEX('Mixed costs INT'!$D$226:$BB$243, MATCH($B145, 'Mixed costs INT'!$B$226:$B$243,0), MATCH(AQ$128, 'Mixed costs INT'!$D$225:$BB$225,0))
+ INDEX('Arterial costs'!$D$223:$BB$240, MATCH($B145, 'Arterial costs'!$B$223:$B$240,0), MATCH(AQ$128, 'Arterial costs'!$D$222:$BB$222,0))</f>
        <v>325573.8450868965</v>
      </c>
      <c r="AR145" s="742">
        <f>INDEX('VLU costs INT'!$D$235:$BB$252, MATCH($B145, 'VLU costs INT'!$B$235:$B$252,0), MATCH(AR$128, 'VLU costs INT'!$D$234:$BB$234,0))
+ INDEX('Mixed costs INT'!$D$226:$BB$243, MATCH($B145, 'Mixed costs INT'!$B$226:$B$243,0), MATCH(AR$128, 'Mixed costs INT'!$D$225:$BB$225,0))
+ INDEX('Arterial costs'!$D$223:$BB$240, MATCH($B145, 'Arterial costs'!$B$223:$B$240,0), MATCH(AR$128, 'Arterial costs'!$D$222:$BB$222,0))</f>
        <v>339561.0570908481</v>
      </c>
      <c r="AS145" s="742">
        <f>INDEX('VLU costs INT'!$D$235:$BB$252, MATCH($B145, 'VLU costs INT'!$B$235:$B$252,0), MATCH(AS$128, 'VLU costs INT'!$D$234:$BB$234,0))
+ INDEX('Mixed costs INT'!$D$226:$BB$243, MATCH($B145, 'Mixed costs INT'!$B$226:$B$243,0), MATCH(AS$128, 'Mixed costs INT'!$D$225:$BB$225,0))
+ INDEX('Arterial costs'!$D$223:$BB$240, MATCH($B145, 'Arterial costs'!$B$223:$B$240,0), MATCH(AS$128, 'Arterial costs'!$D$222:$BB$222,0))</f>
        <v>353942.21422438219</v>
      </c>
      <c r="AU145" s="73" t="s">
        <v>22</v>
      </c>
      <c r="AV145" s="800">
        <f>SUM(AV138:AV144)</f>
        <v>752.68362352826091</v>
      </c>
      <c r="AW145" s="800">
        <f>SUM(AW138:AW144)</f>
        <v>589.15536408029664</v>
      </c>
      <c r="AX145" s="73" t="s">
        <v>22</v>
      </c>
    </row>
    <row r="146" spans="1:55">
      <c r="B146" s="6" t="s">
        <v>2871</v>
      </c>
      <c r="C146" s="742">
        <f>INDEX('VLU costs INT'!$D$235:$BB$252, MATCH($B146, 'VLU costs INT'!$B$235:$B$252,0), MATCH(C$128, 'VLU costs INT'!$D$234:$BB$234,0))
+ INDEX('Mixed costs INT'!$D$226:$BB$243, MATCH($B146, 'Mixed costs INT'!$B$226:$B$243,0), MATCH(C$128, 'Mixed costs INT'!$D$225:$BB$225,0))
+ INDEX('Arterial costs'!$D$223:$BB$240, MATCH($B146, 'Arterial costs'!$B$223:$B$240,0), MATCH(C$128, 'Arterial costs'!$D$222:$BB$222,0))</f>
        <v>6379.1431736518007</v>
      </c>
      <c r="D146" s="742">
        <f>INDEX('VLU costs INT'!$D$235:$BB$252, MATCH($B146, 'VLU costs INT'!$B$235:$B$252,0), MATCH(D$128, 'VLU costs INT'!$D$234:$BB$234,0))
+ INDEX('Mixed costs INT'!$D$226:$BB$243, MATCH($B146, 'Mixed costs INT'!$B$226:$B$243,0), MATCH(D$128, 'Mixed costs INT'!$D$225:$BB$225,0))
+ INDEX('Arterial costs'!$D$223:$BB$240, MATCH($B146, 'Arterial costs'!$B$223:$B$240,0), MATCH(D$128, 'Arterial costs'!$D$222:$BB$222,0))</f>
        <v>6728.3344365656558</v>
      </c>
      <c r="E146" s="742">
        <f>INDEX('VLU costs INT'!$D$235:$BB$252, MATCH($B146, 'VLU costs INT'!$B$235:$B$252,0), MATCH(E$128, 'VLU costs INT'!$D$234:$BB$234,0))
+ INDEX('Mixed costs INT'!$D$226:$BB$243, MATCH($B146, 'Mixed costs INT'!$B$226:$B$243,0), MATCH(E$128, 'Mixed costs INT'!$D$225:$BB$225,0))
+ INDEX('Arterial costs'!$D$223:$BB$240, MATCH($B146, 'Arterial costs'!$B$223:$B$240,0), MATCH(E$128, 'Arterial costs'!$D$222:$BB$222,0))</f>
        <v>7055.4223358898716</v>
      </c>
      <c r="F146" s="742">
        <f>INDEX('VLU costs INT'!$D$235:$BB$252, MATCH($B146, 'VLU costs INT'!$B$235:$B$252,0), MATCH(F$128, 'VLU costs INT'!$D$234:$BB$234,0))
+ INDEX('Mixed costs INT'!$D$226:$BB$243, MATCH($B146, 'Mixed costs INT'!$B$226:$B$243,0), MATCH(F$128, 'Mixed costs INT'!$D$225:$BB$225,0))
+ INDEX('Arterial costs'!$D$223:$BB$240, MATCH($B146, 'Arterial costs'!$B$223:$B$240,0), MATCH(F$128, 'Arterial costs'!$D$222:$BB$222,0))</f>
        <v>7369.5432601628636</v>
      </c>
      <c r="G146" s="742">
        <f>INDEX('VLU costs INT'!$D$235:$BB$252, MATCH($B146, 'VLU costs INT'!$B$235:$B$252,0), MATCH(G$128, 'VLU costs INT'!$D$234:$BB$234,0))
+ INDEX('Mixed costs INT'!$D$226:$BB$243, MATCH($B146, 'Mixed costs INT'!$B$226:$B$243,0), MATCH(G$128, 'Mixed costs INT'!$D$225:$BB$225,0))
+ INDEX('Arterial costs'!$D$223:$BB$240, MATCH($B146, 'Arterial costs'!$B$223:$B$240,0), MATCH(G$128, 'Arterial costs'!$D$222:$BB$222,0))</f>
        <v>6056.7000658152201</v>
      </c>
      <c r="H146" s="742">
        <f>INDEX('VLU costs INT'!$D$235:$BB$252, MATCH($B146, 'VLU costs INT'!$B$235:$B$252,0), MATCH(H$128, 'VLU costs INT'!$D$234:$BB$234,0))
+ INDEX('Mixed costs INT'!$D$226:$BB$243, MATCH($B146, 'Mixed costs INT'!$B$226:$B$243,0), MATCH(H$128, 'Mixed costs INT'!$D$225:$BB$225,0))
+ INDEX('Arterial costs'!$D$223:$BB$240, MATCH($B146, 'Arterial costs'!$B$223:$B$240,0), MATCH(H$128, 'Arterial costs'!$D$222:$BB$222,0))</f>
        <v>5572.1685141003582</v>
      </c>
      <c r="I146" s="742">
        <f>INDEX('VLU costs INT'!$D$235:$BB$252, MATCH($B146, 'VLU costs INT'!$B$235:$B$252,0), MATCH(I$128, 'VLU costs INT'!$D$234:$BB$234,0))
+ INDEX('Mixed costs INT'!$D$226:$BB$243, MATCH($B146, 'Mixed costs INT'!$B$226:$B$243,0), MATCH(I$128, 'Mixed costs INT'!$D$225:$BB$225,0))
+ INDEX('Arterial costs'!$D$223:$BB$240, MATCH($B146, 'Arterial costs'!$B$223:$B$240,0), MATCH(I$128, 'Arterial costs'!$D$222:$BB$222,0))</f>
        <v>5307.6665582515016</v>
      </c>
      <c r="J146" s="742">
        <f>INDEX('VLU costs INT'!$D$235:$BB$252, MATCH($B146, 'VLU costs INT'!$B$235:$B$252,0), MATCH(J$128, 'VLU costs INT'!$D$234:$BB$234,0))
+ INDEX('Mixed costs INT'!$D$226:$BB$243, MATCH($B146, 'Mixed costs INT'!$B$226:$B$243,0), MATCH(J$128, 'Mixed costs INT'!$D$225:$BB$225,0))
+ INDEX('Arterial costs'!$D$223:$BB$240, MATCH($B146, 'Arterial costs'!$B$223:$B$240,0), MATCH(J$128, 'Arterial costs'!$D$222:$BB$222,0))</f>
        <v>5191.0706858798276</v>
      </c>
      <c r="K146" s="742">
        <f>INDEX('VLU costs INT'!$D$235:$BB$252, MATCH($B146, 'VLU costs INT'!$B$235:$B$252,0), MATCH(K$128, 'VLU costs INT'!$D$234:$BB$234,0))
+ INDEX('Mixed costs INT'!$D$226:$BB$243, MATCH($B146, 'Mixed costs INT'!$B$226:$B$243,0), MATCH(K$128, 'Mixed costs INT'!$D$225:$BB$225,0))
+ INDEX('Arterial costs'!$D$223:$BB$240, MATCH($B146, 'Arterial costs'!$B$223:$B$240,0), MATCH(K$128, 'Arterial costs'!$D$222:$BB$222,0))</f>
        <v>5183.0791345655816</v>
      </c>
      <c r="L146" s="742">
        <f>INDEX('VLU costs INT'!$D$235:$BB$252, MATCH($B146, 'VLU costs INT'!$B$235:$B$252,0), MATCH(L$128, 'VLU costs INT'!$D$234:$BB$234,0))
+ INDEX('Mixed costs INT'!$D$226:$BB$243, MATCH($B146, 'Mixed costs INT'!$B$226:$B$243,0), MATCH(L$128, 'Mixed costs INT'!$D$225:$BB$225,0))
+ INDEX('Arterial costs'!$D$223:$BB$240, MATCH($B146, 'Arterial costs'!$B$223:$B$240,0), MATCH(L$128, 'Arterial costs'!$D$222:$BB$222,0))</f>
        <v>5243.9479962308778</v>
      </c>
      <c r="M146" s="742">
        <f>INDEX('VLU costs INT'!$D$235:$BB$252, MATCH($B146, 'VLU costs INT'!$B$235:$B$252,0), MATCH(M$128, 'VLU costs INT'!$D$234:$BB$234,0))
+ INDEX('Mixed costs INT'!$D$226:$BB$243, MATCH($B146, 'Mixed costs INT'!$B$226:$B$243,0), MATCH(M$128, 'Mixed costs INT'!$D$225:$BB$225,0))
+ INDEX('Arterial costs'!$D$223:$BB$240, MATCH($B146, 'Arterial costs'!$B$223:$B$240,0), MATCH(M$128, 'Arterial costs'!$D$222:$BB$222,0))</f>
        <v>5349.6844589836164</v>
      </c>
      <c r="N146" s="742">
        <f>INDEX('VLU costs INT'!$D$235:$BB$252, MATCH($B146, 'VLU costs INT'!$B$235:$B$252,0), MATCH(N$128, 'VLU costs INT'!$D$234:$BB$234,0))
+ INDEX('Mixed costs INT'!$D$226:$BB$243, MATCH($B146, 'Mixed costs INT'!$B$226:$B$243,0), MATCH(N$128, 'Mixed costs INT'!$D$225:$BB$225,0))
+ INDEX('Arterial costs'!$D$223:$BB$240, MATCH($B146, 'Arterial costs'!$B$223:$B$240,0), MATCH(N$128, 'Arterial costs'!$D$222:$BB$222,0))</f>
        <v>5488.8551854275174</v>
      </c>
      <c r="O146" s="742">
        <f>INDEX('VLU costs INT'!$D$235:$BB$252, MATCH($B146, 'VLU costs INT'!$B$235:$B$252,0), MATCH(O$128, 'VLU costs INT'!$D$234:$BB$234,0))
+ INDEX('Mixed costs INT'!$D$226:$BB$243, MATCH($B146, 'Mixed costs INT'!$B$226:$B$243,0), MATCH(O$128, 'Mixed costs INT'!$D$225:$BB$225,0))
+ INDEX('Arterial costs'!$D$223:$BB$240, MATCH($B146, 'Arterial costs'!$B$223:$B$240,0), MATCH(O$128, 'Arterial costs'!$D$222:$BB$222,0))</f>
        <v>5647.1876268323449</v>
      </c>
      <c r="P146" s="742">
        <f>INDEX('VLU costs INT'!$D$235:$BB$252, MATCH($B146, 'VLU costs INT'!$B$235:$B$252,0), MATCH(P$128, 'VLU costs INT'!$D$234:$BB$234,0))
+ INDEX('Mixed costs INT'!$D$226:$BB$243, MATCH($B146, 'Mixed costs INT'!$B$226:$B$243,0), MATCH(P$128, 'Mixed costs INT'!$D$225:$BB$225,0))
+ INDEX('Arterial costs'!$D$223:$BB$240, MATCH($B146, 'Arterial costs'!$B$223:$B$240,0), MATCH(P$128, 'Arterial costs'!$D$222:$BB$222,0))</f>
        <v>5818.6054142353096</v>
      </c>
      <c r="Q146" s="742">
        <f>INDEX('VLU costs INT'!$D$235:$BB$252, MATCH($B146, 'VLU costs INT'!$B$235:$B$252,0), MATCH(Q$128, 'VLU costs INT'!$D$234:$BB$234,0))
+ INDEX('Mixed costs INT'!$D$226:$BB$243, MATCH($B146, 'Mixed costs INT'!$B$226:$B$243,0), MATCH(Q$128, 'Mixed costs INT'!$D$225:$BB$225,0))
+ INDEX('Arterial costs'!$D$223:$BB$240, MATCH($B146, 'Arterial costs'!$B$223:$B$240,0), MATCH(Q$128, 'Arterial costs'!$D$222:$BB$222,0))</f>
        <v>6000.7462277675222</v>
      </c>
      <c r="R146" s="742">
        <f>INDEX('VLU costs INT'!$D$235:$BB$252, MATCH($B146, 'VLU costs INT'!$B$235:$B$252,0), MATCH(R$128, 'VLU costs INT'!$D$234:$BB$234,0))
+ INDEX('Mixed costs INT'!$D$226:$BB$243, MATCH($B146, 'Mixed costs INT'!$B$226:$B$243,0), MATCH(R$128, 'Mixed costs INT'!$D$225:$BB$225,0))
+ INDEX('Arterial costs'!$D$223:$BB$240, MATCH($B146, 'Arterial costs'!$B$223:$B$240,0), MATCH(R$128, 'Arterial costs'!$D$222:$BB$222,0))</f>
        <v>6191.3587379416404</v>
      </c>
      <c r="S146" s="742">
        <f>INDEX('VLU costs INT'!$D$235:$BB$252, MATCH($B146, 'VLU costs INT'!$B$235:$B$252,0), MATCH(S$128, 'VLU costs INT'!$D$234:$BB$234,0))
+ INDEX('Mixed costs INT'!$D$226:$BB$243, MATCH($B146, 'Mixed costs INT'!$B$226:$B$243,0), MATCH(S$128, 'Mixed costs INT'!$D$225:$BB$225,0))
+ INDEX('Arterial costs'!$D$223:$BB$240, MATCH($B146, 'Arterial costs'!$B$223:$B$240,0), MATCH(S$128, 'Arterial costs'!$D$222:$BB$222,0))</f>
        <v>6388.4529831475047</v>
      </c>
      <c r="T146" s="742">
        <f>INDEX('VLU costs INT'!$D$235:$BB$252, MATCH($B146, 'VLU costs INT'!$B$235:$B$252,0), MATCH(T$128, 'VLU costs INT'!$D$234:$BB$234,0))
+ INDEX('Mixed costs INT'!$D$226:$BB$243, MATCH($B146, 'Mixed costs INT'!$B$226:$B$243,0), MATCH(T$128, 'Mixed costs INT'!$D$225:$BB$225,0))
+ INDEX('Arterial costs'!$D$223:$BB$240, MATCH($B146, 'Arterial costs'!$B$223:$B$240,0), MATCH(T$128, 'Arterial costs'!$D$222:$BB$222,0))</f>
        <v>6592.1940823475015</v>
      </c>
      <c r="U146" s="742">
        <f>INDEX('VLU costs INT'!$D$235:$BB$252, MATCH($B146, 'VLU costs INT'!$B$235:$B$252,0), MATCH(U$128, 'VLU costs INT'!$D$234:$BB$234,0))
+ INDEX('Mixed costs INT'!$D$226:$BB$243, MATCH($B146, 'Mixed costs INT'!$B$226:$B$243,0), MATCH(U$128, 'Mixed costs INT'!$D$225:$BB$225,0))
+ INDEX('Arterial costs'!$D$223:$BB$240, MATCH($B146, 'Arterial costs'!$B$223:$B$240,0), MATCH(U$128, 'Arterial costs'!$D$222:$BB$222,0))</f>
        <v>6805.6461684691403</v>
      </c>
      <c r="V146" s="742">
        <f>INDEX('VLU costs INT'!$D$235:$BB$252, MATCH($B146, 'VLU costs INT'!$B$235:$B$252,0), MATCH(V$128, 'VLU costs INT'!$D$234:$BB$234,0))
+ INDEX('Mixed costs INT'!$D$226:$BB$243, MATCH($B146, 'Mixed costs INT'!$B$226:$B$243,0), MATCH(V$128, 'Mixed costs INT'!$D$225:$BB$225,0))
+ INDEX('Arterial costs'!$D$223:$BB$240, MATCH($B146, 'Arterial costs'!$B$223:$B$240,0), MATCH(V$128, 'Arterial costs'!$D$222:$BB$222,0))</f>
        <v>7024.0711962849509</v>
      </c>
      <c r="W146" s="742">
        <f>INDEX('VLU costs INT'!$D$235:$BB$252, MATCH($B146, 'VLU costs INT'!$B$235:$B$252,0), MATCH(W$128, 'VLU costs INT'!$D$234:$BB$234,0))
+ INDEX('Mixed costs INT'!$D$226:$BB$243, MATCH($B146, 'Mixed costs INT'!$B$226:$B$243,0), MATCH(W$128, 'Mixed costs INT'!$D$225:$BB$225,0))
+ INDEX('Arterial costs'!$D$223:$BB$240, MATCH($B146, 'Arterial costs'!$B$223:$B$240,0), MATCH(W$128, 'Arterial costs'!$D$222:$BB$222,0))</f>
        <v>7246.5044207334886</v>
      </c>
      <c r="X146" s="742">
        <f>INDEX('VLU costs INT'!$D$235:$BB$252, MATCH($B146, 'VLU costs INT'!$B$235:$B$252,0), MATCH(X$128, 'VLU costs INT'!$D$234:$BB$234,0))
+ INDEX('Mixed costs INT'!$D$226:$BB$243, MATCH($B146, 'Mixed costs INT'!$B$226:$B$243,0), MATCH(X$128, 'Mixed costs INT'!$D$225:$BB$225,0))
+ INDEX('Arterial costs'!$D$223:$BB$240, MATCH($B146, 'Arterial costs'!$B$223:$B$240,0), MATCH(X$128, 'Arterial costs'!$D$222:$BB$222,0))</f>
        <v>7474.7291739819302</v>
      </c>
      <c r="Y146" s="742">
        <f>INDEX('VLU costs INT'!$D$235:$BB$252, MATCH($B146, 'VLU costs INT'!$B$235:$B$252,0), MATCH(Y$128, 'VLU costs INT'!$D$234:$BB$234,0))
+ INDEX('Mixed costs INT'!$D$226:$BB$243, MATCH($B146, 'Mixed costs INT'!$B$226:$B$243,0), MATCH(Y$128, 'Mixed costs INT'!$D$225:$BB$225,0))
+ INDEX('Arterial costs'!$D$223:$BB$240, MATCH($B146, 'Arterial costs'!$B$223:$B$240,0), MATCH(Y$128, 'Arterial costs'!$D$222:$BB$222,0))</f>
        <v>7707.9046391242309</v>
      </c>
      <c r="Z146" s="742">
        <f>INDEX('VLU costs INT'!$D$235:$BB$252, MATCH($B146, 'VLU costs INT'!$B$235:$B$252,0), MATCH(Z$128, 'VLU costs INT'!$D$234:$BB$234,0))
+ INDEX('Mixed costs INT'!$D$226:$BB$243, MATCH($B146, 'Mixed costs INT'!$B$226:$B$243,0), MATCH(Z$128, 'Mixed costs INT'!$D$225:$BB$225,0))
+ INDEX('Arterial costs'!$D$223:$BB$240, MATCH($B146, 'Arterial costs'!$B$223:$B$240,0), MATCH(Z$128, 'Arterial costs'!$D$222:$BB$222,0))</f>
        <v>7945.2910833475062</v>
      </c>
      <c r="AA146" s="742">
        <f>INDEX('VLU costs INT'!$D$235:$BB$252, MATCH($B146, 'VLU costs INT'!$B$235:$B$252,0), MATCH(AA$128, 'VLU costs INT'!$D$234:$BB$234,0))
+ INDEX('Mixed costs INT'!$D$226:$BB$243, MATCH($B146, 'Mixed costs INT'!$B$226:$B$243,0), MATCH(AA$128, 'Mixed costs INT'!$D$225:$BB$225,0))
+ INDEX('Arterial costs'!$D$223:$BB$240, MATCH($B146, 'Arterial costs'!$B$223:$B$240,0), MATCH(AA$128, 'Arterial costs'!$D$222:$BB$222,0))</f>
        <v>8186.3706106581849</v>
      </c>
      <c r="AB146" s="742">
        <f>INDEX('VLU costs INT'!$D$235:$BB$252, MATCH($B146, 'VLU costs INT'!$B$235:$B$252,0), MATCH(AB$128, 'VLU costs INT'!$D$234:$BB$234,0))
+ INDEX('Mixed costs INT'!$D$226:$BB$243, MATCH($B146, 'Mixed costs INT'!$B$226:$B$243,0), MATCH(AB$128, 'Mixed costs INT'!$D$225:$BB$225,0))
+ INDEX('Arterial costs'!$D$223:$BB$240, MATCH($B146, 'Arterial costs'!$B$223:$B$240,0), MATCH(AB$128, 'Arterial costs'!$D$222:$BB$222,0))</f>
        <v>8431.6820085549462</v>
      </c>
      <c r="AC146" s="742">
        <f>INDEX('VLU costs INT'!$D$235:$BB$252, MATCH($B146, 'VLU costs INT'!$B$235:$B$252,0), MATCH(AC$128, 'VLU costs INT'!$D$234:$BB$234,0))
+ INDEX('Mixed costs INT'!$D$226:$BB$243, MATCH($B146, 'Mixed costs INT'!$B$226:$B$243,0), MATCH(AC$128, 'Mixed costs INT'!$D$225:$BB$225,0))
+ INDEX('Arterial costs'!$D$223:$BB$240, MATCH($B146, 'Arterial costs'!$B$223:$B$240,0), MATCH(AC$128, 'Arterial costs'!$D$222:$BB$222,0))</f>
        <v>8680.2644473479668</v>
      </c>
      <c r="AD146" s="742">
        <f>INDEX('VLU costs INT'!$D$235:$BB$252, MATCH($B146, 'VLU costs INT'!$B$235:$B$252,0), MATCH(AD$128, 'VLU costs INT'!$D$234:$BB$234,0))
+ INDEX('Mixed costs INT'!$D$226:$BB$243, MATCH($B146, 'Mixed costs INT'!$B$226:$B$243,0), MATCH(AD$128, 'Mixed costs INT'!$D$225:$BB$225,0))
+ INDEX('Arterial costs'!$D$223:$BB$240, MATCH($B146, 'Arterial costs'!$B$223:$B$240,0), MATCH(AD$128, 'Arterial costs'!$D$222:$BB$222,0))</f>
        <v>8931.227919831792</v>
      </c>
      <c r="AE146" s="742">
        <f>INDEX('VLU costs INT'!$D$235:$BB$252, MATCH($B146, 'VLU costs INT'!$B$235:$B$252,0), MATCH(AE$128, 'VLU costs INT'!$D$234:$BB$234,0))
+ INDEX('Mixed costs INT'!$D$226:$BB$243, MATCH($B146, 'Mixed costs INT'!$B$226:$B$243,0), MATCH(AE$128, 'Mixed costs INT'!$D$225:$BB$225,0))
+ INDEX('Arterial costs'!$D$223:$BB$240, MATCH($B146, 'Arterial costs'!$B$223:$B$240,0), MATCH(AE$128, 'Arterial costs'!$D$222:$BB$222,0))</f>
        <v>9183.9167316386738</v>
      </c>
      <c r="AF146" s="742">
        <f>INDEX('VLU costs INT'!$D$235:$BB$252, MATCH($B146, 'VLU costs INT'!$B$235:$B$252,0), MATCH(AF$128, 'VLU costs INT'!$D$234:$BB$234,0))
+ INDEX('Mixed costs INT'!$D$226:$BB$243, MATCH($B146, 'Mixed costs INT'!$B$226:$B$243,0), MATCH(AF$128, 'Mixed costs INT'!$D$225:$BB$225,0))
+ INDEX('Arterial costs'!$D$223:$BB$240, MATCH($B146, 'Arterial costs'!$B$223:$B$240,0), MATCH(AF$128, 'Arterial costs'!$D$222:$BB$222,0))</f>
        <v>9438.4740626252751</v>
      </c>
      <c r="AG146" s="742">
        <f>INDEX('VLU costs INT'!$D$235:$BB$252, MATCH($B146, 'VLU costs INT'!$B$235:$B$252,0), MATCH(AG$128, 'VLU costs INT'!$D$234:$BB$234,0))
+ INDEX('Mixed costs INT'!$D$226:$BB$243, MATCH($B146, 'Mixed costs INT'!$B$226:$B$243,0), MATCH(AG$128, 'Mixed costs INT'!$D$225:$BB$225,0))
+ INDEX('Arterial costs'!$D$223:$BB$240, MATCH($B146, 'Arterial costs'!$B$223:$B$240,0), MATCH(AG$128, 'Arterial costs'!$D$222:$BB$222,0))</f>
        <v>9696.6552241905119</v>
      </c>
      <c r="AH146" s="742">
        <f>INDEX('VLU costs INT'!$D$235:$BB$252, MATCH($B146, 'VLU costs INT'!$B$235:$B$252,0), MATCH(AH$128, 'VLU costs INT'!$D$234:$BB$234,0))
+ INDEX('Mixed costs INT'!$D$226:$BB$243, MATCH($B146, 'Mixed costs INT'!$B$226:$B$243,0), MATCH(AH$128, 'Mixed costs INT'!$D$225:$BB$225,0))
+ INDEX('Arterial costs'!$D$223:$BB$240, MATCH($B146, 'Arterial costs'!$B$223:$B$240,0), MATCH(AH$128, 'Arterial costs'!$D$222:$BB$222,0))</f>
        <v>9958.6808653449571</v>
      </c>
      <c r="AI146" s="742">
        <f>INDEX('VLU costs INT'!$D$235:$BB$252, MATCH($B146, 'VLU costs INT'!$B$235:$B$252,0), MATCH(AI$128, 'VLU costs INT'!$D$234:$BB$234,0))
+ INDEX('Mixed costs INT'!$D$226:$BB$243, MATCH($B146, 'Mixed costs INT'!$B$226:$B$243,0), MATCH(AI$128, 'Mixed costs INT'!$D$225:$BB$225,0))
+ INDEX('Arterial costs'!$D$223:$BB$240, MATCH($B146, 'Arterial costs'!$B$223:$B$240,0), MATCH(AI$128, 'Arterial costs'!$D$222:$BB$222,0))</f>
        <v>10225.683750609262</v>
      </c>
      <c r="AJ146" s="742">
        <f>INDEX('VLU costs INT'!$D$235:$BB$252, MATCH($B146, 'VLU costs INT'!$B$235:$B$252,0), MATCH(AJ$128, 'VLU costs INT'!$D$234:$BB$234,0))
+ INDEX('Mixed costs INT'!$D$226:$BB$243, MATCH($B146, 'Mixed costs INT'!$B$226:$B$243,0), MATCH(AJ$128, 'Mixed costs INT'!$D$225:$BB$225,0))
+ INDEX('Arterial costs'!$D$223:$BB$240, MATCH($B146, 'Arterial costs'!$B$223:$B$240,0), MATCH(AJ$128, 'Arterial costs'!$D$222:$BB$222,0))</f>
        <v>10496.597932710416</v>
      </c>
      <c r="AK146" s="742">
        <f>INDEX('VLU costs INT'!$D$235:$BB$252, MATCH($B146, 'VLU costs INT'!$B$235:$B$252,0), MATCH(AK$128, 'VLU costs INT'!$D$234:$BB$234,0))
+ INDEX('Mixed costs INT'!$D$226:$BB$243, MATCH($B146, 'Mixed costs INT'!$B$226:$B$243,0), MATCH(AK$128, 'Mixed costs INT'!$D$225:$BB$225,0))
+ INDEX('Arterial costs'!$D$223:$BB$240, MATCH($B146, 'Arterial costs'!$B$223:$B$240,0), MATCH(AK$128, 'Arterial costs'!$D$222:$BB$222,0))</f>
        <v>10769.543670898147</v>
      </c>
      <c r="AL146" s="742">
        <f>INDEX('VLU costs INT'!$D$235:$BB$252, MATCH($B146, 'VLU costs INT'!$B$235:$B$252,0), MATCH(AL$128, 'VLU costs INT'!$D$234:$BB$234,0))
+ INDEX('Mixed costs INT'!$D$226:$BB$243, MATCH($B146, 'Mixed costs INT'!$B$226:$B$243,0), MATCH(AL$128, 'Mixed costs INT'!$D$225:$BB$225,0))
+ INDEX('Arterial costs'!$D$223:$BB$240, MATCH($B146, 'Arterial costs'!$B$223:$B$240,0), MATCH(AL$128, 'Arterial costs'!$D$222:$BB$222,0))</f>
        <v>11043.410545645474</v>
      </c>
      <c r="AM146" s="742">
        <f>INDEX('VLU costs INT'!$D$235:$BB$252, MATCH($B146, 'VLU costs INT'!$B$235:$B$252,0), MATCH(AM$128, 'VLU costs INT'!$D$234:$BB$234,0))
+ INDEX('Mixed costs INT'!$D$226:$BB$243, MATCH($B146, 'Mixed costs INT'!$B$226:$B$243,0), MATCH(AM$128, 'Mixed costs INT'!$D$225:$BB$225,0))
+ INDEX('Arterial costs'!$D$223:$BB$240, MATCH($B146, 'Arterial costs'!$B$223:$B$240,0), MATCH(AM$128, 'Arterial costs'!$D$222:$BB$222,0))</f>
        <v>11317.321312774418</v>
      </c>
      <c r="AN146" s="742">
        <f>INDEX('VLU costs INT'!$D$235:$BB$252, MATCH($B146, 'VLU costs INT'!$B$235:$B$252,0), MATCH(AN$128, 'VLU costs INT'!$D$234:$BB$234,0))
+ INDEX('Mixed costs INT'!$D$226:$BB$243, MATCH($B146, 'Mixed costs INT'!$B$226:$B$243,0), MATCH(AN$128, 'Mixed costs INT'!$D$225:$BB$225,0))
+ INDEX('Arterial costs'!$D$223:$BB$240, MATCH($B146, 'Arterial costs'!$B$223:$B$240,0), MATCH(AN$128, 'Arterial costs'!$D$222:$BB$222,0))</f>
        <v>11590.591063763515</v>
      </c>
      <c r="AO146" s="742">
        <f>INDEX('VLU costs INT'!$D$235:$BB$252, MATCH($B146, 'VLU costs INT'!$B$235:$B$252,0), MATCH(AO$128, 'VLU costs INT'!$D$234:$BB$234,0))
+ INDEX('Mixed costs INT'!$D$226:$BB$243, MATCH($B146, 'Mixed costs INT'!$B$226:$B$243,0), MATCH(AO$128, 'Mixed costs INT'!$D$225:$BB$225,0))
+ INDEX('Arterial costs'!$D$223:$BB$240, MATCH($B146, 'Arterial costs'!$B$223:$B$240,0), MATCH(AO$128, 'Arterial costs'!$D$222:$BB$222,0))</f>
        <v>11862.563445961456</v>
      </c>
      <c r="AP146" s="742">
        <f>INDEX('VLU costs INT'!$D$235:$BB$252, MATCH($B146, 'VLU costs INT'!$B$235:$B$252,0), MATCH(AP$128, 'VLU costs INT'!$D$234:$BB$234,0))
+ INDEX('Mixed costs INT'!$D$226:$BB$243, MATCH($B146, 'Mixed costs INT'!$B$226:$B$243,0), MATCH(AP$128, 'Mixed costs INT'!$D$225:$BB$225,0))
+ INDEX('Arterial costs'!$D$223:$BB$240, MATCH($B146, 'Arterial costs'!$B$223:$B$240,0), MATCH(AP$128, 'Arterial costs'!$D$222:$BB$222,0))</f>
        <v>12136.539430118755</v>
      </c>
      <c r="AQ146" s="742">
        <f>INDEX('VLU costs INT'!$D$235:$BB$252, MATCH($B146, 'VLU costs INT'!$B$235:$B$252,0), MATCH(AQ$128, 'VLU costs INT'!$D$234:$BB$234,0))
+ INDEX('Mixed costs INT'!$D$226:$BB$243, MATCH($B146, 'Mixed costs INT'!$B$226:$B$243,0), MATCH(AQ$128, 'Mixed costs INT'!$D$225:$BB$225,0))
+ INDEX('Arterial costs'!$D$223:$BB$240, MATCH($B146, 'Arterial costs'!$B$223:$B$240,0), MATCH(AQ$128, 'Arterial costs'!$D$222:$BB$222,0))</f>
        <v>12415.714026316953</v>
      </c>
      <c r="AR146" s="742">
        <f>INDEX('VLU costs INT'!$D$235:$BB$252, MATCH($B146, 'VLU costs INT'!$B$235:$B$252,0), MATCH(AR$128, 'VLU costs INT'!$D$234:$BB$234,0))
+ INDEX('Mixed costs INT'!$D$226:$BB$243, MATCH($B146, 'Mixed costs INT'!$B$226:$B$243,0), MATCH(AR$128, 'Mixed costs INT'!$D$225:$BB$225,0))
+ INDEX('Arterial costs'!$D$223:$BB$240, MATCH($B146, 'Arterial costs'!$B$223:$B$240,0), MATCH(AR$128, 'Arterial costs'!$D$222:$BB$222,0))</f>
        <v>12702.521544649853</v>
      </c>
      <c r="AS146" s="742">
        <f>INDEX('VLU costs INT'!$D$235:$BB$252, MATCH($B146, 'VLU costs INT'!$B$235:$B$252,0), MATCH(AS$128, 'VLU costs INT'!$D$234:$BB$234,0))
+ INDEX('Mixed costs INT'!$D$226:$BB$243, MATCH($B146, 'Mixed costs INT'!$B$226:$B$243,0), MATCH(AS$128, 'Mixed costs INT'!$D$225:$BB$225,0))
+ INDEX('Arterial costs'!$D$223:$BB$240, MATCH($B146, 'Arterial costs'!$B$223:$B$240,0), MATCH(AS$128, 'Arterial costs'!$D$222:$BB$222,0))</f>
        <v>12982.696612520493</v>
      </c>
    </row>
    <row r="147" spans="1:55">
      <c r="B147" s="5" t="s">
        <v>22</v>
      </c>
      <c r="C147" s="744">
        <f t="shared" ref="C147:AO147" si="25">SUM(C129:C146)</f>
        <v>1857670.8902109973</v>
      </c>
      <c r="D147" s="744">
        <f t="shared" si="25"/>
        <v>1984957.7777199771</v>
      </c>
      <c r="E147" s="744">
        <f t="shared" si="25"/>
        <v>2108712.2937463033</v>
      </c>
      <c r="F147" s="744">
        <f t="shared" si="25"/>
        <v>2231354.9957164326</v>
      </c>
      <c r="G147" s="744">
        <f t="shared" si="25"/>
        <v>2255185.1086192084</v>
      </c>
      <c r="H147" s="744">
        <f t="shared" si="25"/>
        <v>2152670.742941746</v>
      </c>
      <c r="I147" s="744">
        <f t="shared" si="25"/>
        <v>2126855.5407574642</v>
      </c>
      <c r="J147" s="744">
        <f t="shared" si="25"/>
        <v>2153151.2208963465</v>
      </c>
      <c r="K147" s="744">
        <f t="shared" si="25"/>
        <v>2218504.2755743084</v>
      </c>
      <c r="L147" s="744">
        <f t="shared" si="25"/>
        <v>2309749.2123844111</v>
      </c>
      <c r="M147" s="744">
        <f t="shared" si="25"/>
        <v>2419076.0756676625</v>
      </c>
      <c r="N147" s="744">
        <f t="shared" si="25"/>
        <v>2541576.3191063912</v>
      </c>
      <c r="O147" s="744">
        <f t="shared" si="25"/>
        <v>2673922.0489493893</v>
      </c>
      <c r="P147" s="744">
        <f t="shared" si="25"/>
        <v>2814340.3037287057</v>
      </c>
      <c r="Q147" s="744">
        <f t="shared" si="25"/>
        <v>2962329.0558817061</v>
      </c>
      <c r="R147" s="744">
        <f t="shared" si="25"/>
        <v>3085709.0336541161</v>
      </c>
      <c r="S147" s="744">
        <f t="shared" si="25"/>
        <v>3217894.8562010475</v>
      </c>
      <c r="T147" s="744">
        <f t="shared" si="25"/>
        <v>3357914.7916471451</v>
      </c>
      <c r="U147" s="744">
        <f t="shared" si="25"/>
        <v>3506289.2875313926</v>
      </c>
      <c r="V147" s="744">
        <f t="shared" si="25"/>
        <v>3660910.6477689976</v>
      </c>
      <c r="W147" s="744">
        <f t="shared" si="25"/>
        <v>3821225.0588626862</v>
      </c>
      <c r="X147" s="744">
        <f t="shared" si="25"/>
        <v>3987797.559224105</v>
      </c>
      <c r="Y147" s="744">
        <f t="shared" si="25"/>
        <v>4160335.634486679</v>
      </c>
      <c r="Z147" s="744">
        <f t="shared" si="25"/>
        <v>4338647.4344892995</v>
      </c>
      <c r="AA147" s="744">
        <f t="shared" si="25"/>
        <v>4522642.303627586</v>
      </c>
      <c r="AB147" s="744">
        <f t="shared" si="25"/>
        <v>4712623.8114380939</v>
      </c>
      <c r="AC147" s="744">
        <f t="shared" si="25"/>
        <v>4908349.0289863367</v>
      </c>
      <c r="AD147" s="744">
        <f t="shared" si="25"/>
        <v>5109605.2649270231</v>
      </c>
      <c r="AE147" s="744">
        <f t="shared" si="25"/>
        <v>5316258.3047644868</v>
      </c>
      <c r="AF147" s="744">
        <f t="shared" si="25"/>
        <v>5528461.432595117</v>
      </c>
      <c r="AG147" s="744">
        <f t="shared" si="25"/>
        <v>5747034.2449271427</v>
      </c>
      <c r="AH147" s="744">
        <f t="shared" si="25"/>
        <v>5972223.8986257752</v>
      </c>
      <c r="AI147" s="744">
        <f t="shared" si="25"/>
        <v>6204632.73310092</v>
      </c>
      <c r="AJ147" s="744">
        <f t="shared" si="25"/>
        <v>6443994.836596706</v>
      </c>
      <c r="AK147" s="744">
        <f t="shared" si="25"/>
        <v>6689714.5518563474</v>
      </c>
      <c r="AL147" s="744">
        <f t="shared" si="25"/>
        <v>6941480.6200636532</v>
      </c>
      <c r="AM147" s="744">
        <f t="shared" si="25"/>
        <v>7199080.2075941004</v>
      </c>
      <c r="AN147" s="744">
        <f t="shared" si="25"/>
        <v>7462375.3089682683</v>
      </c>
      <c r="AO147" s="744">
        <f t="shared" si="25"/>
        <v>7731231.8994425703</v>
      </c>
      <c r="AP147" s="744">
        <f t="shared" ref="AP147" si="26">SUM(AP129:AP146)</f>
        <v>8007140.0904120207</v>
      </c>
      <c r="AQ147" s="744">
        <f t="shared" ref="AQ147" si="27">SUM(AQ129:AQ146)</f>
        <v>8291607.0276679713</v>
      </c>
      <c r="AR147" s="744">
        <f t="shared" ref="AR147" si="28">SUM(AR129:AR146)</f>
        <v>8585877.5659146607</v>
      </c>
      <c r="AS147" s="744">
        <f t="shared" ref="AS147" si="29">SUM(AS129:AS146)</f>
        <v>8884142.0343411565</v>
      </c>
    </row>
    <row r="148" spans="1:55">
      <c r="B148" s="114"/>
      <c r="C148" s="151" t="b">
        <f t="shared" ref="C148:AO148" si="30">C147=SUM(C22:C24)</f>
        <v>1</v>
      </c>
      <c r="D148" s="151" t="b">
        <f t="shared" si="30"/>
        <v>1</v>
      </c>
      <c r="E148" s="151" t="b">
        <f t="shared" si="30"/>
        <v>1</v>
      </c>
      <c r="F148" s="151" t="b">
        <f t="shared" si="30"/>
        <v>1</v>
      </c>
      <c r="G148" s="151" t="b">
        <f t="shared" si="30"/>
        <v>1</v>
      </c>
      <c r="H148" s="151" t="b">
        <f t="shared" si="30"/>
        <v>1</v>
      </c>
      <c r="I148" s="151" t="b">
        <f t="shared" si="30"/>
        <v>1</v>
      </c>
      <c r="J148" s="151" t="b">
        <f t="shared" si="30"/>
        <v>1</v>
      </c>
      <c r="K148" s="151" t="b">
        <f t="shared" si="30"/>
        <v>1</v>
      </c>
      <c r="L148" s="151" t="b">
        <f t="shared" si="30"/>
        <v>1</v>
      </c>
      <c r="M148" s="151" t="b">
        <f t="shared" si="30"/>
        <v>1</v>
      </c>
      <c r="N148" s="151" t="b">
        <f t="shared" si="30"/>
        <v>1</v>
      </c>
      <c r="O148" s="151" t="b">
        <f t="shared" si="30"/>
        <v>1</v>
      </c>
      <c r="P148" s="151" t="b">
        <f t="shared" si="30"/>
        <v>1</v>
      </c>
      <c r="Q148" s="151" t="b">
        <f t="shared" si="30"/>
        <v>1</v>
      </c>
      <c r="R148" s="151" t="b">
        <f t="shared" si="30"/>
        <v>1</v>
      </c>
      <c r="S148" s="151" t="b">
        <f t="shared" si="30"/>
        <v>1</v>
      </c>
      <c r="T148" s="151" t="b">
        <f t="shared" si="30"/>
        <v>0</v>
      </c>
      <c r="U148" s="151" t="b">
        <f t="shared" si="30"/>
        <v>1</v>
      </c>
      <c r="V148" s="151" t="b">
        <f t="shared" si="30"/>
        <v>1</v>
      </c>
      <c r="W148" s="151" t="b">
        <f t="shared" si="30"/>
        <v>1</v>
      </c>
      <c r="X148" s="151" t="b">
        <f t="shared" si="30"/>
        <v>1</v>
      </c>
      <c r="Y148" s="151" t="b">
        <f t="shared" si="30"/>
        <v>1</v>
      </c>
      <c r="Z148" s="151" t="b">
        <f t="shared" si="30"/>
        <v>1</v>
      </c>
      <c r="AA148" s="151" t="b">
        <f t="shared" si="30"/>
        <v>1</v>
      </c>
      <c r="AB148" s="151" t="b">
        <f t="shared" si="30"/>
        <v>1</v>
      </c>
      <c r="AC148" s="151" t="b">
        <f t="shared" si="30"/>
        <v>1</v>
      </c>
      <c r="AD148" s="151" t="b">
        <f t="shared" si="30"/>
        <v>1</v>
      </c>
      <c r="AE148" s="151" t="b">
        <f t="shared" si="30"/>
        <v>1</v>
      </c>
      <c r="AF148" s="151" t="b">
        <f t="shared" si="30"/>
        <v>1</v>
      </c>
      <c r="AG148" s="151" t="b">
        <f t="shared" si="30"/>
        <v>1</v>
      </c>
      <c r="AH148" s="151" t="b">
        <f t="shared" si="30"/>
        <v>1</v>
      </c>
      <c r="AI148" s="151" t="b">
        <f t="shared" si="30"/>
        <v>1</v>
      </c>
      <c r="AJ148" s="151" t="b">
        <f t="shared" si="30"/>
        <v>1</v>
      </c>
      <c r="AK148" s="151" t="b">
        <f t="shared" si="30"/>
        <v>1</v>
      </c>
      <c r="AL148" s="151" t="b">
        <f t="shared" si="30"/>
        <v>0</v>
      </c>
      <c r="AM148" s="151" t="b">
        <f t="shared" si="30"/>
        <v>1</v>
      </c>
      <c r="AN148" s="151" t="b">
        <f t="shared" si="30"/>
        <v>1</v>
      </c>
      <c r="AO148" s="151" t="b">
        <f t="shared" si="30"/>
        <v>1</v>
      </c>
      <c r="AP148" s="151"/>
      <c r="AQ148" s="151"/>
      <c r="AR148" s="151"/>
      <c r="AS148" s="151"/>
      <c r="AZ148" s="73" t="s">
        <v>22</v>
      </c>
      <c r="BA148" s="800">
        <f>SUMIFS($AW$138:$AW$145,$AX$138:$AX$145,AZ148)</f>
        <v>589.15536408029664</v>
      </c>
      <c r="BB148" s="800">
        <f>SUMIFS($AV$138:$AV$145,$AX$138:$AX$145,AZ148)</f>
        <v>752.68362352826091</v>
      </c>
      <c r="BC148" s="19">
        <f>(BB148/BA148)-1</f>
        <v>0.27756389811241178</v>
      </c>
    </row>
    <row r="149" spans="1:55">
      <c r="B149" s="114"/>
      <c r="M149" s="19"/>
      <c r="N149" s="19"/>
      <c r="O149" s="19"/>
      <c r="P149" s="19"/>
      <c r="Q149" s="19"/>
      <c r="R149" s="19"/>
      <c r="S149" s="19"/>
      <c r="T149" s="19"/>
      <c r="U149" s="19"/>
      <c r="V149" s="19"/>
      <c r="W149" s="19"/>
      <c r="X149" s="19"/>
      <c r="Y149" s="19"/>
      <c r="Z149" s="19"/>
      <c r="AA149" s="19"/>
      <c r="AB149" s="19"/>
      <c r="AC149" s="19"/>
      <c r="AD149" s="19"/>
      <c r="AE149" s="19"/>
      <c r="AF149" s="19"/>
      <c r="AG149" s="19"/>
    </row>
    <row r="150" spans="1:55">
      <c r="A150" s="9" t="s">
        <v>10</v>
      </c>
      <c r="B150" s="9" t="s">
        <v>3456</v>
      </c>
    </row>
    <row r="151" spans="1:55">
      <c r="BB151" t="s">
        <v>3570</v>
      </c>
      <c r="BC151" s="15">
        <f>SUM(N162:N167,N170)</f>
        <v>22001.632490507542</v>
      </c>
    </row>
    <row r="152" spans="1:55">
      <c r="B152" s="84" t="s">
        <v>125</v>
      </c>
      <c r="C152" s="34">
        <f t="shared" ref="C152:AO152" si="31">C21</f>
        <v>2020</v>
      </c>
      <c r="D152" s="34">
        <f t="shared" si="31"/>
        <v>2021</v>
      </c>
      <c r="E152" s="34">
        <f t="shared" si="31"/>
        <v>2022</v>
      </c>
      <c r="F152" s="34">
        <f t="shared" si="31"/>
        <v>2023</v>
      </c>
      <c r="G152" s="34">
        <f t="shared" si="31"/>
        <v>2024</v>
      </c>
      <c r="H152" s="34">
        <f t="shared" si="31"/>
        <v>2025</v>
      </c>
      <c r="I152" s="34">
        <f t="shared" si="31"/>
        <v>2026</v>
      </c>
      <c r="J152" s="34">
        <f t="shared" si="31"/>
        <v>2027</v>
      </c>
      <c r="K152" s="34">
        <f t="shared" si="31"/>
        <v>2028</v>
      </c>
      <c r="L152" s="34">
        <f t="shared" si="31"/>
        <v>2029</v>
      </c>
      <c r="M152" s="34">
        <f t="shared" si="31"/>
        <v>2030</v>
      </c>
      <c r="N152" s="34">
        <f t="shared" si="31"/>
        <v>2031</v>
      </c>
      <c r="O152" s="34">
        <f t="shared" si="31"/>
        <v>2032</v>
      </c>
      <c r="P152" s="34">
        <f t="shared" si="31"/>
        <v>2033</v>
      </c>
      <c r="Q152" s="34">
        <f t="shared" si="31"/>
        <v>2034</v>
      </c>
      <c r="R152" s="34">
        <f t="shared" si="31"/>
        <v>2035</v>
      </c>
      <c r="S152" s="34">
        <f t="shared" si="31"/>
        <v>2036</v>
      </c>
      <c r="T152" s="34">
        <f t="shared" si="31"/>
        <v>2037</v>
      </c>
      <c r="U152" s="34">
        <f t="shared" si="31"/>
        <v>2038</v>
      </c>
      <c r="V152" s="34">
        <f t="shared" si="31"/>
        <v>2039</v>
      </c>
      <c r="W152" s="34">
        <f t="shared" si="31"/>
        <v>2040</v>
      </c>
      <c r="X152" s="34">
        <f t="shared" si="31"/>
        <v>2041</v>
      </c>
      <c r="Y152" s="34">
        <f t="shared" si="31"/>
        <v>2042</v>
      </c>
      <c r="Z152" s="34">
        <f t="shared" si="31"/>
        <v>2043</v>
      </c>
      <c r="AA152" s="34">
        <f t="shared" si="31"/>
        <v>2044</v>
      </c>
      <c r="AB152" s="34">
        <f t="shared" si="31"/>
        <v>2045</v>
      </c>
      <c r="AC152" s="34">
        <f t="shared" si="31"/>
        <v>2046</v>
      </c>
      <c r="AD152" s="34">
        <f t="shared" si="31"/>
        <v>2047</v>
      </c>
      <c r="AE152" s="34">
        <f t="shared" si="31"/>
        <v>2048</v>
      </c>
      <c r="AF152" s="34">
        <f t="shared" si="31"/>
        <v>2049</v>
      </c>
      <c r="AG152" s="34">
        <f t="shared" si="31"/>
        <v>2050</v>
      </c>
      <c r="AH152" s="34">
        <f t="shared" si="31"/>
        <v>2051</v>
      </c>
      <c r="AI152" s="34">
        <f t="shared" si="31"/>
        <v>2052</v>
      </c>
      <c r="AJ152" s="34">
        <f t="shared" si="31"/>
        <v>2053</v>
      </c>
      <c r="AK152" s="34">
        <f t="shared" si="31"/>
        <v>2054</v>
      </c>
      <c r="AL152" s="34">
        <f t="shared" si="31"/>
        <v>2055</v>
      </c>
      <c r="AM152" s="34">
        <f t="shared" si="31"/>
        <v>2056</v>
      </c>
      <c r="AN152" s="34">
        <f t="shared" si="31"/>
        <v>2057</v>
      </c>
      <c r="AO152" s="34">
        <f t="shared" si="31"/>
        <v>2058</v>
      </c>
      <c r="AP152" s="34">
        <f>AO152+1</f>
        <v>2059</v>
      </c>
      <c r="AQ152" s="34">
        <f t="shared" ref="AQ152:AS152" si="32">AP152+1</f>
        <v>2060</v>
      </c>
      <c r="AR152" s="34">
        <f t="shared" si="32"/>
        <v>2061</v>
      </c>
      <c r="AS152" s="34">
        <f t="shared" si="32"/>
        <v>2062</v>
      </c>
      <c r="AU152" s="84" t="s">
        <v>2493</v>
      </c>
      <c r="AW152" s="84" t="s">
        <v>2493</v>
      </c>
      <c r="BB152" t="s">
        <v>3571</v>
      </c>
      <c r="BC152" s="81">
        <f>SUM(N114:N119,N122)</f>
        <v>323248.61726916226</v>
      </c>
    </row>
    <row r="153" spans="1:55">
      <c r="A153" s="19"/>
      <c r="B153" s="6" t="s">
        <v>11</v>
      </c>
      <c r="C153" s="169">
        <f t="shared" ref="C153:AO153" si="33">C105-C129</f>
        <v>0</v>
      </c>
      <c r="D153" s="169">
        <f t="shared" si="33"/>
        <v>0</v>
      </c>
      <c r="E153" s="169">
        <f t="shared" si="33"/>
        <v>0</v>
      </c>
      <c r="F153" s="169">
        <f t="shared" si="33"/>
        <v>0</v>
      </c>
      <c r="G153" s="169">
        <f t="shared" si="33"/>
        <v>24245.112621813547</v>
      </c>
      <c r="H153" s="169">
        <f t="shared" si="33"/>
        <v>46014.990686900157</v>
      </c>
      <c r="I153" s="169">
        <f t="shared" si="33"/>
        <v>61586.697721496952</v>
      </c>
      <c r="J153" s="169">
        <f t="shared" si="33"/>
        <v>73102.406306447374</v>
      </c>
      <c r="K153" s="169">
        <f t="shared" si="33"/>
        <v>82101.090415369428</v>
      </c>
      <c r="L153" s="169">
        <f t="shared" si="33"/>
        <v>89469.482023507619</v>
      </c>
      <c r="M153" s="169">
        <f t="shared" si="33"/>
        <v>95764.303414879163</v>
      </c>
      <c r="N153" s="169">
        <f t="shared" si="33"/>
        <v>101249.79402362806</v>
      </c>
      <c r="O153" s="169">
        <f t="shared" si="33"/>
        <v>106293.80377881927</v>
      </c>
      <c r="P153" s="169">
        <f t="shared" si="33"/>
        <v>111141.53874372062</v>
      </c>
      <c r="Q153" s="169">
        <f t="shared" si="33"/>
        <v>115950.6955926927</v>
      </c>
      <c r="R153" s="169">
        <f t="shared" si="33"/>
        <v>120800.30089224441</v>
      </c>
      <c r="S153" s="169">
        <f t="shared" si="33"/>
        <v>125671.84159856293</v>
      </c>
      <c r="T153" s="169">
        <f t="shared" si="33"/>
        <v>130573.01678062079</v>
      </c>
      <c r="U153" s="169">
        <f t="shared" si="33"/>
        <v>135610.84213239496</v>
      </c>
      <c r="V153" s="169">
        <f t="shared" si="33"/>
        <v>140768.93522620999</v>
      </c>
      <c r="W153" s="169">
        <f t="shared" si="33"/>
        <v>146031.10549867424</v>
      </c>
      <c r="X153" s="169">
        <f t="shared" si="33"/>
        <v>151338.33203754394</v>
      </c>
      <c r="Y153" s="169">
        <f t="shared" si="33"/>
        <v>156803.32849525934</v>
      </c>
      <c r="Z153" s="169">
        <f t="shared" si="33"/>
        <v>162434.11284546985</v>
      </c>
      <c r="AA153" s="169">
        <f t="shared" si="33"/>
        <v>168214.2246467541</v>
      </c>
      <c r="AB153" s="169">
        <f t="shared" si="33"/>
        <v>174101.46545552253</v>
      </c>
      <c r="AC153" s="169">
        <f t="shared" si="33"/>
        <v>180096.87592489185</v>
      </c>
      <c r="AD153" s="169">
        <f t="shared" si="33"/>
        <v>186205.11997499177</v>
      </c>
      <c r="AE153" s="169">
        <f t="shared" si="33"/>
        <v>192424.03512787016</v>
      </c>
      <c r="AF153" s="169">
        <f t="shared" si="33"/>
        <v>198765.19098243292</v>
      </c>
      <c r="AG153" s="169">
        <f t="shared" si="33"/>
        <v>205268.52185705164</v>
      </c>
      <c r="AH153" s="169">
        <f t="shared" si="33"/>
        <v>211940.56906773761</v>
      </c>
      <c r="AI153" s="169">
        <f t="shared" si="33"/>
        <v>218786.87443471054</v>
      </c>
      <c r="AJ153" s="169">
        <f t="shared" si="33"/>
        <v>225731.05576639966</v>
      </c>
      <c r="AK153" s="169">
        <f t="shared" si="33"/>
        <v>232741.88089714985</v>
      </c>
      <c r="AL153" s="169">
        <f t="shared" si="33"/>
        <v>239786.87739281013</v>
      </c>
      <c r="AM153" s="169">
        <f t="shared" si="33"/>
        <v>246922.54050717328</v>
      </c>
      <c r="AN153" s="169">
        <f t="shared" si="33"/>
        <v>254171.01251070155</v>
      </c>
      <c r="AO153" s="169">
        <f t="shared" si="33"/>
        <v>261528.54730549379</v>
      </c>
      <c r="AP153" s="169">
        <f t="shared" ref="AP153:AS153" si="34">AP105-AP129</f>
        <v>269023.74312294397</v>
      </c>
      <c r="AQ153" s="169">
        <f t="shared" si="34"/>
        <v>276715.5416440058</v>
      </c>
      <c r="AR153" s="169">
        <f t="shared" si="34"/>
        <v>284665.41982063209</v>
      </c>
      <c r="AS153" s="169">
        <f t="shared" si="34"/>
        <v>292468.23827346193</v>
      </c>
      <c r="AU153" s="737" t="s">
        <v>3457</v>
      </c>
      <c r="AW153" s="737" t="s">
        <v>11</v>
      </c>
      <c r="BB153" t="s">
        <v>3572</v>
      </c>
      <c r="BC153" s="568">
        <f>BC151/BC152</f>
        <v>6.8064119427268116E-2</v>
      </c>
    </row>
    <row r="154" spans="1:55">
      <c r="A154" s="19"/>
      <c r="B154" s="6" t="s">
        <v>14</v>
      </c>
      <c r="C154" s="169">
        <f t="shared" ref="C154:AO154" si="35">C106-C130</f>
        <v>0</v>
      </c>
      <c r="D154" s="169">
        <f t="shared" si="35"/>
        <v>0</v>
      </c>
      <c r="E154" s="169">
        <f t="shared" si="35"/>
        <v>0</v>
      </c>
      <c r="F154" s="169">
        <f t="shared" si="35"/>
        <v>0</v>
      </c>
      <c r="G154" s="169">
        <f t="shared" si="35"/>
        <v>-4.6609945937337898</v>
      </c>
      <c r="H154" s="169">
        <f t="shared" si="35"/>
        <v>50.336518104694392</v>
      </c>
      <c r="I154" s="169">
        <f t="shared" si="35"/>
        <v>87.730360880869227</v>
      </c>
      <c r="J154" s="169">
        <f t="shared" si="35"/>
        <v>113.84899879313861</v>
      </c>
      <c r="K154" s="169">
        <f t="shared" si="35"/>
        <v>132.9829677301131</v>
      </c>
      <c r="L154" s="169">
        <f t="shared" si="35"/>
        <v>147.733049441231</v>
      </c>
      <c r="M154" s="169">
        <f t="shared" si="35"/>
        <v>159.68311413393747</v>
      </c>
      <c r="N154" s="169">
        <f t="shared" si="35"/>
        <v>169.56811631702794</v>
      </c>
      <c r="O154" s="169">
        <f t="shared" si="35"/>
        <v>178.3779333474223</v>
      </c>
      <c r="P154" s="169">
        <f t="shared" si="35"/>
        <v>186.7128231992283</v>
      </c>
      <c r="Q154" s="169">
        <f t="shared" si="35"/>
        <v>194.92788278588807</v>
      </c>
      <c r="R154" s="169">
        <f t="shared" si="35"/>
        <v>203.1990479020713</v>
      </c>
      <c r="S154" s="169">
        <f t="shared" si="35"/>
        <v>211.48210755450373</v>
      </c>
      <c r="T154" s="169">
        <f t="shared" si="35"/>
        <v>219.77834987762878</v>
      </c>
      <c r="U154" s="169">
        <f t="shared" si="35"/>
        <v>228.28968082199339</v>
      </c>
      <c r="V154" s="169">
        <f t="shared" si="35"/>
        <v>237.01879962044444</v>
      </c>
      <c r="W154" s="169">
        <f t="shared" si="35"/>
        <v>245.9304243467945</v>
      </c>
      <c r="X154" s="169">
        <f t="shared" si="35"/>
        <v>254.86601417190184</v>
      </c>
      <c r="Y154" s="169">
        <f t="shared" si="35"/>
        <v>264.09105007975052</v>
      </c>
      <c r="Z154" s="169">
        <f t="shared" si="35"/>
        <v>273.62557704697088</v>
      </c>
      <c r="AA154" s="169">
        <f t="shared" si="35"/>
        <v>283.432551616968</v>
      </c>
      <c r="AB154" s="169">
        <f t="shared" si="35"/>
        <v>293.40715808574646</v>
      </c>
      <c r="AC154" s="169">
        <f t="shared" si="35"/>
        <v>303.56232371646831</v>
      </c>
      <c r="AD154" s="169">
        <f t="shared" si="35"/>
        <v>313.91767499493733</v>
      </c>
      <c r="AE154" s="169">
        <f t="shared" si="35"/>
        <v>324.47414058018364</v>
      </c>
      <c r="AF154" s="169">
        <f t="shared" si="35"/>
        <v>335.25518216932824</v>
      </c>
      <c r="AG154" s="169">
        <f t="shared" si="35"/>
        <v>346.33084998418724</v>
      </c>
      <c r="AH154" s="169">
        <f t="shared" si="35"/>
        <v>357.71154542104125</v>
      </c>
      <c r="AI154" s="169">
        <f t="shared" si="35"/>
        <v>369.39556935715382</v>
      </c>
      <c r="AJ154" s="169">
        <f t="shared" si="35"/>
        <v>381.22030305296153</v>
      </c>
      <c r="AK154" s="169">
        <f t="shared" si="35"/>
        <v>393.13804605354994</v>
      </c>
      <c r="AL154" s="169">
        <f t="shared" si="35"/>
        <v>405.08941639146849</v>
      </c>
      <c r="AM154" s="169">
        <f t="shared" si="35"/>
        <v>417.2147687063075</v>
      </c>
      <c r="AN154" s="169">
        <f t="shared" si="35"/>
        <v>429.57021468021401</v>
      </c>
      <c r="AO154" s="169">
        <f t="shared" si="35"/>
        <v>442.15177959152402</v>
      </c>
      <c r="AP154" s="169">
        <f t="shared" ref="AP154:AS154" si="36">AP106-AP130</f>
        <v>454.98482185130342</v>
      </c>
      <c r="AQ154" s="169">
        <f t="shared" si="36"/>
        <v>468.16599757505503</v>
      </c>
      <c r="AR154" s="169">
        <f t="shared" si="36"/>
        <v>481.80539360768478</v>
      </c>
      <c r="AS154" s="169">
        <f t="shared" si="36"/>
        <v>495.14377443179728</v>
      </c>
      <c r="AU154" s="737" t="s">
        <v>3457</v>
      </c>
      <c r="AW154" s="737" t="s">
        <v>14</v>
      </c>
      <c r="BB154" t="s">
        <v>3573</v>
      </c>
      <c r="BC154" s="791">
        <v>0.11</v>
      </c>
    </row>
    <row r="155" spans="1:55">
      <c r="A155" s="19"/>
      <c r="B155" s="6" t="s">
        <v>15</v>
      </c>
      <c r="C155" s="169">
        <f t="shared" ref="C155:AO155" si="37">C107-C131</f>
        <v>0</v>
      </c>
      <c r="D155" s="169">
        <f t="shared" si="37"/>
        <v>0</v>
      </c>
      <c r="E155" s="169">
        <f t="shared" si="37"/>
        <v>0</v>
      </c>
      <c r="F155" s="169">
        <f t="shared" si="37"/>
        <v>0</v>
      </c>
      <c r="G155" s="169">
        <f t="shared" si="37"/>
        <v>534.82419055170703</v>
      </c>
      <c r="H155" s="169">
        <f t="shared" si="37"/>
        <v>1224.5437188092565</v>
      </c>
      <c r="I155" s="169">
        <f t="shared" si="37"/>
        <v>1709.7944623420371</v>
      </c>
      <c r="J155" s="169">
        <f t="shared" si="37"/>
        <v>2062.4316001376665</v>
      </c>
      <c r="K155" s="169">
        <f t="shared" si="37"/>
        <v>2333.0450087313602</v>
      </c>
      <c r="L155" s="169">
        <f t="shared" si="37"/>
        <v>2551.1622843361301</v>
      </c>
      <c r="M155" s="169">
        <f t="shared" si="37"/>
        <v>2735.1085652038773</v>
      </c>
      <c r="N155" s="169">
        <f t="shared" si="37"/>
        <v>2893.5050713561905</v>
      </c>
      <c r="O155" s="169">
        <f t="shared" si="37"/>
        <v>3038.2174593869777</v>
      </c>
      <c r="P155" s="169">
        <f t="shared" si="37"/>
        <v>3176.9229219423032</v>
      </c>
      <c r="Q155" s="169">
        <f t="shared" si="37"/>
        <v>3314.4343468575462</v>
      </c>
      <c r="R155" s="169">
        <f t="shared" si="37"/>
        <v>3453.1398319186874</v>
      </c>
      <c r="S155" s="169">
        <f t="shared" si="37"/>
        <v>3592.4335044204254</v>
      </c>
      <c r="T155" s="169">
        <f t="shared" si="37"/>
        <v>3732.4802386709925</v>
      </c>
      <c r="U155" s="169">
        <f t="shared" si="37"/>
        <v>3876.4247958121196</v>
      </c>
      <c r="V155" s="169">
        <f t="shared" si="37"/>
        <v>4023.8844765103895</v>
      </c>
      <c r="W155" s="169">
        <f t="shared" si="37"/>
        <v>4174.3555664965425</v>
      </c>
      <c r="X155" s="169">
        <f t="shared" si="37"/>
        <v>4325.9315420254352</v>
      </c>
      <c r="Y155" s="169">
        <f t="shared" si="37"/>
        <v>4482.117115865196</v>
      </c>
      <c r="Z155" s="169">
        <f t="shared" si="37"/>
        <v>4643.1578032347643</v>
      </c>
      <c r="AA155" s="169">
        <f t="shared" si="37"/>
        <v>4808.5416369406812</v>
      </c>
      <c r="AB155" s="169">
        <f t="shared" si="37"/>
        <v>4976.9354207694305</v>
      </c>
      <c r="AC155" s="169">
        <f t="shared" si="37"/>
        <v>5148.4083096842551</v>
      </c>
      <c r="AD155" s="169">
        <f t="shared" si="37"/>
        <v>5323.1350329733068</v>
      </c>
      <c r="AE155" s="169">
        <f t="shared" si="37"/>
        <v>5501.0684860313377</v>
      </c>
      <c r="AF155" s="169">
        <f t="shared" si="37"/>
        <v>5682.5550757723358</v>
      </c>
      <c r="AG155" s="169">
        <f t="shared" si="37"/>
        <v>5868.7534179001013</v>
      </c>
      <c r="AH155" s="169">
        <f t="shared" si="37"/>
        <v>6059.8470415798911</v>
      </c>
      <c r="AI155" s="169">
        <f t="shared" si="37"/>
        <v>6255.9556324334371</v>
      </c>
      <c r="AJ155" s="169">
        <f t="shared" si="37"/>
        <v>6454.7625431546076</v>
      </c>
      <c r="AK155" s="169">
        <f t="shared" si="37"/>
        <v>6655.389031011433</v>
      </c>
      <c r="AL155" s="169">
        <f t="shared" si="37"/>
        <v>6856.8884569476286</v>
      </c>
      <c r="AM155" s="169">
        <f t="shared" si="37"/>
        <v>7061.0464659602039</v>
      </c>
      <c r="AN155" s="169">
        <f t="shared" si="37"/>
        <v>7268.5637999989012</v>
      </c>
      <c r="AO155" s="169">
        <f t="shared" si="37"/>
        <v>7479.3380659086506</v>
      </c>
      <c r="AP155" s="169">
        <f t="shared" ref="AP155:AS155" si="38">AP107-AP131</f>
        <v>7694.113704256466</v>
      </c>
      <c r="AQ155" s="169">
        <f t="shared" si="38"/>
        <v>7914.5776091458865</v>
      </c>
      <c r="AR155" s="169">
        <f t="shared" si="38"/>
        <v>8142.5182278963694</v>
      </c>
      <c r="AS155" s="169">
        <f t="shared" si="38"/>
        <v>8366.0013643567763</v>
      </c>
      <c r="AU155" s="737" t="s">
        <v>3457</v>
      </c>
      <c r="AW155" s="737" t="s">
        <v>15</v>
      </c>
    </row>
    <row r="156" spans="1:55">
      <c r="A156" s="19"/>
      <c r="B156" s="6" t="s">
        <v>16</v>
      </c>
      <c r="C156" s="169">
        <f t="shared" ref="C156:AO156" si="39">C108-C132</f>
        <v>0</v>
      </c>
      <c r="D156" s="169">
        <f t="shared" si="39"/>
        <v>0</v>
      </c>
      <c r="E156" s="169">
        <f t="shared" si="39"/>
        <v>0</v>
      </c>
      <c r="F156" s="169">
        <f t="shared" si="39"/>
        <v>0</v>
      </c>
      <c r="G156" s="169">
        <f t="shared" si="39"/>
        <v>22325.723152483959</v>
      </c>
      <c r="H156" s="169">
        <f t="shared" si="39"/>
        <v>33833.794621067689</v>
      </c>
      <c r="I156" s="169">
        <f t="shared" si="39"/>
        <v>42059.551490174927</v>
      </c>
      <c r="J156" s="169">
        <f t="shared" si="39"/>
        <v>48179.45293503112</v>
      </c>
      <c r="K156" s="169">
        <f t="shared" si="39"/>
        <v>53042.399007128901</v>
      </c>
      <c r="L156" s="169">
        <f t="shared" si="39"/>
        <v>57105.146537231733</v>
      </c>
      <c r="M156" s="169">
        <f t="shared" si="39"/>
        <v>60651.321006191414</v>
      </c>
      <c r="N156" s="169">
        <f t="shared" si="39"/>
        <v>63813.748547763083</v>
      </c>
      <c r="O156" s="169">
        <f t="shared" si="39"/>
        <v>66777.121375031929</v>
      </c>
      <c r="P156" s="169">
        <f t="shared" si="39"/>
        <v>69667.101242896053</v>
      </c>
      <c r="Q156" s="169">
        <f t="shared" si="39"/>
        <v>72565.159672938957</v>
      </c>
      <c r="R156" s="169">
        <f t="shared" si="39"/>
        <v>75508.867848088033</v>
      </c>
      <c r="S156" s="169">
        <f t="shared" si="39"/>
        <v>78482.100056424752</v>
      </c>
      <c r="T156" s="169">
        <f t="shared" si="39"/>
        <v>81487.921863844123</v>
      </c>
      <c r="U156" s="169">
        <f t="shared" si="39"/>
        <v>84590.308878938056</v>
      </c>
      <c r="V156" s="169">
        <f t="shared" si="39"/>
        <v>87771.22015145389</v>
      </c>
      <c r="W156" s="169">
        <f t="shared" si="39"/>
        <v>91019.141010995765</v>
      </c>
      <c r="X156" s="169">
        <f t="shared" si="39"/>
        <v>94303.554776226534</v>
      </c>
      <c r="Y156" s="169">
        <f t="shared" si="39"/>
        <v>97686.360719383287</v>
      </c>
      <c r="Z156" s="169">
        <f t="shared" si="39"/>
        <v>101170.20125919639</v>
      </c>
      <c r="AA156" s="169">
        <f t="shared" si="39"/>
        <v>104744.51053630776</v>
      </c>
      <c r="AB156" s="169">
        <f t="shared" si="39"/>
        <v>108386.37641514646</v>
      </c>
      <c r="AC156" s="169">
        <f t="shared" si="39"/>
        <v>112094.96581463056</v>
      </c>
      <c r="AD156" s="169">
        <f t="shared" si="39"/>
        <v>115871.48516011689</v>
      </c>
      <c r="AE156" s="169">
        <f t="shared" si="39"/>
        <v>119713.62343777716</v>
      </c>
      <c r="AF156" s="169">
        <f t="shared" si="39"/>
        <v>123628.10121785794</v>
      </c>
      <c r="AG156" s="169">
        <f t="shared" si="39"/>
        <v>127640.21632801424</v>
      </c>
      <c r="AH156" s="169">
        <f t="shared" si="39"/>
        <v>131753.84792674394</v>
      </c>
      <c r="AI156" s="169">
        <f t="shared" si="39"/>
        <v>135973.93238417982</v>
      </c>
      <c r="AJ156" s="169">
        <f t="shared" si="39"/>
        <v>140255.91075045255</v>
      </c>
      <c r="AK156" s="169">
        <f t="shared" si="39"/>
        <v>144579.52320777421</v>
      </c>
      <c r="AL156" s="169">
        <f t="shared" si="39"/>
        <v>148925.13199206028</v>
      </c>
      <c r="AM156" s="169">
        <f t="shared" si="39"/>
        <v>153323.26889965066</v>
      </c>
      <c r="AN156" s="169">
        <f t="shared" si="39"/>
        <v>157785.02071265303</v>
      </c>
      <c r="AO156" s="169">
        <f t="shared" si="39"/>
        <v>162306.88670312153</v>
      </c>
      <c r="AP156" s="169">
        <f t="shared" ref="AP156:AS156" si="40">AP108-AP132</f>
        <v>166910.53082928222</v>
      </c>
      <c r="AQ156" s="169">
        <f t="shared" si="40"/>
        <v>171634.52008940067</v>
      </c>
      <c r="AR156" s="169">
        <f t="shared" si="40"/>
        <v>176517.35397897399</v>
      </c>
      <c r="AS156" s="169">
        <f t="shared" si="40"/>
        <v>181306.64189609833</v>
      </c>
      <c r="AU156" s="738" t="s">
        <v>2476</v>
      </c>
      <c r="AW156" s="738" t="s">
        <v>16</v>
      </c>
    </row>
    <row r="157" spans="1:55">
      <c r="A157" s="19"/>
      <c r="B157" s="6" t="s">
        <v>103</v>
      </c>
      <c r="C157" s="169">
        <f t="shared" ref="C157:AO157" si="41">C109-C133</f>
        <v>0</v>
      </c>
      <c r="D157" s="169">
        <f t="shared" si="41"/>
        <v>0</v>
      </c>
      <c r="E157" s="169">
        <f t="shared" si="41"/>
        <v>0</v>
      </c>
      <c r="F157" s="169">
        <f t="shared" si="41"/>
        <v>0</v>
      </c>
      <c r="G157" s="169">
        <f t="shared" si="41"/>
        <v>-136831.04926405847</v>
      </c>
      <c r="H157" s="169">
        <f t="shared" si="41"/>
        <v>-35358.180441762554</v>
      </c>
      <c r="I157" s="169">
        <f t="shared" si="41"/>
        <v>32642.010200432735</v>
      </c>
      <c r="J157" s="169">
        <f t="shared" si="41"/>
        <v>78852.398935643956</v>
      </c>
      <c r="K157" s="169">
        <f t="shared" si="41"/>
        <v>111024.31202375819</v>
      </c>
      <c r="L157" s="169">
        <f t="shared" si="41"/>
        <v>134261.04595337494</v>
      </c>
      <c r="M157" s="169">
        <f t="shared" si="41"/>
        <v>151687.55336852581</v>
      </c>
      <c r="N157" s="169">
        <f t="shared" si="41"/>
        <v>164783.35867462214</v>
      </c>
      <c r="O157" s="169">
        <f t="shared" si="41"/>
        <v>175491.87427302252</v>
      </c>
      <c r="P157" s="169">
        <f t="shared" si="41"/>
        <v>184945.46304368181</v>
      </c>
      <c r="Q157" s="169">
        <f t="shared" si="41"/>
        <v>193795.00799661013</v>
      </c>
      <c r="R157" s="169">
        <f t="shared" si="41"/>
        <v>202396.83503220486</v>
      </c>
      <c r="S157" s="169">
        <f t="shared" si="41"/>
        <v>210745.84841015656</v>
      </c>
      <c r="T157" s="169">
        <f t="shared" si="41"/>
        <v>218852.22498412849</v>
      </c>
      <c r="U157" s="169">
        <f t="shared" si="41"/>
        <v>226970.06150672073</v>
      </c>
      <c r="V157" s="169">
        <f t="shared" si="41"/>
        <v>235218.8175307631</v>
      </c>
      <c r="W157" s="169">
        <f t="shared" si="41"/>
        <v>243569.08736905991</v>
      </c>
      <c r="X157" s="169">
        <f t="shared" si="41"/>
        <v>251735.24809259106</v>
      </c>
      <c r="Y157" s="169">
        <f t="shared" si="41"/>
        <v>260145.45491840411</v>
      </c>
      <c r="Z157" s="169">
        <f t="shared" si="41"/>
        <v>268848.10514268745</v>
      </c>
      <c r="AA157" s="169">
        <f t="shared" si="41"/>
        <v>277797.51024641003</v>
      </c>
      <c r="AB157" s="169">
        <f t="shared" si="41"/>
        <v>286819.05614843918</v>
      </c>
      <c r="AC157" s="169">
        <f t="shared" si="41"/>
        <v>295951.04995205812</v>
      </c>
      <c r="AD157" s="169">
        <f t="shared" si="41"/>
        <v>305240.46894741361</v>
      </c>
      <c r="AE157" s="169">
        <f t="shared" si="41"/>
        <v>314700.6999268753</v>
      </c>
      <c r="AF157" s="169">
        <f t="shared" si="41"/>
        <v>324360.6834525431</v>
      </c>
      <c r="AG157" s="169">
        <f t="shared" si="41"/>
        <v>334282.36401964398</v>
      </c>
      <c r="AH157" s="169">
        <f t="shared" si="41"/>
        <v>344473.73801067797</v>
      </c>
      <c r="AI157" s="169">
        <f t="shared" si="41"/>
        <v>354903.50001781993</v>
      </c>
      <c r="AJ157" s="169">
        <f t="shared" si="41"/>
        <v>365351.66206045868</v>
      </c>
      <c r="AK157" s="169">
        <f t="shared" si="41"/>
        <v>375786.24647812359</v>
      </c>
      <c r="AL157" s="169">
        <f t="shared" si="41"/>
        <v>386140.97335678851</v>
      </c>
      <c r="AM157" s="169">
        <f t="shared" si="41"/>
        <v>396637.88119317405</v>
      </c>
      <c r="AN157" s="169">
        <f t="shared" si="41"/>
        <v>407372.39735643193</v>
      </c>
      <c r="AO157" s="169">
        <f t="shared" si="41"/>
        <v>418351.68765891064</v>
      </c>
      <c r="AP157" s="169">
        <f t="shared" ref="AP157:AS157" si="42">AP109-AP133</f>
        <v>429534.51907046884</v>
      </c>
      <c r="AQ157" s="169">
        <f t="shared" si="42"/>
        <v>440985.20486574899</v>
      </c>
      <c r="AR157" s="169">
        <f t="shared" si="42"/>
        <v>452804.8899293826</v>
      </c>
      <c r="AS157" s="169">
        <f t="shared" si="42"/>
        <v>464229.04008763889</v>
      </c>
      <c r="AU157" s="738" t="s">
        <v>2476</v>
      </c>
      <c r="AW157" s="738" t="s">
        <v>103</v>
      </c>
    </row>
    <row r="158" spans="1:55">
      <c r="A158" s="19"/>
      <c r="B158" s="6" t="s">
        <v>104</v>
      </c>
      <c r="C158" s="169">
        <f t="shared" ref="C158:AO158" si="43">C110-C134</f>
        <v>0</v>
      </c>
      <c r="D158" s="169">
        <f t="shared" si="43"/>
        <v>0</v>
      </c>
      <c r="E158" s="169">
        <f t="shared" si="43"/>
        <v>0</v>
      </c>
      <c r="F158" s="169">
        <f t="shared" si="43"/>
        <v>0</v>
      </c>
      <c r="G158" s="169">
        <f t="shared" si="43"/>
        <v>-10290.673704492277</v>
      </c>
      <c r="H158" s="169">
        <f t="shared" si="43"/>
        <v>1746.8772828404035</v>
      </c>
      <c r="I158" s="169">
        <f t="shared" si="43"/>
        <v>10004.992814756566</v>
      </c>
      <c r="J158" s="169">
        <f t="shared" si="43"/>
        <v>15772.530703908225</v>
      </c>
      <c r="K158" s="169">
        <f t="shared" si="43"/>
        <v>19928.139100000612</v>
      </c>
      <c r="L158" s="169">
        <f t="shared" si="43"/>
        <v>23040.11839532762</v>
      </c>
      <c r="M158" s="169">
        <f t="shared" si="43"/>
        <v>25461.920987887948</v>
      </c>
      <c r="N158" s="169">
        <f t="shared" si="43"/>
        <v>27362.958601591119</v>
      </c>
      <c r="O158" s="169">
        <f t="shared" si="43"/>
        <v>28969.236993927057</v>
      </c>
      <c r="P158" s="169">
        <f t="shared" si="43"/>
        <v>30418.581846738161</v>
      </c>
      <c r="Q158" s="169">
        <f t="shared" si="43"/>
        <v>31793.652423232299</v>
      </c>
      <c r="R158" s="169">
        <f t="shared" si="43"/>
        <v>33139.577769900498</v>
      </c>
      <c r="S158" s="169">
        <f t="shared" si="43"/>
        <v>34455.414291869529</v>
      </c>
      <c r="T158" s="169">
        <f t="shared" si="43"/>
        <v>35744.316185306743</v>
      </c>
      <c r="U158" s="169">
        <f t="shared" si="43"/>
        <v>37043.795746790318</v>
      </c>
      <c r="V158" s="169">
        <f t="shared" si="43"/>
        <v>38363.140886210735</v>
      </c>
      <c r="W158" s="169">
        <f t="shared" si="43"/>
        <v>39698.198163065768</v>
      </c>
      <c r="X158" s="169">
        <f t="shared" si="43"/>
        <v>41015.761758610228</v>
      </c>
      <c r="Y158" s="169">
        <f t="shared" si="43"/>
        <v>42369.008989612514</v>
      </c>
      <c r="Z158" s="169">
        <f t="shared" si="43"/>
        <v>43763.588497759541</v>
      </c>
      <c r="AA158" s="169">
        <f t="shared" si="43"/>
        <v>45193.441693790432</v>
      </c>
      <c r="AB158" s="169">
        <f t="shared" si="43"/>
        <v>46637.412595409347</v>
      </c>
      <c r="AC158" s="169">
        <f t="shared" si="43"/>
        <v>48098.985381988983</v>
      </c>
      <c r="AD158" s="169">
        <f t="shared" si="43"/>
        <v>49582.988805202709</v>
      </c>
      <c r="AE158" s="169">
        <f t="shared" si="43"/>
        <v>51090.414057462651</v>
      </c>
      <c r="AF158" s="169">
        <f t="shared" si="43"/>
        <v>52625.35634558677</v>
      </c>
      <c r="AG158" s="169">
        <f t="shared" si="43"/>
        <v>54198.308743335219</v>
      </c>
      <c r="AH158" s="169">
        <f t="shared" si="43"/>
        <v>55810.650265775825</v>
      </c>
      <c r="AI158" s="169">
        <f t="shared" si="43"/>
        <v>57459.995233011752</v>
      </c>
      <c r="AJ158" s="169">
        <f t="shared" si="43"/>
        <v>59116.757253529155</v>
      </c>
      <c r="AK158" s="169">
        <f t="shared" si="43"/>
        <v>60773.987626798218</v>
      </c>
      <c r="AL158" s="169">
        <f t="shared" si="43"/>
        <v>62421.643520423619</v>
      </c>
      <c r="AM158" s="169">
        <f t="shared" si="43"/>
        <v>64086.73008891131</v>
      </c>
      <c r="AN158" s="169">
        <f t="shared" si="43"/>
        <v>65780.782835032645</v>
      </c>
      <c r="AO158" s="169">
        <f t="shared" si="43"/>
        <v>67504.232632035157</v>
      </c>
      <c r="AP158" s="169">
        <f t="shared" ref="AP158:AS158" si="44">AP110-AP134</f>
        <v>69256.78747580864</v>
      </c>
      <c r="AQ158" s="169">
        <f t="shared" si="44"/>
        <v>71050.998055308126</v>
      </c>
      <c r="AR158" s="169">
        <f t="shared" si="44"/>
        <v>72902.865079334908</v>
      </c>
      <c r="AS158" s="169">
        <f t="shared" si="44"/>
        <v>74695.02911495202</v>
      </c>
      <c r="AU158" s="738" t="s">
        <v>2474</v>
      </c>
      <c r="AW158" s="738" t="s">
        <v>104</v>
      </c>
    </row>
    <row r="159" spans="1:55">
      <c r="A159" s="19"/>
      <c r="B159" s="6" t="s">
        <v>17</v>
      </c>
      <c r="C159" s="169">
        <f t="shared" ref="C159:AO159" si="45">C111-C135</f>
        <v>0</v>
      </c>
      <c r="D159" s="169">
        <f t="shared" si="45"/>
        <v>0</v>
      </c>
      <c r="E159" s="169">
        <f t="shared" si="45"/>
        <v>0</v>
      </c>
      <c r="F159" s="169">
        <f t="shared" si="45"/>
        <v>0</v>
      </c>
      <c r="G159" s="169">
        <f t="shared" si="45"/>
        <v>2621.7241648329291</v>
      </c>
      <c r="H159" s="169">
        <f t="shared" si="45"/>
        <v>7010.3147353288077</v>
      </c>
      <c r="I159" s="169">
        <f t="shared" si="45"/>
        <v>10021.685940100098</v>
      </c>
      <c r="J159" s="169">
        <f t="shared" si="45"/>
        <v>12150.370220235716</v>
      </c>
      <c r="K159" s="169">
        <f t="shared" si="45"/>
        <v>13737.065494996888</v>
      </c>
      <c r="L159" s="169">
        <f t="shared" si="45"/>
        <v>14980.595519147049</v>
      </c>
      <c r="M159" s="169">
        <f t="shared" si="45"/>
        <v>16002.666737017978</v>
      </c>
      <c r="N159" s="169">
        <f t="shared" si="45"/>
        <v>16860.474251366031</v>
      </c>
      <c r="O159" s="169">
        <f t="shared" si="45"/>
        <v>17630.16433151353</v>
      </c>
      <c r="P159" s="169">
        <f t="shared" si="45"/>
        <v>18359.470841396716</v>
      </c>
      <c r="Q159" s="169">
        <f t="shared" si="45"/>
        <v>19077.37461579818</v>
      </c>
      <c r="R159" s="169">
        <f t="shared" si="45"/>
        <v>19797.799619561192</v>
      </c>
      <c r="S159" s="169">
        <f t="shared" si="45"/>
        <v>20516.567020827206</v>
      </c>
      <c r="T159" s="169">
        <f t="shared" si="45"/>
        <v>21234.191509713142</v>
      </c>
      <c r="U159" s="169">
        <f t="shared" si="45"/>
        <v>21968.786631116236</v>
      </c>
      <c r="V159" s="169">
        <f t="shared" si="45"/>
        <v>22718.104690605905</v>
      </c>
      <c r="W159" s="169">
        <f t="shared" si="45"/>
        <v>23478.820767515339</v>
      </c>
      <c r="X159" s="169">
        <f t="shared" si="45"/>
        <v>24239.163812029059</v>
      </c>
      <c r="Y159" s="169">
        <f t="shared" si="45"/>
        <v>25019.829876926102</v>
      </c>
      <c r="Z159" s="169">
        <f t="shared" si="45"/>
        <v>25821.904460820122</v>
      </c>
      <c r="AA159" s="169">
        <f t="shared" si="45"/>
        <v>26642.038354009914</v>
      </c>
      <c r="AB159" s="169">
        <f t="shared" si="45"/>
        <v>27472.099714013253</v>
      </c>
      <c r="AC159" s="169">
        <f t="shared" si="45"/>
        <v>28312.473478845146</v>
      </c>
      <c r="AD159" s="169">
        <f t="shared" si="45"/>
        <v>29164.114223526049</v>
      </c>
      <c r="AE159" s="169">
        <f t="shared" si="45"/>
        <v>30026.638164284726</v>
      </c>
      <c r="AF159" s="169">
        <f t="shared" si="45"/>
        <v>30901.827023086822</v>
      </c>
      <c r="AG159" s="169">
        <f t="shared" si="45"/>
        <v>31795.873964269733</v>
      </c>
      <c r="AH159" s="169">
        <f t="shared" si="45"/>
        <v>32709.493692676071</v>
      </c>
      <c r="AI159" s="169">
        <f t="shared" si="45"/>
        <v>33642.929301561991</v>
      </c>
      <c r="AJ159" s="169">
        <f t="shared" si="45"/>
        <v>34582.956544554123</v>
      </c>
      <c r="AK159" s="169">
        <f t="shared" si="45"/>
        <v>35524.82401067717</v>
      </c>
      <c r="AL159" s="169">
        <f t="shared" si="45"/>
        <v>36463.37273336848</v>
      </c>
      <c r="AM159" s="169">
        <f t="shared" si="45"/>
        <v>37408.740594513918</v>
      </c>
      <c r="AN159" s="169">
        <f t="shared" si="45"/>
        <v>38364.738450889825</v>
      </c>
      <c r="AO159" s="169">
        <f t="shared" si="45"/>
        <v>39330.638393395173</v>
      </c>
      <c r="AP159" s="169">
        <f t="shared" ref="AP159:AS159" si="46">AP111-AP135</f>
        <v>40309.95378329893</v>
      </c>
      <c r="AQ159" s="169">
        <f t="shared" si="46"/>
        <v>41311.369848426926</v>
      </c>
      <c r="AR159" s="169">
        <f t="shared" si="46"/>
        <v>42344.056481452018</v>
      </c>
      <c r="AS159" s="169">
        <f t="shared" si="46"/>
        <v>43344.10651473832</v>
      </c>
      <c r="AU159" s="738" t="s">
        <v>2474</v>
      </c>
      <c r="AW159" s="738" t="s">
        <v>17</v>
      </c>
    </row>
    <row r="160" spans="1:55" ht="29">
      <c r="A160" s="19"/>
      <c r="B160" s="6" t="s">
        <v>106</v>
      </c>
      <c r="C160" s="169">
        <f t="shared" ref="C160:AO160" si="47">C112-C136</f>
        <v>0</v>
      </c>
      <c r="D160" s="169">
        <f t="shared" si="47"/>
        <v>0</v>
      </c>
      <c r="E160" s="169">
        <f t="shared" si="47"/>
        <v>0</v>
      </c>
      <c r="F160" s="169">
        <f t="shared" si="47"/>
        <v>0</v>
      </c>
      <c r="G160" s="169">
        <f t="shared" si="47"/>
        <v>16239.831544571702</v>
      </c>
      <c r="H160" s="169">
        <f t="shared" si="47"/>
        <v>27720.836081594694</v>
      </c>
      <c r="I160" s="169">
        <f t="shared" si="47"/>
        <v>36410.956576840952</v>
      </c>
      <c r="J160" s="169">
        <f t="shared" si="47"/>
        <v>43283.401743950933</v>
      </c>
      <c r="K160" s="169">
        <f t="shared" si="47"/>
        <v>49067.968776331487</v>
      </c>
      <c r="L160" s="169">
        <f t="shared" si="47"/>
        <v>54177.167418321842</v>
      </c>
      <c r="M160" s="169">
        <f t="shared" si="47"/>
        <v>58874.321305277845</v>
      </c>
      <c r="N160" s="169">
        <f t="shared" si="47"/>
        <v>63279.403251040683</v>
      </c>
      <c r="O160" s="169">
        <f t="shared" si="47"/>
        <v>67581.820490562721</v>
      </c>
      <c r="P160" s="169">
        <f t="shared" si="47"/>
        <v>71916.348191567202</v>
      </c>
      <c r="Q160" s="169">
        <f t="shared" si="47"/>
        <v>76376.311668584764</v>
      </c>
      <c r="R160" s="169">
        <f t="shared" si="47"/>
        <v>81012.272019354612</v>
      </c>
      <c r="S160" s="169">
        <f t="shared" si="47"/>
        <v>85815.800209291643</v>
      </c>
      <c r="T160" s="169">
        <f t="shared" si="47"/>
        <v>90796.809870173412</v>
      </c>
      <c r="U160" s="169">
        <f t="shared" si="47"/>
        <v>96034.768033515342</v>
      </c>
      <c r="V160" s="169">
        <f t="shared" si="47"/>
        <v>101523.90132867491</v>
      </c>
      <c r="W160" s="169">
        <f t="shared" si="47"/>
        <v>107261.09276357459</v>
      </c>
      <c r="X160" s="169">
        <f t="shared" si="47"/>
        <v>113214.91765283473</v>
      </c>
      <c r="Y160" s="169">
        <f t="shared" si="47"/>
        <v>119472.63278778724</v>
      </c>
      <c r="Z160" s="169">
        <f t="shared" si="47"/>
        <v>126050.75531356849</v>
      </c>
      <c r="AA160" s="169">
        <f t="shared" si="47"/>
        <v>132948.49261620827</v>
      </c>
      <c r="AB160" s="169">
        <f t="shared" si="47"/>
        <v>140146.01227200768</v>
      </c>
      <c r="AC160" s="169">
        <f t="shared" si="47"/>
        <v>147653.60282133747</v>
      </c>
      <c r="AD160" s="169">
        <f t="shared" si="47"/>
        <v>155484.75328236233</v>
      </c>
      <c r="AE160" s="169">
        <f t="shared" si="47"/>
        <v>163648.20621348961</v>
      </c>
      <c r="AF160" s="169">
        <f t="shared" si="47"/>
        <v>172164.96651324368</v>
      </c>
      <c r="AG160" s="169">
        <f t="shared" si="47"/>
        <v>181082.54199984099</v>
      </c>
      <c r="AH160" s="169">
        <f t="shared" si="47"/>
        <v>190421.3015332841</v>
      </c>
      <c r="AI160" s="169">
        <f t="shared" si="47"/>
        <v>200202.70793274994</v>
      </c>
      <c r="AJ160" s="169">
        <f t="shared" si="47"/>
        <v>210374.37027347594</v>
      </c>
      <c r="AK160" s="169">
        <f t="shared" si="47"/>
        <v>220918.98451319826</v>
      </c>
      <c r="AL160" s="169">
        <f t="shared" si="47"/>
        <v>231817.1689875864</v>
      </c>
      <c r="AM160" s="169">
        <f t="shared" si="47"/>
        <v>243130.73464073805</v>
      </c>
      <c r="AN160" s="169">
        <f t="shared" si="47"/>
        <v>254893.05571733508</v>
      </c>
      <c r="AO160" s="169">
        <f t="shared" si="47"/>
        <v>267114.33495706797</v>
      </c>
      <c r="AP160" s="169">
        <f t="shared" ref="AP160:AS160" si="48">AP112-AP136</f>
        <v>279842.10139610397</v>
      </c>
      <c r="AQ160" s="169">
        <f t="shared" si="48"/>
        <v>293157.11340614135</v>
      </c>
      <c r="AR160" s="169">
        <f t="shared" si="48"/>
        <v>307146.87870123598</v>
      </c>
      <c r="AS160" s="169">
        <f t="shared" si="48"/>
        <v>321394.79991496803</v>
      </c>
      <c r="AU160" s="738" t="s">
        <v>167</v>
      </c>
      <c r="AW160" s="738" t="s">
        <v>217</v>
      </c>
    </row>
    <row r="161" spans="1:49" s="73" customFormat="1" ht="29">
      <c r="A161" s="802"/>
      <c r="B161" s="26" t="s">
        <v>107</v>
      </c>
      <c r="C161" s="803">
        <f t="shared" ref="C161:AO161" si="49">C113-C137</f>
        <v>0</v>
      </c>
      <c r="D161" s="803">
        <f t="shared" si="49"/>
        <v>0</v>
      </c>
      <c r="E161" s="803">
        <f t="shared" si="49"/>
        <v>0</v>
      </c>
      <c r="F161" s="803">
        <f t="shared" si="49"/>
        <v>0</v>
      </c>
      <c r="G161" s="803">
        <f t="shared" si="49"/>
        <v>37164.692524883983</v>
      </c>
      <c r="H161" s="803">
        <f t="shared" si="49"/>
        <v>63123.157523646543</v>
      </c>
      <c r="I161" s="803">
        <f t="shared" si="49"/>
        <v>82780.095630789059</v>
      </c>
      <c r="J161" s="803">
        <f t="shared" si="49"/>
        <v>98333.615473283047</v>
      </c>
      <c r="K161" s="803">
        <f t="shared" si="49"/>
        <v>111433.04531319483</v>
      </c>
      <c r="L161" s="803">
        <f t="shared" si="49"/>
        <v>123009.41561911305</v>
      </c>
      <c r="M161" s="803">
        <f t="shared" si="49"/>
        <v>133657.13328374445</v>
      </c>
      <c r="N161" s="803">
        <f t="shared" si="49"/>
        <v>143647.04331831797</v>
      </c>
      <c r="O161" s="803">
        <f t="shared" si="49"/>
        <v>153406.83381468989</v>
      </c>
      <c r="P161" s="803">
        <f t="shared" si="49"/>
        <v>163241.14742131572</v>
      </c>
      <c r="Q161" s="803">
        <f t="shared" si="49"/>
        <v>173361.09755012495</v>
      </c>
      <c r="R161" s="803">
        <f t="shared" si="49"/>
        <v>183881.00963206895</v>
      </c>
      <c r="S161" s="803">
        <f t="shared" si="49"/>
        <v>194781.71203429208</v>
      </c>
      <c r="T161" s="803">
        <f t="shared" si="49"/>
        <v>206085.72842418845</v>
      </c>
      <c r="U161" s="803">
        <f t="shared" si="49"/>
        <v>217973.26781714591</v>
      </c>
      <c r="V161" s="803">
        <f t="shared" si="49"/>
        <v>230430.90708064492</v>
      </c>
      <c r="W161" s="803">
        <f t="shared" si="49"/>
        <v>243451.56759302563</v>
      </c>
      <c r="X161" s="803">
        <f t="shared" si="49"/>
        <v>256964.37278913974</v>
      </c>
      <c r="Y161" s="803">
        <f t="shared" si="49"/>
        <v>271166.79300812737</v>
      </c>
      <c r="Z161" s="803">
        <f t="shared" si="49"/>
        <v>286096.20884403633</v>
      </c>
      <c r="AA161" s="803">
        <f t="shared" si="49"/>
        <v>301750.84514388134</v>
      </c>
      <c r="AB161" s="803">
        <f t="shared" si="49"/>
        <v>318085.94856916863</v>
      </c>
      <c r="AC161" s="803">
        <f t="shared" si="49"/>
        <v>335124.77481988806</v>
      </c>
      <c r="AD161" s="803">
        <f t="shared" si="49"/>
        <v>352897.82459251262</v>
      </c>
      <c r="AE161" s="803">
        <f t="shared" si="49"/>
        <v>371424.87758283765</v>
      </c>
      <c r="AF161" s="803">
        <f t="shared" si="49"/>
        <v>390753.55614178942</v>
      </c>
      <c r="AG161" s="803">
        <f t="shared" si="49"/>
        <v>410991.66338925227</v>
      </c>
      <c r="AH161" s="803">
        <f t="shared" si="49"/>
        <v>432185.41159071366</v>
      </c>
      <c r="AI161" s="803">
        <f t="shared" si="49"/>
        <v>454383.6101614699</v>
      </c>
      <c r="AJ161" s="803">
        <f t="shared" si="49"/>
        <v>477467.6530509328</v>
      </c>
      <c r="AK161" s="803">
        <f t="shared" si="49"/>
        <v>501398.22518910386</v>
      </c>
      <c r="AL161" s="803">
        <f t="shared" si="49"/>
        <v>526131.39597260719</v>
      </c>
      <c r="AM161" s="803">
        <f t="shared" si="49"/>
        <v>551807.01078170794</v>
      </c>
      <c r="AN161" s="803">
        <f t="shared" si="49"/>
        <v>578500.57745086879</v>
      </c>
      <c r="AO161" s="803">
        <f t="shared" si="49"/>
        <v>606235.16022755695</v>
      </c>
      <c r="AP161" s="803">
        <f t="shared" ref="AP161:AS161" si="50">AP113-AP137</f>
        <v>635118.88077176746</v>
      </c>
      <c r="AQ161" s="803">
        <f t="shared" si="50"/>
        <v>665335.09202426905</v>
      </c>
      <c r="AR161" s="803">
        <f t="shared" si="50"/>
        <v>697082.34895337361</v>
      </c>
      <c r="AS161" s="803">
        <f t="shared" si="50"/>
        <v>729415.7092403979</v>
      </c>
      <c r="AU161" s="804" t="s">
        <v>167</v>
      </c>
      <c r="AW161" s="804" t="s">
        <v>217</v>
      </c>
    </row>
    <row r="162" spans="1:49" s="73" customFormat="1">
      <c r="A162" s="802"/>
      <c r="B162" s="26" t="s">
        <v>2863</v>
      </c>
      <c r="C162" s="803">
        <f t="shared" ref="C162:AO162" si="51">C114-C138</f>
        <v>0</v>
      </c>
      <c r="D162" s="803">
        <f t="shared" si="51"/>
        <v>0</v>
      </c>
      <c r="E162" s="803">
        <f t="shared" si="51"/>
        <v>0</v>
      </c>
      <c r="F162" s="803">
        <f t="shared" si="51"/>
        <v>0</v>
      </c>
      <c r="G162" s="803">
        <f t="shared" si="51"/>
        <v>2556.517905653036</v>
      </c>
      <c r="H162" s="803">
        <f t="shared" si="51"/>
        <v>3644.91725791934</v>
      </c>
      <c r="I162" s="803">
        <f t="shared" si="51"/>
        <v>4384.3159202345669</v>
      </c>
      <c r="J162" s="803">
        <f t="shared" si="51"/>
        <v>4895.0968197103684</v>
      </c>
      <c r="K162" s="803">
        <f t="shared" si="51"/>
        <v>5265.1155750505368</v>
      </c>
      <c r="L162" s="803">
        <f t="shared" si="51"/>
        <v>5540.8736785281617</v>
      </c>
      <c r="M162" s="803">
        <f t="shared" si="51"/>
        <v>5751.4294449660119</v>
      </c>
      <c r="N162" s="803">
        <f t="shared" si="51"/>
        <v>5910.210610557071</v>
      </c>
      <c r="O162" s="803">
        <f t="shared" si="51"/>
        <v>6036.4989037772029</v>
      </c>
      <c r="P162" s="803">
        <f t="shared" si="51"/>
        <v>6143.5948790524599</v>
      </c>
      <c r="Q162" s="803">
        <f t="shared" si="51"/>
        <v>6240.0954535612946</v>
      </c>
      <c r="R162" s="803">
        <f t="shared" si="51"/>
        <v>6546.9528703879114</v>
      </c>
      <c r="S162" s="803">
        <f t="shared" si="51"/>
        <v>6829.1694884773897</v>
      </c>
      <c r="T162" s="803">
        <f t="shared" si="51"/>
        <v>7095.4445519875881</v>
      </c>
      <c r="U162" s="803">
        <f t="shared" si="51"/>
        <v>7358.0586231601228</v>
      </c>
      <c r="V162" s="803">
        <f t="shared" si="51"/>
        <v>7618.7954248027454</v>
      </c>
      <c r="W162" s="803">
        <f t="shared" si="51"/>
        <v>7878.7922019999023</v>
      </c>
      <c r="X162" s="803">
        <f t="shared" si="51"/>
        <v>8136.3128212661795</v>
      </c>
      <c r="Y162" s="803">
        <f t="shared" si="51"/>
        <v>8398.82466542779</v>
      </c>
      <c r="Z162" s="803">
        <f t="shared" si="51"/>
        <v>8667.056803961852</v>
      </c>
      <c r="AA162" s="803">
        <f t="shared" si="51"/>
        <v>8940.1461051389342</v>
      </c>
      <c r="AB162" s="803">
        <f t="shared" si="51"/>
        <v>9215.8795732643266</v>
      </c>
      <c r="AC162" s="803">
        <f t="shared" si="51"/>
        <v>9494.2283959356791</v>
      </c>
      <c r="AD162" s="803">
        <f t="shared" si="51"/>
        <v>9775.3476861248637</v>
      </c>
      <c r="AE162" s="803">
        <f t="shared" si="51"/>
        <v>10059.075093896208</v>
      </c>
      <c r="AF162" s="803">
        <f t="shared" si="51"/>
        <v>10346.308535306831</v>
      </c>
      <c r="AG162" s="803">
        <f t="shared" si="51"/>
        <v>10639.668054722104</v>
      </c>
      <c r="AH162" s="803">
        <f t="shared" si="51"/>
        <v>10939.478196094817</v>
      </c>
      <c r="AI162" s="803">
        <f t="shared" si="51"/>
        <v>11246.232643682466</v>
      </c>
      <c r="AJ162" s="803">
        <f t="shared" si="51"/>
        <v>11555.341347134388</v>
      </c>
      <c r="AK162" s="803">
        <f t="shared" si="51"/>
        <v>11864.689211986857</v>
      </c>
      <c r="AL162" s="803">
        <f t="shared" si="51"/>
        <v>12172.29942362682</v>
      </c>
      <c r="AM162" s="803">
        <f t="shared" si="51"/>
        <v>12481.278887622713</v>
      </c>
      <c r="AN162" s="803">
        <f t="shared" si="51"/>
        <v>12792.791806654946</v>
      </c>
      <c r="AO162" s="803">
        <f t="shared" si="51"/>
        <v>13106.543360733209</v>
      </c>
      <c r="AP162" s="803">
        <f t="shared" ref="AP162:AS162" si="52">AP114-AP138</f>
        <v>13424.735890776181</v>
      </c>
      <c r="AQ162" s="803">
        <f t="shared" si="52"/>
        <v>13751.097116458855</v>
      </c>
      <c r="AR162" s="803">
        <f t="shared" si="52"/>
        <v>14089.26487696496</v>
      </c>
      <c r="AS162" s="803">
        <f t="shared" si="52"/>
        <v>14414.337723262732</v>
      </c>
      <c r="AU162" s="804" t="s">
        <v>2474</v>
      </c>
      <c r="AW162" s="804" t="s">
        <v>3714</v>
      </c>
    </row>
    <row r="163" spans="1:49" s="73" customFormat="1">
      <c r="A163" s="802"/>
      <c r="B163" s="26" t="s">
        <v>2862</v>
      </c>
      <c r="C163" s="803">
        <f t="shared" ref="C163:AO163" si="53">C115-C139</f>
        <v>0</v>
      </c>
      <c r="D163" s="803">
        <f t="shared" si="53"/>
        <v>0</v>
      </c>
      <c r="E163" s="803">
        <f t="shared" si="53"/>
        <v>0</v>
      </c>
      <c r="F163" s="803">
        <f t="shared" si="53"/>
        <v>0</v>
      </c>
      <c r="G163" s="803">
        <f t="shared" si="53"/>
        <v>3317.3597936630504</v>
      </c>
      <c r="H163" s="803">
        <f t="shared" si="53"/>
        <v>4729.6762271498937</v>
      </c>
      <c r="I163" s="803">
        <f t="shared" si="53"/>
        <v>5689.1263403014491</v>
      </c>
      <c r="J163" s="803">
        <f t="shared" si="53"/>
        <v>6351.9200627883019</v>
      </c>
      <c r="K163" s="803">
        <f t="shared" si="53"/>
        <v>6832.0596069520616</v>
      </c>
      <c r="L163" s="803">
        <f t="shared" si="53"/>
        <v>7189.8857122301197</v>
      </c>
      <c r="M163" s="803">
        <f t="shared" si="53"/>
        <v>7463.1046998070597</v>
      </c>
      <c r="N163" s="803">
        <f t="shared" si="53"/>
        <v>7669.1405165552969</v>
      </c>
      <c r="O163" s="803">
        <f t="shared" si="53"/>
        <v>7833.0133004745549</v>
      </c>
      <c r="P163" s="803">
        <f t="shared" si="53"/>
        <v>7971.9819662741065</v>
      </c>
      <c r="Q163" s="803">
        <f t="shared" si="53"/>
        <v>8097.2019482007454</v>
      </c>
      <c r="R163" s="803">
        <f t="shared" si="53"/>
        <v>8495.3827920418917</v>
      </c>
      <c r="S163" s="803">
        <f t="shared" si="53"/>
        <v>8861.5895218611622</v>
      </c>
      <c r="T163" s="803">
        <f t="shared" si="53"/>
        <v>9207.1103522807462</v>
      </c>
      <c r="U163" s="803">
        <f t="shared" si="53"/>
        <v>9547.8806473103905</v>
      </c>
      <c r="V163" s="803">
        <f t="shared" si="53"/>
        <v>9886.2149811262861</v>
      </c>
      <c r="W163" s="803">
        <f t="shared" si="53"/>
        <v>10223.589052807401</v>
      </c>
      <c r="X163" s="803">
        <f t="shared" si="53"/>
        <v>10557.750040494648</v>
      </c>
      <c r="Y163" s="803">
        <f t="shared" si="53"/>
        <v>10898.387684868831</v>
      </c>
      <c r="Z163" s="803">
        <f t="shared" si="53"/>
        <v>11246.448032802848</v>
      </c>
      <c r="AA163" s="803">
        <f t="shared" si="53"/>
        <v>11600.811077083185</v>
      </c>
      <c r="AB163" s="803">
        <f t="shared" si="53"/>
        <v>11958.605215314659</v>
      </c>
      <c r="AC163" s="803">
        <f t="shared" si="53"/>
        <v>12319.793060274234</v>
      </c>
      <c r="AD163" s="803">
        <f t="shared" si="53"/>
        <v>12684.575887898689</v>
      </c>
      <c r="AE163" s="803">
        <f t="shared" si="53"/>
        <v>13052.743031504317</v>
      </c>
      <c r="AF163" s="803">
        <f t="shared" si="53"/>
        <v>13425.459634749721</v>
      </c>
      <c r="AG163" s="803">
        <f t="shared" si="53"/>
        <v>13806.125489913349</v>
      </c>
      <c r="AH163" s="803">
        <f t="shared" si="53"/>
        <v>14195.161728041414</v>
      </c>
      <c r="AI163" s="803">
        <f t="shared" si="53"/>
        <v>14593.20895810557</v>
      </c>
      <c r="AJ163" s="803">
        <f t="shared" si="53"/>
        <v>14994.31109098532</v>
      </c>
      <c r="AK163" s="803">
        <f t="shared" si="53"/>
        <v>15395.723561771425</v>
      </c>
      <c r="AL163" s="803">
        <f t="shared" si="53"/>
        <v>15794.88123868742</v>
      </c>
      <c r="AM163" s="803">
        <f t="shared" si="53"/>
        <v>16195.815669328804</v>
      </c>
      <c r="AN163" s="803">
        <f t="shared" si="53"/>
        <v>16600.037533184739</v>
      </c>
      <c r="AO163" s="803">
        <f t="shared" si="53"/>
        <v>17007.164269280358</v>
      </c>
      <c r="AP163" s="803">
        <f t="shared" ref="AP163:AS163" si="54">AP115-AP139</f>
        <v>17420.053654281102</v>
      </c>
      <c r="AQ163" s="803">
        <f t="shared" si="54"/>
        <v>17843.542809548235</v>
      </c>
      <c r="AR163" s="803">
        <f t="shared" si="54"/>
        <v>18282.352226738483</v>
      </c>
      <c r="AS163" s="803">
        <f t="shared" si="54"/>
        <v>18704.169569748396</v>
      </c>
      <c r="AU163" s="804" t="s">
        <v>2474</v>
      </c>
      <c r="AW163" s="804" t="s">
        <v>3714</v>
      </c>
    </row>
    <row r="164" spans="1:49" s="73" customFormat="1">
      <c r="A164" s="802"/>
      <c r="B164" s="26" t="s">
        <v>131</v>
      </c>
      <c r="C164" s="803">
        <f t="shared" ref="C164:AO164" si="55">C116-C140</f>
        <v>0</v>
      </c>
      <c r="D164" s="803">
        <f t="shared" si="55"/>
        <v>0</v>
      </c>
      <c r="E164" s="803">
        <f t="shared" si="55"/>
        <v>0</v>
      </c>
      <c r="F164" s="803">
        <f t="shared" si="55"/>
        <v>0</v>
      </c>
      <c r="G164" s="803">
        <f t="shared" si="55"/>
        <v>-12757.654494007327</v>
      </c>
      <c r="H164" s="803">
        <f t="shared" si="55"/>
        <v>-11261.759782864354</v>
      </c>
      <c r="I164" s="803">
        <f t="shared" si="55"/>
        <v>-10420.998714174757</v>
      </c>
      <c r="J164" s="803">
        <f t="shared" si="55"/>
        <v>-10004.011219044682</v>
      </c>
      <c r="K164" s="803">
        <f t="shared" si="55"/>
        <v>-9879.3918526441958</v>
      </c>
      <c r="L164" s="803">
        <f t="shared" si="55"/>
        <v>-9934.2629536013319</v>
      </c>
      <c r="M164" s="803">
        <f t="shared" si="55"/>
        <v>-10101.975629064716</v>
      </c>
      <c r="N164" s="803">
        <f t="shared" si="55"/>
        <v>-10351.571381940368</v>
      </c>
      <c r="O164" s="803">
        <f t="shared" si="55"/>
        <v>-10644.829770708318</v>
      </c>
      <c r="P164" s="803">
        <f t="shared" si="55"/>
        <v>-10965.274481726559</v>
      </c>
      <c r="Q164" s="803">
        <f t="shared" si="55"/>
        <v>-11306.455254107863</v>
      </c>
      <c r="R164" s="803">
        <f t="shared" si="55"/>
        <v>-11663.201667994432</v>
      </c>
      <c r="S164" s="803">
        <f t="shared" si="55"/>
        <v>-12032.136165301688</v>
      </c>
      <c r="T164" s="803">
        <f t="shared" si="55"/>
        <v>-12414.122749199454</v>
      </c>
      <c r="U164" s="803">
        <f t="shared" si="55"/>
        <v>-12814.985682969318</v>
      </c>
      <c r="V164" s="803">
        <f t="shared" si="55"/>
        <v>-13224.406732919535</v>
      </c>
      <c r="W164" s="803">
        <f t="shared" si="55"/>
        <v>-13640.768905634728</v>
      </c>
      <c r="X164" s="803">
        <f t="shared" si="55"/>
        <v>-14069.181646080873</v>
      </c>
      <c r="Y164" s="803">
        <f t="shared" si="55"/>
        <v>-14506.17667879464</v>
      </c>
      <c r="Z164" s="803">
        <f t="shared" si="55"/>
        <v>-14950.164501526779</v>
      </c>
      <c r="AA164" s="803">
        <f t="shared" si="55"/>
        <v>-15400.378676752498</v>
      </c>
      <c r="AB164" s="803">
        <f t="shared" si="55"/>
        <v>-15858.740976840872</v>
      </c>
      <c r="AC164" s="803">
        <f t="shared" si="55"/>
        <v>-16323.055589175883</v>
      </c>
      <c r="AD164" s="803">
        <f t="shared" si="55"/>
        <v>-16791.297360993398</v>
      </c>
      <c r="AE164" s="803">
        <f t="shared" si="55"/>
        <v>-17262.107448747833</v>
      </c>
      <c r="AF164" s="803">
        <f t="shared" si="55"/>
        <v>-17735.766957982531</v>
      </c>
      <c r="AG164" s="803">
        <f t="shared" si="55"/>
        <v>-18215.825259914265</v>
      </c>
      <c r="AH164" s="803">
        <f t="shared" si="55"/>
        <v>-18702.725708043745</v>
      </c>
      <c r="AI164" s="803">
        <f t="shared" si="55"/>
        <v>-19198.984983424438</v>
      </c>
      <c r="AJ164" s="803">
        <f t="shared" si="55"/>
        <v>-19703.133671361153</v>
      </c>
      <c r="AK164" s="803">
        <f t="shared" si="55"/>
        <v>-20211.228649655903</v>
      </c>
      <c r="AL164" s="803">
        <f t="shared" si="55"/>
        <v>-20721.174851159289</v>
      </c>
      <c r="AM164" s="803">
        <f t="shared" si="55"/>
        <v>-21230.283906609722</v>
      </c>
      <c r="AN164" s="803">
        <f t="shared" si="55"/>
        <v>-21736.877011187033</v>
      </c>
      <c r="AO164" s="803">
        <f t="shared" si="55"/>
        <v>-22239.700354330118</v>
      </c>
      <c r="AP164" s="803">
        <f t="shared" ref="AP164:AS164" si="56">AP116-AP140</f>
        <v>-22746.05138651744</v>
      </c>
      <c r="AQ164" s="803">
        <f t="shared" si="56"/>
        <v>-23262.415246221324</v>
      </c>
      <c r="AR164" s="803">
        <f t="shared" si="56"/>
        <v>-23793.432641332889</v>
      </c>
      <c r="AS164" s="803">
        <f t="shared" si="56"/>
        <v>-24311.666988837496</v>
      </c>
      <c r="AU164" s="804" t="s">
        <v>2474</v>
      </c>
      <c r="AW164" s="804" t="s">
        <v>3714</v>
      </c>
    </row>
    <row r="165" spans="1:49" s="73" customFormat="1" ht="29">
      <c r="A165" s="802"/>
      <c r="B165" s="26" t="s">
        <v>2869</v>
      </c>
      <c r="C165" s="803">
        <f t="shared" ref="C165:AO165" si="57">C117-C141</f>
        <v>0</v>
      </c>
      <c r="D165" s="803">
        <f t="shared" si="57"/>
        <v>0</v>
      </c>
      <c r="E165" s="803">
        <f t="shared" si="57"/>
        <v>0</v>
      </c>
      <c r="F165" s="803">
        <f t="shared" si="57"/>
        <v>0</v>
      </c>
      <c r="G165" s="803">
        <f t="shared" si="57"/>
        <v>58138.806433679376</v>
      </c>
      <c r="H165" s="803">
        <f t="shared" si="57"/>
        <v>62605.919229359803</v>
      </c>
      <c r="I165" s="803">
        <f t="shared" si="57"/>
        <v>66423.748195975859</v>
      </c>
      <c r="J165" s="803">
        <f t="shared" si="57"/>
        <v>69843.221573812421</v>
      </c>
      <c r="K165" s="803">
        <f t="shared" si="57"/>
        <v>73145.482946173579</v>
      </c>
      <c r="L165" s="803">
        <f t="shared" si="57"/>
        <v>76354.302056011642</v>
      </c>
      <c r="M165" s="803">
        <f t="shared" si="57"/>
        <v>79492.936404079082</v>
      </c>
      <c r="N165" s="803">
        <f t="shared" si="57"/>
        <v>82573.44732596082</v>
      </c>
      <c r="O165" s="803">
        <f t="shared" si="57"/>
        <v>85623.007336449678</v>
      </c>
      <c r="P165" s="803">
        <f t="shared" si="57"/>
        <v>88687.491554088803</v>
      </c>
      <c r="Q165" s="803">
        <f t="shared" si="57"/>
        <v>91808.689806085109</v>
      </c>
      <c r="R165" s="803">
        <f t="shared" si="57"/>
        <v>94998.81460555915</v>
      </c>
      <c r="S165" s="803">
        <f t="shared" si="57"/>
        <v>98235.192837882845</v>
      </c>
      <c r="T165" s="803">
        <f t="shared" si="57"/>
        <v>101522.3383717367</v>
      </c>
      <c r="U165" s="803">
        <f t="shared" si="57"/>
        <v>104924.93444467432</v>
      </c>
      <c r="V165" s="803">
        <f t="shared" si="57"/>
        <v>108398.1159694232</v>
      </c>
      <c r="W165" s="803">
        <f t="shared" si="57"/>
        <v>111927.86302471141</v>
      </c>
      <c r="X165" s="803">
        <f t="shared" si="57"/>
        <v>115506.75553145222</v>
      </c>
      <c r="Y165" s="803">
        <f t="shared" si="57"/>
        <v>119169.06755612805</v>
      </c>
      <c r="Z165" s="803">
        <f t="shared" si="57"/>
        <v>122911.25095366494</v>
      </c>
      <c r="AA165" s="803">
        <f t="shared" si="57"/>
        <v>126722.62929400665</v>
      </c>
      <c r="AB165" s="803">
        <f t="shared" si="57"/>
        <v>130591.85252866778</v>
      </c>
      <c r="AC165" s="803">
        <f t="shared" si="57"/>
        <v>134511.15586830274</v>
      </c>
      <c r="AD165" s="803">
        <f t="shared" si="57"/>
        <v>138474.680450257</v>
      </c>
      <c r="AE165" s="803">
        <f t="shared" si="57"/>
        <v>142476.02851908794</v>
      </c>
      <c r="AF165" s="803">
        <f t="shared" si="57"/>
        <v>146520.18863444618</v>
      </c>
      <c r="AG165" s="803">
        <f t="shared" si="57"/>
        <v>150635.20929792622</v>
      </c>
      <c r="AH165" s="803">
        <f t="shared" si="57"/>
        <v>154824.6387551353</v>
      </c>
      <c r="AI165" s="803">
        <f t="shared" si="57"/>
        <v>159099.02924310061</v>
      </c>
      <c r="AJ165" s="803">
        <f t="shared" si="57"/>
        <v>163422.29917321465</v>
      </c>
      <c r="AK165" s="803">
        <f t="shared" si="57"/>
        <v>167767.95990095765</v>
      </c>
      <c r="AL165" s="803">
        <f t="shared" si="57"/>
        <v>172115.54903725535</v>
      </c>
      <c r="AM165" s="803">
        <f t="shared" si="57"/>
        <v>176477.56133224576</v>
      </c>
      <c r="AN165" s="803">
        <f t="shared" si="57"/>
        <v>180855.94203706988</v>
      </c>
      <c r="AO165" s="803">
        <f t="shared" si="57"/>
        <v>185243.84961397736</v>
      </c>
      <c r="AP165" s="803">
        <f t="shared" ref="AP165:AS165" si="58">AP117-AP141</f>
        <v>189677.62800924527</v>
      </c>
      <c r="AQ165" s="803">
        <f t="shared" si="58"/>
        <v>194202.87398094259</v>
      </c>
      <c r="AR165" s="803">
        <f t="shared" si="58"/>
        <v>198859.51956048713</v>
      </c>
      <c r="AS165" s="803">
        <f t="shared" si="58"/>
        <v>203393.4365459687</v>
      </c>
      <c r="AU165" s="804" t="s">
        <v>2474</v>
      </c>
      <c r="AW165" s="804" t="s">
        <v>3714</v>
      </c>
    </row>
    <row r="166" spans="1:49" s="73" customFormat="1" ht="29">
      <c r="A166" s="802"/>
      <c r="B166" s="26" t="s">
        <v>2870</v>
      </c>
      <c r="C166" s="803">
        <f t="shared" ref="C166:AO166" si="59">C118-C142</f>
        <v>0</v>
      </c>
      <c r="D166" s="803">
        <f t="shared" si="59"/>
        <v>0</v>
      </c>
      <c r="E166" s="803">
        <f t="shared" si="59"/>
        <v>0</v>
      </c>
      <c r="F166" s="803">
        <f t="shared" si="59"/>
        <v>0</v>
      </c>
      <c r="G166" s="803">
        <f t="shared" si="59"/>
        <v>14280.53875176458</v>
      </c>
      <c r="H166" s="803">
        <f t="shared" si="59"/>
        <v>21282.400800890056</v>
      </c>
      <c r="I166" s="803">
        <f t="shared" si="59"/>
        <v>26358.825682773211</v>
      </c>
      <c r="J166" s="803">
        <f t="shared" si="59"/>
        <v>30167.375498053952</v>
      </c>
      <c r="K166" s="803">
        <f t="shared" si="59"/>
        <v>33199.109784469605</v>
      </c>
      <c r="L166" s="803">
        <f t="shared" si="59"/>
        <v>35716.177676309053</v>
      </c>
      <c r="M166" s="803">
        <f t="shared" si="59"/>
        <v>37886.317368446427</v>
      </c>
      <c r="N166" s="803">
        <f t="shared" si="59"/>
        <v>39790.907151296211</v>
      </c>
      <c r="O166" s="803">
        <f t="shared" si="59"/>
        <v>41543.387722128224</v>
      </c>
      <c r="P166" s="803">
        <f t="shared" si="59"/>
        <v>43224.315693433105</v>
      </c>
      <c r="Q166" s="803">
        <f t="shared" si="59"/>
        <v>44887.43951299238</v>
      </c>
      <c r="R166" s="803">
        <f t="shared" si="59"/>
        <v>46558.382739003806</v>
      </c>
      <c r="S166" s="803">
        <f t="shared" si="59"/>
        <v>48228.939658545103</v>
      </c>
      <c r="T166" s="803">
        <f t="shared" si="59"/>
        <v>49902.540404660031</v>
      </c>
      <c r="U166" s="803">
        <f t="shared" si="59"/>
        <v>51619.829522617481</v>
      </c>
      <c r="V166" s="803">
        <f t="shared" si="59"/>
        <v>53368.693675491486</v>
      </c>
      <c r="W166" s="803">
        <f t="shared" si="59"/>
        <v>55142.383702631589</v>
      </c>
      <c r="X166" s="803">
        <f t="shared" si="59"/>
        <v>56923.16257881005</v>
      </c>
      <c r="Y166" s="803">
        <f t="shared" si="59"/>
        <v>58747.847457259093</v>
      </c>
      <c r="Z166" s="803">
        <f t="shared" si="59"/>
        <v>60617.7689908709</v>
      </c>
      <c r="AA166" s="803">
        <f t="shared" si="59"/>
        <v>62526.354705796752</v>
      </c>
      <c r="AB166" s="803">
        <f t="shared" si="59"/>
        <v>64459.874734789279</v>
      </c>
      <c r="AC166" s="803">
        <f t="shared" si="59"/>
        <v>66417.195576196667</v>
      </c>
      <c r="AD166" s="803">
        <f t="shared" si="59"/>
        <v>68398.569759134087</v>
      </c>
      <c r="AE166" s="803">
        <f t="shared" si="59"/>
        <v>70402.340847328946</v>
      </c>
      <c r="AF166" s="803">
        <f t="shared" si="59"/>
        <v>72432.3885238246</v>
      </c>
      <c r="AG166" s="803">
        <f t="shared" si="59"/>
        <v>74503.738977287256</v>
      </c>
      <c r="AH166" s="803">
        <f t="shared" si="59"/>
        <v>76618.197265914918</v>
      </c>
      <c r="AI166" s="803">
        <f t="shared" si="59"/>
        <v>78778.339857223938</v>
      </c>
      <c r="AJ166" s="803">
        <f t="shared" si="59"/>
        <v>80957.394146769657</v>
      </c>
      <c r="AK166" s="803">
        <f t="shared" si="59"/>
        <v>83142.67372459911</v>
      </c>
      <c r="AL166" s="803">
        <f t="shared" si="59"/>
        <v>85322.439524631438</v>
      </c>
      <c r="AM166" s="803">
        <f t="shared" si="59"/>
        <v>87513.934175928589</v>
      </c>
      <c r="AN166" s="803">
        <f t="shared" si="59"/>
        <v>89723.459661282686</v>
      </c>
      <c r="AO166" s="803">
        <f t="shared" si="59"/>
        <v>91949.028312630777</v>
      </c>
      <c r="AP166" s="803">
        <f t="shared" ref="AP166:AS166" si="60">AP118-AP142</f>
        <v>94203.807531894825</v>
      </c>
      <c r="AQ166" s="803">
        <f t="shared" si="60"/>
        <v>96509.794771472269</v>
      </c>
      <c r="AR166" s="803">
        <f t="shared" si="60"/>
        <v>98888.22049735632</v>
      </c>
      <c r="AS166" s="803">
        <f t="shared" si="60"/>
        <v>101193.20952803751</v>
      </c>
      <c r="AU166" s="804" t="s">
        <v>2474</v>
      </c>
      <c r="AW166" s="804" t="s">
        <v>3714</v>
      </c>
    </row>
    <row r="167" spans="1:49" s="73" customFormat="1">
      <c r="A167" s="802"/>
      <c r="B167" s="26" t="s">
        <v>102</v>
      </c>
      <c r="C167" s="803">
        <f t="shared" ref="C167:AO167" si="61">C119-C143</f>
        <v>0</v>
      </c>
      <c r="D167" s="803">
        <f t="shared" si="61"/>
        <v>0</v>
      </c>
      <c r="E167" s="803">
        <f t="shared" si="61"/>
        <v>0</v>
      </c>
      <c r="F167" s="803">
        <f t="shared" si="61"/>
        <v>0</v>
      </c>
      <c r="G167" s="803">
        <f t="shared" si="61"/>
        <v>-22126.629132610935</v>
      </c>
      <c r="H167" s="803">
        <f t="shared" si="61"/>
        <v>-33473.983691409143</v>
      </c>
      <c r="I167" s="803">
        <f t="shared" si="61"/>
        <v>-44910.224517192342</v>
      </c>
      <c r="J167" s="803">
        <f t="shared" si="61"/>
        <v>-56600.107024061435</v>
      </c>
      <c r="K167" s="803">
        <f t="shared" si="61"/>
        <v>-68693.673284338351</v>
      </c>
      <c r="L167" s="803">
        <f t="shared" si="61"/>
        <v>-81269.559157517942</v>
      </c>
      <c r="M167" s="803">
        <f t="shared" si="61"/>
        <v>-94388.1051165401</v>
      </c>
      <c r="N167" s="803">
        <f t="shared" si="61"/>
        <v>-108112.57414544353</v>
      </c>
      <c r="O167" s="803">
        <f t="shared" si="61"/>
        <v>-122467.52906582302</v>
      </c>
      <c r="P167" s="803">
        <f t="shared" si="61"/>
        <v>-137480.60546251017</v>
      </c>
      <c r="Q167" s="803">
        <f t="shared" si="61"/>
        <v>-153182.29409224316</v>
      </c>
      <c r="R167" s="803">
        <f t="shared" si="61"/>
        <v>-152880.45724873088</v>
      </c>
      <c r="S167" s="803">
        <f t="shared" si="61"/>
        <v>-154540.34975157931</v>
      </c>
      <c r="T167" s="803">
        <f t="shared" si="61"/>
        <v>-157526.43545156161</v>
      </c>
      <c r="U167" s="803">
        <f t="shared" si="61"/>
        <v>-161433.0222688606</v>
      </c>
      <c r="V167" s="803">
        <f t="shared" si="61"/>
        <v>-165954.19160303008</v>
      </c>
      <c r="W167" s="803">
        <f t="shared" si="61"/>
        <v>-170904.56189572532</v>
      </c>
      <c r="X167" s="803">
        <f t="shared" si="61"/>
        <v>-176177.73673942563</v>
      </c>
      <c r="Y167" s="803">
        <f t="shared" si="61"/>
        <v>-181689.85351133355</v>
      </c>
      <c r="Z167" s="803">
        <f t="shared" si="61"/>
        <v>-187398.82715271044</v>
      </c>
      <c r="AA167" s="803">
        <f t="shared" si="61"/>
        <v>-193279.78809077403</v>
      </c>
      <c r="AB167" s="803">
        <f t="shared" si="61"/>
        <v>-199318.05032795051</v>
      </c>
      <c r="AC167" s="803">
        <f t="shared" si="61"/>
        <v>-205499.52859309371</v>
      </c>
      <c r="AD167" s="803">
        <f t="shared" si="61"/>
        <v>-211813.13489499225</v>
      </c>
      <c r="AE167" s="803">
        <f t="shared" si="61"/>
        <v>-218245.99634596077</v>
      </c>
      <c r="AF167" s="803">
        <f t="shared" si="61"/>
        <v>-224778.18842945393</v>
      </c>
      <c r="AG167" s="803">
        <f t="shared" si="61"/>
        <v>-231408.65806108009</v>
      </c>
      <c r="AH167" s="803">
        <f t="shared" si="61"/>
        <v>-238137.26504327194</v>
      </c>
      <c r="AI167" s="803">
        <f t="shared" si="61"/>
        <v>-244962.42419749638</v>
      </c>
      <c r="AJ167" s="803">
        <f t="shared" si="61"/>
        <v>-251881.06063306477</v>
      </c>
      <c r="AK167" s="803">
        <f t="shared" si="61"/>
        <v>-258885.8280568778</v>
      </c>
      <c r="AL167" s="803">
        <f t="shared" si="61"/>
        <v>-265969.53093156777</v>
      </c>
      <c r="AM167" s="803">
        <f t="shared" si="61"/>
        <v>-273119.81455006712</v>
      </c>
      <c r="AN167" s="803">
        <f t="shared" si="61"/>
        <v>-280326.2430311123</v>
      </c>
      <c r="AO167" s="803">
        <f t="shared" si="61"/>
        <v>-287579.77812218526</v>
      </c>
      <c r="AP167" s="803">
        <f t="shared" ref="AP167:AS167" si="62">AP119-AP143</f>
        <v>-294886.38950542128</v>
      </c>
      <c r="AQ167" s="803">
        <f t="shared" si="62"/>
        <v>-302257.91515483131</v>
      </c>
      <c r="AR167" s="803">
        <f t="shared" si="62"/>
        <v>-309705.48823310551</v>
      </c>
      <c r="AS167" s="803">
        <f t="shared" si="62"/>
        <v>-317188.85585239698</v>
      </c>
      <c r="AU167" s="804" t="s">
        <v>2474</v>
      </c>
      <c r="AW167" s="804" t="s">
        <v>102</v>
      </c>
    </row>
    <row r="168" spans="1:49" s="73" customFormat="1">
      <c r="A168" s="802"/>
      <c r="B168" s="26" t="s">
        <v>2831</v>
      </c>
      <c r="C168" s="803">
        <f t="shared" ref="C168:AO168" si="63">C120-C144</f>
        <v>0</v>
      </c>
      <c r="D168" s="803">
        <f t="shared" si="63"/>
        <v>0</v>
      </c>
      <c r="E168" s="803">
        <f t="shared" si="63"/>
        <v>0</v>
      </c>
      <c r="F168" s="803">
        <f t="shared" si="63"/>
        <v>0</v>
      </c>
      <c r="G168" s="803">
        <f t="shared" si="63"/>
        <v>827.37109796440927</v>
      </c>
      <c r="H168" s="803">
        <f t="shared" si="63"/>
        <v>29119.328122800216</v>
      </c>
      <c r="I168" s="803">
        <f t="shared" si="63"/>
        <v>46263.70898581855</v>
      </c>
      <c r="J168" s="803">
        <f t="shared" si="63"/>
        <v>55958.504582818307</v>
      </c>
      <c r="K168" s="803">
        <f t="shared" si="63"/>
        <v>60776.196844202816</v>
      </c>
      <c r="L168" s="803">
        <f t="shared" si="63"/>
        <v>62252.258423024439</v>
      </c>
      <c r="M168" s="803">
        <f t="shared" si="63"/>
        <v>61332.234998523083</v>
      </c>
      <c r="N168" s="803">
        <f t="shared" si="63"/>
        <v>58619.641172133677</v>
      </c>
      <c r="O168" s="803">
        <f t="shared" si="63"/>
        <v>54566.966209662904</v>
      </c>
      <c r="P168" s="803">
        <f t="shared" si="63"/>
        <v>49564.291237635887</v>
      </c>
      <c r="Q168" s="803">
        <f t="shared" si="63"/>
        <v>43842.729717110866</v>
      </c>
      <c r="R168" s="803">
        <f t="shared" si="63"/>
        <v>50539.376105462201</v>
      </c>
      <c r="S168" s="803">
        <f t="shared" si="63"/>
        <v>55710.419702717569</v>
      </c>
      <c r="T168" s="803">
        <f t="shared" si="63"/>
        <v>59847.496160024777</v>
      </c>
      <c r="U168" s="803">
        <f t="shared" si="63"/>
        <v>63421.078586854623</v>
      </c>
      <c r="V168" s="803">
        <f t="shared" si="63"/>
        <v>66652.938233807101</v>
      </c>
      <c r="W168" s="803">
        <f t="shared" si="63"/>
        <v>69660.396971953101</v>
      </c>
      <c r="X168" s="803">
        <f t="shared" si="63"/>
        <v>72420.834507368854</v>
      </c>
      <c r="Y168" s="803">
        <f t="shared" si="63"/>
        <v>75185.01002005476</v>
      </c>
      <c r="Z168" s="803">
        <f t="shared" si="63"/>
        <v>77998.759637724608</v>
      </c>
      <c r="AA168" s="803">
        <f t="shared" si="63"/>
        <v>80854.0956767553</v>
      </c>
      <c r="AB168" s="803">
        <f t="shared" si="63"/>
        <v>83689.80747792311</v>
      </c>
      <c r="AC168" s="803">
        <f t="shared" si="63"/>
        <v>86520.81372611213</v>
      </c>
      <c r="AD168" s="803">
        <f t="shared" si="63"/>
        <v>89365.332759824581</v>
      </c>
      <c r="AE168" s="803">
        <f t="shared" si="63"/>
        <v>92231.195626296103</v>
      </c>
      <c r="AF168" s="803">
        <f t="shared" si="63"/>
        <v>95151.996097955387</v>
      </c>
      <c r="AG168" s="803">
        <f t="shared" si="63"/>
        <v>98186.13061417127</v>
      </c>
      <c r="AH168" s="803">
        <f t="shared" si="63"/>
        <v>101341.84403022937</v>
      </c>
      <c r="AI168" s="803">
        <f t="shared" si="63"/>
        <v>104623.59862951562</v>
      </c>
      <c r="AJ168" s="803">
        <f t="shared" si="63"/>
        <v>107911.58406543639</v>
      </c>
      <c r="AK168" s="803">
        <f t="shared" si="63"/>
        <v>111167.11826822953</v>
      </c>
      <c r="AL168" s="803">
        <f t="shared" si="63"/>
        <v>114346.86347774719</v>
      </c>
      <c r="AM168" s="803">
        <f t="shared" si="63"/>
        <v>117556.43473352981</v>
      </c>
      <c r="AN168" s="803">
        <f t="shared" si="63"/>
        <v>120842.51109664002</v>
      </c>
      <c r="AO168" s="803">
        <f t="shared" si="63"/>
        <v>124208.186084121</v>
      </c>
      <c r="AP168" s="803">
        <f t="shared" ref="AP168:AS168" si="64">AP120-AP144</f>
        <v>127681.87818458211</v>
      </c>
      <c r="AQ168" s="803">
        <f t="shared" si="64"/>
        <v>131336.40436685737</v>
      </c>
      <c r="AR168" s="803">
        <f t="shared" si="64"/>
        <v>135251.43920427933</v>
      </c>
      <c r="AS168" s="803">
        <f t="shared" si="64"/>
        <v>138852.41788096074</v>
      </c>
      <c r="AU168" s="804" t="s">
        <v>3457</v>
      </c>
      <c r="AW168" s="804" t="s">
        <v>2831</v>
      </c>
    </row>
    <row r="169" spans="1:49" s="73" customFormat="1">
      <c r="A169" s="802"/>
      <c r="B169" s="26" t="s">
        <v>2832</v>
      </c>
      <c r="C169" s="803">
        <f t="shared" ref="C169:AO169" si="65">C121-C145</f>
        <v>0</v>
      </c>
      <c r="D169" s="803">
        <f t="shared" si="65"/>
        <v>0</v>
      </c>
      <c r="E169" s="803">
        <f t="shared" si="65"/>
        <v>0</v>
      </c>
      <c r="F169" s="803">
        <f t="shared" si="65"/>
        <v>0</v>
      </c>
      <c r="G169" s="803">
        <f t="shared" si="65"/>
        <v>98277.89018312376</v>
      </c>
      <c r="H169" s="803">
        <f t="shared" si="65"/>
        <v>105002.46571255344</v>
      </c>
      <c r="I169" s="803">
        <f t="shared" si="65"/>
        <v>110849.87938981882</v>
      </c>
      <c r="J169" s="803">
        <f t="shared" si="65"/>
        <v>116160.1579291653</v>
      </c>
      <c r="K169" s="803">
        <f t="shared" si="65"/>
        <v>121359.36138355393</v>
      </c>
      <c r="L169" s="803">
        <f t="shared" si="65"/>
        <v>126450.21996811587</v>
      </c>
      <c r="M169" s="803">
        <f t="shared" si="65"/>
        <v>131449.25944578479</v>
      </c>
      <c r="N169" s="803">
        <f t="shared" si="65"/>
        <v>136179.59113189293</v>
      </c>
      <c r="O169" s="803">
        <f t="shared" si="65"/>
        <v>140844.80662755726</v>
      </c>
      <c r="P169" s="803">
        <f t="shared" si="65"/>
        <v>145518.59334341504</v>
      </c>
      <c r="Q169" s="803">
        <f t="shared" si="65"/>
        <v>150270.51828954328</v>
      </c>
      <c r="R169" s="803">
        <f t="shared" si="65"/>
        <v>156543.72202508716</v>
      </c>
      <c r="S169" s="803">
        <f t="shared" si="65"/>
        <v>162778.2584853099</v>
      </c>
      <c r="T169" s="803">
        <f t="shared" si="65"/>
        <v>169036.42720841506</v>
      </c>
      <c r="U169" s="803">
        <f t="shared" si="65"/>
        <v>175469.65963384253</v>
      </c>
      <c r="V169" s="803">
        <f t="shared" si="65"/>
        <v>182022.89524741843</v>
      </c>
      <c r="W169" s="803">
        <f t="shared" si="65"/>
        <v>188687.7804974289</v>
      </c>
      <c r="X169" s="803">
        <f t="shared" si="65"/>
        <v>195462.67077253747</v>
      </c>
      <c r="Y169" s="803">
        <f t="shared" si="65"/>
        <v>202416.95902300175</v>
      </c>
      <c r="Z169" s="803">
        <f t="shared" si="65"/>
        <v>209549.38459413388</v>
      </c>
      <c r="AA169" s="803">
        <f t="shared" si="65"/>
        <v>216844.34979296278</v>
      </c>
      <c r="AB169" s="803">
        <f t="shared" si="65"/>
        <v>224284.49354847526</v>
      </c>
      <c r="AC169" s="803">
        <f t="shared" si="65"/>
        <v>231857.62373206532</v>
      </c>
      <c r="AD169" s="803">
        <f t="shared" si="65"/>
        <v>239554.75876458565</v>
      </c>
      <c r="AE169" s="803">
        <f t="shared" si="65"/>
        <v>247366.10766254508</v>
      </c>
      <c r="AF169" s="803">
        <f t="shared" si="65"/>
        <v>255303.61951562547</v>
      </c>
      <c r="AG169" s="803">
        <f t="shared" si="65"/>
        <v>263421.52959216788</v>
      </c>
      <c r="AH169" s="803">
        <f t="shared" si="65"/>
        <v>271728.19599875377</v>
      </c>
      <c r="AI169" s="803">
        <f t="shared" si="65"/>
        <v>280245.88720746769</v>
      </c>
      <c r="AJ169" s="803">
        <f t="shared" si="65"/>
        <v>288908.52295796416</v>
      </c>
      <c r="AK169" s="803">
        <f t="shared" si="65"/>
        <v>297667.03951055458</v>
      </c>
      <c r="AL169" s="803">
        <f t="shared" si="65"/>
        <v>306483.66140150826</v>
      </c>
      <c r="AM169" s="803">
        <f t="shared" si="65"/>
        <v>315383.04305291921</v>
      </c>
      <c r="AN169" s="803">
        <f t="shared" si="65"/>
        <v>324370.12760828005</v>
      </c>
      <c r="AO169" s="803">
        <f t="shared" si="65"/>
        <v>333433.07441340422</v>
      </c>
      <c r="AP169" s="803">
        <f t="shared" ref="AP169:AS169" si="66">AP121-AP145</f>
        <v>342643.73145319306</v>
      </c>
      <c r="AQ169" s="803">
        <f t="shared" si="66"/>
        <v>352091.81876486941</v>
      </c>
      <c r="AR169" s="803">
        <f t="shared" si="66"/>
        <v>361856.6903588</v>
      </c>
      <c r="AS169" s="803">
        <f t="shared" si="66"/>
        <v>371443.61151518102</v>
      </c>
      <c r="AU169" s="804" t="s">
        <v>3457</v>
      </c>
      <c r="AW169" s="804" t="s">
        <v>2832</v>
      </c>
    </row>
    <row r="170" spans="1:49" s="73" customFormat="1">
      <c r="A170" s="802"/>
      <c r="B170" s="26" t="s">
        <v>2871</v>
      </c>
      <c r="C170" s="803">
        <f t="shared" ref="C170:AO170" si="67">C122-C146</f>
        <v>0</v>
      </c>
      <c r="D170" s="803">
        <f t="shared" si="67"/>
        <v>0</v>
      </c>
      <c r="E170" s="803">
        <f t="shared" si="67"/>
        <v>0</v>
      </c>
      <c r="F170" s="803">
        <f t="shared" si="67"/>
        <v>0</v>
      </c>
      <c r="G170" s="803">
        <f t="shared" si="67"/>
        <v>1622.9243051445128</v>
      </c>
      <c r="H170" s="803">
        <f t="shared" si="67"/>
        <v>2418.6570361236272</v>
      </c>
      <c r="I170" s="803">
        <f t="shared" si="67"/>
        <v>2995.5717777352129</v>
      </c>
      <c r="J170" s="803">
        <f t="shared" si="67"/>
        <v>3428.3977495010895</v>
      </c>
      <c r="K170" s="803">
        <f t="shared" si="67"/>
        <v>3772.9418416878034</v>
      </c>
      <c r="L170" s="803">
        <f t="shared" si="67"/>
        <v>4058.9962217342381</v>
      </c>
      <c r="M170" s="803">
        <f t="shared" si="67"/>
        <v>4305.6236433707909</v>
      </c>
      <c r="N170" s="803">
        <f t="shared" si="67"/>
        <v>4522.072413522048</v>
      </c>
      <c r="O170" s="803">
        <f t="shared" si="67"/>
        <v>4721.234599356625</v>
      </c>
      <c r="P170" s="803">
        <f t="shared" si="67"/>
        <v>4912.2651274934469</v>
      </c>
      <c r="Q170" s="803">
        <f t="shared" si="67"/>
        <v>5101.2722872474151</v>
      </c>
      <c r="R170" s="803">
        <f t="shared" si="67"/>
        <v>5291.1680902804419</v>
      </c>
      <c r="S170" s="803">
        <f t="shared" si="67"/>
        <v>5481.0199911770978</v>
      </c>
      <c r="T170" s="803">
        <f t="shared" si="67"/>
        <v>5671.2178104044942</v>
      </c>
      <c r="U170" s="803">
        <f t="shared" si="67"/>
        <v>5866.3806328259452</v>
      </c>
      <c r="V170" s="803">
        <f t="shared" si="67"/>
        <v>6065.1318276815673</v>
      </c>
      <c r="W170" s="803">
        <f t="shared" si="67"/>
        <v>6266.7043807116406</v>
      </c>
      <c r="X170" s="803">
        <f t="shared" si="67"/>
        <v>6469.0825521850984</v>
      </c>
      <c r="Y170" s="803">
        <f t="shared" si="67"/>
        <v>6676.4504596527831</v>
      </c>
      <c r="Z170" s="803">
        <f t="shared" si="67"/>
        <v>6888.9593263253837</v>
      </c>
      <c r="AA170" s="803">
        <f t="shared" si="67"/>
        <v>7105.8622176691788</v>
      </c>
      <c r="AB170" s="803">
        <f t="shared" si="67"/>
        <v>7325.5987909233154</v>
      </c>
      <c r="AC170" s="803">
        <f t="shared" si="67"/>
        <v>7548.0402283021012</v>
      </c>
      <c r="AD170" s="803">
        <f t="shared" si="67"/>
        <v>7773.2152286974924</v>
      </c>
      <c r="AE170" s="803">
        <f t="shared" si="67"/>
        <v>8000.9355449618561</v>
      </c>
      <c r="AF170" s="803">
        <f t="shared" si="67"/>
        <v>8231.642087064818</v>
      </c>
      <c r="AG170" s="803">
        <f t="shared" si="67"/>
        <v>8467.0425193476149</v>
      </c>
      <c r="AH170" s="803">
        <f t="shared" si="67"/>
        <v>8707.3419792264667</v>
      </c>
      <c r="AI170" s="803">
        <f t="shared" si="67"/>
        <v>8952.8332716036657</v>
      </c>
      <c r="AJ170" s="803">
        <f t="shared" si="67"/>
        <v>9200.4738004524897</v>
      </c>
      <c r="AK170" s="803">
        <f t="shared" si="67"/>
        <v>9448.8218076281373</v>
      </c>
      <c r="AL170" s="803">
        <f t="shared" si="67"/>
        <v>9696.543196707953</v>
      </c>
      <c r="AM170" s="803">
        <f t="shared" si="67"/>
        <v>9945.5975213387301</v>
      </c>
      <c r="AN170" s="803">
        <f t="shared" si="67"/>
        <v>10196.700975861711</v>
      </c>
      <c r="AO170" s="803">
        <f t="shared" si="67"/>
        <v>10449.627670003007</v>
      </c>
      <c r="AP170" s="803">
        <f t="shared" ref="AP170:AS170" si="68">AP122-AP146</f>
        <v>10705.874024660057</v>
      </c>
      <c r="AQ170" s="803">
        <f t="shared" si="68"/>
        <v>10967.939959532498</v>
      </c>
      <c r="AR170" s="803">
        <f t="shared" si="68"/>
        <v>11238.238229479861</v>
      </c>
      <c r="AS170" s="803">
        <f t="shared" si="68"/>
        <v>11500.190722030027</v>
      </c>
      <c r="AU170" s="804" t="s">
        <v>2474</v>
      </c>
      <c r="AW170" s="804" t="s">
        <v>3714</v>
      </c>
    </row>
    <row r="171" spans="1:49">
      <c r="A171" s="19"/>
      <c r="B171" s="5" t="s">
        <v>22</v>
      </c>
      <c r="C171" s="196">
        <f t="shared" ref="C171:AO171" si="69">SUM(C153:C170)</f>
        <v>0</v>
      </c>
      <c r="D171" s="196">
        <f t="shared" si="69"/>
        <v>0</v>
      </c>
      <c r="E171" s="196">
        <f t="shared" si="69"/>
        <v>0</v>
      </c>
      <c r="F171" s="196">
        <f t="shared" si="69"/>
        <v>0</v>
      </c>
      <c r="G171" s="196">
        <f t="shared" si="69"/>
        <v>100142.64908036779</v>
      </c>
      <c r="H171" s="196">
        <f t="shared" si="69"/>
        <v>329434.29163905262</v>
      </c>
      <c r="I171" s="196">
        <f t="shared" si="69"/>
        <v>484937.4682591047</v>
      </c>
      <c r="J171" s="196">
        <f t="shared" si="69"/>
        <v>592051.01289017475</v>
      </c>
      <c r="K171" s="196">
        <f t="shared" si="69"/>
        <v>668577.25095234963</v>
      </c>
      <c r="L171" s="196">
        <f t="shared" si="69"/>
        <v>725100.75842463551</v>
      </c>
      <c r="M171" s="196">
        <f t="shared" si="69"/>
        <v>768184.83704223484</v>
      </c>
      <c r="N171" s="196">
        <f t="shared" si="69"/>
        <v>800860.71865053638</v>
      </c>
      <c r="O171" s="196">
        <f t="shared" si="69"/>
        <v>827424.00631317636</v>
      </c>
      <c r="P171" s="196">
        <f t="shared" si="69"/>
        <v>850629.94093361404</v>
      </c>
      <c r="Q171" s="196">
        <f t="shared" si="69"/>
        <v>872187.85941801546</v>
      </c>
      <c r="R171" s="196">
        <f t="shared" si="69"/>
        <v>924623.14200434054</v>
      </c>
      <c r="S171" s="196">
        <f t="shared" si="69"/>
        <v>973825.30300248973</v>
      </c>
      <c r="T171" s="196">
        <f t="shared" si="69"/>
        <v>1021068.4848652722</v>
      </c>
      <c r="U171" s="196">
        <f t="shared" si="69"/>
        <v>1068256.359362711</v>
      </c>
      <c r="V171" s="196">
        <f t="shared" si="69"/>
        <v>1115890.1171944954</v>
      </c>
      <c r="W171" s="196">
        <f t="shared" si="69"/>
        <v>1164171.4781876386</v>
      </c>
      <c r="X171" s="196">
        <f t="shared" si="69"/>
        <v>1212621.7988937802</v>
      </c>
      <c r="Y171" s="196">
        <f t="shared" si="69"/>
        <v>1262706.13363771</v>
      </c>
      <c r="Z171" s="196">
        <f t="shared" si="69"/>
        <v>1314632.2964290672</v>
      </c>
      <c r="AA171" s="196">
        <f t="shared" si="69"/>
        <v>1368297.1195278058</v>
      </c>
      <c r="AB171" s="196">
        <f t="shared" si="69"/>
        <v>1423268.0343131286</v>
      </c>
      <c r="AC171" s="196">
        <f t="shared" si="69"/>
        <v>1479630.9652319606</v>
      </c>
      <c r="AD171" s="196">
        <f t="shared" si="69"/>
        <v>1537505.8559746309</v>
      </c>
      <c r="AE171" s="196">
        <f t="shared" si="69"/>
        <v>1596934.3596681207</v>
      </c>
      <c r="AF171" s="196">
        <f t="shared" si="69"/>
        <v>1658115.139576019</v>
      </c>
      <c r="AG171" s="196">
        <f t="shared" si="69"/>
        <v>1721509.5357938334</v>
      </c>
      <c r="AH171" s="196">
        <f t="shared" si="69"/>
        <v>1787227.4378766906</v>
      </c>
      <c r="AI171" s="196">
        <f t="shared" si="69"/>
        <v>1855356.6212970731</v>
      </c>
      <c r="AJ171" s="196">
        <f t="shared" si="69"/>
        <v>1925082.0808235414</v>
      </c>
      <c r="AK171" s="196">
        <f t="shared" si="69"/>
        <v>1996129.1682790841</v>
      </c>
      <c r="AL171" s="196">
        <f t="shared" si="69"/>
        <v>2068190.0733464211</v>
      </c>
      <c r="AM171" s="196">
        <f t="shared" si="69"/>
        <v>2141998.7348567722</v>
      </c>
      <c r="AN171" s="196">
        <f t="shared" si="69"/>
        <v>2217884.1697252668</v>
      </c>
      <c r="AO171" s="196">
        <f t="shared" si="69"/>
        <v>2295870.9729707162</v>
      </c>
      <c r="AP171" s="196">
        <f t="shared" ref="AP171" si="70">SUM(AP153:AP170)</f>
        <v>2376270.882832475</v>
      </c>
      <c r="AQ171" s="196">
        <f t="shared" ref="AQ171" si="71">SUM(AQ153:AQ170)</f>
        <v>2459755.7249086509</v>
      </c>
      <c r="AR171" s="196">
        <f t="shared" ref="AR171" si="72">SUM(AR153:AR170)</f>
        <v>2547054.9406455569</v>
      </c>
      <c r="AS171" s="196">
        <f t="shared" ref="AS171" si="73">SUM(AS153:AS170)</f>
        <v>2633715.5608249982</v>
      </c>
    </row>
    <row r="172" spans="1:49">
      <c r="A172" s="19"/>
      <c r="B172" s="114"/>
      <c r="C172" s="151" t="b">
        <f t="shared" ref="C172:N172" si="74">C171=C123-C147</f>
        <v>1</v>
      </c>
      <c r="D172" s="151" t="b">
        <f t="shared" si="74"/>
        <v>1</v>
      </c>
      <c r="E172" s="151" t="b">
        <f t="shared" si="74"/>
        <v>1</v>
      </c>
      <c r="F172" s="151" t="b">
        <f t="shared" si="74"/>
        <v>1</v>
      </c>
      <c r="G172" s="151" t="b">
        <f t="shared" si="74"/>
        <v>0</v>
      </c>
      <c r="H172" s="151" t="b">
        <f t="shared" si="74"/>
        <v>1</v>
      </c>
      <c r="I172" s="151" t="b">
        <f t="shared" si="74"/>
        <v>0</v>
      </c>
      <c r="J172" s="151" t="b">
        <f t="shared" si="74"/>
        <v>1</v>
      </c>
      <c r="K172" s="151" t="b">
        <f t="shared" si="74"/>
        <v>1</v>
      </c>
      <c r="L172" s="151" t="b">
        <f t="shared" si="74"/>
        <v>0</v>
      </c>
      <c r="M172" s="151" t="b">
        <f t="shared" si="74"/>
        <v>1</v>
      </c>
      <c r="N172" s="151" t="b">
        <f t="shared" si="74"/>
        <v>1</v>
      </c>
      <c r="O172" s="151" t="b">
        <f>ABS(O171-(O123-O147))&lt;0.0001</f>
        <v>1</v>
      </c>
      <c r="P172" s="151" t="b">
        <f>ABS(P171-(P123-P147))&lt;0.0001</f>
        <v>1</v>
      </c>
      <c r="Q172" s="151" t="b">
        <f>Q171=Q123-Q147</f>
        <v>0</v>
      </c>
      <c r="R172" s="151" t="b">
        <f>R171=R123-R147</f>
        <v>0</v>
      </c>
      <c r="S172" s="151" t="b">
        <f>S171=S123-S147</f>
        <v>0</v>
      </c>
      <c r="T172" s="151" t="b">
        <f>ABS(T171-(T123-T147))&lt;0.0001</f>
        <v>1</v>
      </c>
      <c r="U172" s="151" t="b">
        <f t="shared" ref="U172:AF172" si="75">U171=U123-U147</f>
        <v>1</v>
      </c>
      <c r="V172" s="151" t="b">
        <f t="shared" si="75"/>
        <v>1</v>
      </c>
      <c r="W172" s="151" t="b">
        <f t="shared" si="75"/>
        <v>1</v>
      </c>
      <c r="X172" s="151" t="b">
        <f t="shared" si="75"/>
        <v>1</v>
      </c>
      <c r="Y172" s="151" t="b">
        <f t="shared" si="75"/>
        <v>1</v>
      </c>
      <c r="Z172" s="151" t="b">
        <f t="shared" si="75"/>
        <v>1</v>
      </c>
      <c r="AA172" s="151" t="b">
        <f t="shared" si="75"/>
        <v>0</v>
      </c>
      <c r="AB172" s="151" t="b">
        <f t="shared" si="75"/>
        <v>1</v>
      </c>
      <c r="AC172" s="151" t="b">
        <f t="shared" si="75"/>
        <v>1</v>
      </c>
      <c r="AD172" s="151" t="b">
        <f t="shared" si="75"/>
        <v>1</v>
      </c>
      <c r="AE172" s="151" t="b">
        <f t="shared" si="75"/>
        <v>1</v>
      </c>
      <c r="AF172" s="151" t="b">
        <f t="shared" si="75"/>
        <v>1</v>
      </c>
      <c r="AG172" s="151" t="b">
        <f>ABS(AG171-(AG123-AG147))&lt;0.0001</f>
        <v>1</v>
      </c>
      <c r="AH172" s="151" t="b">
        <f t="shared" ref="AH172:AN172" si="76">AH171=AH123-AH147</f>
        <v>1</v>
      </c>
      <c r="AI172" s="151" t="b">
        <f t="shared" si="76"/>
        <v>1</v>
      </c>
      <c r="AJ172" s="151" t="b">
        <f t="shared" si="76"/>
        <v>1</v>
      </c>
      <c r="AK172" s="151" t="b">
        <f t="shared" si="76"/>
        <v>0</v>
      </c>
      <c r="AL172" s="151" t="b">
        <f t="shared" si="76"/>
        <v>1</v>
      </c>
      <c r="AM172" s="151" t="b">
        <f t="shared" si="76"/>
        <v>1</v>
      </c>
      <c r="AN172" s="151" t="b">
        <f t="shared" si="76"/>
        <v>1</v>
      </c>
      <c r="AO172" s="199" t="b">
        <f>ABS(AO171-(AO123-AO147))&lt;0.01</f>
        <v>1</v>
      </c>
      <c r="AP172" s="199" t="b">
        <f t="shared" ref="AP172:AS172" si="77">ABS(AP171-(AP123-AP147))&lt;0.01</f>
        <v>1</v>
      </c>
      <c r="AQ172" s="199" t="b">
        <f t="shared" si="77"/>
        <v>1</v>
      </c>
      <c r="AR172" s="199" t="b">
        <f t="shared" si="77"/>
        <v>1</v>
      </c>
      <c r="AS172" s="199" t="b">
        <f t="shared" si="77"/>
        <v>1</v>
      </c>
    </row>
    <row r="173" spans="1:49">
      <c r="B173" s="114"/>
      <c r="C173" s="151" t="b">
        <f t="shared" ref="C173:AO173" si="78">C171=(C39-SUM(C22:C24))</f>
        <v>1</v>
      </c>
      <c r="D173" s="151" t="b">
        <f t="shared" si="78"/>
        <v>1</v>
      </c>
      <c r="E173" s="151" t="b">
        <f t="shared" si="78"/>
        <v>1</v>
      </c>
      <c r="F173" s="151" t="b">
        <f t="shared" si="78"/>
        <v>1</v>
      </c>
      <c r="G173" s="151" t="b">
        <f t="shared" si="78"/>
        <v>1</v>
      </c>
      <c r="H173" s="151" t="b">
        <f t="shared" si="78"/>
        <v>0</v>
      </c>
      <c r="I173" s="151" t="b">
        <f t="shared" si="78"/>
        <v>1</v>
      </c>
      <c r="J173" s="151" t="b">
        <f t="shared" si="78"/>
        <v>1</v>
      </c>
      <c r="K173" s="151" t="b">
        <f t="shared" si="78"/>
        <v>1</v>
      </c>
      <c r="L173" s="151" t="b">
        <f t="shared" si="78"/>
        <v>0</v>
      </c>
      <c r="M173" s="151" t="b">
        <f t="shared" si="78"/>
        <v>1</v>
      </c>
      <c r="N173" s="151" t="b">
        <f t="shared" si="78"/>
        <v>0</v>
      </c>
      <c r="O173" s="151" t="b">
        <f t="shared" si="78"/>
        <v>1</v>
      </c>
      <c r="P173" s="151" t="b">
        <f t="shared" si="78"/>
        <v>1</v>
      </c>
      <c r="Q173" s="151" t="b">
        <f t="shared" si="78"/>
        <v>0</v>
      </c>
      <c r="R173" s="151" t="b">
        <f t="shared" si="78"/>
        <v>0</v>
      </c>
      <c r="S173" s="151" t="b">
        <f t="shared" si="78"/>
        <v>0</v>
      </c>
      <c r="T173" s="151" t="b">
        <f t="shared" si="78"/>
        <v>1</v>
      </c>
      <c r="U173" s="151" t="b">
        <f t="shared" si="78"/>
        <v>1</v>
      </c>
      <c r="V173" s="151" t="b">
        <f t="shared" si="78"/>
        <v>1</v>
      </c>
      <c r="W173" s="151" t="b">
        <f t="shared" si="78"/>
        <v>1</v>
      </c>
      <c r="X173" s="151" t="b">
        <f t="shared" si="78"/>
        <v>1</v>
      </c>
      <c r="Y173" s="151" t="b">
        <f t="shared" si="78"/>
        <v>1</v>
      </c>
      <c r="Z173" s="151" t="b">
        <f t="shared" si="78"/>
        <v>1</v>
      </c>
      <c r="AA173" s="151" t="b">
        <f t="shared" si="78"/>
        <v>1</v>
      </c>
      <c r="AB173" s="151" t="b">
        <f t="shared" si="78"/>
        <v>1</v>
      </c>
      <c r="AC173" s="151" t="b">
        <f t="shared" si="78"/>
        <v>1</v>
      </c>
      <c r="AD173" s="151" t="b">
        <f t="shared" si="78"/>
        <v>1</v>
      </c>
      <c r="AE173" s="151" t="b">
        <f t="shared" si="78"/>
        <v>1</v>
      </c>
      <c r="AF173" s="151" t="b">
        <f t="shared" si="78"/>
        <v>1</v>
      </c>
      <c r="AG173" s="151" t="b">
        <f t="shared" si="78"/>
        <v>1</v>
      </c>
      <c r="AH173" s="151" t="b">
        <f t="shared" si="78"/>
        <v>1</v>
      </c>
      <c r="AI173" s="151" t="b">
        <f t="shared" si="78"/>
        <v>1</v>
      </c>
      <c r="AJ173" s="151" t="b">
        <f t="shared" si="78"/>
        <v>1</v>
      </c>
      <c r="AK173" s="151" t="b">
        <f t="shared" si="78"/>
        <v>1</v>
      </c>
      <c r="AL173" s="151" t="b">
        <f t="shared" si="78"/>
        <v>1</v>
      </c>
      <c r="AM173" s="151" t="b">
        <f t="shared" si="78"/>
        <v>1</v>
      </c>
      <c r="AN173" s="151" t="b">
        <f t="shared" si="78"/>
        <v>1</v>
      </c>
      <c r="AO173" s="151" t="b">
        <f t="shared" si="78"/>
        <v>1</v>
      </c>
      <c r="AP173" s="151"/>
      <c r="AQ173" s="151"/>
      <c r="AR173" s="151"/>
      <c r="AS173" s="151"/>
    </row>
    <row r="174" spans="1:49">
      <c r="B174" s="114"/>
      <c r="C174" s="151"/>
      <c r="D174" s="151"/>
      <c r="E174" s="151"/>
      <c r="F174" s="151"/>
      <c r="G174" s="151"/>
      <c r="H174" s="151"/>
      <c r="I174" s="151"/>
      <c r="J174" s="151"/>
      <c r="K174" s="151"/>
      <c r="L174" s="151"/>
      <c r="M174" s="199"/>
      <c r="N174" s="151"/>
      <c r="O174" s="151"/>
      <c r="P174" s="151"/>
      <c r="Q174" s="151"/>
      <c r="R174" s="151"/>
      <c r="S174" s="151"/>
      <c r="T174" s="151"/>
      <c r="U174" s="151"/>
      <c r="V174" s="151"/>
      <c r="W174" s="151"/>
      <c r="X174" s="151"/>
      <c r="Y174" s="151"/>
      <c r="Z174" s="151"/>
      <c r="AA174" s="151"/>
      <c r="AB174" s="151"/>
      <c r="AC174" s="151"/>
      <c r="AD174" s="151"/>
      <c r="AE174" s="151"/>
      <c r="AF174" s="151"/>
      <c r="AG174" s="151"/>
      <c r="AH174" s="151"/>
      <c r="AI174" s="151"/>
      <c r="AJ174" s="151"/>
      <c r="AK174" s="151"/>
      <c r="AL174" s="151"/>
      <c r="AM174" s="151"/>
      <c r="AN174" s="151"/>
      <c r="AO174" s="151"/>
      <c r="AP174" s="151"/>
      <c r="AQ174" s="151"/>
      <c r="AR174" s="151"/>
      <c r="AS174" s="151"/>
    </row>
    <row r="175" spans="1:49">
      <c r="A175" t="s">
        <v>10</v>
      </c>
      <c r="B175" s="114" t="s">
        <v>3460</v>
      </c>
      <c r="C175" s="151"/>
      <c r="D175" s="151"/>
      <c r="E175" s="151"/>
      <c r="F175" s="151"/>
      <c r="G175" s="151"/>
      <c r="H175" s="151"/>
      <c r="I175" s="151"/>
      <c r="J175" s="151"/>
      <c r="K175" s="151"/>
      <c r="L175" s="151"/>
      <c r="M175" s="199"/>
      <c r="N175" s="151"/>
      <c r="O175" s="151"/>
      <c r="P175" s="151"/>
      <c r="Q175" s="151"/>
      <c r="R175" s="151"/>
      <c r="S175" s="151"/>
      <c r="T175" s="151"/>
      <c r="U175" s="151"/>
      <c r="V175" s="151"/>
      <c r="W175" s="151"/>
      <c r="X175" s="151"/>
      <c r="Y175" s="151"/>
      <c r="Z175" s="151"/>
      <c r="AA175" s="151"/>
      <c r="AB175" s="151"/>
      <c r="AC175" s="151"/>
      <c r="AD175" s="151"/>
      <c r="AE175" s="151"/>
      <c r="AF175" s="151"/>
      <c r="AG175" s="151"/>
      <c r="AH175" s="151"/>
      <c r="AI175" s="151"/>
      <c r="AJ175" s="151"/>
      <c r="AK175" s="151"/>
      <c r="AL175" s="151"/>
      <c r="AM175" s="151"/>
      <c r="AN175" s="151"/>
      <c r="AO175" s="151"/>
      <c r="AP175" s="151"/>
      <c r="AQ175" s="151"/>
      <c r="AR175" s="151"/>
      <c r="AS175" s="151"/>
    </row>
    <row r="176" spans="1:49">
      <c r="B176" s="114"/>
      <c r="C176" s="151"/>
      <c r="D176" s="151"/>
      <c r="E176" s="151"/>
      <c r="F176" s="151"/>
      <c r="G176" s="151"/>
      <c r="H176" s="151"/>
      <c r="I176" s="151"/>
      <c r="J176" s="151"/>
      <c r="K176" s="151"/>
      <c r="L176" s="151"/>
      <c r="M176" s="199"/>
      <c r="N176" s="151"/>
      <c r="O176" s="151"/>
      <c r="P176" s="151"/>
      <c r="Q176" s="151"/>
      <c r="R176" s="151"/>
      <c r="S176" s="151"/>
      <c r="T176" s="151"/>
      <c r="U176" s="151"/>
      <c r="V176" s="151"/>
      <c r="W176" s="151"/>
      <c r="X176" s="151"/>
      <c r="Y176" s="151"/>
      <c r="Z176" s="151"/>
      <c r="AA176" s="151"/>
      <c r="AB176" s="151"/>
      <c r="AC176" s="151"/>
      <c r="AD176" s="151"/>
      <c r="AE176" s="151"/>
      <c r="AF176" s="151"/>
      <c r="AG176" s="151"/>
      <c r="AH176" s="151"/>
      <c r="AI176" s="151"/>
      <c r="AJ176" s="151"/>
      <c r="AK176" s="151"/>
      <c r="AL176" s="151"/>
      <c r="AM176" s="151"/>
      <c r="AN176" s="151"/>
      <c r="AO176" s="151"/>
      <c r="AP176" s="151"/>
      <c r="AQ176" s="151"/>
      <c r="AR176" s="151"/>
      <c r="AS176" s="151"/>
    </row>
    <row r="177" spans="1:47">
      <c r="B177" s="114"/>
      <c r="C177" s="34">
        <f t="shared" ref="C177:AO177" si="79">C21</f>
        <v>2020</v>
      </c>
      <c r="D177" s="34">
        <f t="shared" si="79"/>
        <v>2021</v>
      </c>
      <c r="E177" s="34">
        <f t="shared" si="79"/>
        <v>2022</v>
      </c>
      <c r="F177" s="34">
        <f t="shared" si="79"/>
        <v>2023</v>
      </c>
      <c r="G177" s="34">
        <f t="shared" si="79"/>
        <v>2024</v>
      </c>
      <c r="H177" s="34">
        <f t="shared" si="79"/>
        <v>2025</v>
      </c>
      <c r="I177" s="34">
        <f t="shared" si="79"/>
        <v>2026</v>
      </c>
      <c r="J177" s="34">
        <f t="shared" si="79"/>
        <v>2027</v>
      </c>
      <c r="K177" s="34">
        <f t="shared" si="79"/>
        <v>2028</v>
      </c>
      <c r="L177" s="34">
        <f t="shared" si="79"/>
        <v>2029</v>
      </c>
      <c r="M177" s="34">
        <f t="shared" si="79"/>
        <v>2030</v>
      </c>
      <c r="N177" s="34">
        <f t="shared" si="79"/>
        <v>2031</v>
      </c>
      <c r="O177" s="34">
        <f t="shared" si="79"/>
        <v>2032</v>
      </c>
      <c r="P177" s="34">
        <f t="shared" si="79"/>
        <v>2033</v>
      </c>
      <c r="Q177" s="34">
        <f t="shared" si="79"/>
        <v>2034</v>
      </c>
      <c r="R177" s="34">
        <f t="shared" si="79"/>
        <v>2035</v>
      </c>
      <c r="S177" s="34">
        <f t="shared" si="79"/>
        <v>2036</v>
      </c>
      <c r="T177" s="34">
        <f t="shared" si="79"/>
        <v>2037</v>
      </c>
      <c r="U177" s="34">
        <f t="shared" si="79"/>
        <v>2038</v>
      </c>
      <c r="V177" s="34">
        <f t="shared" si="79"/>
        <v>2039</v>
      </c>
      <c r="W177" s="34">
        <f t="shared" si="79"/>
        <v>2040</v>
      </c>
      <c r="X177" s="34">
        <f t="shared" si="79"/>
        <v>2041</v>
      </c>
      <c r="Y177" s="34">
        <f t="shared" si="79"/>
        <v>2042</v>
      </c>
      <c r="Z177" s="34">
        <f t="shared" si="79"/>
        <v>2043</v>
      </c>
      <c r="AA177" s="34">
        <f t="shared" si="79"/>
        <v>2044</v>
      </c>
      <c r="AB177" s="34">
        <f t="shared" si="79"/>
        <v>2045</v>
      </c>
      <c r="AC177" s="34">
        <f t="shared" si="79"/>
        <v>2046</v>
      </c>
      <c r="AD177" s="34">
        <f t="shared" si="79"/>
        <v>2047</v>
      </c>
      <c r="AE177" s="34">
        <f t="shared" si="79"/>
        <v>2048</v>
      </c>
      <c r="AF177" s="34">
        <f t="shared" si="79"/>
        <v>2049</v>
      </c>
      <c r="AG177" s="34">
        <f t="shared" si="79"/>
        <v>2050</v>
      </c>
      <c r="AH177" s="34">
        <f t="shared" si="79"/>
        <v>2051</v>
      </c>
      <c r="AI177" s="34">
        <f t="shared" si="79"/>
        <v>2052</v>
      </c>
      <c r="AJ177" s="34">
        <f t="shared" si="79"/>
        <v>2053</v>
      </c>
      <c r="AK177" s="34">
        <f t="shared" si="79"/>
        <v>2054</v>
      </c>
      <c r="AL177" s="34">
        <f t="shared" si="79"/>
        <v>2055</v>
      </c>
      <c r="AM177" s="34">
        <f t="shared" si="79"/>
        <v>2056</v>
      </c>
      <c r="AN177" s="34">
        <f t="shared" si="79"/>
        <v>2057</v>
      </c>
      <c r="AO177" s="34">
        <f t="shared" si="79"/>
        <v>2058</v>
      </c>
      <c r="AP177" s="34">
        <f>AO177+1</f>
        <v>2059</v>
      </c>
      <c r="AQ177" s="34">
        <f t="shared" ref="AQ177:AS177" si="80">AP177+1</f>
        <v>2060</v>
      </c>
      <c r="AR177" s="34">
        <f t="shared" si="80"/>
        <v>2061</v>
      </c>
      <c r="AS177" s="34">
        <f t="shared" si="80"/>
        <v>2062</v>
      </c>
      <c r="AU177" s="34" t="s">
        <v>3023</v>
      </c>
    </row>
    <row r="178" spans="1:47">
      <c r="B178" s="6" t="s">
        <v>3457</v>
      </c>
      <c r="C178" s="169">
        <f t="shared" ref="C178:L181" si="81">SUMIFS(C$153:C$170, $AU$153:$AU$170,$B178)</f>
        <v>0</v>
      </c>
      <c r="D178" s="169">
        <f t="shared" si="81"/>
        <v>0</v>
      </c>
      <c r="E178" s="169">
        <f t="shared" si="81"/>
        <v>0</v>
      </c>
      <c r="F178" s="169">
        <f t="shared" si="81"/>
        <v>0</v>
      </c>
      <c r="G178" s="169">
        <f t="shared" si="81"/>
        <v>123880.53709885968</v>
      </c>
      <c r="H178" s="169">
        <f t="shared" si="81"/>
        <v>181411.66475916776</v>
      </c>
      <c r="I178" s="169">
        <f t="shared" si="81"/>
        <v>220497.81092035724</v>
      </c>
      <c r="J178" s="169">
        <f t="shared" si="81"/>
        <v>247397.34941736178</v>
      </c>
      <c r="K178" s="169">
        <f t="shared" si="81"/>
        <v>266702.67661958764</v>
      </c>
      <c r="L178" s="169">
        <f t="shared" si="81"/>
        <v>280870.8557484253</v>
      </c>
      <c r="M178" s="169">
        <f t="shared" ref="M178:V181" si="82">SUMIFS(M$153:M$170, $AU$153:$AU$170,$B178)</f>
        <v>291440.58953852486</v>
      </c>
      <c r="N178" s="169">
        <f t="shared" si="82"/>
        <v>299112.09951532789</v>
      </c>
      <c r="O178" s="169">
        <f t="shared" si="82"/>
        <v>304922.17200877384</v>
      </c>
      <c r="P178" s="169">
        <f t="shared" si="82"/>
        <v>309588.05906991311</v>
      </c>
      <c r="Q178" s="169">
        <f t="shared" si="82"/>
        <v>313573.3058289903</v>
      </c>
      <c r="R178" s="169">
        <f t="shared" si="82"/>
        <v>331539.73790261452</v>
      </c>
      <c r="S178" s="169">
        <f t="shared" si="82"/>
        <v>347964.43539856531</v>
      </c>
      <c r="T178" s="169">
        <f t="shared" si="82"/>
        <v>363409.19873760926</v>
      </c>
      <c r="U178" s="169">
        <f t="shared" si="82"/>
        <v>378606.29482972622</v>
      </c>
      <c r="V178" s="169">
        <f t="shared" si="82"/>
        <v>393705.67198356637</v>
      </c>
      <c r="W178" s="169">
        <f t="shared" ref="W178:AF181" si="83">SUMIFS(W$153:W$170, $AU$153:$AU$170,$B178)</f>
        <v>408799.56895889959</v>
      </c>
      <c r="X178" s="169">
        <f t="shared" si="83"/>
        <v>423802.63487364759</v>
      </c>
      <c r="Y178" s="169">
        <f t="shared" si="83"/>
        <v>439151.50570426078</v>
      </c>
      <c r="Z178" s="169">
        <f t="shared" si="83"/>
        <v>454899.04045761004</v>
      </c>
      <c r="AA178" s="169">
        <f t="shared" si="83"/>
        <v>471004.64430502983</v>
      </c>
      <c r="AB178" s="169">
        <f t="shared" si="83"/>
        <v>487346.10906077613</v>
      </c>
      <c r="AC178" s="169">
        <f t="shared" si="83"/>
        <v>503927.28401647002</v>
      </c>
      <c r="AD178" s="169">
        <f t="shared" si="83"/>
        <v>520762.26420737029</v>
      </c>
      <c r="AE178" s="169">
        <f t="shared" si="83"/>
        <v>537846.88104332285</v>
      </c>
      <c r="AF178" s="169">
        <f t="shared" si="83"/>
        <v>555238.61685395543</v>
      </c>
      <c r="AG178" s="169">
        <f t="shared" ref="AG178:AO181" si="84">SUMIFS(AG$153:AG$170, $AU$153:$AU$170,$B178)</f>
        <v>573091.26633127499</v>
      </c>
      <c r="AH178" s="169">
        <f t="shared" si="84"/>
        <v>591428.16768372175</v>
      </c>
      <c r="AI178" s="169">
        <f t="shared" si="84"/>
        <v>610281.71147348441</v>
      </c>
      <c r="AJ178" s="169">
        <f t="shared" si="84"/>
        <v>629387.14563600777</v>
      </c>
      <c r="AK178" s="169">
        <f t="shared" si="84"/>
        <v>648624.56575299893</v>
      </c>
      <c r="AL178" s="169">
        <f t="shared" si="84"/>
        <v>667879.38014540472</v>
      </c>
      <c r="AM178" s="169">
        <f t="shared" si="84"/>
        <v>687340.27952828887</v>
      </c>
      <c r="AN178" s="169">
        <f t="shared" si="84"/>
        <v>707081.78523030074</v>
      </c>
      <c r="AO178" s="169">
        <f t="shared" si="84"/>
        <v>727091.29764851916</v>
      </c>
      <c r="AP178" s="169">
        <f t="shared" ref="AP178:AS181" si="85">SUMIFS(AP$153:AP$170, $AU$153:$AU$170,$B178)</f>
        <v>747498.45128682698</v>
      </c>
      <c r="AQ178" s="169">
        <f t="shared" si="85"/>
        <v>768526.50838245358</v>
      </c>
      <c r="AR178" s="169">
        <f t="shared" si="85"/>
        <v>790397.87300521554</v>
      </c>
      <c r="AS178" s="169">
        <f t="shared" si="85"/>
        <v>811625.4128083922</v>
      </c>
      <c r="AU178" s="738" t="s">
        <v>3458</v>
      </c>
    </row>
    <row r="179" spans="1:47">
      <c r="B179" s="6" t="s">
        <v>2476</v>
      </c>
      <c r="C179" s="169">
        <f t="shared" si="81"/>
        <v>0</v>
      </c>
      <c r="D179" s="169">
        <f t="shared" si="81"/>
        <v>0</v>
      </c>
      <c r="E179" s="169">
        <f t="shared" si="81"/>
        <v>0</v>
      </c>
      <c r="F179" s="169">
        <f t="shared" si="81"/>
        <v>0</v>
      </c>
      <c r="G179" s="169">
        <f t="shared" si="81"/>
        <v>-114505.32611157451</v>
      </c>
      <c r="H179" s="169">
        <f t="shared" si="81"/>
        <v>-1524.3858206948644</v>
      </c>
      <c r="I179" s="169">
        <f t="shared" si="81"/>
        <v>74701.561690607661</v>
      </c>
      <c r="J179" s="169">
        <f t="shared" si="81"/>
        <v>127031.85187067508</v>
      </c>
      <c r="K179" s="169">
        <f t="shared" si="81"/>
        <v>164066.71103088709</v>
      </c>
      <c r="L179" s="169">
        <f t="shared" si="81"/>
        <v>191366.19249060669</v>
      </c>
      <c r="M179" s="169">
        <f t="shared" si="82"/>
        <v>212338.87437471724</v>
      </c>
      <c r="N179" s="169">
        <f t="shared" si="82"/>
        <v>228597.10722238524</v>
      </c>
      <c r="O179" s="169">
        <f t="shared" si="82"/>
        <v>242268.99564805446</v>
      </c>
      <c r="P179" s="169">
        <f t="shared" si="82"/>
        <v>254612.56428657786</v>
      </c>
      <c r="Q179" s="169">
        <f t="shared" si="82"/>
        <v>266360.16766954912</v>
      </c>
      <c r="R179" s="169">
        <f t="shared" si="82"/>
        <v>277905.7028802929</v>
      </c>
      <c r="S179" s="169">
        <f t="shared" si="82"/>
        <v>289227.94846658129</v>
      </c>
      <c r="T179" s="169">
        <f t="shared" si="82"/>
        <v>300340.14684797265</v>
      </c>
      <c r="U179" s="169">
        <f t="shared" si="82"/>
        <v>311560.37038565881</v>
      </c>
      <c r="V179" s="169">
        <f t="shared" si="82"/>
        <v>322990.03768221696</v>
      </c>
      <c r="W179" s="169">
        <f t="shared" si="83"/>
        <v>334588.22838005569</v>
      </c>
      <c r="X179" s="169">
        <f t="shared" si="83"/>
        <v>346038.80286881758</v>
      </c>
      <c r="Y179" s="169">
        <f t="shared" si="83"/>
        <v>357831.8156377874</v>
      </c>
      <c r="Z179" s="169">
        <f t="shared" si="83"/>
        <v>370018.30640188383</v>
      </c>
      <c r="AA179" s="169">
        <f t="shared" si="83"/>
        <v>382542.02078271779</v>
      </c>
      <c r="AB179" s="169">
        <f t="shared" si="83"/>
        <v>395205.43256358564</v>
      </c>
      <c r="AC179" s="169">
        <f t="shared" si="83"/>
        <v>408046.01576668868</v>
      </c>
      <c r="AD179" s="169">
        <f t="shared" si="83"/>
        <v>421111.95410753053</v>
      </c>
      <c r="AE179" s="169">
        <f t="shared" si="83"/>
        <v>434414.32336465246</v>
      </c>
      <c r="AF179" s="169">
        <f t="shared" si="83"/>
        <v>447988.78467040102</v>
      </c>
      <c r="AG179" s="169">
        <f t="shared" si="84"/>
        <v>461922.58034765825</v>
      </c>
      <c r="AH179" s="169">
        <f t="shared" si="84"/>
        <v>476227.58593742189</v>
      </c>
      <c r="AI179" s="169">
        <f t="shared" si="84"/>
        <v>490877.43240199971</v>
      </c>
      <c r="AJ179" s="169">
        <f t="shared" si="84"/>
        <v>505607.57281091122</v>
      </c>
      <c r="AK179" s="169">
        <f t="shared" si="84"/>
        <v>520365.7696858978</v>
      </c>
      <c r="AL179" s="169">
        <f t="shared" si="84"/>
        <v>535066.10534884874</v>
      </c>
      <c r="AM179" s="169">
        <f t="shared" si="84"/>
        <v>549961.15009282471</v>
      </c>
      <c r="AN179" s="169">
        <f t="shared" si="84"/>
        <v>565157.41806908499</v>
      </c>
      <c r="AO179" s="169">
        <f t="shared" si="84"/>
        <v>580658.57436203212</v>
      </c>
      <c r="AP179" s="169">
        <f t="shared" si="85"/>
        <v>596445.04989975109</v>
      </c>
      <c r="AQ179" s="169">
        <f t="shared" si="85"/>
        <v>612619.72495514969</v>
      </c>
      <c r="AR179" s="169">
        <f t="shared" si="85"/>
        <v>629322.24390835664</v>
      </c>
      <c r="AS179" s="169">
        <f t="shared" si="85"/>
        <v>645535.68198373728</v>
      </c>
      <c r="AU179" s="738" t="s">
        <v>3459</v>
      </c>
    </row>
    <row r="180" spans="1:47">
      <c r="B180" s="6" t="s">
        <v>2474</v>
      </c>
      <c r="C180" s="169">
        <f t="shared" si="81"/>
        <v>0</v>
      </c>
      <c r="D180" s="169">
        <f t="shared" si="81"/>
        <v>0</v>
      </c>
      <c r="E180" s="169">
        <f t="shared" si="81"/>
        <v>0</v>
      </c>
      <c r="F180" s="169">
        <f t="shared" si="81"/>
        <v>0</v>
      </c>
      <c r="G180" s="169">
        <f t="shared" si="81"/>
        <v>37362.914023626945</v>
      </c>
      <c r="H180" s="169">
        <f t="shared" si="81"/>
        <v>58703.019095338437</v>
      </c>
      <c r="I180" s="169">
        <f t="shared" si="81"/>
        <v>70547.043440509864</v>
      </c>
      <c r="J180" s="169">
        <f t="shared" si="81"/>
        <v>76004.794384903973</v>
      </c>
      <c r="K180" s="169">
        <f t="shared" si="81"/>
        <v>77306.849212348519</v>
      </c>
      <c r="L180" s="169">
        <f t="shared" si="81"/>
        <v>75677.127148168598</v>
      </c>
      <c r="M180" s="169">
        <f t="shared" si="82"/>
        <v>71873.918539970487</v>
      </c>
      <c r="N180" s="169">
        <f t="shared" si="82"/>
        <v>66225.065343464696</v>
      </c>
      <c r="O180" s="169">
        <f t="shared" si="82"/>
        <v>59244.184351095537</v>
      </c>
      <c r="P180" s="169">
        <f t="shared" si="82"/>
        <v>51271.821964240051</v>
      </c>
      <c r="Q180" s="169">
        <f t="shared" si="82"/>
        <v>42516.97670076639</v>
      </c>
      <c r="R180" s="169">
        <f t="shared" si="82"/>
        <v>50284.419570009581</v>
      </c>
      <c r="S180" s="169">
        <f t="shared" si="82"/>
        <v>56035.406893759318</v>
      </c>
      <c r="T180" s="169">
        <f t="shared" si="82"/>
        <v>60436.600985328354</v>
      </c>
      <c r="U180" s="169">
        <f t="shared" si="82"/>
        <v>64081.658296664908</v>
      </c>
      <c r="V180" s="169">
        <f t="shared" si="82"/>
        <v>67239.599119392326</v>
      </c>
      <c r="W180" s="169">
        <f t="shared" si="83"/>
        <v>70071.020492082971</v>
      </c>
      <c r="X180" s="169">
        <f t="shared" si="83"/>
        <v>72601.070709340958</v>
      </c>
      <c r="Y180" s="169">
        <f t="shared" si="83"/>
        <v>75083.386499746994</v>
      </c>
      <c r="Z180" s="169">
        <f t="shared" si="83"/>
        <v>77567.985411968388</v>
      </c>
      <c r="AA180" s="169">
        <f t="shared" si="83"/>
        <v>80051.116679968516</v>
      </c>
      <c r="AB180" s="169">
        <f t="shared" si="83"/>
        <v>82484.531847590581</v>
      </c>
      <c r="AC180" s="169">
        <f t="shared" si="83"/>
        <v>84879.287807575951</v>
      </c>
      <c r="AD180" s="169">
        <f t="shared" si="83"/>
        <v>87249.059784855228</v>
      </c>
      <c r="AE180" s="169">
        <f t="shared" si="83"/>
        <v>89600.071463818051</v>
      </c>
      <c r="AF180" s="169">
        <f t="shared" si="83"/>
        <v>91969.215396629254</v>
      </c>
      <c r="AG180" s="169">
        <f t="shared" si="84"/>
        <v>94421.483725807149</v>
      </c>
      <c r="AH180" s="169">
        <f t="shared" si="84"/>
        <v>96964.971131549115</v>
      </c>
      <c r="AI180" s="169">
        <f t="shared" si="84"/>
        <v>99611.159327369169</v>
      </c>
      <c r="AJ180" s="169">
        <f t="shared" si="84"/>
        <v>102245.33905221382</v>
      </c>
      <c r="AK180" s="169">
        <f t="shared" si="84"/>
        <v>104821.62313788485</v>
      </c>
      <c r="AL180" s="169">
        <f t="shared" si="84"/>
        <v>107296.022891974</v>
      </c>
      <c r="AM180" s="169">
        <f t="shared" si="84"/>
        <v>109759.55981321301</v>
      </c>
      <c r="AN180" s="169">
        <f t="shared" si="84"/>
        <v>112251.33325767716</v>
      </c>
      <c r="AO180" s="169">
        <f t="shared" si="84"/>
        <v>114771.60577553968</v>
      </c>
      <c r="AP180" s="169">
        <f t="shared" si="85"/>
        <v>117366.39947802629</v>
      </c>
      <c r="AQ180" s="169">
        <f t="shared" si="85"/>
        <v>120117.28614063692</v>
      </c>
      <c r="AR180" s="169">
        <f t="shared" si="85"/>
        <v>123105.59607737527</v>
      </c>
      <c r="AS180" s="169">
        <f t="shared" si="85"/>
        <v>125743.95687750322</v>
      </c>
      <c r="AU180" s="738" t="s">
        <v>3459</v>
      </c>
    </row>
    <row r="181" spans="1:47">
      <c r="B181" s="6" t="s">
        <v>167</v>
      </c>
      <c r="C181" s="169">
        <f t="shared" si="81"/>
        <v>0</v>
      </c>
      <c r="D181" s="169">
        <f t="shared" si="81"/>
        <v>0</v>
      </c>
      <c r="E181" s="169">
        <f t="shared" si="81"/>
        <v>0</v>
      </c>
      <c r="F181" s="169">
        <f t="shared" si="81"/>
        <v>0</v>
      </c>
      <c r="G181" s="169">
        <f t="shared" si="81"/>
        <v>53404.524069455685</v>
      </c>
      <c r="H181" s="169">
        <f t="shared" si="81"/>
        <v>90843.993605241238</v>
      </c>
      <c r="I181" s="169">
        <f t="shared" si="81"/>
        <v>119191.05220763001</v>
      </c>
      <c r="J181" s="169">
        <f t="shared" si="81"/>
        <v>141617.01721723398</v>
      </c>
      <c r="K181" s="169">
        <f t="shared" si="81"/>
        <v>160501.01408952632</v>
      </c>
      <c r="L181" s="169">
        <f t="shared" si="81"/>
        <v>177186.5830374349</v>
      </c>
      <c r="M181" s="169">
        <f t="shared" si="82"/>
        <v>192531.45458902229</v>
      </c>
      <c r="N181" s="169">
        <f t="shared" si="82"/>
        <v>206926.44656935864</v>
      </c>
      <c r="O181" s="169">
        <f t="shared" si="82"/>
        <v>220988.6543052526</v>
      </c>
      <c r="P181" s="169">
        <f t="shared" si="82"/>
        <v>235157.49561288292</v>
      </c>
      <c r="Q181" s="169">
        <f t="shared" si="82"/>
        <v>249737.40921870971</v>
      </c>
      <c r="R181" s="169">
        <f t="shared" si="82"/>
        <v>264893.28165142355</v>
      </c>
      <c r="S181" s="169">
        <f t="shared" si="82"/>
        <v>280597.51224358374</v>
      </c>
      <c r="T181" s="169">
        <f t="shared" si="82"/>
        <v>296882.53829436185</v>
      </c>
      <c r="U181" s="169">
        <f t="shared" si="82"/>
        <v>314008.03585066122</v>
      </c>
      <c r="V181" s="169">
        <f t="shared" si="82"/>
        <v>331954.80840931984</v>
      </c>
      <c r="W181" s="169">
        <f t="shared" si="83"/>
        <v>350712.66035660019</v>
      </c>
      <c r="X181" s="169">
        <f t="shared" si="83"/>
        <v>370179.29044197447</v>
      </c>
      <c r="Y181" s="169">
        <f t="shared" si="83"/>
        <v>390639.42579591461</v>
      </c>
      <c r="Z181" s="169">
        <f t="shared" si="83"/>
        <v>412146.96415760485</v>
      </c>
      <c r="AA181" s="169">
        <f t="shared" si="83"/>
        <v>434699.33776008961</v>
      </c>
      <c r="AB181" s="169">
        <f t="shared" si="83"/>
        <v>458231.96084117633</v>
      </c>
      <c r="AC181" s="169">
        <f t="shared" si="83"/>
        <v>482778.37764122552</v>
      </c>
      <c r="AD181" s="169">
        <f t="shared" si="83"/>
        <v>508382.57787487493</v>
      </c>
      <c r="AE181" s="169">
        <f t="shared" si="83"/>
        <v>535073.08379632724</v>
      </c>
      <c r="AF181" s="169">
        <f t="shared" si="83"/>
        <v>562918.52265503304</v>
      </c>
      <c r="AG181" s="169">
        <f t="shared" si="84"/>
        <v>592074.20538909326</v>
      </c>
      <c r="AH181" s="169">
        <f t="shared" si="84"/>
        <v>622606.71312399779</v>
      </c>
      <c r="AI181" s="169">
        <f t="shared" si="84"/>
        <v>654586.31809421978</v>
      </c>
      <c r="AJ181" s="169">
        <f t="shared" si="84"/>
        <v>687842.0233244088</v>
      </c>
      <c r="AK181" s="169">
        <f t="shared" si="84"/>
        <v>722317.20970230212</v>
      </c>
      <c r="AL181" s="169">
        <f t="shared" si="84"/>
        <v>757948.56496019359</v>
      </c>
      <c r="AM181" s="169">
        <f t="shared" si="84"/>
        <v>794937.74542244594</v>
      </c>
      <c r="AN181" s="169">
        <f t="shared" si="84"/>
        <v>833393.63316820387</v>
      </c>
      <c r="AO181" s="169">
        <f t="shared" si="84"/>
        <v>873349.49518462492</v>
      </c>
      <c r="AP181" s="169">
        <f t="shared" si="85"/>
        <v>914960.98216787144</v>
      </c>
      <c r="AQ181" s="169">
        <f t="shared" si="85"/>
        <v>958492.20543041034</v>
      </c>
      <c r="AR181" s="169">
        <f t="shared" si="85"/>
        <v>1004229.2276546096</v>
      </c>
      <c r="AS181" s="169">
        <f t="shared" si="85"/>
        <v>1050810.5091553659</v>
      </c>
      <c r="AU181" s="738" t="s">
        <v>3459</v>
      </c>
    </row>
    <row r="182" spans="1:47">
      <c r="B182" s="5" t="s">
        <v>22</v>
      </c>
      <c r="C182" s="196">
        <f t="shared" ref="C182:AO182" si="86">SUM(C178:C181)</f>
        <v>0</v>
      </c>
      <c r="D182" s="196">
        <f t="shared" si="86"/>
        <v>0</v>
      </c>
      <c r="E182" s="196">
        <f t="shared" si="86"/>
        <v>0</v>
      </c>
      <c r="F182" s="196">
        <f t="shared" si="86"/>
        <v>0</v>
      </c>
      <c r="G182" s="196">
        <f t="shared" si="86"/>
        <v>100142.6490803678</v>
      </c>
      <c r="H182" s="196">
        <f t="shared" si="86"/>
        <v>329434.29163905256</v>
      </c>
      <c r="I182" s="196">
        <f t="shared" si="86"/>
        <v>484937.46825910482</v>
      </c>
      <c r="J182" s="196">
        <f t="shared" si="86"/>
        <v>592051.01289017487</v>
      </c>
      <c r="K182" s="196">
        <f t="shared" si="86"/>
        <v>668577.25095234951</v>
      </c>
      <c r="L182" s="196">
        <f t="shared" si="86"/>
        <v>725100.75842463551</v>
      </c>
      <c r="M182" s="196">
        <f t="shared" si="86"/>
        <v>768184.83704223495</v>
      </c>
      <c r="N182" s="196">
        <f t="shared" si="86"/>
        <v>800860.71865053661</v>
      </c>
      <c r="O182" s="196">
        <f t="shared" si="86"/>
        <v>827424.00631317648</v>
      </c>
      <c r="P182" s="196">
        <f t="shared" si="86"/>
        <v>850629.94093361392</v>
      </c>
      <c r="Q182" s="196">
        <f t="shared" si="86"/>
        <v>872187.85941801546</v>
      </c>
      <c r="R182" s="196">
        <f t="shared" si="86"/>
        <v>924623.14200434054</v>
      </c>
      <c r="S182" s="196">
        <f t="shared" si="86"/>
        <v>973825.30300248973</v>
      </c>
      <c r="T182" s="196">
        <f t="shared" si="86"/>
        <v>1021068.484865272</v>
      </c>
      <c r="U182" s="196">
        <f t="shared" si="86"/>
        <v>1068256.3593627112</v>
      </c>
      <c r="V182" s="196">
        <f t="shared" si="86"/>
        <v>1115890.1171944956</v>
      </c>
      <c r="W182" s="196">
        <f t="shared" si="86"/>
        <v>1164171.4781876383</v>
      </c>
      <c r="X182" s="196">
        <f t="shared" si="86"/>
        <v>1212621.7988937807</v>
      </c>
      <c r="Y182" s="196">
        <f t="shared" si="86"/>
        <v>1262706.1336377098</v>
      </c>
      <c r="Z182" s="196">
        <f t="shared" si="86"/>
        <v>1314632.2964290672</v>
      </c>
      <c r="AA182" s="196">
        <f t="shared" si="86"/>
        <v>1368297.1195278058</v>
      </c>
      <c r="AB182" s="196">
        <f t="shared" si="86"/>
        <v>1423268.0343131288</v>
      </c>
      <c r="AC182" s="196">
        <f t="shared" si="86"/>
        <v>1479630.9652319602</v>
      </c>
      <c r="AD182" s="196">
        <f t="shared" si="86"/>
        <v>1537505.8559746309</v>
      </c>
      <c r="AE182" s="196">
        <f t="shared" si="86"/>
        <v>1596934.3596681205</v>
      </c>
      <c r="AF182" s="196">
        <f t="shared" si="86"/>
        <v>1658115.1395760188</v>
      </c>
      <c r="AG182" s="196">
        <f t="shared" si="86"/>
        <v>1721509.5357938334</v>
      </c>
      <c r="AH182" s="196">
        <f t="shared" si="86"/>
        <v>1787227.4378766906</v>
      </c>
      <c r="AI182" s="196">
        <f t="shared" si="86"/>
        <v>1855356.6212970731</v>
      </c>
      <c r="AJ182" s="196">
        <f t="shared" si="86"/>
        <v>1925082.0808235416</v>
      </c>
      <c r="AK182" s="196">
        <f t="shared" si="86"/>
        <v>1996129.1682790834</v>
      </c>
      <c r="AL182" s="196">
        <f t="shared" si="86"/>
        <v>2068190.0733464211</v>
      </c>
      <c r="AM182" s="196">
        <f t="shared" si="86"/>
        <v>2141998.7348567722</v>
      </c>
      <c r="AN182" s="196">
        <f t="shared" si="86"/>
        <v>2217884.1697252668</v>
      </c>
      <c r="AO182" s="196">
        <f t="shared" si="86"/>
        <v>2295870.9729707162</v>
      </c>
      <c r="AP182" s="196">
        <f t="shared" ref="AP182" si="87">SUM(AP178:AP181)</f>
        <v>2376270.8828324759</v>
      </c>
      <c r="AQ182" s="196">
        <f t="shared" ref="AQ182" si="88">SUM(AQ178:AQ181)</f>
        <v>2459755.7249086509</v>
      </c>
      <c r="AR182" s="196">
        <f t="shared" ref="AR182" si="89">SUM(AR178:AR181)</f>
        <v>2547054.9406455569</v>
      </c>
      <c r="AS182" s="196">
        <f t="shared" ref="AS182" si="90">SUM(AS178:AS181)</f>
        <v>2633715.5608249987</v>
      </c>
    </row>
    <row r="183" spans="1:47">
      <c r="B183" s="114"/>
      <c r="C183" s="151" t="b">
        <f t="shared" ref="C183:AO183" si="91">C182=C171</f>
        <v>1</v>
      </c>
      <c r="D183" s="151" t="b">
        <f t="shared" si="91"/>
        <v>1</v>
      </c>
      <c r="E183" s="151" t="b">
        <f t="shared" si="91"/>
        <v>1</v>
      </c>
      <c r="F183" s="151" t="b">
        <f t="shared" si="91"/>
        <v>1</v>
      </c>
      <c r="G183" s="151" t="b">
        <f t="shared" si="91"/>
        <v>1</v>
      </c>
      <c r="H183" s="151" t="b">
        <f t="shared" si="91"/>
        <v>1</v>
      </c>
      <c r="I183" s="151" t="b">
        <f t="shared" si="91"/>
        <v>1</v>
      </c>
      <c r="J183" s="151" t="b">
        <f t="shared" si="91"/>
        <v>1</v>
      </c>
      <c r="K183" s="151" t="b">
        <f t="shared" si="91"/>
        <v>1</v>
      </c>
      <c r="L183" s="151" t="b">
        <f t="shared" si="91"/>
        <v>1</v>
      </c>
      <c r="M183" s="151" t="b">
        <f t="shared" si="91"/>
        <v>1</v>
      </c>
      <c r="N183" s="151" t="b">
        <f t="shared" si="91"/>
        <v>0</v>
      </c>
      <c r="O183" s="151" t="b">
        <f t="shared" si="91"/>
        <v>1</v>
      </c>
      <c r="P183" s="151" t="b">
        <f t="shared" si="91"/>
        <v>1</v>
      </c>
      <c r="Q183" s="151" t="b">
        <f t="shared" si="91"/>
        <v>1</v>
      </c>
      <c r="R183" s="151" t="b">
        <f t="shared" si="91"/>
        <v>1</v>
      </c>
      <c r="S183" s="151" t="b">
        <f t="shared" si="91"/>
        <v>1</v>
      </c>
      <c r="T183" s="151" t="b">
        <f t="shared" si="91"/>
        <v>1</v>
      </c>
      <c r="U183" s="151" t="b">
        <f t="shared" si="91"/>
        <v>1</v>
      </c>
      <c r="V183" s="151" t="b">
        <f t="shared" si="91"/>
        <v>1</v>
      </c>
      <c r="W183" s="151" t="b">
        <f t="shared" si="91"/>
        <v>1</v>
      </c>
      <c r="X183" s="151" t="b">
        <f t="shared" si="91"/>
        <v>1</v>
      </c>
      <c r="Y183" s="151" t="b">
        <f t="shared" si="91"/>
        <v>1</v>
      </c>
      <c r="Z183" s="151" t="b">
        <f t="shared" si="91"/>
        <v>1</v>
      </c>
      <c r="AA183" s="151" t="b">
        <f t="shared" si="91"/>
        <v>1</v>
      </c>
      <c r="AB183" s="151" t="b">
        <f t="shared" si="91"/>
        <v>1</v>
      </c>
      <c r="AC183" s="151" t="b">
        <f t="shared" si="91"/>
        <v>1</v>
      </c>
      <c r="AD183" s="151" t="b">
        <f t="shared" si="91"/>
        <v>1</v>
      </c>
      <c r="AE183" s="151" t="b">
        <f t="shared" si="91"/>
        <v>1</v>
      </c>
      <c r="AF183" s="151" t="b">
        <f t="shared" si="91"/>
        <v>1</v>
      </c>
      <c r="AG183" s="151" t="b">
        <f t="shared" si="91"/>
        <v>1</v>
      </c>
      <c r="AH183" s="151" t="b">
        <f t="shared" si="91"/>
        <v>1</v>
      </c>
      <c r="AI183" s="151" t="b">
        <f t="shared" si="91"/>
        <v>1</v>
      </c>
      <c r="AJ183" s="151" t="b">
        <f t="shared" si="91"/>
        <v>1</v>
      </c>
      <c r="AK183" s="151" t="b">
        <f t="shared" si="91"/>
        <v>1</v>
      </c>
      <c r="AL183" s="151" t="b">
        <f t="shared" si="91"/>
        <v>1</v>
      </c>
      <c r="AM183" s="151" t="b">
        <f t="shared" si="91"/>
        <v>1</v>
      </c>
      <c r="AN183" s="151" t="b">
        <f t="shared" si="91"/>
        <v>1</v>
      </c>
      <c r="AO183" s="151" t="b">
        <f t="shared" si="91"/>
        <v>1</v>
      </c>
      <c r="AP183" s="151" t="b">
        <f t="shared" ref="AP183" si="92">AP182=AP171</f>
        <v>1</v>
      </c>
      <c r="AQ183" s="151" t="b">
        <f t="shared" ref="AQ183" si="93">AQ182=AQ171</f>
        <v>1</v>
      </c>
      <c r="AR183" s="151" t="b">
        <f t="shared" ref="AR183" si="94">AR182=AR171</f>
        <v>1</v>
      </c>
      <c r="AS183" s="151" t="b">
        <f t="shared" ref="AS183" si="95">AS182=AS171</f>
        <v>1</v>
      </c>
    </row>
    <row r="184" spans="1:47">
      <c r="B184" s="114"/>
      <c r="C184" s="151"/>
      <c r="D184" s="151"/>
      <c r="E184" s="151"/>
      <c r="F184" s="151"/>
      <c r="G184" s="151"/>
      <c r="H184" s="151"/>
      <c r="I184" s="151"/>
      <c r="J184" s="151"/>
      <c r="K184" s="151"/>
      <c r="L184" s="151"/>
      <c r="M184" s="151"/>
      <c r="N184" s="151"/>
      <c r="O184" s="151"/>
      <c r="P184" s="151"/>
      <c r="Q184" s="151"/>
      <c r="R184" s="151"/>
      <c r="S184" s="151"/>
      <c r="T184" s="151"/>
      <c r="U184" s="151"/>
      <c r="V184" s="151"/>
      <c r="W184" s="151"/>
      <c r="X184" s="151"/>
      <c r="Y184" s="151"/>
      <c r="Z184" s="151"/>
      <c r="AA184" s="151"/>
      <c r="AB184" s="151"/>
      <c r="AC184" s="151"/>
      <c r="AD184" s="151"/>
      <c r="AE184" s="151"/>
      <c r="AF184" s="151"/>
      <c r="AG184" s="151"/>
      <c r="AH184" s="151"/>
      <c r="AI184" s="151"/>
      <c r="AJ184" s="151"/>
      <c r="AK184" s="151"/>
      <c r="AL184" s="151"/>
      <c r="AM184" s="151"/>
      <c r="AN184" s="151"/>
      <c r="AO184" s="151"/>
    </row>
    <row r="185" spans="1:47">
      <c r="B185" s="114"/>
      <c r="C185" s="876"/>
      <c r="D185" s="876"/>
      <c r="E185" s="876"/>
      <c r="F185" s="876"/>
      <c r="G185" s="876"/>
      <c r="H185" s="876"/>
      <c r="I185" s="876"/>
      <c r="J185" s="876"/>
      <c r="K185" s="876"/>
      <c r="L185" s="876"/>
      <c r="M185" s="876"/>
      <c r="N185" s="876" t="s">
        <v>3457</v>
      </c>
      <c r="O185" s="886">
        <f t="shared" ref="O185:X185" si="96">O178/SUMIFS(O$105:O$122,$AU$153:$AU$170,$B178)*0.7</f>
        <v>0.19903036402256469</v>
      </c>
      <c r="P185" s="886">
        <f t="shared" si="96"/>
        <v>0.19314565891871005</v>
      </c>
      <c r="Q185" s="886">
        <f t="shared" si="96"/>
        <v>0.18707450092943789</v>
      </c>
      <c r="R185" s="886">
        <f t="shared" si="96"/>
        <v>0.18921954321899953</v>
      </c>
      <c r="S185" s="886">
        <f t="shared" si="96"/>
        <v>0.19010196752790709</v>
      </c>
      <c r="T185" s="886">
        <f t="shared" si="96"/>
        <v>0.19015557030052332</v>
      </c>
      <c r="U185" s="886">
        <f t="shared" si="96"/>
        <v>0.18974978173009827</v>
      </c>
      <c r="V185" s="886">
        <f t="shared" si="96"/>
        <v>0.18907816222512186</v>
      </c>
      <c r="W185" s="886">
        <f t="shared" si="96"/>
        <v>0.18823171008569323</v>
      </c>
      <c r="X185" s="886">
        <f t="shared" si="96"/>
        <v>0.18719421403007344</v>
      </c>
      <c r="Y185" s="876"/>
      <c r="Z185" s="876"/>
      <c r="AA185" s="876"/>
      <c r="AB185" s="876"/>
      <c r="AC185" s="876"/>
      <c r="AD185" s="876"/>
      <c r="AE185" s="876"/>
      <c r="AF185" s="876"/>
      <c r="AG185" s="876"/>
      <c r="AH185" s="876"/>
      <c r="AI185" s="876"/>
      <c r="AJ185" s="876"/>
      <c r="AK185" s="876"/>
      <c r="AL185" s="876"/>
      <c r="AM185" s="876"/>
      <c r="AN185" s="876"/>
      <c r="AO185" s="876"/>
    </row>
    <row r="186" spans="1:47">
      <c r="A186" t="s">
        <v>10</v>
      </c>
      <c r="B186" s="114" t="s">
        <v>3461</v>
      </c>
      <c r="C186" s="151"/>
      <c r="D186" s="151"/>
      <c r="E186" s="151"/>
      <c r="F186" s="151"/>
      <c r="G186" s="151"/>
      <c r="H186" s="151"/>
      <c r="I186" s="151"/>
      <c r="J186" s="151"/>
      <c r="K186" s="151"/>
      <c r="L186" s="151"/>
      <c r="M186" s="151"/>
      <c r="N186" s="151" t="s">
        <v>2476</v>
      </c>
      <c r="O186" s="886">
        <f t="shared" ref="O186:X186" si="97">O179/SUMIFS(O$105:O$122,$AU$153:$AU$170,$B179)*0.7</f>
        <v>0.1233877815570287</v>
      </c>
      <c r="P186" s="886">
        <f t="shared" si="97"/>
        <v>0.12421318556003598</v>
      </c>
      <c r="Q186" s="886">
        <f t="shared" si="97"/>
        <v>0.12453351484221213</v>
      </c>
      <c r="R186" s="886">
        <f t="shared" si="97"/>
        <v>0.12457617493267754</v>
      </c>
      <c r="S186" s="886">
        <f t="shared" si="97"/>
        <v>0.12438655218146114</v>
      </c>
      <c r="T186" s="886">
        <f t="shared" si="97"/>
        <v>0.1239912038698312</v>
      </c>
      <c r="U186" s="886">
        <f t="shared" si="97"/>
        <v>0.12348007569089338</v>
      </c>
      <c r="V186" s="886">
        <f t="shared" si="97"/>
        <v>0.12294901956297336</v>
      </c>
      <c r="W186" s="886">
        <f t="shared" si="97"/>
        <v>0.1223969490036063</v>
      </c>
      <c r="X186" s="886">
        <f t="shared" si="97"/>
        <v>0.12171618342410739</v>
      </c>
      <c r="Y186" s="151"/>
      <c r="Z186" s="151"/>
      <c r="AA186" s="151"/>
      <c r="AB186" s="151"/>
      <c r="AC186" s="151"/>
      <c r="AD186" s="151"/>
      <c r="AE186" s="151"/>
      <c r="AF186" s="151"/>
      <c r="AG186" s="151"/>
      <c r="AH186" s="151"/>
      <c r="AI186" s="151"/>
      <c r="AJ186" s="151"/>
      <c r="AK186" s="151"/>
      <c r="AL186" s="151"/>
      <c r="AM186" s="151"/>
      <c r="AN186" s="151"/>
      <c r="AO186" s="151"/>
    </row>
    <row r="187" spans="1:47">
      <c r="B187" s="775" t="s">
        <v>3509</v>
      </c>
      <c r="C187" s="151"/>
      <c r="D187" s="151"/>
      <c r="E187" s="151"/>
      <c r="F187" s="151"/>
      <c r="G187" s="151"/>
      <c r="H187" s="151"/>
      <c r="I187" s="151"/>
      <c r="J187" s="151"/>
      <c r="K187" s="151"/>
      <c r="L187" s="151"/>
      <c r="M187" s="151"/>
      <c r="N187" s="151" t="s">
        <v>2474</v>
      </c>
      <c r="O187" s="886">
        <f t="shared" ref="O187:X187" si="98">O180/SUMIFS(O$105:O$122,$AU$153:$AU$170,$B180)*0.7</f>
        <v>7.647253612726311E-2</v>
      </c>
      <c r="P187" s="886">
        <f t="shared" si="98"/>
        <v>6.3402172620813144E-2</v>
      </c>
      <c r="Q187" s="886">
        <f t="shared" si="98"/>
        <v>5.0393412690037921E-2</v>
      </c>
      <c r="R187" s="886">
        <f t="shared" si="98"/>
        <v>5.7151323611749287E-2</v>
      </c>
      <c r="S187" s="886">
        <f t="shared" si="98"/>
        <v>6.1110081111338865E-2</v>
      </c>
      <c r="T187" s="886">
        <f t="shared" si="98"/>
        <v>6.3278681621332059E-2</v>
      </c>
      <c r="U187" s="886">
        <f t="shared" si="98"/>
        <v>6.442242510843206E-2</v>
      </c>
      <c r="V187" s="886">
        <f t="shared" si="98"/>
        <v>6.4935231225612233E-2</v>
      </c>
      <c r="W187" s="886">
        <f t="shared" si="98"/>
        <v>6.5041293385324259E-2</v>
      </c>
      <c r="X187" s="886">
        <f t="shared" si="98"/>
        <v>6.4808096115575684E-2</v>
      </c>
      <c r="Y187" s="151"/>
      <c r="Z187" s="151"/>
      <c r="AA187" s="151"/>
      <c r="AB187" s="151"/>
      <c r="AC187" s="151"/>
      <c r="AD187" s="151"/>
      <c r="AE187" s="151"/>
      <c r="AF187" s="151"/>
      <c r="AG187" s="151"/>
      <c r="AH187" s="151"/>
      <c r="AI187" s="151"/>
      <c r="AJ187" s="151"/>
      <c r="AK187" s="151"/>
      <c r="AL187" s="151"/>
      <c r="AM187" s="151"/>
      <c r="AN187" s="151"/>
      <c r="AO187" s="151"/>
    </row>
    <row r="188" spans="1:47">
      <c r="B188" s="114"/>
      <c r="C188" s="151"/>
      <c r="D188" s="151"/>
      <c r="E188" s="151"/>
      <c r="F188" s="151"/>
      <c r="G188" s="151"/>
      <c r="H188" s="151"/>
      <c r="I188" s="151"/>
      <c r="J188" s="151"/>
      <c r="K188" s="151"/>
      <c r="L188" s="151"/>
      <c r="M188" s="151"/>
      <c r="N188" s="151" t="s">
        <v>167</v>
      </c>
      <c r="O188" s="886">
        <f t="shared" ref="O188:X188" si="99">O181/SUMIFS(O$105:O$122,$AU$153:$AU$170,$B181)*0.7</f>
        <v>0.30202242356499387</v>
      </c>
      <c r="P188" s="886">
        <f t="shared" si="99"/>
        <v>0.30369583277344464</v>
      </c>
      <c r="Q188" s="886">
        <f t="shared" si="99"/>
        <v>0.30488422754893729</v>
      </c>
      <c r="R188" s="886">
        <f t="shared" si="99"/>
        <v>0.30579439268280445</v>
      </c>
      <c r="S188" s="886">
        <f t="shared" si="99"/>
        <v>0.30647340770794773</v>
      </c>
      <c r="T188" s="886">
        <f t="shared" si="99"/>
        <v>0.30694444287074529</v>
      </c>
      <c r="U188" s="886">
        <f t="shared" si="99"/>
        <v>0.30727884635589936</v>
      </c>
      <c r="V188" s="886">
        <f t="shared" si="99"/>
        <v>0.30757854832594289</v>
      </c>
      <c r="W188" s="886">
        <f t="shared" si="99"/>
        <v>0.30784721260944647</v>
      </c>
      <c r="X188" s="886">
        <f t="shared" si="99"/>
        <v>0.3079814606765362</v>
      </c>
      <c r="Y188" s="151"/>
      <c r="Z188" s="151"/>
      <c r="AA188" s="151"/>
      <c r="AB188" s="151"/>
      <c r="AC188" s="151"/>
      <c r="AD188" s="151"/>
      <c r="AE188" s="151"/>
      <c r="AF188" s="151"/>
      <c r="AG188" s="151"/>
      <c r="AH188" s="151"/>
      <c r="AI188" s="151"/>
      <c r="AJ188" s="151"/>
      <c r="AK188" s="151"/>
      <c r="AL188" s="151"/>
      <c r="AM188" s="151"/>
      <c r="AN188" s="151"/>
      <c r="AO188" s="151"/>
    </row>
    <row r="189" spans="1:47">
      <c r="B189" s="114"/>
      <c r="C189" s="34">
        <f t="shared" ref="C189:AO189" si="100">C21</f>
        <v>2020</v>
      </c>
      <c r="D189" s="34">
        <f t="shared" si="100"/>
        <v>2021</v>
      </c>
      <c r="E189" s="34">
        <f t="shared" si="100"/>
        <v>2022</v>
      </c>
      <c r="F189" s="34">
        <f t="shared" si="100"/>
        <v>2023</v>
      </c>
      <c r="G189" s="34">
        <f t="shared" si="100"/>
        <v>2024</v>
      </c>
      <c r="H189" s="34">
        <f t="shared" si="100"/>
        <v>2025</v>
      </c>
      <c r="I189" s="34">
        <f t="shared" si="100"/>
        <v>2026</v>
      </c>
      <c r="J189" s="34">
        <f t="shared" si="100"/>
        <v>2027</v>
      </c>
      <c r="K189" s="34">
        <f t="shared" si="100"/>
        <v>2028</v>
      </c>
      <c r="L189" s="34">
        <f t="shared" si="100"/>
        <v>2029</v>
      </c>
      <c r="M189" s="34">
        <f t="shared" si="100"/>
        <v>2030</v>
      </c>
      <c r="N189" s="34">
        <f t="shared" si="100"/>
        <v>2031</v>
      </c>
      <c r="O189" s="34">
        <f t="shared" si="100"/>
        <v>2032</v>
      </c>
      <c r="P189" s="34">
        <f t="shared" si="100"/>
        <v>2033</v>
      </c>
      <c r="Q189" s="34">
        <f t="shared" si="100"/>
        <v>2034</v>
      </c>
      <c r="R189" s="34">
        <f t="shared" si="100"/>
        <v>2035</v>
      </c>
      <c r="S189" s="34">
        <f t="shared" si="100"/>
        <v>2036</v>
      </c>
      <c r="T189" s="34">
        <f t="shared" si="100"/>
        <v>2037</v>
      </c>
      <c r="U189" s="34">
        <f t="shared" si="100"/>
        <v>2038</v>
      </c>
      <c r="V189" s="34">
        <f t="shared" si="100"/>
        <v>2039</v>
      </c>
      <c r="W189" s="34">
        <f t="shared" si="100"/>
        <v>2040</v>
      </c>
      <c r="X189" s="34">
        <f t="shared" si="100"/>
        <v>2041</v>
      </c>
      <c r="Y189" s="34">
        <f t="shared" si="100"/>
        <v>2042</v>
      </c>
      <c r="Z189" s="34">
        <f t="shared" si="100"/>
        <v>2043</v>
      </c>
      <c r="AA189" s="34">
        <f t="shared" si="100"/>
        <v>2044</v>
      </c>
      <c r="AB189" s="34">
        <f t="shared" si="100"/>
        <v>2045</v>
      </c>
      <c r="AC189" s="34">
        <f t="shared" si="100"/>
        <v>2046</v>
      </c>
      <c r="AD189" s="34">
        <f t="shared" si="100"/>
        <v>2047</v>
      </c>
      <c r="AE189" s="34">
        <f t="shared" si="100"/>
        <v>2048</v>
      </c>
      <c r="AF189" s="34">
        <f t="shared" si="100"/>
        <v>2049</v>
      </c>
      <c r="AG189" s="34">
        <f t="shared" si="100"/>
        <v>2050</v>
      </c>
      <c r="AH189" s="34">
        <f t="shared" si="100"/>
        <v>2051</v>
      </c>
      <c r="AI189" s="34">
        <f t="shared" si="100"/>
        <v>2052</v>
      </c>
      <c r="AJ189" s="34">
        <f t="shared" si="100"/>
        <v>2053</v>
      </c>
      <c r="AK189" s="34">
        <f t="shared" si="100"/>
        <v>2054</v>
      </c>
      <c r="AL189" s="34">
        <f t="shared" si="100"/>
        <v>2055</v>
      </c>
      <c r="AM189" s="34">
        <f t="shared" si="100"/>
        <v>2056</v>
      </c>
      <c r="AN189" s="34">
        <f t="shared" si="100"/>
        <v>2057</v>
      </c>
      <c r="AO189" s="34">
        <f t="shared" si="100"/>
        <v>2058</v>
      </c>
    </row>
    <row r="190" spans="1:47">
      <c r="B190" s="6" t="s">
        <v>3458</v>
      </c>
      <c r="C190" s="169">
        <f>IF(C$189&lt;=$D$54,SUMIFS(C$178:C$181,$AU$178:$AU$181,$B190)*(1-'Control Assumptions'!$C$16),0)</f>
        <v>0</v>
      </c>
      <c r="D190" s="169">
        <f>IF(D$189&lt;=$D$54,SUMIFS(D$178:D$181,$AU$178:$AU$181,$B190)*(1-'Control Assumptions'!$C$16),0)</f>
        <v>0</v>
      </c>
      <c r="E190" s="169">
        <f>IF(E$189&lt;=$D$54,SUMIFS(E$178:E$181,$AU$178:$AU$181,$B190)*(1-'Control Assumptions'!$C$16),0)</f>
        <v>0</v>
      </c>
      <c r="F190" s="169">
        <f>IF(F$189&lt;=$D$54,SUMIFS(F$178:F$181,$AU$178:$AU$181,$B190)*(1-'Control Assumptions'!$C$16),0)</f>
        <v>0</v>
      </c>
      <c r="G190" s="169">
        <f>IF(G$189&lt;=$D$54,SUMIFS(G$178:G$181,$AU$178:$AU$181,$B190)*(1-'Control Assumptions'!$C$16),0)</f>
        <v>86716.375969201777</v>
      </c>
      <c r="H190" s="169">
        <f>IF(H$189&lt;=$D$54,SUMIFS(H$178:H$181,$AU$178:$AU$181,$B190)*(1-'Control Assumptions'!$C$16),0)</f>
        <v>126988.16533141742</v>
      </c>
      <c r="I190" s="169">
        <f>IF(I$189&lt;=$D$54,SUMIFS(I$178:I$181,$AU$178:$AU$181,$B190)*(1-'Control Assumptions'!$C$16),0)</f>
        <v>154348.46764425005</v>
      </c>
      <c r="J190" s="169">
        <f>IF(J$189&lt;=$D$54,SUMIFS(J$178:J$181,$AU$178:$AU$181,$B190)*(1-'Control Assumptions'!$C$16),0)</f>
        <v>173178.14459215323</v>
      </c>
      <c r="K190" s="169">
        <f>IF(K$189&lt;=$D$54,SUMIFS(K$178:K$181,$AU$178:$AU$181,$B190)*(1-'Control Assumptions'!$C$16),0)</f>
        <v>186691.87363371134</v>
      </c>
      <c r="L190" s="169">
        <f>IF(L$189&lt;=$D$54,SUMIFS(L$178:L$181,$AU$178:$AU$181,$B190)*(1-'Control Assumptions'!$C$16),0)</f>
        <v>196609.5990238977</v>
      </c>
      <c r="M190" s="169">
        <f>IF(M$189&lt;=$D$54,SUMIFS(M$178:M$181,$AU$178:$AU$181,$B190)*(1-'Control Assumptions'!$C$16),0)</f>
        <v>204008.41267696739</v>
      </c>
      <c r="N190" s="169">
        <f>IF(N$189&lt;=$D$54,SUMIFS(N$178:N$181,$AU$178:$AU$181,$B190)*(1-'Control Assumptions'!$C$16),0)</f>
        <v>209378.46966072952</v>
      </c>
      <c r="O190" s="169">
        <f>IF(O$189&lt;=$D$54,SUMIFS(O$178:O$181,$AU$178:$AU$181,$B190)*(1-'Control Assumptions'!$C$16),0)</f>
        <v>213445.52040614167</v>
      </c>
      <c r="P190" s="169">
        <f>IF(P$189&lt;=$D$54,SUMIFS(P$178:P$181,$AU$178:$AU$181,$B190)*(1-'Control Assumptions'!$C$16),0)</f>
        <v>216711.64134893916</v>
      </c>
      <c r="Q190" s="169">
        <f>IF(Q$189&lt;=$D$54,SUMIFS(Q$178:Q$181,$AU$178:$AU$181,$B190)*(1-'Control Assumptions'!$C$16),0)</f>
        <v>219501.3140802932</v>
      </c>
      <c r="R190" s="169">
        <f>IF(R$189&lt;=$D$54,SUMIFS(R$178:R$181,$AU$178:$AU$181,$B190)*(1-'Control Assumptions'!$C$16),0)</f>
        <v>232077.81653183015</v>
      </c>
      <c r="S190" s="169">
        <f>IF(S$189&lt;=$D$54,SUMIFS(S$178:S$181,$AU$178:$AU$181,$B190)*(1-'Control Assumptions'!$C$16),0)</f>
        <v>243575.10477899571</v>
      </c>
      <c r="T190" s="169">
        <f>IF(T$189&lt;=$D$54,SUMIFS(T$178:T$181,$AU$178:$AU$181,$B190)*(1-'Control Assumptions'!$C$16),0)</f>
        <v>254386.43911632645</v>
      </c>
      <c r="U190" s="169">
        <f>IF(U$189&lt;=$D$54,SUMIFS(U$178:U$181,$AU$178:$AU$181,$B190)*(1-'Control Assumptions'!$C$16),0)</f>
        <v>265024.40638080833</v>
      </c>
      <c r="V190" s="169">
        <f>IF(V$189&lt;=$D$54,SUMIFS(V$178:V$181,$AU$178:$AU$181,$B190)*(1-'Control Assumptions'!$C$16),0)</f>
        <v>275593.97038849641</v>
      </c>
      <c r="W190" s="169">
        <f>IF(W$189&lt;=$D$54,SUMIFS(W$178:W$181,$AU$178:$AU$181,$B190)*(1-'Control Assumptions'!$C$16),0)</f>
        <v>286159.69827122969</v>
      </c>
      <c r="X190" s="169">
        <f>IF(X$189&lt;=$D$54,SUMIFS(X$178:X$181,$AU$178:$AU$181,$B190)*(1-'Control Assumptions'!$C$16),0)</f>
        <v>296661.84441155329</v>
      </c>
      <c r="Y190" s="169">
        <f>IF(Y$189&lt;=$D$54,SUMIFS(Y$178:Y$181,$AU$178:$AU$181,$B190)*(1-'Control Assumptions'!$C$16),0)</f>
        <v>307406.05399298255</v>
      </c>
      <c r="Z190" s="169">
        <f>IF(Z$189&lt;=$D$54,SUMIFS(Z$178:Z$181,$AU$178:$AU$181,$B190)*(1-'Control Assumptions'!$C$16),0)</f>
        <v>318429.32832032698</v>
      </c>
      <c r="AA190" s="169">
        <f>IF(AA$189&lt;=$D$54,SUMIFS(AA$178:AA$181,$AU$178:$AU$181,$B190)*(1-'Control Assumptions'!$C$16),0)</f>
        <v>329703.25101352087</v>
      </c>
      <c r="AB190" s="169">
        <f>IF(AB$189&lt;=$D$54,SUMIFS(AB$178:AB$181,$AU$178:$AU$181,$B190)*(1-'Control Assumptions'!$C$16),0)</f>
        <v>341142.27634254325</v>
      </c>
      <c r="AC190" s="169">
        <f>IF(AC$189&lt;=$D$54,SUMIFS(AC$178:AC$181,$AU$178:$AU$181,$B190)*(1-'Control Assumptions'!$C$16),0)</f>
        <v>352749.09881152899</v>
      </c>
      <c r="AD190" s="169">
        <f>IF(AD$189&lt;=$D$54,SUMIFS(AD$178:AD$181,$AU$178:$AU$181,$B190)*(1-'Control Assumptions'!$C$16),0)</f>
        <v>364533.58494515921</v>
      </c>
      <c r="AE190" s="169">
        <f>IF(AE$189&lt;=$D$54,SUMIFS(AE$178:AE$181,$AU$178:$AU$181,$B190)*(1-'Control Assumptions'!$C$16),0)</f>
        <v>376492.81673032598</v>
      </c>
      <c r="AF190" s="169">
        <f>IF(AF$189&lt;=$D$54,SUMIFS(AF$178:AF$181,$AU$178:$AU$181,$B190)*(1-'Control Assumptions'!$C$16),0)</f>
        <v>388667.03179776878</v>
      </c>
      <c r="AG190" s="169">
        <f>IF(AG$189&lt;=$D$54,SUMIFS(AG$178:AG$181,$AU$178:$AU$181,$B190)*(1-'Control Assumptions'!$C$16),0)</f>
        <v>401163.88643189246</v>
      </c>
      <c r="AH190" s="169">
        <f>IF(AH$189&lt;=$D$54,SUMIFS(AH$178:AH$181,$AU$178:$AU$181,$B190)*(1-'Control Assumptions'!$C$16),0)</f>
        <v>413999.71737860522</v>
      </c>
      <c r="AI190" s="169">
        <f>IF(AI$189&lt;=$D$54,SUMIFS(AI$178:AI$181,$AU$178:$AU$181,$B190)*(1-'Control Assumptions'!$C$16),0)</f>
        <v>0</v>
      </c>
      <c r="AJ190" s="169">
        <f>IF(AJ$189&lt;=$D$54,SUMIFS(AJ$178:AJ$181,$AU$178:$AU$181,$B190)*(1-'Control Assumptions'!$C$16),0)</f>
        <v>0</v>
      </c>
      <c r="AK190" s="169">
        <f>IF(AK$189&lt;=$D$54,SUMIFS(AK$178:AK$181,$AU$178:$AU$181,$B190)*(1-'Control Assumptions'!$C$16),0)</f>
        <v>0</v>
      </c>
      <c r="AL190" s="169">
        <f>IF(AL$189&lt;=$D$54,SUMIFS(AL$178:AL$181,$AU$178:$AU$181,$B190)*(1-'Control Assumptions'!$C$16),0)</f>
        <v>0</v>
      </c>
      <c r="AM190" s="169">
        <f>IF(AM$189&lt;=$D$54,SUMIFS(AM$178:AM$181,$AU$178:$AU$181,$B190)*(1-'Control Assumptions'!$C$16),0)</f>
        <v>0</v>
      </c>
      <c r="AN190" s="169">
        <f>IF(AN$189&lt;=$D$54,SUMIFS(AN$178:AN$181,$AU$178:$AU$181,$B190)*(1-'Control Assumptions'!$C$16),0)</f>
        <v>0</v>
      </c>
      <c r="AO190" s="169">
        <f>IF(AO$189&lt;=$D$54,SUMIFS(AO$178:AO$181,$AU$178:$AU$181,$B190)*(1-'Control Assumptions'!$C$16),0)</f>
        <v>0</v>
      </c>
    </row>
    <row r="191" spans="1:47">
      <c r="B191" s="6" t="s">
        <v>3459</v>
      </c>
      <c r="C191" s="169">
        <f>IF(C$189&lt;=$D$54,SUMIFS(C$178:C$181,$AU$178:$AU$181,$B191)*(1-'Control Assumptions'!$C$16),0)</f>
        <v>0</v>
      </c>
      <c r="D191" s="169">
        <f>IF(D$189&lt;=$D$54,SUMIFS(D$178:D$181,$AU$178:$AU$181,$B191)*(1-'Control Assumptions'!$C$16),0)</f>
        <v>0</v>
      </c>
      <c r="E191" s="169">
        <f>IF(E$189&lt;=$D$54,SUMIFS(E$178:E$181,$AU$178:$AU$181,$B191)*(1-'Control Assumptions'!$C$16),0)</f>
        <v>0</v>
      </c>
      <c r="F191" s="169">
        <f>IF(F$189&lt;=$D$54,SUMIFS(F$178:F$181,$AU$178:$AU$181,$B191)*(1-'Control Assumptions'!$C$16),0)</f>
        <v>0</v>
      </c>
      <c r="G191" s="169">
        <f>IF(G$189&lt;=$D$54,SUMIFS(G$178:G$181,$AU$178:$AU$181,$B191)*(1-'Control Assumptions'!$C$16),0)</f>
        <v>-16616.521612944318</v>
      </c>
      <c r="H191" s="169">
        <f>IF(H$189&lt;=$D$54,SUMIFS(H$178:H$181,$AU$178:$AU$181,$B191)*(1-'Control Assumptions'!$C$16),0)</f>
        <v>103615.83881591936</v>
      </c>
      <c r="I191" s="169">
        <f>IF(I$189&lt;=$D$54,SUMIFS(I$178:I$181,$AU$178:$AU$181,$B191)*(1-'Control Assumptions'!$C$16),0)</f>
        <v>185107.76013712326</v>
      </c>
      <c r="J191" s="169">
        <f>IF(J$189&lt;=$D$54,SUMIFS(J$178:J$181,$AU$178:$AU$181,$B191)*(1-'Control Assumptions'!$C$16),0)</f>
        <v>241257.5644309691</v>
      </c>
      <c r="K191" s="169">
        <f>IF(K$189&lt;=$D$54,SUMIFS(K$178:K$181,$AU$178:$AU$181,$B191)*(1-'Control Assumptions'!$C$16),0)</f>
        <v>281312.2020329333</v>
      </c>
      <c r="L191" s="169">
        <f>IF(L$189&lt;=$D$54,SUMIFS(L$178:L$181,$AU$178:$AU$181,$B191)*(1-'Control Assumptions'!$C$16),0)</f>
        <v>310960.93187334714</v>
      </c>
      <c r="M191" s="169">
        <f>IF(M$189&lt;=$D$54,SUMIFS(M$178:M$181,$AU$178:$AU$181,$B191)*(1-'Control Assumptions'!$C$16),0)</f>
        <v>333720.97325259697</v>
      </c>
      <c r="N191" s="169">
        <f>IF(N$189&lt;=$D$54,SUMIFS(N$178:N$181,$AU$178:$AU$181,$B191)*(1-'Control Assumptions'!$C$16),0)</f>
        <v>351224.03339464602</v>
      </c>
      <c r="O191" s="169">
        <f>IF(O$189&lt;=$D$54,SUMIFS(O$178:O$181,$AU$178:$AU$181,$B191)*(1-'Control Assumptions'!$C$16),0)</f>
        <v>365751.28401308181</v>
      </c>
      <c r="P191" s="169">
        <f>IF(P$189&lt;=$D$54,SUMIFS(P$178:P$181,$AU$178:$AU$181,$B191)*(1-'Control Assumptions'!$C$16),0)</f>
        <v>378729.31730459054</v>
      </c>
      <c r="Q191" s="169">
        <f>IF(Q$189&lt;=$D$54,SUMIFS(Q$178:Q$181,$AU$178:$AU$181,$B191)*(1-'Control Assumptions'!$C$16),0)</f>
        <v>391030.18751231761</v>
      </c>
      <c r="R191" s="169">
        <f>IF(R$189&lt;=$D$54,SUMIFS(R$178:R$181,$AU$178:$AU$181,$B191)*(1-'Control Assumptions'!$C$16),0)</f>
        <v>415158.38287120819</v>
      </c>
      <c r="S191" s="169">
        <f>IF(S$189&lt;=$D$54,SUMIFS(S$178:S$181,$AU$178:$AU$181,$B191)*(1-'Control Assumptions'!$C$16),0)</f>
        <v>438102.607322747</v>
      </c>
      <c r="T191" s="169">
        <f>IF(T$189&lt;=$D$54,SUMIFS(T$178:T$181,$AU$178:$AU$181,$B191)*(1-'Control Assumptions'!$C$16),0)</f>
        <v>460361.50028936396</v>
      </c>
      <c r="U191" s="169">
        <f>IF(U$189&lt;=$D$54,SUMIFS(U$178:U$181,$AU$178:$AU$181,$B191)*(1-'Control Assumptions'!$C$16),0)</f>
        <v>482755.04517308943</v>
      </c>
      <c r="V191" s="169">
        <f>IF(V$189&lt;=$D$54,SUMIFS(V$178:V$181,$AU$178:$AU$181,$B191)*(1-'Control Assumptions'!$C$16),0)</f>
        <v>505529.11164765037</v>
      </c>
      <c r="W191" s="169">
        <f>IF(W$189&lt;=$D$54,SUMIFS(W$178:W$181,$AU$178:$AU$181,$B191)*(1-'Control Assumptions'!$C$16),0)</f>
        <v>528760.33646011713</v>
      </c>
      <c r="X191" s="169">
        <f>IF(X$189&lt;=$D$54,SUMIFS(X$178:X$181,$AU$178:$AU$181,$B191)*(1-'Control Assumptions'!$C$16),0)</f>
        <v>552173.41481409303</v>
      </c>
      <c r="Y191" s="169">
        <f>IF(Y$189&lt;=$D$54,SUMIFS(Y$178:Y$181,$AU$178:$AU$181,$B191)*(1-'Control Assumptions'!$C$16),0)</f>
        <v>576488.23955341429</v>
      </c>
      <c r="Z191" s="169">
        <f>IF(Z$189&lt;=$D$54,SUMIFS(Z$178:Z$181,$AU$178:$AU$181,$B191)*(1-'Control Assumptions'!$C$16),0)</f>
        <v>601813.27918001998</v>
      </c>
      <c r="AA191" s="169">
        <f>IF(AA$189&lt;=$D$54,SUMIFS(AA$178:AA$181,$AU$178:$AU$181,$B191)*(1-'Control Assumptions'!$C$16),0)</f>
        <v>628104.73265594314</v>
      </c>
      <c r="AB191" s="169">
        <f>IF(AB$189&lt;=$D$54,SUMIFS(AB$178:AB$181,$AU$178:$AU$181,$B191)*(1-'Control Assumptions'!$C$16),0)</f>
        <v>655145.34767664678</v>
      </c>
      <c r="AC191" s="169">
        <f>IF(AC$189&lt;=$D$54,SUMIFS(AC$178:AC$181,$AU$178:$AU$181,$B191)*(1-'Control Assumptions'!$C$16),0)</f>
        <v>682992.57685084315</v>
      </c>
      <c r="AD191" s="169">
        <f>IF(AD$189&lt;=$D$54,SUMIFS(AD$178:AD$181,$AU$178:$AU$181,$B191)*(1-'Control Assumptions'!$C$16),0)</f>
        <v>711720.51423708245</v>
      </c>
      <c r="AE191" s="169">
        <f>IF(AE$189&lt;=$D$54,SUMIFS(AE$178:AE$181,$AU$178:$AU$181,$B191)*(1-'Control Assumptions'!$C$16),0)</f>
        <v>741361.23503735848</v>
      </c>
      <c r="AF191" s="169">
        <f>IF(AF$189&lt;=$D$54,SUMIFS(AF$178:AF$181,$AU$178:$AU$181,$B191)*(1-'Control Assumptions'!$C$16),0)</f>
        <v>772013.56590544432</v>
      </c>
      <c r="AG191" s="169">
        <f>IF(AG$189&lt;=$D$54,SUMIFS(AG$178:AG$181,$AU$178:$AU$181,$B191)*(1-'Control Assumptions'!$C$16),0)</f>
        <v>803892.78862379107</v>
      </c>
      <c r="AH191" s="169">
        <f>IF(AH$189&lt;=$D$54,SUMIFS(AH$178:AH$181,$AU$178:$AU$181,$B191)*(1-'Control Assumptions'!$C$16),0)</f>
        <v>837059.48913507804</v>
      </c>
      <c r="AI191" s="169">
        <f>IF(AI$189&lt;=$D$54,SUMIFS(AI$178:AI$181,$AU$178:$AU$181,$B191)*(1-'Control Assumptions'!$C$16),0)</f>
        <v>0</v>
      </c>
      <c r="AJ191" s="169">
        <f>IF(AJ$189&lt;=$D$54,SUMIFS(AJ$178:AJ$181,$AU$178:$AU$181,$B191)*(1-'Control Assumptions'!$C$16),0)</f>
        <v>0</v>
      </c>
      <c r="AK191" s="169">
        <f>IF(AK$189&lt;=$D$54,SUMIFS(AK$178:AK$181,$AU$178:$AU$181,$B191)*(1-'Control Assumptions'!$C$16),0)</f>
        <v>0</v>
      </c>
      <c r="AL191" s="169">
        <f>IF(AL$189&lt;=$D$54,SUMIFS(AL$178:AL$181,$AU$178:$AU$181,$B191)*(1-'Control Assumptions'!$C$16),0)</f>
        <v>0</v>
      </c>
      <c r="AM191" s="169">
        <f>IF(AM$189&lt;=$D$54,SUMIFS(AM$178:AM$181,$AU$178:$AU$181,$B191)*(1-'Control Assumptions'!$C$16),0)</f>
        <v>0</v>
      </c>
      <c r="AN191" s="169">
        <f>IF(AN$189&lt;=$D$54,SUMIFS(AN$178:AN$181,$AU$178:$AU$181,$B191)*(1-'Control Assumptions'!$C$16),0)</f>
        <v>0</v>
      </c>
      <c r="AO191" s="169">
        <f>IF(AO$189&lt;=$D$54,SUMIFS(AO$178:AO$181,$AU$178:$AU$181,$B191)*(1-'Control Assumptions'!$C$16),0)</f>
        <v>0</v>
      </c>
    </row>
    <row r="192" spans="1:47">
      <c r="B192" s="6" t="s">
        <v>3463</v>
      </c>
      <c r="C192" s="169">
        <f t="shared" ref="C192:AO192" si="101">SUM(C190:C191)</f>
        <v>0</v>
      </c>
      <c r="D192" s="169">
        <f t="shared" si="101"/>
        <v>0</v>
      </c>
      <c r="E192" s="169">
        <f t="shared" si="101"/>
        <v>0</v>
      </c>
      <c r="F192" s="169">
        <f t="shared" si="101"/>
        <v>0</v>
      </c>
      <c r="G192" s="169">
        <f t="shared" si="101"/>
        <v>70099.854356257463</v>
      </c>
      <c r="H192" s="169">
        <f t="shared" si="101"/>
        <v>230604.00414733676</v>
      </c>
      <c r="I192" s="169">
        <f t="shared" si="101"/>
        <v>339456.22778137331</v>
      </c>
      <c r="J192" s="169">
        <f t="shared" si="101"/>
        <v>414435.70902312233</v>
      </c>
      <c r="K192" s="169">
        <f t="shared" si="101"/>
        <v>468004.07566664461</v>
      </c>
      <c r="L192" s="169">
        <f t="shared" si="101"/>
        <v>507570.53089724481</v>
      </c>
      <c r="M192" s="169">
        <f t="shared" si="101"/>
        <v>537729.38592956436</v>
      </c>
      <c r="N192" s="169">
        <f t="shared" si="101"/>
        <v>560602.50305537554</v>
      </c>
      <c r="O192" s="169">
        <f t="shared" si="101"/>
        <v>579196.80441922345</v>
      </c>
      <c r="P192" s="169">
        <f t="shared" si="101"/>
        <v>595440.95865352964</v>
      </c>
      <c r="Q192" s="169">
        <f t="shared" si="101"/>
        <v>610531.50159261085</v>
      </c>
      <c r="R192" s="169">
        <f t="shared" si="101"/>
        <v>647236.19940303836</v>
      </c>
      <c r="S192" s="169">
        <f t="shared" si="101"/>
        <v>681677.71210174274</v>
      </c>
      <c r="T192" s="169">
        <f t="shared" si="101"/>
        <v>714747.93940569041</v>
      </c>
      <c r="U192" s="169">
        <f t="shared" si="101"/>
        <v>747779.4515538977</v>
      </c>
      <c r="V192" s="169">
        <f t="shared" si="101"/>
        <v>781123.08203614678</v>
      </c>
      <c r="W192" s="169">
        <f t="shared" si="101"/>
        <v>814920.03473134688</v>
      </c>
      <c r="X192" s="169">
        <f t="shared" si="101"/>
        <v>848835.25922564627</v>
      </c>
      <c r="Y192" s="169">
        <f t="shared" si="101"/>
        <v>883894.29354639677</v>
      </c>
      <c r="Z192" s="169">
        <f t="shared" si="101"/>
        <v>920242.60750034696</v>
      </c>
      <c r="AA192" s="169">
        <f t="shared" si="101"/>
        <v>957807.98366946401</v>
      </c>
      <c r="AB192" s="169">
        <f t="shared" si="101"/>
        <v>996287.62401918997</v>
      </c>
      <c r="AC192" s="169">
        <f t="shared" si="101"/>
        <v>1035741.6756623721</v>
      </c>
      <c r="AD192" s="169">
        <f t="shared" si="101"/>
        <v>1076254.0991822416</v>
      </c>
      <c r="AE192" s="169">
        <f t="shared" si="101"/>
        <v>1117854.0517676845</v>
      </c>
      <c r="AF192" s="169">
        <f t="shared" si="101"/>
        <v>1160680.5977032131</v>
      </c>
      <c r="AG192" s="169">
        <f t="shared" si="101"/>
        <v>1205056.6750556836</v>
      </c>
      <c r="AH192" s="169">
        <f t="shared" si="101"/>
        <v>1251059.2065136833</v>
      </c>
      <c r="AI192" s="169">
        <f t="shared" si="101"/>
        <v>0</v>
      </c>
      <c r="AJ192" s="169">
        <f t="shared" si="101"/>
        <v>0</v>
      </c>
      <c r="AK192" s="169">
        <f t="shared" si="101"/>
        <v>0</v>
      </c>
      <c r="AL192" s="169">
        <f t="shared" si="101"/>
        <v>0</v>
      </c>
      <c r="AM192" s="169">
        <f t="shared" si="101"/>
        <v>0</v>
      </c>
      <c r="AN192" s="169">
        <f t="shared" si="101"/>
        <v>0</v>
      </c>
      <c r="AO192" s="169">
        <f t="shared" si="101"/>
        <v>0</v>
      </c>
    </row>
    <row r="193" spans="2:41">
      <c r="C193" s="151" t="b">
        <f>SUM(C190:C191)=C171*(1-'Control Assumptions'!$C$16)</f>
        <v>1</v>
      </c>
      <c r="D193" s="151" t="b">
        <f>SUM(D190:D191)=D171*(1-'Control Assumptions'!$C$16)</f>
        <v>1</v>
      </c>
      <c r="E193" s="151" t="b">
        <f>SUM(E190:E191)=E171*(1-'Control Assumptions'!$C$16)</f>
        <v>1</v>
      </c>
      <c r="F193" s="151" t="b">
        <f>SUM(F190:F191)=F171*(1-'Control Assumptions'!$C$16)</f>
        <v>1</v>
      </c>
      <c r="G193" s="151" t="b">
        <f>SUM(G190:G191)=G171*(1-'Control Assumptions'!$C$16)</f>
        <v>0</v>
      </c>
      <c r="H193" s="151" t="b">
        <f>SUM(H190:H191)=H171*(1-'Control Assumptions'!$C$16)</f>
        <v>1</v>
      </c>
      <c r="I193" s="151" t="b">
        <f>SUM(I190:I191)=I171*(1-'Control Assumptions'!$C$16)</f>
        <v>1</v>
      </c>
      <c r="J193" s="151" t="b">
        <f>SUM(J190:J191)=J171*(1-'Control Assumptions'!$C$16)</f>
        <v>1</v>
      </c>
      <c r="K193" s="151" t="b">
        <f>SUM(K190:K191)=K171*(1-'Control Assumptions'!$C$16)</f>
        <v>1</v>
      </c>
      <c r="L193" s="151" t="b">
        <f>SUM(L190:L191)=L171*(1-'Control Assumptions'!$C$16)</f>
        <v>1</v>
      </c>
      <c r="M193" s="151" t="b">
        <f>SUM(M190:M191)=M171*(1-'Control Assumptions'!$C$16)</f>
        <v>1</v>
      </c>
      <c r="N193" s="151" t="b">
        <f>SUM(N190:N191)=N171*(1-'Control Assumptions'!$C$16)</f>
        <v>0</v>
      </c>
      <c r="O193" s="151" t="b">
        <f>SUM(O190:O191)=O171*(1-'Control Assumptions'!$C$16)</f>
        <v>1</v>
      </c>
      <c r="P193" s="151" t="b">
        <f>SUM(P190:P191)=P171*(1-'Control Assumptions'!$C$16)</f>
        <v>1</v>
      </c>
      <c r="Q193" s="151" t="b">
        <f>SUM(Q190:Q191)=Q171*(1-'Control Assumptions'!$C$16)</f>
        <v>1</v>
      </c>
      <c r="R193" s="151" t="b">
        <f>SUM(R190:R191)=R171*(1-'Control Assumptions'!$C$16)</f>
        <v>1</v>
      </c>
      <c r="S193" s="151" t="b">
        <f>SUM(S190:S191)=S171*(1-'Control Assumptions'!$C$16)</f>
        <v>1</v>
      </c>
      <c r="T193" s="151" t="b">
        <f>SUM(T190:T191)=T171*(1-'Control Assumptions'!$C$16)</f>
        <v>0</v>
      </c>
      <c r="U193" s="151" t="b">
        <f>SUM(U190:U191)=U171*(1-'Control Assumptions'!$C$16)</f>
        <v>1</v>
      </c>
      <c r="V193" s="151" t="b">
        <f>SUM(V190:V191)=V171*(1-'Control Assumptions'!$C$16)</f>
        <v>1</v>
      </c>
      <c r="W193" s="151" t="b">
        <f>SUM(W190:W191)=W171*(1-'Control Assumptions'!$C$16)</f>
        <v>1</v>
      </c>
      <c r="X193" s="151" t="b">
        <f>SUM(X190:X191)=X171*(1-'Control Assumptions'!$C$16)</f>
        <v>1</v>
      </c>
      <c r="Y193" s="151" t="b">
        <f>SUM(Y190:Y191)=Y171*(1-'Control Assumptions'!$C$16)</f>
        <v>1</v>
      </c>
      <c r="Z193" s="151" t="b">
        <f>SUM(Z190:Z191)=Z171*(1-'Control Assumptions'!$C$16)</f>
        <v>1</v>
      </c>
      <c r="AA193" s="151" t="b">
        <f>SUM(AA190:AA191)=AA171*(1-'Control Assumptions'!$C$16)</f>
        <v>1</v>
      </c>
      <c r="AB193" s="151" t="b">
        <f>SUM(AB190:AB191)=AB171*(1-'Control Assumptions'!$C$16)</f>
        <v>1</v>
      </c>
      <c r="AC193" s="151" t="b">
        <f>SUM(AC190:AC191)=AC171*(1-'Control Assumptions'!$C$16)</f>
        <v>1</v>
      </c>
      <c r="AD193" s="151" t="b">
        <f>SUM(AD190:AD191)=AD171*(1-'Control Assumptions'!$C$16)</f>
        <v>1</v>
      </c>
      <c r="AE193" s="151" t="b">
        <f>SUM(AE190:AE191)=AE171*(1-'Control Assumptions'!$C$16)</f>
        <v>1</v>
      </c>
      <c r="AF193" s="151" t="b">
        <f>SUM(AF190:AF191)=AF171*(1-'Control Assumptions'!$C$16)</f>
        <v>1</v>
      </c>
      <c r="AG193" s="151" t="b">
        <f>SUM(AG190:AG191)=AG171*(1-'Control Assumptions'!$C$16)</f>
        <v>1</v>
      </c>
      <c r="AH193" s="151" t="b">
        <f>SUM(AH190:AH191)=AH171*(1-'Control Assumptions'!$C$16)</f>
        <v>1</v>
      </c>
      <c r="AI193" s="151" t="b">
        <f>SUM(AI190:AI191)=AI171*(1-'Control Assumptions'!$C$16)</f>
        <v>0</v>
      </c>
      <c r="AJ193" s="151" t="b">
        <f>SUM(AJ190:AJ191)=AJ171*(1-'Control Assumptions'!$C$16)</f>
        <v>0</v>
      </c>
      <c r="AK193" s="151" t="b">
        <f>SUM(AK190:AK191)=AK171*(1-'Control Assumptions'!$C$16)</f>
        <v>0</v>
      </c>
      <c r="AL193" s="151" t="b">
        <f>SUM(AL190:AL191)=AL171*(1-'Control Assumptions'!$C$16)</f>
        <v>0</v>
      </c>
      <c r="AM193" s="151" t="b">
        <f>SUM(AM190:AM191)=AM171*(1-'Control Assumptions'!$C$16)</f>
        <v>0</v>
      </c>
      <c r="AN193" s="151" t="b">
        <f>SUM(AN190:AN191)=AN171*(1-'Control Assumptions'!$C$16)</f>
        <v>0</v>
      </c>
      <c r="AO193" s="151" t="b">
        <f>SUM(AO190:AO191)=AO171*(1-'Control Assumptions'!$C$16)</f>
        <v>0</v>
      </c>
    </row>
    <row r="194" spans="2:41">
      <c r="B194" s="6" t="s">
        <v>3380</v>
      </c>
      <c r="C194" s="169">
        <f t="shared" ref="C194:AO194" si="102">IF(C$189&lt;=$D$54, -(C26),0)</f>
        <v>0</v>
      </c>
      <c r="D194" s="169">
        <f t="shared" si="102"/>
        <v>-155145.95172375129</v>
      </c>
      <c r="E194" s="169">
        <f t="shared" si="102"/>
        <v>-184037.38641253969</v>
      </c>
      <c r="F194" s="169">
        <f t="shared" si="102"/>
        <v>-215214.14001335684</v>
      </c>
      <c r="G194" s="169">
        <f t="shared" si="102"/>
        <v>-81676.21788203725</v>
      </c>
      <c r="H194" s="169">
        <f t="shared" si="102"/>
        <v>-79484.081079133015</v>
      </c>
      <c r="I194" s="169">
        <f t="shared" si="102"/>
        <v>-78952.764786949265</v>
      </c>
      <c r="J194" s="169">
        <f t="shared" si="102"/>
        <v>-79536.829023994665</v>
      </c>
      <c r="K194" s="169">
        <f t="shared" si="102"/>
        <v>-80938.98891410722</v>
      </c>
      <c r="L194" s="169">
        <f t="shared" si="102"/>
        <v>-82872.606246265335</v>
      </c>
      <c r="M194" s="169">
        <f t="shared" si="102"/>
        <v>-85168.042090894567</v>
      </c>
      <c r="N194" s="169">
        <f t="shared" si="102"/>
        <v>-98830.724369314194</v>
      </c>
      <c r="O194" s="169">
        <f t="shared" si="102"/>
        <v>-101810.66941989458</v>
      </c>
      <c r="P194" s="169">
        <f t="shared" si="102"/>
        <v>-104940.85076149501</v>
      </c>
      <c r="Q194" s="169">
        <f t="shared" si="102"/>
        <v>-96484.088748588169</v>
      </c>
      <c r="R194" s="169">
        <f t="shared" si="102"/>
        <v>-99652.442908159239</v>
      </c>
      <c r="S194" s="169">
        <f t="shared" si="102"/>
        <v>-102930.94633979637</v>
      </c>
      <c r="T194" s="169">
        <f t="shared" si="102"/>
        <v>-106324.80550010312</v>
      </c>
      <c r="U194" s="169">
        <f t="shared" si="102"/>
        <v>-109858.7735211572</v>
      </c>
      <c r="V194" s="169">
        <f t="shared" si="102"/>
        <v>-113501.1553543076</v>
      </c>
      <c r="W194" s="169">
        <f t="shared" si="102"/>
        <v>-117248.07240004402</v>
      </c>
      <c r="X194" s="169">
        <f t="shared" si="102"/>
        <v>-121117.37097608997</v>
      </c>
      <c r="Y194" s="169">
        <f t="shared" si="102"/>
        <v>-125103.90301049617</v>
      </c>
      <c r="Z194" s="169">
        <f t="shared" si="102"/>
        <v>-129204.74021320505</v>
      </c>
      <c r="AA194" s="169">
        <f t="shared" si="102"/>
        <v>-133418.92017033338</v>
      </c>
      <c r="AB194" s="169">
        <f t="shared" si="102"/>
        <v>-137754.17001742619</v>
      </c>
      <c r="AC194" s="169">
        <f t="shared" si="102"/>
        <v>-142206.06525803459</v>
      </c>
      <c r="AD194" s="169">
        <f t="shared" si="102"/>
        <v>-146770.55265972854</v>
      </c>
      <c r="AE194" s="169">
        <f t="shared" si="102"/>
        <v>-151445.38331301144</v>
      </c>
      <c r="AF194" s="169">
        <f t="shared" si="102"/>
        <v>-156234.15811247626</v>
      </c>
      <c r="AG194" s="169">
        <f t="shared" si="102"/>
        <v>-161152.49848058203</v>
      </c>
      <c r="AH194" s="169">
        <f t="shared" si="102"/>
        <v>-166204.66639841546</v>
      </c>
      <c r="AI194" s="169">
        <f t="shared" si="102"/>
        <v>0</v>
      </c>
      <c r="AJ194" s="169">
        <f t="shared" si="102"/>
        <v>0</v>
      </c>
      <c r="AK194" s="169">
        <f t="shared" si="102"/>
        <v>0</v>
      </c>
      <c r="AL194" s="169">
        <f t="shared" si="102"/>
        <v>0</v>
      </c>
      <c r="AM194" s="169">
        <f t="shared" si="102"/>
        <v>0</v>
      </c>
      <c r="AN194" s="169">
        <f t="shared" si="102"/>
        <v>0</v>
      </c>
      <c r="AO194" s="169">
        <f t="shared" si="102"/>
        <v>0</v>
      </c>
    </row>
    <row r="195" spans="2:41">
      <c r="B195" s="52"/>
      <c r="C195" s="754">
        <f t="shared" ref="C195:AO195" si="103">C192-C191</f>
        <v>0</v>
      </c>
      <c r="D195" s="754">
        <f t="shared" si="103"/>
        <v>0</v>
      </c>
      <c r="E195" s="754">
        <f t="shared" si="103"/>
        <v>0</v>
      </c>
      <c r="F195" s="754">
        <f t="shared" si="103"/>
        <v>0</v>
      </c>
      <c r="G195" s="754">
        <f t="shared" si="103"/>
        <v>86716.375969201777</v>
      </c>
      <c r="H195" s="754">
        <f t="shared" si="103"/>
        <v>126988.1653314174</v>
      </c>
      <c r="I195" s="754">
        <f t="shared" si="103"/>
        <v>154348.46764425005</v>
      </c>
      <c r="J195" s="754">
        <f t="shared" si="103"/>
        <v>173178.14459215323</v>
      </c>
      <c r="K195" s="754">
        <f t="shared" si="103"/>
        <v>186691.87363371131</v>
      </c>
      <c r="L195" s="754">
        <f t="shared" si="103"/>
        <v>196609.59902389767</v>
      </c>
      <c r="M195" s="754">
        <f t="shared" si="103"/>
        <v>204008.41267696739</v>
      </c>
      <c r="N195" s="754">
        <f t="shared" si="103"/>
        <v>209378.46966072952</v>
      </c>
      <c r="O195" s="754">
        <f t="shared" si="103"/>
        <v>213445.52040614164</v>
      </c>
      <c r="P195" s="754">
        <f t="shared" si="103"/>
        <v>216711.6413489391</v>
      </c>
      <c r="Q195" s="754">
        <f t="shared" si="103"/>
        <v>219501.31408029323</v>
      </c>
      <c r="R195" s="754">
        <f t="shared" si="103"/>
        <v>232077.81653183018</v>
      </c>
      <c r="S195" s="754">
        <f t="shared" si="103"/>
        <v>243575.10477899574</v>
      </c>
      <c r="T195" s="754">
        <f t="shared" si="103"/>
        <v>254386.43911632645</v>
      </c>
      <c r="U195" s="754">
        <f t="shared" si="103"/>
        <v>265024.40638080827</v>
      </c>
      <c r="V195" s="754">
        <f t="shared" si="103"/>
        <v>275593.97038849641</v>
      </c>
      <c r="W195" s="754">
        <f t="shared" si="103"/>
        <v>286159.69827122975</v>
      </c>
      <c r="X195" s="754">
        <f t="shared" si="103"/>
        <v>296661.84441155323</v>
      </c>
      <c r="Y195" s="754">
        <f t="shared" si="103"/>
        <v>307406.05399298249</v>
      </c>
      <c r="Z195" s="754">
        <f t="shared" si="103"/>
        <v>318429.32832032698</v>
      </c>
      <c r="AA195" s="754">
        <f t="shared" si="103"/>
        <v>329703.25101352087</v>
      </c>
      <c r="AB195" s="754">
        <f t="shared" si="103"/>
        <v>341142.27634254319</v>
      </c>
      <c r="AC195" s="754">
        <f t="shared" si="103"/>
        <v>352749.09881152899</v>
      </c>
      <c r="AD195" s="754">
        <f t="shared" si="103"/>
        <v>364533.58494515915</v>
      </c>
      <c r="AE195" s="754">
        <f t="shared" si="103"/>
        <v>376492.81673032604</v>
      </c>
      <c r="AF195" s="754">
        <f t="shared" si="103"/>
        <v>388667.03179776878</v>
      </c>
      <c r="AG195" s="754">
        <f t="shared" si="103"/>
        <v>401163.88643189252</v>
      </c>
      <c r="AH195" s="754">
        <f t="shared" si="103"/>
        <v>413999.71737860527</v>
      </c>
      <c r="AI195" s="754">
        <f t="shared" si="103"/>
        <v>0</v>
      </c>
      <c r="AJ195" s="754">
        <f t="shared" si="103"/>
        <v>0</v>
      </c>
      <c r="AK195" s="754">
        <f t="shared" si="103"/>
        <v>0</v>
      </c>
      <c r="AL195" s="754">
        <f t="shared" si="103"/>
        <v>0</v>
      </c>
      <c r="AM195" s="754">
        <f t="shared" si="103"/>
        <v>0</v>
      </c>
      <c r="AN195" s="754">
        <f t="shared" si="103"/>
        <v>0</v>
      </c>
      <c r="AO195" s="754">
        <f t="shared" si="103"/>
        <v>0</v>
      </c>
    </row>
    <row r="196" spans="2:41">
      <c r="B196" s="746" t="s">
        <v>3471</v>
      </c>
    </row>
    <row r="197" spans="2:41">
      <c r="B197" s="5" t="s">
        <v>3462</v>
      </c>
      <c r="C197" s="196">
        <f t="shared" ref="C197:AO197" si="104">SUM(C190:C191)+C194</f>
        <v>0</v>
      </c>
      <c r="D197" s="196">
        <f t="shared" si="104"/>
        <v>-155145.95172375129</v>
      </c>
      <c r="E197" s="196">
        <f t="shared" si="104"/>
        <v>-184037.38641253969</v>
      </c>
      <c r="F197" s="196">
        <f t="shared" si="104"/>
        <v>-215214.14001335684</v>
      </c>
      <c r="G197" s="196">
        <f t="shared" si="104"/>
        <v>-11576.363525779787</v>
      </c>
      <c r="H197" s="196">
        <f t="shared" si="104"/>
        <v>151119.92306820373</v>
      </c>
      <c r="I197" s="196">
        <f t="shared" si="104"/>
        <v>260503.46299442404</v>
      </c>
      <c r="J197" s="196">
        <f t="shared" si="104"/>
        <v>334898.87999912765</v>
      </c>
      <c r="K197" s="196">
        <f t="shared" si="104"/>
        <v>387065.08675253741</v>
      </c>
      <c r="L197" s="196">
        <f t="shared" si="104"/>
        <v>424697.92465097946</v>
      </c>
      <c r="M197" s="196">
        <f t="shared" si="104"/>
        <v>452561.34383866983</v>
      </c>
      <c r="N197" s="196">
        <f t="shared" si="104"/>
        <v>461771.77868606133</v>
      </c>
      <c r="O197" s="196">
        <f t="shared" si="104"/>
        <v>477386.13499932887</v>
      </c>
      <c r="P197" s="196">
        <f t="shared" si="104"/>
        <v>490500.10789203463</v>
      </c>
      <c r="Q197" s="196">
        <f t="shared" si="104"/>
        <v>514047.41284402268</v>
      </c>
      <c r="R197" s="196">
        <f t="shared" si="104"/>
        <v>547583.75649487914</v>
      </c>
      <c r="S197" s="196">
        <f t="shared" si="104"/>
        <v>578746.76576194633</v>
      </c>
      <c r="T197" s="196">
        <f t="shared" si="104"/>
        <v>608423.13390558725</v>
      </c>
      <c r="U197" s="196">
        <f t="shared" si="104"/>
        <v>637920.67803274048</v>
      </c>
      <c r="V197" s="196">
        <f t="shared" si="104"/>
        <v>667621.92668183916</v>
      </c>
      <c r="W197" s="196">
        <f t="shared" si="104"/>
        <v>697671.96233130281</v>
      </c>
      <c r="X197" s="196">
        <f t="shared" si="104"/>
        <v>727717.8882495563</v>
      </c>
      <c r="Y197" s="196">
        <f t="shared" si="104"/>
        <v>758790.3905359006</v>
      </c>
      <c r="Z197" s="196">
        <f t="shared" si="104"/>
        <v>791037.86728714197</v>
      </c>
      <c r="AA197" s="196">
        <f t="shared" si="104"/>
        <v>824389.06349913066</v>
      </c>
      <c r="AB197" s="196">
        <f t="shared" si="104"/>
        <v>858533.45400176384</v>
      </c>
      <c r="AC197" s="196">
        <f t="shared" si="104"/>
        <v>893535.61040433752</v>
      </c>
      <c r="AD197" s="196">
        <f t="shared" si="104"/>
        <v>929483.54652251303</v>
      </c>
      <c r="AE197" s="196">
        <f t="shared" si="104"/>
        <v>966408.66845467314</v>
      </c>
      <c r="AF197" s="196">
        <f t="shared" si="104"/>
        <v>1004446.4395907369</v>
      </c>
      <c r="AG197" s="196">
        <f t="shared" si="104"/>
        <v>1043904.1765751016</v>
      </c>
      <c r="AH197" s="196">
        <f t="shared" si="104"/>
        <v>1084854.540115268</v>
      </c>
      <c r="AI197" s="196">
        <f t="shared" si="104"/>
        <v>0</v>
      </c>
      <c r="AJ197" s="196">
        <f t="shared" si="104"/>
        <v>0</v>
      </c>
      <c r="AK197" s="196">
        <f t="shared" si="104"/>
        <v>0</v>
      </c>
      <c r="AL197" s="196">
        <f t="shared" si="104"/>
        <v>0</v>
      </c>
      <c r="AM197" s="196">
        <f t="shared" si="104"/>
        <v>0</v>
      </c>
      <c r="AN197" s="196">
        <f t="shared" si="104"/>
        <v>0</v>
      </c>
      <c r="AO197" s="196">
        <f t="shared" si="104"/>
        <v>0</v>
      </c>
    </row>
    <row r="198" spans="2:41">
      <c r="B198" s="113"/>
      <c r="C198" s="740" t="b">
        <f t="shared" ref="C198:AO198" si="105">C197=C48</f>
        <v>1</v>
      </c>
      <c r="D198" s="740" t="b">
        <f t="shared" si="105"/>
        <v>1</v>
      </c>
      <c r="E198" s="740" t="b">
        <f t="shared" si="105"/>
        <v>1</v>
      </c>
      <c r="F198" s="740" t="b">
        <f t="shared" si="105"/>
        <v>1</v>
      </c>
      <c r="G198" s="740" t="b">
        <f t="shared" si="105"/>
        <v>1</v>
      </c>
      <c r="H198" s="740" t="b">
        <f t="shared" si="105"/>
        <v>1</v>
      </c>
      <c r="I198" s="740" t="b">
        <f t="shared" si="105"/>
        <v>1</v>
      </c>
      <c r="J198" s="740" t="b">
        <f t="shared" si="105"/>
        <v>1</v>
      </c>
      <c r="K198" s="740" t="b">
        <f t="shared" si="105"/>
        <v>0</v>
      </c>
      <c r="L198" s="740" t="b">
        <f t="shared" si="105"/>
        <v>1</v>
      </c>
      <c r="M198" s="740" t="b">
        <f t="shared" si="105"/>
        <v>1</v>
      </c>
      <c r="N198" s="740" t="b">
        <f t="shared" si="105"/>
        <v>0</v>
      </c>
      <c r="O198" s="740" t="b">
        <f t="shared" si="105"/>
        <v>1</v>
      </c>
      <c r="P198" s="740" t="b">
        <f t="shared" si="105"/>
        <v>0</v>
      </c>
      <c r="Q198" s="740" t="b">
        <f t="shared" si="105"/>
        <v>1</v>
      </c>
      <c r="R198" s="740" t="b">
        <f t="shared" si="105"/>
        <v>1</v>
      </c>
      <c r="S198" s="740" t="b">
        <f t="shared" si="105"/>
        <v>1</v>
      </c>
      <c r="T198" s="740" t="b">
        <f t="shared" si="105"/>
        <v>1</v>
      </c>
      <c r="U198" s="740" t="b">
        <f t="shared" si="105"/>
        <v>0</v>
      </c>
      <c r="V198" s="740" t="b">
        <f t="shared" si="105"/>
        <v>0</v>
      </c>
      <c r="W198" s="740" t="b">
        <f t="shared" si="105"/>
        <v>1</v>
      </c>
      <c r="X198" s="740" t="b">
        <f t="shared" si="105"/>
        <v>0</v>
      </c>
      <c r="Y198" s="740" t="b">
        <f t="shared" si="105"/>
        <v>0</v>
      </c>
      <c r="Z198" s="740" t="b">
        <f t="shared" si="105"/>
        <v>1</v>
      </c>
      <c r="AA198" s="740" t="b">
        <f t="shared" si="105"/>
        <v>1</v>
      </c>
      <c r="AB198" s="740" t="b">
        <f t="shared" si="105"/>
        <v>1</v>
      </c>
      <c r="AC198" s="740" t="b">
        <f t="shared" si="105"/>
        <v>0</v>
      </c>
      <c r="AD198" s="740" t="b">
        <f t="shared" si="105"/>
        <v>0</v>
      </c>
      <c r="AE198" s="740" t="b">
        <f t="shared" si="105"/>
        <v>1</v>
      </c>
      <c r="AF198" s="740" t="b">
        <f t="shared" si="105"/>
        <v>1</v>
      </c>
      <c r="AG198" s="740" t="b">
        <f t="shared" si="105"/>
        <v>1</v>
      </c>
      <c r="AH198" s="740" t="b">
        <f t="shared" si="105"/>
        <v>1</v>
      </c>
      <c r="AI198" s="740" t="b">
        <f t="shared" si="105"/>
        <v>0</v>
      </c>
      <c r="AJ198" s="740" t="b">
        <f t="shared" si="105"/>
        <v>0</v>
      </c>
      <c r="AK198" s="740" t="b">
        <f t="shared" si="105"/>
        <v>0</v>
      </c>
      <c r="AL198" s="740" t="b">
        <f t="shared" si="105"/>
        <v>0</v>
      </c>
      <c r="AM198" s="740" t="b">
        <f t="shared" si="105"/>
        <v>0</v>
      </c>
      <c r="AN198" s="740" t="b">
        <f t="shared" si="105"/>
        <v>0</v>
      </c>
      <c r="AO198" s="740" t="b">
        <f t="shared" si="105"/>
        <v>0</v>
      </c>
    </row>
    <row r="199" spans="2:41">
      <c r="B199" s="113"/>
      <c r="C199" s="740"/>
      <c r="D199" s="740"/>
      <c r="E199" s="740"/>
      <c r="F199" s="740"/>
      <c r="G199" s="740"/>
      <c r="H199" s="740"/>
      <c r="I199" s="740"/>
      <c r="J199" s="740"/>
      <c r="K199" s="740"/>
      <c r="L199" s="740"/>
      <c r="M199" s="740"/>
      <c r="N199" s="740"/>
      <c r="O199" s="740"/>
      <c r="P199" s="740"/>
      <c r="Q199" s="740"/>
      <c r="R199" s="740"/>
      <c r="S199" s="740"/>
      <c r="T199" s="740"/>
      <c r="U199" s="740"/>
      <c r="V199" s="740"/>
      <c r="W199" s="740"/>
      <c r="X199" s="740"/>
      <c r="Y199" s="740"/>
      <c r="Z199" s="740"/>
      <c r="AA199" s="740"/>
      <c r="AB199" s="740"/>
      <c r="AC199" s="740"/>
      <c r="AD199" s="740"/>
      <c r="AE199" s="740"/>
      <c r="AF199" s="740"/>
      <c r="AG199" s="740"/>
      <c r="AH199" s="740"/>
      <c r="AI199" s="740"/>
      <c r="AJ199" s="740"/>
      <c r="AK199" s="740"/>
      <c r="AL199" s="740"/>
      <c r="AM199" s="740"/>
      <c r="AN199" s="740"/>
      <c r="AO199" s="740"/>
    </row>
    <row r="200" spans="2:41" s="4" customFormat="1" ht="29">
      <c r="B200" s="6" t="s">
        <v>3689</v>
      </c>
      <c r="C200" s="868">
        <f t="shared" ref="C200:AO200" si="106">C191/C39</f>
        <v>0</v>
      </c>
      <c r="D200" s="868">
        <f t="shared" si="106"/>
        <v>0</v>
      </c>
      <c r="E200" s="868">
        <f t="shared" si="106"/>
        <v>0</v>
      </c>
      <c r="F200" s="868">
        <f t="shared" si="106"/>
        <v>0</v>
      </c>
      <c r="G200" s="868">
        <f t="shared" si="106"/>
        <v>-7.054865955969331E-3</v>
      </c>
      <c r="H200" s="868">
        <f t="shared" si="106"/>
        <v>4.1745146709079126E-2</v>
      </c>
      <c r="I200" s="868">
        <f t="shared" si="106"/>
        <v>7.0873824800849292E-2</v>
      </c>
      <c r="J200" s="868">
        <f t="shared" si="106"/>
        <v>8.7883348433021244E-2</v>
      </c>
      <c r="K200" s="868">
        <f t="shared" si="106"/>
        <v>9.7438260557667633E-2</v>
      </c>
      <c r="L200" s="868">
        <f t="shared" si="106"/>
        <v>0.10246336223020922</v>
      </c>
      <c r="M200" s="868">
        <f t="shared" si="106"/>
        <v>0.10470462958392013</v>
      </c>
      <c r="N200" s="868">
        <f t="shared" si="106"/>
        <v>0.10508022422775345</v>
      </c>
      <c r="O200" s="868">
        <f t="shared" si="106"/>
        <v>0.10446019280595049</v>
      </c>
      <c r="P200" s="868">
        <f t="shared" si="106"/>
        <v>0.10333762405197527</v>
      </c>
      <c r="Q200" s="868">
        <f t="shared" si="106"/>
        <v>0.10197638872112083</v>
      </c>
      <c r="R200" s="868">
        <f t="shared" si="106"/>
        <v>0.10352219334625153</v>
      </c>
      <c r="S200" s="868">
        <f t="shared" si="106"/>
        <v>0.10451618683580974</v>
      </c>
      <c r="T200" s="868">
        <f t="shared" si="106"/>
        <v>0.10512976899423394</v>
      </c>
      <c r="U200" s="868">
        <f t="shared" si="106"/>
        <v>0.10553070893518288</v>
      </c>
      <c r="V200" s="868">
        <f t="shared" si="106"/>
        <v>0.10583006001748405</v>
      </c>
      <c r="W200" s="868">
        <f t="shared" si="106"/>
        <v>0.10606184132605929</v>
      </c>
      <c r="X200" s="868">
        <f t="shared" si="106"/>
        <v>0.10617863229667181</v>
      </c>
      <c r="Y200" s="868">
        <f t="shared" si="106"/>
        <v>0.10630348505554628</v>
      </c>
      <c r="Z200" s="868">
        <f t="shared" si="106"/>
        <v>0.10645382995796959</v>
      </c>
      <c r="AA200" s="868">
        <f t="shared" si="106"/>
        <v>0.10662216796646475</v>
      </c>
      <c r="AB200" s="868">
        <f t="shared" si="106"/>
        <v>0.10677263617843916</v>
      </c>
      <c r="AC200" s="868">
        <f t="shared" si="106"/>
        <v>0.10691839634266447</v>
      </c>
      <c r="AD200" s="868">
        <f t="shared" si="106"/>
        <v>0.10707215530053309</v>
      </c>
      <c r="AE200" s="868">
        <f t="shared" si="106"/>
        <v>0.10723861911900076</v>
      </c>
      <c r="AF200" s="868">
        <f t="shared" si="106"/>
        <v>0.10742438463606484</v>
      </c>
      <c r="AG200" s="868">
        <f t="shared" si="106"/>
        <v>0.1076371528675952</v>
      </c>
      <c r="AH200" s="868">
        <f t="shared" si="106"/>
        <v>0.10787611814734037</v>
      </c>
      <c r="AI200" s="868">
        <f t="shared" si="106"/>
        <v>0</v>
      </c>
      <c r="AJ200" s="868">
        <f t="shared" si="106"/>
        <v>0</v>
      </c>
      <c r="AK200" s="868">
        <f t="shared" si="106"/>
        <v>0</v>
      </c>
      <c r="AL200" s="868">
        <f t="shared" si="106"/>
        <v>0</v>
      </c>
      <c r="AM200" s="868">
        <f t="shared" si="106"/>
        <v>0</v>
      </c>
      <c r="AN200" s="868">
        <f t="shared" si="106"/>
        <v>0</v>
      </c>
      <c r="AO200" s="868">
        <f t="shared" si="106"/>
        <v>0</v>
      </c>
    </row>
    <row r="201" spans="2:41" s="4" customFormat="1" ht="43.5">
      <c r="B201" s="6" t="s">
        <v>3690</v>
      </c>
      <c r="C201" s="868">
        <f t="shared" ref="C201:AO201" si="107">(C191+C194)/C39</f>
        <v>0</v>
      </c>
      <c r="D201" s="868">
        <f t="shared" si="107"/>
        <v>-7.8160832167402466E-2</v>
      </c>
      <c r="E201" s="868">
        <f t="shared" si="107"/>
        <v>-8.7274772835692002E-2</v>
      </c>
      <c r="F201" s="868">
        <f t="shared" si="107"/>
        <v>-9.6449977895272973E-2</v>
      </c>
      <c r="G201" s="868">
        <f t="shared" si="107"/>
        <v>-4.1732085555253283E-2</v>
      </c>
      <c r="H201" s="868">
        <f t="shared" si="107"/>
        <v>9.7222951489085302E-3</v>
      </c>
      <c r="I201" s="868">
        <f t="shared" si="107"/>
        <v>4.0644490196466633E-2</v>
      </c>
      <c r="J201" s="868">
        <f t="shared" si="107"/>
        <v>5.8910317577553939E-2</v>
      </c>
      <c r="K201" s="868">
        <f t="shared" si="107"/>
        <v>6.9403378906271407E-2</v>
      </c>
      <c r="L201" s="868">
        <f t="shared" si="107"/>
        <v>7.5156376038673436E-2</v>
      </c>
      <c r="M201" s="868">
        <f t="shared" si="107"/>
        <v>7.7983239517839101E-2</v>
      </c>
      <c r="N201" s="868">
        <f t="shared" si="107"/>
        <v>7.5511761679947803E-2</v>
      </c>
      <c r="O201" s="868">
        <f t="shared" si="107"/>
        <v>7.5382612980079838E-2</v>
      </c>
      <c r="P201" s="868">
        <f t="shared" si="107"/>
        <v>7.4704144444785722E-2</v>
      </c>
      <c r="Q201" s="868">
        <f t="shared" si="107"/>
        <v>7.681439546882439E-2</v>
      </c>
      <c r="R201" s="868">
        <f t="shared" si="107"/>
        <v>7.8673268483363507E-2</v>
      </c>
      <c r="S201" s="868">
        <f t="shared" si="107"/>
        <v>7.9960409629691545E-2</v>
      </c>
      <c r="T201" s="868">
        <f t="shared" si="107"/>
        <v>8.0849062997844737E-2</v>
      </c>
      <c r="U201" s="868">
        <f t="shared" si="107"/>
        <v>8.1515477259498093E-2</v>
      </c>
      <c r="V201" s="868">
        <f t="shared" si="107"/>
        <v>8.2069145351164483E-2</v>
      </c>
      <c r="W201" s="868">
        <f t="shared" si="107"/>
        <v>8.2543537109196471E-2</v>
      </c>
      <c r="X201" s="868">
        <f t="shared" si="107"/>
        <v>8.2888708420239612E-2</v>
      </c>
      <c r="Y201" s="868">
        <f t="shared" si="107"/>
        <v>8.3234530701214504E-2</v>
      </c>
      <c r="Z201" s="868">
        <f t="shared" si="107"/>
        <v>8.3599001192541433E-2</v>
      </c>
      <c r="AA201" s="868">
        <f t="shared" si="107"/>
        <v>8.3974011095948237E-2</v>
      </c>
      <c r="AB201" s="868">
        <f t="shared" si="107"/>
        <v>8.432208237462438E-2</v>
      </c>
      <c r="AC201" s="868">
        <f t="shared" si="107"/>
        <v>8.4656888732004429E-2</v>
      </c>
      <c r="AD201" s="868">
        <f t="shared" si="107"/>
        <v>8.499180340176421E-2</v>
      </c>
      <c r="AE201" s="868">
        <f t="shared" si="107"/>
        <v>8.5331898062002559E-2</v>
      </c>
      <c r="AF201" s="868">
        <f t="shared" si="107"/>
        <v>8.5684665237892976E-2</v>
      </c>
      <c r="AG201" s="868">
        <f t="shared" si="107"/>
        <v>8.605965353009716E-2</v>
      </c>
      <c r="AH201" s="868">
        <f t="shared" si="107"/>
        <v>8.6456476578542094E-2</v>
      </c>
      <c r="AI201" s="868">
        <f t="shared" si="107"/>
        <v>0</v>
      </c>
      <c r="AJ201" s="868">
        <f t="shared" si="107"/>
        <v>0</v>
      </c>
      <c r="AK201" s="868">
        <f t="shared" si="107"/>
        <v>0</v>
      </c>
      <c r="AL201" s="868">
        <f t="shared" si="107"/>
        <v>0</v>
      </c>
      <c r="AM201" s="868">
        <f t="shared" si="107"/>
        <v>0</v>
      </c>
      <c r="AN201" s="868">
        <f t="shared" si="107"/>
        <v>0</v>
      </c>
      <c r="AO201" s="868">
        <f t="shared" si="107"/>
        <v>0</v>
      </c>
    </row>
    <row r="202" spans="2:41">
      <c r="B202" s="113"/>
      <c r="C202" s="740"/>
      <c r="D202" s="740"/>
      <c r="E202" s="740"/>
      <c r="F202" s="740"/>
      <c r="G202" s="740"/>
      <c r="H202" s="740"/>
      <c r="I202" s="740"/>
      <c r="J202" s="740"/>
      <c r="K202" s="740"/>
      <c r="L202" s="740"/>
      <c r="M202" s="740"/>
      <c r="N202" s="740"/>
      <c r="O202" s="740"/>
      <c r="P202" s="740"/>
      <c r="Q202" s="740"/>
      <c r="R202" s="740"/>
      <c r="S202" s="740"/>
      <c r="T202" s="740"/>
      <c r="U202" s="740"/>
      <c r="V202" s="740"/>
      <c r="W202" s="740"/>
      <c r="X202" s="740"/>
      <c r="Y202" s="740"/>
      <c r="Z202" s="740"/>
      <c r="AA202" s="740"/>
      <c r="AB202" s="740"/>
      <c r="AC202" s="740"/>
      <c r="AD202" s="740"/>
      <c r="AE202" s="740"/>
      <c r="AF202" s="740"/>
      <c r="AG202" s="740"/>
      <c r="AH202" s="740"/>
      <c r="AI202" s="740"/>
      <c r="AJ202" s="740"/>
      <c r="AK202" s="740"/>
      <c r="AL202" s="740"/>
      <c r="AM202" s="740"/>
      <c r="AN202" s="740"/>
      <c r="AO202" s="740"/>
    </row>
    <row r="203" spans="2:41">
      <c r="B203" s="113"/>
      <c r="C203" s="740"/>
      <c r="D203" s="740"/>
      <c r="E203" s="740"/>
      <c r="F203" s="740"/>
      <c r="G203" s="740"/>
      <c r="H203" s="740"/>
      <c r="I203" s="740"/>
      <c r="J203" s="740"/>
      <c r="K203" s="740"/>
      <c r="L203" s="740"/>
      <c r="M203" s="740"/>
      <c r="N203" s="740"/>
      <c r="O203" s="740"/>
      <c r="P203" s="740"/>
      <c r="Q203" s="740"/>
      <c r="R203" s="740"/>
      <c r="S203" s="740"/>
      <c r="T203" s="740"/>
      <c r="U203" s="740"/>
      <c r="V203" s="740"/>
      <c r="W203" s="740"/>
      <c r="X203" s="740"/>
      <c r="Y203" s="740"/>
      <c r="Z203" s="740"/>
      <c r="AA203" s="740"/>
      <c r="AB203" s="740"/>
      <c r="AC203" s="740"/>
      <c r="AD203" s="740"/>
      <c r="AE203" s="740"/>
      <c r="AF203" s="740"/>
      <c r="AG203" s="740"/>
      <c r="AH203" s="740"/>
      <c r="AI203" s="740"/>
      <c r="AJ203" s="740"/>
      <c r="AK203" s="740"/>
      <c r="AL203" s="740"/>
      <c r="AM203" s="740"/>
      <c r="AN203" s="740"/>
      <c r="AO203" s="740"/>
    </row>
    <row r="204" spans="2:41">
      <c r="B204" s="113"/>
      <c r="C204" s="740"/>
      <c r="D204" s="740"/>
      <c r="E204" s="740"/>
      <c r="F204" s="740"/>
      <c r="G204" s="740"/>
      <c r="H204" s="740"/>
      <c r="I204" s="740"/>
      <c r="J204" s="740"/>
      <c r="K204" s="740"/>
      <c r="L204" s="740"/>
      <c r="M204" s="740"/>
      <c r="N204" s="740"/>
      <c r="O204" s="740"/>
      <c r="P204" s="740"/>
      <c r="Q204" s="740"/>
      <c r="R204" s="740"/>
      <c r="S204" s="740"/>
      <c r="T204" s="740"/>
      <c r="U204" s="740"/>
      <c r="V204" s="740"/>
      <c r="W204" s="740"/>
      <c r="X204" s="740"/>
      <c r="Y204" s="740"/>
      <c r="Z204" s="740"/>
      <c r="AA204" s="740"/>
      <c r="AB204" s="740"/>
      <c r="AC204" s="740"/>
      <c r="AD204" s="740"/>
      <c r="AE204" s="740"/>
      <c r="AF204" s="740"/>
      <c r="AG204" s="740"/>
      <c r="AH204" s="740"/>
      <c r="AI204" s="740"/>
      <c r="AJ204" s="740"/>
      <c r="AK204" s="740"/>
      <c r="AL204" s="740"/>
      <c r="AM204" s="740"/>
      <c r="AN204" s="740"/>
      <c r="AO204" s="740"/>
    </row>
    <row r="205" spans="2:41">
      <c r="B205" s="113"/>
      <c r="C205" s="740"/>
      <c r="D205" s="740"/>
      <c r="E205" s="740"/>
      <c r="F205" s="740"/>
      <c r="G205" s="740"/>
      <c r="H205" s="740"/>
      <c r="I205" s="740"/>
      <c r="J205" s="740"/>
      <c r="K205" s="740"/>
      <c r="L205" s="740"/>
      <c r="M205" s="740"/>
      <c r="N205" s="859">
        <f>N191/N39</f>
        <v>0.10508022422775345</v>
      </c>
      <c r="O205" s="859">
        <f t="shared" ref="O205:X205" si="108">(O191+O194)/O39</f>
        <v>7.5382612980079838E-2</v>
      </c>
      <c r="P205" s="859">
        <f t="shared" si="108"/>
        <v>7.4704144444785722E-2</v>
      </c>
      <c r="Q205" s="859">
        <f t="shared" si="108"/>
        <v>7.681439546882439E-2</v>
      </c>
      <c r="R205" s="859">
        <f t="shared" si="108"/>
        <v>7.8673268483363507E-2</v>
      </c>
      <c r="S205" s="859">
        <f t="shared" si="108"/>
        <v>7.9960409629691545E-2</v>
      </c>
      <c r="T205" s="859">
        <f t="shared" si="108"/>
        <v>8.0849062997844737E-2</v>
      </c>
      <c r="U205" s="859">
        <f t="shared" si="108"/>
        <v>8.1515477259498093E-2</v>
      </c>
      <c r="V205" s="859">
        <f t="shared" si="108"/>
        <v>8.2069145351164483E-2</v>
      </c>
      <c r="W205" s="859">
        <f t="shared" si="108"/>
        <v>8.2543537109196471E-2</v>
      </c>
      <c r="X205" s="859">
        <f t="shared" si="108"/>
        <v>8.2888708420239612E-2</v>
      </c>
      <c r="Y205" s="859">
        <f>Y191/Y39</f>
        <v>0.10630348505554628</v>
      </c>
      <c r="Z205" s="859">
        <f>Z191/Z39</f>
        <v>0.10645382995796959</v>
      </c>
      <c r="AA205" s="859">
        <f>AA191/AA39</f>
        <v>0.10662216796646475</v>
      </c>
      <c r="AB205" s="740"/>
      <c r="AC205" s="740"/>
      <c r="AD205" s="740"/>
      <c r="AE205" s="740"/>
      <c r="AF205" s="740"/>
      <c r="AG205" s="740"/>
      <c r="AH205" s="740"/>
      <c r="AI205" s="740"/>
      <c r="AJ205" s="740"/>
      <c r="AK205" s="740"/>
      <c r="AL205" s="740"/>
      <c r="AM205" s="740"/>
      <c r="AN205" s="740"/>
      <c r="AO205" s="740"/>
    </row>
    <row r="206" spans="2:41">
      <c r="B206" s="114"/>
      <c r="C206" s="34" t="s">
        <v>3363</v>
      </c>
      <c r="D206" s="740"/>
      <c r="E206" s="740"/>
      <c r="F206" s="740"/>
      <c r="G206" s="740"/>
      <c r="H206" s="740"/>
      <c r="I206" s="740"/>
      <c r="J206" s="740"/>
      <c r="K206" s="740"/>
      <c r="L206" s="740"/>
      <c r="M206" s="740"/>
      <c r="N206" s="740"/>
      <c r="O206" s="859">
        <f t="shared" ref="O206:W206" si="109">O197/O39</f>
        <v>0.13634360256445138</v>
      </c>
      <c r="P206" s="859">
        <f t="shared" si="109"/>
        <v>0.1338346767225195</v>
      </c>
      <c r="Q206" s="859">
        <f t="shared" si="109"/>
        <v>0.13405793329349353</v>
      </c>
      <c r="R206" s="859">
        <f t="shared" si="109"/>
        <v>0.13654324193356165</v>
      </c>
      <c r="S206" s="859">
        <f t="shared" si="109"/>
        <v>0.13806903700172418</v>
      </c>
      <c r="T206" s="859">
        <f t="shared" si="109"/>
        <v>0.13894164363883069</v>
      </c>
      <c r="U206" s="859">
        <f t="shared" si="109"/>
        <v>0.13945006286380771</v>
      </c>
      <c r="V206" s="859">
        <f t="shared" si="109"/>
        <v>0.1397634022290945</v>
      </c>
      <c r="W206" s="859">
        <f t="shared" si="109"/>
        <v>0.13994312330952302</v>
      </c>
      <c r="X206" s="740"/>
      <c r="Y206" s="740"/>
      <c r="Z206" s="740"/>
      <c r="AA206" s="740"/>
      <c r="AB206" s="740"/>
      <c r="AC206" s="740"/>
      <c r="AD206" s="740"/>
      <c r="AE206" s="740"/>
      <c r="AF206" s="740"/>
      <c r="AG206" s="740"/>
      <c r="AH206" s="740"/>
      <c r="AI206" s="740"/>
      <c r="AJ206" s="740"/>
      <c r="AK206" s="740"/>
      <c r="AL206" s="740"/>
      <c r="AM206" s="740"/>
      <c r="AN206" s="740"/>
      <c r="AO206" s="740"/>
    </row>
    <row r="207" spans="2:41">
      <c r="B207" s="6" t="s">
        <v>3458</v>
      </c>
      <c r="C207" s="169">
        <f>SUMPRODUCT(C190:AO190,$C$307:$AO$307)</f>
        <v>3866270.5506952023</v>
      </c>
      <c r="D207" s="740"/>
      <c r="E207" s="740"/>
      <c r="F207" s="740"/>
      <c r="G207" s="740"/>
      <c r="H207" s="740"/>
      <c r="I207" s="740"/>
      <c r="J207" s="740"/>
      <c r="K207" s="740"/>
      <c r="L207" s="740"/>
      <c r="M207" s="740"/>
      <c r="N207" s="740"/>
      <c r="O207" s="740"/>
      <c r="P207" s="740"/>
      <c r="Q207" s="740"/>
      <c r="R207" s="740"/>
      <c r="S207" s="740"/>
      <c r="T207" s="740"/>
      <c r="U207" s="740"/>
      <c r="V207" s="740"/>
      <c r="W207" s="740"/>
      <c r="X207" s="740"/>
      <c r="Y207" s="740"/>
      <c r="Z207" s="740"/>
      <c r="AA207" s="740"/>
      <c r="AB207" s="740"/>
      <c r="AC207" s="740"/>
      <c r="AD207" s="740"/>
      <c r="AE207" s="740"/>
      <c r="AF207" s="740"/>
      <c r="AG207" s="740"/>
      <c r="AH207" s="740"/>
      <c r="AI207" s="740"/>
      <c r="AJ207" s="740"/>
      <c r="AK207" s="740"/>
      <c r="AL207" s="740"/>
      <c r="AM207" s="740"/>
      <c r="AN207" s="740"/>
      <c r="AO207" s="740"/>
    </row>
    <row r="208" spans="2:41">
      <c r="B208" s="6" t="s">
        <v>3459</v>
      </c>
      <c r="C208" s="169">
        <f>SUMPRODUCT(C191:AO191,$C$307:$AO$307)</f>
        <v>6669483.1961324848</v>
      </c>
      <c r="D208" s="740"/>
      <c r="E208" s="740"/>
      <c r="F208" s="740"/>
      <c r="G208" s="740"/>
      <c r="H208" s="740"/>
      <c r="I208" s="740"/>
      <c r="J208" s="740"/>
      <c r="K208" s="740"/>
      <c r="L208" s="740"/>
      <c r="M208" s="740"/>
      <c r="N208" s="740"/>
      <c r="O208" s="740"/>
      <c r="P208" s="740"/>
      <c r="Q208" s="740"/>
      <c r="R208" s="740"/>
      <c r="S208" s="740"/>
      <c r="T208" s="740"/>
      <c r="U208" s="740"/>
      <c r="V208" s="740"/>
      <c r="W208" s="740"/>
      <c r="X208" s="740"/>
      <c r="Y208" s="740"/>
      <c r="Z208" s="740"/>
      <c r="AA208" s="740"/>
      <c r="AB208" s="740"/>
      <c r="AC208" s="740"/>
      <c r="AD208" s="740"/>
      <c r="AE208" s="740"/>
      <c r="AF208" s="740"/>
      <c r="AG208" s="740"/>
      <c r="AH208" s="740"/>
      <c r="AI208" s="740"/>
      <c r="AJ208" s="740"/>
      <c r="AK208" s="740"/>
      <c r="AL208" s="740"/>
      <c r="AM208" s="740"/>
      <c r="AN208" s="740"/>
      <c r="AO208" s="740"/>
    </row>
    <row r="209" spans="1:41">
      <c r="B209" s="5" t="s">
        <v>3463</v>
      </c>
      <c r="C209" s="196">
        <f>SUMPRODUCT(C192:AO192,$C$307:$AO$307)</f>
        <v>10535753.746827688</v>
      </c>
      <c r="D209" s="740"/>
      <c r="E209" s="740"/>
      <c r="F209" s="740"/>
      <c r="G209" s="740"/>
      <c r="H209" s="740"/>
      <c r="I209" s="740"/>
      <c r="J209" s="740"/>
      <c r="K209" s="740"/>
      <c r="L209" s="740"/>
      <c r="M209" s="740"/>
      <c r="N209" s="740"/>
      <c r="O209" s="740"/>
      <c r="P209" s="740"/>
      <c r="Q209" s="740"/>
      <c r="R209" s="740"/>
      <c r="S209" s="740"/>
      <c r="T209" s="740"/>
      <c r="U209" s="740"/>
      <c r="V209" s="740"/>
      <c r="W209" s="740"/>
      <c r="X209" s="740"/>
      <c r="Y209" s="740"/>
      <c r="Z209" s="740"/>
      <c r="AA209" s="740"/>
      <c r="AB209" s="740"/>
      <c r="AC209" s="740"/>
      <c r="AD209" s="740"/>
      <c r="AE209" s="740"/>
      <c r="AF209" s="740"/>
      <c r="AG209" s="740"/>
      <c r="AH209" s="740"/>
      <c r="AI209" s="740"/>
      <c r="AJ209" s="740"/>
      <c r="AK209" s="740"/>
      <c r="AL209" s="740"/>
      <c r="AM209" s="740"/>
      <c r="AN209" s="740"/>
      <c r="AO209" s="740"/>
    </row>
    <row r="210" spans="1:41">
      <c r="B210" s="6" t="s">
        <v>3380</v>
      </c>
      <c r="C210" s="169">
        <f>SUMPRODUCT(C194:AO194,$C$307:$AO$307)</f>
        <v>-2219219.8319726484</v>
      </c>
      <c r="D210" s="740"/>
      <c r="E210" s="740"/>
      <c r="F210" s="740"/>
      <c r="G210" s="740"/>
      <c r="H210" s="740"/>
      <c r="I210" s="740"/>
      <c r="J210" s="740"/>
      <c r="K210" s="740"/>
      <c r="L210" s="740"/>
      <c r="M210" s="740"/>
      <c r="N210" s="740"/>
      <c r="O210" s="740"/>
      <c r="P210" s="740"/>
      <c r="Q210" s="740"/>
      <c r="R210" s="740"/>
      <c r="S210" s="740"/>
      <c r="T210" s="740"/>
      <c r="U210" s="740"/>
      <c r="V210" s="740"/>
      <c r="W210" s="740"/>
      <c r="X210" s="740"/>
      <c r="Y210" s="740"/>
      <c r="Z210" s="740"/>
      <c r="AA210" s="740"/>
      <c r="AB210" s="740"/>
      <c r="AC210" s="740"/>
      <c r="AD210" s="740"/>
      <c r="AE210" s="740"/>
      <c r="AF210" s="740"/>
      <c r="AG210" s="740"/>
      <c r="AH210" s="740"/>
      <c r="AI210" s="740"/>
      <c r="AJ210" s="740"/>
      <c r="AK210" s="740"/>
      <c r="AL210" s="740"/>
      <c r="AM210" s="740"/>
      <c r="AN210" s="740"/>
      <c r="AO210" s="740"/>
    </row>
    <row r="211" spans="1:41">
      <c r="D211" s="740"/>
      <c r="E211" s="740"/>
      <c r="F211" s="740"/>
      <c r="G211" s="740"/>
      <c r="H211" s="740"/>
      <c r="I211" s="740"/>
      <c r="J211" s="740"/>
      <c r="K211" s="740"/>
      <c r="L211" s="740"/>
      <c r="M211" s="740"/>
      <c r="N211" s="740"/>
      <c r="O211" s="740"/>
      <c r="P211" s="740"/>
      <c r="Q211" s="740"/>
      <c r="R211" s="740"/>
      <c r="S211" s="740"/>
      <c r="T211" s="740"/>
      <c r="U211" s="740"/>
      <c r="V211" s="740"/>
      <c r="W211" s="740"/>
      <c r="X211" s="740"/>
      <c r="Y211" s="740"/>
      <c r="Z211" s="740"/>
      <c r="AA211" s="740"/>
      <c r="AB211" s="740"/>
      <c r="AC211" s="740"/>
      <c r="AD211" s="740"/>
      <c r="AE211" s="740"/>
      <c r="AF211" s="740"/>
      <c r="AG211" s="740"/>
      <c r="AH211" s="740"/>
      <c r="AI211" s="740"/>
      <c r="AJ211" s="740"/>
      <c r="AK211" s="740"/>
      <c r="AL211" s="740"/>
      <c r="AM211" s="740"/>
      <c r="AN211" s="740"/>
      <c r="AO211" s="740"/>
    </row>
    <row r="212" spans="1:41">
      <c r="B212" s="750" t="s">
        <v>3464</v>
      </c>
      <c r="C212" s="751">
        <f>SUM(C209:C210)</f>
        <v>8316533.9148550397</v>
      </c>
      <c r="D212" s="740"/>
      <c r="E212" s="740"/>
      <c r="F212" s="740"/>
      <c r="G212" s="740"/>
      <c r="H212" s="740"/>
      <c r="I212" s="740"/>
      <c r="J212" s="740"/>
      <c r="K212" s="740"/>
      <c r="L212" s="740"/>
      <c r="M212" s="740"/>
      <c r="N212" s="740"/>
      <c r="O212" s="740"/>
      <c r="P212" s="740"/>
      <c r="Q212" s="740"/>
      <c r="R212" s="740"/>
      <c r="S212" s="740"/>
      <c r="T212" s="740"/>
      <c r="U212" s="740"/>
      <c r="V212" s="740"/>
      <c r="W212" s="740"/>
      <c r="X212" s="740"/>
      <c r="Y212" s="740"/>
      <c r="Z212" s="740"/>
      <c r="AA212" s="740"/>
      <c r="AB212" s="740"/>
      <c r="AC212" s="740"/>
      <c r="AD212" s="740"/>
      <c r="AE212" s="740"/>
      <c r="AF212" s="740"/>
      <c r="AG212" s="740"/>
      <c r="AH212" s="740"/>
      <c r="AI212" s="740"/>
      <c r="AJ212" s="740"/>
      <c r="AK212" s="740"/>
      <c r="AL212" s="740"/>
      <c r="AM212" s="740"/>
      <c r="AN212" s="740"/>
      <c r="AO212" s="740"/>
    </row>
    <row r="213" spans="1:41">
      <c r="B213" s="113"/>
      <c r="C213" s="740" t="b">
        <f>C212/10^6=C57</f>
        <v>1</v>
      </c>
      <c r="D213" s="740"/>
      <c r="E213" s="740"/>
      <c r="F213" s="740"/>
      <c r="G213" s="740"/>
      <c r="H213" s="740"/>
      <c r="I213" s="740"/>
      <c r="J213" s="740"/>
      <c r="K213" s="740"/>
      <c r="L213" s="740"/>
      <c r="M213" s="740"/>
      <c r="N213" s="740"/>
      <c r="O213" s="740"/>
      <c r="P213" s="740"/>
      <c r="Q213" s="740"/>
      <c r="R213" s="740"/>
      <c r="S213" s="740"/>
      <c r="T213" s="740"/>
      <c r="U213" s="740"/>
      <c r="V213" s="740"/>
      <c r="W213" s="740"/>
      <c r="X213" s="740"/>
      <c r="Y213" s="740"/>
      <c r="Z213" s="740"/>
      <c r="AA213" s="740"/>
      <c r="AB213" s="740"/>
      <c r="AC213" s="740"/>
      <c r="AD213" s="740"/>
      <c r="AE213" s="740"/>
      <c r="AF213" s="740"/>
      <c r="AG213" s="740"/>
      <c r="AH213" s="740"/>
      <c r="AI213" s="740"/>
      <c r="AJ213" s="740"/>
      <c r="AK213" s="740"/>
      <c r="AL213" s="740"/>
      <c r="AM213" s="740"/>
      <c r="AN213" s="740"/>
      <c r="AO213" s="740"/>
    </row>
    <row r="214" spans="1:41">
      <c r="B214" s="113"/>
      <c r="C214" s="740"/>
      <c r="D214" s="740"/>
      <c r="E214" s="740"/>
      <c r="F214" s="740"/>
      <c r="G214" s="740"/>
      <c r="H214" s="740"/>
      <c r="I214" s="740"/>
      <c r="J214" s="740"/>
      <c r="K214" s="740"/>
      <c r="L214" s="740"/>
      <c r="M214" s="740"/>
      <c r="N214" s="740"/>
      <c r="O214" s="740"/>
      <c r="P214" s="740"/>
      <c r="Q214" s="740"/>
      <c r="R214" s="740"/>
      <c r="S214" s="740"/>
      <c r="T214" s="740"/>
      <c r="U214" s="740"/>
      <c r="V214" s="740"/>
      <c r="W214" s="740"/>
      <c r="X214" s="740"/>
      <c r="Y214" s="740"/>
      <c r="Z214" s="740"/>
      <c r="AA214" s="740"/>
      <c r="AB214" s="740"/>
      <c r="AC214" s="740"/>
      <c r="AD214" s="740"/>
      <c r="AE214" s="740"/>
      <c r="AF214" s="740"/>
      <c r="AG214" s="740"/>
      <c r="AH214" s="740"/>
      <c r="AI214" s="740"/>
      <c r="AJ214" s="740"/>
      <c r="AK214" s="740"/>
      <c r="AL214" s="740"/>
      <c r="AM214" s="740"/>
      <c r="AN214" s="740"/>
      <c r="AO214" s="740"/>
    </row>
    <row r="215" spans="1:41">
      <c r="B215" s="113"/>
      <c r="C215" s="740"/>
      <c r="D215" s="740"/>
      <c r="E215" s="740"/>
      <c r="F215" s="740"/>
      <c r="G215" s="740"/>
      <c r="H215" s="740"/>
      <c r="I215" s="740"/>
      <c r="J215" s="740"/>
      <c r="K215" s="740"/>
      <c r="L215" s="740"/>
      <c r="M215" s="740"/>
      <c r="N215" s="740"/>
      <c r="O215" s="740"/>
      <c r="P215" s="740"/>
      <c r="Q215" s="740"/>
      <c r="R215" s="740"/>
      <c r="S215" s="740"/>
      <c r="T215" s="740"/>
      <c r="U215" s="740"/>
      <c r="V215" s="740"/>
      <c r="W215" s="740"/>
      <c r="X215" s="740"/>
      <c r="Y215" s="740"/>
      <c r="Z215" s="740"/>
      <c r="AA215" s="740"/>
      <c r="AB215" s="740"/>
      <c r="AC215" s="740"/>
      <c r="AD215" s="740"/>
      <c r="AE215" s="740"/>
      <c r="AF215" s="740"/>
      <c r="AG215" s="740"/>
      <c r="AH215" s="740"/>
      <c r="AI215" s="740"/>
      <c r="AJ215" s="740"/>
      <c r="AK215" s="740"/>
      <c r="AL215" s="740"/>
      <c r="AM215" s="740"/>
      <c r="AN215" s="740"/>
      <c r="AO215" s="740"/>
    </row>
    <row r="216" spans="1:41">
      <c r="B216" s="113"/>
      <c r="C216" s="740"/>
      <c r="D216" s="740"/>
      <c r="E216" s="740"/>
      <c r="F216" s="740"/>
      <c r="G216" s="740"/>
      <c r="H216" s="740"/>
      <c r="I216" s="740"/>
      <c r="J216" s="740"/>
      <c r="K216" s="740"/>
      <c r="L216" s="740"/>
      <c r="M216" s="740"/>
      <c r="N216" s="740"/>
      <c r="O216" s="740"/>
      <c r="P216" s="740"/>
      <c r="Q216" s="740"/>
      <c r="R216" s="740"/>
      <c r="S216" s="740"/>
      <c r="T216" s="740"/>
      <c r="U216" s="740"/>
      <c r="V216" s="740"/>
      <c r="W216" s="740"/>
      <c r="X216" s="740"/>
      <c r="Y216" s="740"/>
      <c r="Z216" s="740"/>
      <c r="AA216" s="740"/>
      <c r="AB216" s="740"/>
      <c r="AC216" s="740"/>
      <c r="AD216" s="740"/>
      <c r="AE216" s="740"/>
      <c r="AF216" s="740"/>
      <c r="AG216" s="740"/>
      <c r="AH216" s="740"/>
      <c r="AI216" s="740"/>
      <c r="AJ216" s="740"/>
      <c r="AK216" s="740"/>
      <c r="AL216" s="740"/>
      <c r="AM216" s="740"/>
      <c r="AN216" s="740"/>
      <c r="AO216" s="740"/>
    </row>
    <row r="217" spans="1:41">
      <c r="C217" s="740">
        <f>C210+C208</f>
        <v>4450263.3641598364</v>
      </c>
      <c r="D217" s="740"/>
      <c r="E217" s="740"/>
      <c r="F217" s="740"/>
      <c r="G217" s="740"/>
      <c r="H217" s="740"/>
      <c r="I217" s="740"/>
      <c r="J217" s="740"/>
      <c r="K217" s="740"/>
      <c r="L217" s="740"/>
      <c r="M217" s="740"/>
      <c r="N217" s="740"/>
      <c r="O217" s="740"/>
      <c r="P217" s="740"/>
      <c r="Q217" s="740"/>
      <c r="R217" s="740"/>
      <c r="S217" s="740"/>
      <c r="T217" s="740"/>
      <c r="U217" s="740"/>
      <c r="V217" s="740"/>
      <c r="W217" s="740"/>
      <c r="X217" s="740"/>
      <c r="Y217" s="740"/>
      <c r="Z217" s="740"/>
      <c r="AA217" s="740"/>
      <c r="AB217" s="740"/>
      <c r="AC217" s="740"/>
      <c r="AD217" s="740"/>
      <c r="AE217" s="740"/>
      <c r="AF217" s="740"/>
      <c r="AG217" s="740"/>
      <c r="AH217" s="740"/>
      <c r="AI217" s="740"/>
      <c r="AJ217" s="740"/>
      <c r="AK217" s="740"/>
      <c r="AL217" s="740"/>
      <c r="AM217" s="740"/>
      <c r="AN217" s="740"/>
      <c r="AO217" s="740"/>
    </row>
    <row r="218" spans="1:41">
      <c r="B218" s="113"/>
      <c r="C218" s="740"/>
      <c r="D218" s="740"/>
      <c r="E218" s="740"/>
      <c r="F218" s="740"/>
      <c r="G218" s="740"/>
      <c r="H218" s="740"/>
      <c r="I218" s="740"/>
      <c r="J218" s="740"/>
      <c r="K218" s="740"/>
      <c r="L218" s="740"/>
      <c r="M218" s="740"/>
      <c r="N218" s="740"/>
      <c r="O218" s="740"/>
      <c r="P218" s="740"/>
      <c r="Q218" s="740"/>
      <c r="R218" s="740"/>
      <c r="S218" s="740"/>
      <c r="T218" s="740"/>
      <c r="U218" s="740"/>
      <c r="V218" s="740"/>
      <c r="W218" s="740"/>
      <c r="X218" s="740"/>
      <c r="Y218" s="740"/>
      <c r="Z218" s="740"/>
      <c r="AA218" s="740"/>
      <c r="AB218" s="740"/>
      <c r="AC218" s="740"/>
      <c r="AD218" s="740"/>
      <c r="AE218" s="740"/>
      <c r="AF218" s="740"/>
      <c r="AG218" s="740"/>
      <c r="AH218" s="740"/>
      <c r="AI218" s="740"/>
      <c r="AJ218" s="740"/>
      <c r="AK218" s="740"/>
      <c r="AL218" s="740"/>
      <c r="AM218" s="740"/>
      <c r="AN218" s="740"/>
      <c r="AO218" s="740"/>
    </row>
    <row r="219" spans="1:41">
      <c r="B219" s="113"/>
      <c r="C219" s="740"/>
      <c r="D219" s="740"/>
      <c r="E219" s="740"/>
      <c r="F219" s="740"/>
      <c r="G219" s="740"/>
      <c r="H219" s="740"/>
      <c r="I219" s="740"/>
      <c r="J219" s="740"/>
      <c r="K219" s="740"/>
      <c r="L219" s="740"/>
      <c r="M219" s="740"/>
      <c r="N219" s="740"/>
      <c r="O219" s="740"/>
      <c r="P219" s="740"/>
      <c r="Q219" s="740"/>
      <c r="R219" s="740"/>
      <c r="S219" s="740"/>
      <c r="T219" s="740"/>
      <c r="U219" s="740"/>
      <c r="V219" s="740"/>
      <c r="W219" s="740"/>
      <c r="X219" s="740"/>
      <c r="Y219" s="740"/>
      <c r="Z219" s="740"/>
      <c r="AA219" s="740"/>
      <c r="AB219" s="740"/>
      <c r="AC219" s="740"/>
      <c r="AD219" s="740"/>
      <c r="AE219" s="740"/>
      <c r="AF219" s="740"/>
      <c r="AG219" s="740"/>
      <c r="AH219" s="740"/>
      <c r="AI219" s="740"/>
      <c r="AJ219" s="740"/>
      <c r="AK219" s="740"/>
      <c r="AL219" s="740"/>
      <c r="AM219" s="740"/>
      <c r="AN219" s="740"/>
      <c r="AO219" s="740"/>
    </row>
    <row r="220" spans="1:41">
      <c r="B220" s="113"/>
      <c r="C220" s="740"/>
      <c r="D220" s="740"/>
      <c r="E220" s="740"/>
      <c r="F220" s="740"/>
      <c r="G220" s="740"/>
      <c r="H220" s="740"/>
      <c r="I220" s="740"/>
      <c r="J220" s="740"/>
      <c r="K220" s="740"/>
      <c r="L220" s="740"/>
      <c r="M220" s="740"/>
      <c r="N220" s="740"/>
      <c r="O220" s="740"/>
      <c r="P220" s="740"/>
      <c r="Q220" s="740"/>
      <c r="R220" s="740"/>
      <c r="S220" s="740"/>
      <c r="T220" s="740"/>
      <c r="U220" s="740"/>
      <c r="V220" s="740"/>
      <c r="W220" s="740"/>
      <c r="X220" s="740"/>
      <c r="Y220" s="740"/>
      <c r="Z220" s="740"/>
      <c r="AA220" s="740"/>
      <c r="AB220" s="740"/>
      <c r="AC220" s="740"/>
      <c r="AD220" s="740"/>
      <c r="AE220" s="740"/>
      <c r="AF220" s="740"/>
      <c r="AG220" s="740"/>
      <c r="AH220" s="740"/>
      <c r="AI220" s="740"/>
      <c r="AJ220" s="740"/>
      <c r="AK220" s="740"/>
      <c r="AL220" s="740"/>
      <c r="AM220" s="740"/>
      <c r="AN220" s="740"/>
      <c r="AO220" s="740"/>
    </row>
    <row r="221" spans="1:41">
      <c r="B221" s="113"/>
      <c r="C221" s="740"/>
      <c r="D221" s="740"/>
      <c r="E221" s="740"/>
      <c r="F221" s="740"/>
      <c r="G221" s="740"/>
      <c r="H221" s="740"/>
      <c r="I221" s="740"/>
      <c r="J221" s="740"/>
      <c r="K221" s="740"/>
      <c r="L221" s="740"/>
      <c r="M221" s="740"/>
      <c r="N221" s="740"/>
      <c r="O221" s="740"/>
      <c r="P221" s="740"/>
      <c r="Q221" s="740"/>
      <c r="R221" s="740"/>
      <c r="S221" s="740"/>
      <c r="T221" s="740"/>
      <c r="U221" s="740"/>
      <c r="V221" s="740"/>
      <c r="W221" s="740"/>
      <c r="X221" s="740"/>
      <c r="Y221" s="740"/>
      <c r="Z221" s="740"/>
      <c r="AA221" s="740"/>
      <c r="AB221" s="740"/>
      <c r="AC221" s="740"/>
      <c r="AD221" s="740"/>
      <c r="AE221" s="740"/>
      <c r="AF221" s="740"/>
      <c r="AG221" s="740"/>
      <c r="AH221" s="740"/>
      <c r="AI221" s="740"/>
      <c r="AJ221" s="740"/>
      <c r="AK221" s="740"/>
      <c r="AL221" s="740"/>
      <c r="AM221" s="740"/>
      <c r="AN221" s="740"/>
      <c r="AO221" s="740"/>
    </row>
    <row r="222" spans="1:41">
      <c r="B222" s="113"/>
      <c r="C222" s="740"/>
      <c r="D222" s="740"/>
      <c r="E222" s="740"/>
      <c r="F222" s="740"/>
      <c r="G222" s="740"/>
      <c r="H222" s="740"/>
      <c r="I222" s="740"/>
      <c r="J222" s="740"/>
      <c r="K222" s="740"/>
      <c r="L222" s="740"/>
      <c r="M222" s="740"/>
      <c r="N222" s="740"/>
      <c r="O222" s="740"/>
      <c r="P222" s="740"/>
      <c r="Q222" s="740"/>
      <c r="R222" s="740"/>
      <c r="S222" s="740"/>
      <c r="T222" s="740"/>
      <c r="U222" s="740"/>
      <c r="V222" s="740"/>
      <c r="W222" s="740"/>
      <c r="X222" s="740"/>
      <c r="Y222" s="740"/>
      <c r="Z222" s="740"/>
      <c r="AA222" s="740"/>
      <c r="AB222" s="740"/>
      <c r="AC222" s="740"/>
      <c r="AD222" s="740"/>
      <c r="AE222" s="740"/>
      <c r="AF222" s="740"/>
      <c r="AG222" s="740"/>
      <c r="AH222" s="740"/>
      <c r="AI222" s="740"/>
      <c r="AJ222" s="740"/>
      <c r="AK222" s="740"/>
      <c r="AL222" s="740"/>
      <c r="AM222" s="740"/>
      <c r="AN222" s="740"/>
      <c r="AO222" s="740"/>
    </row>
    <row r="224" spans="1:41">
      <c r="A224" s="9" t="s">
        <v>10</v>
      </c>
      <c r="B224" s="9" t="s">
        <v>3723</v>
      </c>
    </row>
    <row r="226" spans="1:55">
      <c r="B226" s="84" t="s">
        <v>125</v>
      </c>
      <c r="C226" s="34">
        <f>'National model results detailed'!C104</f>
        <v>2020</v>
      </c>
      <c r="D226" s="34">
        <f>'National model results detailed'!D104</f>
        <v>2021</v>
      </c>
      <c r="E226" s="34">
        <f>'National model results detailed'!E104</f>
        <v>2022</v>
      </c>
      <c r="F226" s="34">
        <f>'National model results detailed'!F104</f>
        <v>2023</v>
      </c>
      <c r="G226" s="34">
        <f>'National model results detailed'!G104</f>
        <v>2024</v>
      </c>
      <c r="H226" s="34">
        <f>'National model results detailed'!H104</f>
        <v>2025</v>
      </c>
      <c r="I226" s="34">
        <f>'National model results detailed'!I104</f>
        <v>2026</v>
      </c>
      <c r="J226" s="34">
        <f>'National model results detailed'!J104</f>
        <v>2027</v>
      </c>
      <c r="K226" s="34">
        <f>'National model results detailed'!K104</f>
        <v>2028</v>
      </c>
      <c r="L226" s="34">
        <f>'National model results detailed'!L104</f>
        <v>2029</v>
      </c>
      <c r="M226" s="34">
        <f>'National model results detailed'!M104</f>
        <v>2030</v>
      </c>
      <c r="N226" s="34">
        <f>'National model results detailed'!N104</f>
        <v>2031</v>
      </c>
      <c r="O226" s="34">
        <f>'National model results detailed'!O104</f>
        <v>2032</v>
      </c>
      <c r="P226" s="34">
        <f>'National model results detailed'!P104</f>
        <v>2033</v>
      </c>
      <c r="Q226" s="34">
        <f>'National model results detailed'!Q104</f>
        <v>2034</v>
      </c>
      <c r="R226" s="34">
        <f>'National model results detailed'!R104</f>
        <v>2035</v>
      </c>
      <c r="S226" s="34">
        <f>'National model results detailed'!S104</f>
        <v>2036</v>
      </c>
      <c r="T226" s="34">
        <f>'National model results detailed'!T104</f>
        <v>2037</v>
      </c>
      <c r="U226" s="34">
        <f>'National model results detailed'!U104</f>
        <v>2038</v>
      </c>
      <c r="V226" s="34">
        <f>'National model results detailed'!V104</f>
        <v>2039</v>
      </c>
      <c r="W226" s="34">
        <f>'National model results detailed'!W104</f>
        <v>2040</v>
      </c>
      <c r="X226" s="34">
        <f>'National model results detailed'!X104</f>
        <v>2041</v>
      </c>
      <c r="Y226" s="34">
        <f>'National model results detailed'!Y104</f>
        <v>2042</v>
      </c>
      <c r="Z226" s="34">
        <f>'National model results detailed'!Z104</f>
        <v>2043</v>
      </c>
      <c r="AA226" s="34">
        <f>'National model results detailed'!AA104</f>
        <v>2044</v>
      </c>
      <c r="AB226" s="34">
        <f>'National model results detailed'!AB104</f>
        <v>2045</v>
      </c>
      <c r="AC226" s="34">
        <f>'National model results detailed'!AC104</f>
        <v>2046</v>
      </c>
      <c r="AD226" s="34">
        <f>'National model results detailed'!AD104</f>
        <v>2047</v>
      </c>
      <c r="AE226" s="34">
        <f>'National model results detailed'!AE104</f>
        <v>2048</v>
      </c>
      <c r="AF226" s="34">
        <f>'National model results detailed'!AF104</f>
        <v>2049</v>
      </c>
      <c r="AG226" s="34">
        <f>'National model results detailed'!AG104</f>
        <v>2050</v>
      </c>
      <c r="AH226" s="34">
        <f>'National model results detailed'!AH104</f>
        <v>2051</v>
      </c>
      <c r="AI226" s="34">
        <f>'National model results detailed'!AI104</f>
        <v>2052</v>
      </c>
      <c r="AJ226" s="34">
        <f>'National model results detailed'!AJ104</f>
        <v>2053</v>
      </c>
      <c r="AK226" s="34">
        <f>'National model results detailed'!AK104</f>
        <v>2054</v>
      </c>
      <c r="AL226" s="34">
        <f>'National model results detailed'!AL104</f>
        <v>2055</v>
      </c>
      <c r="AM226" s="34">
        <f>'National model results detailed'!AM104</f>
        <v>2056</v>
      </c>
      <c r="AN226" s="34">
        <f>'National model results detailed'!AN104</f>
        <v>2057</v>
      </c>
      <c r="AO226" s="34">
        <f>'National model results detailed'!AO104</f>
        <v>2058</v>
      </c>
      <c r="AP226" s="34">
        <f>'National model results detailed'!AP104</f>
        <v>2059</v>
      </c>
      <c r="AQ226" s="34">
        <f>'National model results detailed'!AQ104</f>
        <v>2060</v>
      </c>
      <c r="AR226" s="34">
        <f>'National model results detailed'!AR104</f>
        <v>2061</v>
      </c>
      <c r="AS226" s="34">
        <f>'National model results detailed'!AS104</f>
        <v>2062</v>
      </c>
      <c r="BC226" s="81"/>
    </row>
    <row r="227" spans="1:55">
      <c r="A227" s="19"/>
      <c r="B227" s="6" t="s">
        <v>11</v>
      </c>
      <c r="C227" s="888">
        <f>SUMIFS('National model results detailed'!C$105:C$122, 'National model results detailed'!$AU$105:$AU$122,$B227)</f>
        <v>162275.67023773913</v>
      </c>
      <c r="D227" s="888">
        <f>SUMIFS('National model results detailed'!D$105:D$122, 'National model results detailed'!$AU$105:$AU$122,$B227)</f>
        <v>172556.86654689643</v>
      </c>
      <c r="E227" s="888">
        <f>SUMIFS('National model results detailed'!E$105:E$122, 'National model results detailed'!$AU$105:$AU$122,$B227)</f>
        <v>182417.94444463748</v>
      </c>
      <c r="F227" s="888">
        <f>SUMIFS('National model results detailed'!F$105:F$122, 'National model results detailed'!$AU$105:$AU$122,$B227)</f>
        <v>192077.38393437874</v>
      </c>
      <c r="G227" s="888">
        <f>SUMIFS('National model results detailed'!G$105:G$122, 'National model results detailed'!$AU$105:$AU$122,$B227)</f>
        <v>201753.95103103205</v>
      </c>
      <c r="H227" s="888">
        <f>SUMIFS('National model results detailed'!H$105:H$122, 'National model results detailed'!$AU$105:$AU$122,$B227)</f>
        <v>211578.10505646403</v>
      </c>
      <c r="I227" s="888">
        <f>SUMIFS('National model results detailed'!I$105:I$122, 'National model results detailed'!$AU$105:$AU$122,$B227)</f>
        <v>221556.83547197096</v>
      </c>
      <c r="J227" s="888">
        <f>SUMIFS('National model results detailed'!J$105:J$122, 'National model results detailed'!$AU$105:$AU$122,$B227)</f>
        <v>231759.68692751689</v>
      </c>
      <c r="K227" s="888">
        <f>SUMIFS('National model results detailed'!K$105:K$122, 'National model results detailed'!$AU$105:$AU$122,$B227)</f>
        <v>242606.41871779211</v>
      </c>
      <c r="L227" s="888">
        <f>SUMIFS('National model results detailed'!L$105:L$122, 'National model results detailed'!$AU$105:$AU$122,$B227)</f>
        <v>253860.23960214158</v>
      </c>
      <c r="M227" s="888">
        <f>SUMIFS('National model results detailed'!M$105:M$122, 'National model results detailed'!$AU$105:$AU$122,$B227)</f>
        <v>265404.66625351243</v>
      </c>
      <c r="N227" s="888">
        <f>SUMIFS('National model results detailed'!N$105:N$122, 'National model results detailed'!$AU$105:$AU$122,$B227)</f>
        <v>277189.64166169486</v>
      </c>
      <c r="O227" s="888">
        <f>SUMIFS('National model results detailed'!O$105:O$122, 'National model results detailed'!$AU$105:$AU$122,$B227)</f>
        <v>289184.21721830795</v>
      </c>
      <c r="P227" s="888">
        <f>SUMIFS('National model results detailed'!P$105:P$122, 'National model results detailed'!$AU$105:$AU$122,$B227)</f>
        <v>301470.64669904485</v>
      </c>
      <c r="Q227" s="888">
        <f>SUMIFS('National model results detailed'!Q$105:Q$122, 'National model results detailed'!$AU$105:$AU$122,$B227)</f>
        <v>314150.34476170706</v>
      </c>
      <c r="R227" s="888">
        <f>SUMIFS('National model results detailed'!R$105:R$122, 'National model results detailed'!$AU$105:$AU$122,$B227)</f>
        <v>327247.64764543512</v>
      </c>
      <c r="S227" s="888">
        <f>SUMIFS('National model results detailed'!S$105:S$122, 'National model results detailed'!$AU$105:$AU$122,$B227)</f>
        <v>340694.63099294901</v>
      </c>
      <c r="T227" s="888">
        <f>SUMIFS('National model results detailed'!T$105:T$122, 'National model results detailed'!$AU$105:$AU$122,$B227)</f>
        <v>354511.75431890268</v>
      </c>
      <c r="U227" s="888">
        <f>SUMIFS('National model results detailed'!U$105:U$122, 'National model results detailed'!$AU$105:$AU$122,$B227)</f>
        <v>368905.62210257864</v>
      </c>
      <c r="V227" s="888">
        <f>SUMIFS('National model results detailed'!V$105:V$122, 'National model results detailed'!$AU$105:$AU$122,$B227)</f>
        <v>383727.06589630351</v>
      </c>
      <c r="W227" s="888">
        <f>SUMIFS('National model results detailed'!W$105:W$122, 'National model results detailed'!$AU$105:$AU$122,$B227)</f>
        <v>398937.94573122251</v>
      </c>
      <c r="X227" s="888">
        <f>SUMIFS('National model results detailed'!X$105:X$122, 'National model results detailed'!$AU$105:$AU$122,$B227)</f>
        <v>414538.60444867541</v>
      </c>
      <c r="Y227" s="888">
        <f>SUMIFS('National model results detailed'!Y$105:Y$122, 'National model results detailed'!$AU$105:$AU$122,$B227)</f>
        <v>430623.93403572944</v>
      </c>
      <c r="Z227" s="888">
        <f>SUMIFS('National model results detailed'!Z$105:Z$122, 'National model results detailed'!$AU$105:$AU$122,$B227)</f>
        <v>447186.80850394024</v>
      </c>
      <c r="AA227" s="888">
        <f>SUMIFS('National model results detailed'!AA$105:AA$122, 'National model results detailed'!$AU$105:$AU$122,$B227)</f>
        <v>464201.78335096926</v>
      </c>
      <c r="AB227" s="888">
        <f>SUMIFS('National model results detailed'!AB$105:AB$122, 'National model results detailed'!$AU$105:$AU$122,$B227)</f>
        <v>481649.19730660971</v>
      </c>
      <c r="AC227" s="888">
        <f>SUMIFS('National model results detailed'!AC$105:AC$122, 'National model results detailed'!$AU$105:$AU$122,$B227)</f>
        <v>499507.03073081723</v>
      </c>
      <c r="AD227" s="888">
        <f>SUMIFS('National model results detailed'!AD$105:AD$122, 'National model results detailed'!$AU$105:$AU$122,$B227)</f>
        <v>517758.85753554606</v>
      </c>
      <c r="AE227" s="888">
        <f>SUMIFS('National model results detailed'!AE$105:AE$122, 'National model results detailed'!$AU$105:$AU$122,$B227)</f>
        <v>536388.32982785872</v>
      </c>
      <c r="AF227" s="888">
        <f>SUMIFS('National model results detailed'!AF$105:AF$122, 'National model results detailed'!$AU$105:$AU$122,$B227)</f>
        <v>555417.48478214908</v>
      </c>
      <c r="AG227" s="888">
        <f>SUMIFS('National model results detailed'!AG$105:AG$122, 'National model results detailed'!$AU$105:$AU$122,$B227)</f>
        <v>574947.37846143066</v>
      </c>
      <c r="AH227" s="888">
        <f>SUMIFS('National model results detailed'!AH$105:AH$122, 'National model results detailed'!$AU$105:$AU$122,$B227)</f>
        <v>594998.53075685631</v>
      </c>
      <c r="AI227" s="888">
        <f>SUMIFS('National model results detailed'!AI$105:AI$122, 'National model results detailed'!$AU$105:$AU$122,$B227)</f>
        <v>615619.29633453768</v>
      </c>
      <c r="AJ227" s="888">
        <f>SUMIFS('National model results detailed'!AJ$105:AJ$122, 'National model results detailed'!$AU$105:$AU$122,$B227)</f>
        <v>636706.65594356123</v>
      </c>
      <c r="AK227" s="888">
        <f>SUMIFS('National model results detailed'!AK$105:AK$122, 'National model results detailed'!$AU$105:$AU$122,$B227)</f>
        <v>658176.64934257674</v>
      </c>
      <c r="AL227" s="888">
        <f>SUMIFS('National model results detailed'!AL$105:AL$122, 'National model results detailed'!$AU$105:$AU$122,$B227)</f>
        <v>679967.57846815011</v>
      </c>
      <c r="AM227" s="888">
        <f>SUMIFS('National model results detailed'!AM$105:AM$122, 'National model results detailed'!$AU$105:$AU$122,$B227)</f>
        <v>702114.56869355461</v>
      </c>
      <c r="AN227" s="888">
        <f>SUMIFS('National model results detailed'!AN$105:AN$122, 'National model results detailed'!$AU$105:$AU$122,$B227)</f>
        <v>724624.38336900284</v>
      </c>
      <c r="AO227" s="888">
        <f>SUMIFS('National model results detailed'!AO$105:AO$122, 'National model results detailed'!$AU$105:$AU$122,$B227)</f>
        <v>747478.39707658358</v>
      </c>
      <c r="AP227" s="888">
        <f>SUMIFS('National model results detailed'!AP$105:AP$122, 'National model results detailed'!$AU$105:$AU$122,$B227)</f>
        <v>770817.5811365277</v>
      </c>
      <c r="AQ227" s="888">
        <f>SUMIFS('National model results detailed'!AQ$105:AQ$122, 'National model results detailed'!$AU$105:$AU$122,$B227)</f>
        <v>794811.85040202807</v>
      </c>
      <c r="AR227" s="888">
        <f>SUMIFS('National model results detailed'!AR$105:AR$122, 'National model results detailed'!$AU$105:$AU$122,$B227)</f>
        <v>819611.15735470108</v>
      </c>
      <c r="AS227" s="888">
        <f>SUMIFS('National model results detailed'!AS$105:AS$122, 'National model results detailed'!$AU$105:$AU$122,$B227)</f>
        <v>844352.16189152619</v>
      </c>
      <c r="BC227" s="568"/>
    </row>
    <row r="228" spans="1:55">
      <c r="A228" s="19"/>
      <c r="B228" s="6" t="s">
        <v>14</v>
      </c>
      <c r="C228" s="888">
        <f>SUMIFS('National model results detailed'!C$105:C$122, 'National model results detailed'!$AU$105:$AU$122,$B228)</f>
        <v>330.23812390692063</v>
      </c>
      <c r="D228" s="888">
        <f>SUMIFS('National model results detailed'!D$105:D$122, 'National model results detailed'!$AU$105:$AU$122,$B228)</f>
        <v>349.31260194424755</v>
      </c>
      <c r="E228" s="888">
        <f>SUMIFS('National model results detailed'!E$105:E$122, 'National model results detailed'!$AU$105:$AU$122,$B228)</f>
        <v>367.38335858178647</v>
      </c>
      <c r="F228" s="888">
        <f>SUMIFS('National model results detailed'!F$105:F$122, 'National model results detailed'!$AU$105:$AU$122,$B228)</f>
        <v>384.92434429551099</v>
      </c>
      <c r="G228" s="888">
        <f>SUMIFS('National model results detailed'!G$105:G$122, 'National model results detailed'!$AU$105:$AU$122,$B228)</f>
        <v>402.40299054847821</v>
      </c>
      <c r="H228" s="888">
        <f>SUMIFS('National model results detailed'!H$105:H$122, 'National model results detailed'!$AU$105:$AU$122,$B228)</f>
        <v>420.08982470690671</v>
      </c>
      <c r="I228" s="888">
        <f>SUMIFS('National model results detailed'!I$105:I$122, 'National model results detailed'!$AU$105:$AU$122,$B228)</f>
        <v>437.9861810879521</v>
      </c>
      <c r="J228" s="888">
        <f>SUMIFS('National model results detailed'!J$105:J$122, 'National model results detailed'!$AU$105:$AU$122,$B228)</f>
        <v>456.2302964587364</v>
      </c>
      <c r="K228" s="888">
        <f>SUMIFS('National model results detailed'!K$105:K$122, 'National model results detailed'!$AU$105:$AU$122,$B228)</f>
        <v>475.71625830017257</v>
      </c>
      <c r="L228" s="888">
        <f>SUMIFS('National model results detailed'!L$105:L$122, 'National model results detailed'!$AU$105:$AU$122,$B228)</f>
        <v>495.90768477448864</v>
      </c>
      <c r="M228" s="888">
        <f>SUMIFS('National model results detailed'!M$105:M$122, 'National model results detailed'!$AU$105:$AU$122,$B228)</f>
        <v>516.53894903556011</v>
      </c>
      <c r="N228" s="888">
        <f>SUMIFS('National model results detailed'!N$105:N$122, 'National model results detailed'!$AU$105:$AU$122,$B228)</f>
        <v>537.4930639662249</v>
      </c>
      <c r="O228" s="888">
        <f>SUMIFS('National model results detailed'!O$105:O$122, 'National model results detailed'!$AU$105:$AU$122,$B228)</f>
        <v>558.69644714283083</v>
      </c>
      <c r="P228" s="888">
        <f>SUMIFS('National model results detailed'!P$105:P$122, 'National model results detailed'!$AU$105:$AU$122,$B228)</f>
        <v>580.32120100747488</v>
      </c>
      <c r="Q228" s="888">
        <f>SUMIFS('National model results detailed'!Q$105:Q$122, 'National model results detailed'!$AU$105:$AU$122,$B228)</f>
        <v>602.57806742360231</v>
      </c>
      <c r="R228" s="888">
        <f>SUMIFS('National model results detailed'!R$105:R$122, 'National model results detailed'!$AU$105:$AU$122,$B228)</f>
        <v>625.50827011108902</v>
      </c>
      <c r="S228" s="888">
        <f>SUMIFS('National model results detailed'!S$105:S$122, 'National model results detailed'!$AU$105:$AU$122,$B228)</f>
        <v>648.95361176605161</v>
      </c>
      <c r="T228" s="888">
        <f>SUMIFS('National model results detailed'!T$105:T$122, 'National model results detailed'!$AU$105:$AU$122,$B228)</f>
        <v>672.94965863567779</v>
      </c>
      <c r="U228" s="888">
        <f>SUMIFS('National model results detailed'!U$105:U$122, 'National model results detailed'!$AU$105:$AU$122,$B228)</f>
        <v>697.93356013967446</v>
      </c>
      <c r="V228" s="888">
        <f>SUMIFS('National model results detailed'!V$105:V$122, 'National model results detailed'!$AU$105:$AU$122,$B228)</f>
        <v>723.56733565202921</v>
      </c>
      <c r="W228" s="888">
        <f>SUMIFS('National model results detailed'!W$105:W$122, 'National model results detailed'!$AU$105:$AU$122,$B228)</f>
        <v>749.75877845844741</v>
      </c>
      <c r="X228" s="888">
        <f>SUMIFS('National model results detailed'!X$105:X$122, 'National model results detailed'!$AU$105:$AU$122,$B228)</f>
        <v>776.50016398856349</v>
      </c>
      <c r="Y228" s="888">
        <f>SUMIFS('National model results detailed'!Y$105:Y$122, 'National model results detailed'!$AU$105:$AU$122,$B228)</f>
        <v>803.98787438285967</v>
      </c>
      <c r="Z228" s="888">
        <f>SUMIFS('National model results detailed'!Z$105:Z$122, 'National model results detailed'!$AU$105:$AU$122,$B228)</f>
        <v>832.19467337906087</v>
      </c>
      <c r="AA228" s="888">
        <f>SUMIFS('National model results detailed'!AA$105:AA$122, 'National model results detailed'!$AU$105:$AU$122,$B228)</f>
        <v>861.05427932952648</v>
      </c>
      <c r="AB228" s="888">
        <f>SUMIFS('National model results detailed'!AB$105:AB$122, 'National model results detailed'!$AU$105:$AU$122,$B228)</f>
        <v>890.51389481307808</v>
      </c>
      <c r="AC228" s="888">
        <f>SUMIFS('National model results detailed'!AC$105:AC$122, 'National model results detailed'!$AU$105:$AU$122,$B228)</f>
        <v>920.51623988219592</v>
      </c>
      <c r="AD228" s="888">
        <f>SUMIFS('National model results detailed'!AD$105:AD$122, 'National model results detailed'!$AU$105:$AU$122,$B228)</f>
        <v>951.01668429130268</v>
      </c>
      <c r="AE228" s="888">
        <f>SUMIFS('National model results detailed'!AE$105:AE$122, 'National model results detailed'!$AU$105:$AU$122,$B228)</f>
        <v>981.97104290000539</v>
      </c>
      <c r="AF228" s="888">
        <f>SUMIFS('National model results detailed'!AF$105:AF$122, 'National model results detailed'!$AU$105:$AU$122,$B228)</f>
        <v>1013.4182653617747</v>
      </c>
      <c r="AG228" s="888">
        <f>SUMIFS('National model results detailed'!AG$105:AG$122, 'National model results detailed'!$AU$105:$AU$122,$B228)</f>
        <v>1045.5669120771556</v>
      </c>
      <c r="AH228" s="888">
        <f>SUMIFS('National model results detailed'!AH$105:AH$122, 'National model results detailed'!$AU$105:$AU$122,$B228)</f>
        <v>1078.4480357160564</v>
      </c>
      <c r="AI228" s="888">
        <f>SUMIFS('National model results detailed'!AI$105:AI$122, 'National model results detailed'!$AU$105:$AU$122,$B228)</f>
        <v>1112.1523889811738</v>
      </c>
      <c r="AJ228" s="888">
        <f>SUMIFS('National model results detailed'!AJ$105:AJ$122, 'National model results detailed'!$AU$105:$AU$122,$B228)</f>
        <v>1146.4423817120246</v>
      </c>
      <c r="AK228" s="888">
        <f>SUMIFS('National model results detailed'!AK$105:AK$122, 'National model results detailed'!$AU$105:$AU$122,$B228)</f>
        <v>1181.1253267660215</v>
      </c>
      <c r="AL228" s="888">
        <f>SUMIFS('National model results detailed'!AL$105:AL$122, 'National model results detailed'!$AU$105:$AU$122,$B228)</f>
        <v>1216.0591381554223</v>
      </c>
      <c r="AM228" s="888">
        <f>SUMIFS('National model results detailed'!AM$105:AM$122, 'National model results detailed'!$AU$105:$AU$122,$B228)</f>
        <v>1251.3122906403312</v>
      </c>
      <c r="AN228" s="888">
        <f>SUMIFS('National model results detailed'!AN$105:AN$122, 'National model results detailed'!$AU$105:$AU$122,$B228)</f>
        <v>1286.8900303097469</v>
      </c>
      <c r="AO228" s="888">
        <f>SUMIFS('National model results detailed'!AO$105:AO$122, 'National model results detailed'!$AU$105:$AU$122,$B228)</f>
        <v>1322.7420160797942</v>
      </c>
      <c r="AP228" s="888">
        <f>SUMIFS('National model results detailed'!AP$105:AP$122, 'National model results detailed'!$AU$105:$AU$122,$B228)</f>
        <v>1359.1628549916536</v>
      </c>
      <c r="AQ228" s="888">
        <f>SUMIFS('National model results detailed'!AQ$105:AQ$122, 'National model results detailed'!$AU$105:$AU$122,$B228)</f>
        <v>1396.5046017053796</v>
      </c>
      <c r="AR228" s="888">
        <f>SUMIFS('National model results detailed'!AR$105:AR$122, 'National model results detailed'!$AU$105:$AU$122,$B228)</f>
        <v>1435.0708614024861</v>
      </c>
      <c r="AS228" s="888">
        <f>SUMIFS('National model results detailed'!AS$105:AS$122, 'National model results detailed'!$AU$105:$AU$122,$B228)</f>
        <v>1472.9723146991169</v>
      </c>
      <c r="BC228" s="791"/>
    </row>
    <row r="229" spans="1:55">
      <c r="A229" s="19"/>
      <c r="B229" s="6" t="s">
        <v>15</v>
      </c>
      <c r="C229" s="888">
        <f>SUMIFS('National model results detailed'!C$105:C$122, 'National model results detailed'!$AU$105:$AU$122,$B229)</f>
        <v>5319.9855347552493</v>
      </c>
      <c r="D229" s="888">
        <f>SUMIFS('National model results detailed'!D$105:D$122, 'National model results detailed'!$AU$105:$AU$122,$B229)</f>
        <v>5687.0240728460049</v>
      </c>
      <c r="E229" s="888">
        <f>SUMIFS('National model results detailed'!E$105:E$122, 'National model results detailed'!$AU$105:$AU$122,$B229)</f>
        <v>6044.6586318537111</v>
      </c>
      <c r="F229" s="888">
        <f>SUMIFS('National model results detailed'!F$105:F$122, 'National model results detailed'!$AU$105:$AU$122,$B229)</f>
        <v>6399.7513812448169</v>
      </c>
      <c r="G229" s="888">
        <f>SUMIFS('National model results detailed'!G$105:G$122, 'National model results detailed'!$AU$105:$AU$122,$B229)</f>
        <v>6759.2066658657486</v>
      </c>
      <c r="H229" s="888">
        <f>SUMIFS('National model results detailed'!H$105:H$122, 'National model results detailed'!$AU$105:$AU$122,$B229)</f>
        <v>7127.1751586700175</v>
      </c>
      <c r="I229" s="888">
        <f>SUMIFS('National model results detailed'!I$105:I$122, 'National model results detailed'!$AU$105:$AU$122,$B229)</f>
        <v>7503.9331251218582</v>
      </c>
      <c r="J229" s="888">
        <f>SUMIFS('National model results detailed'!J$105:J$122, 'National model results detailed'!$AU$105:$AU$122,$B229)</f>
        <v>7891.749283901705</v>
      </c>
      <c r="K229" s="888">
        <f>SUMIFS('National model results detailed'!K$105:K$122, 'National model results detailed'!$AU$105:$AU$122,$B229)</f>
        <v>8303.9917163185528</v>
      </c>
      <c r="L229" s="888">
        <f>SUMIFS('National model results detailed'!L$105:L$122, 'National model results detailed'!$AU$105:$AU$122,$B229)</f>
        <v>8733.3370058621658</v>
      </c>
      <c r="M229" s="888">
        <f>SUMIFS('National model results detailed'!M$105:M$122, 'National model results detailed'!$AU$105:$AU$122,$B229)</f>
        <v>9176.2517555817285</v>
      </c>
      <c r="N229" s="888">
        <f>SUMIFS('National model results detailed'!N$105:N$122, 'National model results detailed'!$AU$105:$AU$122,$B229)</f>
        <v>9631.2964654214338</v>
      </c>
      <c r="O229" s="888">
        <f>SUMIFS('National model results detailed'!O$105:O$122, 'National model results detailed'!$AU$105:$AU$122,$B229)</f>
        <v>10097.634162755909</v>
      </c>
      <c r="P229" s="888">
        <f>SUMIFS('National model results detailed'!P$105:P$122, 'National model results detailed'!$AU$105:$AU$122,$B229)</f>
        <v>10578.007663371502</v>
      </c>
      <c r="Q229" s="888">
        <f>SUMIFS('National model results detailed'!Q$105:Q$122, 'National model results detailed'!$AU$105:$AU$122,$B229)</f>
        <v>11075.781425247142</v>
      </c>
      <c r="R229" s="888">
        <f>SUMIFS('National model results detailed'!R$105:R$122, 'National model results detailed'!$AU$105:$AU$122,$B229)</f>
        <v>11591.90275065113</v>
      </c>
      <c r="S229" s="888">
        <f>SUMIFS('National model results detailed'!S$105:S$122, 'National model results detailed'!$AU$105:$AU$122,$B229)</f>
        <v>12124.412091362572</v>
      </c>
      <c r="T229" s="888">
        <f>SUMIFS('National model results detailed'!T$105:T$122, 'National model results detailed'!$AU$105:$AU$122,$B229)</f>
        <v>12674.142635033761</v>
      </c>
      <c r="U229" s="888">
        <f>SUMIFS('National model results detailed'!U$105:U$122, 'National model results detailed'!$AU$105:$AU$122,$B229)</f>
        <v>13247.823696047721</v>
      </c>
      <c r="V229" s="888">
        <f>SUMIFS('National model results detailed'!V$105:V$122, 'National model results detailed'!$AU$105:$AU$122,$B229)</f>
        <v>13840.968308437692</v>
      </c>
      <c r="W229" s="888">
        <f>SUMIFS('National model results detailed'!W$105:W$122, 'National model results detailed'!$AU$105:$AU$122,$B229)</f>
        <v>14452.589253170983</v>
      </c>
      <c r="X229" s="888">
        <f>SUMIFS('National model results detailed'!X$105:X$122, 'National model results detailed'!$AU$105:$AU$122,$B229)</f>
        <v>15082.915973207546</v>
      </c>
      <c r="Y229" s="888">
        <f>SUMIFS('National model results detailed'!Y$105:Y$122, 'National model results detailed'!$AU$105:$AU$122,$B229)</f>
        <v>15735.172725466506</v>
      </c>
      <c r="Z229" s="888">
        <f>SUMIFS('National model results detailed'!Z$105:Z$122, 'National model results detailed'!$AU$105:$AU$122,$B229)</f>
        <v>16409.375629825168</v>
      </c>
      <c r="AA229" s="888">
        <f>SUMIFS('National model results detailed'!AA$105:AA$122, 'National model results detailed'!$AU$105:$AU$122,$B229)</f>
        <v>17104.967152684087</v>
      </c>
      <c r="AB229" s="888">
        <f>SUMIFS('National model results detailed'!AB$105:AB$122, 'National model results detailed'!$AU$105:$AU$122,$B229)</f>
        <v>17821.574983736009</v>
      </c>
      <c r="AC229" s="888">
        <f>SUMIFS('National model results detailed'!AC$105:AC$122, 'National model results detailed'!$AU$105:$AU$122,$B229)</f>
        <v>18558.754368432754</v>
      </c>
      <c r="AD229" s="888">
        <f>SUMIFS('National model results detailed'!AD$105:AD$122, 'National model results detailed'!$AU$105:$AU$122,$B229)</f>
        <v>19316.238617826675</v>
      </c>
      <c r="AE229" s="888">
        <f>SUMIFS('National model results detailed'!AE$105:AE$122, 'National model results detailed'!$AU$105:$AU$122,$B229)</f>
        <v>20093.764932340033</v>
      </c>
      <c r="AF229" s="888">
        <f>SUMIFS('National model results detailed'!AF$105:AF$122, 'National model results detailed'!$AU$105:$AU$122,$B229)</f>
        <v>20892.285824748207</v>
      </c>
      <c r="AG229" s="888">
        <f>SUMIFS('National model results detailed'!AG$105:AG$122, 'National model results detailed'!$AU$105:$AU$122,$B229)</f>
        <v>21715.260198317272</v>
      </c>
      <c r="AH229" s="888">
        <f>SUMIFS('National model results detailed'!AH$105:AH$122, 'National model results detailed'!$AU$105:$AU$122,$B229)</f>
        <v>22563.619617744516</v>
      </c>
      <c r="AI229" s="888">
        <f>SUMIFS('National model results detailed'!AI$105:AI$122, 'National model results detailed'!$AU$105:$AU$122,$B229)</f>
        <v>23439.186819220966</v>
      </c>
      <c r="AJ229" s="888">
        <f>SUMIFS('National model results detailed'!AJ$105:AJ$122, 'National model results detailed'!$AU$105:$AU$122,$B229)</f>
        <v>24339.011572753279</v>
      </c>
      <c r="AK229" s="888">
        <f>SUMIFS('National model results detailed'!AK$105:AK$122, 'National model results detailed'!$AU$105:$AU$122,$B229)</f>
        <v>25260.739174478844</v>
      </c>
      <c r="AL229" s="888">
        <f>SUMIFS('National model results detailed'!AL$105:AL$122, 'National model results detailed'!$AU$105:$AU$122,$B229)</f>
        <v>26202.711166390553</v>
      </c>
      <c r="AM229" s="888">
        <f>SUMIFS('National model results detailed'!AM$105:AM$122, 'National model results detailed'!$AU$105:$AU$122,$B229)</f>
        <v>27166.324974373558</v>
      </c>
      <c r="AN229" s="888">
        <f>SUMIFS('National model results detailed'!AN$105:AN$122, 'National model results detailed'!$AU$105:$AU$122,$B229)</f>
        <v>28152.087925214502</v>
      </c>
      <c r="AO229" s="888">
        <f>SUMIFS('National model results detailed'!AO$105:AO$122, 'National model results detailed'!$AU$105:$AU$122,$B229)</f>
        <v>29159.708682221233</v>
      </c>
      <c r="AP229" s="888">
        <f>SUMIFS('National model results detailed'!AP$105:AP$122, 'National model results detailed'!$AU$105:$AU$122,$B229)</f>
        <v>30193.945357351346</v>
      </c>
      <c r="AQ229" s="888">
        <f>SUMIFS('National model results detailed'!AQ$105:AQ$122, 'National model results detailed'!$AU$105:$AU$122,$B229)</f>
        <v>31260.497430319432</v>
      </c>
      <c r="AR229" s="888">
        <f>SUMIFS('National model results detailed'!AR$105:AR$122, 'National model results detailed'!$AU$105:$AU$122,$B229)</f>
        <v>32364.467832140919</v>
      </c>
      <c r="AS229" s="888">
        <f>SUMIFS('National model results detailed'!AS$105:AS$122, 'National model results detailed'!$AU$105:$AU$122,$B229)</f>
        <v>33478.943607890928</v>
      </c>
    </row>
    <row r="230" spans="1:55">
      <c r="A230" s="19"/>
      <c r="B230" s="6" t="s">
        <v>16</v>
      </c>
      <c r="C230" s="888">
        <f>SUMIFS('National model results detailed'!C$105:C$122, 'National model results detailed'!$AU$105:$AU$122,$B230)</f>
        <v>87380.366700960963</v>
      </c>
      <c r="D230" s="888">
        <f>SUMIFS('National model results detailed'!D$105:D$122, 'National model results detailed'!$AU$105:$AU$122,$B230)</f>
        <v>92802.113548902838</v>
      </c>
      <c r="E230" s="888">
        <f>SUMIFS('National model results detailed'!E$105:E$122, 'National model results detailed'!$AU$105:$AU$122,$B230)</f>
        <v>97997.833299190592</v>
      </c>
      <c r="F230" s="888">
        <f>SUMIFS('National model results detailed'!F$105:F$122, 'National model results detailed'!$AU$105:$AU$122,$B230)</f>
        <v>103087.82892152871</v>
      </c>
      <c r="G230" s="888">
        <f>SUMIFS('National model results detailed'!G$105:G$122, 'National model results detailed'!$AU$105:$AU$122,$B230)</f>
        <v>108191.72203964324</v>
      </c>
      <c r="H230" s="888">
        <f>SUMIFS('National model results detailed'!H$105:H$122, 'National model results detailed'!$AU$105:$AU$122,$B230)</f>
        <v>113379.85851171782</v>
      </c>
      <c r="I230" s="888">
        <f>SUMIFS('National model results detailed'!I$105:I$122, 'National model results detailed'!$AU$105:$AU$122,$B230)</f>
        <v>118654.42600910597</v>
      </c>
      <c r="J230" s="888">
        <f>SUMIFS('National model results detailed'!J$105:J$122, 'National model results detailed'!$AU$105:$AU$122,$B230)</f>
        <v>124052.3582846894</v>
      </c>
      <c r="K230" s="888">
        <f>SUMIFS('National model results detailed'!K$105:K$122, 'National model results detailed'!$AU$105:$AU$122,$B230)</f>
        <v>129803.36689686149</v>
      </c>
      <c r="L230" s="888">
        <f>SUMIFS('National model results detailed'!L$105:L$122, 'National model results detailed'!$AU$105:$AU$122,$B230)</f>
        <v>135774.43788232538</v>
      </c>
      <c r="M230" s="888">
        <f>SUMIFS('National model results detailed'!M$105:M$122, 'National model results detailed'!$AU$105:$AU$122,$B230)</f>
        <v>141900.22367193684</v>
      </c>
      <c r="N230" s="888">
        <f>SUMIFS('National model results detailed'!N$105:N$122, 'National model results detailed'!$AU$105:$AU$122,$B230)</f>
        <v>148152.62455251318</v>
      </c>
      <c r="O230" s="888">
        <f>SUMIFS('National model results detailed'!O$105:O$122, 'National model results detailed'!$AU$105:$AU$122,$B230)</f>
        <v>154514.34696719513</v>
      </c>
      <c r="P230" s="888">
        <f>SUMIFS('National model results detailed'!P$105:P$122, 'National model results detailed'!$AU$105:$AU$122,$B230)</f>
        <v>161030.56315197569</v>
      </c>
      <c r="Q230" s="888">
        <f>SUMIFS('National model results detailed'!Q$105:Q$122, 'National model results detailed'!$AU$105:$AU$122,$B230)</f>
        <v>167756.68206499435</v>
      </c>
      <c r="R230" s="888">
        <f>SUMIFS('National model results detailed'!R$105:R$122, 'National model results detailed'!$AU$105:$AU$122,$B230)</f>
        <v>174705.36545519251</v>
      </c>
      <c r="S230" s="888">
        <f>SUMIFS('National model results detailed'!S$105:S$122, 'National model results detailed'!$AU$105:$AU$122,$B230)</f>
        <v>181838.53026152408</v>
      </c>
      <c r="T230" s="888">
        <f>SUMIFS('National model results detailed'!T$105:T$122, 'National model results detailed'!$AU$105:$AU$122,$B230)</f>
        <v>189167.12519303703</v>
      </c>
      <c r="U230" s="888">
        <f>SUMIFS('National model results detailed'!U$105:U$122, 'National model results detailed'!$AU$105:$AU$122,$B230)</f>
        <v>196804.52444349483</v>
      </c>
      <c r="V230" s="888">
        <f>SUMIFS('National model results detailed'!V$105:V$122, 'National model results detailed'!$AU$105:$AU$122,$B230)</f>
        <v>204667.53105978211</v>
      </c>
      <c r="W230" s="888">
        <f>SUMIFS('National model results detailed'!W$105:W$122, 'National model results detailed'!$AU$105:$AU$122,$B230)</f>
        <v>212734.83221974794</v>
      </c>
      <c r="X230" s="888">
        <f>SUMIFS('National model results detailed'!X$105:X$122, 'National model results detailed'!$AU$105:$AU$122,$B230)</f>
        <v>221006.48339600573</v>
      </c>
      <c r="Y230" s="888">
        <f>SUMIFS('National model results detailed'!Y$105:Y$122, 'National model results detailed'!$AU$105:$AU$122,$B230)</f>
        <v>229534.58331985725</v>
      </c>
      <c r="Z230" s="888">
        <f>SUMIFS('National model results detailed'!Z$105:Z$122, 'National model results detailed'!$AU$105:$AU$122,$B230)</f>
        <v>238314.71425636558</v>
      </c>
      <c r="AA230" s="888">
        <f>SUMIFS('National model results detailed'!AA$105:AA$122, 'National model results detailed'!$AU$105:$AU$122,$B230)</f>
        <v>247332.47676050378</v>
      </c>
      <c r="AB230" s="888">
        <f>SUMIFS('National model results detailed'!AB$105:AB$122, 'National model results detailed'!$AU$105:$AU$122,$B230)</f>
        <v>256576.80429538968</v>
      </c>
      <c r="AC230" s="888">
        <f>SUMIFS('National model results detailed'!AC$105:AC$122, 'National model results detailed'!$AU$105:$AU$122,$B230)</f>
        <v>266035.42813471321</v>
      </c>
      <c r="AD230" s="888">
        <f>SUMIFS('National model results detailed'!AD$105:AD$122, 'National model results detailed'!$AU$105:$AU$122,$B230)</f>
        <v>275699.24309171748</v>
      </c>
      <c r="AE230" s="888">
        <f>SUMIFS('National model results detailed'!AE$105:AE$122, 'National model results detailed'!$AU$105:$AU$122,$B230)</f>
        <v>285559.23244570423</v>
      </c>
      <c r="AF230" s="888">
        <f>SUMIFS('National model results detailed'!AF$105:AF$122, 'National model results detailed'!$AU$105:$AU$122,$B230)</f>
        <v>295627.54346124898</v>
      </c>
      <c r="AG230" s="888">
        <f>SUMIFS('National model results detailed'!AG$105:AG$122, 'National model results detailed'!$AU$105:$AU$122,$B230)</f>
        <v>305959.69936035236</v>
      </c>
      <c r="AH230" s="888">
        <f>SUMIFS('National model results detailed'!AH$105:AH$122, 'National model results detailed'!$AU$105:$AU$122,$B230)</f>
        <v>316566.49627186143</v>
      </c>
      <c r="AI230" s="888">
        <f>SUMIFS('National model results detailed'!AI$105:AI$122, 'National model results detailed'!$AU$105:$AU$122,$B230)</f>
        <v>327474.04306357302</v>
      </c>
      <c r="AJ230" s="888">
        <f>SUMIFS('National model results detailed'!AJ$105:AJ$122, 'National model results detailed'!$AU$105:$AU$122,$B230)</f>
        <v>338625.01244163106</v>
      </c>
      <c r="AK230" s="888">
        <f>SUMIFS('National model results detailed'!AK$105:AK$122, 'National model results detailed'!$AU$105:$AU$122,$B230)</f>
        <v>349973.05438109866</v>
      </c>
      <c r="AL230" s="888">
        <f>SUMIFS('National model results detailed'!AL$105:AL$122, 'National model results detailed'!$AU$105:$AU$122,$B230)</f>
        <v>361484.38558048604</v>
      </c>
      <c r="AM230" s="888">
        <f>SUMIFS('National model results detailed'!AM$105:AM$122, 'National model results detailed'!$AU$105:$AU$122,$B230)</f>
        <v>373178.68110966164</v>
      </c>
      <c r="AN230" s="888">
        <f>SUMIFS('National model results detailed'!AN$105:AN$122, 'National model results detailed'!$AU$105:$AU$122,$B230)</f>
        <v>385059.76422474498</v>
      </c>
      <c r="AO230" s="888">
        <f>SUMIFS('National model results detailed'!AO$105:AO$122, 'National model results detailed'!$AU$105:$AU$122,$B230)</f>
        <v>397117.40080195805</v>
      </c>
      <c r="AP230" s="888">
        <f>SUMIFS('National model results detailed'!AP$105:AP$122, 'National model results detailed'!$AU$105:$AU$122,$B230)</f>
        <v>409429.23583570123</v>
      </c>
      <c r="AQ230" s="888">
        <f>SUMIFS('National model results detailed'!AQ$105:AQ$122, 'National model results detailed'!$AU$105:$AU$122,$B230)</f>
        <v>422088.26015170349</v>
      </c>
      <c r="AR230" s="888">
        <f>SUMIFS('National model results detailed'!AR$105:AR$122, 'National model results detailed'!$AU$105:$AU$122,$B230)</f>
        <v>435175.89943108597</v>
      </c>
      <c r="AS230" s="888">
        <f>SUMIFS('National model results detailed'!AS$105:AS$122, 'National model results detailed'!$AU$105:$AU$122,$B230)</f>
        <v>448215.44215833483</v>
      </c>
    </row>
    <row r="231" spans="1:55">
      <c r="A231" s="19"/>
      <c r="B231" s="6" t="s">
        <v>103</v>
      </c>
      <c r="C231" s="888">
        <f>SUMIFS('National model results detailed'!C$105:C$122, 'National model results detailed'!$AU$105:$AU$122,$B231)</f>
        <v>666527.69409990811</v>
      </c>
      <c r="D231" s="888">
        <f>SUMIFS('National model results detailed'!D$105:D$122, 'National model results detailed'!$AU$105:$AU$122,$B231)</f>
        <v>710556.55052116187</v>
      </c>
      <c r="E231" s="888">
        <f>SUMIFS('National model results detailed'!E$105:E$122, 'National model results detailed'!$AU$105:$AU$122,$B231)</f>
        <v>753125.612983778</v>
      </c>
      <c r="F231" s="888">
        <f>SUMIFS('National model results detailed'!F$105:F$122, 'National model results detailed'!$AU$105:$AU$122,$B231)</f>
        <v>795087.77366257727</v>
      </c>
      <c r="G231" s="888">
        <f>SUMIFS('National model results detailed'!G$105:G$122, 'National model results detailed'!$AU$105:$AU$122,$B231)</f>
        <v>837291.58322161471</v>
      </c>
      <c r="H231" s="888">
        <f>SUMIFS('National model results detailed'!H$105:H$122, 'National model results detailed'!$AU$105:$AU$122,$B231)</f>
        <v>880241.36692420323</v>
      </c>
      <c r="I231" s="888">
        <f>SUMIFS('National model results detailed'!I$105:I$122, 'National model results detailed'!$AU$105:$AU$122,$B231)</f>
        <v>923966.36195650313</v>
      </c>
      <c r="J231" s="888">
        <f>SUMIFS('National model results detailed'!J$105:J$122, 'National model results detailed'!$AU$105:$AU$122,$B231)</f>
        <v>968734.54369796207</v>
      </c>
      <c r="K231" s="888">
        <f>SUMIFS('National model results detailed'!K$105:K$122, 'National model results detailed'!$AU$105:$AU$122,$B231)</f>
        <v>1016142.4454207958</v>
      </c>
      <c r="L231" s="888">
        <f>SUMIFS('National model results detailed'!L$105:L$122, 'National model results detailed'!$AU$105:$AU$122,$B231)</f>
        <v>1065293.2835640316</v>
      </c>
      <c r="M231" s="888">
        <f>SUMIFS('National model results detailed'!M$105:M$122, 'National model results detailed'!$AU$105:$AU$122,$B231)</f>
        <v>1115750.2597008422</v>
      </c>
      <c r="N231" s="888">
        <f>SUMIFS('National model results detailed'!N$105:N$122, 'National model results detailed'!$AU$105:$AU$122,$B231)</f>
        <v>1167329.2583134046</v>
      </c>
      <c r="O231" s="888">
        <f>SUMIFS('National model results detailed'!O$105:O$122, 'National model results detailed'!$AU$105:$AU$122,$B231)</f>
        <v>1219919.1245938116</v>
      </c>
      <c r="P231" s="888">
        <f>SUMIFS('National model results detailed'!P$105:P$122, 'National model results detailed'!$AU$105:$AU$122,$B231)</f>
        <v>1273831.5587478057</v>
      </c>
      <c r="Q231" s="888">
        <f>SUMIFS('National model results detailed'!Q$105:Q$122, 'National model results detailed'!$AU$105:$AU$122,$B231)</f>
        <v>1329447.6456609599</v>
      </c>
      <c r="R231" s="888">
        <f>SUMIFS('National model results detailed'!R$105:R$122, 'National model results detailed'!$AU$105:$AU$122,$B231)</f>
        <v>1386861.2191773306</v>
      </c>
      <c r="S231" s="888">
        <f>SUMIFS('National model results detailed'!S$105:S$122, 'National model results detailed'!$AU$105:$AU$122,$B231)</f>
        <v>1445825.8785987606</v>
      </c>
      <c r="T231" s="888">
        <f>SUMIFS('National model results detailed'!T$105:T$122, 'National model results detailed'!$AU$105:$AU$122,$B231)</f>
        <v>1506421.7249184081</v>
      </c>
      <c r="U231" s="888">
        <f>SUMIFS('National model results detailed'!U$105:U$122, 'National model results detailed'!$AU$105:$AU$122,$B231)</f>
        <v>1569409.6445201659</v>
      </c>
      <c r="V231" s="888">
        <f>SUMIFS('National model results detailed'!V$105:V$122, 'National model results detailed'!$AU$105:$AU$122,$B231)</f>
        <v>1634249.3401865892</v>
      </c>
      <c r="W231" s="888">
        <f>SUMIFS('National model results detailed'!W$105:W$122, 'National model results detailed'!$AU$105:$AU$122,$B231)</f>
        <v>1700807.6357312968</v>
      </c>
      <c r="X231" s="888">
        <f>SUMIFS('National model results detailed'!X$105:X$122, 'National model results detailed'!$AU$105:$AU$122,$B231)</f>
        <v>1769091.7532875822</v>
      </c>
      <c r="Y231" s="888">
        <f>SUMIFS('National model results detailed'!Y$105:Y$122, 'National model results detailed'!$AU$105:$AU$122,$B231)</f>
        <v>1839449.9441226642</v>
      </c>
      <c r="Z231" s="888">
        <f>SUMIFS('National model results detailed'!Z$105:Z$122, 'National model results detailed'!$AU$105:$AU$122,$B231)</f>
        <v>1911862.2239077906</v>
      </c>
      <c r="AA231" s="888">
        <f>SUMIFS('National model results detailed'!AA$105:AA$122, 'National model results detailed'!$AU$105:$AU$122,$B231)</f>
        <v>1986243.6034131027</v>
      </c>
      <c r="AB231" s="888">
        <f>SUMIFS('National model results detailed'!AB$105:AB$122, 'National model results detailed'!$AU$105:$AU$122,$B231)</f>
        <v>2062530.6264800043</v>
      </c>
      <c r="AC231" s="888">
        <f>SUMIFS('National model results detailed'!AC$105:AC$122, 'National model results detailed'!$AU$105:$AU$122,$B231)</f>
        <v>2140652.2108440446</v>
      </c>
      <c r="AD231" s="888">
        <f>SUMIFS('National model results detailed'!AD$105:AD$122, 'National model results detailed'!$AU$105:$AU$122,$B231)</f>
        <v>2220557.8373276303</v>
      </c>
      <c r="AE231" s="888">
        <f>SUMIFS('National model results detailed'!AE$105:AE$122, 'National model results detailed'!$AU$105:$AU$122,$B231)</f>
        <v>2302197.886050195</v>
      </c>
      <c r="AF231" s="888">
        <f>SUMIFS('National model results detailed'!AF$105:AF$122, 'National model results detailed'!$AU$105:$AU$122,$B231)</f>
        <v>2385658.137716176</v>
      </c>
      <c r="AG231" s="888">
        <f>SUMIFS('National model results detailed'!AG$105:AG$122, 'National model results detailed'!$AU$105:$AU$122,$B231)</f>
        <v>2471300.5721518206</v>
      </c>
      <c r="AH231" s="888">
        <f>SUMIFS('National model results detailed'!AH$105:AH$122, 'National model results detailed'!$AU$105:$AU$122,$B231)</f>
        <v>2559204.4993234319</v>
      </c>
      <c r="AI231" s="888">
        <f>SUMIFS('National model results detailed'!AI$105:AI$122, 'National model results detailed'!$AU$105:$AU$122,$B231)</f>
        <v>2649545.8293516291</v>
      </c>
      <c r="AJ231" s="888">
        <f>SUMIFS('National model results detailed'!AJ$105:AJ$122, 'National model results detailed'!$AU$105:$AU$122,$B231)</f>
        <v>2741976.1074166577</v>
      </c>
      <c r="AK231" s="888">
        <f>SUMIFS('National model results detailed'!AK$105:AK$122, 'National model results detailed'!$AU$105:$AU$122,$B231)</f>
        <v>2836215.2603342244</v>
      </c>
      <c r="AL231" s="888">
        <f>SUMIFS('National model results detailed'!AL$105:AL$122, 'National model results detailed'!$AU$105:$AU$122,$B231)</f>
        <v>2932061.7952470738</v>
      </c>
      <c r="AM231" s="888">
        <f>SUMIFS('National model results detailed'!AM$105:AM$122, 'National model results detailed'!$AU$105:$AU$122,$B231)</f>
        <v>3029647.031983587</v>
      </c>
      <c r="AN231" s="888">
        <f>SUMIFS('National model results detailed'!AN$105:AN$122, 'National model results detailed'!$AU$105:$AU$122,$B231)</f>
        <v>3129005.0252929246</v>
      </c>
      <c r="AO231" s="888">
        <f>SUMIFS('National model results detailed'!AO$105:AO$122, 'National model results detailed'!$AU$105:$AU$122,$B231)</f>
        <v>3230083.6966488892</v>
      </c>
      <c r="AP231" s="888">
        <f>SUMIFS('National model results detailed'!AP$105:AP$122, 'National model results detailed'!$AU$105:$AU$122,$B231)</f>
        <v>3333371.5815668134</v>
      </c>
      <c r="AQ231" s="888">
        <f>SUMIFS('National model results detailed'!AQ$105:AQ$122, 'National model results detailed'!$AU$105:$AU$122,$B231)</f>
        <v>3439452.017129255</v>
      </c>
      <c r="AR231" s="888">
        <f>SUMIFS('National model results detailed'!AR$105:AR$122, 'National model results detailed'!$AU$105:$AU$122,$B231)</f>
        <v>3548838.1110784225</v>
      </c>
      <c r="AS231" s="888">
        <f>SUMIFS('National model results detailed'!AS$105:AS$122, 'National model results detailed'!$AU$105:$AU$122,$B231)</f>
        <v>3658650.1866220795</v>
      </c>
    </row>
    <row r="232" spans="1:55">
      <c r="A232" s="19"/>
      <c r="B232" s="6" t="s">
        <v>104</v>
      </c>
      <c r="C232" s="888">
        <f>SUMIFS('National model results detailed'!C$105:C$122, 'National model results detailed'!$AU$105:$AU$122,$B232)</f>
        <v>77072.310579558907</v>
      </c>
      <c r="D232" s="888">
        <f>SUMIFS('National model results detailed'!D$105:D$122, 'National model results detailed'!$AU$105:$AU$122,$B232)</f>
        <v>81512.185897722549</v>
      </c>
      <c r="E232" s="888">
        <f>SUMIFS('National model results detailed'!E$105:E$122, 'National model results detailed'!$AU$105:$AU$122,$B232)</f>
        <v>85700.07390143408</v>
      </c>
      <c r="F232" s="888">
        <f>SUMIFS('National model results detailed'!F$105:F$122, 'National model results detailed'!$AU$105:$AU$122,$B232)</f>
        <v>89742.61079800014</v>
      </c>
      <c r="G232" s="888">
        <f>SUMIFS('National model results detailed'!G$105:G$122, 'National model results detailed'!$AU$105:$AU$122,$B232)</f>
        <v>93744.841353699099</v>
      </c>
      <c r="H232" s="888">
        <f>SUMIFS('National model results detailed'!H$105:H$122, 'National model results detailed'!$AU$105:$AU$122,$B232)</f>
        <v>97768.431354496497</v>
      </c>
      <c r="I232" s="888">
        <f>SUMIFS('National model results detailed'!I$105:I$122, 'National model results detailed'!$AU$105:$AU$122,$B232)</f>
        <v>101815.98432795354</v>
      </c>
      <c r="J232" s="888">
        <f>SUMIFS('National model results detailed'!J$105:J$122, 'National model results detailed'!$AU$105:$AU$122,$B232)</f>
        <v>105919.28482906375</v>
      </c>
      <c r="K232" s="888">
        <f>SUMIFS('National model results detailed'!K$105:K$122, 'National model results detailed'!$AU$105:$AU$122,$B232)</f>
        <v>110272.85629284584</v>
      </c>
      <c r="L232" s="888">
        <f>SUMIFS('National model results detailed'!L$105:L$122, 'National model results detailed'!$AU$105:$AU$122,$B232)</f>
        <v>114762.94775362936</v>
      </c>
      <c r="M232" s="888">
        <f>SUMIFS('National model results detailed'!M$105:M$122, 'National model results detailed'!$AU$105:$AU$122,$B232)</f>
        <v>119333.25157743046</v>
      </c>
      <c r="N232" s="888">
        <f>SUMIFS('National model results detailed'!N$105:N$122, 'National model results detailed'!$AU$105:$AU$122,$B232)</f>
        <v>123958.95805968583</v>
      </c>
      <c r="O232" s="888">
        <f>SUMIFS('National model results detailed'!O$105:O$122, 'National model results detailed'!$AU$105:$AU$122,$B232)</f>
        <v>128624.40989530471</v>
      </c>
      <c r="P232" s="888">
        <f>SUMIFS('National model results detailed'!P$105:P$122, 'National model results detailed'!$AU$105:$AU$122,$B232)</f>
        <v>133365.99784116456</v>
      </c>
      <c r="Q232" s="888">
        <f>SUMIFS('National model results detailed'!Q$105:Q$122, 'National model results detailed'!$AU$105:$AU$122,$B232)</f>
        <v>138228.23312405482</v>
      </c>
      <c r="R232" s="888">
        <f>SUMIFS('National model results detailed'!R$105:R$122, 'National model results detailed'!$AU$105:$AU$122,$B232)</f>
        <v>143219.84451637982</v>
      </c>
      <c r="S232" s="888">
        <f>SUMIFS('National model results detailed'!S$105:S$122, 'National model results detailed'!$AU$105:$AU$122,$B232)</f>
        <v>148307.61084484949</v>
      </c>
      <c r="T232" s="888">
        <f>SUMIFS('National model results detailed'!T$105:T$122, 'National model results detailed'!$AU$105:$AU$122,$B232)</f>
        <v>153498.66788385721</v>
      </c>
      <c r="U232" s="888">
        <f>SUMIFS('National model results detailed'!U$105:U$122, 'National model results detailed'!$AU$105:$AU$122,$B232)</f>
        <v>158883.63156945413</v>
      </c>
      <c r="V232" s="888">
        <f>SUMIFS('National model results detailed'!V$105:V$122, 'National model results detailed'!$AU$105:$AU$122,$B232)</f>
        <v>164392.34545934561</v>
      </c>
      <c r="W232" s="888">
        <f>SUMIFS('National model results detailed'!W$105:W$122, 'National model results detailed'!$AU$105:$AU$122,$B232)</f>
        <v>170005.25381846778</v>
      </c>
      <c r="X232" s="888">
        <f>SUMIFS('National model results detailed'!X$105:X$122, 'National model results detailed'!$AU$105:$AU$122,$B232)</f>
        <v>175720.18269408596</v>
      </c>
      <c r="Y232" s="888">
        <f>SUMIFS('National model results detailed'!Y$105:Y$122, 'National model results detailed'!$AU$105:$AU$122,$B232)</f>
        <v>181576.81424716522</v>
      </c>
      <c r="Z232" s="888">
        <f>SUMIFS('National model results detailed'!Z$105:Z$122, 'National model results detailed'!$AU$105:$AU$122,$B232)</f>
        <v>187569.15795437893</v>
      </c>
      <c r="AA232" s="888">
        <f>SUMIFS('National model results detailed'!AA$105:AA$122, 'National model results detailed'!$AU$105:$AU$122,$B232)</f>
        <v>193683.22820581403</v>
      </c>
      <c r="AB232" s="888">
        <f>SUMIFS('National model results detailed'!AB$105:AB$122, 'National model results detailed'!$AU$105:$AU$122,$B232)</f>
        <v>199907.75867217669</v>
      </c>
      <c r="AC232" s="888">
        <f>SUMIFS('National model results detailed'!AC$105:AC$122, 'National model results detailed'!$AU$105:$AU$122,$B232)</f>
        <v>206230.60297669319</v>
      </c>
      <c r="AD232" s="888">
        <f>SUMIFS('National model results detailed'!AD$105:AD$122, 'National model results detailed'!$AU$105:$AU$122,$B232)</f>
        <v>212642.21151609087</v>
      </c>
      <c r="AE232" s="888">
        <f>SUMIFS('National model results detailed'!AE$105:AE$122, 'National model results detailed'!$AU$105:$AU$122,$B232)</f>
        <v>219133.19576109937</v>
      </c>
      <c r="AF232" s="888">
        <f>SUMIFS('National model results detailed'!AF$105:AF$122, 'National model results detailed'!$AU$105:$AU$122,$B232)</f>
        <v>225710.84745214527</v>
      </c>
      <c r="AG232" s="888">
        <f>SUMIFS('National model results detailed'!AG$105:AG$122, 'National model results detailed'!$AU$105:$AU$122,$B232)</f>
        <v>232416.26255972794</v>
      </c>
      <c r="AH232" s="888">
        <f>SUMIFS('National model results detailed'!AH$105:AH$122, 'National model results detailed'!$AU$105:$AU$122,$B232)</f>
        <v>239255.35642475102</v>
      </c>
      <c r="AI232" s="888">
        <f>SUMIFS('National model results detailed'!AI$105:AI$122, 'National model results detailed'!$AU$105:$AU$122,$B232)</f>
        <v>246245.77128090305</v>
      </c>
      <c r="AJ232" s="888">
        <f>SUMIFS('National model results detailed'!AJ$105:AJ$122, 'National model results detailed'!$AU$105:$AU$122,$B232)</f>
        <v>253340.49595338572</v>
      </c>
      <c r="AK232" s="888">
        <f>SUMIFS('National model results detailed'!AK$105:AK$122, 'National model results detailed'!$AU$105:$AU$122,$B232)</f>
        <v>260501.30767550407</v>
      </c>
      <c r="AL232" s="888">
        <f>SUMIFS('National model results detailed'!AL$105:AL$122, 'National model results detailed'!$AU$105:$AU$122,$B232)</f>
        <v>267699.96623432171</v>
      </c>
      <c r="AM232" s="888">
        <f>SUMIFS('National model results detailed'!AM$105:AM$122, 'National model results detailed'!$AU$105:$AU$122,$B232)</f>
        <v>274949.35484662687</v>
      </c>
      <c r="AN232" s="888">
        <f>SUMIFS('National model results detailed'!AN$105:AN$122, 'National model results detailed'!$AU$105:$AU$122,$B232)</f>
        <v>282250.2570553539</v>
      </c>
      <c r="AO232" s="888">
        <f>SUMIFS('National model results detailed'!AO$105:AO$122, 'National model results detailed'!$AU$105:$AU$122,$B232)</f>
        <v>289592.83212493605</v>
      </c>
      <c r="AP232" s="888">
        <f>SUMIFS('National model results detailed'!AP$105:AP$122, 'National model results detailed'!$AU$105:$AU$122,$B232)</f>
        <v>297033.68714721623</v>
      </c>
      <c r="AQ232" s="888">
        <f>SUMIFS('National model results detailed'!AQ$105:AQ$122, 'National model results detailed'!$AU$105:$AU$122,$B232)</f>
        <v>304640.4545278899</v>
      </c>
      <c r="AR232" s="888">
        <f>SUMIFS('National model results detailed'!AR$105:AR$122, 'National model results detailed'!$AU$105:$AU$122,$B232)</f>
        <v>312471.3743892581</v>
      </c>
      <c r="AS232" s="888">
        <f>SUMIFS('National model results detailed'!AS$105:AS$122, 'National model results detailed'!$AU$105:$AU$122,$B232)</f>
        <v>320167.31712531642</v>
      </c>
    </row>
    <row r="233" spans="1:55">
      <c r="A233" s="19"/>
      <c r="B233" s="6" t="s">
        <v>17</v>
      </c>
      <c r="C233" s="888">
        <f>SUMIFS('National model results detailed'!C$105:C$122, 'National model results detailed'!$AU$105:$AU$122,$B233)</f>
        <v>38097.301285716727</v>
      </c>
      <c r="D233" s="888">
        <f>SUMIFS('National model results detailed'!D$105:D$122, 'National model results detailed'!$AU$105:$AU$122,$B233)</f>
        <v>40906.854270320982</v>
      </c>
      <c r="E233" s="888">
        <f>SUMIFS('National model results detailed'!E$105:E$122, 'National model results detailed'!$AU$105:$AU$122,$B233)</f>
        <v>43674.135113716038</v>
      </c>
      <c r="F233" s="888">
        <f>SUMIFS('National model results detailed'!F$105:F$122, 'National model results detailed'!$AU$105:$AU$122,$B233)</f>
        <v>46444.581822599452</v>
      </c>
      <c r="G233" s="888">
        <f>SUMIFS('National model results detailed'!G$105:G$122, 'National model results detailed'!$AU$105:$AU$122,$B233)</f>
        <v>49263.712855792553</v>
      </c>
      <c r="H233" s="888">
        <f>SUMIFS('National model results detailed'!H$105:H$122, 'National model results detailed'!$AU$105:$AU$122,$B233)</f>
        <v>52158.716541400492</v>
      </c>
      <c r="I233" s="888">
        <f>SUMIFS('National model results detailed'!I$105:I$122, 'National model results detailed'!$AU$105:$AU$122,$B233)</f>
        <v>55131.262215494826</v>
      </c>
      <c r="J233" s="888">
        <f>SUMIFS('National model results detailed'!J$105:J$122, 'National model results detailed'!$AU$105:$AU$122,$B233)</f>
        <v>58196.14460883115</v>
      </c>
      <c r="K233" s="888">
        <f>SUMIFS('National model results detailed'!K$105:K$122, 'National model results detailed'!$AU$105:$AU$122,$B233)</f>
        <v>61440.594524777538</v>
      </c>
      <c r="L233" s="888">
        <f>SUMIFS('National model results detailed'!L$105:L$122, 'National model results detailed'!$AU$105:$AU$122,$B233)</f>
        <v>64817.000371734117</v>
      </c>
      <c r="M233" s="888">
        <f>SUMIFS('National model results detailed'!M$105:M$122, 'National model results detailed'!$AU$105:$AU$122,$B233)</f>
        <v>68302.6371615424</v>
      </c>
      <c r="N233" s="888">
        <f>SUMIFS('National model results detailed'!N$105:N$122, 'National model results detailed'!$AU$105:$AU$122,$B233)</f>
        <v>71888.451935990131</v>
      </c>
      <c r="O233" s="888">
        <f>SUMIFS('National model results detailed'!O$105:O$122, 'National model results detailed'!$AU$105:$AU$122,$B233)</f>
        <v>75569.332691018877</v>
      </c>
      <c r="P233" s="888">
        <f>SUMIFS('National model results detailed'!P$105:P$122, 'National model results detailed'!$AU$105:$AU$122,$B233)</f>
        <v>79363.134373112698</v>
      </c>
      <c r="Q233" s="888">
        <f>SUMIFS('National model results detailed'!Q$105:Q$122, 'National model results detailed'!$AU$105:$AU$122,$B233)</f>
        <v>83291.608426450781</v>
      </c>
      <c r="R233" s="888">
        <f>SUMIFS('National model results detailed'!R$105:R$122, 'National model results detailed'!$AU$105:$AU$122,$B233)</f>
        <v>87361.06485193361</v>
      </c>
      <c r="S233" s="888">
        <f>SUMIFS('National model results detailed'!S$105:S$122, 'National model results detailed'!$AU$105:$AU$122,$B233)</f>
        <v>91559.409373466158</v>
      </c>
      <c r="T233" s="888">
        <f>SUMIFS('National model results detailed'!T$105:T$122, 'National model results detailed'!$AU$105:$AU$122,$B233)</f>
        <v>95892.259635204595</v>
      </c>
      <c r="U233" s="888">
        <f>SUMIFS('National model results detailed'!U$105:U$122, 'National model results detailed'!$AU$105:$AU$122,$B233)</f>
        <v>100402.2976960009</v>
      </c>
      <c r="V233" s="888">
        <f>SUMIFS('National model results detailed'!V$105:V$122, 'National model results detailed'!$AU$105:$AU$122,$B233)</f>
        <v>105061.7785837421</v>
      </c>
      <c r="W233" s="888">
        <f>SUMIFS('National model results detailed'!W$105:W$122, 'National model results detailed'!$AU$105:$AU$122,$B233)</f>
        <v>109864.97195400861</v>
      </c>
      <c r="X233" s="888">
        <f>SUMIFS('National model results detailed'!X$105:X$122, 'National model results detailed'!$AU$105:$AU$122,$B233)</f>
        <v>114813.75431545122</v>
      </c>
      <c r="Y233" s="888">
        <f>SUMIFS('National model results detailed'!Y$105:Y$122, 'National model results detailed'!$AU$105:$AU$122,$B233)</f>
        <v>119928.55433298383</v>
      </c>
      <c r="Z233" s="888">
        <f>SUMIFS('National model results detailed'!Z$105:Z$122, 'National model results detailed'!$AU$105:$AU$122,$B233)</f>
        <v>125209.92153714345</v>
      </c>
      <c r="AA233" s="888">
        <f>SUMIFS('National model results detailed'!AA$105:AA$122, 'National model results detailed'!$AU$105:$AU$122,$B233)</f>
        <v>130654.90116017795</v>
      </c>
      <c r="AB233" s="888">
        <f>SUMIFS('National model results detailed'!AB$105:AB$122, 'National model results detailed'!$AU$105:$AU$122,$B233)</f>
        <v>136261.70653313264</v>
      </c>
      <c r="AC233" s="888">
        <f>SUMIFS('National model results detailed'!AC$105:AC$122, 'National model results detailed'!$AU$105:$AU$122,$B233)</f>
        <v>142028.130460227</v>
      </c>
      <c r="AD233" s="888">
        <f>SUMIFS('National model results detailed'!AD$105:AD$122, 'National model results detailed'!$AU$105:$AU$122,$B233)</f>
        <v>147953.06755102734</v>
      </c>
      <c r="AE233" s="888">
        <f>SUMIFS('National model results detailed'!AE$105:AE$122, 'National model results detailed'!$AU$105:$AU$122,$B233)</f>
        <v>154035.4465073563</v>
      </c>
      <c r="AF233" s="888">
        <f>SUMIFS('National model results detailed'!AF$105:AF$122, 'National model results detailed'!$AU$105:$AU$122,$B233)</f>
        <v>160281.53915187367</v>
      </c>
      <c r="AG233" s="888">
        <f>SUMIFS('National model results detailed'!AG$105:AG$122, 'National model results detailed'!$AU$105:$AU$122,$B233)</f>
        <v>166712.66287935147</v>
      </c>
      <c r="AH233" s="888">
        <f>SUMIFS('National model results detailed'!AH$105:AH$122, 'National model results detailed'!$AU$105:$AU$122,$B233)</f>
        <v>173334.91020065433</v>
      </c>
      <c r="AI233" s="888">
        <f>SUMIFS('National model results detailed'!AI$105:AI$122, 'National model results detailed'!$AU$105:$AU$122,$B233)</f>
        <v>180159.69121321206</v>
      </c>
      <c r="AJ233" s="888">
        <f>SUMIFS('National model results detailed'!AJ$105:AJ$122, 'National model results detailed'!$AU$105:$AU$122,$B233)</f>
        <v>187170.0117504879</v>
      </c>
      <c r="AK233" s="888">
        <f>SUMIFS('National model results detailed'!AK$105:AK$122, 'National model results detailed'!$AU$105:$AU$122,$B233)</f>
        <v>194352.50986875838</v>
      </c>
      <c r="AL233" s="888">
        <f>SUMIFS('National model results detailed'!AL$105:AL$122, 'National model results detailed'!$AU$105:$AU$122,$B233)</f>
        <v>201698.00005014325</v>
      </c>
      <c r="AM233" s="888">
        <f>SUMIFS('National model results detailed'!AM$105:AM$122, 'National model results detailed'!$AU$105:$AU$122,$B233)</f>
        <v>209215.30096672411</v>
      </c>
      <c r="AN233" s="888">
        <f>SUMIFS('National model results detailed'!AN$105:AN$122, 'National model results detailed'!$AU$105:$AU$122,$B233)</f>
        <v>216907.9672374748</v>
      </c>
      <c r="AO233" s="888">
        <f>SUMIFS('National model results detailed'!AO$105:AO$122, 'National model results detailed'!$AU$105:$AU$122,$B233)</f>
        <v>224774.87577958143</v>
      </c>
      <c r="AP233" s="888">
        <f>SUMIFS('National model results detailed'!AP$105:AP$122, 'National model results detailed'!$AU$105:$AU$122,$B233)</f>
        <v>232844.27239567423</v>
      </c>
      <c r="AQ233" s="888">
        <f>SUMIFS('National model results detailed'!AQ$105:AQ$122, 'National model results detailed'!$AU$105:$AU$122,$B233)</f>
        <v>241149.7353851982</v>
      </c>
      <c r="AR233" s="888">
        <f>SUMIFS('National model results detailed'!AR$105:AR$122, 'National model results detailed'!$AU$105:$AU$122,$B233)</f>
        <v>249721.2811491866</v>
      </c>
      <c r="AS233" s="888">
        <f>SUMIFS('National model results detailed'!AS$105:AS$122, 'National model results detailed'!$AU$105:$AU$122,$B233)</f>
        <v>258404.74994922287</v>
      </c>
    </row>
    <row r="234" spans="1:55">
      <c r="A234" s="19"/>
      <c r="B234" s="6" t="s">
        <v>217</v>
      </c>
      <c r="C234" s="888">
        <f>SUMIFS('National model results detailed'!C$105:C$122, 'National model results detailed'!$AU$105:$AU$122,$B234)</f>
        <v>240715.48338421382</v>
      </c>
      <c r="D234" s="888">
        <f>SUMIFS('National model results detailed'!D$105:D$122, 'National model results detailed'!$AU$105:$AU$122,$B234)</f>
        <v>259738.37844996928</v>
      </c>
      <c r="E234" s="888">
        <f>SUMIFS('National model results detailed'!E$105:E$122, 'National model results detailed'!$AU$105:$AU$122,$B234)</f>
        <v>278616.43549327098</v>
      </c>
      <c r="F234" s="888">
        <f>SUMIFS('National model results detailed'!F$105:F$122, 'National model results detailed'!$AU$105:$AU$122,$B234)</f>
        <v>297678.32164796937</v>
      </c>
      <c r="G234" s="888">
        <f>SUMIFS('National model results detailed'!G$105:G$122, 'National model results detailed'!$AU$105:$AU$122,$B234)</f>
        <v>317276.15976162837</v>
      </c>
      <c r="H234" s="888">
        <f>SUMIFS('National model results detailed'!H$105:H$122, 'National model results detailed'!$AU$105:$AU$122,$B234)</f>
        <v>337637.92452661239</v>
      </c>
      <c r="I234" s="888">
        <f>SUMIFS('National model results detailed'!I$105:I$122, 'National model results detailed'!$AU$105:$AU$122,$B234)</f>
        <v>358795.56094304926</v>
      </c>
      <c r="J234" s="888">
        <f>SUMIFS('National model results detailed'!J$105:J$122, 'National model results detailed'!$AU$105:$AU$122,$B234)</f>
        <v>380891.26748609188</v>
      </c>
      <c r="K234" s="888">
        <f>SUMIFS('National model results detailed'!K$105:K$122, 'National model results detailed'!$AU$105:$AU$122,$B234)</f>
        <v>404697.1453430219</v>
      </c>
      <c r="L234" s="888">
        <f>SUMIFS('National model results detailed'!L$105:L$122, 'National model results detailed'!$AU$105:$AU$122,$B234)</f>
        <v>429850.51512863545</v>
      </c>
      <c r="M234" s="888">
        <f>SUMIFS('National model results detailed'!M$105:M$122, 'National model results detailed'!$AU$105:$AU$122,$B234)</f>
        <v>456182.99565320642</v>
      </c>
      <c r="N234" s="888">
        <f>SUMIFS('National model results detailed'!N$105:N$122, 'National model results detailed'!$AU$105:$AU$122,$B234)</f>
        <v>483637.36160190881</v>
      </c>
      <c r="O234" s="888">
        <f>SUMIFS('National model results detailed'!O$105:O$122, 'National model results detailed'!$AU$105:$AU$122,$B234)</f>
        <v>512187.32764187548</v>
      </c>
      <c r="P234" s="888">
        <f>SUMIFS('National model results detailed'!P$105:P$122, 'National model results detailed'!$AU$105:$AU$122,$B234)</f>
        <v>542023.39698159881</v>
      </c>
      <c r="Q234" s="888">
        <f>SUMIFS('National model results detailed'!Q$105:Q$122, 'National model results detailed'!$AU$105:$AU$122,$B234)</f>
        <v>573385.47112948587</v>
      </c>
      <c r="R234" s="888">
        <f>SUMIFS('National model results detailed'!R$105:R$122, 'National model results detailed'!$AU$105:$AU$122,$B234)</f>
        <v>606372.45676487964</v>
      </c>
      <c r="S234" s="888">
        <f>SUMIFS('National model results detailed'!S$105:S$122, 'National model results detailed'!$AU$105:$AU$122,$B234)</f>
        <v>640898.21051516605</v>
      </c>
      <c r="T234" s="888">
        <f>SUMIFS('National model results detailed'!T$105:T$122, 'National model results detailed'!$AU$105:$AU$122,$B234)</f>
        <v>677053.3939706008</v>
      </c>
      <c r="U234" s="888">
        <f>SUMIFS('National model results detailed'!U$105:U$122, 'National model results detailed'!$AU$105:$AU$122,$B234)</f>
        <v>715329.50511301239</v>
      </c>
      <c r="V234" s="888">
        <f>SUMIFS('National model results detailed'!V$105:V$122, 'National model results detailed'!$AU$105:$AU$122,$B234)</f>
        <v>755476.50234788703</v>
      </c>
      <c r="W234" s="888">
        <f>SUMIFS('National model results detailed'!W$105:W$122, 'National model results detailed'!$AU$105:$AU$122,$B234)</f>
        <v>797469.82332133292</v>
      </c>
      <c r="X234" s="888">
        <f>SUMIFS('National model results detailed'!X$105:X$122, 'National model results detailed'!$AU$105:$AU$122,$B234)</f>
        <v>841367.21327370405</v>
      </c>
      <c r="Y234" s="888">
        <f>SUMIFS('National model results detailed'!Y$105:Y$122, 'National model results detailed'!$AU$105:$AU$122,$B234)</f>
        <v>887444.65435989643</v>
      </c>
      <c r="Z234" s="888">
        <f>SUMIFS('National model results detailed'!Z$105:Z$122, 'National model results detailed'!$AU$105:$AU$122,$B234)</f>
        <v>935755.66800523375</v>
      </c>
      <c r="AA234" s="888">
        <f>SUMIFS('National model results detailed'!AA$105:AA$122, 'National model results detailed'!$AU$105:$AU$122,$B234)</f>
        <v>986310.62511258444</v>
      </c>
      <c r="AB234" s="888">
        <f>SUMIFS('National model results detailed'!AB$105:AB$122, 'National model results detailed'!$AU$105:$AU$122,$B234)</f>
        <v>1039131.3761540481</v>
      </c>
      <c r="AC234" s="888">
        <f>SUMIFS('National model results detailed'!AC$105:AC$122, 'National model results detailed'!$AU$105:$AU$122,$B234)</f>
        <v>1094232.1742363442</v>
      </c>
      <c r="AD234" s="888">
        <f>SUMIFS('National model results detailed'!AD$105:AD$122, 'National model results detailed'!$AU$105:$AU$122,$B234)</f>
        <v>1151639.0398018202</v>
      </c>
      <c r="AE234" s="888">
        <f>SUMIFS('National model results detailed'!AE$105:AE$122, 'National model results detailed'!$AU$105:$AU$122,$B234)</f>
        <v>1211376.6833675294</v>
      </c>
      <c r="AF234" s="888">
        <f>SUMIFS('National model results detailed'!AF$105:AF$122, 'National model results detailed'!$AU$105:$AU$122,$B234)</f>
        <v>1273568.4037908057</v>
      </c>
      <c r="AG234" s="888">
        <f>SUMIFS('National model results detailed'!AG$105:AG$122, 'National model results detailed'!$AU$105:$AU$122,$B234)</f>
        <v>1338552.6888823775</v>
      </c>
      <c r="AH234" s="888">
        <f>SUMIFS('National model results detailed'!AH$105:AH$122, 'National model results detailed'!$AU$105:$AU$122,$B234)</f>
        <v>1406469.4397074264</v>
      </c>
      <c r="AI234" s="888">
        <f>SUMIFS('National model results detailed'!AI$105:AI$122, 'National model results detailed'!$AU$105:$AU$122,$B234)</f>
        <v>1477540.8695896666</v>
      </c>
      <c r="AJ234" s="888">
        <f>SUMIFS('National model results detailed'!AJ$105:AJ$122, 'National model results detailed'!$AU$105:$AU$122,$B234)</f>
        <v>1551574.739929257</v>
      </c>
      <c r="AK234" s="888">
        <f>SUMIFS('National model results detailed'!AK$105:AK$122, 'National model results detailed'!$AU$105:$AU$122,$B234)</f>
        <v>1628415.7434716157</v>
      </c>
      <c r="AL234" s="888">
        <f>SUMIFS('National model results detailed'!AL$105:AL$122, 'National model results detailed'!$AU$105:$AU$122,$B234)</f>
        <v>1707958.6797329546</v>
      </c>
      <c r="AM234" s="888">
        <f>SUMIFS('National model results detailed'!AM$105:AM$122, 'National model results detailed'!$AU$105:$AU$122,$B234)</f>
        <v>1790374.7528538343</v>
      </c>
      <c r="AN234" s="888">
        <f>SUMIFS('National model results detailed'!AN$105:AN$122, 'National model results detailed'!$AU$105:$AU$122,$B234)</f>
        <v>1875757.2679950935</v>
      </c>
      <c r="AO234" s="888">
        <f>SUMIFS('National model results detailed'!AO$105:AO$122, 'National model results detailed'!$AU$105:$AU$122,$B234)</f>
        <v>1964123.6726323203</v>
      </c>
      <c r="AP234" s="888">
        <f>SUMIFS('National model results detailed'!AP$105:AP$122, 'National model results detailed'!$AU$105:$AU$122,$B234)</f>
        <v>2055989.340106321</v>
      </c>
      <c r="AQ234" s="888">
        <f>SUMIFS('National model results detailed'!AQ$105:AQ$122, 'National model results detailed'!$AU$105:$AU$122,$B234)</f>
        <v>2151993.1255556699</v>
      </c>
      <c r="AR234" s="888">
        <f>SUMIFS('National model results detailed'!AR$105:AR$122, 'National model results detailed'!$AU$105:$AU$122,$B234)</f>
        <v>2252747.4781005131</v>
      </c>
      <c r="AS234" s="888">
        <f>SUMIFS('National model results detailed'!AS$105:AS$122, 'National model results detailed'!$AU$105:$AU$122,$B234)</f>
        <v>2355540.276639977</v>
      </c>
    </row>
    <row r="235" spans="1:55" s="73" customFormat="1">
      <c r="A235" s="802"/>
      <c r="B235" s="26" t="s">
        <v>3714</v>
      </c>
      <c r="C235" s="888">
        <f>SUMIFS('National model results detailed'!C$105:C$122, 'National model results detailed'!$AU$105:$AU$122,$B235)</f>
        <v>174779.29552087732</v>
      </c>
      <c r="D235" s="888">
        <f>SUMIFS('National model results detailed'!D$105:D$122, 'National model results detailed'!$AU$105:$AU$122,$B235)</f>
        <v>186581.28412834689</v>
      </c>
      <c r="E235" s="888">
        <f>SUMIFS('National model results detailed'!E$105:E$122, 'National model results detailed'!$AU$105:$AU$122,$B235)</f>
        <v>198037.0761385416</v>
      </c>
      <c r="F235" s="888">
        <f>SUMIFS('National model results detailed'!F$105:F$122, 'National model results detailed'!$AU$105:$AU$122,$B235)</f>
        <v>209367.72280555236</v>
      </c>
      <c r="G235" s="888">
        <f>SUMIFS('National model results detailed'!G$105:G$122, 'National model results detailed'!$AU$105:$AU$122,$B235)</f>
        <v>220793.35449216046</v>
      </c>
      <c r="H235" s="888">
        <f>SUMIFS('National model results detailed'!H$105:H$122, 'National model results detailed'!$AU$105:$AU$122,$B235)</f>
        <v>232444.83532204817</v>
      </c>
      <c r="I235" s="888">
        <f>SUMIFS('National model results detailed'!I$105:I$122, 'National model results detailed'!$AU$105:$AU$122,$B235)</f>
        <v>244329.69467265412</v>
      </c>
      <c r="J235" s="888">
        <f>SUMIFS('National model results detailed'!J$105:J$122, 'National model results detailed'!$AU$105:$AU$122,$B235)</f>
        <v>256517.72933143904</v>
      </c>
      <c r="K235" s="888">
        <f>SUMIFS('National model results detailed'!K$105:K$122, 'National model results detailed'!$AU$105:$AU$122,$B235)</f>
        <v>269424.55047631543</v>
      </c>
      <c r="L235" s="888">
        <f>SUMIFS('National model results detailed'!L$105:L$122, 'National model results detailed'!$AU$105:$AU$122,$B235)</f>
        <v>282817.64595475909</v>
      </c>
      <c r="M235" s="888">
        <f>SUMIFS('National model results detailed'!M$105:M$122, 'National model results detailed'!$AU$105:$AU$122,$B235)</f>
        <v>296584.18844559178</v>
      </c>
      <c r="N235" s="888">
        <f>SUMIFS('National model results detailed'!N$105:N$122, 'National model results detailed'!$AU$105:$AU$122,$B235)</f>
        <v>310655.32226105046</v>
      </c>
      <c r="O235" s="888">
        <f>SUMIFS('National model results detailed'!O$105:O$122, 'National model results detailed'!$AU$105:$AU$122,$B235)</f>
        <v>325023.10104541318</v>
      </c>
      <c r="P235" s="888">
        <f>SUMIFS('National model results detailed'!P$105:P$122, 'National model results detailed'!$AU$105:$AU$122,$B235)</f>
        <v>339769.46333856852</v>
      </c>
      <c r="Q235" s="888">
        <f>SUMIFS('National model results detailed'!Q$105:Q$122, 'National model results detailed'!$AU$105:$AU$122,$B235)</f>
        <v>354994.45263982756</v>
      </c>
      <c r="R235" s="888">
        <f>SUMIFS('National model results detailed'!R$105:R$122, 'National model results detailed'!$AU$105:$AU$122,$B235)</f>
        <v>370723.48288432742</v>
      </c>
      <c r="S235" s="888">
        <f>SUMIFS('National model results detailed'!S$105:S$122, 'National model results detailed'!$AU$105:$AU$122,$B235)</f>
        <v>386893.52407340251</v>
      </c>
      <c r="T235" s="888">
        <f>SUMIFS('National model results detailed'!T$105:T$122, 'National model results detailed'!$AU$105:$AU$122,$B235)</f>
        <v>403526.48346018459</v>
      </c>
      <c r="U235" s="888">
        <f>SUMIFS('National model results detailed'!U$105:U$122, 'National model results detailed'!$AU$105:$AU$122,$B235)</f>
        <v>420821.41098228068</v>
      </c>
      <c r="V235" s="888">
        <f>SUMIFS('National model results detailed'!V$105:V$122, 'National model results detailed'!$AU$105:$AU$122,$B235)</f>
        <v>438639.01160201232</v>
      </c>
      <c r="W235" s="888">
        <f>SUMIFS('National model results detailed'!W$105:W$122, 'National model results detailed'!$AU$105:$AU$122,$B235)</f>
        <v>456945.89432652097</v>
      </c>
      <c r="X235" s="888">
        <f>SUMIFS('National model results detailed'!X$105:X$122, 'National model results detailed'!$AU$105:$AU$122,$B235)</f>
        <v>475745.20092573058</v>
      </c>
      <c r="Y235" s="888">
        <f>SUMIFS('National model results detailed'!Y$105:Y$122, 'National model results detailed'!$AU$105:$AU$122,$B235)</f>
        <v>495128.8096377349</v>
      </c>
      <c r="Z235" s="888">
        <f>SUMIFS('National model results detailed'!Z$105:Z$122, 'National model results detailed'!$AU$105:$AU$122,$B235)</f>
        <v>515092.90080713219</v>
      </c>
      <c r="AA235" s="888">
        <f>SUMIFS('National model results detailed'!AA$105:AA$122, 'National model results detailed'!$AU$105:$AU$122,$B235)</f>
        <v>535616.76746634068</v>
      </c>
      <c r="AB235" s="888">
        <f>SUMIFS('National model results detailed'!AB$105:AB$122, 'National model results detailed'!$AU$105:$AU$122,$B235)</f>
        <v>556685.30084508762</v>
      </c>
      <c r="AC235" s="888">
        <f>SUMIFS('National model results detailed'!AC$105:AC$122, 'National model results detailed'!$AU$105:$AU$122,$B235)</f>
        <v>578281.40728906379</v>
      </c>
      <c r="AD235" s="888">
        <f>SUMIFS('National model results detailed'!AD$105:AD$122, 'National model results detailed'!$AU$105:$AU$122,$B235)</f>
        <v>600393.34377254441</v>
      </c>
      <c r="AE235" s="888">
        <f>SUMIFS('National model results detailed'!AE$105:AE$122, 'National model results detailed'!$AU$105:$AU$122,$B235)</f>
        <v>623009.58855650027</v>
      </c>
      <c r="AF235" s="888">
        <f>SUMIFS('National model results detailed'!AF$105:AF$122, 'National model results detailed'!$AU$105:$AU$122,$B235)</f>
        <v>646153.80385783466</v>
      </c>
      <c r="AG235" s="888">
        <f>SUMIFS('National model results detailed'!AG$105:AG$122, 'National model results detailed'!$AU$105:$AU$122,$B235)</f>
        <v>669921.54172520386</v>
      </c>
      <c r="AH235" s="888">
        <f>SUMIFS('National model results detailed'!AH$105:AH$122, 'National model results detailed'!$AU$105:$AU$122,$B235)</f>
        <v>694334.91727807536</v>
      </c>
      <c r="AI235" s="888">
        <f>SUMIFS('National model results detailed'!AI$105:AI$122, 'National model results detailed'!$AU$105:$AU$122,$B235)</f>
        <v>719441.23421715759</v>
      </c>
      <c r="AJ235" s="888">
        <f>SUMIFS('National model results detailed'!AJ$105:AJ$122, 'National model results detailed'!$AU$105:$AU$122,$B235)</f>
        <v>745151.45229495864</v>
      </c>
      <c r="AK235" s="888">
        <f>SUMIFS('National model results detailed'!AK$105:AK$122, 'National model results detailed'!$AU$105:$AU$122,$B235)</f>
        <v>771394.28380049893</v>
      </c>
      <c r="AL235" s="888">
        <f>SUMIFS('National model results detailed'!AL$105:AL$122, 'National model results detailed'!$AU$105:$AU$122,$B235)</f>
        <v>798118.82578546705</v>
      </c>
      <c r="AM235" s="888">
        <f>SUMIFS('National model results detailed'!AM$105:AM$122, 'National model results detailed'!$AU$105:$AU$122,$B235)</f>
        <v>825360.69188415958</v>
      </c>
      <c r="AN235" s="888">
        <f>SUMIFS('National model results detailed'!AN$105:AN$122, 'National model results detailed'!$AU$105:$AU$122,$B235)</f>
        <v>853130.19646748563</v>
      </c>
      <c r="AO235" s="888">
        <f>SUMIFS('National model results detailed'!AO$105:AO$122, 'National model results detailed'!$AU$105:$AU$122,$B235)</f>
        <v>881415.24555613473</v>
      </c>
      <c r="AP235" s="888">
        <f>SUMIFS('National model results detailed'!AP$105:AP$122, 'National model results detailed'!$AU$105:$AU$122,$B235)</f>
        <v>910344.3711457093</v>
      </c>
      <c r="AQ235" s="888">
        <f>SUMIFS('National model results detailed'!AQ$105:AQ$122, 'National model results detailed'!$AU$105:$AU$122,$B235)</f>
        <v>940070.87877611001</v>
      </c>
      <c r="AR235" s="888">
        <f>SUMIFS('National model results detailed'!AR$105:AR$122, 'National model results detailed'!$AU$105:$AU$122,$B235)</f>
        <v>970729.97507516725</v>
      </c>
      <c r="AS235" s="888">
        <f>SUMIFS('National model results detailed'!AS$105:AS$122, 'National model results detailed'!$AU$105:$AU$122,$B235)</f>
        <v>1001574.4407239668</v>
      </c>
    </row>
    <row r="236" spans="1:55" s="73" customFormat="1">
      <c r="A236" s="802"/>
      <c r="B236" s="26" t="s">
        <v>102</v>
      </c>
      <c r="C236" s="888">
        <f>SUMIFS('National model results detailed'!C$105:C$122, 'National model results detailed'!$AU$105:$AU$122,$B236)</f>
        <v>2696.1643307111453</v>
      </c>
      <c r="D236" s="888">
        <f>SUMIFS('National model results detailed'!D$105:D$122, 'National model results detailed'!$AU$105:$AU$122,$B236)</f>
        <v>3445.6916018709667</v>
      </c>
      <c r="E236" s="888">
        <f>SUMIFS('National model results detailed'!E$105:E$122, 'National model results detailed'!$AU$105:$AU$122,$B236)</f>
        <v>4230.5299818038357</v>
      </c>
      <c r="F236" s="888">
        <f>SUMIFS('National model results detailed'!F$105:F$122, 'National model results detailed'!$AU$105:$AU$122,$B236)</f>
        <v>5053.351991734944</v>
      </c>
      <c r="G236" s="888">
        <f>SUMIFS('National model results detailed'!G$105:G$122, 'National model results detailed'!$AU$105:$AU$122,$B236)</f>
        <v>5917.5629113344194</v>
      </c>
      <c r="H236" s="888">
        <f>SUMIFS('National model results detailed'!H$105:H$122, 'National model results detailed'!$AU$105:$AU$122,$B236)</f>
        <v>6825.7740380928526</v>
      </c>
      <c r="I236" s="888">
        <f>SUMIFS('National model results detailed'!I$105:I$122, 'National model results detailed'!$AU$105:$AU$122,$B236)</f>
        <v>7778.9144423515809</v>
      </c>
      <c r="J236" s="888">
        <f>SUMIFS('National model results detailed'!J$105:J$122, 'National model results detailed'!$AU$105:$AU$122,$B236)</f>
        <v>8779.0270329010636</v>
      </c>
      <c r="K236" s="888">
        <f>SUMIFS('National model results detailed'!K$105:K$122, 'National model results detailed'!$AU$105:$AU$122,$B236)</f>
        <v>9834.3876076935394</v>
      </c>
      <c r="L236" s="888">
        <f>SUMIFS('National model results detailed'!L$105:L$122, 'National model results detailed'!$AU$105:$AU$122,$B236)</f>
        <v>10943.471938050558</v>
      </c>
      <c r="M236" s="888">
        <f>SUMIFS('National model results detailed'!M$105:M$122, 'National model results detailed'!$AU$105:$AU$122,$B236)</f>
        <v>12106.056247598488</v>
      </c>
      <c r="N236" s="888">
        <f>SUMIFS('National model results detailed'!N$105:N$122, 'National model results detailed'!$AU$105:$AU$122,$B236)</f>
        <v>12593.295008111812</v>
      </c>
      <c r="O236" s="888">
        <f>SUMIFS('National model results detailed'!O$105:O$122, 'National model results detailed'!$AU$105:$AU$122,$B236)</f>
        <v>13081.491770038105</v>
      </c>
      <c r="P236" s="888">
        <f>SUMIFS('National model results detailed'!P$105:P$122, 'National model results detailed'!$AU$105:$AU$122,$B236)</f>
        <v>13574.677513293027</v>
      </c>
      <c r="Q236" s="888">
        <f>SUMIFS('National model results detailed'!Q$105:Q$122, 'National model results detailed'!$AU$105:$AU$122,$B236)</f>
        <v>14076.461660976505</v>
      </c>
      <c r="R236" s="888">
        <f>SUMIFS('National model results detailed'!R$105:R$122, 'National model results detailed'!$AU$105:$AU$122,$B236)</f>
        <v>14588.494815514408</v>
      </c>
      <c r="S236" s="888">
        <f>SUMIFS('National model results detailed'!S$105:S$122, 'National model results detailed'!$AU$105:$AU$122,$B236)</f>
        <v>15110.389477234548</v>
      </c>
      <c r="T236" s="888">
        <f>SUMIFS('National model results detailed'!T$105:T$122, 'National model results detailed'!$AU$105:$AU$122,$B236)</f>
        <v>15642.98891802435</v>
      </c>
      <c r="U236" s="888">
        <f>SUMIFS('National model results detailed'!U$105:U$122, 'National model results detailed'!$AU$105:$AU$122,$B236)</f>
        <v>16189.96200632386</v>
      </c>
      <c r="V236" s="888">
        <f>SUMIFS('National model results detailed'!V$105:V$122, 'National model results detailed'!$AU$105:$AU$122,$B236)</f>
        <v>16747.886635110506</v>
      </c>
      <c r="W236" s="888">
        <f>SUMIFS('National model results detailed'!W$105:W$122, 'National model results detailed'!$AU$105:$AU$122,$B236)</f>
        <v>17315.782750362625</v>
      </c>
      <c r="X236" s="888">
        <f>SUMIFS('National model results detailed'!X$105:X$122, 'National model results detailed'!$AU$105:$AU$122,$B236)</f>
        <v>17893.713029330091</v>
      </c>
      <c r="Y236" s="888">
        <f>SUMIFS('National model results detailed'!Y$105:Y$122, 'National model results detailed'!$AU$105:$AU$122,$B236)</f>
        <v>18483.505953449738</v>
      </c>
      <c r="Z236" s="888">
        <f>SUMIFS('National model results detailed'!Z$105:Z$122, 'National model results detailed'!$AU$105:$AU$122,$B236)</f>
        <v>19085.776378453749</v>
      </c>
      <c r="AA236" s="888">
        <f>SUMIFS('National model results detailed'!AA$105:AA$122, 'National model results detailed'!$AU$105:$AU$122,$B236)</f>
        <v>19700.460192397688</v>
      </c>
      <c r="AB236" s="888">
        <f>SUMIFS('National model results detailed'!AB$105:AB$122, 'National model results detailed'!$AU$105:$AU$122,$B236)</f>
        <v>20327.062212903089</v>
      </c>
      <c r="AC236" s="888">
        <f>SUMIFS('National model results detailed'!AC$105:AC$122, 'National model results detailed'!$AU$105:$AU$122,$B236)</f>
        <v>20964.886728915182</v>
      </c>
      <c r="AD236" s="888">
        <f>SUMIFS('National model results detailed'!AD$105:AD$122, 'National model results detailed'!$AU$105:$AU$122,$B236)</f>
        <v>21613.564295428627</v>
      </c>
      <c r="AE236" s="888">
        <f>SUMIFS('National model results detailed'!AE$105:AE$122, 'National model results detailed'!$AU$105:$AU$122,$B236)</f>
        <v>22272.588761451203</v>
      </c>
      <c r="AF236" s="888">
        <f>SUMIFS('National model results detailed'!AF$105:AF$122, 'National model results detailed'!$AU$105:$AU$122,$B236)</f>
        <v>22941.106681194688</v>
      </c>
      <c r="AG236" s="888">
        <f>SUMIFS('National model results detailed'!AG$105:AG$122, 'National model results detailed'!$AU$105:$AU$122,$B236)</f>
        <v>23620.231057610628</v>
      </c>
      <c r="AH236" s="888">
        <f>SUMIFS('National model results detailed'!AH$105:AH$122, 'National model results detailed'!$AU$105:$AU$122,$B236)</f>
        <v>24310.281694923699</v>
      </c>
      <c r="AI236" s="888">
        <f>SUMIFS('National model results detailed'!AI$105:AI$122, 'National model results detailed'!$AU$105:$AU$122,$B236)</f>
        <v>25012.077282045604</v>
      </c>
      <c r="AJ236" s="888">
        <f>SUMIFS('National model results detailed'!AJ$105:AJ$122, 'National model results detailed'!$AU$105:$AU$122,$B236)</f>
        <v>25723.815603433053</v>
      </c>
      <c r="AK236" s="888">
        <f>SUMIFS('National model results detailed'!AK$105:AK$122, 'National model results detailed'!$AU$105:$AU$122,$B236)</f>
        <v>26443.720047404033</v>
      </c>
      <c r="AL236" s="888">
        <f>SUMIFS('National model results detailed'!AL$105:AL$122, 'National model results detailed'!$AU$105:$AU$122,$B236)</f>
        <v>27170.220090640996</v>
      </c>
      <c r="AM236" s="888">
        <f>SUMIFS('National model results detailed'!AM$105:AM$122, 'National model results detailed'!$AU$105:$AU$122,$B236)</f>
        <v>27903.137516241179</v>
      </c>
      <c r="AN236" s="888">
        <f>SUMIFS('National model results detailed'!AN$105:AN$122, 'National model results detailed'!$AU$105:$AU$122,$B236)</f>
        <v>28642.052437605289</v>
      </c>
      <c r="AO236" s="888">
        <f>SUMIFS('National model results detailed'!AO$105:AO$122, 'National model results detailed'!$AU$105:$AU$122,$B236)</f>
        <v>29386.244092065255</v>
      </c>
      <c r="AP236" s="888">
        <f>SUMIFS('National model results detailed'!AP$105:AP$122, 'National model results detailed'!$AU$105:$AU$122,$B236)</f>
        <v>30137.436791667893</v>
      </c>
      <c r="AQ236" s="888">
        <f>SUMIFS('National model results detailed'!AQ$105:AQ$122, 'National model results detailed'!$AU$105:$AU$122,$B236)</f>
        <v>30898.10957173675</v>
      </c>
      <c r="AR236" s="888">
        <f>SUMIFS('National model results detailed'!AR$105:AR$122, 'National model results detailed'!$AU$105:$AU$122,$B236)</f>
        <v>31670.510644580012</v>
      </c>
      <c r="AS236" s="888">
        <f>SUMIFS('National model results detailed'!AS$105:AS$122, 'National model results detailed'!$AU$105:$AU$122,$B236)</f>
        <v>32441.973655613074</v>
      </c>
    </row>
    <row r="237" spans="1:55" s="73" customFormat="1">
      <c r="A237" s="802"/>
      <c r="B237" s="26" t="s">
        <v>2831</v>
      </c>
      <c r="C237" s="888">
        <f>SUMIFS('National model results detailed'!C$105:C$122, 'National model results detailed'!$AU$105:$AU$122,$B237)</f>
        <v>287416.85360564466</v>
      </c>
      <c r="D237" s="888">
        <f>SUMIFS('National model results detailed'!D$105:D$122, 'National model results detailed'!$AU$105:$AU$122,$B237)</f>
        <v>307660.7703565206</v>
      </c>
      <c r="E237" s="888">
        <f>SUMIFS('National model results detailed'!E$105:E$122, 'National model results detailed'!$AU$105:$AU$122,$B237)</f>
        <v>327431.65391659143</v>
      </c>
      <c r="F237" s="888">
        <f>SUMIFS('National model results detailed'!F$105:F$122, 'National model results detailed'!$AU$105:$AU$122,$B237)</f>
        <v>347098.15641360992</v>
      </c>
      <c r="G237" s="888">
        <f>SUMIFS('National model results detailed'!G$105:G$122, 'National model results detailed'!$AU$105:$AU$122,$B237)</f>
        <v>367032.00967767317</v>
      </c>
      <c r="H237" s="888">
        <f>SUMIFS('National model results detailed'!H$105:H$122, 'National model results detailed'!$AU$105:$AU$122,$B237)</f>
        <v>387457.57927890157</v>
      </c>
      <c r="I237" s="888">
        <f>SUMIFS('National model results detailed'!I$105:I$122, 'National model results detailed'!$AU$105:$AU$122,$B237)</f>
        <v>408391.21253639966</v>
      </c>
      <c r="J237" s="888">
        <f>SUMIFS('National model results detailed'!J$105:J$122, 'National model results detailed'!$AU$105:$AU$122,$B237)</f>
        <v>429956.38760319806</v>
      </c>
      <c r="K237" s="888">
        <f>SUMIFS('National model results detailed'!K$105:K$122, 'National model results detailed'!$AU$105:$AU$122,$B237)</f>
        <v>452873.88791991153</v>
      </c>
      <c r="L237" s="888">
        <f>SUMIFS('National model results detailed'!L$105:L$122, 'National model results detailed'!$AU$105:$AU$122,$B237)</f>
        <v>476752.88313669508</v>
      </c>
      <c r="M237" s="888">
        <f>SUMIFS('National model results detailed'!M$105:M$122, 'National model results detailed'!$AU$105:$AU$122,$B237)</f>
        <v>501405.42862881941</v>
      </c>
      <c r="N237" s="888">
        <f>SUMIFS('National model results detailed'!N$105:N$122, 'National model results detailed'!$AU$105:$AU$122,$B237)</f>
        <v>526382.3209115169</v>
      </c>
      <c r="O237" s="888">
        <f>SUMIFS('National model results detailed'!O$105:O$122, 'National model results detailed'!$AU$105:$AU$122,$B237)</f>
        <v>551983.00679871754</v>
      </c>
      <c r="P237" s="888">
        <f>SUMIFS('National model results detailed'!P$105:P$122, 'National model results detailed'!$AU$105:$AU$122,$B237)</f>
        <v>578356.86480486591</v>
      </c>
      <c r="Q237" s="888">
        <f>SUMIFS('National model results detailed'!Q$105:Q$122, 'National model results detailed'!$AU$105:$AU$122,$B237)</f>
        <v>605686.5295951583</v>
      </c>
      <c r="R237" s="888">
        <f>SUMIFS('National model results detailed'!R$105:R$122, 'National model results detailed'!$AU$105:$AU$122,$B237)</f>
        <v>634024.46557488246</v>
      </c>
      <c r="S237" s="888">
        <f>SUMIFS('National model results detailed'!S$105:S$122, 'National model results detailed'!$AU$105:$AU$122,$B237)</f>
        <v>663266.52524459246</v>
      </c>
      <c r="T237" s="888">
        <f>SUMIFS('National model results detailed'!T$105:T$122, 'National model results detailed'!$AU$105:$AU$122,$B237)</f>
        <v>693458.51707410684</v>
      </c>
      <c r="U237" s="888">
        <f>SUMIFS('National model results detailed'!U$105:U$122, 'National model results detailed'!$AU$105:$AU$122,$B237)</f>
        <v>724963.35730802582</v>
      </c>
      <c r="V237" s="888">
        <f>SUMIFS('National model results detailed'!V$105:V$122, 'National model results detailed'!$AU$105:$AU$122,$B237)</f>
        <v>757540.33552668744</v>
      </c>
      <c r="W237" s="888">
        <f>SUMIFS('National model results detailed'!W$105:W$122, 'National model results detailed'!$AU$105:$AU$122,$B237)</f>
        <v>791136.98063370166</v>
      </c>
      <c r="X237" s="888">
        <f>SUMIFS('National model results detailed'!X$105:X$122, 'National model results detailed'!$AU$105:$AU$122,$B237)</f>
        <v>825766.4119122267</v>
      </c>
      <c r="Y237" s="888">
        <f>SUMIFS('National model results detailed'!Y$105:Y$122, 'National model results detailed'!$AU$105:$AU$122,$B237)</f>
        <v>861602.99474993406</v>
      </c>
      <c r="Z237" s="888">
        <f>SUMIFS('National model results detailed'!Z$105:Z$122, 'National model results detailed'!$AU$105:$AU$122,$B237)</f>
        <v>898648.95383965713</v>
      </c>
      <c r="AA237" s="888">
        <f>SUMIFS('National model results detailed'!AA$105:AA$122, 'National model results detailed'!$AU$105:$AU$122,$B237)</f>
        <v>936875.42887810711</v>
      </c>
      <c r="AB237" s="888">
        <f>SUMIFS('National model results detailed'!AB$105:AB$122, 'National model results detailed'!$AU$105:$AU$122,$B237)</f>
        <v>976263.18868714897</v>
      </c>
      <c r="AC237" s="888">
        <f>SUMIFS('National model results detailed'!AC$105:AC$122, 'National model results detailed'!$AU$105:$AU$122,$B237)</f>
        <v>1016788.9814590676</v>
      </c>
      <c r="AD237" s="888">
        <f>SUMIFS('National model results detailed'!AD$105:AD$122, 'National model results detailed'!$AU$105:$AU$122,$B237)</f>
        <v>1058439.2282137629</v>
      </c>
      <c r="AE237" s="888">
        <f>SUMIFS('National model results detailed'!AE$105:AE$122, 'National model results detailed'!$AU$105:$AU$122,$B237)</f>
        <v>1101200.4675781291</v>
      </c>
      <c r="AF237" s="888">
        <f>SUMIFS('National model results detailed'!AF$105:AF$122, 'National model results detailed'!$AU$105:$AU$122,$B237)</f>
        <v>1145124.0807949314</v>
      </c>
      <c r="AG237" s="888">
        <f>SUMIFS('National model results detailed'!AG$105:AG$122, 'National model results detailed'!$AU$105:$AU$122,$B237)</f>
        <v>1190396.7406537049</v>
      </c>
      <c r="AH237" s="888">
        <f>SUMIFS('National model results detailed'!AH$105:AH$122, 'National model results detailed'!$AU$105:$AU$122,$B237)</f>
        <v>1237069.6421499129</v>
      </c>
      <c r="AI237" s="888">
        <f>SUMIFS('National model results detailed'!AI$105:AI$122, 'National model results detailed'!$AU$105:$AU$122,$B237)</f>
        <v>1285241.9943296718</v>
      </c>
      <c r="AJ237" s="888">
        <f>SUMIFS('National model results detailed'!AJ$105:AJ$122, 'National model results detailed'!$AU$105:$AU$122,$B237)</f>
        <v>1334756.1879326794</v>
      </c>
      <c r="AK237" s="888">
        <f>SUMIFS('National model results detailed'!AK$105:AK$122, 'National model results detailed'!$AU$105:$AU$122,$B237)</f>
        <v>1385486.2722321849</v>
      </c>
      <c r="AL237" s="888">
        <f>SUMIFS('National model results detailed'!AL$105:AL$122, 'National model results detailed'!$AU$105:$AU$122,$B237)</f>
        <v>1437343.5139330267</v>
      </c>
      <c r="AM237" s="888">
        <f>SUMIFS('National model results detailed'!AM$105:AM$122, 'National model results detailed'!$AU$105:$AU$122,$B237)</f>
        <v>1490403.4227921613</v>
      </c>
      <c r="AN237" s="888">
        <f>SUMIFS('National model results detailed'!AN$105:AN$122, 'National model results detailed'!$AU$105:$AU$122,$B237)</f>
        <v>1544693.84777943</v>
      </c>
      <c r="AO237" s="888">
        <f>SUMIFS('National model results detailed'!AO$105:AO$122, 'National model results detailed'!$AU$105:$AU$122,$B237)</f>
        <v>1600199.7642142689</v>
      </c>
      <c r="AP237" s="888">
        <f>SUMIFS('National model results detailed'!AP$105:AP$122, 'National model results detailed'!$AU$105:$AU$122,$B237)</f>
        <v>1657177.7824124093</v>
      </c>
      <c r="AQ237" s="888">
        <f>SUMIFS('National model results detailed'!AQ$105:AQ$122, 'National model results detailed'!$AU$105:$AU$122,$B237)</f>
        <v>1715935.6551932399</v>
      </c>
      <c r="AR237" s="888">
        <f>SUMIFS('National model results detailed'!AR$105:AR$122, 'National model results detailed'!$AU$105:$AU$122,$B237)</f>
        <v>1776749.4331941102</v>
      </c>
      <c r="AS237" s="888">
        <f>SUMIFS('National model results detailed'!AS$105:AS$122, 'National model results detailed'!$AU$105:$AU$122,$B237)</f>
        <v>1838173.3047379656</v>
      </c>
    </row>
    <row r="238" spans="1:55" s="73" customFormat="1">
      <c r="A238" s="802"/>
      <c r="B238" s="26" t="s">
        <v>2832</v>
      </c>
      <c r="C238" s="888">
        <f>SUMIFS('National model results detailed'!C$105:C$122, 'National model results detailed'!$AU$105:$AU$122,$B238)</f>
        <v>115059.52680700402</v>
      </c>
      <c r="D238" s="888">
        <f>SUMIFS('National model results detailed'!D$105:D$122, 'National model results detailed'!$AU$105:$AU$122,$B238)</f>
        <v>123160.74572347444</v>
      </c>
      <c r="E238" s="888">
        <f>SUMIFS('National model results detailed'!E$105:E$122, 'National model results detailed'!$AU$105:$AU$122,$B238)</f>
        <v>131068.95648290426</v>
      </c>
      <c r="F238" s="888">
        <f>SUMIFS('National model results detailed'!F$105:F$122, 'National model results detailed'!$AU$105:$AU$122,$B238)</f>
        <v>138932.5879929412</v>
      </c>
      <c r="G238" s="888">
        <f>SUMIFS('National model results detailed'!G$105:G$122, 'National model results detailed'!$AU$105:$AU$122,$B238)</f>
        <v>146901.25069858384</v>
      </c>
      <c r="H238" s="888">
        <f>SUMIFS('National model results detailed'!H$105:H$122, 'National model results detailed'!$AU$105:$AU$122,$B238)</f>
        <v>155065.17804348489</v>
      </c>
      <c r="I238" s="888">
        <f>SUMIFS('National model results detailed'!I$105:I$122, 'National model results detailed'!$AU$105:$AU$122,$B238)</f>
        <v>163430.8371348755</v>
      </c>
      <c r="J238" s="888">
        <f>SUMIFS('National model results detailed'!J$105:J$122, 'National model results detailed'!$AU$105:$AU$122,$B238)</f>
        <v>172047.82440446728</v>
      </c>
      <c r="K238" s="888">
        <f>SUMIFS('National model results detailed'!K$105:K$122, 'National model results detailed'!$AU$105:$AU$122,$B238)</f>
        <v>181206.16535202382</v>
      </c>
      <c r="L238" s="888">
        <f>SUMIFS('National model results detailed'!L$105:L$122, 'National model results detailed'!$AU$105:$AU$122,$B238)</f>
        <v>190748.30078640761</v>
      </c>
      <c r="M238" s="888">
        <f>SUMIFS('National model results detailed'!M$105:M$122, 'National model results detailed'!$AU$105:$AU$122,$B238)</f>
        <v>200598.41466479943</v>
      </c>
      <c r="N238" s="888">
        <f>SUMIFS('National model results detailed'!N$105:N$122, 'National model results detailed'!$AU$105:$AU$122,$B238)</f>
        <v>210481.01392166331</v>
      </c>
      <c r="O238" s="888">
        <f>SUMIFS('National model results detailed'!O$105:O$122, 'National model results detailed'!$AU$105:$AU$122,$B238)</f>
        <v>220603.36603098456</v>
      </c>
      <c r="P238" s="888">
        <f>SUMIFS('National model results detailed'!P$105:P$122, 'National model results detailed'!$AU$105:$AU$122,$B238)</f>
        <v>231025.61234651037</v>
      </c>
      <c r="Q238" s="888">
        <f>SUMIFS('National model results detailed'!Q$105:Q$122, 'National model results detailed'!$AU$105:$AU$122,$B238)</f>
        <v>241821.12674343577</v>
      </c>
      <c r="R238" s="888">
        <f>SUMIFS('National model results detailed'!R$105:R$122, 'National model results detailed'!$AU$105:$AU$122,$B238)</f>
        <v>253010.72295181814</v>
      </c>
      <c r="S238" s="888">
        <f>SUMIFS('National model results detailed'!S$105:S$122, 'National model results detailed'!$AU$105:$AU$122,$B238)</f>
        <v>264552.08411846368</v>
      </c>
      <c r="T238" s="888">
        <f>SUMIFS('National model results detailed'!T$105:T$122, 'National model results detailed'!$AU$105:$AU$122,$B238)</f>
        <v>276463.26884642115</v>
      </c>
      <c r="U238" s="888">
        <f>SUMIFS('National model results detailed'!U$105:U$122, 'National model results detailed'!$AU$105:$AU$122,$B238)</f>
        <v>288889.93389657862</v>
      </c>
      <c r="V238" s="888">
        <f>SUMIFS('National model results detailed'!V$105:V$122, 'National model results detailed'!$AU$105:$AU$122,$B238)</f>
        <v>301734.43202194385</v>
      </c>
      <c r="W238" s="888">
        <f>SUMIFS('National model results detailed'!W$105:W$122, 'National model results detailed'!$AU$105:$AU$122,$B238)</f>
        <v>314975.06853203342</v>
      </c>
      <c r="X238" s="888">
        <f>SUMIFS('National model results detailed'!X$105:X$122, 'National model results detailed'!$AU$105:$AU$122,$B238)</f>
        <v>328616.62469789758</v>
      </c>
      <c r="Y238" s="888">
        <f>SUMIFS('National model results detailed'!Y$105:Y$122, 'National model results detailed'!$AU$105:$AU$122,$B238)</f>
        <v>342728.81276512489</v>
      </c>
      <c r="Z238" s="888">
        <f>SUMIFS('National model results detailed'!Z$105:Z$122, 'National model results detailed'!$AU$105:$AU$122,$B238)</f>
        <v>357312.03542506759</v>
      </c>
      <c r="AA238" s="888">
        <f>SUMIFS('National model results detailed'!AA$105:AA$122, 'National model results detailed'!$AU$105:$AU$122,$B238)</f>
        <v>372354.12718338019</v>
      </c>
      <c r="AB238" s="888">
        <f>SUMIFS('National model results detailed'!AB$105:AB$122, 'National model results detailed'!$AU$105:$AU$122,$B238)</f>
        <v>387846.7356861725</v>
      </c>
      <c r="AC238" s="888">
        <f>SUMIFS('National model results detailed'!AC$105:AC$122, 'National model results detailed'!$AU$105:$AU$122,$B238)</f>
        <v>403779.87075009529</v>
      </c>
      <c r="AD238" s="888">
        <f>SUMIFS('National model results detailed'!AD$105:AD$122, 'National model results detailed'!$AU$105:$AU$122,$B238)</f>
        <v>420147.47249396803</v>
      </c>
      <c r="AE238" s="888">
        <f>SUMIFS('National model results detailed'!AE$105:AE$122, 'National model results detailed'!$AU$105:$AU$122,$B238)</f>
        <v>436943.50960154412</v>
      </c>
      <c r="AF238" s="888">
        <f>SUMIFS('National model results detailed'!AF$105:AF$122, 'National model results detailed'!$AU$105:$AU$122,$B238)</f>
        <v>454187.92039266601</v>
      </c>
      <c r="AG238" s="888">
        <f>SUMIFS('National model results detailed'!AG$105:AG$122, 'National model results detailed'!$AU$105:$AU$122,$B238)</f>
        <v>471955.17587900179</v>
      </c>
      <c r="AH238" s="888">
        <f>SUMIFS('National model results detailed'!AH$105:AH$122, 'National model results detailed'!$AU$105:$AU$122,$B238)</f>
        <v>490265.19504111138</v>
      </c>
      <c r="AI238" s="888">
        <f>SUMIFS('National model results detailed'!AI$105:AI$122, 'National model results detailed'!$AU$105:$AU$122,$B238)</f>
        <v>509157.20852739323</v>
      </c>
      <c r="AJ238" s="888">
        <f>SUMIFS('National model results detailed'!AJ$105:AJ$122, 'National model results detailed'!$AU$105:$AU$122,$B238)</f>
        <v>528566.9841997308</v>
      </c>
      <c r="AK238" s="888">
        <f>SUMIFS('National model results detailed'!AK$105:AK$122, 'National model results detailed'!$AU$105:$AU$122,$B238)</f>
        <v>548443.05448032089</v>
      </c>
      <c r="AL238" s="888">
        <f>SUMIFS('National model results detailed'!AL$105:AL$122, 'National model results detailed'!$AU$105:$AU$122,$B238)</f>
        <v>568748.9579832654</v>
      </c>
      <c r="AM238" s="888">
        <f>SUMIFS('National model results detailed'!AM$105:AM$122, 'National model results detailed'!$AU$105:$AU$122,$B238)</f>
        <v>589514.36253931047</v>
      </c>
      <c r="AN238" s="888">
        <f>SUMIFS('National model results detailed'!AN$105:AN$122, 'National model results detailed'!$AU$105:$AU$122,$B238)</f>
        <v>610749.73887889506</v>
      </c>
      <c r="AO238" s="888">
        <f>SUMIFS('National model results detailed'!AO$105:AO$122, 'National model results detailed'!$AU$105:$AU$122,$B238)</f>
        <v>632448.29278824851</v>
      </c>
      <c r="AP238" s="888">
        <f>SUMIFS('National model results detailed'!AP$105:AP$122, 'National model results detailed'!$AU$105:$AU$122,$B238)</f>
        <v>654712.57649411215</v>
      </c>
      <c r="AQ238" s="888">
        <f>SUMIFS('National model results detailed'!AQ$105:AQ$122, 'National model results detailed'!$AU$105:$AU$122,$B238)</f>
        <v>677665.66385176592</v>
      </c>
      <c r="AR238" s="888">
        <f>SUMIFS('National model results detailed'!AR$105:AR$122, 'National model results detailed'!$AU$105:$AU$122,$B238)</f>
        <v>701417.7474496481</v>
      </c>
      <c r="AS238" s="888">
        <f>SUMIFS('National model results detailed'!AS$105:AS$122, 'National model results detailed'!$AU$105:$AU$122,$B238)</f>
        <v>725385.82573956321</v>
      </c>
    </row>
    <row r="239" spans="1:55">
      <c r="C239" s="151" t="b">
        <f>SUM(C227:C238)='National model results detailed'!C123</f>
        <v>1</v>
      </c>
      <c r="D239" s="151" t="b">
        <f>SUM(D227:D238)='National model results detailed'!D123</f>
        <v>1</v>
      </c>
      <c r="E239" s="151" t="b">
        <f>SUM(E227:E238)='National model results detailed'!E123</f>
        <v>1</v>
      </c>
      <c r="F239" s="151" t="b">
        <f>SUM(F227:F238)='National model results detailed'!F123</f>
        <v>1</v>
      </c>
      <c r="G239" s="151" t="b">
        <f>SUM(G227:G238)='National model results detailed'!G123</f>
        <v>1</v>
      </c>
      <c r="H239" s="151" t="b">
        <f>SUM(H227:H238)='National model results detailed'!H123</f>
        <v>1</v>
      </c>
      <c r="I239" s="151" t="b">
        <f>SUM(I227:I238)='National model results detailed'!I123</f>
        <v>1</v>
      </c>
      <c r="J239" s="151" t="b">
        <f>SUM(J227:J238)='National model results detailed'!J123</f>
        <v>1</v>
      </c>
      <c r="K239" s="151" t="b">
        <f>SUM(K227:K238)='National model results detailed'!K123</f>
        <v>1</v>
      </c>
      <c r="L239" s="151" t="b">
        <f>SUM(L227:L238)='National model results detailed'!L123</f>
        <v>1</v>
      </c>
      <c r="M239" s="151" t="b">
        <f>SUM(M227:M238)='National model results detailed'!M123</f>
        <v>1</v>
      </c>
      <c r="N239" s="151" t="b">
        <f>SUM(N227:N238)='National model results detailed'!N123</f>
        <v>1</v>
      </c>
      <c r="O239" s="151" t="b">
        <f>SUM(O227:O238)='National model results detailed'!O123</f>
        <v>1</v>
      </c>
      <c r="P239" s="151" t="b">
        <f>SUM(P227:P238)='National model results detailed'!P123</f>
        <v>1</v>
      </c>
      <c r="Q239" s="151" t="b">
        <f>SUM(Q227:Q238)='National model results detailed'!Q123</f>
        <v>1</v>
      </c>
      <c r="R239" s="151" t="b">
        <f>SUM(R227:R238)='National model results detailed'!R123</f>
        <v>1</v>
      </c>
      <c r="S239" s="151" t="b">
        <f>SUM(S227:S238)='National model results detailed'!S123</f>
        <v>1</v>
      </c>
      <c r="T239" s="151" t="b">
        <f>SUM(T227:T238)='National model results detailed'!T123</f>
        <v>1</v>
      </c>
      <c r="U239" s="151" t="b">
        <f>SUM(U227:U238)='National model results detailed'!U123</f>
        <v>1</v>
      </c>
      <c r="V239" s="151" t="b">
        <f>SUM(V227:V238)='National model results detailed'!V123</f>
        <v>1</v>
      </c>
      <c r="W239" s="151" t="b">
        <f>SUM(W227:W238)='National model results detailed'!W123</f>
        <v>0</v>
      </c>
      <c r="X239" s="151" t="b">
        <f>SUM(X227:X238)='National model results detailed'!X123</f>
        <v>0</v>
      </c>
      <c r="Y239" s="151" t="b">
        <f>SUM(Y227:Y238)='National model results detailed'!Y123</f>
        <v>1</v>
      </c>
      <c r="Z239" s="151" t="b">
        <f>SUM(Z227:Z238)='National model results detailed'!Z123</f>
        <v>1</v>
      </c>
      <c r="AA239" s="151" t="b">
        <f>SUM(AA227:AA238)='National model results detailed'!AA123</f>
        <v>1</v>
      </c>
      <c r="AB239" s="151" t="b">
        <f>SUM(AB227:AB238)='National model results detailed'!AB123</f>
        <v>1</v>
      </c>
      <c r="AC239" s="151" t="b">
        <f>SUM(AC227:AC238)='National model results detailed'!AC123</f>
        <v>1</v>
      </c>
      <c r="AD239" s="151" t="b">
        <f>SUM(AD227:AD238)='National model results detailed'!AD123</f>
        <v>1</v>
      </c>
      <c r="AE239" s="151" t="b">
        <f>SUM(AE227:AE238)='National model results detailed'!AE123</f>
        <v>1</v>
      </c>
      <c r="AF239" s="151" t="b">
        <f>SUM(AF227:AF238)='National model results detailed'!AF123</f>
        <v>1</v>
      </c>
      <c r="AG239" s="151" t="b">
        <f>SUM(AG227:AG238)='National model results detailed'!AG123</f>
        <v>1</v>
      </c>
      <c r="AH239" s="151" t="b">
        <f>SUM(AH227:AH238)='National model results detailed'!AH123</f>
        <v>1</v>
      </c>
      <c r="AI239" s="151" t="b">
        <f>SUM(AI227:AI238)='National model results detailed'!AI123</f>
        <v>1</v>
      </c>
      <c r="AJ239" s="151" t="b">
        <f>SUM(AJ227:AJ238)='National model results detailed'!AJ123</f>
        <v>1</v>
      </c>
      <c r="AK239" s="151" t="b">
        <f>SUM(AK227:AK238)='National model results detailed'!AK123</f>
        <v>1</v>
      </c>
      <c r="AL239" s="151" t="b">
        <f>SUM(AL227:AL238)='National model results detailed'!AL123</f>
        <v>1</v>
      </c>
      <c r="AM239" s="151" t="b">
        <f>SUM(AM227:AM238)='National model results detailed'!AM123</f>
        <v>1</v>
      </c>
      <c r="AN239" s="151" t="b">
        <f>SUM(AN227:AN238)='National model results detailed'!AN123</f>
        <v>1</v>
      </c>
      <c r="AO239" s="151" t="b">
        <f>SUM(AO227:AO238)='National model results detailed'!AO123</f>
        <v>1</v>
      </c>
      <c r="AP239" s="151" t="b">
        <f>SUM(AP227:AP238)='National model results detailed'!AP123</f>
        <v>1</v>
      </c>
      <c r="AQ239" s="151" t="b">
        <f>SUM(AQ227:AQ238)='National model results detailed'!AQ123</f>
        <v>1</v>
      </c>
      <c r="AR239" s="151" t="b">
        <f>SUM(AR227:AR238)='National model results detailed'!AR123</f>
        <v>1</v>
      </c>
      <c r="AS239" s="151" t="b">
        <f>SUM(AS227:AS238)='National model results detailed'!AS123</f>
        <v>1</v>
      </c>
    </row>
    <row r="240" spans="1:55">
      <c r="C240" s="151"/>
      <c r="D240" s="151"/>
      <c r="E240" s="151"/>
      <c r="F240" s="151"/>
      <c r="G240" s="151"/>
      <c r="H240" s="151"/>
      <c r="I240" s="151"/>
      <c r="J240" s="151"/>
      <c r="K240" s="151"/>
      <c r="L240" s="151"/>
      <c r="M240" s="151"/>
      <c r="N240" s="151"/>
      <c r="O240" s="151"/>
      <c r="P240" s="151"/>
      <c r="Q240" s="151"/>
      <c r="R240" s="151"/>
      <c r="S240" s="151"/>
      <c r="T240" s="151"/>
      <c r="U240" s="151"/>
      <c r="V240" s="151"/>
      <c r="W240" s="151"/>
      <c r="X240" s="151"/>
      <c r="Y240" s="151"/>
      <c r="Z240" s="151"/>
      <c r="AA240" s="151"/>
      <c r="AB240" s="151"/>
      <c r="AC240" s="151"/>
      <c r="AD240" s="151"/>
      <c r="AE240" s="151"/>
      <c r="AF240" s="151"/>
      <c r="AG240" s="151"/>
      <c r="AH240" s="151"/>
      <c r="AI240" s="151"/>
      <c r="AJ240" s="151"/>
      <c r="AK240" s="151"/>
      <c r="AL240" s="151"/>
      <c r="AM240" s="151"/>
      <c r="AN240" s="151"/>
      <c r="AO240" s="151"/>
    </row>
    <row r="241" spans="1:41">
      <c r="C241" s="151"/>
      <c r="D241" s="151"/>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c r="AA241" s="151"/>
      <c r="AB241" s="151"/>
      <c r="AC241" s="151"/>
      <c r="AD241" s="151"/>
      <c r="AE241" s="151"/>
      <c r="AF241" s="151"/>
      <c r="AG241" s="151"/>
      <c r="AH241" s="151"/>
      <c r="AI241" s="151"/>
      <c r="AJ241" s="151"/>
      <c r="AK241" s="151"/>
      <c r="AL241" s="151"/>
      <c r="AM241" s="151"/>
      <c r="AN241" s="151"/>
      <c r="AO241" s="151"/>
    </row>
    <row r="242" spans="1:41" s="3" customFormat="1">
      <c r="B242" s="299"/>
      <c r="C242" s="749"/>
      <c r="D242" s="749"/>
      <c r="E242" s="749"/>
      <c r="F242" s="749"/>
      <c r="G242" s="749"/>
      <c r="H242" s="749"/>
      <c r="I242" s="749"/>
      <c r="J242" s="749"/>
      <c r="K242" s="749"/>
      <c r="L242" s="749"/>
      <c r="M242" s="749"/>
      <c r="N242" s="749"/>
      <c r="O242" s="749"/>
      <c r="P242" s="749"/>
      <c r="Q242" s="749"/>
      <c r="R242" s="749"/>
      <c r="S242" s="749"/>
      <c r="T242" s="749"/>
      <c r="U242" s="749"/>
      <c r="V242" s="749"/>
      <c r="W242" s="749"/>
      <c r="X242" s="749"/>
      <c r="Y242" s="749"/>
      <c r="Z242" s="749"/>
      <c r="AA242" s="749"/>
      <c r="AB242" s="749"/>
      <c r="AC242" s="749"/>
      <c r="AD242" s="749"/>
      <c r="AE242" s="749"/>
      <c r="AF242" s="749"/>
      <c r="AG242" s="749"/>
      <c r="AH242" s="749"/>
      <c r="AI242" s="749"/>
      <c r="AJ242" s="749"/>
      <c r="AK242" s="749"/>
      <c r="AL242" s="749"/>
      <c r="AM242" s="749"/>
      <c r="AN242" s="749"/>
      <c r="AO242" s="749"/>
    </row>
    <row r="243" spans="1:41" s="588" customFormat="1">
      <c r="A243" s="588" t="s">
        <v>10</v>
      </c>
      <c r="B243" s="696" t="s">
        <v>3465</v>
      </c>
      <c r="C243" s="748"/>
      <c r="D243" s="748"/>
      <c r="E243" s="748"/>
      <c r="F243" s="748"/>
      <c r="G243" s="748"/>
      <c r="H243" s="748"/>
      <c r="I243" s="748"/>
      <c r="J243" s="748"/>
      <c r="K243" s="748"/>
      <c r="L243" s="748"/>
      <c r="M243" s="748"/>
      <c r="N243" s="748"/>
      <c r="O243" s="748"/>
      <c r="P243" s="748"/>
      <c r="Q243" s="748"/>
      <c r="R243" s="748"/>
      <c r="S243" s="748"/>
      <c r="T243" s="748"/>
      <c r="U243" s="748"/>
      <c r="V243" s="748"/>
      <c r="W243" s="748"/>
      <c r="X243" s="748"/>
      <c r="Y243" s="748"/>
      <c r="Z243" s="748"/>
      <c r="AA243" s="748"/>
      <c r="AB243" s="748"/>
      <c r="AC243" s="748"/>
      <c r="AD243" s="748"/>
      <c r="AE243" s="748"/>
      <c r="AF243" s="748"/>
      <c r="AG243" s="748"/>
      <c r="AH243" s="748"/>
      <c r="AI243" s="748"/>
      <c r="AJ243" s="748"/>
      <c r="AK243" s="748"/>
      <c r="AL243" s="748"/>
      <c r="AM243" s="748"/>
      <c r="AN243" s="748"/>
      <c r="AO243" s="748"/>
    </row>
    <row r="244" spans="1:41">
      <c r="B244" s="113"/>
      <c r="C244" s="739"/>
      <c r="D244" s="739"/>
      <c r="E244" s="739"/>
      <c r="F244" s="739"/>
      <c r="G244" s="739"/>
      <c r="H244" s="739"/>
      <c r="I244" s="739"/>
      <c r="J244" s="739"/>
      <c r="K244" s="739"/>
      <c r="L244" s="739"/>
      <c r="M244" s="739"/>
      <c r="N244" s="739"/>
      <c r="O244" s="739"/>
      <c r="P244" s="739"/>
      <c r="Q244" s="739"/>
      <c r="R244" s="739"/>
      <c r="S244" s="739"/>
      <c r="T244" s="739"/>
      <c r="U244" s="739"/>
      <c r="V244" s="739"/>
      <c r="W244" s="739"/>
      <c r="X244" s="739"/>
      <c r="Y244" s="739"/>
      <c r="Z244" s="739"/>
      <c r="AA244" s="739"/>
      <c r="AB244" s="739"/>
      <c r="AC244" s="739"/>
      <c r="AD244" s="739"/>
      <c r="AE244" s="739"/>
      <c r="AF244" s="739"/>
      <c r="AG244" s="739"/>
      <c r="AH244" s="739"/>
      <c r="AI244" s="739"/>
      <c r="AJ244" s="739"/>
      <c r="AK244" s="739"/>
      <c r="AL244" s="739"/>
      <c r="AM244" s="739"/>
      <c r="AN244" s="739"/>
      <c r="AO244" s="739"/>
    </row>
    <row r="245" spans="1:41">
      <c r="B245" s="113"/>
      <c r="C245" s="739"/>
      <c r="D245" s="739"/>
      <c r="E245" s="739"/>
      <c r="F245" s="739"/>
      <c r="G245" s="739"/>
      <c r="H245" s="739"/>
      <c r="I245" s="739"/>
      <c r="J245" s="739"/>
      <c r="K245" s="739"/>
      <c r="L245" s="739"/>
      <c r="M245" s="739"/>
      <c r="N245" s="739"/>
      <c r="O245" s="739"/>
      <c r="P245" s="739"/>
      <c r="Q245" s="739"/>
      <c r="R245" s="739"/>
      <c r="S245" s="739"/>
      <c r="T245" s="739"/>
      <c r="U245" s="739"/>
      <c r="V245" s="739"/>
      <c r="W245" s="739"/>
      <c r="X245" s="739"/>
      <c r="Y245" s="739"/>
      <c r="Z245" s="739"/>
      <c r="AA245" s="739"/>
      <c r="AB245" s="739"/>
      <c r="AC245" s="739"/>
      <c r="AD245" s="739"/>
      <c r="AE245" s="739"/>
      <c r="AF245" s="739"/>
      <c r="AG245" s="739"/>
      <c r="AH245" s="739"/>
      <c r="AI245" s="739"/>
      <c r="AJ245" s="739"/>
      <c r="AK245" s="739"/>
      <c r="AL245" s="739"/>
      <c r="AM245" s="739"/>
      <c r="AN245" s="739"/>
      <c r="AO245" s="739"/>
    </row>
    <row r="246" spans="1:41">
      <c r="B246" s="113"/>
      <c r="C246" s="739"/>
      <c r="D246" s="739"/>
      <c r="E246" s="739"/>
      <c r="F246" s="739"/>
      <c r="G246" s="739"/>
      <c r="H246" s="739"/>
      <c r="I246" s="739"/>
      <c r="J246" s="739"/>
      <c r="K246" s="739"/>
      <c r="L246" s="739"/>
      <c r="M246" s="739"/>
      <c r="N246" s="739"/>
      <c r="O246" s="739"/>
      <c r="P246" s="739"/>
      <c r="Q246" s="739"/>
      <c r="R246" s="739"/>
      <c r="S246" s="739"/>
      <c r="T246" s="739"/>
      <c r="U246" s="739"/>
      <c r="V246" s="739"/>
      <c r="W246" s="739"/>
      <c r="X246" s="739"/>
      <c r="Y246" s="739"/>
      <c r="Z246" s="739"/>
      <c r="AA246" s="739"/>
      <c r="AB246" s="739"/>
      <c r="AC246" s="739"/>
      <c r="AD246" s="739"/>
      <c r="AE246" s="739"/>
      <c r="AF246" s="739"/>
      <c r="AG246" s="739"/>
      <c r="AH246" s="739"/>
      <c r="AI246" s="739"/>
      <c r="AJ246" s="739"/>
      <c r="AK246" s="739"/>
      <c r="AL246" s="739"/>
      <c r="AM246" s="739"/>
      <c r="AN246" s="739"/>
      <c r="AO246" s="739"/>
    </row>
    <row r="247" spans="1:41">
      <c r="B247" s="114"/>
      <c r="C247" s="34">
        <f t="shared" ref="C247:AO247" si="110">C189</f>
        <v>2020</v>
      </c>
      <c r="D247" s="34">
        <f t="shared" si="110"/>
        <v>2021</v>
      </c>
      <c r="E247" s="34">
        <f t="shared" si="110"/>
        <v>2022</v>
      </c>
      <c r="F247" s="34">
        <f t="shared" si="110"/>
        <v>2023</v>
      </c>
      <c r="G247" s="34">
        <f t="shared" si="110"/>
        <v>2024</v>
      </c>
      <c r="H247" s="34">
        <f t="shared" si="110"/>
        <v>2025</v>
      </c>
      <c r="I247" s="34">
        <f t="shared" si="110"/>
        <v>2026</v>
      </c>
      <c r="J247" s="34">
        <f t="shared" si="110"/>
        <v>2027</v>
      </c>
      <c r="K247" s="34">
        <f t="shared" si="110"/>
        <v>2028</v>
      </c>
      <c r="L247" s="34">
        <f t="shared" si="110"/>
        <v>2029</v>
      </c>
      <c r="M247" s="34">
        <f t="shared" si="110"/>
        <v>2030</v>
      </c>
      <c r="N247" s="34">
        <f t="shared" si="110"/>
        <v>2031</v>
      </c>
      <c r="O247" s="34">
        <f t="shared" si="110"/>
        <v>2032</v>
      </c>
      <c r="P247" s="34">
        <f t="shared" si="110"/>
        <v>2033</v>
      </c>
      <c r="Q247" s="34">
        <f t="shared" si="110"/>
        <v>2034</v>
      </c>
      <c r="R247" s="34">
        <f t="shared" si="110"/>
        <v>2035</v>
      </c>
      <c r="S247" s="34">
        <f t="shared" si="110"/>
        <v>2036</v>
      </c>
      <c r="T247" s="34">
        <f t="shared" si="110"/>
        <v>2037</v>
      </c>
      <c r="U247" s="34">
        <f t="shared" si="110"/>
        <v>2038</v>
      </c>
      <c r="V247" s="34">
        <f t="shared" si="110"/>
        <v>2039</v>
      </c>
      <c r="W247" s="34">
        <f t="shared" si="110"/>
        <v>2040</v>
      </c>
      <c r="X247" s="34">
        <f t="shared" si="110"/>
        <v>2041</v>
      </c>
      <c r="Y247" s="34">
        <f t="shared" si="110"/>
        <v>2042</v>
      </c>
      <c r="Z247" s="34">
        <f t="shared" si="110"/>
        <v>2043</v>
      </c>
      <c r="AA247" s="34">
        <f t="shared" si="110"/>
        <v>2044</v>
      </c>
      <c r="AB247" s="34">
        <f t="shared" si="110"/>
        <v>2045</v>
      </c>
      <c r="AC247" s="34">
        <f t="shared" si="110"/>
        <v>2046</v>
      </c>
      <c r="AD247" s="34">
        <f t="shared" si="110"/>
        <v>2047</v>
      </c>
      <c r="AE247" s="34">
        <f t="shared" si="110"/>
        <v>2048</v>
      </c>
      <c r="AF247" s="34">
        <f t="shared" si="110"/>
        <v>2049</v>
      </c>
      <c r="AG247" s="34">
        <f t="shared" si="110"/>
        <v>2050</v>
      </c>
      <c r="AH247" s="34">
        <f t="shared" si="110"/>
        <v>2051</v>
      </c>
      <c r="AI247" s="34">
        <f t="shared" si="110"/>
        <v>2052</v>
      </c>
      <c r="AJ247" s="34">
        <f t="shared" si="110"/>
        <v>2053</v>
      </c>
      <c r="AK247" s="34">
        <f t="shared" si="110"/>
        <v>2054</v>
      </c>
      <c r="AL247" s="34">
        <f t="shared" si="110"/>
        <v>2055</v>
      </c>
      <c r="AM247" s="34">
        <f t="shared" si="110"/>
        <v>2056</v>
      </c>
      <c r="AN247" s="34">
        <f t="shared" si="110"/>
        <v>2057</v>
      </c>
      <c r="AO247" s="34">
        <f t="shared" si="110"/>
        <v>2058</v>
      </c>
    </row>
    <row r="248" spans="1:41" s="81" customFormat="1">
      <c r="B248" s="741" t="s">
        <v>3466</v>
      </c>
      <c r="C248" s="742">
        <f t="shared" ref="C248:AO248" si="111">C194+C191</f>
        <v>0</v>
      </c>
      <c r="D248" s="742">
        <f t="shared" si="111"/>
        <v>-155145.95172375129</v>
      </c>
      <c r="E248" s="742">
        <f t="shared" si="111"/>
        <v>-184037.38641253969</v>
      </c>
      <c r="F248" s="742">
        <f t="shared" si="111"/>
        <v>-215214.14001335684</v>
      </c>
      <c r="G248" s="742">
        <f t="shared" si="111"/>
        <v>-98292.739494981564</v>
      </c>
      <c r="H248" s="742">
        <f t="shared" si="111"/>
        <v>24131.757736786341</v>
      </c>
      <c r="I248" s="742">
        <f t="shared" si="111"/>
        <v>106154.99535017399</v>
      </c>
      <c r="J248" s="742">
        <f t="shared" si="111"/>
        <v>161720.73540697445</v>
      </c>
      <c r="K248" s="742">
        <f t="shared" si="111"/>
        <v>200373.2131188261</v>
      </c>
      <c r="L248" s="742">
        <f t="shared" si="111"/>
        <v>228088.32562708179</v>
      </c>
      <c r="M248" s="742">
        <f t="shared" si="111"/>
        <v>248552.93116170241</v>
      </c>
      <c r="N248" s="742">
        <f t="shared" si="111"/>
        <v>252393.30902533181</v>
      </c>
      <c r="O248" s="742">
        <f t="shared" si="111"/>
        <v>263940.61459318723</v>
      </c>
      <c r="P248" s="742">
        <f t="shared" si="111"/>
        <v>273788.46654309554</v>
      </c>
      <c r="Q248" s="742">
        <f t="shared" si="111"/>
        <v>294546.09876372945</v>
      </c>
      <c r="R248" s="742">
        <f t="shared" si="111"/>
        <v>315505.93996304896</v>
      </c>
      <c r="S248" s="742">
        <f t="shared" si="111"/>
        <v>335171.66098295065</v>
      </c>
      <c r="T248" s="742">
        <f t="shared" si="111"/>
        <v>354036.69478926086</v>
      </c>
      <c r="U248" s="742">
        <f t="shared" si="111"/>
        <v>372896.27165193221</v>
      </c>
      <c r="V248" s="742">
        <f t="shared" si="111"/>
        <v>392027.95629334275</v>
      </c>
      <c r="W248" s="742">
        <f t="shared" si="111"/>
        <v>411512.26406007312</v>
      </c>
      <c r="X248" s="742">
        <f t="shared" si="111"/>
        <v>431056.04383800307</v>
      </c>
      <c r="Y248" s="742">
        <f t="shared" si="111"/>
        <v>451384.33654291811</v>
      </c>
      <c r="Z248" s="742">
        <f t="shared" si="111"/>
        <v>472608.53896681493</v>
      </c>
      <c r="AA248" s="742">
        <f t="shared" si="111"/>
        <v>494685.81248560979</v>
      </c>
      <c r="AB248" s="742">
        <f t="shared" si="111"/>
        <v>517391.17765922059</v>
      </c>
      <c r="AC248" s="742">
        <f t="shared" si="111"/>
        <v>540786.51159280853</v>
      </c>
      <c r="AD248" s="742">
        <f t="shared" si="111"/>
        <v>564949.96157735388</v>
      </c>
      <c r="AE248" s="742">
        <f t="shared" si="111"/>
        <v>589915.8517243471</v>
      </c>
      <c r="AF248" s="742">
        <f t="shared" si="111"/>
        <v>615779.40779296809</v>
      </c>
      <c r="AG248" s="742">
        <f t="shared" si="111"/>
        <v>642740.29014320904</v>
      </c>
      <c r="AH248" s="742">
        <f t="shared" si="111"/>
        <v>670854.82273666258</v>
      </c>
      <c r="AI248" s="742">
        <f t="shared" si="111"/>
        <v>0</v>
      </c>
      <c r="AJ248" s="742">
        <f t="shared" si="111"/>
        <v>0</v>
      </c>
      <c r="AK248" s="742">
        <f t="shared" si="111"/>
        <v>0</v>
      </c>
      <c r="AL248" s="742">
        <f t="shared" si="111"/>
        <v>0</v>
      </c>
      <c r="AM248" s="742">
        <f t="shared" si="111"/>
        <v>0</v>
      </c>
      <c r="AN248" s="742">
        <f t="shared" si="111"/>
        <v>0</v>
      </c>
      <c r="AO248" s="742">
        <f t="shared" si="111"/>
        <v>0</v>
      </c>
    </row>
    <row r="249" spans="1:41">
      <c r="B249" s="113"/>
      <c r="C249" s="739"/>
      <c r="D249" s="739"/>
      <c r="E249" s="739"/>
      <c r="F249" s="739"/>
      <c r="G249" s="739"/>
      <c r="H249" s="739"/>
      <c r="I249" s="739"/>
      <c r="J249" s="739"/>
      <c r="K249" s="739"/>
      <c r="L249" s="739"/>
      <c r="M249" s="739"/>
      <c r="N249" s="739"/>
      <c r="O249" s="739"/>
      <c r="P249" s="739"/>
      <c r="Q249" s="739"/>
      <c r="R249" s="739"/>
      <c r="S249" s="739"/>
      <c r="T249" s="739"/>
      <c r="U249" s="739"/>
      <c r="V249" s="739"/>
      <c r="W249" s="739"/>
      <c r="X249" s="739"/>
      <c r="Y249" s="739"/>
      <c r="Z249" s="739"/>
      <c r="AA249" s="739"/>
      <c r="AB249" s="739"/>
      <c r="AC249" s="739"/>
      <c r="AD249" s="739"/>
      <c r="AE249" s="739"/>
      <c r="AF249" s="739"/>
      <c r="AG249" s="739"/>
      <c r="AH249" s="739"/>
      <c r="AI249" s="739"/>
      <c r="AJ249" s="739"/>
      <c r="AK249" s="739"/>
      <c r="AL249" s="739"/>
      <c r="AM249" s="739"/>
      <c r="AN249" s="739"/>
      <c r="AO249" s="739"/>
    </row>
    <row r="250" spans="1:41" s="81" customFormat="1">
      <c r="B250" s="741" t="s">
        <v>3467</v>
      </c>
      <c r="C250" s="742">
        <f>C248</f>
        <v>0</v>
      </c>
      <c r="D250" s="742">
        <f t="shared" ref="D250:AO250" si="112">C250+D248</f>
        <v>-155145.95172375129</v>
      </c>
      <c r="E250" s="742">
        <f t="shared" si="112"/>
        <v>-339183.33813629101</v>
      </c>
      <c r="F250" s="742">
        <f t="shared" si="112"/>
        <v>-554397.47814964782</v>
      </c>
      <c r="G250" s="742">
        <f t="shared" si="112"/>
        <v>-652690.21764462942</v>
      </c>
      <c r="H250" s="742">
        <f t="shared" si="112"/>
        <v>-628558.45990784303</v>
      </c>
      <c r="I250" s="742">
        <f t="shared" si="112"/>
        <v>-522403.46455766901</v>
      </c>
      <c r="J250" s="742">
        <f t="shared" si="112"/>
        <v>-360682.72915069456</v>
      </c>
      <c r="K250" s="742">
        <f t="shared" si="112"/>
        <v>-160309.51603186846</v>
      </c>
      <c r="L250" s="742">
        <f t="shared" si="112"/>
        <v>67778.80959521333</v>
      </c>
      <c r="M250" s="742">
        <f t="shared" si="112"/>
        <v>316331.74075691577</v>
      </c>
      <c r="N250" s="742">
        <f t="shared" si="112"/>
        <v>568725.04978224752</v>
      </c>
      <c r="O250" s="742">
        <f t="shared" si="112"/>
        <v>832665.66437543475</v>
      </c>
      <c r="P250" s="742">
        <f t="shared" si="112"/>
        <v>1106454.1309185303</v>
      </c>
      <c r="Q250" s="742">
        <f t="shared" si="112"/>
        <v>1401000.2296822597</v>
      </c>
      <c r="R250" s="742">
        <f t="shared" si="112"/>
        <v>1716506.1696453087</v>
      </c>
      <c r="S250" s="742">
        <f t="shared" si="112"/>
        <v>2051677.8306282593</v>
      </c>
      <c r="T250" s="742">
        <f t="shared" si="112"/>
        <v>2405714.5254175202</v>
      </c>
      <c r="U250" s="742">
        <f t="shared" si="112"/>
        <v>2778610.7970694522</v>
      </c>
      <c r="V250" s="742">
        <f t="shared" si="112"/>
        <v>3170638.7533627949</v>
      </c>
      <c r="W250" s="742">
        <f t="shared" si="112"/>
        <v>3582151.0174228679</v>
      </c>
      <c r="X250" s="742">
        <f t="shared" si="112"/>
        <v>4013207.0612608711</v>
      </c>
      <c r="Y250" s="742">
        <f t="shared" si="112"/>
        <v>4464591.397803789</v>
      </c>
      <c r="Z250" s="742">
        <f t="shared" si="112"/>
        <v>4937199.936770604</v>
      </c>
      <c r="AA250" s="742">
        <f t="shared" si="112"/>
        <v>5431885.7492562141</v>
      </c>
      <c r="AB250" s="742">
        <f t="shared" si="112"/>
        <v>5949276.9269154351</v>
      </c>
      <c r="AC250" s="742">
        <f t="shared" si="112"/>
        <v>6490063.4385082433</v>
      </c>
      <c r="AD250" s="742">
        <f t="shared" si="112"/>
        <v>7055013.4000855973</v>
      </c>
      <c r="AE250" s="742">
        <f t="shared" si="112"/>
        <v>7644929.2518099444</v>
      </c>
      <c r="AF250" s="742">
        <f t="shared" si="112"/>
        <v>8260708.6596029121</v>
      </c>
      <c r="AG250" s="742">
        <f t="shared" si="112"/>
        <v>8903448.9497461207</v>
      </c>
      <c r="AH250" s="742">
        <f t="shared" si="112"/>
        <v>9574303.7724827826</v>
      </c>
      <c r="AI250" s="742">
        <f t="shared" si="112"/>
        <v>9574303.7724827826</v>
      </c>
      <c r="AJ250" s="742">
        <f t="shared" si="112"/>
        <v>9574303.7724827826</v>
      </c>
      <c r="AK250" s="742">
        <f t="shared" si="112"/>
        <v>9574303.7724827826</v>
      </c>
      <c r="AL250" s="742">
        <f t="shared" si="112"/>
        <v>9574303.7724827826</v>
      </c>
      <c r="AM250" s="742">
        <f t="shared" si="112"/>
        <v>9574303.7724827826</v>
      </c>
      <c r="AN250" s="742">
        <f t="shared" si="112"/>
        <v>9574303.7724827826</v>
      </c>
      <c r="AO250" s="742">
        <f t="shared" si="112"/>
        <v>9574303.7724827826</v>
      </c>
    </row>
    <row r="251" spans="1:41">
      <c r="B251" s="113"/>
      <c r="C251" s="739"/>
      <c r="D251" s="739"/>
      <c r="E251" s="739"/>
      <c r="F251" s="739"/>
      <c r="G251" s="739"/>
      <c r="H251" s="739"/>
      <c r="I251" s="739"/>
      <c r="J251" s="739"/>
      <c r="K251" s="739"/>
      <c r="L251" s="739"/>
      <c r="M251" s="739"/>
      <c r="N251" s="739"/>
      <c r="O251" s="739"/>
      <c r="P251" s="739"/>
      <c r="Q251" s="739"/>
      <c r="R251" s="739"/>
      <c r="S251" s="739"/>
      <c r="T251" s="739"/>
      <c r="U251" s="739"/>
      <c r="V251" s="739"/>
      <c r="W251" s="739"/>
      <c r="X251" s="739"/>
      <c r="Y251" s="739"/>
      <c r="Z251" s="739"/>
      <c r="AA251" s="739"/>
      <c r="AB251" s="739"/>
      <c r="AC251" s="739"/>
      <c r="AD251" s="739"/>
      <c r="AE251" s="739"/>
      <c r="AF251" s="739"/>
      <c r="AG251" s="739"/>
      <c r="AH251" s="739"/>
      <c r="AI251" s="739"/>
      <c r="AJ251" s="739"/>
      <c r="AK251" s="739"/>
      <c r="AL251" s="739"/>
      <c r="AM251" s="739"/>
      <c r="AN251" s="739"/>
      <c r="AO251" s="739"/>
    </row>
    <row r="252" spans="1:41">
      <c r="B252" s="752" t="s">
        <v>3465</v>
      </c>
      <c r="C252" s="753">
        <f>COUNTIFS(C250:AO250, "&lt;0")</f>
        <v>8</v>
      </c>
      <c r="D252" s="739"/>
      <c r="E252" s="739"/>
      <c r="F252" s="739"/>
      <c r="G252" s="739"/>
      <c r="H252" s="739"/>
      <c r="I252" s="739"/>
      <c r="J252" s="739"/>
      <c r="K252" s="739"/>
      <c r="L252" s="739"/>
      <c r="M252" s="739"/>
      <c r="N252" s="739"/>
      <c r="O252" s="739"/>
      <c r="P252" s="739"/>
      <c r="Q252" s="739"/>
      <c r="R252" s="739"/>
      <c r="S252" s="739"/>
      <c r="T252" s="739"/>
      <c r="U252" s="739"/>
      <c r="V252" s="739"/>
      <c r="W252" s="739"/>
      <c r="X252" s="739"/>
      <c r="Y252" s="739"/>
      <c r="Z252" s="739"/>
      <c r="AA252" s="739"/>
      <c r="AB252" s="739"/>
      <c r="AC252" s="739"/>
      <c r="AD252" s="739"/>
      <c r="AE252" s="739"/>
      <c r="AF252" s="739"/>
      <c r="AG252" s="739"/>
      <c r="AH252" s="739"/>
      <c r="AI252" s="739"/>
      <c r="AJ252" s="739"/>
      <c r="AK252" s="739"/>
      <c r="AL252" s="739"/>
      <c r="AM252" s="739"/>
      <c r="AN252" s="739"/>
      <c r="AO252" s="739"/>
    </row>
    <row r="253" spans="1:41">
      <c r="B253" s="113"/>
      <c r="C253" s="739"/>
      <c r="D253" s="739"/>
      <c r="E253" s="739"/>
      <c r="F253" s="739"/>
      <c r="G253" s="739"/>
      <c r="H253" s="739"/>
      <c r="I253" s="739"/>
      <c r="J253" s="739"/>
      <c r="K253" s="739"/>
      <c r="L253" s="739"/>
      <c r="M253" s="739"/>
      <c r="N253" s="739"/>
      <c r="O253" s="739"/>
      <c r="P253" s="739"/>
      <c r="Q253" s="739"/>
      <c r="R253" s="739"/>
      <c r="S253" s="739"/>
      <c r="T253" s="739"/>
      <c r="U253" s="739"/>
      <c r="V253" s="739"/>
      <c r="W253" s="739"/>
      <c r="X253" s="739"/>
      <c r="Y253" s="739"/>
      <c r="Z253" s="739"/>
      <c r="AA253" s="739"/>
      <c r="AB253" s="739"/>
      <c r="AC253" s="739"/>
      <c r="AD253" s="739"/>
      <c r="AE253" s="739"/>
      <c r="AF253" s="739"/>
      <c r="AG253" s="739"/>
      <c r="AH253" s="739"/>
      <c r="AI253" s="739"/>
      <c r="AJ253" s="739"/>
      <c r="AK253" s="739"/>
      <c r="AL253" s="739"/>
      <c r="AM253" s="739"/>
      <c r="AN253" s="739"/>
      <c r="AO253" s="739"/>
    </row>
    <row r="254" spans="1:41">
      <c r="B254" s="113"/>
      <c r="C254" s="739"/>
      <c r="D254" s="739"/>
      <c r="E254" s="739"/>
      <c r="F254" s="739"/>
      <c r="G254" s="739"/>
      <c r="H254" s="739"/>
      <c r="I254" s="739"/>
      <c r="J254" s="739"/>
      <c r="K254" s="739"/>
      <c r="L254" s="739"/>
      <c r="M254" s="739"/>
      <c r="N254" s="739"/>
      <c r="O254" s="739"/>
      <c r="P254" s="739"/>
      <c r="Q254" s="739"/>
      <c r="R254" s="739"/>
      <c r="S254" s="739"/>
      <c r="T254" s="739"/>
      <c r="U254" s="739"/>
      <c r="V254" s="739"/>
      <c r="W254" s="739"/>
      <c r="X254" s="739"/>
      <c r="Y254" s="739"/>
      <c r="Z254" s="739"/>
      <c r="AA254" s="739"/>
      <c r="AB254" s="739"/>
      <c r="AC254" s="739"/>
      <c r="AD254" s="739"/>
      <c r="AE254" s="739"/>
      <c r="AF254" s="739"/>
      <c r="AG254" s="739"/>
      <c r="AH254" s="739"/>
      <c r="AI254" s="739"/>
      <c r="AJ254" s="739"/>
      <c r="AK254" s="739"/>
      <c r="AL254" s="739"/>
      <c r="AM254" s="739"/>
      <c r="AN254" s="739"/>
      <c r="AO254" s="739"/>
    </row>
    <row r="256" spans="1:41" s="588" customFormat="1">
      <c r="A256" s="593" t="s">
        <v>10</v>
      </c>
      <c r="B256" s="593" t="s">
        <v>3334</v>
      </c>
    </row>
    <row r="257" spans="1:6">
      <c r="A257" s="9"/>
      <c r="B257" s="151" t="s">
        <v>3331</v>
      </c>
    </row>
    <row r="258" spans="1:6">
      <c r="A258" s="9"/>
      <c r="B258" s="151" t="s">
        <v>3333</v>
      </c>
    </row>
    <row r="259" spans="1:6">
      <c r="A259" s="9"/>
      <c r="B259" s="9"/>
    </row>
    <row r="260" spans="1:6">
      <c r="A260" s="9"/>
      <c r="B260" s="141"/>
      <c r="C260" s="141" t="s">
        <v>2463</v>
      </c>
      <c r="D260" s="141" t="s">
        <v>3328</v>
      </c>
    </row>
    <row r="261" spans="1:6" ht="78.650000000000006" customHeight="1">
      <c r="A261" s="9"/>
      <c r="B261" s="6" t="s">
        <v>3354</v>
      </c>
      <c r="C261" s="659">
        <v>60000</v>
      </c>
      <c r="D261" s="653" t="s">
        <v>3341</v>
      </c>
    </row>
    <row r="262" spans="1:6" ht="29">
      <c r="A262" s="9"/>
      <c r="B262" s="6" t="s">
        <v>3355</v>
      </c>
      <c r="C262" s="572">
        <f>C261*(1+Inflation!C17)^(2019-2009)</f>
        <v>76505.87134167325</v>
      </c>
      <c r="D262" s="653" t="s">
        <v>3342</v>
      </c>
    </row>
    <row r="263" spans="1:6">
      <c r="A263" s="9"/>
      <c r="B263" s="52"/>
      <c r="C263" s="660"/>
      <c r="D263" s="656"/>
    </row>
    <row r="264" spans="1:6" ht="87">
      <c r="A264" s="9"/>
      <c r="B264" s="6" t="s">
        <v>3357</v>
      </c>
      <c r="C264" s="659">
        <v>20000</v>
      </c>
      <c r="D264" s="653" t="s">
        <v>3356</v>
      </c>
    </row>
    <row r="265" spans="1:6" ht="29">
      <c r="B265" s="6" t="s">
        <v>3358</v>
      </c>
      <c r="C265" s="572">
        <f>C264*(1+Inflation!C17)^(2019-2013)</f>
        <v>23139.613725497478</v>
      </c>
      <c r="D265" s="653" t="s">
        <v>3342</v>
      </c>
    </row>
    <row r="266" spans="1:6">
      <c r="B266" s="52"/>
      <c r="C266" s="655"/>
      <c r="D266" s="656"/>
    </row>
    <row r="267" spans="1:6">
      <c r="B267" s="114" t="s">
        <v>3340</v>
      </c>
      <c r="C267" s="655"/>
      <c r="D267" s="656"/>
    </row>
    <row r="268" spans="1:6">
      <c r="B268" s="151" t="s">
        <v>3347</v>
      </c>
      <c r="E268" s="181"/>
      <c r="F268" s="181"/>
    </row>
    <row r="269" spans="1:6">
      <c r="B269" s="151" t="s">
        <v>3346</v>
      </c>
      <c r="E269" s="181"/>
      <c r="F269" s="181"/>
    </row>
    <row r="270" spans="1:6">
      <c r="B270" s="141"/>
      <c r="C270" s="141" t="s">
        <v>2463</v>
      </c>
      <c r="D270" s="141" t="s">
        <v>3328</v>
      </c>
      <c r="E270" s="181"/>
      <c r="F270" s="181"/>
    </row>
    <row r="271" spans="1:6" ht="58">
      <c r="B271" s="6" t="s">
        <v>3332</v>
      </c>
      <c r="C271" s="654">
        <v>3.4000000000000002E-2</v>
      </c>
      <c r="D271" s="653" t="s">
        <v>3348</v>
      </c>
      <c r="E271" s="181"/>
      <c r="F271" s="19"/>
    </row>
    <row r="272" spans="1:6">
      <c r="E272" s="181"/>
      <c r="F272" s="181"/>
    </row>
    <row r="273" spans="2:41" ht="43.5">
      <c r="B273" s="6" t="s">
        <v>3335</v>
      </c>
      <c r="C273" s="28">
        <f>SUM('Control Assumptions'!C138:C139)</f>
        <v>0.6946107784431137</v>
      </c>
      <c r="D273" s="653"/>
      <c r="E273" s="181"/>
      <c r="F273" s="181"/>
    </row>
    <row r="274" spans="2:41" ht="43.5">
      <c r="B274" s="6" t="s">
        <v>3336</v>
      </c>
      <c r="C274" s="28">
        <f>SUM('Control Assumptions'!C148:C149)</f>
        <v>0.9</v>
      </c>
      <c r="D274" s="653"/>
      <c r="E274" s="181"/>
      <c r="F274" s="181"/>
    </row>
    <row r="275" spans="2:41" ht="99" customHeight="1">
      <c r="B275" s="6" t="s">
        <v>3337</v>
      </c>
      <c r="C275" s="28">
        <f>C274-C273</f>
        <v>0.20538922155688633</v>
      </c>
      <c r="D275" s="653" t="s">
        <v>3338</v>
      </c>
      <c r="E275" s="181"/>
      <c r="F275" s="181"/>
    </row>
    <row r="276" spans="2:41">
      <c r="E276" s="15"/>
    </row>
    <row r="277" spans="2:41">
      <c r="B277" s="9" t="s">
        <v>3339</v>
      </c>
    </row>
    <row r="278" spans="2:41">
      <c r="B278" s="141"/>
      <c r="C278" s="141" t="s">
        <v>2463</v>
      </c>
      <c r="D278" s="141" t="s">
        <v>3328</v>
      </c>
      <c r="E278" s="181"/>
    </row>
    <row r="279" spans="2:41" ht="53.4" customHeight="1">
      <c r="B279" s="6" t="s">
        <v>3329</v>
      </c>
      <c r="C279" s="654">
        <v>3.4000000000000002E-2</v>
      </c>
      <c r="D279" s="653" t="s">
        <v>3330</v>
      </c>
      <c r="E279" s="181"/>
      <c r="F279" s="181"/>
    </row>
    <row r="280" spans="2:41">
      <c r="E280" s="181"/>
      <c r="F280" s="181"/>
    </row>
    <row r="281" spans="2:41" ht="29">
      <c r="B281" s="6" t="s">
        <v>3344</v>
      </c>
      <c r="C281" s="28">
        <f>'Control Assumptions'!C139</f>
        <v>6.5813578322806432E-2</v>
      </c>
      <c r="D281" s="653"/>
      <c r="E281" s="15"/>
    </row>
    <row r="282" spans="2:41" ht="29">
      <c r="B282" s="6" t="s">
        <v>3345</v>
      </c>
      <c r="C282" s="28">
        <f>'Control Assumptions'!C149</f>
        <v>0.5478260869565218</v>
      </c>
      <c r="D282" s="653"/>
      <c r="E282" s="15"/>
    </row>
    <row r="283" spans="2:41" ht="101.5">
      <c r="B283" s="6" t="s">
        <v>3337</v>
      </c>
      <c r="C283" s="28">
        <f>C282-C281</f>
        <v>0.48201250863371536</v>
      </c>
      <c r="D283" s="653" t="s">
        <v>3349</v>
      </c>
    </row>
    <row r="284" spans="2:41">
      <c r="B284" s="52"/>
      <c r="C284" s="655"/>
      <c r="D284" s="656"/>
    </row>
    <row r="285" spans="2:41">
      <c r="E285" s="15"/>
      <c r="N285" s="96"/>
    </row>
    <row r="286" spans="2:41">
      <c r="B286" s="35" t="s">
        <v>3343</v>
      </c>
      <c r="E286" s="15"/>
    </row>
    <row r="287" spans="2:41">
      <c r="B287" s="34"/>
      <c r="C287" s="34">
        <f t="shared" ref="C287:AO287" si="113">C10</f>
        <v>2020</v>
      </c>
      <c r="D287" s="34">
        <f t="shared" si="113"/>
        <v>2021</v>
      </c>
      <c r="E287" s="34">
        <f t="shared" si="113"/>
        <v>2022</v>
      </c>
      <c r="F287" s="34">
        <f t="shared" si="113"/>
        <v>2023</v>
      </c>
      <c r="G287" s="34">
        <f t="shared" si="113"/>
        <v>2024</v>
      </c>
      <c r="H287" s="34">
        <f t="shared" si="113"/>
        <v>2025</v>
      </c>
      <c r="I287" s="34">
        <f t="shared" si="113"/>
        <v>2026</v>
      </c>
      <c r="J287" s="34">
        <f t="shared" si="113"/>
        <v>2027</v>
      </c>
      <c r="K287" s="34">
        <f t="shared" si="113"/>
        <v>2028</v>
      </c>
      <c r="L287" s="34">
        <f t="shared" si="113"/>
        <v>2029</v>
      </c>
      <c r="M287" s="34">
        <f t="shared" si="113"/>
        <v>2030</v>
      </c>
      <c r="N287" s="34">
        <f t="shared" si="113"/>
        <v>2031</v>
      </c>
      <c r="O287" s="34">
        <f t="shared" si="113"/>
        <v>2032</v>
      </c>
      <c r="P287" s="34">
        <f t="shared" si="113"/>
        <v>2033</v>
      </c>
      <c r="Q287" s="34">
        <f t="shared" si="113"/>
        <v>2034</v>
      </c>
      <c r="R287" s="34">
        <f t="shared" si="113"/>
        <v>2035</v>
      </c>
      <c r="S287" s="34">
        <f t="shared" si="113"/>
        <v>2036</v>
      </c>
      <c r="T287" s="34">
        <f t="shared" si="113"/>
        <v>2037</v>
      </c>
      <c r="U287" s="34">
        <f t="shared" si="113"/>
        <v>2038</v>
      </c>
      <c r="V287" s="34">
        <f t="shared" si="113"/>
        <v>2039</v>
      </c>
      <c r="W287" s="34">
        <f t="shared" si="113"/>
        <v>2040</v>
      </c>
      <c r="X287" s="34">
        <f t="shared" si="113"/>
        <v>2041</v>
      </c>
      <c r="Y287" s="34">
        <f t="shared" si="113"/>
        <v>2042</v>
      </c>
      <c r="Z287" s="34">
        <f t="shared" si="113"/>
        <v>2043</v>
      </c>
      <c r="AA287" s="34">
        <f t="shared" si="113"/>
        <v>2044</v>
      </c>
      <c r="AB287" s="34">
        <f t="shared" si="113"/>
        <v>2045</v>
      </c>
      <c r="AC287" s="34">
        <f t="shared" si="113"/>
        <v>2046</v>
      </c>
      <c r="AD287" s="34">
        <f t="shared" si="113"/>
        <v>2047</v>
      </c>
      <c r="AE287" s="34">
        <f t="shared" si="113"/>
        <v>2048</v>
      </c>
      <c r="AF287" s="34">
        <f t="shared" si="113"/>
        <v>2049</v>
      </c>
      <c r="AG287" s="34">
        <f t="shared" si="113"/>
        <v>2050</v>
      </c>
      <c r="AH287" s="34">
        <f t="shared" si="113"/>
        <v>2051</v>
      </c>
      <c r="AI287" s="34">
        <f t="shared" si="113"/>
        <v>2052</v>
      </c>
      <c r="AJ287" s="34">
        <f t="shared" si="113"/>
        <v>2053</v>
      </c>
      <c r="AK287" s="34">
        <f t="shared" si="113"/>
        <v>2054</v>
      </c>
      <c r="AL287" s="34">
        <f t="shared" si="113"/>
        <v>2055</v>
      </c>
      <c r="AM287" s="34">
        <f t="shared" si="113"/>
        <v>2056</v>
      </c>
      <c r="AN287" s="34">
        <f t="shared" si="113"/>
        <v>2057</v>
      </c>
      <c r="AO287" s="34">
        <f t="shared" si="113"/>
        <v>2058</v>
      </c>
    </row>
    <row r="288" spans="2:41" ht="29">
      <c r="B288" s="90" t="s">
        <v>3350</v>
      </c>
      <c r="C288" s="89">
        <f>IF(C$287&lt;'Control Assumptions'!$C$13, 0,    $C$271*$C$275*C13)</f>
        <v>0</v>
      </c>
      <c r="D288" s="89">
        <f>IF(D$287&lt;'Control Assumptions'!$C$13, 0,    $C$271*$C$275*D13)</f>
        <v>0</v>
      </c>
      <c r="E288" s="89">
        <f>IF(E$287&lt;'Control Assumptions'!$C$13, 0,    $C$271*$C$275*E13)</f>
        <v>0</v>
      </c>
      <c r="F288" s="89">
        <f>IF(F$287&lt;'Control Assumptions'!$C$13, 0,    $C$271*$C$275*F13)</f>
        <v>0</v>
      </c>
      <c r="G288" s="89">
        <f>IF(G$287&lt;'Control Assumptions'!$C$13, 0,    $C$271*$C$275*G13)</f>
        <v>2.2043509713623086</v>
      </c>
      <c r="H288" s="89">
        <f>IF(H$287&lt;'Control Assumptions'!$C$13, 0,    $C$271*$C$275*H13)</f>
        <v>1.9576696596062988</v>
      </c>
      <c r="I288" s="89">
        <f>IF(I$287&lt;'Control Assumptions'!$C$13, 0,    $C$271*$C$275*I13)</f>
        <v>1.8131009479491058</v>
      </c>
      <c r="J288" s="89">
        <f>IF(J$287&lt;'Control Assumptions'!$C$13, 0,    $C$271*$C$275*J13)</f>
        <v>1.7328299216989704</v>
      </c>
      <c r="K288" s="89">
        <f>IF(K$287&lt;'Control Assumptions'!$C$13, 0,    $C$271*$C$275*K13)</f>
        <v>1.6959438766467758</v>
      </c>
      <c r="L288" s="89">
        <f>IF(L$287&lt;'Control Assumptions'!$C$13, 0,    $C$271*$C$275*L13)</f>
        <v>1.6844634641191087</v>
      </c>
      <c r="M288" s="89">
        <f>IF(M$287&lt;'Control Assumptions'!$C$13, 0,    $C$271*$C$275*M13)</f>
        <v>1.6879770946920363</v>
      </c>
      <c r="N288" s="89">
        <f>IF(N$287&lt;'Control Assumptions'!$C$13, 0,    $C$271*$C$275*N13)</f>
        <v>1.7015403967105673</v>
      </c>
      <c r="O288" s="89">
        <f>IF(O$287&lt;'Control Assumptions'!$C$13, 0,    $C$271*$C$275*O13)</f>
        <v>1.7196488570941477</v>
      </c>
      <c r="P288" s="89">
        <f>IF(P$287&lt;'Control Assumptions'!$C$13, 0,    $C$271*$C$275*P13)</f>
        <v>1.740066806273429</v>
      </c>
      <c r="Q288" s="89">
        <f>IF(Q$287&lt;'Control Assumptions'!$C$13, 0,    $C$271*$C$275*Q13)</f>
        <v>1.7619700127028268</v>
      </c>
      <c r="R288" s="89">
        <f>IF(R$287&lt;'Control Assumptions'!$C$13, 0,    $C$271*$C$275*R13)</f>
        <v>1.784640381073697</v>
      </c>
      <c r="S288" s="89">
        <f>IF(S$287&lt;'Control Assumptions'!$C$13, 0,    $C$271*$C$275*S13)</f>
        <v>1.8075037215669831</v>
      </c>
      <c r="T288" s="89">
        <f>IF(T$287&lt;'Control Assumptions'!$C$13, 0,    $C$271*$C$275*T13)</f>
        <v>1.8306322850817562</v>
      </c>
      <c r="U288" s="89">
        <f>IF(U$287&lt;'Control Assumptions'!$C$13, 0,    $C$271*$C$275*U13)</f>
        <v>1.8548835885910973</v>
      </c>
      <c r="V288" s="89">
        <f>IF(V$287&lt;'Control Assumptions'!$C$13, 0,    $C$271*$C$275*V13)</f>
        <v>1.8788125081032692</v>
      </c>
      <c r="W288" s="89">
        <f>IF(W$287&lt;'Control Assumptions'!$C$13, 0,    $C$271*$C$275*W13)</f>
        <v>1.9021692560967185</v>
      </c>
      <c r="X288" s="89">
        <f>IF(X$287&lt;'Control Assumptions'!$C$13, 0,    $C$271*$C$275*X13)</f>
        <v>1.925492580788394</v>
      </c>
      <c r="Y288" s="89">
        <f>IF(Y$287&lt;'Control Assumptions'!$C$13, 0,    $C$271*$C$275*Y13)</f>
        <v>1.9484797091139696</v>
      </c>
      <c r="Z288" s="89">
        <f>IF(Z$287&lt;'Control Assumptions'!$C$13, 0,    $C$271*$C$275*Z13)</f>
        <v>1.9709304503475211</v>
      </c>
      <c r="AA288" s="89">
        <f>IF(AA$287&lt;'Control Assumptions'!$C$13, 0,    $C$271*$C$275*AA13)</f>
        <v>1.9927242097137432</v>
      </c>
      <c r="AB288" s="89">
        <f>IF(AB$287&lt;'Control Assumptions'!$C$13, 0,    $C$271*$C$275*AB13)</f>
        <v>2.0140253267140333</v>
      </c>
      <c r="AC288" s="89">
        <f>IF(AC$287&lt;'Control Assumptions'!$C$13, 0,    $C$271*$C$275*AC13)</f>
        <v>2.0345808967861427</v>
      </c>
      <c r="AD288" s="89">
        <f>IF(AD$287&lt;'Control Assumptions'!$C$13, 0,    $C$271*$C$275*AD13)</f>
        <v>2.0541797685476588</v>
      </c>
      <c r="AE288" s="89">
        <f>IF(AE$287&lt;'Control Assumptions'!$C$13, 0,    $C$271*$C$275*AE13)</f>
        <v>2.0726907514299806</v>
      </c>
      <c r="AF288" s="89">
        <f>IF(AF$287&lt;'Control Assumptions'!$C$13, 0,    $C$271*$C$275*AF13)</f>
        <v>2.0901825791496385</v>
      </c>
      <c r="AG288" s="89">
        <f>IF(AG$287&lt;'Control Assumptions'!$C$13, 0,    $C$271*$C$275*AG13)</f>
        <v>2.1070904467743765</v>
      </c>
      <c r="AH288" s="89">
        <f>IF(AH$287&lt;'Control Assumptions'!$C$13, 0,    $C$271*$C$275*AH13)</f>
        <v>2.1234652144993738</v>
      </c>
      <c r="AI288" s="89">
        <f>IF(AI$287&lt;'Control Assumptions'!$C$13, 0,    $C$271*$C$275*AI13)</f>
        <v>2.1395604879777208</v>
      </c>
      <c r="AJ288" s="89">
        <f>IF(AJ$287&lt;'Control Assumptions'!$C$13, 0,    $C$271*$C$275*AJ13)</f>
        <v>2.1551360606747809</v>
      </c>
      <c r="AK288" s="89">
        <f>IF(AK$287&lt;'Control Assumptions'!$C$13, 0,    $C$271*$C$275*AK13)</f>
        <v>2.1697799399156814</v>
      </c>
      <c r="AL288" s="89">
        <f>IF(AL$287&lt;'Control Assumptions'!$C$13, 0,    $C$271*$C$275*AL13)</f>
        <v>2.183284857957315</v>
      </c>
      <c r="AM288" s="89">
        <f>IF(AM$287&lt;'Control Assumptions'!$C$13, 0,    $C$271*$C$275*AM13)</f>
        <v>2.1954920789597461</v>
      </c>
      <c r="AN288" s="89">
        <f>IF(AN$287&lt;'Control Assumptions'!$C$13, 0,    $C$271*$C$275*AN13)</f>
        <v>2.2063133161874995</v>
      </c>
      <c r="AO288" s="89">
        <f>IF(AO$287&lt;'Control Assumptions'!$C$13, 0,    $C$271*$C$275*AO13)</f>
        <v>2.2156822107800029</v>
      </c>
    </row>
    <row r="289" spans="1:41">
      <c r="B289" s="90" t="s">
        <v>3351</v>
      </c>
      <c r="C289" s="89">
        <f>IF(C$287&lt;'Control Assumptions'!$C$13, 0,    $C$271*$C$283*C13)</f>
        <v>0</v>
      </c>
      <c r="D289" s="89">
        <f>IF(D$287&lt;'Control Assumptions'!$C$13, 0,    $C$271*$C$283*D13)</f>
        <v>0</v>
      </c>
      <c r="E289" s="89">
        <f>IF(E$287&lt;'Control Assumptions'!$C$13, 0,    $C$271*$C$283*E13)</f>
        <v>0</v>
      </c>
      <c r="F289" s="89">
        <f>IF(F$287&lt;'Control Assumptions'!$C$13, 0,    $C$271*$C$283*F13)</f>
        <v>0</v>
      </c>
      <c r="G289" s="89">
        <f>IF(G$287&lt;'Control Assumptions'!$C$13, 0,    $C$271*$C$283*G13)</f>
        <v>5.1732254183612447</v>
      </c>
      <c r="H289" s="89">
        <f>IF(H$287&lt;'Control Assumptions'!$C$13, 0,    $C$271*$C$283*H13)</f>
        <v>4.594307610448733</v>
      </c>
      <c r="I289" s="89">
        <f>IF(I$287&lt;'Control Assumptions'!$C$13, 0,    $C$271*$C$283*I13)</f>
        <v>4.2550301797850816</v>
      </c>
      <c r="J289" s="89">
        <f>IF(J$287&lt;'Control Assumptions'!$C$13, 0,    $C$271*$C$283*J13)</f>
        <v>4.0666481486339769</v>
      </c>
      <c r="K289" s="89">
        <f>IF(K$287&lt;'Control Assumptions'!$C$13, 0,    $C$271*$C$283*K13)</f>
        <v>3.9800830651577712</v>
      </c>
      <c r="L289" s="89">
        <f>IF(L$287&lt;'Control Assumptions'!$C$13, 0,    $C$271*$C$283*L13)</f>
        <v>3.9531405488919993</v>
      </c>
      <c r="M289" s="89">
        <f>IF(M$287&lt;'Control Assumptions'!$C$13, 0,    $C$271*$C$283*M13)</f>
        <v>3.9613864240846262</v>
      </c>
      <c r="N289" s="89">
        <f>IF(N$287&lt;'Control Assumptions'!$C$13, 0,    $C$271*$C$283*N13)</f>
        <v>3.9932171169600954</v>
      </c>
      <c r="O289" s="89">
        <f>IF(O$287&lt;'Control Assumptions'!$C$13, 0,    $C$271*$C$283*O13)</f>
        <v>4.0357144999815615</v>
      </c>
      <c r="P289" s="89">
        <f>IF(P$287&lt;'Control Assumptions'!$C$13, 0,    $C$271*$C$283*P13)</f>
        <v>4.0836318484697598</v>
      </c>
      <c r="Q289" s="89">
        <f>IF(Q$287&lt;'Control Assumptions'!$C$13, 0,    $C$271*$C$283*Q13)</f>
        <v>4.1350348354333777</v>
      </c>
      <c r="R289" s="89">
        <f>IF(R$287&lt;'Control Assumptions'!$C$13, 0,    $C$271*$C$283*R13)</f>
        <v>4.1882382170288768</v>
      </c>
      <c r="S289" s="89">
        <f>IF(S$287&lt;'Control Assumptions'!$C$13, 0,    $C$271*$C$283*S13)</f>
        <v>4.2418944703774164</v>
      </c>
      <c r="T289" s="89">
        <f>IF(T$287&lt;'Control Assumptions'!$C$13, 0,    $C$271*$C$283*T13)</f>
        <v>4.2961731556771818</v>
      </c>
      <c r="U289" s="89">
        <f>IF(U$287&lt;'Control Assumptions'!$C$13, 0,    $C$271*$C$283*U13)</f>
        <v>4.3530867149845642</v>
      </c>
      <c r="V289" s="89">
        <f>IF(V$287&lt;'Control Assumptions'!$C$13, 0,    $C$271*$C$283*V13)</f>
        <v>4.4092436955482297</v>
      </c>
      <c r="W289" s="89">
        <f>IF(W$287&lt;'Control Assumptions'!$C$13, 0,    $C$271*$C$283*W13)</f>
        <v>4.4640578898302303</v>
      </c>
      <c r="X289" s="89">
        <f>IF(X$287&lt;'Control Assumptions'!$C$13, 0,    $C$271*$C$283*X13)</f>
        <v>4.5187936454803843</v>
      </c>
      <c r="Y289" s="89">
        <f>IF(Y$287&lt;'Control Assumptions'!$C$13, 0,    $C$271*$C$283*Y13)</f>
        <v>4.5727404071775508</v>
      </c>
      <c r="Z289" s="89">
        <f>IF(Z$287&lt;'Control Assumptions'!$C$13, 0,    $C$271*$C$283*Z13)</f>
        <v>4.6254283623713111</v>
      </c>
      <c r="AA289" s="89">
        <f>IF(AA$287&lt;'Control Assumptions'!$C$13, 0,    $C$271*$C$283*AA13)</f>
        <v>4.6765744962581994</v>
      </c>
      <c r="AB289" s="89">
        <f>IF(AB$287&lt;'Control Assumptions'!$C$13, 0,    $C$271*$C$283*AB13)</f>
        <v>4.7265644848475779</v>
      </c>
      <c r="AC289" s="89">
        <f>IF(AC$287&lt;'Control Assumptions'!$C$13, 0,    $C$271*$C$283*AC13)</f>
        <v>4.7748048054532495</v>
      </c>
      <c r="AD289" s="89">
        <f>IF(AD$287&lt;'Control Assumptions'!$C$13, 0,    $C$271*$C$283*AD13)</f>
        <v>4.8207999227848681</v>
      </c>
      <c r="AE289" s="89">
        <f>IF(AE$287&lt;'Control Assumptions'!$C$13, 0,    $C$271*$C$283*AE13)</f>
        <v>4.8642419555690113</v>
      </c>
      <c r="AF289" s="89">
        <f>IF(AF$287&lt;'Control Assumptions'!$C$13, 0,    $C$271*$C$283*AF13)</f>
        <v>4.9052922097928233</v>
      </c>
      <c r="AG289" s="89">
        <f>IF(AG$287&lt;'Control Assumptions'!$C$13, 0,    $C$271*$C$283*AG13)</f>
        <v>4.9449720120125784</v>
      </c>
      <c r="AH289" s="89">
        <f>IF(AH$287&lt;'Control Assumptions'!$C$13, 0,    $C$271*$C$283*AH13)</f>
        <v>4.9834007221931378</v>
      </c>
      <c r="AI289" s="89">
        <f>IF(AI$287&lt;'Control Assumptions'!$C$13, 0,    $C$271*$C$283*AI13)</f>
        <v>5.0211735083580384</v>
      </c>
      <c r="AJ289" s="89">
        <f>IF(AJ$287&lt;'Control Assumptions'!$C$13, 0,    $C$271*$C$283*AJ13)</f>
        <v>5.0577266478665663</v>
      </c>
      <c r="AK289" s="89">
        <f>IF(AK$287&lt;'Control Assumptions'!$C$13, 0,    $C$271*$C$283*AK13)</f>
        <v>5.0920932661123084</v>
      </c>
      <c r="AL289" s="89">
        <f>IF(AL$287&lt;'Control Assumptions'!$C$13, 0,    $C$271*$C$283*AL13)</f>
        <v>5.1237869420257631</v>
      </c>
      <c r="AM289" s="89">
        <f>IF(AM$287&lt;'Control Assumptions'!$C$13, 0,    $C$271*$C$283*AM13)</f>
        <v>5.1524351504089774</v>
      </c>
      <c r="AN289" s="89">
        <f>IF(AN$287&lt;'Control Assumptions'!$C$13, 0,    $C$271*$C$283*AN13)</f>
        <v>5.1778306977659998</v>
      </c>
      <c r="AO289" s="89">
        <f>IF(AO$287&lt;'Control Assumptions'!$C$13, 0,    $C$271*$C$283*AO13)</f>
        <v>5.1998178514804261</v>
      </c>
    </row>
    <row r="290" spans="1:41" s="9" customFormat="1">
      <c r="B290" s="92" t="s">
        <v>3352</v>
      </c>
      <c r="C290" s="657">
        <f t="shared" ref="C290:AO290" si="114">SUM(C288:C289)</f>
        <v>0</v>
      </c>
      <c r="D290" s="657">
        <f t="shared" si="114"/>
        <v>0</v>
      </c>
      <c r="E290" s="657">
        <f t="shared" si="114"/>
        <v>0</v>
      </c>
      <c r="F290" s="657">
        <f t="shared" si="114"/>
        <v>0</v>
      </c>
      <c r="G290" s="657">
        <f t="shared" si="114"/>
        <v>7.3775763897235533</v>
      </c>
      <c r="H290" s="657">
        <f t="shared" si="114"/>
        <v>6.5519772700550316</v>
      </c>
      <c r="I290" s="657">
        <f t="shared" si="114"/>
        <v>6.0681311277341869</v>
      </c>
      <c r="J290" s="657">
        <f t="shared" si="114"/>
        <v>5.7994780703329472</v>
      </c>
      <c r="K290" s="657">
        <f t="shared" si="114"/>
        <v>5.6760269418045475</v>
      </c>
      <c r="L290" s="657">
        <f t="shared" si="114"/>
        <v>5.6376040130111083</v>
      </c>
      <c r="M290" s="657">
        <f t="shared" si="114"/>
        <v>5.6493635187766627</v>
      </c>
      <c r="N290" s="657">
        <f t="shared" si="114"/>
        <v>5.6947575136706625</v>
      </c>
      <c r="O290" s="657">
        <f t="shared" si="114"/>
        <v>5.7553633570757095</v>
      </c>
      <c r="P290" s="657">
        <f t="shared" si="114"/>
        <v>5.8236986547431888</v>
      </c>
      <c r="Q290" s="657">
        <f t="shared" si="114"/>
        <v>5.8970048481362047</v>
      </c>
      <c r="R290" s="657">
        <f t="shared" si="114"/>
        <v>5.9728785981025734</v>
      </c>
      <c r="S290" s="657">
        <f t="shared" si="114"/>
        <v>6.0493981919444</v>
      </c>
      <c r="T290" s="657">
        <f t="shared" si="114"/>
        <v>6.1268054407589378</v>
      </c>
      <c r="U290" s="657">
        <f t="shared" si="114"/>
        <v>6.2079703035756619</v>
      </c>
      <c r="V290" s="657">
        <f t="shared" si="114"/>
        <v>6.2880562036514984</v>
      </c>
      <c r="W290" s="657">
        <f t="shared" si="114"/>
        <v>6.366227145926949</v>
      </c>
      <c r="X290" s="657">
        <f t="shared" si="114"/>
        <v>6.4442862262687779</v>
      </c>
      <c r="Y290" s="657">
        <f t="shared" si="114"/>
        <v>6.52122011629152</v>
      </c>
      <c r="Z290" s="657">
        <f t="shared" si="114"/>
        <v>6.5963588127188322</v>
      </c>
      <c r="AA290" s="657">
        <f t="shared" si="114"/>
        <v>6.6692987059719426</v>
      </c>
      <c r="AB290" s="657">
        <f t="shared" si="114"/>
        <v>6.7405898115616107</v>
      </c>
      <c r="AC290" s="657">
        <f t="shared" si="114"/>
        <v>6.8093857022393927</v>
      </c>
      <c r="AD290" s="657">
        <f t="shared" si="114"/>
        <v>6.874979691332527</v>
      </c>
      <c r="AE290" s="657">
        <f t="shared" si="114"/>
        <v>6.9369327069989914</v>
      </c>
      <c r="AF290" s="657">
        <f t="shared" si="114"/>
        <v>6.9954747889424613</v>
      </c>
      <c r="AG290" s="657">
        <f t="shared" si="114"/>
        <v>7.0520624587869545</v>
      </c>
      <c r="AH290" s="657">
        <f t="shared" si="114"/>
        <v>7.1068659366925111</v>
      </c>
      <c r="AI290" s="657">
        <f t="shared" si="114"/>
        <v>7.1607339963357592</v>
      </c>
      <c r="AJ290" s="657">
        <f t="shared" si="114"/>
        <v>7.2128627085413477</v>
      </c>
      <c r="AK290" s="657">
        <f t="shared" si="114"/>
        <v>7.2618732060279898</v>
      </c>
      <c r="AL290" s="657">
        <f t="shared" si="114"/>
        <v>7.3070717999830777</v>
      </c>
      <c r="AM290" s="657">
        <f t="shared" si="114"/>
        <v>7.3479272293687234</v>
      </c>
      <c r="AN290" s="657">
        <f t="shared" si="114"/>
        <v>7.3841440139534988</v>
      </c>
      <c r="AO290" s="657">
        <f t="shared" si="114"/>
        <v>7.4155000622604295</v>
      </c>
    </row>
    <row r="291" spans="1:41">
      <c r="K291" s="47"/>
      <c r="L291" s="47"/>
      <c r="M291" s="47"/>
      <c r="N291" s="47"/>
      <c r="O291" s="47"/>
      <c r="P291" s="47"/>
      <c r="Q291" s="47"/>
      <c r="R291" s="47"/>
      <c r="S291" s="47"/>
      <c r="T291" s="47"/>
      <c r="U291" s="47"/>
      <c r="V291" s="47"/>
      <c r="W291" s="47"/>
      <c r="X291" s="47"/>
      <c r="Y291" s="47"/>
      <c r="Z291" s="47"/>
      <c r="AA291" s="47"/>
      <c r="AB291" s="47"/>
      <c r="AC291" s="47"/>
      <c r="AD291" s="47"/>
      <c r="AE291" s="47"/>
      <c r="AF291" s="47"/>
      <c r="AG291" s="47"/>
      <c r="AH291" s="47"/>
      <c r="AI291" s="47"/>
      <c r="AJ291" s="47"/>
      <c r="AK291" s="47"/>
      <c r="AL291" s="47"/>
      <c r="AM291" s="47"/>
      <c r="AN291" s="47"/>
      <c r="AO291" s="47"/>
    </row>
    <row r="292" spans="1:41" ht="30.65" customHeight="1">
      <c r="C292" s="57" t="s">
        <v>3360</v>
      </c>
      <c r="D292" s="57" t="s">
        <v>3359</v>
      </c>
      <c r="K292" s="47"/>
      <c r="L292" s="47"/>
      <c r="M292" s="47"/>
      <c r="N292" s="47"/>
      <c r="O292" s="47"/>
      <c r="P292" s="47"/>
      <c r="Q292" s="47"/>
      <c r="R292" s="47"/>
      <c r="S292" s="47"/>
      <c r="T292" s="47"/>
      <c r="U292" s="47"/>
      <c r="V292" s="47"/>
      <c r="W292" s="47"/>
      <c r="X292" s="47"/>
      <c r="Y292" s="47"/>
      <c r="Z292" s="47"/>
      <c r="AA292" s="47"/>
      <c r="AB292" s="47"/>
      <c r="AC292" s="47"/>
      <c r="AD292" s="47"/>
      <c r="AE292" s="47"/>
      <c r="AF292" s="47"/>
      <c r="AG292" s="47"/>
      <c r="AH292" s="47"/>
      <c r="AI292" s="47"/>
      <c r="AJ292" s="47"/>
      <c r="AK292" s="47"/>
      <c r="AL292" s="47"/>
      <c r="AM292" s="47"/>
      <c r="AN292" s="47"/>
      <c r="AO292" s="47"/>
    </row>
    <row r="293" spans="1:41" ht="29">
      <c r="B293" s="385" t="s">
        <v>3353</v>
      </c>
      <c r="C293" s="385">
        <f>SUMPRODUCT(C290:AO290, C316:AO316)*C262*(1-'Control Assumptions'!$C$16)/10^6</f>
        <v>8.969025744282149</v>
      </c>
      <c r="D293" s="385">
        <f>SUMPRODUCT(C290:AO290, C316:AO316)*C265*(1-'Control Assumptions'!$C$16)/10^6</f>
        <v>2.7127302464129071</v>
      </c>
      <c r="K293" s="47"/>
      <c r="L293" s="47"/>
      <c r="M293" s="47"/>
      <c r="N293" s="47"/>
      <c r="O293" s="47"/>
      <c r="P293" s="47"/>
      <c r="Q293" s="47"/>
      <c r="R293" s="47"/>
      <c r="S293" s="47"/>
      <c r="T293" s="47"/>
      <c r="U293" s="47"/>
      <c r="V293" s="47"/>
      <c r="W293" s="47"/>
      <c r="X293" s="47"/>
      <c r="Y293" s="47"/>
      <c r="Z293" s="47"/>
      <c r="AA293" s="47"/>
      <c r="AB293" s="47"/>
      <c r="AC293" s="47"/>
      <c r="AD293" s="47"/>
      <c r="AE293" s="47"/>
      <c r="AF293" s="47"/>
      <c r="AG293" s="47"/>
      <c r="AH293" s="47"/>
      <c r="AI293" s="47"/>
      <c r="AJ293" s="47"/>
      <c r="AK293" s="47"/>
      <c r="AL293" s="47"/>
      <c r="AM293" s="47"/>
      <c r="AN293" s="47"/>
      <c r="AO293" s="47"/>
    </row>
    <row r="294" spans="1:41">
      <c r="K294" s="47"/>
      <c r="L294" s="47"/>
      <c r="M294" s="47"/>
      <c r="N294" s="47"/>
      <c r="O294" s="47"/>
      <c r="P294" s="47"/>
      <c r="Q294" s="47"/>
      <c r="R294" s="47"/>
      <c r="S294" s="47"/>
      <c r="T294" s="47"/>
      <c r="U294" s="47"/>
      <c r="V294" s="47"/>
      <c r="W294" s="47"/>
      <c r="X294" s="47"/>
      <c r="Y294" s="47"/>
      <c r="Z294" s="47"/>
      <c r="AA294" s="47"/>
      <c r="AB294" s="47"/>
      <c r="AC294" s="47"/>
      <c r="AD294" s="47"/>
      <c r="AE294" s="47"/>
      <c r="AF294" s="47"/>
      <c r="AG294" s="47"/>
      <c r="AH294" s="47"/>
      <c r="AI294" s="47"/>
      <c r="AJ294" s="47"/>
      <c r="AK294" s="47"/>
      <c r="AL294" s="47"/>
      <c r="AM294" s="47"/>
      <c r="AN294" s="47"/>
      <c r="AO294" s="47"/>
    </row>
    <row r="295" spans="1:41">
      <c r="K295" s="47"/>
      <c r="L295" s="47"/>
      <c r="M295" s="47"/>
      <c r="N295" s="47"/>
      <c r="O295" s="47"/>
      <c r="P295" s="47"/>
      <c r="Q295" s="47"/>
      <c r="R295" s="47"/>
      <c r="S295" s="47"/>
      <c r="T295" s="47"/>
      <c r="U295" s="47"/>
      <c r="V295" s="47"/>
      <c r="W295" s="47"/>
      <c r="X295" s="47"/>
      <c r="Y295" s="47"/>
      <c r="Z295" s="47"/>
      <c r="AA295" s="47"/>
      <c r="AB295" s="47"/>
      <c r="AC295" s="47"/>
      <c r="AD295" s="47"/>
      <c r="AE295" s="47"/>
      <c r="AF295" s="47"/>
      <c r="AG295" s="47"/>
      <c r="AH295" s="47"/>
      <c r="AI295" s="47"/>
      <c r="AJ295" s="47"/>
      <c r="AK295" s="47"/>
      <c r="AL295" s="47"/>
      <c r="AM295" s="47"/>
      <c r="AN295" s="47"/>
      <c r="AO295" s="47"/>
    </row>
    <row r="296" spans="1:41">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c r="AM296" s="23"/>
      <c r="AN296" s="23"/>
      <c r="AO296" s="23"/>
    </row>
    <row r="298" spans="1:41" s="588" customFormat="1">
      <c r="A298" s="593" t="s">
        <v>10</v>
      </c>
      <c r="B298" s="593" t="s">
        <v>3327</v>
      </c>
    </row>
    <row r="300" spans="1:41">
      <c r="A300" s="9" t="s">
        <v>10</v>
      </c>
      <c r="B300" s="9" t="s">
        <v>3472</v>
      </c>
    </row>
    <row r="302" spans="1:41">
      <c r="B302" s="42" t="s">
        <v>3248</v>
      </c>
      <c r="C302" s="575">
        <v>3.5000000000000003E-2</v>
      </c>
      <c r="D302" s="151" t="s">
        <v>3249</v>
      </c>
    </row>
    <row r="303" spans="1:41">
      <c r="B303" s="42" t="s">
        <v>3251</v>
      </c>
      <c r="C303" s="333">
        <f>'Baseline Summary'!C6</f>
        <v>2020</v>
      </c>
      <c r="D303" s="151"/>
    </row>
    <row r="305" spans="1:45">
      <c r="B305" s="34"/>
      <c r="C305" s="34">
        <f t="shared" ref="C305:AO305" si="115">C38</f>
        <v>2020</v>
      </c>
      <c r="D305" s="34">
        <f t="shared" si="115"/>
        <v>2021</v>
      </c>
      <c r="E305" s="34">
        <f t="shared" si="115"/>
        <v>2022</v>
      </c>
      <c r="F305" s="34">
        <f t="shared" si="115"/>
        <v>2023</v>
      </c>
      <c r="G305" s="34">
        <f t="shared" si="115"/>
        <v>2024</v>
      </c>
      <c r="H305" s="34">
        <f t="shared" si="115"/>
        <v>2025</v>
      </c>
      <c r="I305" s="34">
        <f t="shared" si="115"/>
        <v>2026</v>
      </c>
      <c r="J305" s="34">
        <f t="shared" si="115"/>
        <v>2027</v>
      </c>
      <c r="K305" s="34">
        <f t="shared" si="115"/>
        <v>2028</v>
      </c>
      <c r="L305" s="34">
        <f t="shared" si="115"/>
        <v>2029</v>
      </c>
      <c r="M305" s="34">
        <f t="shared" si="115"/>
        <v>2030</v>
      </c>
      <c r="N305" s="34">
        <f t="shared" si="115"/>
        <v>2031</v>
      </c>
      <c r="O305" s="34">
        <f t="shared" si="115"/>
        <v>2032</v>
      </c>
      <c r="P305" s="34">
        <f t="shared" si="115"/>
        <v>2033</v>
      </c>
      <c r="Q305" s="34">
        <f t="shared" si="115"/>
        <v>2034</v>
      </c>
      <c r="R305" s="34">
        <f t="shared" si="115"/>
        <v>2035</v>
      </c>
      <c r="S305" s="34">
        <f t="shared" si="115"/>
        <v>2036</v>
      </c>
      <c r="T305" s="34">
        <f t="shared" si="115"/>
        <v>2037</v>
      </c>
      <c r="U305" s="34">
        <f t="shared" si="115"/>
        <v>2038</v>
      </c>
      <c r="V305" s="34">
        <f t="shared" si="115"/>
        <v>2039</v>
      </c>
      <c r="W305" s="34">
        <f t="shared" si="115"/>
        <v>2040</v>
      </c>
      <c r="X305" s="34">
        <f t="shared" si="115"/>
        <v>2041</v>
      </c>
      <c r="Y305" s="34">
        <f t="shared" si="115"/>
        <v>2042</v>
      </c>
      <c r="Z305" s="34">
        <f t="shared" si="115"/>
        <v>2043</v>
      </c>
      <c r="AA305" s="34">
        <f t="shared" si="115"/>
        <v>2044</v>
      </c>
      <c r="AB305" s="34">
        <f t="shared" si="115"/>
        <v>2045</v>
      </c>
      <c r="AC305" s="34">
        <f t="shared" si="115"/>
        <v>2046</v>
      </c>
      <c r="AD305" s="34">
        <f t="shared" si="115"/>
        <v>2047</v>
      </c>
      <c r="AE305" s="34">
        <f t="shared" si="115"/>
        <v>2048</v>
      </c>
      <c r="AF305" s="34">
        <f t="shared" si="115"/>
        <v>2049</v>
      </c>
      <c r="AG305" s="34">
        <f t="shared" si="115"/>
        <v>2050</v>
      </c>
      <c r="AH305" s="34">
        <f t="shared" si="115"/>
        <v>2051</v>
      </c>
      <c r="AI305" s="34">
        <f t="shared" si="115"/>
        <v>2052</v>
      </c>
      <c r="AJ305" s="34">
        <f t="shared" si="115"/>
        <v>2053</v>
      </c>
      <c r="AK305" s="34">
        <f t="shared" si="115"/>
        <v>2054</v>
      </c>
      <c r="AL305" s="34">
        <f t="shared" si="115"/>
        <v>2055</v>
      </c>
      <c r="AM305" s="34">
        <f t="shared" si="115"/>
        <v>2056</v>
      </c>
      <c r="AN305" s="34">
        <f t="shared" si="115"/>
        <v>2057</v>
      </c>
      <c r="AO305" s="34">
        <f t="shared" si="115"/>
        <v>2058</v>
      </c>
      <c r="AP305" s="34">
        <f>AO305+1</f>
        <v>2059</v>
      </c>
      <c r="AQ305" s="34">
        <f t="shared" ref="AQ305:AS305" si="116">AP305+1</f>
        <v>2060</v>
      </c>
      <c r="AR305" s="34">
        <f t="shared" si="116"/>
        <v>2061</v>
      </c>
      <c r="AS305" s="34">
        <f t="shared" si="116"/>
        <v>2062</v>
      </c>
    </row>
    <row r="306" spans="1:45">
      <c r="B306" s="90" t="s">
        <v>3250</v>
      </c>
      <c r="C306" s="137">
        <f t="shared" ref="C306:AS306" si="117">IF(C$305&lt;$C$303+1,0, $C$302)</f>
        <v>0</v>
      </c>
      <c r="D306" s="137">
        <f t="shared" si="117"/>
        <v>3.5000000000000003E-2</v>
      </c>
      <c r="E306" s="137">
        <f t="shared" si="117"/>
        <v>3.5000000000000003E-2</v>
      </c>
      <c r="F306" s="137">
        <f t="shared" si="117"/>
        <v>3.5000000000000003E-2</v>
      </c>
      <c r="G306" s="137">
        <f t="shared" si="117"/>
        <v>3.5000000000000003E-2</v>
      </c>
      <c r="H306" s="137">
        <f t="shared" si="117"/>
        <v>3.5000000000000003E-2</v>
      </c>
      <c r="I306" s="137">
        <f t="shared" si="117"/>
        <v>3.5000000000000003E-2</v>
      </c>
      <c r="J306" s="137">
        <f t="shared" si="117"/>
        <v>3.5000000000000003E-2</v>
      </c>
      <c r="K306" s="137">
        <f t="shared" si="117"/>
        <v>3.5000000000000003E-2</v>
      </c>
      <c r="L306" s="137">
        <f t="shared" si="117"/>
        <v>3.5000000000000003E-2</v>
      </c>
      <c r="M306" s="137">
        <f t="shared" si="117"/>
        <v>3.5000000000000003E-2</v>
      </c>
      <c r="N306" s="137">
        <f t="shared" si="117"/>
        <v>3.5000000000000003E-2</v>
      </c>
      <c r="O306" s="137">
        <f t="shared" si="117"/>
        <v>3.5000000000000003E-2</v>
      </c>
      <c r="P306" s="137">
        <f t="shared" si="117"/>
        <v>3.5000000000000003E-2</v>
      </c>
      <c r="Q306" s="137">
        <f t="shared" si="117"/>
        <v>3.5000000000000003E-2</v>
      </c>
      <c r="R306" s="137">
        <f t="shared" si="117"/>
        <v>3.5000000000000003E-2</v>
      </c>
      <c r="S306" s="137">
        <f t="shared" si="117"/>
        <v>3.5000000000000003E-2</v>
      </c>
      <c r="T306" s="137">
        <f t="shared" si="117"/>
        <v>3.5000000000000003E-2</v>
      </c>
      <c r="U306" s="137">
        <f t="shared" si="117"/>
        <v>3.5000000000000003E-2</v>
      </c>
      <c r="V306" s="137">
        <f t="shared" si="117"/>
        <v>3.5000000000000003E-2</v>
      </c>
      <c r="W306" s="137">
        <f t="shared" si="117"/>
        <v>3.5000000000000003E-2</v>
      </c>
      <c r="X306" s="137">
        <f t="shared" si="117"/>
        <v>3.5000000000000003E-2</v>
      </c>
      <c r="Y306" s="137">
        <f t="shared" si="117"/>
        <v>3.5000000000000003E-2</v>
      </c>
      <c r="Z306" s="137">
        <f t="shared" si="117"/>
        <v>3.5000000000000003E-2</v>
      </c>
      <c r="AA306" s="137">
        <f t="shared" si="117"/>
        <v>3.5000000000000003E-2</v>
      </c>
      <c r="AB306" s="137">
        <f t="shared" si="117"/>
        <v>3.5000000000000003E-2</v>
      </c>
      <c r="AC306" s="137">
        <f t="shared" si="117"/>
        <v>3.5000000000000003E-2</v>
      </c>
      <c r="AD306" s="137">
        <f t="shared" si="117"/>
        <v>3.5000000000000003E-2</v>
      </c>
      <c r="AE306" s="137">
        <f t="shared" si="117"/>
        <v>3.5000000000000003E-2</v>
      </c>
      <c r="AF306" s="137">
        <f t="shared" si="117"/>
        <v>3.5000000000000003E-2</v>
      </c>
      <c r="AG306" s="137">
        <f t="shared" si="117"/>
        <v>3.5000000000000003E-2</v>
      </c>
      <c r="AH306" s="137">
        <f t="shared" si="117"/>
        <v>3.5000000000000003E-2</v>
      </c>
      <c r="AI306" s="137">
        <f t="shared" si="117"/>
        <v>3.5000000000000003E-2</v>
      </c>
      <c r="AJ306" s="137">
        <f t="shared" si="117"/>
        <v>3.5000000000000003E-2</v>
      </c>
      <c r="AK306" s="137">
        <f t="shared" si="117"/>
        <v>3.5000000000000003E-2</v>
      </c>
      <c r="AL306" s="137">
        <f t="shared" si="117"/>
        <v>3.5000000000000003E-2</v>
      </c>
      <c r="AM306" s="137">
        <f t="shared" si="117"/>
        <v>3.5000000000000003E-2</v>
      </c>
      <c r="AN306" s="137">
        <f t="shared" si="117"/>
        <v>3.5000000000000003E-2</v>
      </c>
      <c r="AO306" s="137">
        <f t="shared" si="117"/>
        <v>3.5000000000000003E-2</v>
      </c>
      <c r="AP306" s="137">
        <f t="shared" si="117"/>
        <v>3.5000000000000003E-2</v>
      </c>
      <c r="AQ306" s="137">
        <f t="shared" si="117"/>
        <v>3.5000000000000003E-2</v>
      </c>
      <c r="AR306" s="137">
        <f t="shared" si="117"/>
        <v>3.5000000000000003E-2</v>
      </c>
      <c r="AS306" s="137">
        <f t="shared" si="117"/>
        <v>3.5000000000000003E-2</v>
      </c>
    </row>
    <row r="307" spans="1:45" s="96" customFormat="1" ht="29">
      <c r="B307" s="82" t="s">
        <v>3252</v>
      </c>
      <c r="C307" s="82">
        <f t="shared" ref="C307:AO307" si="118">1/(1+C306)^(C305-$C$303)</f>
        <v>1</v>
      </c>
      <c r="D307" s="82">
        <f t="shared" si="118"/>
        <v>0.96618357487922713</v>
      </c>
      <c r="E307" s="82">
        <f t="shared" si="118"/>
        <v>0.93351070036640305</v>
      </c>
      <c r="F307" s="82">
        <f t="shared" si="118"/>
        <v>0.90194270566802237</v>
      </c>
      <c r="G307" s="82">
        <f t="shared" si="118"/>
        <v>0.87144222769857238</v>
      </c>
      <c r="H307" s="82">
        <f t="shared" si="118"/>
        <v>0.84197316685852419</v>
      </c>
      <c r="I307" s="82">
        <f t="shared" si="118"/>
        <v>0.81350064430775282</v>
      </c>
      <c r="J307" s="82">
        <f t="shared" si="118"/>
        <v>0.78599096068381913</v>
      </c>
      <c r="K307" s="82">
        <f t="shared" si="118"/>
        <v>0.75941155621625056</v>
      </c>
      <c r="L307" s="82">
        <f t="shared" si="118"/>
        <v>0.73373097218961414</v>
      </c>
      <c r="M307" s="82">
        <f t="shared" si="118"/>
        <v>0.70891881370977217</v>
      </c>
      <c r="N307" s="82">
        <f t="shared" si="118"/>
        <v>0.68494571372924851</v>
      </c>
      <c r="O307" s="82">
        <f t="shared" si="118"/>
        <v>0.66178329828912896</v>
      </c>
      <c r="P307" s="82">
        <f t="shared" si="118"/>
        <v>0.63940415293635666</v>
      </c>
      <c r="Q307" s="82">
        <f t="shared" si="118"/>
        <v>0.61778179027667302</v>
      </c>
      <c r="R307" s="82">
        <f t="shared" si="118"/>
        <v>0.59689061862480497</v>
      </c>
      <c r="S307" s="82">
        <f t="shared" si="118"/>
        <v>0.57670591171478747</v>
      </c>
      <c r="T307" s="82">
        <f t="shared" si="118"/>
        <v>0.55720377943457733</v>
      </c>
      <c r="U307" s="82">
        <f t="shared" si="118"/>
        <v>0.53836113955031628</v>
      </c>
      <c r="V307" s="82">
        <f t="shared" si="118"/>
        <v>0.52015569038677911</v>
      </c>
      <c r="W307" s="82">
        <f t="shared" si="118"/>
        <v>0.50256588443167061</v>
      </c>
      <c r="X307" s="82">
        <f t="shared" si="118"/>
        <v>0.48557090283253213</v>
      </c>
      <c r="Y307" s="82">
        <f t="shared" si="118"/>
        <v>0.46915063075606966</v>
      </c>
      <c r="Z307" s="82">
        <f t="shared" si="118"/>
        <v>0.45328563358074364</v>
      </c>
      <c r="AA307" s="82">
        <f t="shared" si="118"/>
        <v>0.43795713389443841</v>
      </c>
      <c r="AB307" s="82">
        <f t="shared" si="118"/>
        <v>0.42314698926998884</v>
      </c>
      <c r="AC307" s="82">
        <f t="shared" si="118"/>
        <v>0.40883767079225974</v>
      </c>
      <c r="AD307" s="82">
        <f t="shared" si="118"/>
        <v>0.39501224231136206</v>
      </c>
      <c r="AE307" s="82">
        <f t="shared" si="118"/>
        <v>0.38165434039745127</v>
      </c>
      <c r="AF307" s="82">
        <f t="shared" si="118"/>
        <v>0.36874815497338298</v>
      </c>
      <c r="AG307" s="82">
        <f t="shared" si="118"/>
        <v>0.35627841060230236</v>
      </c>
      <c r="AH307" s="82">
        <f t="shared" si="118"/>
        <v>0.34423034840802164</v>
      </c>
      <c r="AI307" s="82">
        <f t="shared" si="118"/>
        <v>0.33258970860678427</v>
      </c>
      <c r="AJ307" s="82">
        <f t="shared" si="118"/>
        <v>0.32134271362974326</v>
      </c>
      <c r="AK307" s="82">
        <f t="shared" si="118"/>
        <v>0.3104760518161771</v>
      </c>
      <c r="AL307" s="82">
        <f t="shared" si="118"/>
        <v>0.29997686165814214</v>
      </c>
      <c r="AM307" s="82">
        <f t="shared" si="118"/>
        <v>0.28983271657791515</v>
      </c>
      <c r="AN307" s="82">
        <f t="shared" si="118"/>
        <v>0.28003161022020789</v>
      </c>
      <c r="AO307" s="82">
        <f t="shared" si="118"/>
        <v>0.27056194224174673</v>
      </c>
      <c r="AP307" s="82">
        <f t="shared" ref="AP307" si="119">1/(1+AP306)^(AP305-$C$303)</f>
        <v>0.26141250458139786</v>
      </c>
      <c r="AQ307" s="82">
        <f t="shared" ref="AQ307" si="120">1/(1+AQ306)^(AQ305-$C$303)</f>
        <v>0.25257246819458734</v>
      </c>
      <c r="AR307" s="82">
        <f t="shared" ref="AR307" si="121">1/(1+AR306)^(AR305-$C$303)</f>
        <v>0.24403137023631633</v>
      </c>
      <c r="AS307" s="82">
        <f t="shared" ref="AS307" si="122">1/(1+AS306)^(AS305-$C$303)</f>
        <v>0.2357791016776003</v>
      </c>
    </row>
    <row r="309" spans="1:45">
      <c r="A309" s="9" t="s">
        <v>10</v>
      </c>
      <c r="B309" s="9" t="s">
        <v>3473</v>
      </c>
    </row>
    <row r="310" spans="1:45">
      <c r="A310" s="9"/>
      <c r="B310" s="9"/>
    </row>
    <row r="311" spans="1:45">
      <c r="B311" s="42" t="s">
        <v>3248</v>
      </c>
      <c r="C311" s="575">
        <v>1.4999999999999999E-2</v>
      </c>
      <c r="D311" s="151" t="s">
        <v>3249</v>
      </c>
    </row>
    <row r="312" spans="1:45">
      <c r="B312" s="42" t="s">
        <v>3251</v>
      </c>
      <c r="C312" s="333">
        <f>'Baseline Summary'!C6</f>
        <v>2020</v>
      </c>
      <c r="D312" s="151"/>
    </row>
    <row r="314" spans="1:45">
      <c r="B314" s="34"/>
      <c r="C314" s="34">
        <f t="shared" ref="C314:AO314" si="123">C305</f>
        <v>2020</v>
      </c>
      <c r="D314" s="34">
        <f t="shared" si="123"/>
        <v>2021</v>
      </c>
      <c r="E314" s="34">
        <f t="shared" si="123"/>
        <v>2022</v>
      </c>
      <c r="F314" s="34">
        <f t="shared" si="123"/>
        <v>2023</v>
      </c>
      <c r="G314" s="34">
        <f t="shared" si="123"/>
        <v>2024</v>
      </c>
      <c r="H314" s="34">
        <f t="shared" si="123"/>
        <v>2025</v>
      </c>
      <c r="I314" s="34">
        <f t="shared" si="123"/>
        <v>2026</v>
      </c>
      <c r="J314" s="34">
        <f t="shared" si="123"/>
        <v>2027</v>
      </c>
      <c r="K314" s="34">
        <f t="shared" si="123"/>
        <v>2028</v>
      </c>
      <c r="L314" s="34">
        <f t="shared" si="123"/>
        <v>2029</v>
      </c>
      <c r="M314" s="34">
        <f t="shared" si="123"/>
        <v>2030</v>
      </c>
      <c r="N314" s="34">
        <f t="shared" si="123"/>
        <v>2031</v>
      </c>
      <c r="O314" s="34">
        <f t="shared" si="123"/>
        <v>2032</v>
      </c>
      <c r="P314" s="34">
        <f t="shared" si="123"/>
        <v>2033</v>
      </c>
      <c r="Q314" s="34">
        <f t="shared" si="123"/>
        <v>2034</v>
      </c>
      <c r="R314" s="34">
        <f t="shared" si="123"/>
        <v>2035</v>
      </c>
      <c r="S314" s="34">
        <f t="shared" si="123"/>
        <v>2036</v>
      </c>
      <c r="T314" s="34">
        <f t="shared" si="123"/>
        <v>2037</v>
      </c>
      <c r="U314" s="34">
        <f t="shared" si="123"/>
        <v>2038</v>
      </c>
      <c r="V314" s="34">
        <f t="shared" si="123"/>
        <v>2039</v>
      </c>
      <c r="W314" s="34">
        <f t="shared" si="123"/>
        <v>2040</v>
      </c>
      <c r="X314" s="34">
        <f t="shared" si="123"/>
        <v>2041</v>
      </c>
      <c r="Y314" s="34">
        <f t="shared" si="123"/>
        <v>2042</v>
      </c>
      <c r="Z314" s="34">
        <f t="shared" si="123"/>
        <v>2043</v>
      </c>
      <c r="AA314" s="34">
        <f t="shared" si="123"/>
        <v>2044</v>
      </c>
      <c r="AB314" s="34">
        <f t="shared" si="123"/>
        <v>2045</v>
      </c>
      <c r="AC314" s="34">
        <f t="shared" si="123"/>
        <v>2046</v>
      </c>
      <c r="AD314" s="34">
        <f t="shared" si="123"/>
        <v>2047</v>
      </c>
      <c r="AE314" s="34">
        <f t="shared" si="123"/>
        <v>2048</v>
      </c>
      <c r="AF314" s="34">
        <f t="shared" si="123"/>
        <v>2049</v>
      </c>
      <c r="AG314" s="34">
        <f t="shared" si="123"/>
        <v>2050</v>
      </c>
      <c r="AH314" s="34">
        <f t="shared" si="123"/>
        <v>2051</v>
      </c>
      <c r="AI314" s="34">
        <f t="shared" si="123"/>
        <v>2052</v>
      </c>
      <c r="AJ314" s="34">
        <f t="shared" si="123"/>
        <v>2053</v>
      </c>
      <c r="AK314" s="34">
        <f t="shared" si="123"/>
        <v>2054</v>
      </c>
      <c r="AL314" s="34">
        <f t="shared" si="123"/>
        <v>2055</v>
      </c>
      <c r="AM314" s="34">
        <f t="shared" si="123"/>
        <v>2056</v>
      </c>
      <c r="AN314" s="34">
        <f t="shared" si="123"/>
        <v>2057</v>
      </c>
      <c r="AO314" s="34">
        <f t="shared" si="123"/>
        <v>2058</v>
      </c>
    </row>
    <row r="315" spans="1:45">
      <c r="B315" s="90" t="s">
        <v>3250</v>
      </c>
      <c r="C315" s="137">
        <f t="shared" ref="C315:AO315" si="124">IF(C$305&lt;$C$303+1,0, $C$311)</f>
        <v>0</v>
      </c>
      <c r="D315" s="137">
        <f t="shared" si="124"/>
        <v>1.4999999999999999E-2</v>
      </c>
      <c r="E315" s="137">
        <f t="shared" si="124"/>
        <v>1.4999999999999999E-2</v>
      </c>
      <c r="F315" s="137">
        <f t="shared" si="124"/>
        <v>1.4999999999999999E-2</v>
      </c>
      <c r="G315" s="137">
        <f t="shared" si="124"/>
        <v>1.4999999999999999E-2</v>
      </c>
      <c r="H315" s="137">
        <f t="shared" si="124"/>
        <v>1.4999999999999999E-2</v>
      </c>
      <c r="I315" s="137">
        <f t="shared" si="124"/>
        <v>1.4999999999999999E-2</v>
      </c>
      <c r="J315" s="137">
        <f t="shared" si="124"/>
        <v>1.4999999999999999E-2</v>
      </c>
      <c r="K315" s="137">
        <f t="shared" si="124"/>
        <v>1.4999999999999999E-2</v>
      </c>
      <c r="L315" s="137">
        <f t="shared" si="124"/>
        <v>1.4999999999999999E-2</v>
      </c>
      <c r="M315" s="137">
        <f t="shared" si="124"/>
        <v>1.4999999999999999E-2</v>
      </c>
      <c r="N315" s="137">
        <f t="shared" si="124"/>
        <v>1.4999999999999999E-2</v>
      </c>
      <c r="O315" s="137">
        <f t="shared" si="124"/>
        <v>1.4999999999999999E-2</v>
      </c>
      <c r="P315" s="137">
        <f t="shared" si="124"/>
        <v>1.4999999999999999E-2</v>
      </c>
      <c r="Q315" s="137">
        <f t="shared" si="124"/>
        <v>1.4999999999999999E-2</v>
      </c>
      <c r="R315" s="137">
        <f t="shared" si="124"/>
        <v>1.4999999999999999E-2</v>
      </c>
      <c r="S315" s="137">
        <f t="shared" si="124"/>
        <v>1.4999999999999999E-2</v>
      </c>
      <c r="T315" s="137">
        <f t="shared" si="124"/>
        <v>1.4999999999999999E-2</v>
      </c>
      <c r="U315" s="137">
        <f t="shared" si="124"/>
        <v>1.4999999999999999E-2</v>
      </c>
      <c r="V315" s="137">
        <f t="shared" si="124"/>
        <v>1.4999999999999999E-2</v>
      </c>
      <c r="W315" s="137">
        <f t="shared" si="124"/>
        <v>1.4999999999999999E-2</v>
      </c>
      <c r="X315" s="137">
        <f t="shared" si="124"/>
        <v>1.4999999999999999E-2</v>
      </c>
      <c r="Y315" s="137">
        <f t="shared" si="124"/>
        <v>1.4999999999999999E-2</v>
      </c>
      <c r="Z315" s="137">
        <f t="shared" si="124"/>
        <v>1.4999999999999999E-2</v>
      </c>
      <c r="AA315" s="137">
        <f t="shared" si="124"/>
        <v>1.4999999999999999E-2</v>
      </c>
      <c r="AB315" s="137">
        <f t="shared" si="124"/>
        <v>1.4999999999999999E-2</v>
      </c>
      <c r="AC315" s="137">
        <f t="shared" si="124"/>
        <v>1.4999999999999999E-2</v>
      </c>
      <c r="AD315" s="137">
        <f t="shared" si="124"/>
        <v>1.4999999999999999E-2</v>
      </c>
      <c r="AE315" s="137">
        <f t="shared" si="124"/>
        <v>1.4999999999999999E-2</v>
      </c>
      <c r="AF315" s="137">
        <f t="shared" si="124"/>
        <v>1.4999999999999999E-2</v>
      </c>
      <c r="AG315" s="137">
        <f t="shared" si="124"/>
        <v>1.4999999999999999E-2</v>
      </c>
      <c r="AH315" s="137">
        <f t="shared" si="124"/>
        <v>1.4999999999999999E-2</v>
      </c>
      <c r="AI315" s="137">
        <f t="shared" si="124"/>
        <v>1.4999999999999999E-2</v>
      </c>
      <c r="AJ315" s="137">
        <f t="shared" si="124"/>
        <v>1.4999999999999999E-2</v>
      </c>
      <c r="AK315" s="137">
        <f t="shared" si="124"/>
        <v>1.4999999999999999E-2</v>
      </c>
      <c r="AL315" s="137">
        <f t="shared" si="124"/>
        <v>1.4999999999999999E-2</v>
      </c>
      <c r="AM315" s="137">
        <f t="shared" si="124"/>
        <v>1.4999999999999999E-2</v>
      </c>
      <c r="AN315" s="137">
        <f t="shared" si="124"/>
        <v>1.4999999999999999E-2</v>
      </c>
      <c r="AO315" s="137">
        <f t="shared" si="124"/>
        <v>1.4999999999999999E-2</v>
      </c>
    </row>
    <row r="316" spans="1:45" s="96" customFormat="1" ht="29">
      <c r="B316" s="82" t="s">
        <v>3252</v>
      </c>
      <c r="C316" s="82">
        <f t="shared" ref="C316:AO316" si="125">1/(1+C315)^(C314-$C$303)</f>
        <v>1</v>
      </c>
      <c r="D316" s="82">
        <f t="shared" si="125"/>
        <v>0.98522167487684742</v>
      </c>
      <c r="E316" s="82">
        <f t="shared" si="125"/>
        <v>0.9706617486471405</v>
      </c>
      <c r="F316" s="82">
        <f t="shared" si="125"/>
        <v>0.95631699374102519</v>
      </c>
      <c r="G316" s="82">
        <f t="shared" si="125"/>
        <v>0.94218423028672449</v>
      </c>
      <c r="H316" s="82">
        <f t="shared" si="125"/>
        <v>0.92826032540563996</v>
      </c>
      <c r="I316" s="82">
        <f t="shared" si="125"/>
        <v>0.91454219251787205</v>
      </c>
      <c r="J316" s="82">
        <f t="shared" si="125"/>
        <v>0.90102679065800217</v>
      </c>
      <c r="K316" s="82">
        <f t="shared" si="125"/>
        <v>0.88771112380098749</v>
      </c>
      <c r="L316" s="82">
        <f t="shared" si="125"/>
        <v>0.87459224019801729</v>
      </c>
      <c r="M316" s="82">
        <f t="shared" si="125"/>
        <v>0.86166723172218462</v>
      </c>
      <c r="N316" s="82">
        <f t="shared" si="125"/>
        <v>0.8489332332238273</v>
      </c>
      <c r="O316" s="82">
        <f t="shared" si="125"/>
        <v>0.83638742189539661</v>
      </c>
      <c r="P316" s="82">
        <f t="shared" si="125"/>
        <v>0.82402701664571099</v>
      </c>
      <c r="Q316" s="82">
        <f t="shared" si="125"/>
        <v>0.81184927748345925</v>
      </c>
      <c r="R316" s="82">
        <f t="shared" si="125"/>
        <v>0.79985150490981216</v>
      </c>
      <c r="S316" s="82">
        <f t="shared" si="125"/>
        <v>0.78803103932001206</v>
      </c>
      <c r="T316" s="82">
        <f t="shared" si="125"/>
        <v>0.77638526041380518</v>
      </c>
      <c r="U316" s="82">
        <f t="shared" si="125"/>
        <v>0.76491158661458636</v>
      </c>
      <c r="V316" s="82">
        <f t="shared" si="125"/>
        <v>0.7536074744971295</v>
      </c>
      <c r="W316" s="82">
        <f t="shared" si="125"/>
        <v>0.74247041822377313</v>
      </c>
      <c r="X316" s="82">
        <f t="shared" si="125"/>
        <v>0.73149794898893916</v>
      </c>
      <c r="Y316" s="82">
        <f t="shared" si="125"/>
        <v>0.72068763447186135</v>
      </c>
      <c r="Z316" s="82">
        <f t="shared" si="125"/>
        <v>0.71003707829740037</v>
      </c>
      <c r="AA316" s="82">
        <f t="shared" si="125"/>
        <v>0.69954391950482808</v>
      </c>
      <c r="AB316" s="82">
        <f t="shared" si="125"/>
        <v>0.68920583202446117</v>
      </c>
      <c r="AC316" s="82">
        <f t="shared" si="125"/>
        <v>0.67902052416203085</v>
      </c>
      <c r="AD316" s="82">
        <f t="shared" si="125"/>
        <v>0.66898573809067086</v>
      </c>
      <c r="AE316" s="82">
        <f t="shared" si="125"/>
        <v>0.65909924935041486</v>
      </c>
      <c r="AF316" s="82">
        <f t="shared" si="125"/>
        <v>0.64935886635508844</v>
      </c>
      <c r="AG316" s="82">
        <f t="shared" si="125"/>
        <v>0.63976242990649135</v>
      </c>
      <c r="AH316" s="82">
        <f t="shared" si="125"/>
        <v>0.63030781271575509</v>
      </c>
      <c r="AI316" s="82">
        <f t="shared" si="125"/>
        <v>0.62099291893177844</v>
      </c>
      <c r="AJ316" s="82">
        <f t="shared" si="125"/>
        <v>0.61181568367662909</v>
      </c>
      <c r="AK316" s="82">
        <f t="shared" si="125"/>
        <v>0.60277407258781202</v>
      </c>
      <c r="AL316" s="82">
        <f t="shared" si="125"/>
        <v>0.59386608136730257</v>
      </c>
      <c r="AM316" s="82">
        <f t="shared" si="125"/>
        <v>0.58508973533724395</v>
      </c>
      <c r="AN316" s="82">
        <f t="shared" si="125"/>
        <v>0.57644308900221086</v>
      </c>
      <c r="AO316" s="82">
        <f t="shared" si="125"/>
        <v>0.56792422561794187</v>
      </c>
    </row>
  </sheetData>
  <autoFilter ref="AZ137:BB144" xr:uid="{00000000-0009-0000-0000-000006000000}">
    <sortState xmlns:xlrd2="http://schemas.microsoft.com/office/spreadsheetml/2017/richdata2" ref="AZ138:BB144">
      <sortCondition descending="1" ref="BA137:BA144"/>
    </sortState>
  </autoFilter>
  <pageMargins left="0.7" right="0.7" top="0.75" bottom="0.75" header="0.3" footer="0.3"/>
  <pageSetup paperSize="9" orientation="portrait" verticalDpi="300" r:id="rId1"/>
  <cellWatches>
    <cellWatch r="E57"/>
  </cellWatche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B4:AO337"/>
  <sheetViews>
    <sheetView showGridLines="0" workbookViewId="0"/>
  </sheetViews>
  <sheetFormatPr defaultRowHeight="14.5"/>
  <sheetData>
    <row r="4" spans="2:2">
      <c r="B4" s="9" t="s">
        <v>3749</v>
      </c>
    </row>
    <row r="326" spans="4:41">
      <c r="D326" s="19" t="e">
        <f>(D308/C308)-1</f>
        <v>#DIV/0!</v>
      </c>
      <c r="E326" s="19" t="e">
        <f t="shared" ref="E326:AO326" si="0">(E308/D308)-1</f>
        <v>#DIV/0!</v>
      </c>
      <c r="F326" s="19" t="e">
        <f t="shared" si="0"/>
        <v>#DIV/0!</v>
      </c>
      <c r="G326" s="19" t="e">
        <f t="shared" si="0"/>
        <v>#DIV/0!</v>
      </c>
      <c r="H326" s="19" t="e">
        <f t="shared" si="0"/>
        <v>#DIV/0!</v>
      </c>
      <c r="I326" s="19" t="e">
        <f t="shared" si="0"/>
        <v>#DIV/0!</v>
      </c>
      <c r="J326" s="19" t="e">
        <f t="shared" si="0"/>
        <v>#DIV/0!</v>
      </c>
      <c r="K326" s="19" t="e">
        <f t="shared" si="0"/>
        <v>#DIV/0!</v>
      </c>
      <c r="L326" s="19" t="e">
        <f t="shared" si="0"/>
        <v>#DIV/0!</v>
      </c>
      <c r="M326" s="19" t="e">
        <f t="shared" si="0"/>
        <v>#DIV/0!</v>
      </c>
      <c r="N326" s="19" t="e">
        <f t="shared" si="0"/>
        <v>#DIV/0!</v>
      </c>
      <c r="O326" s="19" t="e">
        <f t="shared" si="0"/>
        <v>#DIV/0!</v>
      </c>
      <c r="P326" s="19" t="e">
        <f t="shared" si="0"/>
        <v>#DIV/0!</v>
      </c>
      <c r="Q326" s="19" t="e">
        <f t="shared" si="0"/>
        <v>#DIV/0!</v>
      </c>
      <c r="R326" s="19" t="e">
        <f t="shared" si="0"/>
        <v>#DIV/0!</v>
      </c>
      <c r="S326" s="19" t="e">
        <f t="shared" si="0"/>
        <v>#DIV/0!</v>
      </c>
      <c r="T326" s="19" t="e">
        <f t="shared" si="0"/>
        <v>#DIV/0!</v>
      </c>
      <c r="U326" s="19" t="e">
        <f t="shared" si="0"/>
        <v>#DIV/0!</v>
      </c>
      <c r="V326" s="19" t="e">
        <f t="shared" si="0"/>
        <v>#DIV/0!</v>
      </c>
      <c r="W326" s="19" t="e">
        <f t="shared" si="0"/>
        <v>#DIV/0!</v>
      </c>
      <c r="X326" s="19" t="e">
        <f t="shared" si="0"/>
        <v>#DIV/0!</v>
      </c>
      <c r="Y326" s="19" t="e">
        <f t="shared" si="0"/>
        <v>#DIV/0!</v>
      </c>
      <c r="Z326" s="19" t="e">
        <f t="shared" si="0"/>
        <v>#DIV/0!</v>
      </c>
      <c r="AA326" s="19" t="e">
        <f t="shared" si="0"/>
        <v>#DIV/0!</v>
      </c>
      <c r="AB326" s="19" t="e">
        <f t="shared" si="0"/>
        <v>#DIV/0!</v>
      </c>
      <c r="AC326" s="19" t="e">
        <f t="shared" si="0"/>
        <v>#DIV/0!</v>
      </c>
      <c r="AD326" s="19" t="e">
        <f t="shared" si="0"/>
        <v>#DIV/0!</v>
      </c>
      <c r="AE326" s="19" t="e">
        <f t="shared" si="0"/>
        <v>#DIV/0!</v>
      </c>
      <c r="AF326" s="19" t="e">
        <f t="shared" si="0"/>
        <v>#DIV/0!</v>
      </c>
      <c r="AG326" s="19" t="e">
        <f t="shared" si="0"/>
        <v>#DIV/0!</v>
      </c>
      <c r="AH326" s="19" t="e">
        <f t="shared" si="0"/>
        <v>#DIV/0!</v>
      </c>
      <c r="AI326" s="19" t="e">
        <f t="shared" si="0"/>
        <v>#DIV/0!</v>
      </c>
      <c r="AJ326" s="19" t="e">
        <f t="shared" si="0"/>
        <v>#DIV/0!</v>
      </c>
      <c r="AK326" s="19" t="e">
        <f t="shared" si="0"/>
        <v>#DIV/0!</v>
      </c>
      <c r="AL326" s="19" t="e">
        <f t="shared" si="0"/>
        <v>#DIV/0!</v>
      </c>
      <c r="AM326" s="19" t="e">
        <f t="shared" si="0"/>
        <v>#DIV/0!</v>
      </c>
      <c r="AN326" s="19" t="e">
        <f t="shared" si="0"/>
        <v>#DIV/0!</v>
      </c>
      <c r="AO326" s="19" t="e">
        <f t="shared" si="0"/>
        <v>#DIV/0!</v>
      </c>
    </row>
    <row r="327" spans="4:41">
      <c r="D327" s="19" t="e">
        <f t="shared" ref="D327:D337" si="1">(D309/C309)-1</f>
        <v>#DIV/0!</v>
      </c>
      <c r="E327" s="19" t="e">
        <f t="shared" ref="E327:AO327" si="2">(E309/D309)-1</f>
        <v>#DIV/0!</v>
      </c>
      <c r="F327" s="19" t="e">
        <f t="shared" si="2"/>
        <v>#DIV/0!</v>
      </c>
      <c r="G327" s="19" t="e">
        <f t="shared" si="2"/>
        <v>#DIV/0!</v>
      </c>
      <c r="H327" s="19" t="e">
        <f t="shared" si="2"/>
        <v>#DIV/0!</v>
      </c>
      <c r="I327" s="19" t="e">
        <f t="shared" si="2"/>
        <v>#DIV/0!</v>
      </c>
      <c r="J327" s="19" t="e">
        <f t="shared" si="2"/>
        <v>#DIV/0!</v>
      </c>
      <c r="K327" s="19" t="e">
        <f t="shared" si="2"/>
        <v>#DIV/0!</v>
      </c>
      <c r="L327" s="19" t="e">
        <f t="shared" si="2"/>
        <v>#DIV/0!</v>
      </c>
      <c r="M327" s="19" t="e">
        <f t="shared" si="2"/>
        <v>#DIV/0!</v>
      </c>
      <c r="N327" s="19" t="e">
        <f t="shared" si="2"/>
        <v>#DIV/0!</v>
      </c>
      <c r="O327" s="19" t="e">
        <f t="shared" si="2"/>
        <v>#DIV/0!</v>
      </c>
      <c r="P327" s="19" t="e">
        <f t="shared" si="2"/>
        <v>#DIV/0!</v>
      </c>
      <c r="Q327" s="19" t="e">
        <f t="shared" si="2"/>
        <v>#DIV/0!</v>
      </c>
      <c r="R327" s="19" t="e">
        <f t="shared" si="2"/>
        <v>#DIV/0!</v>
      </c>
      <c r="S327" s="19" t="e">
        <f t="shared" si="2"/>
        <v>#DIV/0!</v>
      </c>
      <c r="T327" s="19" t="e">
        <f t="shared" si="2"/>
        <v>#DIV/0!</v>
      </c>
      <c r="U327" s="19" t="e">
        <f t="shared" si="2"/>
        <v>#DIV/0!</v>
      </c>
      <c r="V327" s="19" t="e">
        <f t="shared" si="2"/>
        <v>#DIV/0!</v>
      </c>
      <c r="W327" s="19" t="e">
        <f t="shared" si="2"/>
        <v>#DIV/0!</v>
      </c>
      <c r="X327" s="19" t="e">
        <f t="shared" si="2"/>
        <v>#DIV/0!</v>
      </c>
      <c r="Y327" s="19" t="e">
        <f t="shared" si="2"/>
        <v>#DIV/0!</v>
      </c>
      <c r="Z327" s="19" t="e">
        <f t="shared" si="2"/>
        <v>#DIV/0!</v>
      </c>
      <c r="AA327" s="19" t="e">
        <f t="shared" si="2"/>
        <v>#DIV/0!</v>
      </c>
      <c r="AB327" s="19" t="e">
        <f t="shared" si="2"/>
        <v>#DIV/0!</v>
      </c>
      <c r="AC327" s="19" t="e">
        <f t="shared" si="2"/>
        <v>#DIV/0!</v>
      </c>
      <c r="AD327" s="19" t="e">
        <f t="shared" si="2"/>
        <v>#DIV/0!</v>
      </c>
      <c r="AE327" s="19" t="e">
        <f t="shared" si="2"/>
        <v>#DIV/0!</v>
      </c>
      <c r="AF327" s="19" t="e">
        <f t="shared" si="2"/>
        <v>#DIV/0!</v>
      </c>
      <c r="AG327" s="19" t="e">
        <f t="shared" si="2"/>
        <v>#DIV/0!</v>
      </c>
      <c r="AH327" s="19" t="e">
        <f t="shared" si="2"/>
        <v>#DIV/0!</v>
      </c>
      <c r="AI327" s="19" t="e">
        <f t="shared" si="2"/>
        <v>#DIV/0!</v>
      </c>
      <c r="AJ327" s="19" t="e">
        <f t="shared" si="2"/>
        <v>#DIV/0!</v>
      </c>
      <c r="AK327" s="19" t="e">
        <f t="shared" si="2"/>
        <v>#DIV/0!</v>
      </c>
      <c r="AL327" s="19" t="e">
        <f t="shared" si="2"/>
        <v>#DIV/0!</v>
      </c>
      <c r="AM327" s="19" t="e">
        <f t="shared" si="2"/>
        <v>#DIV/0!</v>
      </c>
      <c r="AN327" s="19" t="e">
        <f t="shared" si="2"/>
        <v>#DIV/0!</v>
      </c>
      <c r="AO327" s="19" t="e">
        <f t="shared" si="2"/>
        <v>#DIV/0!</v>
      </c>
    </row>
    <row r="328" spans="4:41">
      <c r="D328" s="19" t="e">
        <f t="shared" si="1"/>
        <v>#DIV/0!</v>
      </c>
      <c r="E328" s="19" t="e">
        <f t="shared" ref="E328:AO328" si="3">(E310/D310)-1</f>
        <v>#DIV/0!</v>
      </c>
      <c r="F328" s="19" t="e">
        <f t="shared" si="3"/>
        <v>#DIV/0!</v>
      </c>
      <c r="G328" s="19" t="e">
        <f t="shared" si="3"/>
        <v>#DIV/0!</v>
      </c>
      <c r="H328" s="19" t="e">
        <f t="shared" si="3"/>
        <v>#DIV/0!</v>
      </c>
      <c r="I328" s="19" t="e">
        <f t="shared" si="3"/>
        <v>#DIV/0!</v>
      </c>
      <c r="J328" s="19" t="e">
        <f t="shared" si="3"/>
        <v>#DIV/0!</v>
      </c>
      <c r="K328" s="19" t="e">
        <f t="shared" si="3"/>
        <v>#DIV/0!</v>
      </c>
      <c r="L328" s="19" t="e">
        <f t="shared" si="3"/>
        <v>#DIV/0!</v>
      </c>
      <c r="M328" s="19" t="e">
        <f t="shared" si="3"/>
        <v>#DIV/0!</v>
      </c>
      <c r="N328" s="19" t="e">
        <f t="shared" si="3"/>
        <v>#DIV/0!</v>
      </c>
      <c r="O328" s="19" t="e">
        <f t="shared" si="3"/>
        <v>#DIV/0!</v>
      </c>
      <c r="P328" s="19" t="e">
        <f t="shared" si="3"/>
        <v>#DIV/0!</v>
      </c>
      <c r="Q328" s="19" t="e">
        <f t="shared" si="3"/>
        <v>#DIV/0!</v>
      </c>
      <c r="R328" s="19" t="e">
        <f t="shared" si="3"/>
        <v>#DIV/0!</v>
      </c>
      <c r="S328" s="19" t="e">
        <f t="shared" si="3"/>
        <v>#DIV/0!</v>
      </c>
      <c r="T328" s="19" t="e">
        <f t="shared" si="3"/>
        <v>#DIV/0!</v>
      </c>
      <c r="U328" s="19" t="e">
        <f t="shared" si="3"/>
        <v>#DIV/0!</v>
      </c>
      <c r="V328" s="19" t="e">
        <f t="shared" si="3"/>
        <v>#DIV/0!</v>
      </c>
      <c r="W328" s="19" t="e">
        <f t="shared" si="3"/>
        <v>#DIV/0!</v>
      </c>
      <c r="X328" s="19" t="e">
        <f t="shared" si="3"/>
        <v>#DIV/0!</v>
      </c>
      <c r="Y328" s="19" t="e">
        <f t="shared" si="3"/>
        <v>#DIV/0!</v>
      </c>
      <c r="Z328" s="19" t="e">
        <f t="shared" si="3"/>
        <v>#DIV/0!</v>
      </c>
      <c r="AA328" s="19" t="e">
        <f t="shared" si="3"/>
        <v>#DIV/0!</v>
      </c>
      <c r="AB328" s="19" t="e">
        <f t="shared" si="3"/>
        <v>#DIV/0!</v>
      </c>
      <c r="AC328" s="19" t="e">
        <f t="shared" si="3"/>
        <v>#DIV/0!</v>
      </c>
      <c r="AD328" s="19" t="e">
        <f t="shared" si="3"/>
        <v>#DIV/0!</v>
      </c>
      <c r="AE328" s="19" t="e">
        <f t="shared" si="3"/>
        <v>#DIV/0!</v>
      </c>
      <c r="AF328" s="19" t="e">
        <f t="shared" si="3"/>
        <v>#DIV/0!</v>
      </c>
      <c r="AG328" s="19" t="e">
        <f t="shared" si="3"/>
        <v>#DIV/0!</v>
      </c>
      <c r="AH328" s="19" t="e">
        <f t="shared" si="3"/>
        <v>#DIV/0!</v>
      </c>
      <c r="AI328" s="19" t="e">
        <f t="shared" si="3"/>
        <v>#DIV/0!</v>
      </c>
      <c r="AJ328" s="19" t="e">
        <f t="shared" si="3"/>
        <v>#DIV/0!</v>
      </c>
      <c r="AK328" s="19" t="e">
        <f t="shared" si="3"/>
        <v>#DIV/0!</v>
      </c>
      <c r="AL328" s="19" t="e">
        <f t="shared" si="3"/>
        <v>#DIV/0!</v>
      </c>
      <c r="AM328" s="19" t="e">
        <f t="shared" si="3"/>
        <v>#DIV/0!</v>
      </c>
      <c r="AN328" s="19" t="e">
        <f t="shared" si="3"/>
        <v>#DIV/0!</v>
      </c>
      <c r="AO328" s="19" t="e">
        <f t="shared" si="3"/>
        <v>#DIV/0!</v>
      </c>
    </row>
    <row r="329" spans="4:41">
      <c r="D329" s="19" t="e">
        <f t="shared" si="1"/>
        <v>#DIV/0!</v>
      </c>
      <c r="E329" s="19" t="e">
        <f t="shared" ref="E329:AO329" si="4">(E311/D311)-1</f>
        <v>#DIV/0!</v>
      </c>
      <c r="F329" s="19" t="e">
        <f t="shared" si="4"/>
        <v>#DIV/0!</v>
      </c>
      <c r="G329" s="19" t="e">
        <f t="shared" si="4"/>
        <v>#DIV/0!</v>
      </c>
      <c r="H329" s="19" t="e">
        <f t="shared" si="4"/>
        <v>#DIV/0!</v>
      </c>
      <c r="I329" s="19" t="e">
        <f t="shared" si="4"/>
        <v>#DIV/0!</v>
      </c>
      <c r="J329" s="19" t="e">
        <f t="shared" si="4"/>
        <v>#DIV/0!</v>
      </c>
      <c r="K329" s="19" t="e">
        <f t="shared" si="4"/>
        <v>#DIV/0!</v>
      </c>
      <c r="L329" s="19" t="e">
        <f t="shared" si="4"/>
        <v>#DIV/0!</v>
      </c>
      <c r="M329" s="19" t="e">
        <f t="shared" si="4"/>
        <v>#DIV/0!</v>
      </c>
      <c r="N329" s="19" t="e">
        <f t="shared" si="4"/>
        <v>#DIV/0!</v>
      </c>
      <c r="O329" s="19" t="e">
        <f t="shared" si="4"/>
        <v>#DIV/0!</v>
      </c>
      <c r="P329" s="19" t="e">
        <f t="shared" si="4"/>
        <v>#DIV/0!</v>
      </c>
      <c r="Q329" s="19" t="e">
        <f t="shared" si="4"/>
        <v>#DIV/0!</v>
      </c>
      <c r="R329" s="19" t="e">
        <f t="shared" si="4"/>
        <v>#DIV/0!</v>
      </c>
      <c r="S329" s="19" t="e">
        <f t="shared" si="4"/>
        <v>#DIV/0!</v>
      </c>
      <c r="T329" s="19" t="e">
        <f t="shared" si="4"/>
        <v>#DIV/0!</v>
      </c>
      <c r="U329" s="19" t="e">
        <f t="shared" si="4"/>
        <v>#DIV/0!</v>
      </c>
      <c r="V329" s="19" t="e">
        <f t="shared" si="4"/>
        <v>#DIV/0!</v>
      </c>
      <c r="W329" s="19" t="e">
        <f t="shared" si="4"/>
        <v>#DIV/0!</v>
      </c>
      <c r="X329" s="19" t="e">
        <f t="shared" si="4"/>
        <v>#DIV/0!</v>
      </c>
      <c r="Y329" s="19" t="e">
        <f t="shared" si="4"/>
        <v>#DIV/0!</v>
      </c>
      <c r="Z329" s="19" t="e">
        <f t="shared" si="4"/>
        <v>#DIV/0!</v>
      </c>
      <c r="AA329" s="19" t="e">
        <f t="shared" si="4"/>
        <v>#DIV/0!</v>
      </c>
      <c r="AB329" s="19" t="e">
        <f t="shared" si="4"/>
        <v>#DIV/0!</v>
      </c>
      <c r="AC329" s="19" t="e">
        <f t="shared" si="4"/>
        <v>#DIV/0!</v>
      </c>
      <c r="AD329" s="19" t="e">
        <f t="shared" si="4"/>
        <v>#DIV/0!</v>
      </c>
      <c r="AE329" s="19" t="e">
        <f t="shared" si="4"/>
        <v>#DIV/0!</v>
      </c>
      <c r="AF329" s="19" t="e">
        <f t="shared" si="4"/>
        <v>#DIV/0!</v>
      </c>
      <c r="AG329" s="19" t="e">
        <f t="shared" si="4"/>
        <v>#DIV/0!</v>
      </c>
      <c r="AH329" s="19" t="e">
        <f t="shared" si="4"/>
        <v>#DIV/0!</v>
      </c>
      <c r="AI329" s="19" t="e">
        <f t="shared" si="4"/>
        <v>#DIV/0!</v>
      </c>
      <c r="AJ329" s="19" t="e">
        <f t="shared" si="4"/>
        <v>#DIV/0!</v>
      </c>
      <c r="AK329" s="19" t="e">
        <f t="shared" si="4"/>
        <v>#DIV/0!</v>
      </c>
      <c r="AL329" s="19" t="e">
        <f t="shared" si="4"/>
        <v>#DIV/0!</v>
      </c>
      <c r="AM329" s="19" t="e">
        <f t="shared" si="4"/>
        <v>#DIV/0!</v>
      </c>
      <c r="AN329" s="19" t="e">
        <f t="shared" si="4"/>
        <v>#DIV/0!</v>
      </c>
      <c r="AO329" s="19" t="e">
        <f t="shared" si="4"/>
        <v>#DIV/0!</v>
      </c>
    </row>
    <row r="330" spans="4:41">
      <c r="D330" s="19" t="e">
        <f t="shared" si="1"/>
        <v>#DIV/0!</v>
      </c>
      <c r="E330" s="19" t="e">
        <f t="shared" ref="E330:AO330" si="5">(E312/D312)-1</f>
        <v>#DIV/0!</v>
      </c>
      <c r="F330" s="19" t="e">
        <f t="shared" si="5"/>
        <v>#DIV/0!</v>
      </c>
      <c r="G330" s="19" t="e">
        <f t="shared" si="5"/>
        <v>#DIV/0!</v>
      </c>
      <c r="H330" s="19" t="e">
        <f t="shared" si="5"/>
        <v>#DIV/0!</v>
      </c>
      <c r="I330" s="19" t="e">
        <f t="shared" si="5"/>
        <v>#DIV/0!</v>
      </c>
      <c r="J330" s="19" t="e">
        <f t="shared" si="5"/>
        <v>#DIV/0!</v>
      </c>
      <c r="K330" s="19" t="e">
        <f t="shared" si="5"/>
        <v>#DIV/0!</v>
      </c>
      <c r="L330" s="19" t="e">
        <f t="shared" si="5"/>
        <v>#DIV/0!</v>
      </c>
      <c r="M330" s="19" t="e">
        <f t="shared" si="5"/>
        <v>#DIV/0!</v>
      </c>
      <c r="N330" s="19" t="e">
        <f t="shared" si="5"/>
        <v>#DIV/0!</v>
      </c>
      <c r="O330" s="19" t="e">
        <f t="shared" si="5"/>
        <v>#DIV/0!</v>
      </c>
      <c r="P330" s="19" t="e">
        <f t="shared" si="5"/>
        <v>#DIV/0!</v>
      </c>
      <c r="Q330" s="19" t="e">
        <f t="shared" si="5"/>
        <v>#DIV/0!</v>
      </c>
      <c r="R330" s="19" t="e">
        <f t="shared" si="5"/>
        <v>#DIV/0!</v>
      </c>
      <c r="S330" s="19" t="e">
        <f t="shared" si="5"/>
        <v>#DIV/0!</v>
      </c>
      <c r="T330" s="19" t="e">
        <f t="shared" si="5"/>
        <v>#DIV/0!</v>
      </c>
      <c r="U330" s="19" t="e">
        <f t="shared" si="5"/>
        <v>#DIV/0!</v>
      </c>
      <c r="V330" s="19" t="e">
        <f t="shared" si="5"/>
        <v>#DIV/0!</v>
      </c>
      <c r="W330" s="19" t="e">
        <f t="shared" si="5"/>
        <v>#DIV/0!</v>
      </c>
      <c r="X330" s="19" t="e">
        <f t="shared" si="5"/>
        <v>#DIV/0!</v>
      </c>
      <c r="Y330" s="19" t="e">
        <f t="shared" si="5"/>
        <v>#DIV/0!</v>
      </c>
      <c r="Z330" s="19" t="e">
        <f t="shared" si="5"/>
        <v>#DIV/0!</v>
      </c>
      <c r="AA330" s="19" t="e">
        <f t="shared" si="5"/>
        <v>#DIV/0!</v>
      </c>
      <c r="AB330" s="19" t="e">
        <f t="shared" si="5"/>
        <v>#DIV/0!</v>
      </c>
      <c r="AC330" s="19" t="e">
        <f t="shared" si="5"/>
        <v>#DIV/0!</v>
      </c>
      <c r="AD330" s="19" t="e">
        <f t="shared" si="5"/>
        <v>#DIV/0!</v>
      </c>
      <c r="AE330" s="19" t="e">
        <f t="shared" si="5"/>
        <v>#DIV/0!</v>
      </c>
      <c r="AF330" s="19" t="e">
        <f t="shared" si="5"/>
        <v>#DIV/0!</v>
      </c>
      <c r="AG330" s="19" t="e">
        <f t="shared" si="5"/>
        <v>#DIV/0!</v>
      </c>
      <c r="AH330" s="19" t="e">
        <f t="shared" si="5"/>
        <v>#DIV/0!</v>
      </c>
      <c r="AI330" s="19" t="e">
        <f t="shared" si="5"/>
        <v>#DIV/0!</v>
      </c>
      <c r="AJ330" s="19" t="e">
        <f t="shared" si="5"/>
        <v>#DIV/0!</v>
      </c>
      <c r="AK330" s="19" t="e">
        <f t="shared" si="5"/>
        <v>#DIV/0!</v>
      </c>
      <c r="AL330" s="19" t="e">
        <f t="shared" si="5"/>
        <v>#DIV/0!</v>
      </c>
      <c r="AM330" s="19" t="e">
        <f t="shared" si="5"/>
        <v>#DIV/0!</v>
      </c>
      <c r="AN330" s="19" t="e">
        <f t="shared" si="5"/>
        <v>#DIV/0!</v>
      </c>
      <c r="AO330" s="19" t="e">
        <f t="shared" si="5"/>
        <v>#DIV/0!</v>
      </c>
    </row>
    <row r="331" spans="4:41">
      <c r="D331" s="19" t="e">
        <f t="shared" si="1"/>
        <v>#DIV/0!</v>
      </c>
      <c r="E331" s="19" t="e">
        <f t="shared" ref="E331:AO331" si="6">(E313/D313)-1</f>
        <v>#DIV/0!</v>
      </c>
      <c r="F331" s="19" t="e">
        <f t="shared" si="6"/>
        <v>#DIV/0!</v>
      </c>
      <c r="G331" s="19" t="e">
        <f t="shared" si="6"/>
        <v>#DIV/0!</v>
      </c>
      <c r="H331" s="19" t="e">
        <f t="shared" si="6"/>
        <v>#DIV/0!</v>
      </c>
      <c r="I331" s="19" t="e">
        <f t="shared" si="6"/>
        <v>#DIV/0!</v>
      </c>
      <c r="J331" s="19" t="e">
        <f t="shared" si="6"/>
        <v>#DIV/0!</v>
      </c>
      <c r="K331" s="19" t="e">
        <f t="shared" si="6"/>
        <v>#DIV/0!</v>
      </c>
      <c r="L331" s="19" t="e">
        <f t="shared" si="6"/>
        <v>#DIV/0!</v>
      </c>
      <c r="M331" s="19" t="e">
        <f t="shared" si="6"/>
        <v>#DIV/0!</v>
      </c>
      <c r="N331" s="19" t="e">
        <f t="shared" si="6"/>
        <v>#DIV/0!</v>
      </c>
      <c r="O331" s="19" t="e">
        <f t="shared" si="6"/>
        <v>#DIV/0!</v>
      </c>
      <c r="P331" s="19" t="e">
        <f t="shared" si="6"/>
        <v>#DIV/0!</v>
      </c>
      <c r="Q331" s="19" t="e">
        <f t="shared" si="6"/>
        <v>#DIV/0!</v>
      </c>
      <c r="R331" s="19" t="e">
        <f t="shared" si="6"/>
        <v>#DIV/0!</v>
      </c>
      <c r="S331" s="19" t="e">
        <f t="shared" si="6"/>
        <v>#DIV/0!</v>
      </c>
      <c r="T331" s="19" t="e">
        <f t="shared" si="6"/>
        <v>#DIV/0!</v>
      </c>
      <c r="U331" s="19" t="e">
        <f t="shared" si="6"/>
        <v>#DIV/0!</v>
      </c>
      <c r="V331" s="19" t="e">
        <f t="shared" si="6"/>
        <v>#DIV/0!</v>
      </c>
      <c r="W331" s="19" t="e">
        <f t="shared" si="6"/>
        <v>#DIV/0!</v>
      </c>
      <c r="X331" s="19" t="e">
        <f t="shared" si="6"/>
        <v>#DIV/0!</v>
      </c>
      <c r="Y331" s="19" t="e">
        <f t="shared" si="6"/>
        <v>#DIV/0!</v>
      </c>
      <c r="Z331" s="19" t="e">
        <f t="shared" si="6"/>
        <v>#DIV/0!</v>
      </c>
      <c r="AA331" s="19" t="e">
        <f t="shared" si="6"/>
        <v>#DIV/0!</v>
      </c>
      <c r="AB331" s="19" t="e">
        <f t="shared" si="6"/>
        <v>#DIV/0!</v>
      </c>
      <c r="AC331" s="19" t="e">
        <f t="shared" si="6"/>
        <v>#DIV/0!</v>
      </c>
      <c r="AD331" s="19" t="e">
        <f t="shared" si="6"/>
        <v>#DIV/0!</v>
      </c>
      <c r="AE331" s="19" t="e">
        <f t="shared" si="6"/>
        <v>#DIV/0!</v>
      </c>
      <c r="AF331" s="19" t="e">
        <f t="shared" si="6"/>
        <v>#DIV/0!</v>
      </c>
      <c r="AG331" s="19" t="e">
        <f t="shared" si="6"/>
        <v>#DIV/0!</v>
      </c>
      <c r="AH331" s="19" t="e">
        <f t="shared" si="6"/>
        <v>#DIV/0!</v>
      </c>
      <c r="AI331" s="19" t="e">
        <f t="shared" si="6"/>
        <v>#DIV/0!</v>
      </c>
      <c r="AJ331" s="19" t="e">
        <f t="shared" si="6"/>
        <v>#DIV/0!</v>
      </c>
      <c r="AK331" s="19" t="e">
        <f t="shared" si="6"/>
        <v>#DIV/0!</v>
      </c>
      <c r="AL331" s="19" t="e">
        <f t="shared" si="6"/>
        <v>#DIV/0!</v>
      </c>
      <c r="AM331" s="19" t="e">
        <f t="shared" si="6"/>
        <v>#DIV/0!</v>
      </c>
      <c r="AN331" s="19" t="e">
        <f t="shared" si="6"/>
        <v>#DIV/0!</v>
      </c>
      <c r="AO331" s="19" t="e">
        <f t="shared" si="6"/>
        <v>#DIV/0!</v>
      </c>
    </row>
    <row r="332" spans="4:41">
      <c r="D332" s="19" t="e">
        <f t="shared" si="1"/>
        <v>#DIV/0!</v>
      </c>
      <c r="E332" s="19" t="e">
        <f t="shared" ref="E332:AO332" si="7">(E314/D314)-1</f>
        <v>#DIV/0!</v>
      </c>
      <c r="F332" s="19" t="e">
        <f t="shared" si="7"/>
        <v>#DIV/0!</v>
      </c>
      <c r="G332" s="19" t="e">
        <f t="shared" si="7"/>
        <v>#DIV/0!</v>
      </c>
      <c r="H332" s="19" t="e">
        <f t="shared" si="7"/>
        <v>#DIV/0!</v>
      </c>
      <c r="I332" s="19" t="e">
        <f t="shared" si="7"/>
        <v>#DIV/0!</v>
      </c>
      <c r="J332" s="19" t="e">
        <f t="shared" si="7"/>
        <v>#DIV/0!</v>
      </c>
      <c r="K332" s="19" t="e">
        <f t="shared" si="7"/>
        <v>#DIV/0!</v>
      </c>
      <c r="L332" s="19" t="e">
        <f t="shared" si="7"/>
        <v>#DIV/0!</v>
      </c>
      <c r="M332" s="19" t="e">
        <f t="shared" si="7"/>
        <v>#DIV/0!</v>
      </c>
      <c r="N332" s="19" t="e">
        <f t="shared" si="7"/>
        <v>#DIV/0!</v>
      </c>
      <c r="O332" s="19" t="e">
        <f t="shared" si="7"/>
        <v>#DIV/0!</v>
      </c>
      <c r="P332" s="19" t="e">
        <f t="shared" si="7"/>
        <v>#DIV/0!</v>
      </c>
      <c r="Q332" s="19" t="e">
        <f t="shared" si="7"/>
        <v>#DIV/0!</v>
      </c>
      <c r="R332" s="19" t="e">
        <f t="shared" si="7"/>
        <v>#DIV/0!</v>
      </c>
      <c r="S332" s="19" t="e">
        <f t="shared" si="7"/>
        <v>#DIV/0!</v>
      </c>
      <c r="T332" s="19" t="e">
        <f t="shared" si="7"/>
        <v>#DIV/0!</v>
      </c>
      <c r="U332" s="19" t="e">
        <f t="shared" si="7"/>
        <v>#DIV/0!</v>
      </c>
      <c r="V332" s="19" t="e">
        <f t="shared" si="7"/>
        <v>#DIV/0!</v>
      </c>
      <c r="W332" s="19" t="e">
        <f t="shared" si="7"/>
        <v>#DIV/0!</v>
      </c>
      <c r="X332" s="19" t="e">
        <f t="shared" si="7"/>
        <v>#DIV/0!</v>
      </c>
      <c r="Y332" s="19" t="e">
        <f t="shared" si="7"/>
        <v>#DIV/0!</v>
      </c>
      <c r="Z332" s="19" t="e">
        <f t="shared" si="7"/>
        <v>#DIV/0!</v>
      </c>
      <c r="AA332" s="19" t="e">
        <f t="shared" si="7"/>
        <v>#DIV/0!</v>
      </c>
      <c r="AB332" s="19" t="e">
        <f t="shared" si="7"/>
        <v>#DIV/0!</v>
      </c>
      <c r="AC332" s="19" t="e">
        <f t="shared" si="7"/>
        <v>#DIV/0!</v>
      </c>
      <c r="AD332" s="19" t="e">
        <f t="shared" si="7"/>
        <v>#DIV/0!</v>
      </c>
      <c r="AE332" s="19" t="e">
        <f t="shared" si="7"/>
        <v>#DIV/0!</v>
      </c>
      <c r="AF332" s="19" t="e">
        <f t="shared" si="7"/>
        <v>#DIV/0!</v>
      </c>
      <c r="AG332" s="19" t="e">
        <f t="shared" si="7"/>
        <v>#DIV/0!</v>
      </c>
      <c r="AH332" s="19" t="e">
        <f t="shared" si="7"/>
        <v>#DIV/0!</v>
      </c>
      <c r="AI332" s="19" t="e">
        <f t="shared" si="7"/>
        <v>#DIV/0!</v>
      </c>
      <c r="AJ332" s="19" t="e">
        <f t="shared" si="7"/>
        <v>#DIV/0!</v>
      </c>
      <c r="AK332" s="19" t="e">
        <f t="shared" si="7"/>
        <v>#DIV/0!</v>
      </c>
      <c r="AL332" s="19" t="e">
        <f t="shared" si="7"/>
        <v>#DIV/0!</v>
      </c>
      <c r="AM332" s="19" t="e">
        <f t="shared" si="7"/>
        <v>#DIV/0!</v>
      </c>
      <c r="AN332" s="19" t="e">
        <f t="shared" si="7"/>
        <v>#DIV/0!</v>
      </c>
      <c r="AO332" s="19" t="e">
        <f t="shared" si="7"/>
        <v>#DIV/0!</v>
      </c>
    </row>
    <row r="333" spans="4:41">
      <c r="D333" s="19" t="e">
        <f t="shared" si="1"/>
        <v>#DIV/0!</v>
      </c>
      <c r="E333" s="19" t="e">
        <f t="shared" ref="E333:AO333" si="8">(E315/D315)-1</f>
        <v>#DIV/0!</v>
      </c>
      <c r="F333" s="19" t="e">
        <f t="shared" si="8"/>
        <v>#DIV/0!</v>
      </c>
      <c r="G333" s="19" t="e">
        <f t="shared" si="8"/>
        <v>#DIV/0!</v>
      </c>
      <c r="H333" s="19" t="e">
        <f t="shared" si="8"/>
        <v>#DIV/0!</v>
      </c>
      <c r="I333" s="19" t="e">
        <f t="shared" si="8"/>
        <v>#DIV/0!</v>
      </c>
      <c r="J333" s="19" t="e">
        <f t="shared" si="8"/>
        <v>#DIV/0!</v>
      </c>
      <c r="K333" s="19" t="e">
        <f t="shared" si="8"/>
        <v>#DIV/0!</v>
      </c>
      <c r="L333" s="19" t="e">
        <f t="shared" si="8"/>
        <v>#DIV/0!</v>
      </c>
      <c r="M333" s="19" t="e">
        <f t="shared" si="8"/>
        <v>#DIV/0!</v>
      </c>
      <c r="N333" s="19" t="e">
        <f t="shared" si="8"/>
        <v>#DIV/0!</v>
      </c>
      <c r="O333" s="19" t="e">
        <f t="shared" si="8"/>
        <v>#DIV/0!</v>
      </c>
      <c r="P333" s="19" t="e">
        <f t="shared" si="8"/>
        <v>#DIV/0!</v>
      </c>
      <c r="Q333" s="19" t="e">
        <f t="shared" si="8"/>
        <v>#DIV/0!</v>
      </c>
      <c r="R333" s="19" t="e">
        <f t="shared" si="8"/>
        <v>#DIV/0!</v>
      </c>
      <c r="S333" s="19" t="e">
        <f t="shared" si="8"/>
        <v>#DIV/0!</v>
      </c>
      <c r="T333" s="19" t="e">
        <f t="shared" si="8"/>
        <v>#DIV/0!</v>
      </c>
      <c r="U333" s="19" t="e">
        <f t="shared" si="8"/>
        <v>#DIV/0!</v>
      </c>
      <c r="V333" s="19" t="e">
        <f t="shared" si="8"/>
        <v>#DIV/0!</v>
      </c>
      <c r="W333" s="19" t="e">
        <f t="shared" si="8"/>
        <v>#DIV/0!</v>
      </c>
      <c r="X333" s="19" t="e">
        <f t="shared" si="8"/>
        <v>#DIV/0!</v>
      </c>
      <c r="Y333" s="19" t="e">
        <f t="shared" si="8"/>
        <v>#DIV/0!</v>
      </c>
      <c r="Z333" s="19" t="e">
        <f t="shared" si="8"/>
        <v>#DIV/0!</v>
      </c>
      <c r="AA333" s="19" t="e">
        <f t="shared" si="8"/>
        <v>#DIV/0!</v>
      </c>
      <c r="AB333" s="19" t="e">
        <f t="shared" si="8"/>
        <v>#DIV/0!</v>
      </c>
      <c r="AC333" s="19" t="e">
        <f t="shared" si="8"/>
        <v>#DIV/0!</v>
      </c>
      <c r="AD333" s="19" t="e">
        <f t="shared" si="8"/>
        <v>#DIV/0!</v>
      </c>
      <c r="AE333" s="19" t="e">
        <f t="shared" si="8"/>
        <v>#DIV/0!</v>
      </c>
      <c r="AF333" s="19" t="e">
        <f t="shared" si="8"/>
        <v>#DIV/0!</v>
      </c>
      <c r="AG333" s="19" t="e">
        <f t="shared" si="8"/>
        <v>#DIV/0!</v>
      </c>
      <c r="AH333" s="19" t="e">
        <f t="shared" si="8"/>
        <v>#DIV/0!</v>
      </c>
      <c r="AI333" s="19" t="e">
        <f t="shared" si="8"/>
        <v>#DIV/0!</v>
      </c>
      <c r="AJ333" s="19" t="e">
        <f t="shared" si="8"/>
        <v>#DIV/0!</v>
      </c>
      <c r="AK333" s="19" t="e">
        <f t="shared" si="8"/>
        <v>#DIV/0!</v>
      </c>
      <c r="AL333" s="19" t="e">
        <f t="shared" si="8"/>
        <v>#DIV/0!</v>
      </c>
      <c r="AM333" s="19" t="e">
        <f t="shared" si="8"/>
        <v>#DIV/0!</v>
      </c>
      <c r="AN333" s="19" t="e">
        <f t="shared" si="8"/>
        <v>#DIV/0!</v>
      </c>
      <c r="AO333" s="19" t="e">
        <f t="shared" si="8"/>
        <v>#DIV/0!</v>
      </c>
    </row>
    <row r="334" spans="4:41">
      <c r="D334" s="19" t="e">
        <f t="shared" si="1"/>
        <v>#DIV/0!</v>
      </c>
      <c r="E334" s="19" t="e">
        <f t="shared" ref="E334:AO334" si="9">(E316/D316)-1</f>
        <v>#DIV/0!</v>
      </c>
      <c r="F334" s="19" t="e">
        <f t="shared" si="9"/>
        <v>#DIV/0!</v>
      </c>
      <c r="G334" s="19" t="e">
        <f t="shared" si="9"/>
        <v>#DIV/0!</v>
      </c>
      <c r="H334" s="19" t="e">
        <f t="shared" si="9"/>
        <v>#DIV/0!</v>
      </c>
      <c r="I334" s="19" t="e">
        <f t="shared" si="9"/>
        <v>#DIV/0!</v>
      </c>
      <c r="J334" s="19" t="e">
        <f t="shared" si="9"/>
        <v>#DIV/0!</v>
      </c>
      <c r="K334" s="19" t="e">
        <f t="shared" si="9"/>
        <v>#DIV/0!</v>
      </c>
      <c r="L334" s="19" t="e">
        <f t="shared" si="9"/>
        <v>#DIV/0!</v>
      </c>
      <c r="M334" s="19" t="e">
        <f t="shared" si="9"/>
        <v>#DIV/0!</v>
      </c>
      <c r="N334" s="19" t="e">
        <f t="shared" si="9"/>
        <v>#DIV/0!</v>
      </c>
      <c r="O334" s="19" t="e">
        <f t="shared" si="9"/>
        <v>#DIV/0!</v>
      </c>
      <c r="P334" s="19" t="e">
        <f t="shared" si="9"/>
        <v>#DIV/0!</v>
      </c>
      <c r="Q334" s="19" t="e">
        <f t="shared" si="9"/>
        <v>#DIV/0!</v>
      </c>
      <c r="R334" s="19" t="e">
        <f t="shared" si="9"/>
        <v>#DIV/0!</v>
      </c>
      <c r="S334" s="19" t="e">
        <f t="shared" si="9"/>
        <v>#DIV/0!</v>
      </c>
      <c r="T334" s="19" t="e">
        <f t="shared" si="9"/>
        <v>#DIV/0!</v>
      </c>
      <c r="U334" s="19" t="e">
        <f t="shared" si="9"/>
        <v>#DIV/0!</v>
      </c>
      <c r="V334" s="19" t="e">
        <f t="shared" si="9"/>
        <v>#DIV/0!</v>
      </c>
      <c r="W334" s="19" t="e">
        <f t="shared" si="9"/>
        <v>#DIV/0!</v>
      </c>
      <c r="X334" s="19" t="e">
        <f t="shared" si="9"/>
        <v>#DIV/0!</v>
      </c>
      <c r="Y334" s="19" t="e">
        <f t="shared" si="9"/>
        <v>#DIV/0!</v>
      </c>
      <c r="Z334" s="19" t="e">
        <f t="shared" si="9"/>
        <v>#DIV/0!</v>
      </c>
      <c r="AA334" s="19" t="e">
        <f t="shared" si="9"/>
        <v>#DIV/0!</v>
      </c>
      <c r="AB334" s="19" t="e">
        <f t="shared" si="9"/>
        <v>#DIV/0!</v>
      </c>
      <c r="AC334" s="19" t="e">
        <f t="shared" si="9"/>
        <v>#DIV/0!</v>
      </c>
      <c r="AD334" s="19" t="e">
        <f t="shared" si="9"/>
        <v>#DIV/0!</v>
      </c>
      <c r="AE334" s="19" t="e">
        <f t="shared" si="9"/>
        <v>#DIV/0!</v>
      </c>
      <c r="AF334" s="19" t="e">
        <f t="shared" si="9"/>
        <v>#DIV/0!</v>
      </c>
      <c r="AG334" s="19" t="e">
        <f t="shared" si="9"/>
        <v>#DIV/0!</v>
      </c>
      <c r="AH334" s="19" t="e">
        <f t="shared" si="9"/>
        <v>#DIV/0!</v>
      </c>
      <c r="AI334" s="19" t="e">
        <f t="shared" si="9"/>
        <v>#DIV/0!</v>
      </c>
      <c r="AJ334" s="19" t="e">
        <f t="shared" si="9"/>
        <v>#DIV/0!</v>
      </c>
      <c r="AK334" s="19" t="e">
        <f t="shared" si="9"/>
        <v>#DIV/0!</v>
      </c>
      <c r="AL334" s="19" t="e">
        <f t="shared" si="9"/>
        <v>#DIV/0!</v>
      </c>
      <c r="AM334" s="19" t="e">
        <f t="shared" si="9"/>
        <v>#DIV/0!</v>
      </c>
      <c r="AN334" s="19" t="e">
        <f t="shared" si="9"/>
        <v>#DIV/0!</v>
      </c>
      <c r="AO334" s="19" t="e">
        <f t="shared" si="9"/>
        <v>#DIV/0!</v>
      </c>
    </row>
    <row r="335" spans="4:41">
      <c r="D335" s="19" t="e">
        <f t="shared" si="1"/>
        <v>#DIV/0!</v>
      </c>
      <c r="E335" s="19" t="e">
        <f t="shared" ref="E335:AO335" si="10">(E317/D317)-1</f>
        <v>#DIV/0!</v>
      </c>
      <c r="F335" s="19" t="e">
        <f t="shared" si="10"/>
        <v>#DIV/0!</v>
      </c>
      <c r="G335" s="19" t="e">
        <f t="shared" si="10"/>
        <v>#DIV/0!</v>
      </c>
      <c r="H335" s="19" t="e">
        <f t="shared" si="10"/>
        <v>#DIV/0!</v>
      </c>
      <c r="I335" s="19" t="e">
        <f t="shared" si="10"/>
        <v>#DIV/0!</v>
      </c>
      <c r="J335" s="19" t="e">
        <f t="shared" si="10"/>
        <v>#DIV/0!</v>
      </c>
      <c r="K335" s="19" t="e">
        <f t="shared" si="10"/>
        <v>#DIV/0!</v>
      </c>
      <c r="L335" s="19" t="e">
        <f t="shared" si="10"/>
        <v>#DIV/0!</v>
      </c>
      <c r="M335" s="19" t="e">
        <f t="shared" si="10"/>
        <v>#DIV/0!</v>
      </c>
      <c r="N335" s="19" t="e">
        <f t="shared" si="10"/>
        <v>#DIV/0!</v>
      </c>
      <c r="O335" s="19" t="e">
        <f t="shared" si="10"/>
        <v>#DIV/0!</v>
      </c>
      <c r="P335" s="19" t="e">
        <f t="shared" si="10"/>
        <v>#DIV/0!</v>
      </c>
      <c r="Q335" s="19" t="e">
        <f t="shared" si="10"/>
        <v>#DIV/0!</v>
      </c>
      <c r="R335" s="19" t="e">
        <f t="shared" si="10"/>
        <v>#DIV/0!</v>
      </c>
      <c r="S335" s="19" t="e">
        <f t="shared" si="10"/>
        <v>#DIV/0!</v>
      </c>
      <c r="T335" s="19" t="e">
        <f t="shared" si="10"/>
        <v>#DIV/0!</v>
      </c>
      <c r="U335" s="19" t="e">
        <f t="shared" si="10"/>
        <v>#DIV/0!</v>
      </c>
      <c r="V335" s="19" t="e">
        <f t="shared" si="10"/>
        <v>#DIV/0!</v>
      </c>
      <c r="W335" s="19" t="e">
        <f t="shared" si="10"/>
        <v>#DIV/0!</v>
      </c>
      <c r="X335" s="19" t="e">
        <f t="shared" si="10"/>
        <v>#DIV/0!</v>
      </c>
      <c r="Y335" s="19" t="e">
        <f t="shared" si="10"/>
        <v>#DIV/0!</v>
      </c>
      <c r="Z335" s="19" t="e">
        <f t="shared" si="10"/>
        <v>#DIV/0!</v>
      </c>
      <c r="AA335" s="19" t="e">
        <f t="shared" si="10"/>
        <v>#DIV/0!</v>
      </c>
      <c r="AB335" s="19" t="e">
        <f t="shared" si="10"/>
        <v>#DIV/0!</v>
      </c>
      <c r="AC335" s="19" t="e">
        <f t="shared" si="10"/>
        <v>#DIV/0!</v>
      </c>
      <c r="AD335" s="19" t="e">
        <f t="shared" si="10"/>
        <v>#DIV/0!</v>
      </c>
      <c r="AE335" s="19" t="e">
        <f t="shared" si="10"/>
        <v>#DIV/0!</v>
      </c>
      <c r="AF335" s="19" t="e">
        <f t="shared" si="10"/>
        <v>#DIV/0!</v>
      </c>
      <c r="AG335" s="19" t="e">
        <f t="shared" si="10"/>
        <v>#DIV/0!</v>
      </c>
      <c r="AH335" s="19" t="e">
        <f t="shared" si="10"/>
        <v>#DIV/0!</v>
      </c>
      <c r="AI335" s="19" t="e">
        <f t="shared" si="10"/>
        <v>#DIV/0!</v>
      </c>
      <c r="AJ335" s="19" t="e">
        <f t="shared" si="10"/>
        <v>#DIV/0!</v>
      </c>
      <c r="AK335" s="19" t="e">
        <f t="shared" si="10"/>
        <v>#DIV/0!</v>
      </c>
      <c r="AL335" s="19" t="e">
        <f t="shared" si="10"/>
        <v>#DIV/0!</v>
      </c>
      <c r="AM335" s="19" t="e">
        <f t="shared" si="10"/>
        <v>#DIV/0!</v>
      </c>
      <c r="AN335" s="19" t="e">
        <f t="shared" si="10"/>
        <v>#DIV/0!</v>
      </c>
      <c r="AO335" s="19" t="e">
        <f t="shared" si="10"/>
        <v>#DIV/0!</v>
      </c>
    </row>
    <row r="336" spans="4:41">
      <c r="D336" s="19" t="e">
        <f t="shared" si="1"/>
        <v>#DIV/0!</v>
      </c>
      <c r="E336" s="19" t="e">
        <f t="shared" ref="E336:AO336" si="11">(E318/D318)-1</f>
        <v>#DIV/0!</v>
      </c>
      <c r="F336" s="19" t="e">
        <f t="shared" si="11"/>
        <v>#DIV/0!</v>
      </c>
      <c r="G336" s="19" t="e">
        <f t="shared" si="11"/>
        <v>#DIV/0!</v>
      </c>
      <c r="H336" s="19" t="e">
        <f t="shared" si="11"/>
        <v>#DIV/0!</v>
      </c>
      <c r="I336" s="19" t="e">
        <f t="shared" si="11"/>
        <v>#DIV/0!</v>
      </c>
      <c r="J336" s="19" t="e">
        <f t="shared" si="11"/>
        <v>#DIV/0!</v>
      </c>
      <c r="K336" s="19" t="e">
        <f t="shared" si="11"/>
        <v>#DIV/0!</v>
      </c>
      <c r="L336" s="19" t="e">
        <f t="shared" si="11"/>
        <v>#DIV/0!</v>
      </c>
      <c r="M336" s="19" t="e">
        <f t="shared" si="11"/>
        <v>#DIV/0!</v>
      </c>
      <c r="N336" s="19" t="e">
        <f t="shared" si="11"/>
        <v>#DIV/0!</v>
      </c>
      <c r="O336" s="19" t="e">
        <f t="shared" si="11"/>
        <v>#DIV/0!</v>
      </c>
      <c r="P336" s="19" t="e">
        <f t="shared" si="11"/>
        <v>#DIV/0!</v>
      </c>
      <c r="Q336" s="19" t="e">
        <f t="shared" si="11"/>
        <v>#DIV/0!</v>
      </c>
      <c r="R336" s="19" t="e">
        <f t="shared" si="11"/>
        <v>#DIV/0!</v>
      </c>
      <c r="S336" s="19" t="e">
        <f t="shared" si="11"/>
        <v>#DIV/0!</v>
      </c>
      <c r="T336" s="19" t="e">
        <f t="shared" si="11"/>
        <v>#DIV/0!</v>
      </c>
      <c r="U336" s="19" t="e">
        <f t="shared" si="11"/>
        <v>#DIV/0!</v>
      </c>
      <c r="V336" s="19" t="e">
        <f t="shared" si="11"/>
        <v>#DIV/0!</v>
      </c>
      <c r="W336" s="19" t="e">
        <f t="shared" si="11"/>
        <v>#DIV/0!</v>
      </c>
      <c r="X336" s="19" t="e">
        <f t="shared" si="11"/>
        <v>#DIV/0!</v>
      </c>
      <c r="Y336" s="19" t="e">
        <f t="shared" si="11"/>
        <v>#DIV/0!</v>
      </c>
      <c r="Z336" s="19" t="e">
        <f t="shared" si="11"/>
        <v>#DIV/0!</v>
      </c>
      <c r="AA336" s="19" t="e">
        <f t="shared" si="11"/>
        <v>#DIV/0!</v>
      </c>
      <c r="AB336" s="19" t="e">
        <f t="shared" si="11"/>
        <v>#DIV/0!</v>
      </c>
      <c r="AC336" s="19" t="e">
        <f t="shared" si="11"/>
        <v>#DIV/0!</v>
      </c>
      <c r="AD336" s="19" t="e">
        <f t="shared" si="11"/>
        <v>#DIV/0!</v>
      </c>
      <c r="AE336" s="19" t="e">
        <f t="shared" si="11"/>
        <v>#DIV/0!</v>
      </c>
      <c r="AF336" s="19" t="e">
        <f t="shared" si="11"/>
        <v>#DIV/0!</v>
      </c>
      <c r="AG336" s="19" t="e">
        <f t="shared" si="11"/>
        <v>#DIV/0!</v>
      </c>
      <c r="AH336" s="19" t="e">
        <f t="shared" si="11"/>
        <v>#DIV/0!</v>
      </c>
      <c r="AI336" s="19" t="e">
        <f t="shared" si="11"/>
        <v>#DIV/0!</v>
      </c>
      <c r="AJ336" s="19" t="e">
        <f t="shared" si="11"/>
        <v>#DIV/0!</v>
      </c>
      <c r="AK336" s="19" t="e">
        <f t="shared" si="11"/>
        <v>#DIV/0!</v>
      </c>
      <c r="AL336" s="19" t="e">
        <f t="shared" si="11"/>
        <v>#DIV/0!</v>
      </c>
      <c r="AM336" s="19" t="e">
        <f t="shared" si="11"/>
        <v>#DIV/0!</v>
      </c>
      <c r="AN336" s="19" t="e">
        <f t="shared" si="11"/>
        <v>#DIV/0!</v>
      </c>
      <c r="AO336" s="19" t="e">
        <f t="shared" si="11"/>
        <v>#DIV/0!</v>
      </c>
    </row>
    <row r="337" spans="4:41">
      <c r="D337" s="19" t="e">
        <f t="shared" si="1"/>
        <v>#DIV/0!</v>
      </c>
      <c r="E337" s="19" t="e">
        <f t="shared" ref="E337:AO337" si="12">(E319/D319)-1</f>
        <v>#DIV/0!</v>
      </c>
      <c r="F337" s="19" t="e">
        <f t="shared" si="12"/>
        <v>#DIV/0!</v>
      </c>
      <c r="G337" s="19" t="e">
        <f t="shared" si="12"/>
        <v>#DIV/0!</v>
      </c>
      <c r="H337" s="19" t="e">
        <f t="shared" si="12"/>
        <v>#DIV/0!</v>
      </c>
      <c r="I337" s="19" t="e">
        <f t="shared" si="12"/>
        <v>#DIV/0!</v>
      </c>
      <c r="J337" s="19" t="e">
        <f t="shared" si="12"/>
        <v>#DIV/0!</v>
      </c>
      <c r="K337" s="19" t="e">
        <f t="shared" si="12"/>
        <v>#DIV/0!</v>
      </c>
      <c r="L337" s="19" t="e">
        <f t="shared" si="12"/>
        <v>#DIV/0!</v>
      </c>
      <c r="M337" s="19" t="e">
        <f t="shared" si="12"/>
        <v>#DIV/0!</v>
      </c>
      <c r="N337" s="19" t="e">
        <f t="shared" si="12"/>
        <v>#DIV/0!</v>
      </c>
      <c r="O337" s="19" t="e">
        <f t="shared" si="12"/>
        <v>#DIV/0!</v>
      </c>
      <c r="P337" s="19" t="e">
        <f t="shared" si="12"/>
        <v>#DIV/0!</v>
      </c>
      <c r="Q337" s="19" t="e">
        <f t="shared" si="12"/>
        <v>#DIV/0!</v>
      </c>
      <c r="R337" s="19" t="e">
        <f t="shared" si="12"/>
        <v>#DIV/0!</v>
      </c>
      <c r="S337" s="19" t="e">
        <f t="shared" si="12"/>
        <v>#DIV/0!</v>
      </c>
      <c r="T337" s="19" t="e">
        <f t="shared" si="12"/>
        <v>#DIV/0!</v>
      </c>
      <c r="U337" s="19" t="e">
        <f t="shared" si="12"/>
        <v>#DIV/0!</v>
      </c>
      <c r="V337" s="19" t="e">
        <f t="shared" si="12"/>
        <v>#DIV/0!</v>
      </c>
      <c r="W337" s="19" t="e">
        <f t="shared" si="12"/>
        <v>#DIV/0!</v>
      </c>
      <c r="X337" s="19" t="e">
        <f t="shared" si="12"/>
        <v>#DIV/0!</v>
      </c>
      <c r="Y337" s="19" t="e">
        <f t="shared" si="12"/>
        <v>#DIV/0!</v>
      </c>
      <c r="Z337" s="19" t="e">
        <f t="shared" si="12"/>
        <v>#DIV/0!</v>
      </c>
      <c r="AA337" s="19" t="e">
        <f t="shared" si="12"/>
        <v>#DIV/0!</v>
      </c>
      <c r="AB337" s="19" t="e">
        <f t="shared" si="12"/>
        <v>#DIV/0!</v>
      </c>
      <c r="AC337" s="19" t="e">
        <f t="shared" si="12"/>
        <v>#DIV/0!</v>
      </c>
      <c r="AD337" s="19" t="e">
        <f t="shared" si="12"/>
        <v>#DIV/0!</v>
      </c>
      <c r="AE337" s="19" t="e">
        <f t="shared" si="12"/>
        <v>#DIV/0!</v>
      </c>
      <c r="AF337" s="19" t="e">
        <f t="shared" si="12"/>
        <v>#DIV/0!</v>
      </c>
      <c r="AG337" s="19" t="e">
        <f t="shared" si="12"/>
        <v>#DIV/0!</v>
      </c>
      <c r="AH337" s="19" t="e">
        <f t="shared" si="12"/>
        <v>#DIV/0!</v>
      </c>
      <c r="AI337" s="19" t="e">
        <f t="shared" si="12"/>
        <v>#DIV/0!</v>
      </c>
      <c r="AJ337" s="19" t="e">
        <f t="shared" si="12"/>
        <v>#DIV/0!</v>
      </c>
      <c r="AK337" s="19" t="e">
        <f t="shared" si="12"/>
        <v>#DIV/0!</v>
      </c>
      <c r="AL337" s="19" t="e">
        <f t="shared" si="12"/>
        <v>#DIV/0!</v>
      </c>
      <c r="AM337" s="19" t="e">
        <f t="shared" si="12"/>
        <v>#DIV/0!</v>
      </c>
      <c r="AN337" s="19" t="e">
        <f t="shared" si="12"/>
        <v>#DIV/0!</v>
      </c>
      <c r="AO337" s="19" t="e">
        <f t="shared" si="12"/>
        <v>#DIV/0!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39997558519241921"/>
  </sheetPr>
  <dimension ref="A1:AO122"/>
  <sheetViews>
    <sheetView showGridLines="0" workbookViewId="0"/>
  </sheetViews>
  <sheetFormatPr defaultRowHeight="14.5"/>
  <cols>
    <col min="1" max="1" width="6.36328125" customWidth="1"/>
    <col min="2" max="2" width="23.36328125" customWidth="1"/>
    <col min="3" max="3" width="18.08984375" customWidth="1"/>
    <col min="4" max="4" width="17.08984375" customWidth="1"/>
    <col min="5" max="5" width="20.54296875" customWidth="1"/>
    <col min="6" max="7" width="15.36328125" customWidth="1"/>
    <col min="8" max="8" width="26.6328125" customWidth="1"/>
    <col min="9" max="12" width="15.36328125" customWidth="1"/>
    <col min="13" max="13" width="18.6328125" customWidth="1"/>
    <col min="14" max="14" width="25.6328125" customWidth="1"/>
    <col min="15" max="30" width="15.36328125" customWidth="1"/>
    <col min="31" max="41" width="19.453125" customWidth="1"/>
    <col min="42" max="42" width="8.90625" customWidth="1"/>
    <col min="43" max="43" width="12.6328125" customWidth="1"/>
  </cols>
  <sheetData>
    <row r="1" spans="1:41" s="782" customFormat="1" ht="18.5">
      <c r="A1" s="780" t="s">
        <v>3548</v>
      </c>
    </row>
    <row r="2" spans="1:41" s="782" customFormat="1">
      <c r="A2" s="782" t="s">
        <v>3549</v>
      </c>
    </row>
    <row r="3" spans="1:41" s="782" customFormat="1"/>
    <row r="4" spans="1:41" s="783" customFormat="1"/>
    <row r="6" spans="1:41">
      <c r="B6" s="92" t="s">
        <v>2889</v>
      </c>
      <c r="C6" s="275">
        <f>'Control Assumptions'!C13+5</f>
        <v>2029</v>
      </c>
    </row>
    <row r="8" spans="1:41" ht="21" customHeight="1">
      <c r="E8" s="181"/>
      <c r="F8" s="181"/>
    </row>
    <row r="9" spans="1:41" s="588" customFormat="1">
      <c r="A9" s="593" t="s">
        <v>10</v>
      </c>
      <c r="B9" s="593" t="s">
        <v>24</v>
      </c>
    </row>
    <row r="11" spans="1:41">
      <c r="C11" s="34">
        <f t="shared" ref="C11:AE11" si="0">C21</f>
        <v>2020</v>
      </c>
      <c r="D11" s="34">
        <f t="shared" si="0"/>
        <v>2021</v>
      </c>
      <c r="E11" s="34">
        <f t="shared" si="0"/>
        <v>2022</v>
      </c>
      <c r="F11" s="34">
        <f t="shared" si="0"/>
        <v>2023</v>
      </c>
      <c r="G11" s="34">
        <f t="shared" si="0"/>
        <v>2024</v>
      </c>
      <c r="H11" s="34">
        <f t="shared" si="0"/>
        <v>2025</v>
      </c>
      <c r="I11" s="34">
        <f t="shared" si="0"/>
        <v>2026</v>
      </c>
      <c r="J11" s="34">
        <f t="shared" si="0"/>
        <v>2027</v>
      </c>
      <c r="K11" s="34">
        <f t="shared" si="0"/>
        <v>2028</v>
      </c>
      <c r="L11" s="34">
        <f t="shared" si="0"/>
        <v>2029</v>
      </c>
      <c r="M11" s="34">
        <f t="shared" si="0"/>
        <v>2030</v>
      </c>
      <c r="N11" s="34">
        <f t="shared" si="0"/>
        <v>2031</v>
      </c>
      <c r="O11" s="34">
        <f t="shared" si="0"/>
        <v>2032</v>
      </c>
      <c r="P11" s="34">
        <f t="shared" si="0"/>
        <v>2033</v>
      </c>
      <c r="Q11" s="34">
        <f t="shared" si="0"/>
        <v>2034</v>
      </c>
      <c r="R11" s="34">
        <f t="shared" si="0"/>
        <v>2035</v>
      </c>
      <c r="S11" s="34">
        <f t="shared" si="0"/>
        <v>2036</v>
      </c>
      <c r="T11" s="34">
        <f t="shared" si="0"/>
        <v>2037</v>
      </c>
      <c r="U11" s="34">
        <f t="shared" si="0"/>
        <v>2038</v>
      </c>
      <c r="V11" s="34">
        <f t="shared" si="0"/>
        <v>2039</v>
      </c>
      <c r="W11" s="34">
        <f t="shared" si="0"/>
        <v>2040</v>
      </c>
      <c r="X11" s="34">
        <f t="shared" si="0"/>
        <v>2041</v>
      </c>
      <c r="Y11" s="34">
        <f t="shared" si="0"/>
        <v>2042</v>
      </c>
      <c r="Z11" s="34">
        <f t="shared" si="0"/>
        <v>2043</v>
      </c>
      <c r="AA11" s="34">
        <f t="shared" si="0"/>
        <v>2044</v>
      </c>
      <c r="AB11" s="34">
        <f t="shared" si="0"/>
        <v>2045</v>
      </c>
      <c r="AC11" s="34">
        <f t="shared" si="0"/>
        <v>2046</v>
      </c>
      <c r="AD11" s="34">
        <f t="shared" si="0"/>
        <v>2047</v>
      </c>
      <c r="AE11" s="34">
        <f t="shared" si="0"/>
        <v>2048</v>
      </c>
      <c r="AF11" s="34">
        <f t="shared" ref="AF11:AO11" si="1">AF21</f>
        <v>2049</v>
      </c>
      <c r="AG11" s="34">
        <f t="shared" si="1"/>
        <v>2050</v>
      </c>
      <c r="AH11" s="34">
        <f t="shared" si="1"/>
        <v>2051</v>
      </c>
      <c r="AI11" s="34">
        <f t="shared" si="1"/>
        <v>2052</v>
      </c>
      <c r="AJ11" s="34">
        <f t="shared" si="1"/>
        <v>2053</v>
      </c>
      <c r="AK11" s="34">
        <f t="shared" si="1"/>
        <v>2054</v>
      </c>
      <c r="AL11" s="34">
        <f t="shared" si="1"/>
        <v>2055</v>
      </c>
      <c r="AM11" s="34">
        <f t="shared" si="1"/>
        <v>2056</v>
      </c>
      <c r="AN11" s="34">
        <f t="shared" si="1"/>
        <v>2057</v>
      </c>
      <c r="AO11" s="34">
        <f t="shared" si="1"/>
        <v>2058</v>
      </c>
    </row>
    <row r="12" spans="1:41">
      <c r="B12" s="12" t="s">
        <v>183</v>
      </c>
      <c r="C12" s="39">
        <f>'Prevalence projection INT'!C58</f>
        <v>82.5</v>
      </c>
      <c r="D12" s="39">
        <f>'Prevalence projection INT'!D58</f>
        <v>85.671252397034777</v>
      </c>
      <c r="E12" s="39">
        <f>'Prevalence projection INT'!E58</f>
        <v>88.409985944913515</v>
      </c>
      <c r="F12" s="39">
        <f>'Prevalence projection INT'!F58</f>
        <v>90.841470209093458</v>
      </c>
      <c r="G12" s="39">
        <f>'Prevalence projection INT'!G58</f>
        <v>93.082241400315425</v>
      </c>
      <c r="H12" s="39">
        <f>'Prevalence projection INT'!H58</f>
        <v>85.286901679364021</v>
      </c>
      <c r="I12" s="39">
        <f>'Prevalence projection INT'!I58</f>
        <v>80.371125267470873</v>
      </c>
      <c r="J12" s="39">
        <f>'Prevalence projection INT'!J58</f>
        <v>77.423024352014167</v>
      </c>
      <c r="K12" s="39">
        <f>'Prevalence projection INT'!K58</f>
        <v>75.937588943370585</v>
      </c>
      <c r="L12" s="39">
        <f>'Prevalence projection INT'!L58</f>
        <v>75.373960841853631</v>
      </c>
      <c r="M12" s="39">
        <f>'Prevalence projection INT'!M58</f>
        <v>75.399002957624646</v>
      </c>
      <c r="N12" s="39">
        <f>'Prevalence projection INT'!N58</f>
        <v>75.843476439524451</v>
      </c>
      <c r="O12" s="39">
        <f>'Prevalence projection INT'!O58</f>
        <v>76.512346222148111</v>
      </c>
      <c r="P12" s="39">
        <f>'Prevalence projection INT'!P58</f>
        <v>77.316706904841794</v>
      </c>
      <c r="Q12" s="39">
        <f>'Prevalence projection INT'!Q58</f>
        <v>78.215904967552774</v>
      </c>
      <c r="R12" s="39">
        <f>'Prevalence projection INT'!R58</f>
        <v>79.172732163785923</v>
      </c>
      <c r="S12" s="39">
        <f>'Prevalence projection INT'!S58</f>
        <v>80.155030344903821</v>
      </c>
      <c r="T12" s="39">
        <f>'Prevalence projection INT'!T58</f>
        <v>81.159129851206629</v>
      </c>
      <c r="U12" s="39">
        <f>'Prevalence projection INT'!U58</f>
        <v>82.21650286249897</v>
      </c>
      <c r="V12" s="39">
        <f>'Prevalence projection INT'!V58</f>
        <v>83.269470376127629</v>
      </c>
      <c r="W12" s="39">
        <f>'Prevalence projection INT'!W58</f>
        <v>84.304559744743102</v>
      </c>
      <c r="X12" s="39">
        <f>'Prevalence projection INT'!X58</f>
        <v>85.338263741522951</v>
      </c>
      <c r="Y12" s="39">
        <f>'Prevalence projection INT'!Y58</f>
        <v>86.361751387228182</v>
      </c>
      <c r="Z12" s="39">
        <f>'Prevalence projection INT'!Z58</f>
        <v>87.365790951214706</v>
      </c>
      <c r="AA12" s="39">
        <f>'Prevalence projection INT'!AA58</f>
        <v>88.343803133612155</v>
      </c>
      <c r="AB12" s="39">
        <f>'Prevalence projection INT'!AB58</f>
        <v>89.300002386112538</v>
      </c>
      <c r="AC12" s="39">
        <f>'Prevalence projection INT'!AC58</f>
        <v>90.224792989119592</v>
      </c>
      <c r="AD12" s="39">
        <f>'Prevalence projection INT'!AD58</f>
        <v>91.109782246881963</v>
      </c>
      <c r="AE12" s="39">
        <f>'Prevalence projection INT'!AE58</f>
        <v>91.949173834027292</v>
      </c>
      <c r="AF12" s="39">
        <f>'Prevalence projection INT'!AF58</f>
        <v>92.745041204404558</v>
      </c>
      <c r="AG12" s="39">
        <f>'Prevalence projection INT'!AG58</f>
        <v>93.514153714375951</v>
      </c>
      <c r="AH12" s="39">
        <f>'Prevalence projection INT'!AH58</f>
        <v>94.258561793882748</v>
      </c>
      <c r="AI12" s="39">
        <f>'Prevalence projection INT'!AI58</f>
        <v>94.988077339954486</v>
      </c>
      <c r="AJ12" s="39">
        <f>'Prevalence projection INT'!AJ58</f>
        <v>95.692672677062632</v>
      </c>
      <c r="AK12" s="39">
        <f>'Prevalence projection INT'!AK58</f>
        <v>96.356771487241119</v>
      </c>
      <c r="AL12" s="39">
        <f>'Prevalence projection INT'!AL58</f>
        <v>96.971911538641692</v>
      </c>
      <c r="AM12" s="39">
        <f>'Prevalence projection INT'!AM58</f>
        <v>97.532841782974856</v>
      </c>
      <c r="AN12" s="39">
        <f>'Prevalence projection INT'!AN58</f>
        <v>98.035625443233315</v>
      </c>
      <c r="AO12" s="39">
        <f>'Prevalence projection INT'!AO58</f>
        <v>98.476638181047576</v>
      </c>
    </row>
    <row r="13" spans="1:41">
      <c r="B13" s="12" t="s">
        <v>2555</v>
      </c>
      <c r="C13" s="39">
        <f>'Prevalence projection INT'!C92</f>
        <v>34.5</v>
      </c>
      <c r="D13" s="39">
        <f>'Prevalence projection INT'!D92</f>
        <v>38.454128917855734</v>
      </c>
      <c r="E13" s="39">
        <f>'Prevalence projection INT'!E92</f>
        <v>42.457630958756774</v>
      </c>
      <c r="F13" s="39">
        <f>'Prevalence projection INT'!F92</f>
        <v>46.516040358715721</v>
      </c>
      <c r="G13" s="39">
        <f>'Prevalence projection INT'!G92</f>
        <v>50.574449758674668</v>
      </c>
      <c r="H13" s="39">
        <f>'Prevalence projection INT'!H92</f>
        <v>54.683534377078708</v>
      </c>
      <c r="I13" s="39">
        <f>'Prevalence projection INT'!I92</f>
        <v>58.848974401883702</v>
      </c>
      <c r="J13" s="39">
        <f>'Prevalence projection INT'!J92</f>
        <v>63.080038440011002</v>
      </c>
      <c r="K13" s="39">
        <f>'Prevalence projection INT'!K92</f>
        <v>67.381744254903779</v>
      </c>
      <c r="L13" s="39">
        <f>'Prevalence projection INT'!L92</f>
        <v>71.750717145199403</v>
      </c>
      <c r="M13" s="39">
        <f>'Prevalence projection INT'!M92</f>
        <v>76.18878189188041</v>
      </c>
      <c r="N13" s="39">
        <f>'Prevalence projection INT'!N92</f>
        <v>80.72626082819346</v>
      </c>
      <c r="O13" s="39">
        <f>'Prevalence projection INT'!O92</f>
        <v>85.347542519177281</v>
      </c>
      <c r="P13" s="39">
        <f>'Prevalence projection INT'!P92</f>
        <v>90.043016274548236</v>
      </c>
      <c r="Q13" s="39">
        <f>'Prevalence projection INT'!Q92</f>
        <v>94.806531361532308</v>
      </c>
      <c r="R13" s="39">
        <f>'Prevalence projection INT'!R92</f>
        <v>99.632738875445966</v>
      </c>
      <c r="S13" s="39">
        <f>'Prevalence projection INT'!S92</f>
        <v>104.52396023504808</v>
      </c>
      <c r="T13" s="39">
        <f>'Prevalence projection INT'!T92</f>
        <v>109.48470876853897</v>
      </c>
      <c r="U13" s="39">
        <f>'Prevalence projection INT'!U92</f>
        <v>114.51526686613272</v>
      </c>
      <c r="V13" s="39">
        <f>'Prevalence projection INT'!V92</f>
        <v>119.60994680013225</v>
      </c>
      <c r="W13" s="39">
        <f>'Prevalence projection INT'!W92</f>
        <v>124.76797699082415</v>
      </c>
      <c r="X13" s="39">
        <f>'Prevalence projection INT'!X92</f>
        <v>130.00043191024901</v>
      </c>
      <c r="Y13" s="39">
        <f>'Prevalence projection INT'!Y92</f>
        <v>135.29826085686554</v>
      </c>
      <c r="Z13" s="39">
        <f>'Prevalence projection INT'!Z92</f>
        <v>140.65753730204207</v>
      </c>
      <c r="AA13" s="39">
        <f>'Prevalence projection INT'!AA92</f>
        <v>146.07616701849767</v>
      </c>
      <c r="AB13" s="39">
        <f>'Prevalence projection INT'!AB92</f>
        <v>151.55743569892817</v>
      </c>
      <c r="AC13" s="39">
        <f>'Prevalence projection INT'!AC92</f>
        <v>157.09961134131828</v>
      </c>
      <c r="AD13" s="39">
        <f>'Prevalence projection INT'!AD92</f>
        <v>162.69977082648839</v>
      </c>
      <c r="AE13" s="39">
        <f>'Prevalence projection INT'!AE92</f>
        <v>168.35499186999945</v>
      </c>
      <c r="AF13" s="39">
        <f>'Prevalence projection INT'!AF92</f>
        <v>174.06199560617938</v>
      </c>
      <c r="AG13" s="39">
        <f>'Prevalence projection INT'!AG92</f>
        <v>179.81756641650577</v>
      </c>
      <c r="AH13" s="39">
        <f>'Prevalence projection INT'!AH92</f>
        <v>185.61833582351593</v>
      </c>
      <c r="AI13" s="39">
        <f>'Prevalence projection INT'!AI92</f>
        <v>191.46268560865505</v>
      </c>
      <c r="AJ13" s="39">
        <f>'Prevalence projection INT'!AJ92</f>
        <v>197.35294631828901</v>
      </c>
      <c r="AK13" s="39">
        <f>'Prevalence projection INT'!AK92</f>
        <v>203.28834429554823</v>
      </c>
      <c r="AL13" s="39">
        <f>'Prevalence projection INT'!AL92</f>
        <v>209.26944543217613</v>
      </c>
      <c r="AM13" s="39">
        <f>'Prevalence projection INT'!AM92</f>
        <v>215.29025241352792</v>
      </c>
      <c r="AN13" s="39">
        <f>'Prevalence projection INT'!AN92</f>
        <v>221.3448391367088</v>
      </c>
      <c r="AO13" s="39">
        <f>'Prevalence projection INT'!AO92</f>
        <v>227.42767684777934</v>
      </c>
    </row>
    <row r="14" spans="1:41">
      <c r="B14" s="12" t="s">
        <v>2556</v>
      </c>
      <c r="C14" s="39">
        <f>'Prevalence projection INT'!C26</f>
        <v>283.5</v>
      </c>
      <c r="D14" s="39">
        <f>'Prevalence projection INT'!D26</f>
        <v>293.19015912843923</v>
      </c>
      <c r="E14" s="39">
        <f>'Prevalence projection INT'!E26</f>
        <v>301.48374143342193</v>
      </c>
      <c r="F14" s="39">
        <f>'Prevalence projection INT'!F26</f>
        <v>308.83682243526221</v>
      </c>
      <c r="G14" s="39">
        <f>'Prevalence projection INT'!G26</f>
        <v>315.66336153104555</v>
      </c>
      <c r="H14" s="39">
        <f>'Prevalence projection INT'!H26</f>
        <v>280.33856384346745</v>
      </c>
      <c r="I14" s="39">
        <f>'Prevalence projection INT'!I26</f>
        <v>259.63630449965746</v>
      </c>
      <c r="J14" s="39">
        <f>'Prevalence projection INT'!J26</f>
        <v>248.14148252763499</v>
      </c>
      <c r="K14" s="39">
        <f>'Prevalence projection INT'!K26</f>
        <v>242.85939581547882</v>
      </c>
      <c r="L14" s="39">
        <f>'Prevalence projection INT'!L26</f>
        <v>241.2153991664303</v>
      </c>
      <c r="M14" s="39">
        <f>'Prevalence projection INT'!M26</f>
        <v>241.71855154653568</v>
      </c>
      <c r="N14" s="39">
        <f>'Prevalence projection INT'!N26</f>
        <v>243.66081825644366</v>
      </c>
      <c r="O14" s="39">
        <f>'Prevalence projection INT'!O26</f>
        <v>246.25395226781214</v>
      </c>
      <c r="P14" s="39">
        <f>'Prevalence projection INT'!P26</f>
        <v>249.17780539158161</v>
      </c>
      <c r="Q14" s="39">
        <f>'Prevalence projection INT'!Q26</f>
        <v>252.31434755734173</v>
      </c>
      <c r="R14" s="39">
        <f>'Prevalence projection INT'!R26</f>
        <v>255.56074741837355</v>
      </c>
      <c r="S14" s="39">
        <f>'Prevalence projection INT'!S26</f>
        <v>258.83478091381068</v>
      </c>
      <c r="T14" s="39">
        <f>'Prevalence projection INT'!T26</f>
        <v>262.14679438231275</v>
      </c>
      <c r="U14" s="39">
        <f>'Prevalence projection INT'!U26</f>
        <v>265.61958437207431</v>
      </c>
      <c r="V14" s="39">
        <f>'Prevalence projection INT'!V26</f>
        <v>269.04620892921093</v>
      </c>
      <c r="W14" s="39">
        <f>'Prevalence projection INT'!W26</f>
        <v>272.39089844636584</v>
      </c>
      <c r="X14" s="39">
        <f>'Prevalence projection INT'!X26</f>
        <v>275.73080174212112</v>
      </c>
      <c r="Y14" s="39">
        <f>'Prevalence projection INT'!Y26</f>
        <v>279.02256167212551</v>
      </c>
      <c r="Z14" s="39">
        <f>'Prevalence projection INT'!Z26</f>
        <v>282.23751089696094</v>
      </c>
      <c r="AA14" s="39">
        <f>'Prevalence projection INT'!AA26</f>
        <v>285.3583802282584</v>
      </c>
      <c r="AB14" s="39">
        <f>'Prevalence projection INT'!AB26</f>
        <v>288.40870310516499</v>
      </c>
      <c r="AC14" s="39">
        <f>'Prevalence projection INT'!AC26</f>
        <v>291.3522635596687</v>
      </c>
      <c r="AD14" s="39">
        <f>'Prevalence projection INT'!AD26</f>
        <v>294.15882468483863</v>
      </c>
      <c r="AE14" s="39">
        <f>'Prevalence projection INT'!AE26</f>
        <v>296.80959997325209</v>
      </c>
      <c r="AF14" s="39">
        <f>'Prevalence projection INT'!AF26</f>
        <v>299.31443210254628</v>
      </c>
      <c r="AG14" s="39">
        <f>'Prevalence projection INT'!AG26</f>
        <v>301.73564106612992</v>
      </c>
      <c r="AH14" s="39">
        <f>'Prevalence projection INT'!AH26</f>
        <v>304.08051005093057</v>
      </c>
      <c r="AI14" s="39">
        <f>'Prevalence projection INT'!AI26</f>
        <v>306.38535542126493</v>
      </c>
      <c r="AJ14" s="39">
        <f>'Prevalence projection INT'!AJ26</f>
        <v>308.61577956841728</v>
      </c>
      <c r="AK14" s="39">
        <f>'Prevalence projection INT'!AK26</f>
        <v>310.71278508482129</v>
      </c>
      <c r="AL14" s="39">
        <f>'Prevalence projection INT'!AL26</f>
        <v>312.64669120122744</v>
      </c>
      <c r="AM14" s="39">
        <f>'Prevalence projection INT'!AM26</f>
        <v>314.39476692357863</v>
      </c>
      <c r="AN14" s="39">
        <f>'Prevalence projection INT'!AN26</f>
        <v>315.94436957924216</v>
      </c>
      <c r="AO14" s="39">
        <f>'Prevalence projection INT'!AO26</f>
        <v>317.28599657027979</v>
      </c>
    </row>
    <row r="15" spans="1:41" s="9" customFormat="1">
      <c r="B15" s="14" t="s">
        <v>22</v>
      </c>
      <c r="C15" s="40">
        <f>SUM(C12:C14)</f>
        <v>400.5</v>
      </c>
      <c r="D15" s="40">
        <f t="shared" ref="D15:AE15" si="2">SUM(D12:D14)</f>
        <v>417.31554044332972</v>
      </c>
      <c r="E15" s="40">
        <f t="shared" si="2"/>
        <v>432.35135833709222</v>
      </c>
      <c r="F15" s="40">
        <f t="shared" si="2"/>
        <v>446.19433300307139</v>
      </c>
      <c r="G15" s="40">
        <f t="shared" si="2"/>
        <v>459.32005269003565</v>
      </c>
      <c r="H15" s="40">
        <f t="shared" si="2"/>
        <v>420.30899989991019</v>
      </c>
      <c r="I15" s="40">
        <f t="shared" si="2"/>
        <v>398.85640416901202</v>
      </c>
      <c r="J15" s="40">
        <f t="shared" si="2"/>
        <v>388.64454531966015</v>
      </c>
      <c r="K15" s="40">
        <f t="shared" si="2"/>
        <v>386.17872901375318</v>
      </c>
      <c r="L15" s="40">
        <f t="shared" si="2"/>
        <v>388.34007715348332</v>
      </c>
      <c r="M15" s="40">
        <f t="shared" si="2"/>
        <v>393.30633639604071</v>
      </c>
      <c r="N15" s="40">
        <f t="shared" si="2"/>
        <v>400.23055552416156</v>
      </c>
      <c r="O15" s="40">
        <f t="shared" si="2"/>
        <v>408.11384100913756</v>
      </c>
      <c r="P15" s="40">
        <f t="shared" si="2"/>
        <v>416.53752857097163</v>
      </c>
      <c r="Q15" s="40">
        <f t="shared" si="2"/>
        <v>425.33678388642682</v>
      </c>
      <c r="R15" s="40">
        <f t="shared" si="2"/>
        <v>434.36621845760544</v>
      </c>
      <c r="S15" s="40">
        <f t="shared" si="2"/>
        <v>443.51377149376259</v>
      </c>
      <c r="T15" s="40">
        <f t="shared" si="2"/>
        <v>452.79063300205837</v>
      </c>
      <c r="U15" s="40">
        <f t="shared" si="2"/>
        <v>462.35135410070598</v>
      </c>
      <c r="V15" s="40">
        <f t="shared" si="2"/>
        <v>471.92562610547083</v>
      </c>
      <c r="W15" s="40">
        <f t="shared" si="2"/>
        <v>481.46343518193311</v>
      </c>
      <c r="X15" s="40">
        <f t="shared" si="2"/>
        <v>491.06949739389307</v>
      </c>
      <c r="Y15" s="40">
        <f t="shared" si="2"/>
        <v>500.68257391621921</v>
      </c>
      <c r="Z15" s="40">
        <f t="shared" si="2"/>
        <v>510.26083915021775</v>
      </c>
      <c r="AA15" s="40">
        <f t="shared" si="2"/>
        <v>519.77835038036824</v>
      </c>
      <c r="AB15" s="40">
        <f t="shared" si="2"/>
        <v>529.26614119020564</v>
      </c>
      <c r="AC15" s="40">
        <f t="shared" si="2"/>
        <v>538.6766678901065</v>
      </c>
      <c r="AD15" s="40">
        <f t="shared" si="2"/>
        <v>547.96837775820904</v>
      </c>
      <c r="AE15" s="40">
        <f t="shared" si="2"/>
        <v>557.11376567727882</v>
      </c>
      <c r="AF15" s="40">
        <f t="shared" ref="AF15:AO15" si="3">SUM(AF12:AF14)</f>
        <v>566.12146891313023</v>
      </c>
      <c r="AG15" s="40">
        <f t="shared" si="3"/>
        <v>575.06736119701168</v>
      </c>
      <c r="AH15" s="40">
        <f t="shared" si="3"/>
        <v>583.95740766832932</v>
      </c>
      <c r="AI15" s="40">
        <f t="shared" si="3"/>
        <v>592.83611836987438</v>
      </c>
      <c r="AJ15" s="40">
        <f t="shared" si="3"/>
        <v>601.6613985637689</v>
      </c>
      <c r="AK15" s="40">
        <f t="shared" si="3"/>
        <v>610.35790086761062</v>
      </c>
      <c r="AL15" s="40">
        <f t="shared" si="3"/>
        <v>618.88804817204527</v>
      </c>
      <c r="AM15" s="40">
        <f t="shared" si="3"/>
        <v>627.21786112008135</v>
      </c>
      <c r="AN15" s="40">
        <f t="shared" si="3"/>
        <v>635.32483415918432</v>
      </c>
      <c r="AO15" s="40">
        <f t="shared" si="3"/>
        <v>643.19031159910674</v>
      </c>
    </row>
    <row r="16" spans="1:41">
      <c r="J16" s="23"/>
      <c r="K16" s="23"/>
      <c r="L16" s="23"/>
      <c r="M16" s="23"/>
      <c r="N16" s="19">
        <f>1-(N15/'Baseline Summary'!N15)</f>
        <v>0.27053677553846189</v>
      </c>
      <c r="O16" s="19">
        <f>1-(O15/'Baseline Summary'!O15)</f>
        <v>0.27256464374153966</v>
      </c>
      <c r="P16" s="19">
        <f>1-(P15/'Baseline Summary'!P15)</f>
        <v>0.27335672957085044</v>
      </c>
      <c r="Q16" s="19">
        <f>1-(Q15/'Baseline Summary'!Q15)</f>
        <v>0.27348487875719241</v>
      </c>
      <c r="R16" s="19">
        <f>1-(R15/'Baseline Summary'!R15)</f>
        <v>0.27325906783275855</v>
      </c>
      <c r="S16" s="19">
        <f>1-(S15/'Baseline Summary'!S15)</f>
        <v>0.27271974381043451</v>
      </c>
      <c r="T16" s="19">
        <f>1-(T15/'Baseline Summary'!T15)</f>
        <v>0.27189165866635945</v>
      </c>
      <c r="U16" s="19">
        <f>1-(U15/'Baseline Summary'!U15)</f>
        <v>0.27091770207189536</v>
      </c>
      <c r="V16" s="19">
        <f>1-(V15/'Baseline Summary'!V15)</f>
        <v>0.26991658127449081</v>
      </c>
      <c r="W16" s="19">
        <f>1-(W15/'Baseline Summary'!W15)</f>
        <v>0.26888007687212545</v>
      </c>
      <c r="X16" s="19">
        <f>1-(X15/'Baseline Summary'!X15)</f>
        <v>0.26764032923562542</v>
      </c>
      <c r="Y16" s="19">
        <f>1-(Y15/'Baseline Summary'!Y15)</f>
        <v>0.26643637274914445</v>
      </c>
      <c r="Z16" s="19">
        <f>1-(Z15/'Baseline Summary'!Z15)</f>
        <v>0.2652941090935389</v>
      </c>
      <c r="AA16" s="19">
        <f>1-(AA15/'Baseline Summary'!AA15)</f>
        <v>0.26419022345480914</v>
      </c>
      <c r="AB16" s="19">
        <f>1-(AB15/'Baseline Summary'!AB15)</f>
        <v>0.26303610660282217</v>
      </c>
      <c r="AC16" s="19">
        <f>1-(AC15/'Baseline Summary'!AC15)</f>
        <v>0.26185647173050441</v>
      </c>
      <c r="AD16" s="19">
        <f>1-(AD15/'Baseline Summary'!AD15)</f>
        <v>0.26067700709496733</v>
      </c>
      <c r="AE16" s="19">
        <f>1-(AE15/'Baseline Summary'!AE15)</f>
        <v>0.25950564755900618</v>
      </c>
      <c r="AF16" s="19">
        <f>1-(AF15/'Baseline Summary'!AF15)</f>
        <v>0.25835214504361237</v>
      </c>
      <c r="AG16" s="19">
        <f>1-(AG15/'Baseline Summary'!AG15)</f>
        <v>0.25723126718528599</v>
      </c>
      <c r="AH16" s="19">
        <f>1-(AH15/'Baseline Summary'!AH15)</f>
        <v>0.25614390227625472</v>
      </c>
      <c r="AI16" s="19">
        <f>1-(AI15/'Baseline Summary'!AI15)</f>
        <v>0.25507236952783974</v>
      </c>
      <c r="AJ16" s="19">
        <f>1-(AJ15/'Baseline Summary'!AJ15)</f>
        <v>0.25394115910051296</v>
      </c>
      <c r="AK16" s="19">
        <f>1-(AK15/'Baseline Summary'!AK15)</f>
        <v>0.25274928476446457</v>
      </c>
      <c r="AL16" s="19">
        <f>1-(AL15/'Baseline Summary'!AL15)</f>
        <v>0.25148010568083512</v>
      </c>
      <c r="AM16" s="19">
        <f>1-(AM15/'Baseline Summary'!AM15)</f>
        <v>0.25021281415711527</v>
      </c>
      <c r="AN16" s="19">
        <f>1-(AN15/'Baseline Summary'!AN15)</f>
        <v>0.24897983992458639</v>
      </c>
      <c r="AO16" s="19">
        <f>1-(AO15/'Baseline Summary'!AO15)</f>
        <v>0.24778419018738684</v>
      </c>
    </row>
    <row r="17" spans="1:41">
      <c r="I17" s="19"/>
      <c r="T17" s="23"/>
    </row>
    <row r="18" spans="1:41" s="588" customFormat="1">
      <c r="A18" s="588" t="s">
        <v>10</v>
      </c>
      <c r="B18" s="593" t="s">
        <v>2492</v>
      </c>
      <c r="I18" s="648"/>
      <c r="J18" s="641"/>
      <c r="K18" s="641"/>
      <c r="O18" s="641"/>
    </row>
    <row r="19" spans="1:41">
      <c r="B19" s="9"/>
      <c r="I19" s="19"/>
      <c r="K19" s="60"/>
    </row>
    <row r="20" spans="1:41">
      <c r="B20" s="9"/>
    </row>
    <row r="21" spans="1:41">
      <c r="B21" s="34" t="s">
        <v>2491</v>
      </c>
      <c r="C21" s="34">
        <f>'Wound growth'!C81</f>
        <v>2020</v>
      </c>
      <c r="D21" s="34">
        <f>'Wound growth'!D81</f>
        <v>2021</v>
      </c>
      <c r="E21" s="34">
        <f>'Wound growth'!E81</f>
        <v>2022</v>
      </c>
      <c r="F21" s="34">
        <f>'Wound growth'!F81</f>
        <v>2023</v>
      </c>
      <c r="G21" s="34">
        <f>'Wound growth'!G81</f>
        <v>2024</v>
      </c>
      <c r="H21" s="34">
        <f>'Wound growth'!H81</f>
        <v>2025</v>
      </c>
      <c r="I21" s="34">
        <f>'Wound growth'!I81</f>
        <v>2026</v>
      </c>
      <c r="J21" s="34">
        <f>'Wound growth'!J81</f>
        <v>2027</v>
      </c>
      <c r="K21" s="34">
        <f>'Wound growth'!K81</f>
        <v>2028</v>
      </c>
      <c r="L21" s="34">
        <f>'Wound growth'!L81</f>
        <v>2029</v>
      </c>
      <c r="M21" s="34">
        <f>'Wound growth'!M81</f>
        <v>2030</v>
      </c>
      <c r="N21" s="34">
        <f>'Wound growth'!N81</f>
        <v>2031</v>
      </c>
      <c r="O21" s="34">
        <f>'Wound growth'!O81</f>
        <v>2032</v>
      </c>
      <c r="P21" s="34">
        <f>'Wound growth'!P81</f>
        <v>2033</v>
      </c>
      <c r="Q21" s="34">
        <f>'Wound growth'!Q81</f>
        <v>2034</v>
      </c>
      <c r="R21" s="34">
        <f>'Wound growth'!R81</f>
        <v>2035</v>
      </c>
      <c r="S21" s="34">
        <f>'Wound growth'!S81</f>
        <v>2036</v>
      </c>
      <c r="T21" s="34">
        <f>'Wound growth'!T81</f>
        <v>2037</v>
      </c>
      <c r="U21" s="34">
        <f>'Wound growth'!U81</f>
        <v>2038</v>
      </c>
      <c r="V21" s="34">
        <f>'Wound growth'!V81</f>
        <v>2039</v>
      </c>
      <c r="W21" s="34">
        <f>'Wound growth'!W81</f>
        <v>2040</v>
      </c>
      <c r="X21" s="34">
        <f>'Wound growth'!X81</f>
        <v>2041</v>
      </c>
      <c r="Y21" s="34">
        <f>'Wound growth'!Y81</f>
        <v>2042</v>
      </c>
      <c r="Z21" s="34">
        <f>'Wound growth'!Z81</f>
        <v>2043</v>
      </c>
      <c r="AA21" s="34">
        <f>'Wound growth'!AA81</f>
        <v>2044</v>
      </c>
      <c r="AB21" s="34">
        <f>'Wound growth'!AB81</f>
        <v>2045</v>
      </c>
      <c r="AC21" s="34">
        <f>'Wound growth'!AC81</f>
        <v>2046</v>
      </c>
      <c r="AD21" s="34">
        <f>'Wound growth'!AD81</f>
        <v>2047</v>
      </c>
      <c r="AE21" s="34">
        <f>'Wound growth'!AE81</f>
        <v>2048</v>
      </c>
      <c r="AF21" s="34">
        <f>'Wound growth'!AF81</f>
        <v>2049</v>
      </c>
      <c r="AG21" s="34">
        <f>'Wound growth'!AG81</f>
        <v>2050</v>
      </c>
      <c r="AH21" s="34">
        <f>'Wound growth'!AH81</f>
        <v>2051</v>
      </c>
      <c r="AI21" s="34">
        <f>'Wound growth'!AI81</f>
        <v>2052</v>
      </c>
      <c r="AJ21" s="34">
        <f>'Wound growth'!AJ81</f>
        <v>2053</v>
      </c>
      <c r="AK21" s="34">
        <f>'Wound growth'!AK81</f>
        <v>2054</v>
      </c>
      <c r="AL21" s="34">
        <f>'Wound growth'!AL81</f>
        <v>2055</v>
      </c>
      <c r="AM21" s="34">
        <f>'Wound growth'!AM81</f>
        <v>2056</v>
      </c>
      <c r="AN21" s="34">
        <f>'Wound growth'!AN81</f>
        <v>2057</v>
      </c>
      <c r="AO21" s="34">
        <f>'Wound growth'!AO81</f>
        <v>2058</v>
      </c>
    </row>
    <row r="22" spans="1:41" s="81" customFormat="1">
      <c r="B22" s="90" t="s">
        <v>184</v>
      </c>
      <c r="C22" s="90">
        <f>'Mixed costs INT'!D245</f>
        <v>536954.8714103211</v>
      </c>
      <c r="D22" s="90">
        <f>'Mixed costs INT'!E245</f>
        <v>571085.41989407956</v>
      </c>
      <c r="E22" s="90">
        <f>'Mixed costs INT'!F245</f>
        <v>603628.80632325076</v>
      </c>
      <c r="F22" s="90">
        <f>'Mixed costs INT'!G245</f>
        <v>635298.28805271327</v>
      </c>
      <c r="G22" s="90">
        <f>'Mixed costs INT'!H245</f>
        <v>572546.55418855313</v>
      </c>
      <c r="H22" s="90">
        <f>'Mixed costs INT'!I245</f>
        <v>546266.17094235949</v>
      </c>
      <c r="I22" s="90">
        <f>'Mixed costs INT'!J245</f>
        <v>536139.84774685407</v>
      </c>
      <c r="J22" s="90">
        <f>'Mixed costs INT'!K245</f>
        <v>537660.79798059491</v>
      </c>
      <c r="K22" s="90">
        <f>'Mixed costs INT'!L245</f>
        <v>548487.09040699725</v>
      </c>
      <c r="L22" s="90">
        <f>'Mixed costs INT'!M245</f>
        <v>565712.56704067579</v>
      </c>
      <c r="M22" s="90">
        <f>'Mixed costs INT'!N245</f>
        <v>587531.61830415449</v>
      </c>
      <c r="N22" s="90">
        <f>'Mixed costs INT'!O245</f>
        <v>612801.60992287484</v>
      </c>
      <c r="O22" s="90">
        <f>'Mixed costs INT'!P245</f>
        <v>640634.155551965</v>
      </c>
      <c r="P22" s="90">
        <f>'Mixed costs INT'!Q245</f>
        <v>670532.56049160566</v>
      </c>
      <c r="Q22" s="90">
        <f>'Mixed costs INT'!R245</f>
        <v>702308.87121621333</v>
      </c>
      <c r="R22" s="90">
        <f>'Mixed costs INT'!S245</f>
        <v>724894.69971397927</v>
      </c>
      <c r="S22" s="90">
        <f>'Mixed costs INT'!T245</f>
        <v>749509.23549931345</v>
      </c>
      <c r="T22" s="90">
        <f>'Mixed costs INT'!U245</f>
        <v>775871.45854831557</v>
      </c>
      <c r="U22" s="90">
        <f>'Mixed costs INT'!V245</f>
        <v>804089.9737035369</v>
      </c>
      <c r="V22" s="90">
        <f>'Mixed costs INT'!W245</f>
        <v>833570.48925623333</v>
      </c>
      <c r="W22" s="90">
        <f>'Mixed costs INT'!X245</f>
        <v>864120.13472205109</v>
      </c>
      <c r="X22" s="90">
        <f>'Mixed costs INT'!Y245</f>
        <v>895845.70893267042</v>
      </c>
      <c r="Y22" s="90">
        <f>'Mixed costs INT'!Z245</f>
        <v>928650.10481740755</v>
      </c>
      <c r="Z22" s="90">
        <f>'Mixed costs INT'!AA245</f>
        <v>962447.36644598807</v>
      </c>
      <c r="AA22" s="90">
        <f>'Mixed costs INT'!AB245</f>
        <v>997179.02196701826</v>
      </c>
      <c r="AB22" s="90">
        <f>'Mixed costs INT'!AC245</f>
        <v>1032893.9441719716</v>
      </c>
      <c r="AC22" s="90">
        <f>'Mixed costs INT'!AD245</f>
        <v>1069506.5976395349</v>
      </c>
      <c r="AD22" s="90">
        <f>'Mixed costs INT'!AE245</f>
        <v>1106937.4079204567</v>
      </c>
      <c r="AE22" s="90">
        <f>'Mixed costs INT'!AF245</f>
        <v>1145124.9741704855</v>
      </c>
      <c r="AF22" s="90">
        <f>'Mixed costs INT'!AG245</f>
        <v>1184082.968283528</v>
      </c>
      <c r="AG22" s="90">
        <f>'Mixed costs INT'!AH245</f>
        <v>1224004.8942885727</v>
      </c>
      <c r="AH22" s="90">
        <f>'Mixed costs INT'!AI245</f>
        <v>1264934.0264410467</v>
      </c>
      <c r="AI22" s="90">
        <f>'Mixed costs INT'!AJ245</f>
        <v>1307007.9779784363</v>
      </c>
      <c r="AJ22" s="90">
        <f>'Mixed costs INT'!AK245</f>
        <v>1350133.135716348</v>
      </c>
      <c r="AK22" s="90">
        <f>'Mixed costs INT'!AL245</f>
        <v>1394132.9309294599</v>
      </c>
      <c r="AL22" s="90">
        <f>'Mixed costs INT'!AM245</f>
        <v>1438902.0254518951</v>
      </c>
      <c r="AM22" s="90">
        <f>'Mixed costs INT'!AN245</f>
        <v>1484363.6157130795</v>
      </c>
      <c r="AN22" s="90">
        <f>'Mixed costs INT'!AO245</f>
        <v>1530450.983813609</v>
      </c>
      <c r="AO22" s="90">
        <f>'Mixed costs INT'!AP245</f>
        <v>1577095.1547508871</v>
      </c>
    </row>
    <row r="23" spans="1:41" s="81" customFormat="1">
      <c r="B23" s="90" t="s">
        <v>185</v>
      </c>
      <c r="C23" s="90">
        <f>INDEX('Arterial costs'!$D$242:$AP$242, MATCH(C21, 'Arterial costs'!$D$222:$AP$222,0))</f>
        <v>189738.99480417746</v>
      </c>
      <c r="D23" s="90">
        <f>INDEX('Arterial costs'!$D$242:$AP$242, MATCH(D21, 'Arterial costs'!$D$222:$AP$222,0))</f>
        <v>215776.85475394633</v>
      </c>
      <c r="E23" s="90">
        <f>INDEX('Arterial costs'!$D$242:$AP$242, MATCH(E21, 'Arterial costs'!$D$222:$AP$222,0))</f>
        <v>243076.82452363073</v>
      </c>
      <c r="F23" s="90">
        <f>INDEX('Arterial costs'!$D$242:$AP$242, MATCH(F21, 'Arterial costs'!$D$222:$AP$222,0))</f>
        <v>271717.73933571781</v>
      </c>
      <c r="G23" s="90">
        <f>INDEX('Arterial costs'!$D$242:$AP$242, MATCH(G21, 'Arterial costs'!$D$222:$AP$222,0))</f>
        <v>301803.39953763201</v>
      </c>
      <c r="H23" s="90">
        <f>INDEX('Arterial costs'!$D$242:$AP$242, MATCH(H21, 'Arterial costs'!$D$222:$AP$222,0))</f>
        <v>333418.42009745562</v>
      </c>
      <c r="I23" s="90">
        <f>INDEX('Arterial costs'!$D$242:$AP$242, MATCH(I21, 'Arterial costs'!$D$222:$AP$222,0))</f>
        <v>366600.90968832519</v>
      </c>
      <c r="J23" s="90">
        <f>INDEX('Arterial costs'!$D$242:$AP$242, MATCH(J21, 'Arterial costs'!$D$222:$AP$222,0))</f>
        <v>401421.33017180703</v>
      </c>
      <c r="K23" s="90">
        <f>INDEX('Arterial costs'!$D$242:$AP$242, MATCH(K21, 'Arterial costs'!$D$222:$AP$222,0))</f>
        <v>438132.34801519511</v>
      </c>
      <c r="L23" s="90">
        <f>INDEX('Arterial costs'!$D$242:$AP$242, MATCH(L21, 'Arterial costs'!$D$222:$AP$222,0))</f>
        <v>476709.23336683976</v>
      </c>
      <c r="M23" s="90">
        <f>INDEX('Arterial costs'!$D$242:$AP$242, MATCH(M21, 'Arterial costs'!$D$222:$AP$222,0))</f>
        <v>517160.9971278123</v>
      </c>
      <c r="N23" s="90">
        <f>INDEX('Arterial costs'!$D$242:$AP$242, MATCH(N21, 'Arterial costs'!$D$222:$AP$222,0))</f>
        <v>559517.06475173216</v>
      </c>
      <c r="O23" s="90">
        <f>INDEX('Arterial costs'!$D$242:$AP$242, MATCH(O21, 'Arterial costs'!$D$222:$AP$222,0))</f>
        <v>603811.30868219747</v>
      </c>
      <c r="P23" s="90">
        <f>INDEX('Arterial costs'!$D$242:$AP$242, MATCH(P21, 'Arterial costs'!$D$222:$AP$222,0))</f>
        <v>650130.30409412016</v>
      </c>
      <c r="Q23" s="90">
        <f>INDEX('Arterial costs'!$D$242:$AP$242, MATCH(Q21, 'Arterial costs'!$D$222:$AP$222,0))</f>
        <v>698579.77268635016</v>
      </c>
      <c r="R23" s="90">
        <f>INDEX('Arterial costs'!$D$242:$AP$242, MATCH(R21, 'Arterial costs'!$D$222:$AP$222,0))</f>
        <v>749239.76530490338</v>
      </c>
      <c r="S23" s="90">
        <f>INDEX('Arterial costs'!$D$242:$AP$242, MATCH(S21, 'Arterial costs'!$D$222:$AP$222,0))</f>
        <v>802148.8910498867</v>
      </c>
      <c r="T23" s="90">
        <f>INDEX('Arterial costs'!$D$242:$AP$242, MATCH(T21, 'Arterial costs'!$D$222:$AP$222,0))</f>
        <v>857382.02903918421</v>
      </c>
      <c r="U23" s="90">
        <f>INDEX('Arterial costs'!$D$242:$AP$242, MATCH(U21, 'Arterial costs'!$D$222:$AP$222,0))</f>
        <v>915107.34364674171</v>
      </c>
      <c r="V23" s="90">
        <f>INDEX('Arterial costs'!$D$242:$AP$242, MATCH(V21, 'Arterial costs'!$D$222:$AP$222,0))</f>
        <v>975344.53215539479</v>
      </c>
      <c r="W23" s="90">
        <f>INDEX('Arterial costs'!$D$242:$AP$242, MATCH(W21, 'Arterial costs'!$D$222:$AP$222,0))</f>
        <v>1038151.5023615843</v>
      </c>
      <c r="X23" s="90">
        <f>INDEX('Arterial costs'!$D$242:$AP$242, MATCH(X21, 'Arterial costs'!$D$222:$AP$222,0))</f>
        <v>1103601.4287006173</v>
      </c>
      <c r="Y23" s="90">
        <f>INDEX('Arterial costs'!$D$242:$AP$242, MATCH(Y21, 'Arterial costs'!$D$222:$AP$222,0))</f>
        <v>1171813.8299672902</v>
      </c>
      <c r="Z23" s="90">
        <f>INDEX('Arterial costs'!$D$242:$AP$242, MATCH(Z21, 'Arterial costs'!$D$222:$AP$222,0))</f>
        <v>1242870.6379884686</v>
      </c>
      <c r="AA23" s="90">
        <f>INDEX('Arterial costs'!$D$242:$AP$242, MATCH(AA21, 'Arterial costs'!$D$222:$AP$222,0))</f>
        <v>1316845.2859290189</v>
      </c>
      <c r="AB23" s="90">
        <f>INDEX('Arterial costs'!$D$242:$AP$242, MATCH(AB21, 'Arterial costs'!$D$222:$AP$222,0))</f>
        <v>1393812.2476189428</v>
      </c>
      <c r="AC23" s="90">
        <f>INDEX('Arterial costs'!$D$242:$AP$242, MATCH(AC21, 'Arterial costs'!$D$222:$AP$222,0))</f>
        <v>1473843.7909404612</v>
      </c>
      <c r="AD23" s="90">
        <f>INDEX('Arterial costs'!$D$242:$AP$242, MATCH(AD21, 'Arterial costs'!$D$222:$AP$222,0))</f>
        <v>1557013.5070378256</v>
      </c>
      <c r="AE23" s="90">
        <f>INDEX('Arterial costs'!$D$242:$AP$242, MATCH(AE21, 'Arterial costs'!$D$222:$AP$222,0))</f>
        <v>1643394.3027839372</v>
      </c>
      <c r="AF23" s="90">
        <f>INDEX('Arterial costs'!$D$242:$AP$242, MATCH(AF21, 'Arterial costs'!$D$222:$AP$222,0))</f>
        <v>1733076.5092733167</v>
      </c>
      <c r="AG23" s="90">
        <f>INDEX('Arterial costs'!$D$242:$AP$242, MATCH(AG21, 'Arterial costs'!$D$222:$AP$222,0))</f>
        <v>1826191.1136733033</v>
      </c>
      <c r="AH23" s="90">
        <f>INDEX('Arterial costs'!$D$242:$AP$242, MATCH(AH21, 'Arterial costs'!$D$222:$AP$222,0))</f>
        <v>1922843.169696914</v>
      </c>
      <c r="AI23" s="90">
        <f>INDEX('Arterial costs'!$D$242:$AP$242, MATCH(AI21, 'Arterial costs'!$D$222:$AP$222,0))</f>
        <v>2023154.1863720692</v>
      </c>
      <c r="AJ23" s="90">
        <f>INDEX('Arterial costs'!$D$242:$AP$242, MATCH(AJ21, 'Arterial costs'!$D$222:$AP$222,0))</f>
        <v>2127181.2591789374</v>
      </c>
      <c r="AK23" s="90">
        <f>INDEX('Arterial costs'!$D$242:$AP$242, MATCH(AK21, 'Arterial costs'!$D$222:$AP$222,0))</f>
        <v>2234980.7423659503</v>
      </c>
      <c r="AL23" s="90">
        <f>INDEX('Arterial costs'!$D$242:$AP$242, MATCH(AL21, 'Arterial costs'!$D$222:$AP$222,0))</f>
        <v>2346611.704671381</v>
      </c>
      <c r="AM23" s="90">
        <f>INDEX('Arterial costs'!$D$242:$AP$242, MATCH(AM21, 'Arterial costs'!$D$222:$AP$222,0))</f>
        <v>2462172.8743924294</v>
      </c>
      <c r="AN23" s="90">
        <f>INDEX('Arterial costs'!$D$242:$AP$242, MATCH(AN21, 'Arterial costs'!$D$222:$AP$222,0))</f>
        <v>2581754.7200696669</v>
      </c>
      <c r="AO23" s="90">
        <f>INDEX('Arterial costs'!$D$242:$AP$242, MATCH(AO21, 'Arterial costs'!$D$222:$AP$222,0))</f>
        <v>2705437.9080994851</v>
      </c>
    </row>
    <row r="24" spans="1:41" s="81" customFormat="1">
      <c r="B24" s="90" t="s">
        <v>25</v>
      </c>
      <c r="C24" s="90">
        <f>'VLU costs INT'!D254</f>
        <v>1130977.0239964989</v>
      </c>
      <c r="D24" s="90">
        <f>'VLU costs INT'!E254</f>
        <v>1198095.5030719512</v>
      </c>
      <c r="E24" s="90">
        <f>'VLU costs INT'!F254</f>
        <v>1262006.6628994222</v>
      </c>
      <c r="F24" s="90">
        <f>'VLU costs INT'!G254</f>
        <v>1324338.9683280014</v>
      </c>
      <c r="G24" s="90">
        <f>'VLU costs INT'!H254</f>
        <v>1380835.1548930227</v>
      </c>
      <c r="H24" s="90">
        <f>'VLU costs INT'!I254</f>
        <v>1272986.1519019313</v>
      </c>
      <c r="I24" s="90">
        <f>'VLU costs INT'!J254</f>
        <v>1224114.7833222845</v>
      </c>
      <c r="J24" s="90">
        <f>'VLU costs INT'!K254</f>
        <v>1214069.0927439444</v>
      </c>
      <c r="K24" s="90">
        <f>'VLU costs INT'!L254</f>
        <v>1231884.8371521158</v>
      </c>
      <c r="L24" s="90">
        <f>'VLU costs INT'!M254</f>
        <v>1267327.4119768955</v>
      </c>
      <c r="M24" s="90">
        <f>'VLU costs INT'!N254</f>
        <v>1314383.4602356958</v>
      </c>
      <c r="N24" s="90">
        <f>'VLU costs INT'!O254</f>
        <v>1369257.6444317841</v>
      </c>
      <c r="O24" s="90">
        <f>'VLU costs INT'!P254</f>
        <v>1429476.5847152271</v>
      </c>
      <c r="P24" s="90">
        <f>'VLU costs INT'!Q254</f>
        <v>1493677.4391429797</v>
      </c>
      <c r="Q24" s="90">
        <f>'VLU costs INT'!R254</f>
        <v>1561440.4119791423</v>
      </c>
      <c r="R24" s="90">
        <f>'VLU costs INT'!S254</f>
        <v>1611574.5686352327</v>
      </c>
      <c r="S24" s="90">
        <f>'VLU costs INT'!T254</f>
        <v>1666236.7296518474</v>
      </c>
      <c r="T24" s="90">
        <f>'VLU costs INT'!U254</f>
        <v>1724661.3040596449</v>
      </c>
      <c r="U24" s="90">
        <f>'VLU costs INT'!V254</f>
        <v>1787091.9701811126</v>
      </c>
      <c r="V24" s="90">
        <f>'VLU costs INT'!W254</f>
        <v>1851995.6263573703</v>
      </c>
      <c r="W24" s="90">
        <f>'VLU costs INT'!X254</f>
        <v>1918953.4217790507</v>
      </c>
      <c r="X24" s="90">
        <f>'VLU costs INT'!Y254</f>
        <v>1988350.4215908172</v>
      </c>
      <c r="Y24" s="90">
        <f>'VLU costs INT'!Z254</f>
        <v>2059871.6997019819</v>
      </c>
      <c r="Z24" s="90">
        <f>'VLU costs INT'!AA254</f>
        <v>2133329.4300548434</v>
      </c>
      <c r="AA24" s="90">
        <f>'VLU costs INT'!AB254</f>
        <v>2208617.9957315484</v>
      </c>
      <c r="AB24" s="90">
        <f>'VLU costs INT'!AC254</f>
        <v>2285917.6196471793</v>
      </c>
      <c r="AC24" s="90">
        <f>'VLU costs INT'!AD254</f>
        <v>2364998.6404063399</v>
      </c>
      <c r="AD24" s="90">
        <f>'VLU costs INT'!AE254</f>
        <v>2445654.3499687416</v>
      </c>
      <c r="AE24" s="90">
        <f>'VLU costs INT'!AF254</f>
        <v>2527739.0278100641</v>
      </c>
      <c r="AF24" s="90">
        <f>'VLU costs INT'!AG254</f>
        <v>2611301.9550382718</v>
      </c>
      <c r="AG24" s="90">
        <f>'VLU costs INT'!AH254</f>
        <v>2696838.2369652661</v>
      </c>
      <c r="AH24" s="90">
        <f>'VLU costs INT'!AI254</f>
        <v>2784446.7024878147</v>
      </c>
      <c r="AI24" s="90">
        <f>'VLU costs INT'!AJ254</f>
        <v>2874470.5687504131</v>
      </c>
      <c r="AJ24" s="90">
        <f>'VLU costs INT'!AK254</f>
        <v>2966680.4417014206</v>
      </c>
      <c r="AK24" s="90">
        <f>'VLU costs INT'!AL254</f>
        <v>3060600.8785609379</v>
      </c>
      <c r="AL24" s="90">
        <f>'VLU costs INT'!AM254</f>
        <v>3155966.8899403787</v>
      </c>
      <c r="AM24" s="90">
        <f>'VLU costs INT'!AN254</f>
        <v>3252543.7174885934</v>
      </c>
      <c r="AN24" s="90">
        <f>'VLU costs INT'!AO254</f>
        <v>3350169.6050849929</v>
      </c>
      <c r="AO24" s="90">
        <f>'VLU costs INT'!AP254</f>
        <v>3448698.8365921993</v>
      </c>
    </row>
    <row r="25" spans="1:41" s="81" customFormat="1">
      <c r="B25" s="119"/>
      <c r="C25" s="119"/>
      <c r="D25" s="119"/>
      <c r="E25" s="119"/>
      <c r="F25" s="119"/>
      <c r="G25" s="119"/>
      <c r="H25" s="119"/>
      <c r="I25" s="119"/>
      <c r="J25" s="119"/>
      <c r="K25" s="119"/>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c r="AJ25" s="119"/>
      <c r="AK25" s="119"/>
      <c r="AL25" s="119"/>
      <c r="AM25" s="119"/>
      <c r="AN25" s="119"/>
      <c r="AO25" s="119"/>
    </row>
    <row r="26" spans="1:41" s="81" customFormat="1" ht="21.65" customHeight="1">
      <c r="B26" s="572" t="s">
        <v>3469</v>
      </c>
      <c r="C26" s="90">
        <f>'Implementation costs'!C30*10^6</f>
        <v>0</v>
      </c>
      <c r="D26" s="90">
        <f>'Implementation costs'!D30*10^6</f>
        <v>155145.95172375129</v>
      </c>
      <c r="E26" s="90">
        <f>'Implementation costs'!E30*10^6</f>
        <v>184037.38641253969</v>
      </c>
      <c r="F26" s="90">
        <f>'Implementation costs'!F30*10^6</f>
        <v>215214.14001335684</v>
      </c>
      <c r="G26" s="90">
        <f>'Implementation costs'!G30*10^6</f>
        <v>81676.21788203725</v>
      </c>
      <c r="H26" s="90">
        <f>'Implementation costs'!H30*10^6</f>
        <v>79484.081079133015</v>
      </c>
      <c r="I26" s="90">
        <f>'Implementation costs'!I30*10^6</f>
        <v>78952.764786949265</v>
      </c>
      <c r="J26" s="90">
        <f>'Implementation costs'!J30*10^6</f>
        <v>79536.829023994665</v>
      </c>
      <c r="K26" s="90">
        <f>'Implementation costs'!K30*10^6</f>
        <v>80938.98891410722</v>
      </c>
      <c r="L26" s="90">
        <f>'Implementation costs'!L30*10^6</f>
        <v>82872.606246265335</v>
      </c>
      <c r="M26" s="90">
        <f>'Implementation costs'!M30*10^6</f>
        <v>85168.042090894567</v>
      </c>
      <c r="N26" s="90">
        <f>'Implementation costs'!N30*10^6</f>
        <v>98830.724369314194</v>
      </c>
      <c r="O26" s="90">
        <f>'Implementation costs'!O30*10^6</f>
        <v>101810.66941989458</v>
      </c>
      <c r="P26" s="90">
        <f>'Implementation costs'!P30*10^6</f>
        <v>104940.85076149501</v>
      </c>
      <c r="Q26" s="90">
        <f>'Implementation costs'!Q30*10^6</f>
        <v>96484.088748588169</v>
      </c>
      <c r="R26" s="90">
        <f>'Implementation costs'!R30*10^6</f>
        <v>99652.442908159239</v>
      </c>
      <c r="S26" s="90">
        <f>'Implementation costs'!S30*10^6</f>
        <v>102930.94633979637</v>
      </c>
      <c r="T26" s="90">
        <f>'Implementation costs'!T30*10^6</f>
        <v>106324.80550010312</v>
      </c>
      <c r="U26" s="90">
        <f>'Implementation costs'!U30*10^6</f>
        <v>109858.7735211572</v>
      </c>
      <c r="V26" s="90">
        <f>'Implementation costs'!V30*10^6</f>
        <v>113501.1553543076</v>
      </c>
      <c r="W26" s="90">
        <f>'Implementation costs'!W30*10^6</f>
        <v>117248.07240004402</v>
      </c>
      <c r="X26" s="90">
        <f>'Implementation costs'!X30*10^6</f>
        <v>121117.37097608997</v>
      </c>
      <c r="Y26" s="90">
        <f>'Implementation costs'!Y30*10^6</f>
        <v>125103.90301049617</v>
      </c>
      <c r="Z26" s="90">
        <f>'Implementation costs'!Z30*10^6</f>
        <v>129204.74021320505</v>
      </c>
      <c r="AA26" s="90">
        <f>'Implementation costs'!AA30*10^6</f>
        <v>133418.92017033338</v>
      </c>
      <c r="AB26" s="90">
        <f>'Implementation costs'!AB30*10^6</f>
        <v>137754.17001742619</v>
      </c>
      <c r="AC26" s="90">
        <f>'Implementation costs'!AC30*10^6</f>
        <v>142206.06525803459</v>
      </c>
      <c r="AD26" s="90">
        <f>'Implementation costs'!AD30*10^6</f>
        <v>146770.55265972854</v>
      </c>
      <c r="AE26" s="90">
        <f>'Implementation costs'!AE30*10^6</f>
        <v>151445.38331301144</v>
      </c>
      <c r="AF26" s="90">
        <f>'Implementation costs'!AF30*10^6</f>
        <v>156234.15811247626</v>
      </c>
      <c r="AG26" s="90">
        <f>'Implementation costs'!AG30*10^6</f>
        <v>161152.49848058203</v>
      </c>
      <c r="AH26" s="90">
        <f>'Implementation costs'!AH30*10^6</f>
        <v>166204.66639841546</v>
      </c>
      <c r="AI26" s="90">
        <f>'Implementation costs'!AI30*10^6</f>
        <v>171402.20612191551</v>
      </c>
      <c r="AJ26" s="90">
        <f>'Implementation costs'!AJ30*10^6</f>
        <v>176741.14529274544</v>
      </c>
      <c r="AK26" s="90">
        <f>'Implementation costs'!AK30*10^6</f>
        <v>182210.47372982753</v>
      </c>
      <c r="AL26" s="90">
        <f>'Implementation costs'!AL30*10^6</f>
        <v>187805.39387357808</v>
      </c>
      <c r="AM26" s="90">
        <f>'Implementation costs'!AM30*10^6</f>
        <v>193521.19717731143</v>
      </c>
      <c r="AN26" s="90">
        <f>'Implementation costs'!AN30*10^6</f>
        <v>199354.93501860119</v>
      </c>
      <c r="AO26" s="90">
        <f>'Implementation costs'!AO30*10^6</f>
        <v>205304.04203108148</v>
      </c>
    </row>
    <row r="27" spans="1:41" s="81" customFormat="1">
      <c r="J27" s="734"/>
      <c r="K27" s="734"/>
      <c r="L27" s="734"/>
      <c r="M27" s="734"/>
      <c r="N27" s="734"/>
      <c r="O27" s="734"/>
    </row>
    <row r="28" spans="1:41" s="81" customFormat="1">
      <c r="B28" s="92" t="s">
        <v>3245</v>
      </c>
      <c r="C28" s="92">
        <f>SUM(C22:C24,C26)</f>
        <v>1857670.8902109973</v>
      </c>
      <c r="D28" s="92">
        <f t="shared" ref="D28:AE28" si="4">SUM(D22:D24,D26)</f>
        <v>2140103.7294437285</v>
      </c>
      <c r="E28" s="92">
        <f t="shared" si="4"/>
        <v>2292749.6801588433</v>
      </c>
      <c r="F28" s="92">
        <f t="shared" si="4"/>
        <v>2446569.1357297893</v>
      </c>
      <c r="G28" s="92">
        <f t="shared" si="4"/>
        <v>2336861.3265012451</v>
      </c>
      <c r="H28" s="92">
        <f t="shared" si="4"/>
        <v>2232154.8240208793</v>
      </c>
      <c r="I28" s="92">
        <f t="shared" si="4"/>
        <v>2205808.3055444132</v>
      </c>
      <c r="J28" s="92">
        <f t="shared" si="4"/>
        <v>2232688.049920341</v>
      </c>
      <c r="K28" s="92">
        <f t="shared" si="4"/>
        <v>2299443.2644884153</v>
      </c>
      <c r="L28" s="92">
        <f t="shared" si="4"/>
        <v>2392621.8186306763</v>
      </c>
      <c r="M28" s="92">
        <f t="shared" si="4"/>
        <v>2504244.1177585572</v>
      </c>
      <c r="N28" s="92">
        <f t="shared" si="4"/>
        <v>2640407.0434757047</v>
      </c>
      <c r="O28" s="92">
        <f t="shared" si="4"/>
        <v>2775732.7183692842</v>
      </c>
      <c r="P28" s="92">
        <f t="shared" si="4"/>
        <v>2919281.1544902003</v>
      </c>
      <c r="Q28" s="92">
        <f t="shared" si="4"/>
        <v>3058813.1446302943</v>
      </c>
      <c r="R28" s="92">
        <f t="shared" si="4"/>
        <v>3185361.4765622746</v>
      </c>
      <c r="S28" s="92">
        <f t="shared" si="4"/>
        <v>3320825.8025408438</v>
      </c>
      <c r="T28" s="92">
        <f t="shared" si="4"/>
        <v>3464239.5971472478</v>
      </c>
      <c r="U28" s="92">
        <f t="shared" si="4"/>
        <v>3616148.0610525482</v>
      </c>
      <c r="V28" s="92">
        <f t="shared" si="4"/>
        <v>3774411.803123306</v>
      </c>
      <c r="W28" s="92">
        <f t="shared" si="4"/>
        <v>3938473.1312627303</v>
      </c>
      <c r="X28" s="92">
        <f t="shared" si="4"/>
        <v>4108914.9302001949</v>
      </c>
      <c r="Y28" s="92">
        <f t="shared" si="4"/>
        <v>4285439.5374971759</v>
      </c>
      <c r="Z28" s="92">
        <f t="shared" si="4"/>
        <v>4467852.1747025056</v>
      </c>
      <c r="AA28" s="92">
        <f t="shared" si="4"/>
        <v>4656061.2237979192</v>
      </c>
      <c r="AB28" s="92">
        <f t="shared" si="4"/>
        <v>4850377.9814555189</v>
      </c>
      <c r="AC28" s="92">
        <f t="shared" si="4"/>
        <v>5050555.0942443712</v>
      </c>
      <c r="AD28" s="92">
        <f t="shared" si="4"/>
        <v>5256375.8175867526</v>
      </c>
      <c r="AE28" s="92">
        <f t="shared" si="4"/>
        <v>5467703.6880774982</v>
      </c>
      <c r="AF28" s="92">
        <f t="shared" ref="AF28:AO28" si="5">SUM(AF22:AF24,AF26)</f>
        <v>5684695.5907075936</v>
      </c>
      <c r="AG28" s="92">
        <f t="shared" si="5"/>
        <v>5908186.7434077235</v>
      </c>
      <c r="AH28" s="92">
        <f t="shared" si="5"/>
        <v>6138428.5650241915</v>
      </c>
      <c r="AI28" s="92">
        <f t="shared" si="5"/>
        <v>6376034.939222835</v>
      </c>
      <c r="AJ28" s="92">
        <f t="shared" si="5"/>
        <v>6620735.9818894509</v>
      </c>
      <c r="AK28" s="92">
        <f t="shared" si="5"/>
        <v>6871925.0255861757</v>
      </c>
      <c r="AL28" s="92">
        <f t="shared" si="5"/>
        <v>7129286.013937233</v>
      </c>
      <c r="AM28" s="92">
        <f t="shared" si="5"/>
        <v>7392601.4047714137</v>
      </c>
      <c r="AN28" s="92">
        <f t="shared" si="5"/>
        <v>7661730.2439868692</v>
      </c>
      <c r="AO28" s="92">
        <f t="shared" si="5"/>
        <v>7936535.9414736526</v>
      </c>
    </row>
    <row r="30" spans="1:41" s="422" customFormat="1">
      <c r="B30" s="83" t="s">
        <v>3244</v>
      </c>
      <c r="C30" s="83"/>
      <c r="D30" s="561">
        <f>D28/C28-1</f>
        <v>0.15203599341574003</v>
      </c>
      <c r="E30" s="83">
        <f t="shared" ref="E30:AE30" si="6">E28/D28-1</f>
        <v>7.1326426198412118E-2</v>
      </c>
      <c r="F30" s="83">
        <f t="shared" si="6"/>
        <v>6.7089511298193294E-2</v>
      </c>
      <c r="G30" s="83">
        <f t="shared" si="6"/>
        <v>-4.4841491550909884E-2</v>
      </c>
      <c r="H30" s="83">
        <f t="shared" si="6"/>
        <v>-4.4806468100155761E-2</v>
      </c>
      <c r="I30" s="83">
        <f t="shared" si="6"/>
        <v>-1.1803176998720466E-2</v>
      </c>
      <c r="J30" s="83">
        <f t="shared" si="6"/>
        <v>1.2185893175016282E-2</v>
      </c>
      <c r="K30" s="83">
        <f t="shared" si="6"/>
        <v>2.989903339629385E-2</v>
      </c>
      <c r="L30" s="83">
        <f t="shared" si="6"/>
        <v>4.0522223610066632E-2</v>
      </c>
      <c r="M30" s="83">
        <f t="shared" si="6"/>
        <v>4.6652713044205152E-2</v>
      </c>
      <c r="N30" s="83">
        <f t="shared" si="6"/>
        <v>5.4372864351188488E-2</v>
      </c>
      <c r="O30" s="83">
        <f t="shared" si="6"/>
        <v>5.1251823171719391E-2</v>
      </c>
      <c r="P30" s="83">
        <f t="shared" si="6"/>
        <v>5.1715511068821218E-2</v>
      </c>
      <c r="Q30" s="83">
        <f t="shared" si="6"/>
        <v>4.7796694718998722E-2</v>
      </c>
      <c r="R30" s="83">
        <f t="shared" si="6"/>
        <v>4.1371710512665416E-2</v>
      </c>
      <c r="S30" s="83">
        <f t="shared" si="6"/>
        <v>4.2527143928658973E-2</v>
      </c>
      <c r="T30" s="83">
        <f t="shared" si="6"/>
        <v>4.3186184140304729E-2</v>
      </c>
      <c r="U30" s="83">
        <f t="shared" si="6"/>
        <v>4.3850449613934028E-2</v>
      </c>
      <c r="V30" s="83">
        <f t="shared" si="6"/>
        <v>4.3765835745313009E-2</v>
      </c>
      <c r="W30" s="83">
        <f t="shared" si="6"/>
        <v>4.3466727187442711E-2</v>
      </c>
      <c r="X30" s="83">
        <f t="shared" si="6"/>
        <v>4.3276110628897024E-2</v>
      </c>
      <c r="Y30" s="83">
        <f t="shared" si="6"/>
        <v>4.2961368219025298E-2</v>
      </c>
      <c r="Z30" s="83">
        <f t="shared" si="6"/>
        <v>4.2565677478176189E-2</v>
      </c>
      <c r="AA30" s="83">
        <f t="shared" si="6"/>
        <v>4.2125173738082777E-2</v>
      </c>
      <c r="AB30" s="83">
        <f t="shared" si="6"/>
        <v>4.1734150028872818E-2</v>
      </c>
      <c r="AC30" s="83">
        <f t="shared" si="6"/>
        <v>4.1270415121087645E-2</v>
      </c>
      <c r="AD30" s="83">
        <f t="shared" si="6"/>
        <v>4.0752099423078336E-2</v>
      </c>
      <c r="AE30" s="83">
        <f t="shared" si="6"/>
        <v>4.0204102184567159E-2</v>
      </c>
      <c r="AF30" s="83">
        <f t="shared" ref="AF30" si="7">AF28/AE28-1</f>
        <v>3.9686112307668164E-2</v>
      </c>
      <c r="AG30" s="83">
        <f t="shared" ref="AG30" si="8">AG28/AF28-1</f>
        <v>3.9314533053530054E-2</v>
      </c>
      <c r="AH30" s="83">
        <f t="shared" ref="AH30" si="9">AH28/AG28-1</f>
        <v>3.8969963478789671E-2</v>
      </c>
      <c r="AI30" s="83">
        <f t="shared" ref="AI30" si="10">AI28/AH28-1</f>
        <v>3.8708013245032813E-2</v>
      </c>
      <c r="AJ30" s="83">
        <f t="shared" ref="AJ30" si="11">AJ28/AI28-1</f>
        <v>3.8378246825674145E-2</v>
      </c>
      <c r="AK30" s="83">
        <f t="shared" ref="AK30" si="12">AK28/AJ28-1</f>
        <v>3.7939746333917279E-2</v>
      </c>
      <c r="AL30" s="83">
        <f t="shared" ref="AL30" si="13">AL28/AK28-1</f>
        <v>3.7451076283985474E-2</v>
      </c>
      <c r="AM30" s="83">
        <f t="shared" ref="AM30" si="14">AM28/AL28-1</f>
        <v>3.6934328391288851E-2</v>
      </c>
      <c r="AN30" s="83">
        <f t="shared" ref="AN30" si="15">AN28/AM28-1</f>
        <v>3.6405160305511775E-2</v>
      </c>
      <c r="AO30" s="83">
        <f t="shared" ref="AO30" si="16">AO28/AN28-1</f>
        <v>3.5867315702279967E-2</v>
      </c>
    </row>
    <row r="31" spans="1:41">
      <c r="B31" s="189"/>
      <c r="C31" s="189"/>
      <c r="D31" s="190"/>
      <c r="J31" s="190"/>
      <c r="K31" s="190"/>
      <c r="L31" s="190"/>
      <c r="M31" s="190"/>
      <c r="N31" s="190"/>
      <c r="O31" s="190"/>
      <c r="P31" s="190"/>
      <c r="Q31" s="190"/>
      <c r="R31" s="190"/>
      <c r="S31" s="190"/>
      <c r="T31" s="190"/>
      <c r="U31" s="190"/>
      <c r="V31" s="190"/>
      <c r="W31" s="190"/>
      <c r="X31" s="190"/>
      <c r="Y31" s="190"/>
      <c r="Z31" s="190"/>
      <c r="AA31" s="190"/>
      <c r="AB31" s="190"/>
      <c r="AC31" s="190"/>
      <c r="AD31" s="190"/>
      <c r="AE31" s="190"/>
      <c r="AF31" s="190"/>
      <c r="AG31" s="190"/>
      <c r="AH31" s="190"/>
      <c r="AI31" s="190"/>
      <c r="AJ31" s="190"/>
      <c r="AK31" s="190"/>
      <c r="AL31" s="190"/>
      <c r="AM31" s="190"/>
      <c r="AN31" s="190"/>
      <c r="AO31" s="190"/>
    </row>
    <row r="32" spans="1:41">
      <c r="B32" s="9"/>
      <c r="C32" s="570">
        <f>C6</f>
        <v>2029</v>
      </c>
      <c r="D32" s="189"/>
      <c r="J32" s="189"/>
      <c r="K32" s="189"/>
      <c r="L32" s="189"/>
      <c r="M32" s="189"/>
      <c r="N32" s="189"/>
      <c r="O32" s="562"/>
      <c r="P32" s="189"/>
      <c r="Q32" s="189"/>
      <c r="R32" s="189"/>
      <c r="S32" s="189"/>
      <c r="T32" s="189"/>
      <c r="U32" s="189"/>
      <c r="V32" s="189"/>
      <c r="W32" s="189"/>
      <c r="X32" s="189"/>
      <c r="Y32" s="189"/>
      <c r="Z32" s="189"/>
      <c r="AA32" s="189"/>
      <c r="AB32" s="189"/>
      <c r="AC32" s="189"/>
      <c r="AD32" s="189"/>
      <c r="AE32" s="189"/>
      <c r="AF32" s="189"/>
      <c r="AG32" s="189"/>
      <c r="AH32" s="189"/>
      <c r="AI32" s="189"/>
      <c r="AJ32" s="189"/>
      <c r="AK32" s="189"/>
      <c r="AL32" s="189"/>
      <c r="AM32" s="189"/>
      <c r="AN32" s="189"/>
      <c r="AO32" s="189"/>
    </row>
    <row r="33" spans="1:41">
      <c r="B33" s="385" t="s">
        <v>3247</v>
      </c>
      <c r="C33" s="441">
        <f>INDEX($C$28:$AO$28, MATCH(C32,$C$21:$AO$21, 0))/10^6</f>
        <v>2.3926218186306762</v>
      </c>
      <c r="D33" s="519"/>
      <c r="J33" s="189"/>
      <c r="K33" s="189"/>
      <c r="L33" s="189"/>
      <c r="M33" s="189"/>
      <c r="N33" s="189"/>
      <c r="O33" s="189"/>
      <c r="P33" s="189"/>
      <c r="Q33" s="189"/>
      <c r="R33" s="189"/>
      <c r="S33" s="189"/>
      <c r="T33" s="189"/>
      <c r="U33" s="189"/>
      <c r="V33" s="189"/>
      <c r="W33" s="189"/>
      <c r="X33" s="189"/>
      <c r="Y33" s="189"/>
      <c r="Z33" s="189"/>
      <c r="AA33" s="189"/>
      <c r="AB33" s="189"/>
      <c r="AC33" s="189"/>
      <c r="AD33" s="189"/>
      <c r="AE33" s="189"/>
      <c r="AF33" s="189"/>
      <c r="AG33" s="189"/>
      <c r="AH33" s="189"/>
      <c r="AI33" s="189"/>
      <c r="AJ33" s="189"/>
      <c r="AK33" s="189"/>
      <c r="AL33" s="189"/>
      <c r="AM33" s="189"/>
      <c r="AN33" s="189"/>
      <c r="AO33" s="189"/>
    </row>
    <row r="34" spans="1:41">
      <c r="B34" s="573"/>
      <c r="C34" s="574"/>
      <c r="D34" s="519"/>
      <c r="E34" s="402"/>
      <c r="F34" s="189"/>
      <c r="G34" s="189"/>
      <c r="H34" s="189"/>
      <c r="I34" s="189"/>
      <c r="J34" s="189"/>
      <c r="K34" s="189"/>
      <c r="L34" s="189"/>
      <c r="M34" s="189"/>
      <c r="N34" s="189"/>
      <c r="O34" s="189"/>
      <c r="P34" s="189"/>
      <c r="Q34" s="189"/>
      <c r="R34" s="189"/>
      <c r="S34" s="189"/>
      <c r="T34" s="189"/>
      <c r="U34" s="189"/>
      <c r="V34" s="189"/>
      <c r="W34" s="189"/>
      <c r="X34" s="189"/>
      <c r="Y34" s="189"/>
      <c r="Z34" s="189"/>
      <c r="AA34" s="189"/>
      <c r="AB34" s="189"/>
      <c r="AC34" s="189"/>
      <c r="AD34" s="189"/>
      <c r="AE34" s="189"/>
      <c r="AF34" s="189"/>
      <c r="AG34" s="189"/>
      <c r="AH34" s="189"/>
      <c r="AI34" s="189"/>
      <c r="AJ34" s="189"/>
      <c r="AK34" s="189"/>
      <c r="AL34" s="189"/>
      <c r="AM34" s="189"/>
      <c r="AN34" s="189"/>
      <c r="AO34" s="189"/>
    </row>
    <row r="35" spans="1:41">
      <c r="B35" s="189"/>
      <c r="C35" s="189"/>
      <c r="D35" s="190"/>
      <c r="E35" s="190"/>
      <c r="F35" s="190"/>
      <c r="G35" s="190"/>
      <c r="H35" s="190"/>
      <c r="I35" s="190"/>
      <c r="J35" s="190"/>
      <c r="K35" s="190"/>
      <c r="L35" s="190"/>
      <c r="M35" s="190"/>
      <c r="N35" s="190"/>
      <c r="O35" s="190"/>
      <c r="P35" s="190"/>
      <c r="Q35" s="190"/>
      <c r="R35" s="190"/>
      <c r="S35" s="190"/>
      <c r="T35" s="190"/>
      <c r="U35" s="190"/>
      <c r="V35" s="190"/>
      <c r="W35" s="190"/>
      <c r="X35" s="190"/>
      <c r="Y35" s="190"/>
      <c r="Z35" s="190"/>
      <c r="AA35" s="190"/>
      <c r="AB35" s="190"/>
      <c r="AC35" s="190"/>
      <c r="AD35" s="190"/>
      <c r="AE35" s="190"/>
      <c r="AF35" s="190"/>
      <c r="AG35" s="190"/>
      <c r="AH35" s="190"/>
      <c r="AI35" s="190"/>
      <c r="AJ35" s="190"/>
      <c r="AK35" s="190"/>
      <c r="AL35" s="190"/>
      <c r="AM35" s="190"/>
      <c r="AN35" s="190"/>
      <c r="AO35" s="190"/>
    </row>
    <row r="36" spans="1:41">
      <c r="B36" s="119"/>
      <c r="C36" s="423"/>
      <c r="D36" s="424"/>
      <c r="E36" s="189"/>
      <c r="F36" s="426"/>
      <c r="G36" s="189"/>
      <c r="H36" s="189"/>
      <c r="I36" s="189"/>
      <c r="J36" s="189"/>
      <c r="K36" s="189"/>
      <c r="L36" s="189"/>
      <c r="M36" s="189"/>
      <c r="N36" s="189"/>
      <c r="O36" s="189"/>
      <c r="P36" s="189"/>
      <c r="Q36" s="189"/>
      <c r="R36" s="189"/>
      <c r="S36" s="189"/>
      <c r="T36" s="189"/>
      <c r="U36" s="189"/>
      <c r="V36" s="189"/>
      <c r="W36" s="189"/>
      <c r="X36" s="189"/>
      <c r="Y36" s="189"/>
      <c r="Z36" s="189"/>
      <c r="AA36" s="189"/>
      <c r="AB36" s="189"/>
      <c r="AC36" s="189"/>
      <c r="AD36" s="189"/>
      <c r="AE36" s="189"/>
    </row>
    <row r="37" spans="1:41">
      <c r="C37" s="423"/>
      <c r="E37" s="189"/>
    </row>
    <row r="38" spans="1:41" s="588" customFormat="1">
      <c r="A38" s="588" t="s">
        <v>10</v>
      </c>
      <c r="B38" s="593" t="s">
        <v>2495</v>
      </c>
      <c r="I38" s="648"/>
      <c r="J38" s="641"/>
      <c r="K38" s="641"/>
      <c r="O38" s="641"/>
    </row>
    <row r="39" spans="1:41">
      <c r="A39" s="9"/>
      <c r="B39" s="9"/>
      <c r="E39" s="189"/>
    </row>
    <row r="40" spans="1:41">
      <c r="E40" s="189"/>
    </row>
    <row r="41" spans="1:41">
      <c r="B41" s="9" t="s">
        <v>2490</v>
      </c>
      <c r="E41" s="189"/>
      <c r="G41" s="9"/>
    </row>
    <row r="42" spans="1:41">
      <c r="B42" s="9"/>
      <c r="E42" s="189"/>
      <c r="G42" s="9"/>
    </row>
    <row r="43" spans="1:41">
      <c r="B43" s="6" t="s">
        <v>2889</v>
      </c>
      <c r="C43" s="41">
        <f>C6</f>
        <v>2029</v>
      </c>
      <c r="E43" s="189"/>
      <c r="G43" s="9"/>
    </row>
    <row r="44" spans="1:41">
      <c r="E44" s="189"/>
    </row>
    <row r="45" spans="1:41">
      <c r="B45" s="84" t="s">
        <v>125</v>
      </c>
      <c r="C45" s="84" t="s">
        <v>2493</v>
      </c>
      <c r="D45" s="84" t="s">
        <v>25</v>
      </c>
      <c r="E45" s="84" t="s">
        <v>184</v>
      </c>
      <c r="F45" s="84" t="s">
        <v>185</v>
      </c>
      <c r="G45" s="201" t="s">
        <v>2499</v>
      </c>
    </row>
    <row r="46" spans="1:41">
      <c r="B46" s="6" t="s">
        <v>11</v>
      </c>
      <c r="C46" s="378" t="s">
        <v>2475</v>
      </c>
      <c r="D46" s="169">
        <f>INDEX('VLU costs INT'!$D$235:$AH$252, MATCH(B46, 'VLU costs INT'!$B$235:$B$252,0), MATCH($C$43, 'VLU costs INT'!$D$234:$AH$234,0))/10^6</f>
        <v>8.6817888377585126E-2</v>
      </c>
      <c r="E46" s="169">
        <f>INDEX('Mixed costs INT'!$D$226:$AH$243, MATCH(B46, 'Mixed costs INT'!$B$226:$B$243,0), MATCH($C$43, 'Mixed costs INT'!$D$225:$AH$225,0))/10^6</f>
        <v>5.7527062082381758E-2</v>
      </c>
      <c r="F46" s="169">
        <f>INDEX('Arterial costs'!$D$223:$AH$240, MATCH(B46, 'Arterial costs'!$B$223:$B$240,0), MATCH($C$43, 'Arterial costs'!$D$222:$AH$222,0))/10^6</f>
        <v>2.0045807118667054E-2</v>
      </c>
      <c r="G46" s="201" t="s">
        <v>11</v>
      </c>
    </row>
    <row r="47" spans="1:41">
      <c r="B47" s="6" t="s">
        <v>14</v>
      </c>
      <c r="C47" s="378" t="s">
        <v>2475</v>
      </c>
      <c r="D47" s="169">
        <f>INDEX('VLU costs INT'!$D$235:$AH$252, MATCH(B47, 'VLU costs INT'!$B$235:$B$252,0), MATCH($C$43, 'VLU costs INT'!$D$234:$AH$234,0))/10^6</f>
        <v>3.4817463533325766E-4</v>
      </c>
      <c r="E47" s="169">
        <f>INDEX('Mixed costs INT'!$D$226:$AH$243, MATCH(B47, 'Mixed costs INT'!$B$226:$B$243,0), MATCH($C$43, 'Mixed costs INT'!$D$225:$AH$225,0))/10^6</f>
        <v>0</v>
      </c>
      <c r="F47" s="169">
        <f>INDEX('Arterial costs'!$D$223:$AH$240, MATCH(B47, 'Arterial costs'!$B$223:$B$240,0), MATCH($C$43, 'Arterial costs'!$D$222:$AH$222,0))/10^6</f>
        <v>0</v>
      </c>
      <c r="G47" s="201" t="s">
        <v>2498</v>
      </c>
    </row>
    <row r="48" spans="1:41">
      <c r="B48" s="6" t="s">
        <v>15</v>
      </c>
      <c r="C48" s="378" t="s">
        <v>2475</v>
      </c>
      <c r="D48" s="169">
        <f>INDEX('VLU costs INT'!$D$235:$AH$252, MATCH(B48, 'VLU costs INT'!$B$235:$B$252,0), MATCH($C$43, 'VLU costs INT'!$D$234:$AH$234,0))/10^6</f>
        <v>3.3400628617316075E-3</v>
      </c>
      <c r="E48" s="169">
        <f>INDEX('Mixed costs INT'!$D$226:$AH$243, MATCH(B48, 'Mixed costs INT'!$B$226:$B$243,0), MATCH($C$43, 'Mixed costs INT'!$D$225:$AH$225,0))/10^6</f>
        <v>1.1338576184968638E-3</v>
      </c>
      <c r="F48" s="169">
        <f>INDEX('Arterial costs'!$D$223:$AH$240, MATCH(B48, 'Arterial costs'!$B$223:$B$240,0), MATCH($C$43, 'Arterial costs'!$D$222:$AH$222,0))/10^6</f>
        <v>1.7082542412975642E-3</v>
      </c>
      <c r="G48" s="201" t="s">
        <v>2498</v>
      </c>
    </row>
    <row r="49" spans="2:7">
      <c r="B49" s="6" t="s">
        <v>16</v>
      </c>
      <c r="C49" s="139" t="s">
        <v>2476</v>
      </c>
      <c r="D49" s="169">
        <f>INDEX('VLU costs INT'!$D$235:$AH$252, MATCH(B49, 'VLU costs INT'!$B$235:$B$252,0), MATCH($C$43, 'VLU costs INT'!$D$234:$AH$234,0))/10^6</f>
        <v>5.9480111282098076E-2</v>
      </c>
      <c r="E49" s="169">
        <f>INDEX('Mixed costs INT'!$D$226:$AH$243, MATCH(B49, 'Mixed costs INT'!$B$226:$B$243,0), MATCH($C$43, 'Mixed costs INT'!$D$225:$AH$225,0))/10^6</f>
        <v>9.0485477052477132E-3</v>
      </c>
      <c r="F49" s="169">
        <f>INDEX('Arterial costs'!$D$223:$AH$240, MATCH(B49, 'Arterial costs'!$B$223:$B$240,0), MATCH($C$43, 'Arterial costs'!$D$222:$AH$222,0))/10^6</f>
        <v>1.0140632357747859E-2</v>
      </c>
      <c r="G49" s="201" t="s">
        <v>16</v>
      </c>
    </row>
    <row r="50" spans="2:7">
      <c r="B50" s="6" t="s">
        <v>103</v>
      </c>
      <c r="C50" s="139" t="s">
        <v>2476</v>
      </c>
      <c r="D50" s="169">
        <f>INDEX('VLU costs INT'!$D$235:$AH$252, MATCH(B50, 'VLU costs INT'!$B$235:$B$252,0), MATCH($C$43, 'VLU costs INT'!$D$234:$AH$234,0))/10^6</f>
        <v>0.5173597773164601</v>
      </c>
      <c r="E50" s="169">
        <f>INDEX('Mixed costs INT'!$D$226:$AH$243, MATCH(B50, 'Mixed costs INT'!$B$226:$B$243,0), MATCH($C$43, 'Mixed costs INT'!$D$225:$AH$225,0))/10^6</f>
        <v>0.19371742302403686</v>
      </c>
      <c r="F50" s="169">
        <f>INDEX('Arterial costs'!$D$223:$AH$240, MATCH(B50, 'Arterial costs'!$B$223:$B$240,0), MATCH($C$43, 'Arterial costs'!$D$222:$AH$222,0))/10^6</f>
        <v>0.21995503727015961</v>
      </c>
      <c r="G50" s="201" t="s">
        <v>103</v>
      </c>
    </row>
    <row r="51" spans="2:7">
      <c r="B51" s="6" t="s">
        <v>104</v>
      </c>
      <c r="C51" s="139" t="s">
        <v>2474</v>
      </c>
      <c r="D51" s="169">
        <f>INDEX('VLU costs INT'!$D$235:$AH$252, MATCH(B51, 'VLU costs INT'!$B$235:$B$252,0), MATCH($C$43, 'VLU costs INT'!$D$234:$AH$234,0))/10^6</f>
        <v>4.6902248746147748E-2</v>
      </c>
      <c r="E51" s="169">
        <f>INDEX('Mixed costs INT'!$D$226:$AH$243, MATCH(B51, 'Mixed costs INT'!$B$226:$B$243,0), MATCH($C$43, 'Mixed costs INT'!$D$225:$AH$225,0))/10^6</f>
        <v>4.0282994778780397E-2</v>
      </c>
      <c r="F51" s="169">
        <f>INDEX('Arterial costs'!$D$223:$AH$240, MATCH(B51, 'Arterial costs'!$B$223:$B$240,0), MATCH($C$43, 'Arterial costs'!$D$222:$AH$222,0))/10^6</f>
        <v>4.5375858333735969E-3</v>
      </c>
      <c r="G51" s="201" t="s">
        <v>104</v>
      </c>
    </row>
    <row r="52" spans="2:7">
      <c r="B52" s="6" t="s">
        <v>17</v>
      </c>
      <c r="C52" s="139" t="s">
        <v>2474</v>
      </c>
      <c r="D52" s="169">
        <f>INDEX('VLU costs INT'!$D$235:$AH$252, MATCH(B52, 'VLU costs INT'!$B$235:$B$252,0), MATCH($C$43, 'VLU costs INT'!$D$234:$AH$234,0))/10^6</f>
        <v>2.4972577623472249E-2</v>
      </c>
      <c r="E52" s="169">
        <f>INDEX('Mixed costs INT'!$D$226:$AH$243, MATCH(B52, 'Mixed costs INT'!$B$226:$B$243,0), MATCH($C$43, 'Mixed costs INT'!$D$225:$AH$225,0))/10^6</f>
        <v>2.1654273491523994E-3</v>
      </c>
      <c r="F52" s="169">
        <f>INDEX('Arterial costs'!$D$223:$AH$240, MATCH(B52, 'Arterial costs'!$B$223:$B$240,0), MATCH($C$43, 'Arterial costs'!$D$222:$AH$222,0))/10^6</f>
        <v>2.269839987996242E-2</v>
      </c>
      <c r="G52" s="201" t="s">
        <v>17</v>
      </c>
    </row>
    <row r="53" spans="2:7" ht="29">
      <c r="B53" s="6" t="s">
        <v>106</v>
      </c>
      <c r="C53" s="139" t="s">
        <v>167</v>
      </c>
      <c r="D53" s="169">
        <f>INDEX('VLU costs INT'!$D$235:$AH$252, MATCH(B53, 'VLU costs INT'!$B$235:$B$252,0), MATCH($C$43, 'VLU costs INT'!$D$234:$AH$234,0))/10^6</f>
        <v>5.0451907100742016E-2</v>
      </c>
      <c r="E53" s="169">
        <f>INDEX('Mixed costs INT'!$D$226:$AH$243, MATCH(B53, 'Mixed costs INT'!$B$226:$B$243,0), MATCH($C$43, 'Mixed costs INT'!$D$225:$AH$225,0))/10^6</f>
        <v>2.6917278204434163E-2</v>
      </c>
      <c r="F53" s="169">
        <f>INDEX('Arterial costs'!$D$223:$AH$240, MATCH(B53, 'Arterial costs'!$B$223:$B$240,0), MATCH($C$43, 'Arterial costs'!$D$222:$AH$222,0))/10^6</f>
        <v>1.7963679994291087E-4</v>
      </c>
      <c r="G53" s="201" t="s">
        <v>106</v>
      </c>
    </row>
    <row r="54" spans="2:7" ht="29">
      <c r="B54" s="6" t="s">
        <v>107</v>
      </c>
      <c r="C54" s="139" t="s">
        <v>167</v>
      </c>
      <c r="D54" s="169">
        <f>INDEX('VLU costs INT'!$D$235:$AH$252, MATCH(B54, 'VLU costs INT'!$B$235:$B$252,0), MATCH($C$43, 'VLU costs INT'!$D$234:$AH$234,0))/10^6</f>
        <v>0.11396340456587117</v>
      </c>
      <c r="E54" s="169">
        <f>INDEX('Mixed costs INT'!$D$226:$AH$243, MATCH(B54, 'Mixed costs INT'!$B$226:$B$243,0), MATCH($C$43, 'Mixed costs INT'!$D$225:$AH$225,0))/10^6</f>
        <v>6.0745148324241889E-2</v>
      </c>
      <c r="F54" s="169">
        <f>INDEX('Arterial costs'!$D$223:$AH$240, MATCH(B54, 'Arterial costs'!$B$223:$B$240,0), MATCH($C$43, 'Arterial costs'!$D$222:$AH$222,0))/10^6</f>
        <v>4.0655709596841143E-4</v>
      </c>
      <c r="G54" s="201" t="s">
        <v>107</v>
      </c>
    </row>
    <row r="55" spans="2:7">
      <c r="B55" s="6" t="s">
        <v>2863</v>
      </c>
      <c r="C55" s="139" t="s">
        <v>2474</v>
      </c>
      <c r="D55" s="169">
        <f>INDEX('VLU costs INT'!$D$235:$AH$252, MATCH(B55, 'VLU costs INT'!$B$235:$B$252,0), MATCH($C$43, 'VLU costs INT'!$D$234:$AH$234,0))/10^6</f>
        <v>6.0481516502178603E-3</v>
      </c>
      <c r="E55" s="169">
        <f>INDEX('Mixed costs INT'!$D$226:$AH$243, MATCH(B55, 'Mixed costs INT'!$B$226:$B$243,0), MATCH($C$43, 'Mixed costs INT'!$D$225:$AH$225,0))/10^6</f>
        <v>2.6800793902928759E-3</v>
      </c>
      <c r="F55" s="169">
        <f>INDEX('Arterial costs'!$D$223:$AH$240, MATCH(B55, 'Arterial costs'!$B$223:$B$240,0), MATCH($C$43, 'Arterial costs'!$D$222:$AH$222,0))/10^6</f>
        <v>4.1680097465798269E-3</v>
      </c>
      <c r="G55" s="201" t="s">
        <v>2886</v>
      </c>
    </row>
    <row r="56" spans="2:7">
      <c r="B56" s="6" t="s">
        <v>2862</v>
      </c>
      <c r="C56" s="139" t="s">
        <v>2474</v>
      </c>
      <c r="D56" s="169">
        <f>INDEX('VLU costs INT'!$D$235:$AH$252, MATCH(B56, 'VLU costs INT'!$B$235:$B$252,0), MATCH($C$43, 'VLU costs INT'!$D$234:$AH$234,0))/10^6</f>
        <v>7.8481340052591816E-3</v>
      </c>
      <c r="E56" s="169">
        <f>INDEX('Mixed costs INT'!$D$226:$AH$243, MATCH(B56, 'Mixed costs INT'!$B$226:$B$243,0), MATCH($C$43, 'Mixed costs INT'!$D$225:$AH$225,0))/10^6</f>
        <v>3.4776942471331975E-3</v>
      </c>
      <c r="F56" s="169">
        <f>INDEX('Arterial costs'!$D$223:$AH$240, MATCH(B56, 'Arterial costs'!$B$223:$B$240,0), MATCH($C$43, 'Arterial costs'!$D$222:$AH$222,0))/10^6</f>
        <v>5.4084455744767175E-3</v>
      </c>
      <c r="G56" s="201" t="s">
        <v>2886</v>
      </c>
    </row>
    <row r="57" spans="2:7">
      <c r="B57" s="6" t="s">
        <v>131</v>
      </c>
      <c r="C57" s="139" t="s">
        <v>2474</v>
      </c>
      <c r="D57" s="169">
        <f>INDEX('VLU costs INT'!$D$235:$AH$252, MATCH(B57, 'VLU costs INT'!$B$235:$B$252,0), MATCH($C$43, 'VLU costs INT'!$D$234:$AH$234,0))/10^6</f>
        <v>1.247249051782416E-2</v>
      </c>
      <c r="E57" s="169">
        <f>INDEX('Mixed costs INT'!$D$226:$AH$243, MATCH(B57, 'Mixed costs INT'!$B$226:$B$243,0), MATCH($C$43, 'Mixed costs INT'!$D$225:$AH$225,0))/10^6</f>
        <v>0</v>
      </c>
      <c r="F57" s="169">
        <f>INDEX('Arterial costs'!$D$223:$AH$240, MATCH(B57, 'Arterial costs'!$B$223:$B$240,0), MATCH($C$43, 'Arterial costs'!$D$222:$AH$222,0))/10^6</f>
        <v>0</v>
      </c>
      <c r="G57" s="201" t="s">
        <v>2886</v>
      </c>
    </row>
    <row r="58" spans="2:7" ht="29">
      <c r="B58" s="6" t="s">
        <v>2869</v>
      </c>
      <c r="C58" s="139" t="s">
        <v>2474</v>
      </c>
      <c r="D58" s="169">
        <f>INDEX('VLU costs INT'!$D$235:$AH$252, MATCH(B58, 'VLU costs INT'!$B$235:$B$252,0), MATCH($C$43, 'VLU costs INT'!$D$234:$AH$234,0))/10^6</f>
        <v>1.0517448300370441E-2</v>
      </c>
      <c r="E58" s="169">
        <f>INDEX('Mixed costs INT'!$D$226:$AH$243, MATCH(B58, 'Mixed costs INT'!$B$226:$B$243,0), MATCH($C$43, 'Mixed costs INT'!$D$225:$AH$225,0))/10^6</f>
        <v>3.1994588970809664E-3</v>
      </c>
      <c r="F58" s="169">
        <f>INDEX('Arterial costs'!$D$223:$AH$240, MATCH(B58, 'Arterial costs'!$B$223:$B$240,0), MATCH($C$43, 'Arterial costs'!$D$222:$AH$222,0))/10^6</f>
        <v>5.6684932553485647E-2</v>
      </c>
      <c r="G58" s="201" t="s">
        <v>2886</v>
      </c>
    </row>
    <row r="59" spans="2:7" ht="29">
      <c r="B59" s="6" t="s">
        <v>2870</v>
      </c>
      <c r="C59" s="139" t="s">
        <v>2474</v>
      </c>
      <c r="D59" s="169">
        <f>INDEX('VLU costs INT'!$D$235:$AH$252, MATCH(B59, 'VLU costs INT'!$B$235:$B$252,0), MATCH($C$43, 'VLU costs INT'!$D$234:$AH$234,0))/10^6</f>
        <v>2.1302102282512433E-2</v>
      </c>
      <c r="E59" s="169">
        <f>INDEX('Mixed costs INT'!$D$226:$AH$243, MATCH(B59, 'Mixed costs INT'!$B$226:$B$243,0), MATCH($C$43, 'Mixed costs INT'!$D$225:$AH$225,0))/10^6</f>
        <v>2.4840778402083055E-2</v>
      </c>
      <c r="F59" s="169">
        <f>INDEX('Arterial costs'!$D$223:$AH$240, MATCH(B59, 'Arterial costs'!$B$223:$B$240,0), MATCH($C$43, 'Arterial costs'!$D$222:$AH$222,0))/10^6</f>
        <v>0</v>
      </c>
      <c r="G59" s="201" t="s">
        <v>2828</v>
      </c>
    </row>
    <row r="60" spans="2:7">
      <c r="B60" s="6" t="s">
        <v>102</v>
      </c>
      <c r="C60" s="139" t="s">
        <v>2474</v>
      </c>
      <c r="D60" s="169">
        <f>INDEX('VLU costs INT'!$D$235:$AH$252, MATCH(B60, 'VLU costs INT'!$B$235:$B$252,0), MATCH($C$43, 'VLU costs INT'!$D$234:$AH$234,0))/10^6</f>
        <v>6.699461176991571E-2</v>
      </c>
      <c r="E60" s="169">
        <f>INDEX('Mixed costs INT'!$D$226:$AH$243, MATCH(B60, 'Mixed costs INT'!$B$226:$B$243,0), MATCH($C$43, 'Mixed costs INT'!$D$225:$AH$225,0))/10^6</f>
        <v>2.5218419325652802E-2</v>
      </c>
      <c r="F60" s="169">
        <f>INDEX('Arterial costs'!$D$223:$AH$240, MATCH(B60, 'Arterial costs'!$B$223:$B$240,0), MATCH($C$43, 'Arterial costs'!$D$222:$AH$222,0))/10^6</f>
        <v>0</v>
      </c>
      <c r="G60" s="201" t="s">
        <v>102</v>
      </c>
    </row>
    <row r="61" spans="2:7">
      <c r="B61" s="6" t="s">
        <v>2831</v>
      </c>
      <c r="C61" s="378" t="s">
        <v>2475</v>
      </c>
      <c r="D61" s="169">
        <f>INDEX('VLU costs INT'!$D$235:$AH$252, MATCH(B61, 'VLU costs INT'!$B$235:$B$252,0), MATCH($C$43, 'VLU costs INT'!$D$234:$AH$234,0))/10^6</f>
        <v>0.21685125855729159</v>
      </c>
      <c r="E61" s="169">
        <f>INDEX('Mixed costs INT'!$D$226:$AH$243, MATCH(B61, 'Mixed costs INT'!$B$226:$B$243,0), MATCH($C$43, 'Mixed costs INT'!$D$225:$AH$225,0))/10^6</f>
        <v>0.1025186661767027</v>
      </c>
      <c r="F61" s="169">
        <f>INDEX('Arterial costs'!$D$223:$AH$240, MATCH(B61, 'Arterial costs'!$B$223:$B$240,0), MATCH($C$43, 'Arterial costs'!$D$222:$AH$222,0))/10^6</f>
        <v>9.5130699979676339E-2</v>
      </c>
      <c r="G61" s="201" t="s">
        <v>2831</v>
      </c>
    </row>
    <row r="62" spans="2:7">
      <c r="B62" s="6" t="s">
        <v>2832</v>
      </c>
      <c r="C62" s="378" t="s">
        <v>2475</v>
      </c>
      <c r="D62" s="169">
        <f>INDEX('VLU costs INT'!$D$235:$AH$252, MATCH(B62, 'VLU costs INT'!$B$235:$B$252,0), MATCH($C$43, 'VLU costs INT'!$D$234:$AH$234,0))/10^6</f>
        <v>1.9236166355844322E-2</v>
      </c>
      <c r="E62" s="169">
        <f>INDEX('Mixed costs INT'!$D$226:$AH$243, MATCH(B62, 'Mixed costs INT'!$B$226:$B$243,0), MATCH($C$43, 'Mixed costs INT'!$D$225:$AH$225,0))/10^6</f>
        <v>9.4166795469456267E-3</v>
      </c>
      <c r="F62" s="169">
        <f>INDEX('Arterial costs'!$D$223:$AH$240, MATCH(B62, 'Arterial costs'!$B$223:$B$240,0), MATCH($C$43, 'Arterial costs'!$D$222:$AH$222,0))/10^6</f>
        <v>3.5645234915501797E-2</v>
      </c>
      <c r="G62" s="201" t="s">
        <v>2832</v>
      </c>
    </row>
    <row r="63" spans="2:7">
      <c r="B63" s="6" t="s">
        <v>2871</v>
      </c>
      <c r="C63" s="139" t="s">
        <v>2474</v>
      </c>
      <c r="D63" s="169">
        <f>INDEX('VLU costs INT'!$D$235:$AH$252, MATCH(B63, 'VLU costs INT'!$B$235:$B$252,0), MATCH($C$43, 'VLU costs INT'!$D$234:$AH$234,0))/10^6</f>
        <v>2.4208960282182603E-3</v>
      </c>
      <c r="E63" s="169">
        <f>INDEX('Mixed costs INT'!$D$226:$AH$243, MATCH(B63, 'Mixed costs INT'!$B$226:$B$243,0), MATCH($C$43, 'Mixed costs INT'!$D$225:$AH$225,0))/10^6</f>
        <v>2.8230519680126176E-3</v>
      </c>
      <c r="F63" s="169">
        <f>INDEX('Arterial costs'!$D$223:$AH$240, MATCH(B63, 'Arterial costs'!$B$223:$B$240,0), MATCH($C$43, 'Arterial costs'!$D$222:$AH$222,0))/10^6</f>
        <v>0</v>
      </c>
      <c r="G63" s="201" t="s">
        <v>2886</v>
      </c>
    </row>
    <row r="64" spans="2:7">
      <c r="B64" s="5" t="s">
        <v>22</v>
      </c>
      <c r="C64" s="195"/>
      <c r="D64" s="196">
        <f>SUM(D46:D63)</f>
        <v>1.2673274119768954</v>
      </c>
      <c r="E64" s="196">
        <f t="shared" ref="E64:F64" si="17">SUM(E46:E63)</f>
        <v>0.56571256704067574</v>
      </c>
      <c r="F64" s="196">
        <f t="shared" si="17"/>
        <v>0.47670923336683985</v>
      </c>
      <c r="G64" s="201" t="s">
        <v>22</v>
      </c>
    </row>
    <row r="65" spans="1:11">
      <c r="D65" s="151" t="b">
        <f>SUM(D46:D63)=INDEX($C$24:$AE$24, MATCH(C43, $C$21:$AE$21,0))/10^6</f>
        <v>1</v>
      </c>
      <c r="E65" s="151" t="b">
        <f>SUM(E46:E63)=INDEX($C$22:$AE$22, MATCH(C43, $C$21:$AE$21,0))/10^6</f>
        <v>1</v>
      </c>
      <c r="F65" s="151" t="b">
        <f>SUM(F46:F63)=INDEX($C$23:$AE$23, MATCH(C43, $C$21:$AE$21,0))/10^6</f>
        <v>1</v>
      </c>
      <c r="H65" s="376"/>
      <c r="I65" s="377"/>
      <c r="J65" s="377"/>
      <c r="K65" s="151"/>
    </row>
    <row r="66" spans="1:11" ht="16.25" customHeight="1">
      <c r="D66" s="81"/>
      <c r="E66" s="189"/>
      <c r="F66" s="151" t="b">
        <f>SUM(D64:F64)=C33</f>
        <v>0</v>
      </c>
      <c r="G66" s="113"/>
      <c r="H66" s="376"/>
      <c r="I66" s="377"/>
      <c r="J66" s="377"/>
      <c r="K66" s="151"/>
    </row>
    <row r="67" spans="1:11">
      <c r="E67" s="189"/>
      <c r="G67" s="113"/>
      <c r="H67" s="376"/>
      <c r="I67" s="377"/>
      <c r="J67" s="377"/>
      <c r="K67" s="151"/>
    </row>
    <row r="68" spans="1:11">
      <c r="A68" s="9" t="s">
        <v>10</v>
      </c>
      <c r="B68" s="9" t="s">
        <v>2499</v>
      </c>
      <c r="E68" s="189"/>
    </row>
    <row r="69" spans="1:11">
      <c r="E69" s="189"/>
    </row>
    <row r="70" spans="1:11">
      <c r="B70" s="9" t="s">
        <v>150</v>
      </c>
      <c r="C70" s="9">
        <f>C43</f>
        <v>2029</v>
      </c>
      <c r="E70" s="189"/>
    </row>
    <row r="71" spans="1:11">
      <c r="E71" s="189"/>
      <c r="G71" s="9"/>
    </row>
    <row r="72" spans="1:11">
      <c r="B72" s="192" t="s">
        <v>125</v>
      </c>
      <c r="C72" s="192" t="s">
        <v>25</v>
      </c>
      <c r="D72" s="192" t="s">
        <v>184</v>
      </c>
      <c r="E72" s="192" t="s">
        <v>185</v>
      </c>
      <c r="F72" s="202" t="s">
        <v>22</v>
      </c>
      <c r="G72" s="202" t="s">
        <v>388</v>
      </c>
      <c r="H72" s="204" t="s">
        <v>2502</v>
      </c>
      <c r="I72" s="200"/>
    </row>
    <row r="73" spans="1:11">
      <c r="B73" s="232" t="s">
        <v>2831</v>
      </c>
      <c r="C73" s="172">
        <f t="shared" ref="C73:E85" si="18">SUMIFS(D$46:D$63, $G$46:$G$63,$B73)</f>
        <v>0.21685125855729159</v>
      </c>
      <c r="D73" s="172">
        <f t="shared" si="18"/>
        <v>0.1025186661767027</v>
      </c>
      <c r="E73" s="172">
        <f t="shared" si="18"/>
        <v>9.5130699979676339E-2</v>
      </c>
      <c r="F73" s="233">
        <f t="shared" ref="F73:F83" si="19">SUM(C73:E73)</f>
        <v>0.41450062471367061</v>
      </c>
      <c r="G73" s="203">
        <f>F73/$F$86</f>
        <v>0.17945698281493142</v>
      </c>
      <c r="H73" s="38" t="s">
        <v>2557</v>
      </c>
    </row>
    <row r="74" spans="1:11">
      <c r="B74" s="232" t="s">
        <v>102</v>
      </c>
      <c r="C74" s="172">
        <f t="shared" si="18"/>
        <v>6.699461176991571E-2</v>
      </c>
      <c r="D74" s="172">
        <f t="shared" si="18"/>
        <v>2.5218419325652802E-2</v>
      </c>
      <c r="E74" s="172">
        <f t="shared" si="18"/>
        <v>0</v>
      </c>
      <c r="F74" s="233">
        <f t="shared" si="19"/>
        <v>9.2213031095568512E-2</v>
      </c>
      <c r="G74" s="203">
        <f t="shared" ref="G74:G86" si="20">F74/$F$86</f>
        <v>3.9923395406367398E-2</v>
      </c>
      <c r="H74" s="38" t="s">
        <v>2557</v>
      </c>
    </row>
    <row r="75" spans="1:11">
      <c r="B75" s="232" t="s">
        <v>2828</v>
      </c>
      <c r="C75" s="172">
        <f t="shared" si="18"/>
        <v>2.1302102282512433E-2</v>
      </c>
      <c r="D75" s="172">
        <f t="shared" si="18"/>
        <v>2.4840778402083055E-2</v>
      </c>
      <c r="E75" s="172">
        <f t="shared" si="18"/>
        <v>0</v>
      </c>
      <c r="F75" s="233">
        <f t="shared" si="19"/>
        <v>4.6142880684595489E-2</v>
      </c>
      <c r="G75" s="203">
        <f t="shared" si="20"/>
        <v>1.9977441895936858E-2</v>
      </c>
      <c r="H75" s="38" t="s">
        <v>2557</v>
      </c>
      <c r="J75" s="9"/>
    </row>
    <row r="76" spans="1:11">
      <c r="B76" s="6" t="s">
        <v>2886</v>
      </c>
      <c r="C76" s="172">
        <f t="shared" si="18"/>
        <v>3.9307120501889906E-2</v>
      </c>
      <c r="D76" s="172">
        <f t="shared" si="18"/>
        <v>1.2180284502519657E-2</v>
      </c>
      <c r="E76" s="172">
        <f t="shared" si="18"/>
        <v>6.6261387874542194E-2</v>
      </c>
      <c r="F76" s="233">
        <f t="shared" si="19"/>
        <v>0.11774879287895176</v>
      </c>
      <c r="G76" s="203">
        <f t="shared" si="20"/>
        <v>5.0979038004475292E-2</v>
      </c>
      <c r="H76" s="38" t="s">
        <v>2557</v>
      </c>
    </row>
    <row r="77" spans="1:11">
      <c r="B77" s="232" t="s">
        <v>11</v>
      </c>
      <c r="C77" s="172">
        <f t="shared" si="18"/>
        <v>8.6817888377585126E-2</v>
      </c>
      <c r="D77" s="172">
        <f t="shared" si="18"/>
        <v>5.7527062082381758E-2</v>
      </c>
      <c r="E77" s="172">
        <f t="shared" si="18"/>
        <v>2.0045807118667054E-2</v>
      </c>
      <c r="F77" s="233">
        <f t="shared" si="19"/>
        <v>0.16439075757863392</v>
      </c>
      <c r="G77" s="203">
        <f t="shared" si="20"/>
        <v>7.117255704524271E-2</v>
      </c>
      <c r="H77" s="38" t="s">
        <v>2557</v>
      </c>
    </row>
    <row r="78" spans="1:11">
      <c r="B78" s="232" t="s">
        <v>103</v>
      </c>
      <c r="C78" s="172">
        <f t="shared" si="18"/>
        <v>0.5173597773164601</v>
      </c>
      <c r="D78" s="172">
        <f t="shared" si="18"/>
        <v>0.19371742302403686</v>
      </c>
      <c r="E78" s="172">
        <f t="shared" si="18"/>
        <v>0.21995503727015961</v>
      </c>
      <c r="F78" s="233">
        <f t="shared" si="19"/>
        <v>0.93103223761065657</v>
      </c>
      <c r="G78" s="380">
        <f t="shared" si="20"/>
        <v>0.40308802038708308</v>
      </c>
      <c r="H78" s="38" t="s">
        <v>2501</v>
      </c>
    </row>
    <row r="79" spans="1:11">
      <c r="B79" s="232" t="s">
        <v>16</v>
      </c>
      <c r="C79" s="172">
        <f t="shared" si="18"/>
        <v>5.9480111282098076E-2</v>
      </c>
      <c r="D79" s="172">
        <f t="shared" si="18"/>
        <v>9.0485477052477132E-3</v>
      </c>
      <c r="E79" s="172">
        <f t="shared" si="18"/>
        <v>1.0140632357747859E-2</v>
      </c>
      <c r="F79" s="233">
        <f t="shared" si="19"/>
        <v>7.866929134509365E-2</v>
      </c>
      <c r="G79" s="380">
        <f t="shared" si="20"/>
        <v>3.4059668003471856E-2</v>
      </c>
      <c r="H79" s="38" t="s">
        <v>2501</v>
      </c>
    </row>
    <row r="80" spans="1:11">
      <c r="B80" s="232" t="s">
        <v>104</v>
      </c>
      <c r="C80" s="172">
        <f t="shared" si="18"/>
        <v>4.6902248746147748E-2</v>
      </c>
      <c r="D80" s="172">
        <f t="shared" si="18"/>
        <v>4.0282994778780397E-2</v>
      </c>
      <c r="E80" s="172">
        <f t="shared" si="18"/>
        <v>4.5375858333735969E-3</v>
      </c>
      <c r="F80" s="233">
        <f t="shared" si="19"/>
        <v>9.1722829358301755E-2</v>
      </c>
      <c r="G80" s="203">
        <f t="shared" si="20"/>
        <v>3.9711163820947477E-2</v>
      </c>
      <c r="H80" s="38" t="s">
        <v>2557</v>
      </c>
    </row>
    <row r="81" spans="1:8">
      <c r="B81" s="138" t="s">
        <v>2832</v>
      </c>
      <c r="C81" s="172">
        <f t="shared" si="18"/>
        <v>1.9236166355844322E-2</v>
      </c>
      <c r="D81" s="172">
        <f t="shared" si="18"/>
        <v>9.4166795469456267E-3</v>
      </c>
      <c r="E81" s="172">
        <f t="shared" si="18"/>
        <v>3.5645234915501797E-2</v>
      </c>
      <c r="F81" s="196">
        <f t="shared" si="19"/>
        <v>6.4298080818291747E-2</v>
      </c>
      <c r="G81" s="203">
        <f t="shared" si="20"/>
        <v>2.7837689249351559E-2</v>
      </c>
      <c r="H81" s="38" t="s">
        <v>2557</v>
      </c>
    </row>
    <row r="82" spans="1:8">
      <c r="B82" s="138" t="s">
        <v>106</v>
      </c>
      <c r="C82" s="172">
        <f t="shared" si="18"/>
        <v>5.0451907100742016E-2</v>
      </c>
      <c r="D82" s="172">
        <f t="shared" si="18"/>
        <v>2.6917278204434163E-2</v>
      </c>
      <c r="E82" s="172">
        <f t="shared" si="18"/>
        <v>1.7963679994291087E-4</v>
      </c>
      <c r="F82" s="196">
        <f t="shared" si="19"/>
        <v>7.7548822105119097E-2</v>
      </c>
      <c r="G82" s="203">
        <f t="shared" si="20"/>
        <v>3.3574563718570788E-2</v>
      </c>
      <c r="H82" s="38" t="s">
        <v>2557</v>
      </c>
    </row>
    <row r="83" spans="1:8">
      <c r="B83" s="193" t="s">
        <v>107</v>
      </c>
      <c r="C83" s="172">
        <f t="shared" si="18"/>
        <v>0.11396340456587117</v>
      </c>
      <c r="D83" s="172">
        <f t="shared" si="18"/>
        <v>6.0745148324241889E-2</v>
      </c>
      <c r="E83" s="172">
        <f t="shared" si="18"/>
        <v>4.0655709596841143E-4</v>
      </c>
      <c r="F83" s="196">
        <f t="shared" si="19"/>
        <v>0.17511510998608146</v>
      </c>
      <c r="G83" s="203">
        <f t="shared" si="20"/>
        <v>7.5815637926035184E-2</v>
      </c>
      <c r="H83" s="38" t="s">
        <v>2557</v>
      </c>
    </row>
    <row r="84" spans="1:8">
      <c r="B84" s="193" t="s">
        <v>17</v>
      </c>
      <c r="C84" s="172">
        <f t="shared" si="18"/>
        <v>2.4972577623472249E-2</v>
      </c>
      <c r="D84" s="172">
        <f t="shared" si="18"/>
        <v>2.1654273491523994E-3</v>
      </c>
      <c r="E84" s="172">
        <f t="shared" si="18"/>
        <v>2.269839987996242E-2</v>
      </c>
      <c r="F84" s="196">
        <f t="shared" ref="F84:F85" si="21">SUM(C84:E84)</f>
        <v>4.9836404852587071E-2</v>
      </c>
      <c r="G84" s="203">
        <f t="shared" si="20"/>
        <v>2.157654371538446E-2</v>
      </c>
      <c r="H84" s="38" t="s">
        <v>2557</v>
      </c>
    </row>
    <row r="85" spans="1:8">
      <c r="B85" s="193" t="s">
        <v>2498</v>
      </c>
      <c r="C85" s="172">
        <f t="shared" si="18"/>
        <v>3.688237497064865E-3</v>
      </c>
      <c r="D85" s="172">
        <f t="shared" si="18"/>
        <v>1.1338576184968638E-3</v>
      </c>
      <c r="E85" s="172">
        <f t="shared" si="18"/>
        <v>1.7082542412975642E-3</v>
      </c>
      <c r="F85" s="196">
        <f t="shared" si="21"/>
        <v>6.5303493568592934E-3</v>
      </c>
      <c r="G85" s="203">
        <f t="shared" si="20"/>
        <v>2.8272980122018756E-3</v>
      </c>
      <c r="H85" s="38" t="s">
        <v>2557</v>
      </c>
    </row>
    <row r="86" spans="1:8">
      <c r="B86" s="194" t="s">
        <v>22</v>
      </c>
      <c r="C86" s="196">
        <f>SUM(C73:C85)</f>
        <v>1.2673274119768954</v>
      </c>
      <c r="D86" s="196">
        <f>SUM(D73:D85)</f>
        <v>0.56571256704067585</v>
      </c>
      <c r="E86" s="196">
        <f>SUM(E73:E85)</f>
        <v>0.47670923336683979</v>
      </c>
      <c r="F86" s="196">
        <f>SUM(F73:F85)</f>
        <v>2.309749212384411</v>
      </c>
      <c r="G86" s="203">
        <f t="shared" si="20"/>
        <v>1</v>
      </c>
      <c r="H86" s="38" t="s">
        <v>22</v>
      </c>
    </row>
    <row r="87" spans="1:8">
      <c r="C87" s="199" t="b">
        <f>C86=D64</f>
        <v>1</v>
      </c>
      <c r="D87" s="199" t="b">
        <f t="shared" ref="D87:E87" si="22">D86=E64</f>
        <v>1</v>
      </c>
      <c r="E87" s="199" t="b">
        <f t="shared" si="22"/>
        <v>1</v>
      </c>
      <c r="F87" s="199" t="b">
        <f>SUM(C86:E86)=C33</f>
        <v>0</v>
      </c>
      <c r="G87" s="199"/>
    </row>
    <row r="88" spans="1:8">
      <c r="E88" s="189"/>
    </row>
    <row r="89" spans="1:8">
      <c r="C89" s="96"/>
      <c r="E89" s="189"/>
    </row>
    <row r="90" spans="1:8">
      <c r="E90" s="189"/>
    </row>
    <row r="91" spans="1:8">
      <c r="E91" s="189"/>
    </row>
    <row r="92" spans="1:8">
      <c r="E92" s="189"/>
    </row>
    <row r="93" spans="1:8">
      <c r="E93" s="189"/>
    </row>
    <row r="94" spans="1:8">
      <c r="B94" s="9" t="s">
        <v>2494</v>
      </c>
      <c r="E94" s="189"/>
    </row>
    <row r="95" spans="1:8">
      <c r="B95" s="9"/>
      <c r="E95" s="189"/>
    </row>
    <row r="96" spans="1:8">
      <c r="A96" s="9" t="s">
        <v>10</v>
      </c>
      <c r="E96" s="189"/>
    </row>
    <row r="97" spans="1:9">
      <c r="A97" s="9"/>
      <c r="C97" s="141" t="s">
        <v>2493</v>
      </c>
      <c r="D97" s="192" t="s">
        <v>25</v>
      </c>
      <c r="E97" s="192" t="s">
        <v>184</v>
      </c>
      <c r="F97" s="192" t="s">
        <v>185</v>
      </c>
      <c r="G97" s="192" t="s">
        <v>22</v>
      </c>
      <c r="H97" s="192" t="s">
        <v>388</v>
      </c>
    </row>
    <row r="98" spans="1:9">
      <c r="C98" s="139" t="s">
        <v>2476</v>
      </c>
      <c r="D98" s="172">
        <f>SUMIFS(D$46:D$63, $C$46:$C$63,$C98)</f>
        <v>0.57683988859855817</v>
      </c>
      <c r="E98" s="172">
        <f t="shared" ref="E98:F101" si="23">SUMIFS(E$46:E$63, $C$46:$C$63,$C98)</f>
        <v>0.20276597072928457</v>
      </c>
      <c r="F98" s="172">
        <f t="shared" si="23"/>
        <v>0.23009566962790748</v>
      </c>
      <c r="G98" s="196">
        <f>SUM(D98:F98)</f>
        <v>1.0097015289557503</v>
      </c>
      <c r="H98" s="186">
        <f>G98/SUM($G$98:$G$101)</f>
        <v>0.4371476883905549</v>
      </c>
    </row>
    <row r="99" spans="1:9">
      <c r="C99" s="139" t="s">
        <v>2474</v>
      </c>
      <c r="D99" s="172">
        <f t="shared" ref="D99:D101" si="24">SUMIFS(D$46:D$63, $C$46:$C$63,$C99)</f>
        <v>0.19947866092393807</v>
      </c>
      <c r="E99" s="172">
        <f t="shared" si="23"/>
        <v>0.10468790435818832</v>
      </c>
      <c r="F99" s="172">
        <f t="shared" si="23"/>
        <v>9.3497373587878213E-2</v>
      </c>
      <c r="G99" s="196">
        <f t="shared" ref="G99:G101" si="25">SUM(D99:F99)</f>
        <v>0.39766393887000462</v>
      </c>
      <c r="H99" s="186">
        <f>G99/SUM($G$98:$G$101)</f>
        <v>0.17216758284311146</v>
      </c>
      <c r="I99" s="9"/>
    </row>
    <row r="100" spans="1:9">
      <c r="C100" s="139" t="s">
        <v>2475</v>
      </c>
      <c r="D100" s="172">
        <f t="shared" si="24"/>
        <v>0.3265935507877859</v>
      </c>
      <c r="E100" s="172">
        <f t="shared" si="23"/>
        <v>0.17059626542452697</v>
      </c>
      <c r="F100" s="172">
        <f t="shared" si="23"/>
        <v>0.15252999625514274</v>
      </c>
      <c r="G100" s="196">
        <f t="shared" si="25"/>
        <v>0.64971981246745558</v>
      </c>
      <c r="H100" s="186">
        <f>G100/SUM($G$98:$G$101)</f>
        <v>0.28129452712172753</v>
      </c>
    </row>
    <row r="101" spans="1:9">
      <c r="C101" s="139" t="s">
        <v>167</v>
      </c>
      <c r="D101" s="172">
        <f t="shared" si="24"/>
        <v>0.16441531166661319</v>
      </c>
      <c r="E101" s="172">
        <f t="shared" si="23"/>
        <v>8.7662426528676049E-2</v>
      </c>
      <c r="F101" s="172">
        <f t="shared" si="23"/>
        <v>5.8619389591132228E-4</v>
      </c>
      <c r="G101" s="196">
        <f t="shared" si="25"/>
        <v>0.25266393209120053</v>
      </c>
      <c r="H101" s="186">
        <f>G101/SUM($G$98:$G$101)</f>
        <v>0.10939020164460594</v>
      </c>
    </row>
    <row r="102" spans="1:9">
      <c r="E102" s="189"/>
      <c r="G102" s="191" t="b">
        <f>SUM(G98:G101)=C33</f>
        <v>0</v>
      </c>
    </row>
    <row r="103" spans="1:9">
      <c r="E103" s="189"/>
      <c r="G103" s="379"/>
    </row>
    <row r="104" spans="1:9">
      <c r="E104" s="189"/>
      <c r="G104" s="191"/>
    </row>
    <row r="105" spans="1:9">
      <c r="E105" s="189"/>
      <c r="G105" s="191"/>
    </row>
    <row r="106" spans="1:9">
      <c r="E106" s="189"/>
    </row>
    <row r="107" spans="1:9">
      <c r="B107" s="9" t="s">
        <v>2503</v>
      </c>
      <c r="E107" s="189"/>
    </row>
    <row r="108" spans="1:9">
      <c r="E108" s="189"/>
    </row>
    <row r="109" spans="1:9">
      <c r="A109" s="9" t="s">
        <v>10</v>
      </c>
      <c r="E109" s="189"/>
    </row>
    <row r="110" spans="1:9">
      <c r="B110" s="141" t="s">
        <v>2493</v>
      </c>
      <c r="C110" s="192" t="s">
        <v>2500</v>
      </c>
      <c r="D110" s="202" t="s">
        <v>388</v>
      </c>
      <c r="E110" s="189"/>
    </row>
    <row r="111" spans="1:9">
      <c r="B111" s="139" t="s">
        <v>2557</v>
      </c>
      <c r="C111" s="172">
        <f>SUMIFS($F$73:$F$86,$H$73:$H$86,B111)</f>
        <v>1.3000476834286607</v>
      </c>
      <c r="D111" s="203">
        <f>C111/$C$113</f>
        <v>0.56285231160944504</v>
      </c>
      <c r="E111" s="189"/>
    </row>
    <row r="112" spans="1:9">
      <c r="B112" s="139" t="s">
        <v>2501</v>
      </c>
      <c r="C112" s="172">
        <f t="shared" ref="C112:C113" si="26">SUMIFS($F$73:$F$86,$H$73:$H$86,B112)</f>
        <v>1.0097015289557503</v>
      </c>
      <c r="D112" s="203">
        <f>C112/$C$113</f>
        <v>0.43714768839055496</v>
      </c>
      <c r="E112" s="189"/>
    </row>
    <row r="113" spans="2:5">
      <c r="B113" s="195" t="s">
        <v>22</v>
      </c>
      <c r="C113" s="172">
        <f t="shared" si="26"/>
        <v>2.309749212384411</v>
      </c>
      <c r="D113" s="203">
        <f>C113/$C$113</f>
        <v>1</v>
      </c>
      <c r="E113" s="189"/>
    </row>
    <row r="114" spans="2:5" ht="15" customHeight="1">
      <c r="B114" s="197"/>
      <c r="C114" s="151" t="b">
        <f>C113=SUM(C111:C112)</f>
        <v>1</v>
      </c>
      <c r="D114" s="197"/>
      <c r="E114" s="189"/>
    </row>
    <row r="115" spans="2:5">
      <c r="B115" s="197"/>
      <c r="C115" s="151"/>
      <c r="D115" s="197"/>
      <c r="E115" s="189"/>
    </row>
    <row r="116" spans="2:5">
      <c r="B116" s="197"/>
      <c r="C116" s="151"/>
      <c r="D116" s="197"/>
      <c r="E116" s="189"/>
    </row>
    <row r="117" spans="2:5">
      <c r="B117" s="197"/>
      <c r="C117" s="151"/>
      <c r="D117" s="197"/>
      <c r="E117" s="189"/>
    </row>
    <row r="118" spans="2:5">
      <c r="B118" s="197"/>
      <c r="C118" s="151"/>
      <c r="D118" s="197"/>
      <c r="E118" s="189"/>
    </row>
    <row r="119" spans="2:5">
      <c r="B119" s="197"/>
      <c r="C119" s="151"/>
      <c r="D119" s="197"/>
      <c r="E119" s="189"/>
    </row>
    <row r="120" spans="2:5">
      <c r="B120" s="197"/>
      <c r="C120" s="151"/>
      <c r="D120" s="197"/>
      <c r="E120" s="189"/>
    </row>
    <row r="121" spans="2:5">
      <c r="B121" s="197"/>
      <c r="C121" s="151"/>
      <c r="D121" s="197"/>
      <c r="E121" s="189"/>
    </row>
    <row r="122" spans="2:5">
      <c r="E122" s="189"/>
    </row>
  </sheetData>
  <phoneticPr fontId="1" type="noConversion"/>
  <pageMargins left="0.7" right="0.7" top="0.75" bottom="0.75" header="0.3" footer="0.3"/>
  <pageSetup paperSize="9" orientation="portrait"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0079DF1A14AE3479C3BA0DFBD82DA70" ma:contentTypeVersion="12" ma:contentTypeDescription="Create a new document." ma:contentTypeScope="" ma:versionID="2cac45e5989884b0e5d3f2ebeb757107">
  <xsd:schema xmlns:xsd="http://www.w3.org/2001/XMLSchema" xmlns:xs="http://www.w3.org/2001/XMLSchema" xmlns:p="http://schemas.microsoft.com/office/2006/metadata/properties" xmlns:ns3="4895e1b2-715b-4857-b047-a5ae56b317de" xmlns:ns4="505b9932-a1e7-41ac-9db6-8d357ebb01c1" targetNamespace="http://schemas.microsoft.com/office/2006/metadata/properties" ma:root="true" ma:fieldsID="3f298876261da0bd87a91f28faacab98" ns3:_="" ns4:_="">
    <xsd:import namespace="4895e1b2-715b-4857-b047-a5ae56b317de"/>
    <xsd:import namespace="505b9932-a1e7-41ac-9db6-8d357ebb01c1"/>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4:SharedWithUsers" minOccurs="0"/>
                <xsd:element ref="ns4:SharedWithDetails" minOccurs="0"/>
                <xsd:element ref="ns4:SharingHintHash" minOccurs="0"/>
                <xsd:element ref="ns3:MediaServiceDateTaken"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895e1b2-715b-4857-b047-a5ae56b317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05b9932-a1e7-41ac-9db6-8d357ebb01c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SharingHintHash" ma:index="14"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38BA2A9-F710-4778-A4DF-B50EF7087219}">
  <ds:schemaRefs>
    <ds:schemaRef ds:uri="http://schemas.microsoft.com/office/2006/documentManagement/types"/>
    <ds:schemaRef ds:uri="http://www.w3.org/XML/1998/namespace"/>
    <ds:schemaRef ds:uri="http://purl.org/dc/elements/1.1/"/>
    <ds:schemaRef ds:uri="http://purl.org/dc/dcmitype/"/>
    <ds:schemaRef ds:uri="http://schemas.microsoft.com/office/2006/metadata/properties"/>
    <ds:schemaRef ds:uri="http://schemas.microsoft.com/office/infopath/2007/PartnerControls"/>
    <ds:schemaRef ds:uri="505b9932-a1e7-41ac-9db6-8d357ebb01c1"/>
    <ds:schemaRef ds:uri="http://schemas.openxmlformats.org/package/2006/metadata/core-properties"/>
    <ds:schemaRef ds:uri="4895e1b2-715b-4857-b047-a5ae56b317de"/>
    <ds:schemaRef ds:uri="http://purl.org/dc/terms/"/>
  </ds:schemaRefs>
</ds:datastoreItem>
</file>

<file path=customXml/itemProps2.xml><?xml version="1.0" encoding="utf-8"?>
<ds:datastoreItem xmlns:ds="http://schemas.openxmlformats.org/officeDocument/2006/customXml" ds:itemID="{7E0F8018-90EA-4FE6-B2CE-DD135F1AF1E9}">
  <ds:schemaRefs>
    <ds:schemaRef ds:uri="http://schemas.microsoft.com/sharepoint/v3/contenttype/forms"/>
  </ds:schemaRefs>
</ds:datastoreItem>
</file>

<file path=customXml/itemProps3.xml><?xml version="1.0" encoding="utf-8"?>
<ds:datastoreItem xmlns:ds="http://schemas.openxmlformats.org/officeDocument/2006/customXml" ds:itemID="{47483A7F-3FB4-4EE8-B7EB-2475C4921F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895e1b2-715b-4857-b047-a5ae56b317de"/>
    <ds:schemaRef ds:uri="505b9932-a1e7-41ac-9db6-8d357ebb01c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38</vt:i4>
      </vt:variant>
    </vt:vector>
  </HeadingPairs>
  <TitlesOfParts>
    <vt:vector size="38" baseType="lpstr">
      <vt:lpstr>ReadMe</vt:lpstr>
      <vt:lpstr>Control Assumptions</vt:lpstr>
      <vt:lpstr>Local model results =&gt;</vt:lpstr>
      <vt:lpstr>Local model results</vt:lpstr>
      <vt:lpstr>National model results =&gt;</vt:lpstr>
      <vt:lpstr>National model results summary</vt:lpstr>
      <vt:lpstr>National model results detailed</vt:lpstr>
      <vt:lpstr>=&gt; Summary tables</vt:lpstr>
      <vt:lpstr>To-be Summary</vt:lpstr>
      <vt:lpstr>Baseline Summary</vt:lpstr>
      <vt:lpstr>Intervention assumptions=&gt;</vt:lpstr>
      <vt:lpstr>To-be clinical improvements</vt:lpstr>
      <vt:lpstr>Implementation costs</vt:lpstr>
      <vt:lpstr>Cost calcs =&gt;</vt:lpstr>
      <vt:lpstr>Mixed costs INT</vt:lpstr>
      <vt:lpstr>VLU costs INT</vt:lpstr>
      <vt:lpstr>VLU costs</vt:lpstr>
      <vt:lpstr>Arterial costs</vt:lpstr>
      <vt:lpstr>Mixed costs</vt:lpstr>
      <vt:lpstr>Resource assumptions =&gt;</vt:lpstr>
      <vt:lpstr>Mixed LU Care Pathways INT</vt:lpstr>
      <vt:lpstr>VLU Care Pathways INT</vt:lpstr>
      <vt:lpstr>Arterial Care Pathways</vt:lpstr>
      <vt:lpstr>Mixed LU Care Pathways</vt:lpstr>
      <vt:lpstr>VLU Care Pathways</vt:lpstr>
      <vt:lpstr>Wound vol calcs =&gt;</vt:lpstr>
      <vt:lpstr>Wound maintenance vols INT</vt:lpstr>
      <vt:lpstr>Prevalence projection INT</vt:lpstr>
      <vt:lpstr>Wound growth INT</vt:lpstr>
      <vt:lpstr>Wound maintenance vols</vt:lpstr>
      <vt:lpstr>Prevalence projection</vt:lpstr>
      <vt:lpstr>Wound growth</vt:lpstr>
      <vt:lpstr>Assumptions =&gt;</vt:lpstr>
      <vt:lpstr>Resource costs</vt:lpstr>
      <vt:lpstr>Inflation</vt:lpstr>
      <vt:lpstr>PCA data</vt:lpstr>
      <vt:lpstr>Epidemiology</vt:lpstr>
      <vt:lpstr>Demographic growth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Hasan Sabri</dc:creator>
  <cp:lastModifiedBy>Simon</cp:lastModifiedBy>
  <cp:lastPrinted>2020-05-28T10:25:13Z</cp:lastPrinted>
  <dcterms:created xsi:type="dcterms:W3CDTF">2020-02-06T13:50:49Z</dcterms:created>
  <dcterms:modified xsi:type="dcterms:W3CDTF">2021-07-21T12:19:05Z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0x01010010079DF1A14AE3479C3BA0DFBD82DA70</vt:lpwstr>
  </property>
</Properties>
</file>